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ustomProperty" PartName="/xl/customProperty1.bin"/>
  <Override ContentType="application/vnd.openxmlformats-officedocument.drawing+xml" PartName="/xl/drawings/drawing1.xml"/>
  <Override ContentType="application/vnd.openxmlformats-officedocument.spreadsheetml.externalLink+xml" PartName="/xl/externalLinks/externalLink1.xml"/>
  <Override ContentType="application/vnd.openxmlformats-officedocument.spreadsheetml.externalLink+xml" PartName="/xl/externalLinks/externalLink10.xml"/>
  <Override ContentType="application/vnd.openxmlformats-officedocument.spreadsheetml.externalLink+xml" PartName="/xl/externalLinks/externalLink11.xml"/>
  <Override ContentType="application/vnd.openxmlformats-officedocument.spreadsheetml.externalLink+xml" PartName="/xl/externalLinks/externalLink12.xml"/>
  <Override ContentType="application/vnd.openxmlformats-officedocument.spreadsheetml.externalLink+xml" PartName="/xl/externalLinks/externalLink13.xml"/>
  <Override ContentType="application/vnd.openxmlformats-officedocument.spreadsheetml.externalLink+xml" PartName="/xl/externalLinks/externalLink14.xml"/>
  <Override ContentType="application/vnd.openxmlformats-officedocument.spreadsheetml.externalLink+xml" PartName="/xl/externalLinks/externalLink15.xml"/>
  <Override ContentType="application/vnd.openxmlformats-officedocument.spreadsheetml.externalLink+xml" PartName="/xl/externalLinks/externalLink16.xml"/>
  <Override ContentType="application/vnd.openxmlformats-officedocument.spreadsheetml.externalLink+xml" PartName="/xl/externalLinks/externalLink17.xml"/>
  <Override ContentType="application/vnd.openxmlformats-officedocument.spreadsheetml.externalLink+xml" PartName="/xl/externalLinks/externalLink18.xml"/>
  <Override ContentType="application/vnd.openxmlformats-officedocument.spreadsheetml.externalLink+xml" PartName="/xl/externalLinks/externalLink19.xml"/>
  <Override ContentType="application/vnd.openxmlformats-officedocument.spreadsheetml.externalLink+xml" PartName="/xl/externalLinks/externalLink2.xml"/>
  <Override ContentType="application/vnd.openxmlformats-officedocument.spreadsheetml.externalLink+xml" PartName="/xl/externalLinks/externalLink20.xml"/>
  <Override ContentType="application/vnd.openxmlformats-officedocument.spreadsheetml.externalLink+xml" PartName="/xl/externalLinks/externalLink21.xml"/>
  <Override ContentType="application/vnd.openxmlformats-officedocument.spreadsheetml.externalLink+xml" PartName="/xl/externalLinks/externalLink22.xml"/>
  <Override ContentType="application/vnd.openxmlformats-officedocument.spreadsheetml.externalLink+xml" PartName="/xl/externalLinks/externalLink23.xml"/>
  <Override ContentType="application/vnd.openxmlformats-officedocument.spreadsheetml.externalLink+xml" PartName="/xl/externalLinks/externalLink24.xml"/>
  <Override ContentType="application/vnd.openxmlformats-officedocument.spreadsheetml.externalLink+xml" PartName="/xl/externalLinks/externalLink25.xml"/>
  <Override ContentType="application/vnd.openxmlformats-officedocument.spreadsheetml.externalLink+xml" PartName="/xl/externalLinks/externalLink26.xml"/>
  <Override ContentType="application/vnd.openxmlformats-officedocument.spreadsheetml.externalLink+xml" PartName="/xl/externalLinks/externalLink27.xml"/>
  <Override ContentType="application/vnd.openxmlformats-officedocument.spreadsheetml.externalLink+xml" PartName="/xl/externalLinks/externalLink28.xml"/>
  <Override ContentType="application/vnd.openxmlformats-officedocument.spreadsheetml.externalLink+xml" PartName="/xl/externalLinks/externalLink29.xml"/>
  <Override ContentType="application/vnd.openxmlformats-officedocument.spreadsheetml.externalLink+xml" PartName="/xl/externalLinks/externalLink3.xml"/>
  <Override ContentType="application/vnd.openxmlformats-officedocument.spreadsheetml.externalLink+xml" PartName="/xl/externalLinks/externalLink30.xml"/>
  <Override ContentType="application/vnd.openxmlformats-officedocument.spreadsheetml.externalLink+xml" PartName="/xl/externalLinks/externalLink31.xml"/>
  <Override ContentType="application/vnd.openxmlformats-officedocument.spreadsheetml.externalLink+xml" PartName="/xl/externalLinks/externalLink32.xml"/>
  <Override ContentType="application/vnd.openxmlformats-officedocument.spreadsheetml.externalLink+xml" PartName="/xl/externalLinks/externalLink33.xml"/>
  <Override ContentType="application/vnd.openxmlformats-officedocument.spreadsheetml.externalLink+xml" PartName="/xl/externalLinks/externalLink34.xml"/>
  <Override ContentType="application/vnd.openxmlformats-officedocument.spreadsheetml.externalLink+xml" PartName="/xl/externalLinks/externalLink35.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spreadsheetml.externalLink+xml" PartName="/xl/externalLinks/externalLink7.xml"/>
  <Override ContentType="application/vnd.openxmlformats-officedocument.spreadsheetml.externalLink+xml" PartName="/xl/externalLinks/externalLink8.xml"/>
  <Override ContentType="application/vnd.openxmlformats-officedocument.spreadsheetml.externalLink+xml" PartName="/xl/externalLinks/externalLink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defaultThemeVersion="124226"/>
  <bookViews>
    <workbookView xWindow="-15" yWindow="-15" windowWidth="28830" windowHeight="6705" tabRatio="730"/>
  </bookViews>
  <sheets>
    <sheet name="ImportantDisclosures" sheetId="87" r:id="rId1"/>
    <sheet name="Cover " sheetId="79" r:id="rId2"/>
    <sheet name="Valuation" sheetId="80" r:id="rId3"/>
    <sheet name="Model" sheetId="1" r:id="rId4"/>
    <sheet name="IndexInformation" sheetId="88" r:id="rId5"/>
    <sheet name="ModPubIndex" sheetId="89" r:id="rId6"/>
    <sheet name="MW-Cache" sheetId="15" state="veryHidden" r:id="rId7"/>
    <sheet name="__FDSCACHE__" sheetId="18" state="veryHidden" r:id="rId8"/>
    <sheet name="LinkingMetadata" sheetId="47" state="veryHidden" r:id="rId9"/>
  </sheets>
  <externalReferences>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s>
  <definedNames>
    <definedName name="__FDS_HYPERLINK_TOGGLE_STATE__" hidden="1">"ON"</definedName>
    <definedName name="__FDS_UNIQUE_RANGE_ID_GENERATOR_COUNTER">576</definedName>
    <definedName name="_1__123Graph_ACHART_1E" hidden="1">[1]Aerospace!$AI$342:$AI$355</definedName>
    <definedName name="_1__FDSAUDITLINK__" hidden="1">{"fdsup://directions/FAT Viewer?action=UPDATE&amp;creator=factset&amp;DYN_ARGS=TRUE&amp;DOC_NAME=FAT:FQL_AUDITING_CLIENT_TEMPLATE.FAT&amp;display_string=Audit&amp;VAR:KEY=OHKHQTCVEB&amp;VAR:QUERY=RkZfRU5UUlBSX1ZBTF9EQUlMWSgwNy8yNi8yMDExLCwsLCwnRElMJykvRUNBX01FQU5fU0FMRVMoMjAxMiwwN","y8yNi8yMDExKQ==&amp;WINDOW=FIRST_POPUP&amp;HEIGHT=450&amp;WIDTH=450&amp;START_MAXIMIZED=FALSE&amp;VAR:CALENDAR=FIVEDAY&amp;VAR:SYMBOL=057580&amp;VAR:INDEX=0"}</definedName>
    <definedName name="_10__123Graph_Aｸﾞﾗﾌ_2" hidden="1">[2]単独!$AR$14:$AR$18</definedName>
    <definedName name="_10__123Graph_CCHART_1E" hidden="1">[1]Aerospace!$AK$342:$AK$355</definedName>
    <definedName name="_10__FDSAUDITLINK__" hidden="1">{"fdsup://directions/FAT Viewer?action=UPDATE&amp;creator=factset&amp;DYN_ARGS=TRUE&amp;DOC_NAME=FAT:FQL_AUDITING_CLIENT_TEMPLATE.FAT&amp;display_string=Audit&amp;VAR:KEY=ORQVGRAVMP&amp;VAR:QUERY=RkZfRU5UUlBSX1ZBTF9EQUlMWSgwNy8yNi8yMDExLCwsLCwnRElMJykvRUNBX01FQU5fU0FMRVMoMjAxMiwwN","y8yNi8yMDExKQ==&amp;WINDOW=FIRST_POPUP&amp;HEIGHT=450&amp;WIDTH=450&amp;START_MAXIMIZED=FALSE&amp;VAR:CALENDAR=FIVEDAY&amp;VAR:SYMBOL=PCP&amp;VAR:INDEX=0"}</definedName>
    <definedName name="_100__FDSAUDITLINK__" hidden="1">{"fdsup://directions/FAT Viewer?action=UPDATE&amp;creator=factset&amp;DYN_ARGS=TRUE&amp;DOC_NAME=FAT:FQL_AUDITING_CLIENT_TEMPLATE.FAT&amp;display_string=Audit&amp;VAR:KEY=CDQHIPURMF&amp;VAR:QUERY=RkZfRU5UUlBSX1ZBTF9EQUlMWSgxMC8yNy8yMDEwLCwsLCwnRElMJykvRUNBX01FQU5fU0FMRVMoMjAxMiwxM","C8yNy8yMDEwKQ==&amp;WINDOW=FIRST_POPUP&amp;HEIGHT=450&amp;WIDTH=450&amp;START_MAXIMIZED=FALSE&amp;VAR:CALENDAR=US&amp;VAR:SYMBOL=PCP&amp;VAR:INDEX=0"}</definedName>
    <definedName name="_101__FDSAUDITLINK__" hidden="1">{"fdsup://directions/FAT Viewer?action=UPDATE&amp;creator=factset&amp;DYN_ARGS=TRUE&amp;DOC_NAME=FAT:FQL_AUDITING_CLIENT_TEMPLATE.FAT&amp;display_string=Audit&amp;VAR:KEY=OPKVIXQFUV&amp;VAR:QUERY=RkZfRU5UUlBSX1ZBTF9EQUlMWSgxMC8yNy8yMDEwLCwsLCwnRElMJykvRUNBX01FQU5fU0FMRVMoMjAxMSwxM","C8yNy8yMDEwKQ==&amp;WINDOW=FIRST_POPUP&amp;HEIGHT=450&amp;WIDTH=450&amp;START_MAXIMIZED=FALSE&amp;VAR:CALENDAR=US&amp;VAR:SYMBOL=PCP&amp;VAR:INDEX=0"}</definedName>
    <definedName name="_102__FDSAUDITLINK__" hidden="1">{"fdsup://directions/FAT Viewer?action=UPDATE&amp;creator=factset&amp;DYN_ARGS=TRUE&amp;DOC_NAME=FAT:FQL_AUDITING_CLIENT_TEMPLATE.FAT&amp;display_string=Audit&amp;VAR:KEY=EHGXCFWJWV&amp;VAR:QUERY=RkZfRU5UUlBSX1ZBTF9EQUlMWSgxMC8yNy8yMDEwLCwsLCwnRElMJykvRUNBX01FQU5fU0FMRVMoMjAxMCwxM","C8yNy8yMDEwKQ==&amp;WINDOW=FIRST_POPUP&amp;HEIGHT=450&amp;WIDTH=450&amp;START_MAXIMIZED=FALSE&amp;VAR:CALENDAR=US&amp;VAR:SYMBOL=PCP&amp;VAR:INDEX=0"}</definedName>
    <definedName name="_103__FDSAUDITLINK__" hidden="1">{"fdsup://directions/FAT Viewer?action=UPDATE&amp;creator=factset&amp;DYN_ARGS=TRUE&amp;DOC_NAME=FAT:FQL_AUDITING_CLIENT_TEMPLATE.FAT&amp;display_string=Audit&amp;VAR:KEY=ORAZYNIVYZ&amp;VAR:QUERY=RkZfRU5UUlBSX1ZBTF9EQUlMWSgxMC8yNy8yMDEwLCwsLCwnRElMJykvRUNBX01FQU5fRUJJVCgyMDEyLDEwL","zI3LzIwMTAp&amp;WINDOW=FIRST_POPUP&amp;HEIGHT=450&amp;WIDTH=450&amp;START_MAXIMIZED=FALSE&amp;VAR:CALENDAR=US&amp;VAR:SYMBOL=PCP&amp;VAR:INDEX=0"}</definedName>
    <definedName name="_104__FDSAUDITLINK__" hidden="1">{"fdsup://directions/FAT Viewer?action=UPDATE&amp;creator=factset&amp;DYN_ARGS=TRUE&amp;DOC_NAME=FAT:FQL_AUDITING_CLIENT_TEMPLATE.FAT&amp;display_string=Audit&amp;VAR:KEY=OVWJKLGNQT&amp;VAR:QUERY=RkZfRU5UUlBSX1ZBTF9EQUlMWSgxMC8yNy8yMDEwLCwsLCwnRElMJykvRUNBX01FQU5fRUJJVCgyMDExLDEwL","zI3LzIwMTAp&amp;WINDOW=FIRST_POPUP&amp;HEIGHT=450&amp;WIDTH=450&amp;START_MAXIMIZED=FALSE&amp;VAR:CALENDAR=US&amp;VAR:SYMBOL=PCP&amp;VAR:INDEX=0"}</definedName>
    <definedName name="_105__FDSAUDITLINK__" hidden="1">{"fdsup://directions/FAT Viewer?action=UPDATE&amp;creator=factset&amp;DYN_ARGS=TRUE&amp;DOC_NAME=FAT:FQL_AUDITING_CLIENT_TEMPLATE.FAT&amp;display_string=Audit&amp;VAR:KEY=UPSNGFITQZ&amp;VAR:QUERY=RkZfRU5UUlBSX1ZBTF9EQUlMWSgxMC8yNy8yMDEwLCwsLCwnRElMJykvRUNBX01FQU5fRUJJVCgyMDEwLDEwL","zI3LzIwMTAp&amp;WINDOW=FIRST_POPUP&amp;HEIGHT=450&amp;WIDTH=450&amp;START_MAXIMIZED=FALSE&amp;VAR:CALENDAR=US&amp;VAR:SYMBOL=PCP&amp;VAR:INDEX=0"}</definedName>
    <definedName name="_106__FDSAUDITLINK__" hidden="1">{"fdsup://directions/FAT Viewer?action=UPDATE&amp;creator=factset&amp;DYN_ARGS=TRUE&amp;DOC_NAME=FAT:FQL_AUDITING_CLIENT_TEMPLATE.FAT&amp;display_string=Audit&amp;VAR:KEY=KNCNULQDEH&amp;VAR:QUERY=RkZfRU5UUlBSX1ZBTF9EQUlMWSgxMC8yNy8yMDEwLCwsLCwnRElMJykvRUNBX01FQU5fRUJJVERBKDIwMTIsM","TAvMjcvMjAxMCk=&amp;WINDOW=FIRST_POPUP&amp;HEIGHT=450&amp;WIDTH=450&amp;START_MAXIMIZED=FALSE&amp;VAR:CALENDAR=US&amp;VAR:SYMBOL=PCP&amp;VAR:INDEX=0"}</definedName>
    <definedName name="_107__FDSAUDITLINK__" hidden="1">{"fdsup://directions/FAT Viewer?action=UPDATE&amp;creator=factset&amp;DYN_ARGS=TRUE&amp;DOC_NAME=FAT:FQL_AUDITING_CLIENT_TEMPLATE.FAT&amp;display_string=Audit&amp;VAR:KEY=YTMJGRUPQB&amp;VAR:QUERY=RkZfRU5UUlBSX1ZBTF9EQUlMWSgxMC8yNy8yMDEwLCwsLCwnRElMJykvRUNBX01FQU5fRUJJVERBKDIwMTEsM","TAvMjcvMjAxMCk=&amp;WINDOW=FIRST_POPUP&amp;HEIGHT=450&amp;WIDTH=450&amp;START_MAXIMIZED=FALSE&amp;VAR:CALENDAR=US&amp;VAR:SYMBOL=PCP&amp;VAR:INDEX=0"}</definedName>
    <definedName name="_108__FDSAUDITLINK__" hidden="1">{"fdsup://directions/FAT Viewer?action=UPDATE&amp;creator=factset&amp;DYN_ARGS=TRUE&amp;DOC_NAME=FAT:FQL_AUDITING_CLIENT_TEMPLATE.FAT&amp;display_string=Audit&amp;VAR:KEY=MHMBALAVWD&amp;VAR:QUERY=RkZfRU5UUlBSX1ZBTF9EQUlMWSgxMC8yNy8yMDEwLCwsLCwnRElMJykvRUNBX01FQU5fRUJJVERBKDIwMTAsM","TAvMjcvMjAxMCk=&amp;WINDOW=FIRST_POPUP&amp;HEIGHT=450&amp;WIDTH=450&amp;START_MAXIMIZED=FALSE&amp;VAR:CALENDAR=US&amp;VAR:SYMBOL=PCP&amp;VAR:INDEX=0"}</definedName>
    <definedName name="_109__FDSAUDITLINK__" hidden="1">{"fdsup://directions/FAT Viewer?action=UPDATE&amp;creator=factset&amp;DYN_ARGS=TRUE&amp;DOC_NAME=FAT:FQL_AUDITING_CLIENT_TEMPLATE.FAT&amp;display_string=Audit&amp;VAR:KEY=CZSRCXOXUL&amp;VAR:QUERY=RkZfRU5UUlBSX1ZBTF9EQUlMWSgxMC8yNy8yMDEwLCwsLCwnRElMJykvRUNBX01FQU5fU0FMRVMoMjAxMiwxM","C8yNy8yMDEwKQ==&amp;WINDOW=FIRST_POPUP&amp;HEIGHT=450&amp;WIDTH=450&amp;START_MAXIMIZED=FALSE&amp;VAR:CALENDAR=US&amp;VAR:SYMBOL=MOG.A&amp;VAR:INDEX=0"}</definedName>
    <definedName name="_11__123Graph_CCHART_2E" hidden="1">[1]Aerospace!$R$342:$R$373</definedName>
    <definedName name="_11__FDSAUDITLINK__" hidden="1">{"fdsup://directions/FAT Viewer?action=UPDATE&amp;creator=factset&amp;DYN_ARGS=TRUE&amp;DOC_NAME=FAT:FQL_AUDITING_CLIENT_TEMPLATE.FAT&amp;display_string=Audit&amp;VAR:KEY=YFSJQFSXUZ&amp;VAR:QUERY=RkZfRU5UUlBSX1ZBTF9EQUlMWSgwNy8yNi8yMDExLCwsLCwnRElMJykvRUNBX01FQU5fU0FMRVMoMjAxMSwwN","y8yNi8yMDExKQ==&amp;WINDOW=FIRST_POPUP&amp;HEIGHT=450&amp;WIDTH=450&amp;START_MAXIMIZED=FALSE&amp;VAR:CALENDAR=FIVEDAY&amp;VAR:SYMBOL=PCP&amp;VAR:INDEX=0"}</definedName>
    <definedName name="_110__FDSAUDITLINK__" hidden="1">{"fdsup://directions/FAT Viewer?action=UPDATE&amp;creator=factset&amp;DYN_ARGS=TRUE&amp;DOC_NAME=FAT:FQL_AUDITING_CLIENT_TEMPLATE.FAT&amp;display_string=Audit&amp;VAR:KEY=GHMFYDQBET&amp;VAR:QUERY=RkZfRU5UUlBSX1ZBTF9EQUlMWSgxMC8yNy8yMDEwLCwsLCwnRElMJykvRUNBX01FQU5fU0FMRVMoMjAxMSwxM","C8yNy8yMDEwKQ==&amp;WINDOW=FIRST_POPUP&amp;HEIGHT=450&amp;WIDTH=450&amp;START_MAXIMIZED=FALSE&amp;VAR:CALENDAR=US&amp;VAR:SYMBOL=MOG.A&amp;VAR:INDEX=0"}</definedName>
    <definedName name="_111__FDSAUDITLINK__" hidden="1">{"fdsup://directions/FAT Viewer?action=UPDATE&amp;creator=factset&amp;DYN_ARGS=TRUE&amp;DOC_NAME=FAT:FQL_AUDITING_CLIENT_TEMPLATE.FAT&amp;display_string=Audit&amp;VAR:KEY=YJWDINSPSH&amp;VAR:QUERY=RkZfRU5UUlBSX1ZBTF9EQUlMWSgxMC8yNy8yMDEwLCwsLCwnRElMJykvRUNBX01FQU5fU0FMRVMoMjAxMCwxM","C8yNy8yMDEwKQ==&amp;WINDOW=FIRST_POPUP&amp;HEIGHT=450&amp;WIDTH=450&amp;START_MAXIMIZED=FALSE&amp;VAR:CALENDAR=US&amp;VAR:SYMBOL=MOG.A&amp;VAR:INDEX=0"}</definedName>
    <definedName name="_112__FDSAUDITLINK__" hidden="1">{"fdsup://directions/FAT Viewer?action=UPDATE&amp;creator=factset&amp;DYN_ARGS=TRUE&amp;DOC_NAME=FAT:FQL_AUDITING_CLIENT_TEMPLATE.FAT&amp;display_string=Audit&amp;VAR:KEY=SPQLWZYTEH&amp;VAR:QUERY=RkZfRU5UUlBSX1ZBTF9EQUlMWSgxMC8yNy8yMDEwLCwsLCwnRElMJykvRUNBX01FQU5fRUJJVCgyMDEyLDEwL","zI3LzIwMTAp&amp;WINDOW=FIRST_POPUP&amp;HEIGHT=450&amp;WIDTH=450&amp;START_MAXIMIZED=FALSE&amp;VAR:CALENDAR=US&amp;VAR:SYMBOL=MOG.A&amp;VAR:INDEX=0"}</definedName>
    <definedName name="_113__FDSAUDITLINK__" hidden="1">{"fdsup://directions/FAT Viewer?action=UPDATE&amp;creator=factset&amp;DYN_ARGS=TRUE&amp;DOC_NAME=FAT:FQL_AUDITING_CLIENT_TEMPLATE.FAT&amp;display_string=Audit&amp;VAR:KEY=WJELAXERWP&amp;VAR:QUERY=RkZfRU5UUlBSX1ZBTF9EQUlMWSgxMC8yNy8yMDEwLCwsLCwnRElMJykvRUNBX01FQU5fRUJJVCgyMDExLDEwL","zI3LzIwMTAp&amp;WINDOW=FIRST_POPUP&amp;HEIGHT=450&amp;WIDTH=450&amp;START_MAXIMIZED=FALSE&amp;VAR:CALENDAR=US&amp;VAR:SYMBOL=MOG.A&amp;VAR:INDEX=0"}</definedName>
    <definedName name="_114__FDSAUDITLINK__" hidden="1">{"fdsup://directions/FAT Viewer?action=UPDATE&amp;creator=factset&amp;DYN_ARGS=TRUE&amp;DOC_NAME=FAT:FQL_AUDITING_CLIENT_TEMPLATE.FAT&amp;display_string=Audit&amp;VAR:KEY=ELKDGHGFGT&amp;VAR:QUERY=RkZfRU5UUlBSX1ZBTF9EQUlMWSgxMC8yNy8yMDEwLCwsLCwnRElMJykvRUNBX01FQU5fRUJJVCgyMDEwLDEwL","zI3LzIwMTAp&amp;WINDOW=FIRST_POPUP&amp;HEIGHT=450&amp;WIDTH=450&amp;START_MAXIMIZED=FALSE&amp;VAR:CALENDAR=US&amp;VAR:SYMBOL=MOG.A&amp;VAR:INDEX=0"}</definedName>
    <definedName name="_115__FDSAUDITLINK__" hidden="1">{"fdsup://directions/FAT Viewer?action=UPDATE&amp;creator=factset&amp;DYN_ARGS=TRUE&amp;DOC_NAME=FAT:FQL_AUDITING_CLIENT_TEMPLATE.FAT&amp;display_string=Audit&amp;VAR:KEY=OTORCVAPEL&amp;VAR:QUERY=RkZfRU5UUlBSX1ZBTF9EQUlMWSgxMC8yNy8yMDEwLCwsLCwnRElMJykvRUNBX01FQU5fRUJJVERBKDIwMTIsM","TAvMjcvMjAxMCk=&amp;WINDOW=FIRST_POPUP&amp;HEIGHT=450&amp;WIDTH=450&amp;START_MAXIMIZED=FALSE&amp;VAR:CALENDAR=US&amp;VAR:SYMBOL=MOG.A&amp;VAR:INDEX=0"}</definedName>
    <definedName name="_116__FDSAUDITLINK__" hidden="1">{"fdsup://directions/FAT Viewer?action=UPDATE&amp;creator=factset&amp;DYN_ARGS=TRUE&amp;DOC_NAME=FAT:FQL_AUDITING_CLIENT_TEMPLATE.FAT&amp;display_string=Audit&amp;VAR:KEY=EPAFONWNIF&amp;VAR:QUERY=RkZfRU5UUlBSX1ZBTF9EQUlMWSgxMC8yNy8yMDEwLCwsLCwnRElMJykvRUNBX01FQU5fRUJJVERBKDIwMTEsM","TAvMjcvMjAxMCk=&amp;WINDOW=FIRST_POPUP&amp;HEIGHT=450&amp;WIDTH=450&amp;START_MAXIMIZED=FALSE&amp;VAR:CALENDAR=US&amp;VAR:SYMBOL=MOG.A&amp;VAR:INDEX=0"}</definedName>
    <definedName name="_117__FDSAUDITLINK__" hidden="1">{"fdsup://directions/FAT Viewer?action=UPDATE&amp;creator=factset&amp;DYN_ARGS=TRUE&amp;DOC_NAME=FAT:FQL_AUDITING_CLIENT_TEMPLATE.FAT&amp;display_string=Audit&amp;VAR:KEY=AHYZKHMJKV&amp;VAR:QUERY=RkZfRU5UUlBSX1ZBTF9EQUlMWSgxMC8yNy8yMDEwLCwsLCwnRElMJykvRUNBX01FQU5fRUJJVERBKDIwMTAsM","TAvMjcvMjAxMCk=&amp;WINDOW=FIRST_POPUP&amp;HEIGHT=450&amp;WIDTH=450&amp;START_MAXIMIZED=FALSE&amp;VAR:CALENDAR=US&amp;VAR:SYMBOL=MOG.A&amp;VAR:INDEX=0"}</definedName>
    <definedName name="_118__FDSAUDITLINK__" hidden="1">{"fdsup://directions/FAT Viewer?action=UPDATE&amp;creator=factset&amp;DYN_ARGS=TRUE&amp;DOC_NAME=FAT:FQL_AUDITING_CLIENT_TEMPLATE.FAT&amp;display_string=Audit&amp;VAR:KEY=QBCZEXMFIV&amp;VAR:QUERY=RkZfRU5UUlBSX1ZBTF9EQUlMWSgxMC8yNy8yMDEwLCwsLCwnRElMJykvRUNBX01FQU5fU0FMRVMoMjAxMiwxM","C8yNy8yMDEwKQ==&amp;WINDOW=FIRST_POPUP&amp;HEIGHT=450&amp;WIDTH=450&amp;START_MAXIMIZED=FALSE&amp;VAR:CALENDAR=US&amp;VAR:SYMBOL=COL&amp;VAR:INDEX=0"}</definedName>
    <definedName name="_119__FDSAUDITLINK__" hidden="1">{"fdsup://directions/FAT Viewer?action=UPDATE&amp;creator=factset&amp;DYN_ARGS=TRUE&amp;DOC_NAME=FAT:FQL_AUDITING_CLIENT_TEMPLATE.FAT&amp;display_string=Audit&amp;VAR:KEY=ORKTEBEHUF&amp;VAR:QUERY=RkZfRU5UUlBSX1ZBTF9EQUlMWSgxMC8yNy8yMDEwLCwsLCwnRElMJykvRUNBX01FQU5fU0FMRVMoMjAxMSwxM","C8yNy8yMDEwKQ==&amp;WINDOW=FIRST_POPUP&amp;HEIGHT=450&amp;WIDTH=450&amp;START_MAXIMIZED=FALSE&amp;VAR:CALENDAR=US&amp;VAR:SYMBOL=COL&amp;VAR:INDEX=0"}</definedName>
    <definedName name="_12__123Graph_DCHART_1E" hidden="1">[1]Aerospace!$AL$342:$AL$355</definedName>
    <definedName name="_12__FDSAUDITLINK__" hidden="1">{"fdsup://directions/FAT Viewer?action=UPDATE&amp;creator=factset&amp;DYN_ARGS=TRUE&amp;DOC_NAME=FAT:FQL_AUDITING_CLIENT_TEMPLATE.FAT&amp;display_string=Audit&amp;VAR:KEY=UDAFCFULSP&amp;VAR:QUERY=RkZfRU5UUlBSX1ZBTF9EQUlMWSgwNy8yNi8yMDExLCwsLCwnRElMJykvRUNBX01FQU5fU0FMRVMoMjAxMCwwN","y8yNi8yMDExKQ==&amp;WINDOW=FIRST_POPUP&amp;HEIGHT=450&amp;WIDTH=450&amp;START_MAXIMIZED=FALSE&amp;VAR:CALENDAR=FIVEDAY&amp;VAR:SYMBOL=PCP&amp;VAR:INDEX=0"}</definedName>
    <definedName name="_120__FDSAUDITLINK__" hidden="1">{"fdsup://directions/FAT Viewer?action=UPDATE&amp;creator=factset&amp;DYN_ARGS=TRUE&amp;DOC_NAME=FAT:FQL_AUDITING_CLIENT_TEMPLATE.FAT&amp;display_string=Audit&amp;VAR:KEY=CDERWBKTAN&amp;VAR:QUERY=RkZfRU5UUlBSX1ZBTF9EQUlMWSgxMC8yNy8yMDEwLCwsLCwnRElMJykvRUNBX01FQU5fU0FMRVMoMjAxMCwxM","C8yNy8yMDEwKQ==&amp;WINDOW=FIRST_POPUP&amp;HEIGHT=450&amp;WIDTH=450&amp;START_MAXIMIZED=FALSE&amp;VAR:CALENDAR=US&amp;VAR:SYMBOL=COL&amp;VAR:INDEX=0"}</definedName>
    <definedName name="_121__FDSAUDITLINK__" hidden="1">{"fdsup://directions/FAT Viewer?action=UPDATE&amp;creator=factset&amp;DYN_ARGS=TRUE&amp;DOC_NAME=FAT:FQL_AUDITING_CLIENT_TEMPLATE.FAT&amp;display_string=Audit&amp;VAR:KEY=ULMRUHYBCR&amp;VAR:QUERY=RkZfRU5UUlBSX1ZBTF9EQUlMWSgxMC8yNy8yMDEwLCwsLCwnRElMJykvRUNBX01FQU5fRUJJVCgyMDEyLDEwL","zI3LzIwMTAp&amp;WINDOW=FIRST_POPUP&amp;HEIGHT=450&amp;WIDTH=450&amp;START_MAXIMIZED=FALSE&amp;VAR:CALENDAR=US&amp;VAR:SYMBOL=COL&amp;VAR:INDEX=0"}</definedName>
    <definedName name="_122__FDSAUDITLINK__" hidden="1">{"fdsup://directions/FAT Viewer?action=UPDATE&amp;creator=factset&amp;DYN_ARGS=TRUE&amp;DOC_NAME=FAT:FQL_AUDITING_CLIENT_TEMPLATE.FAT&amp;display_string=Audit&amp;VAR:KEY=KFUJANEBYV&amp;VAR:QUERY=RkZfRU5UUlBSX1ZBTF9EQUlMWSgxMC8yNy8yMDEwLCwsLCwnRElMJykvRUNBX01FQU5fRUJJVCgyMDExLDEwL","zI3LzIwMTAp&amp;WINDOW=FIRST_POPUP&amp;HEIGHT=450&amp;WIDTH=450&amp;START_MAXIMIZED=FALSE&amp;VAR:CALENDAR=US&amp;VAR:SYMBOL=COL&amp;VAR:INDEX=0"}</definedName>
    <definedName name="_123__FDSAUDITLINK__" hidden="1">{"fdsup://directions/FAT Viewer?action=UPDATE&amp;creator=factset&amp;DYN_ARGS=TRUE&amp;DOC_NAME=FAT:FQL_AUDITING_CLIENT_TEMPLATE.FAT&amp;display_string=Audit&amp;VAR:KEY=YBKTAJYTUX&amp;VAR:QUERY=RkZfRU5UUlBSX1ZBTF9EQUlMWSgxMC8yNy8yMDEwLCwsLCwnRElMJykvRUNBX01FQU5fRUJJVCgyMDEwLDEwL","zI3LzIwMTAp&amp;WINDOW=FIRST_POPUP&amp;HEIGHT=450&amp;WIDTH=450&amp;START_MAXIMIZED=FALSE&amp;VAR:CALENDAR=US&amp;VAR:SYMBOL=COL&amp;VAR:INDEX=0"}</definedName>
    <definedName name="_124__FDSAUDITLINK__" hidden="1">{"fdsup://directions/FAT Viewer?action=UPDATE&amp;creator=factset&amp;DYN_ARGS=TRUE&amp;DOC_NAME=FAT:FQL_AUDITING_CLIENT_TEMPLATE.FAT&amp;display_string=Audit&amp;VAR:KEY=ANYRUFMBGV&amp;VAR:QUERY=RkZfRU5UUlBSX1ZBTF9EQUlMWSgxMC8yNy8yMDEwLCwsLCwnRElMJykvRUNBX01FQU5fRUJJVERBKDIwMTIsM","TAvMjcvMjAxMCk=&amp;WINDOW=FIRST_POPUP&amp;HEIGHT=450&amp;WIDTH=450&amp;START_MAXIMIZED=FALSE&amp;VAR:CALENDAR=US&amp;VAR:SYMBOL=COL&amp;VAR:INDEX=0"}</definedName>
    <definedName name="_125__FDSAUDITLINK__" hidden="1">{"fdsup://directions/FAT Viewer?action=UPDATE&amp;creator=factset&amp;DYN_ARGS=TRUE&amp;DOC_NAME=FAT:FQL_AUDITING_CLIENT_TEMPLATE.FAT&amp;display_string=Audit&amp;VAR:KEY=KBQVOTCDAF&amp;VAR:QUERY=RkZfRU5UUlBSX1ZBTF9EQUlMWSgxMC8yNy8yMDEwLCwsLCwnRElMJykvRUNBX01FQU5fRUJJVERBKDIwMTEsM","TAvMjcvMjAxMCk=&amp;WINDOW=FIRST_POPUP&amp;HEIGHT=450&amp;WIDTH=450&amp;START_MAXIMIZED=FALSE&amp;VAR:CALENDAR=US&amp;VAR:SYMBOL=COL&amp;VAR:INDEX=0"}</definedName>
    <definedName name="_126__FDSAUDITLINK__" hidden="1">{"fdsup://directions/FAT Viewer?action=UPDATE&amp;creator=factset&amp;DYN_ARGS=TRUE&amp;DOC_NAME=FAT:FQL_AUDITING_CLIENT_TEMPLATE.FAT&amp;display_string=Audit&amp;VAR:KEY=CDIVYVURGF&amp;VAR:QUERY=RkZfRU5UUlBSX1ZBTF9EQUlMWSgxMC8yNy8yMDEwLCwsLCwnRElMJykvRUNBX01FQU5fRUJJVERBKDIwMTAsM","TAvMjcvMjAxMCk=&amp;WINDOW=FIRST_POPUP&amp;HEIGHT=450&amp;WIDTH=450&amp;START_MAXIMIZED=FALSE&amp;VAR:CALENDAR=US&amp;VAR:SYMBOL=COL&amp;VAR:INDEX=0"}</definedName>
    <definedName name="_127__FDSAUDITLINK__" hidden="1">{"fdsup://directions/FAT Viewer?action=UPDATE&amp;creator=factset&amp;DYN_ARGS=TRUE&amp;DOC_NAME=FAT:FQL_AUDITING_CLIENT_TEMPLATE.FAT&amp;display_string=Audit&amp;VAR:KEY=YTCJEJOPGF&amp;VAR:QUERY=RkZfRU5UUlBSX1ZBTF9EQUlMWSgxMC8yNy8yMDEwLCwsLCwnRElMJykvRUNBX01FQU5fU0FMRVMoMjAxMiwxM","C8yNy8yMDEwKQ==&amp;WINDOW=FIRST_POPUP&amp;HEIGHT=450&amp;WIDTH=450&amp;START_MAXIMIZED=FALSE&amp;VAR:CALENDAR=US&amp;VAR:SYMBOL=BEAV&amp;VAR:INDEX=0"}</definedName>
    <definedName name="_128__FDSAUDITLINK__" hidden="1">{"fdsup://directions/FAT Viewer?action=UPDATE&amp;creator=factset&amp;DYN_ARGS=TRUE&amp;DOC_NAME=FAT:FQL_AUDITING_CLIENT_TEMPLATE.FAT&amp;display_string=Audit&amp;VAR:KEY=YVADKRSJAP&amp;VAR:QUERY=RkZfRU5UUlBSX1ZBTF9EQUlMWSgxMC8yNy8yMDEwLCwsLCwnRElMJykvRUNBX01FQU5fU0FMRVMoMjAxMSwxM","C8yNy8yMDEwKQ==&amp;WINDOW=FIRST_POPUP&amp;HEIGHT=450&amp;WIDTH=450&amp;START_MAXIMIZED=FALSE&amp;VAR:CALENDAR=US&amp;VAR:SYMBOL=BEAV&amp;VAR:INDEX=0"}</definedName>
    <definedName name="_129__FDSAUDITLINK__" hidden="1">{"fdsup://directions/FAT Viewer?action=UPDATE&amp;creator=factset&amp;DYN_ARGS=TRUE&amp;DOC_NAME=FAT:FQL_AUDITING_CLIENT_TEMPLATE.FAT&amp;display_string=Audit&amp;VAR:KEY=OFOPELWVYB&amp;VAR:QUERY=RkZfRU5UUlBSX1ZBTF9EQUlMWSgxMC8yNy8yMDEwLCwsLCwnRElMJykvRUNBX01FQU5fU0FMRVMoMjAxMCwxM","C8yNy8yMDEwKQ==&amp;WINDOW=FIRST_POPUP&amp;HEIGHT=450&amp;WIDTH=450&amp;START_MAXIMIZED=FALSE&amp;VAR:CALENDAR=US&amp;VAR:SYMBOL=BEAV&amp;VAR:INDEX=0"}</definedName>
    <definedName name="_13__123Graph_Dｸﾞﾗﾌ_1" hidden="1">[2]ｾｸﾞﾒﾝﾄ!$E$167:$I$167</definedName>
    <definedName name="_13__FDSAUDITLINK__" hidden="1">{"fdsup://directions/FAT Viewer?action=UPDATE&amp;creator=factset&amp;DYN_ARGS=TRUE&amp;DOC_NAME=FAT:FQL_AUDITING_CLIENT_TEMPLATE.FAT&amp;display_string=Audit&amp;VAR:KEY=KLEJQHIDEX&amp;VAR:QUERY=RkZfRU5UUlBSX1ZBTF9EQUlMWSgwNy8yNi8yMDExLCwsLCwnRElMJykvRUNBX01FQU5fRUJJVCgyMDEyLDA3L","zI2LzIwMTEp&amp;WINDOW=FIRST_POPUP&amp;HEIGHT=450&amp;WIDTH=450&amp;START_MAXIMIZED=FALSE&amp;VAR:CALENDAR=FIVEDAY&amp;VAR:SYMBOL=PCP&amp;VAR:INDEX=0"}</definedName>
    <definedName name="_130__FDSAUDITLINK__" hidden="1">{"fdsup://directions/FAT Viewer?action=UPDATE&amp;creator=factset&amp;DYN_ARGS=TRUE&amp;DOC_NAME=FAT:FQL_AUDITING_CLIENT_TEMPLATE.FAT&amp;display_string=Audit&amp;VAR:KEY=ANQTKTUVQB&amp;VAR:QUERY=RkZfRU5UUlBSX1ZBTF9EQUlMWSgxMC8yNy8yMDEwLCwsLCwnRElMJykvRUNBX01FQU5fRUJJVCgyMDEyLDEwL","zI3LzIwMTAp&amp;WINDOW=FIRST_POPUP&amp;HEIGHT=450&amp;WIDTH=450&amp;START_MAXIMIZED=FALSE&amp;VAR:CALENDAR=US&amp;VAR:SYMBOL=BEAV&amp;VAR:INDEX=0"}</definedName>
    <definedName name="_131__FDSAUDITLINK__" hidden="1">{"fdsup://directions/FAT Viewer?action=UPDATE&amp;creator=factset&amp;DYN_ARGS=TRUE&amp;DOC_NAME=FAT:FQL_AUDITING_CLIENT_TEMPLATE.FAT&amp;display_string=Audit&amp;VAR:KEY=CJSBALYBQL&amp;VAR:QUERY=RkZfRU5UUlBSX1ZBTF9EQUlMWSgxMC8yNy8yMDEwLCwsLCwnRElMJykvRUNBX01FQU5fRUJJVCgyMDExLDEwL","zI3LzIwMTAp&amp;WINDOW=FIRST_POPUP&amp;HEIGHT=450&amp;WIDTH=450&amp;START_MAXIMIZED=FALSE&amp;VAR:CALENDAR=US&amp;VAR:SYMBOL=BEAV&amp;VAR:INDEX=0"}</definedName>
    <definedName name="_132__FDSAUDITLINK__" hidden="1">{"fdsup://directions/FAT Viewer?action=UPDATE&amp;creator=factset&amp;DYN_ARGS=TRUE&amp;DOC_NAME=FAT:FQL_AUDITING_CLIENT_TEMPLATE.FAT&amp;display_string=Audit&amp;VAR:KEY=OTGZKBCPIT&amp;VAR:QUERY=RkZfRU5UUlBSX1ZBTF9EQUlMWSgxMC8yNy8yMDEwLCwsLCwnRElMJykvRUNBX01FQU5fRUJJVCgyMDEwLDEwL","zI3LzIwMTAp&amp;WINDOW=FIRST_POPUP&amp;HEIGHT=450&amp;WIDTH=450&amp;START_MAXIMIZED=FALSE&amp;VAR:CALENDAR=US&amp;VAR:SYMBOL=BEAV&amp;VAR:INDEX=0"}</definedName>
    <definedName name="_133__FDSAUDITLINK__" hidden="1">{"fdsup://directions/FAT Viewer?action=UPDATE&amp;creator=factset&amp;DYN_ARGS=TRUE&amp;DOC_NAME=FAT:FQL_AUDITING_CLIENT_TEMPLATE.FAT&amp;display_string=Audit&amp;VAR:KEY=SVKDQLQLYH&amp;VAR:QUERY=RkZfRU5UUlBSX1ZBTF9EQUlMWSgxMC8yNy8yMDEwLCwsLCwnRElMJykvRUNBX01FQU5fRUJJVERBKDIwMTIsM","TAvMjcvMjAxMCk=&amp;WINDOW=FIRST_POPUP&amp;HEIGHT=450&amp;WIDTH=450&amp;START_MAXIMIZED=FALSE&amp;VAR:CALENDAR=US&amp;VAR:SYMBOL=BEAV&amp;VAR:INDEX=0"}</definedName>
    <definedName name="_134__FDSAUDITLINK__" hidden="1">{"fdsup://directions/FAT Viewer?action=UPDATE&amp;creator=factset&amp;DYN_ARGS=TRUE&amp;DOC_NAME=FAT:FQL_AUDITING_CLIENT_TEMPLATE.FAT&amp;display_string=Audit&amp;VAR:KEY=QFEDKDYHED&amp;VAR:QUERY=RkZfRU5UUlBSX1ZBTF9EQUlMWSgxMC8yNy8yMDEwLCwsLCwnRElMJykvRUNBX01FQU5fRUJJVERBKDIwMTEsM","TAvMjcvMjAxMCk=&amp;WINDOW=FIRST_POPUP&amp;HEIGHT=450&amp;WIDTH=450&amp;START_MAXIMIZED=FALSE&amp;VAR:CALENDAR=US&amp;VAR:SYMBOL=BEAV&amp;VAR:INDEX=0"}</definedName>
    <definedName name="_135__FDSAUDITLINK__" hidden="1">{"fdsup://directions/FAT Viewer?action=UPDATE&amp;creator=factset&amp;DYN_ARGS=TRUE&amp;DOC_NAME=FAT:FQL_AUDITING_CLIENT_TEMPLATE.FAT&amp;display_string=Audit&amp;VAR:KEY=SPQZMRAPSZ&amp;VAR:QUERY=RkZfRU5UUlBSX1ZBTF9EQUlMWSgxMC8yNy8yMDEwLCwsLCwnRElMJykvRUNBX01FQU5fRUJJVERBKDIwMTAsM","TAvMjcvMjAxMCk=&amp;WINDOW=FIRST_POPUP&amp;HEIGHT=450&amp;WIDTH=450&amp;START_MAXIMIZED=FALSE&amp;VAR:CALENDAR=US&amp;VAR:SYMBOL=BEAV&amp;VAR:INDEX=0"}</definedName>
    <definedName name="_136__FDSAUDITLINK__" hidden="1">{"fdsup://directions/FAT Viewer?action=UPDATE&amp;creator=factset&amp;DYN_ARGS=TRUE&amp;DOC_NAME=FAT:FQL_AUDITING_CLIENT_TEMPLATE.FAT&amp;display_string=Audit&amp;VAR:KEY=QHQNSVQDCL&amp;VAR:QUERY=RkZfRU5UUlBSX1ZBTF9EQUlMWSgwMS8xMS8yMDExLCwsLCwnRElMJykvRUNBX01FQU5fU0FMRVMoMjAxMiwwM","S8xMS8yMDExKQ==&amp;WINDOW=FIRST_POPUP&amp;HEIGHT=450&amp;WIDTH=450&amp;START_MAXIMIZED=FALSE&amp;VAR:CALENDAR=US&amp;VAR:SYMBOL=057580&amp;VAR:INDEX=0"}</definedName>
    <definedName name="_137__FDSAUDITLINK__" hidden="1">{"fdsup://directions/FAT Viewer?action=UPDATE&amp;creator=factset&amp;DYN_ARGS=TRUE&amp;DOC_NAME=FAT:FQL_AUDITING_CLIENT_TEMPLATE.FAT&amp;display_string=Audit&amp;VAR:KEY=ENCHUBGRUV&amp;VAR:QUERY=RkZfRU5UUlBSX1ZBTF9EQUlMWSgwMS8xMS8yMDExLCwsLCwnRElMJykvRUNBX01FQU5fU0FMRVMoMjAxMSwwM","S8xMS8yMDExKQ==&amp;WINDOW=FIRST_POPUP&amp;HEIGHT=450&amp;WIDTH=450&amp;START_MAXIMIZED=FALSE&amp;VAR:CALENDAR=US&amp;VAR:SYMBOL=057580&amp;VAR:INDEX=0"}</definedName>
    <definedName name="_138__FDSAUDITLINK__" hidden="1">{"fdsup://directions/FAT Viewer?action=UPDATE&amp;creator=factset&amp;DYN_ARGS=TRUE&amp;DOC_NAME=FAT:FQL_AUDITING_CLIENT_TEMPLATE.FAT&amp;display_string=Audit&amp;VAR:KEY=UJEFKHYZOF&amp;VAR:QUERY=RkZfRU5UUlBSX1ZBTF9EQUlMWSgwMS8xMS8yMDExLCwsLCwnRElMJykvRUNBX01FQU5fU0FMRVMoMjAxMCwwM","S8xMS8yMDExKQ==&amp;WINDOW=FIRST_POPUP&amp;HEIGHT=450&amp;WIDTH=450&amp;START_MAXIMIZED=FALSE&amp;VAR:CALENDAR=US&amp;VAR:SYMBOL=057580&amp;VAR:INDEX=0"}</definedName>
    <definedName name="_139__FDSAUDITLINK__" hidden="1">{"fdsup://directions/FAT Viewer?action=UPDATE&amp;creator=factset&amp;DYN_ARGS=TRUE&amp;DOC_NAME=FAT:FQL_AUDITING_CLIENT_TEMPLATE.FAT&amp;display_string=Audit&amp;VAR:KEY=ATYHCXQJCR&amp;VAR:QUERY=RkZfRU5UUlBSX1ZBTF9EQUlMWSgwMS8xMS8yMDExLCwsLCwnRElMJykvRUNBX01FQU5fRUJJVCgyMDEyLDAxL","zExLzIwMTEp&amp;WINDOW=FIRST_POPUP&amp;HEIGHT=450&amp;WIDTH=450&amp;START_MAXIMIZED=FALSE&amp;VAR:CALENDAR=US&amp;VAR:SYMBOL=057580&amp;VAR:INDEX=0"}</definedName>
    <definedName name="_14__123Graph_XCHART_2E" hidden="1">[1]Aerospace!$A$342:$A$374</definedName>
    <definedName name="_14__FDSAUDITLINK__" hidden="1">{"fdsup://directions/FAT Viewer?action=UPDATE&amp;creator=factset&amp;DYN_ARGS=TRUE&amp;DOC_NAME=FAT:FQL_AUDITING_CLIENT_TEMPLATE.FAT&amp;display_string=Audit&amp;VAR:KEY=OVGJKNKRKZ&amp;VAR:QUERY=RkZfRU5UUlBSX1ZBTF9EQUlMWSgwNy8yNi8yMDExLCwsLCwnRElMJykvRUNBX01FQU5fRUJJVCgyMDExLDA3L","zI2LzIwMTEp&amp;WINDOW=FIRST_POPUP&amp;HEIGHT=450&amp;WIDTH=450&amp;START_MAXIMIZED=FALSE&amp;VAR:CALENDAR=FIVEDAY&amp;VAR:SYMBOL=PCP&amp;VAR:INDEX=0"}</definedName>
    <definedName name="_140__FDSAUDITLINK__" hidden="1">{"fdsup://directions/FAT Viewer?action=UPDATE&amp;creator=factset&amp;DYN_ARGS=TRUE&amp;DOC_NAME=FAT:FQL_AUDITING_CLIENT_TEMPLATE.FAT&amp;display_string=Audit&amp;VAR:KEY=IJOJEFWHKJ&amp;VAR:QUERY=RkZfRU5UUlBSX1ZBTF9EQUlMWSgwMS8xMS8yMDExLCwsLCwnRElMJykvRUNBX01FQU5fRUJJVCgyMDExLDAxL","zExLzIwMTEp&amp;WINDOW=FIRST_POPUP&amp;HEIGHT=450&amp;WIDTH=450&amp;START_MAXIMIZED=FALSE&amp;VAR:CALENDAR=US&amp;VAR:SYMBOL=057580&amp;VAR:INDEX=0"}</definedName>
    <definedName name="_141__FDSAUDITLINK__" hidden="1">{"fdsup://directions/FAT Viewer?action=UPDATE&amp;creator=factset&amp;DYN_ARGS=TRUE&amp;DOC_NAME=FAT:FQL_AUDITING_CLIENT_TEMPLATE.FAT&amp;display_string=Audit&amp;VAR:KEY=QZIVWXWRON&amp;VAR:QUERY=RkZfRU5UUlBSX1ZBTF9EQUlMWSgwMS8xMS8yMDExLCwsLCwnRElMJykvRUNBX01FQU5fRUJJVCgyMDEwLDAxL","zExLzIwMTEp&amp;WINDOW=FIRST_POPUP&amp;HEIGHT=450&amp;WIDTH=450&amp;START_MAXIMIZED=FALSE&amp;VAR:CALENDAR=US&amp;VAR:SYMBOL=057580&amp;VAR:INDEX=0"}</definedName>
    <definedName name="_142__FDSAUDITLINK__" hidden="1">{"fdsup://directions/FAT Viewer?action=UPDATE&amp;creator=factset&amp;DYN_ARGS=TRUE&amp;DOC_NAME=FAT:FQL_AUDITING_CLIENT_TEMPLATE.FAT&amp;display_string=Audit&amp;VAR:KEY=YLMNSTSTAR&amp;VAR:QUERY=RkZfRU5UUlBSX1ZBTF9EQUlMWSgwMS8xMS8yMDExLCwsLCwnRElMJykvRUNBX01FQU5fRUJJVERBKDIwMTIsM","DEvMTEvMjAxMSk=&amp;WINDOW=FIRST_POPUP&amp;HEIGHT=450&amp;WIDTH=450&amp;START_MAXIMIZED=FALSE&amp;VAR:CALENDAR=US&amp;VAR:SYMBOL=057580&amp;VAR:INDEX=0"}</definedName>
    <definedName name="_143__FDSAUDITLINK__" hidden="1">{"fdsup://directions/FAT Viewer?action=UPDATE&amp;creator=factset&amp;DYN_ARGS=TRUE&amp;DOC_NAME=FAT:FQL_AUDITING_CLIENT_TEMPLATE.FAT&amp;display_string=Audit&amp;VAR:KEY=WNCDIPQNUN&amp;VAR:QUERY=RkZfRU5UUlBSX1ZBTF9EQUlMWSgwMS8xMS8yMDExLCwsLCwnRElMJykvRUNBX01FQU5fRUJJVERBKDIwMTEsM","DEvMTEvMjAxMSk=&amp;WINDOW=FIRST_POPUP&amp;HEIGHT=450&amp;WIDTH=450&amp;START_MAXIMIZED=FALSE&amp;VAR:CALENDAR=US&amp;VAR:SYMBOL=057580&amp;VAR:INDEX=0"}</definedName>
    <definedName name="_144__FDSAUDITLINK__" hidden="1">{"fdsup://directions/FAT Viewer?action=UPDATE&amp;creator=factset&amp;DYN_ARGS=TRUE&amp;DOC_NAME=FAT:FQL_AUDITING_CLIENT_TEMPLATE.FAT&amp;display_string=Audit&amp;VAR:KEY=CNUVYLELSV&amp;VAR:QUERY=RkZfRU5UUlBSX1ZBTF9EQUlMWSgwMS8xMS8yMDExLCwsLCwnRElMJykvRUNBX01FQU5fRUJJVERBKDIwMTAsM","DEvMTEvMjAxMSk=&amp;WINDOW=FIRST_POPUP&amp;HEIGHT=450&amp;WIDTH=450&amp;START_MAXIMIZED=FALSE&amp;VAR:CALENDAR=US&amp;VAR:SYMBOL=057580&amp;VAR:INDEX=0"}</definedName>
    <definedName name="_145__FDSAUDITLINK__" hidden="1">{"fdsup://directions/FAT Viewer?action=UPDATE&amp;creator=factset&amp;DYN_ARGS=TRUE&amp;DOC_NAME=FAT:FQL_AUDITING_CLIENT_TEMPLATE.FAT&amp;display_string=Audit&amp;VAR:KEY=GVYVWFUVCH&amp;VAR:QUERY=RkZfRU5UUlBSX1ZBTF9EQUlMWSgwMS8xMS8yMDExLCwsLCwnRElMJykvRUNBX01FQU5fU0FMRVMoMjAxMiwwM","S8xMS8yMDExKQ==&amp;WINDOW=FIRST_POPUP&amp;HEIGHT=450&amp;WIDTH=450&amp;START_MAXIMIZED=FALSE&amp;VAR:CALENDAR=US&amp;VAR:SYMBOL=PCP&amp;VAR:INDEX=0"}</definedName>
    <definedName name="_146__FDSAUDITLINK__" hidden="1">{"fdsup://directions/FAT Viewer?action=UPDATE&amp;creator=factset&amp;DYN_ARGS=TRUE&amp;DOC_NAME=FAT:FQL_AUDITING_CLIENT_TEMPLATE.FAT&amp;display_string=Audit&amp;VAR:KEY=IJQLSJWHWZ&amp;VAR:QUERY=RkZfRU5UUlBSX1ZBTF9EQUlMWSgwMS8xMS8yMDExLCwsLCwnRElMJykvRUNBX01FQU5fU0FMRVMoMjAxMSwwM","S8xMS8yMDExKQ==&amp;WINDOW=FIRST_POPUP&amp;HEIGHT=450&amp;WIDTH=450&amp;START_MAXIMIZED=FALSE&amp;VAR:CALENDAR=US&amp;VAR:SYMBOL=PCP&amp;VAR:INDEX=0"}</definedName>
    <definedName name="_147__FDSAUDITLINK__" hidden="1">{"fdsup://directions/FAT Viewer?action=UPDATE&amp;creator=factset&amp;DYN_ARGS=TRUE&amp;DOC_NAME=FAT:FQL_AUDITING_CLIENT_TEMPLATE.FAT&amp;display_string=Audit&amp;VAR:KEY=OVIHODYJSL&amp;VAR:QUERY=RkZfRU5UUlBSX1ZBTF9EQUlMWSgwMS8xMS8yMDExLCwsLCwnRElMJykvRUNBX01FQU5fU0FMRVMoMjAxMCwwM","S8xMS8yMDExKQ==&amp;WINDOW=FIRST_POPUP&amp;HEIGHT=450&amp;WIDTH=450&amp;START_MAXIMIZED=FALSE&amp;VAR:CALENDAR=US&amp;VAR:SYMBOL=PCP&amp;VAR:INDEX=0"}</definedName>
    <definedName name="_148__FDSAUDITLINK__" hidden="1">{"fdsup://directions/FAT Viewer?action=UPDATE&amp;creator=factset&amp;DYN_ARGS=TRUE&amp;DOC_NAME=FAT:FQL_AUDITING_CLIENT_TEMPLATE.FAT&amp;display_string=Audit&amp;VAR:KEY=YDYVCTWBAZ&amp;VAR:QUERY=RkZfRU5UUlBSX1ZBTF9EQUlMWSgwMS8xMS8yMDExLCwsLCwnRElMJykvRUNBX01FQU5fRUJJVCgyMDEyLDAxL","zExLzIwMTEp&amp;WINDOW=FIRST_POPUP&amp;HEIGHT=450&amp;WIDTH=450&amp;START_MAXIMIZED=FALSE&amp;VAR:CALENDAR=US&amp;VAR:SYMBOL=PCP&amp;VAR:INDEX=0"}</definedName>
    <definedName name="_149__FDSAUDITLINK__" hidden="1">{"fdsup://directions/FAT Viewer?action=UPDATE&amp;creator=factset&amp;DYN_ARGS=TRUE&amp;DOC_NAME=FAT:FQL_AUDITING_CLIENT_TEMPLATE.FAT&amp;display_string=Audit&amp;VAR:KEY=MRMZSJYBOT&amp;VAR:QUERY=RkZfRU5UUlBSX1ZBTF9EQUlMWSgwMS8xMS8yMDExLCwsLCwnRElMJykvRUNBX01FQU5fRUJJVCgyMDExLDAxL","zExLzIwMTEp&amp;WINDOW=FIRST_POPUP&amp;HEIGHT=450&amp;WIDTH=450&amp;START_MAXIMIZED=FALSE&amp;VAR:CALENDAR=US&amp;VAR:SYMBOL=PCP&amp;VAR:INDEX=0"}</definedName>
    <definedName name="_15__FDSAUDITLINK__" hidden="1">{"fdsup://directions/FAT Viewer?action=UPDATE&amp;creator=factset&amp;DYN_ARGS=TRUE&amp;DOC_NAME=FAT:FQL_AUDITING_CLIENT_TEMPLATE.FAT&amp;display_string=Audit&amp;VAR:KEY=ODWHYHEJGN&amp;VAR:QUERY=RkZfRU5UUlBSX1ZBTF9EQUlMWSgwNy8yNi8yMDExLCwsLCwnRElMJykvRUNBX01FQU5fRUJJVCgyMDEwLDA3L","zI2LzIwMTEp&amp;WINDOW=FIRST_POPUP&amp;HEIGHT=450&amp;WIDTH=450&amp;START_MAXIMIZED=FALSE&amp;VAR:CALENDAR=FIVEDAY&amp;VAR:SYMBOL=PCP&amp;VAR:INDEX=0"}</definedName>
    <definedName name="_150__FDSAUDITLINK__" hidden="1">{"fdsup://directions/FAT Viewer?action=UPDATE&amp;creator=factset&amp;DYN_ARGS=TRUE&amp;DOC_NAME=FAT:FQL_AUDITING_CLIENT_TEMPLATE.FAT&amp;display_string=Audit&amp;VAR:KEY=UNGTWNWBWR&amp;VAR:QUERY=RkZfRU5UUlBSX1ZBTF9EQUlMWSgwMS8xMS8yMDExLCwsLCwnRElMJykvRUNBX01FQU5fRUJJVCgyMDEwLDAxL","zExLzIwMTEp&amp;WINDOW=FIRST_POPUP&amp;HEIGHT=450&amp;WIDTH=450&amp;START_MAXIMIZED=FALSE&amp;VAR:CALENDAR=US&amp;VAR:SYMBOL=PCP&amp;VAR:INDEX=0"}</definedName>
    <definedName name="_151__FDSAUDITLINK__" hidden="1">{"fdsup://directions/FAT Viewer?action=UPDATE&amp;creator=factset&amp;DYN_ARGS=TRUE&amp;DOC_NAME=FAT:FQL_AUDITING_CLIENT_TEMPLATE.FAT&amp;display_string=Audit&amp;VAR:KEY=YTAJKVOBEP&amp;VAR:QUERY=RkZfRU5UUlBSX1ZBTF9EQUlMWSgwMS8xMS8yMDExLCwsLCwnRElMJykvRUNBX01FQU5fRUJJVERBKDIwMTIsM","DEvMTEvMjAxMSk=&amp;WINDOW=FIRST_POPUP&amp;HEIGHT=450&amp;WIDTH=450&amp;START_MAXIMIZED=FALSE&amp;VAR:CALENDAR=US&amp;VAR:SYMBOL=PCP&amp;VAR:INDEX=0"}</definedName>
    <definedName name="_152__FDSAUDITLINK__" hidden="1">{"fdsup://directions/FAT Viewer?action=UPDATE&amp;creator=factset&amp;DYN_ARGS=TRUE&amp;DOC_NAME=FAT:FQL_AUDITING_CLIENT_TEMPLATE.FAT&amp;display_string=Audit&amp;VAR:KEY=UNEBYVSXMH&amp;VAR:QUERY=RkZfRU5UUlBSX1ZBTF9EQUlMWSgwMS8xMS8yMDExLCwsLCwnRElMJykvRUNBX01FQU5fRUJJVERBKDIwMTEsM","DEvMTEvMjAxMSk=&amp;WINDOW=FIRST_POPUP&amp;HEIGHT=450&amp;WIDTH=450&amp;START_MAXIMIZED=FALSE&amp;VAR:CALENDAR=US&amp;VAR:SYMBOL=PCP&amp;VAR:INDEX=0"}</definedName>
    <definedName name="_153__FDSAUDITLINK__" hidden="1">{"fdsup://directions/FAT Viewer?action=UPDATE&amp;creator=factset&amp;DYN_ARGS=TRUE&amp;DOC_NAME=FAT:FQL_AUDITING_CLIENT_TEMPLATE.FAT&amp;display_string=Audit&amp;VAR:KEY=GTIZSPITKZ&amp;VAR:QUERY=RkZfRU5UUlBSX1ZBTF9EQUlMWSgwMS8xMS8yMDExLCwsLCwnRElMJykvRUNBX01FQU5fRUJJVERBKDIwMTAsM","DEvMTEvMjAxMSk=&amp;WINDOW=FIRST_POPUP&amp;HEIGHT=450&amp;WIDTH=450&amp;START_MAXIMIZED=FALSE&amp;VAR:CALENDAR=US&amp;VAR:SYMBOL=PCP&amp;VAR:INDEX=0"}</definedName>
    <definedName name="_154__FDSAUDITLINK__" hidden="1">{"fdsup://directions/FAT Viewer?action=UPDATE&amp;creator=factset&amp;DYN_ARGS=TRUE&amp;DOC_NAME=FAT:FQL_AUDITING_CLIENT_TEMPLATE.FAT&amp;display_string=Audit&amp;VAR:KEY=WVWXGJQNMT&amp;VAR:QUERY=RkZfRU5UUlBSX1ZBTF9EQUlMWSgwMS8xMS8yMDExLCwsLCwnRElMJykvRUNBX01FQU5fU0FMRVMoMjAxMiwwM","S8xMS8yMDExKQ==&amp;WINDOW=FIRST_POPUP&amp;HEIGHT=450&amp;WIDTH=450&amp;START_MAXIMIZED=FALSE&amp;VAR:CALENDAR=US&amp;VAR:SYMBOL=MOG.A&amp;VAR:INDEX=0"}</definedName>
    <definedName name="_155__FDSAUDITLINK__" hidden="1">{"fdsup://directions/FAT Viewer?action=UPDATE&amp;creator=factset&amp;DYN_ARGS=TRUE&amp;DOC_NAME=FAT:FQL_AUDITING_CLIENT_TEMPLATE.FAT&amp;display_string=Audit&amp;VAR:KEY=IHYTENQZAB&amp;VAR:QUERY=RkZfRU5UUlBSX1ZBTF9EQUlMWSgwMS8xMS8yMDExLCwsLCwnRElMJykvRUNBX01FQU5fU0FMRVMoMjAxMSwwM","S8xMS8yMDExKQ==&amp;WINDOW=FIRST_POPUP&amp;HEIGHT=450&amp;WIDTH=450&amp;START_MAXIMIZED=FALSE&amp;VAR:CALENDAR=US&amp;VAR:SYMBOL=MOG.A&amp;VAR:INDEX=0"}</definedName>
    <definedName name="_156__FDSAUDITLINK__" hidden="1">{"fdsup://directions/FAT Viewer?action=UPDATE&amp;creator=factset&amp;DYN_ARGS=TRUE&amp;DOC_NAME=FAT:FQL_AUDITING_CLIENT_TEMPLATE.FAT&amp;display_string=Audit&amp;VAR:KEY=CJWXABSZEL&amp;VAR:QUERY=RkZfRU5UUlBSX1ZBTF9EQUlMWSgwMS8xMS8yMDExLCwsLCwnRElMJykvRUNBX01FQU5fU0FMRVMoMjAxMCwwM","S8xMS8yMDExKQ==&amp;WINDOW=FIRST_POPUP&amp;HEIGHT=450&amp;WIDTH=450&amp;START_MAXIMIZED=FALSE&amp;VAR:CALENDAR=US&amp;VAR:SYMBOL=MOG.A&amp;VAR:INDEX=0"}</definedName>
    <definedName name="_157__FDSAUDITLINK__" hidden="1">{"fdsup://directions/FAT Viewer?action=UPDATE&amp;creator=factset&amp;DYN_ARGS=TRUE&amp;DOC_NAME=FAT:FQL_AUDITING_CLIENT_TEMPLATE.FAT&amp;display_string=Audit&amp;VAR:KEY=MBQDQFILAH&amp;VAR:QUERY=RkZfRU5UUlBSX1ZBTF9EQUlMWSgwMS8xMS8yMDExLCwsLCwnRElMJykvRUNBX01FQU5fRUJJVCgyMDEyLDAxL","zExLzIwMTEp&amp;WINDOW=FIRST_POPUP&amp;HEIGHT=450&amp;WIDTH=450&amp;START_MAXIMIZED=FALSE&amp;VAR:CALENDAR=US&amp;VAR:SYMBOL=MOG.A&amp;VAR:INDEX=0"}</definedName>
    <definedName name="_158__FDSAUDITLINK__" hidden="1">{"fdsup://directions/FAT Viewer?action=UPDATE&amp;creator=factset&amp;DYN_ARGS=TRUE&amp;DOC_NAME=FAT:FQL_AUDITING_CLIENT_TEMPLATE.FAT&amp;display_string=Audit&amp;VAR:KEY=ANKHMTUVGT&amp;VAR:QUERY=RkZfRU5UUlBSX1ZBTF9EQUlMWSgwMS8xMS8yMDExLCwsLCwnRElMJykvRUNBX01FQU5fRUJJVCgyMDExLDAxL","zExLzIwMTEp&amp;WINDOW=FIRST_POPUP&amp;HEIGHT=450&amp;WIDTH=450&amp;START_MAXIMIZED=FALSE&amp;VAR:CALENDAR=US&amp;VAR:SYMBOL=MOG.A&amp;VAR:INDEX=0"}</definedName>
    <definedName name="_159__FDSAUDITLINK__" hidden="1">{"fdsup://directions/FAT Viewer?action=UPDATE&amp;creator=factset&amp;DYN_ARGS=TRUE&amp;DOC_NAME=FAT:FQL_AUDITING_CLIENT_TEMPLATE.FAT&amp;display_string=Audit&amp;VAR:KEY=AXWPKPATQP&amp;VAR:QUERY=RkZfRU5UUlBSX1ZBTF9EQUlMWSgwMS8xMS8yMDExLCwsLCwnRElMJykvRUNBX01FQU5fRUJJVCgyMDEwLDAxL","zExLzIwMTEp&amp;WINDOW=FIRST_POPUP&amp;HEIGHT=450&amp;WIDTH=450&amp;START_MAXIMIZED=FALSE&amp;VAR:CALENDAR=US&amp;VAR:SYMBOL=MOG.A&amp;VAR:INDEX=0"}</definedName>
    <definedName name="_16__123Graph_Bｸﾞﾗﾌ_1" hidden="1">[2]ｾｸﾞﾒﾝﾄ!$E$165:$I$165</definedName>
    <definedName name="_16__FDSAUDITLINK__" hidden="1">{"fdsup://directions/FAT Viewer?action=UPDATE&amp;creator=factset&amp;DYN_ARGS=TRUE&amp;DOC_NAME=FAT:FQL_AUDITING_CLIENT_TEMPLATE.FAT&amp;display_string=Audit&amp;VAR:KEY=GTAVKJIZEX&amp;VAR:QUERY=RkZfRU5UUlBSX1ZBTF9EQUlMWSgwNy8yNi8yMDExLCwsLCwnRElMJykvRUNBX01FQU5fRUJJVERBKDIwMTIsM","DcvMjYvMjAxMSk=&amp;WINDOW=FIRST_POPUP&amp;HEIGHT=450&amp;WIDTH=450&amp;START_MAXIMIZED=FALSE&amp;VAR:CALENDAR=FIVEDAY&amp;VAR:SYMBOL=PCP&amp;VAR:INDEX=0"}</definedName>
    <definedName name="_160__FDSAUDITLINK__" hidden="1">{"fdsup://directions/FAT Viewer?action=UPDATE&amp;creator=factset&amp;DYN_ARGS=TRUE&amp;DOC_NAME=FAT:FQL_AUDITING_CLIENT_TEMPLATE.FAT&amp;display_string=Audit&amp;VAR:KEY=AJUHMDWJMX&amp;VAR:QUERY=RkZfRU5UUlBSX1ZBTF9EQUlMWSgwMS8xMS8yMDExLCwsLCwnRElMJykvRUNBX01FQU5fRUJJVERBKDIwMTIsM","DEvMTEvMjAxMSk=&amp;WINDOW=FIRST_POPUP&amp;HEIGHT=450&amp;WIDTH=450&amp;START_MAXIMIZED=FALSE&amp;VAR:CALENDAR=US&amp;VAR:SYMBOL=MOG.A&amp;VAR:INDEX=0"}</definedName>
    <definedName name="_161__FDSAUDITLINK__" hidden="1">{"fdsup://directions/FAT Viewer?action=UPDATE&amp;creator=factset&amp;DYN_ARGS=TRUE&amp;DOC_NAME=FAT:FQL_AUDITING_CLIENT_TEMPLATE.FAT&amp;display_string=Audit&amp;VAR:KEY=QBQJOLWJUZ&amp;VAR:QUERY=RkZfRU5UUlBSX1ZBTF9EQUlMWSgwMS8xMS8yMDExLCwsLCwnRElMJykvRUNBX01FQU5fRUJJVERBKDIwMTEsM","DEvMTEvMjAxMSk=&amp;WINDOW=FIRST_POPUP&amp;HEIGHT=450&amp;WIDTH=450&amp;START_MAXIMIZED=FALSE&amp;VAR:CALENDAR=US&amp;VAR:SYMBOL=MOG.A&amp;VAR:INDEX=0"}</definedName>
    <definedName name="_162__FDSAUDITLINK__" hidden="1">{"fdsup://directions/FAT Viewer?action=UPDATE&amp;creator=factset&amp;DYN_ARGS=TRUE&amp;DOC_NAME=FAT:FQL_AUDITING_CLIENT_TEMPLATE.FAT&amp;display_string=Audit&amp;VAR:KEY=UJIXUNQRWZ&amp;VAR:QUERY=RkZfRU5UUlBSX1ZBTF9EQUlMWSgwMS8xMS8yMDExLCwsLCwnRElMJykvRUNBX01FQU5fRUJJVERBKDIwMTAsM","DEvMTEvMjAxMSk=&amp;WINDOW=FIRST_POPUP&amp;HEIGHT=450&amp;WIDTH=450&amp;START_MAXIMIZED=FALSE&amp;VAR:CALENDAR=US&amp;VAR:SYMBOL=MOG.A&amp;VAR:INDEX=0"}</definedName>
    <definedName name="_163__FDSAUDITLINK__" hidden="1">{"fdsup://directions/FAT Viewer?action=UPDATE&amp;creator=factset&amp;DYN_ARGS=TRUE&amp;DOC_NAME=FAT:FQL_AUDITING_CLIENT_TEMPLATE.FAT&amp;display_string=Audit&amp;VAR:KEY=MZKXWJWPOZ&amp;VAR:QUERY=RkZfRU5UUlBSX1ZBTF9EQUlMWSgwMS8xMS8yMDExLCwsLCwnRElMJykvRUNBX01FQU5fU0FMRVMoMjAxMiwwM","S8xMS8yMDExKQ==&amp;WINDOW=FIRST_POPUP&amp;HEIGHT=450&amp;WIDTH=450&amp;START_MAXIMIZED=FALSE&amp;VAR:CALENDAR=US&amp;VAR:SYMBOL=COL&amp;VAR:INDEX=0"}</definedName>
    <definedName name="_164__FDSAUDITLINK__" hidden="1">{"fdsup://directions/FAT Viewer?action=UPDATE&amp;creator=factset&amp;DYN_ARGS=TRUE&amp;DOC_NAME=FAT:FQL_AUDITING_CLIENT_TEMPLATE.FAT&amp;display_string=Audit&amp;VAR:KEY=ERKXEJEFUZ&amp;VAR:QUERY=RkZfRU5UUlBSX1ZBTF9EQUlMWSgwMS8xMS8yMDExLCwsLCwnRElMJykvRUNBX01FQU5fU0FMRVMoMjAxMSwwM","S8xMS8yMDExKQ==&amp;WINDOW=FIRST_POPUP&amp;HEIGHT=450&amp;WIDTH=450&amp;START_MAXIMIZED=FALSE&amp;VAR:CALENDAR=US&amp;VAR:SYMBOL=COL&amp;VAR:INDEX=0"}</definedName>
    <definedName name="_165__FDSAUDITLINK__" hidden="1">{"fdsup://directions/FAT Viewer?action=UPDATE&amp;creator=factset&amp;DYN_ARGS=TRUE&amp;DOC_NAME=FAT:FQL_AUDITING_CLIENT_TEMPLATE.FAT&amp;display_string=Audit&amp;VAR:KEY=MRQNGPEPCN&amp;VAR:QUERY=RkZfRU5UUlBSX1ZBTF9EQUlMWSgwMS8xMS8yMDExLCwsLCwnRElMJykvRUNBX01FQU5fU0FMRVMoMjAxMCwwM","S8xMS8yMDExKQ==&amp;WINDOW=FIRST_POPUP&amp;HEIGHT=450&amp;WIDTH=450&amp;START_MAXIMIZED=FALSE&amp;VAR:CALENDAR=US&amp;VAR:SYMBOL=COL&amp;VAR:INDEX=0"}</definedName>
    <definedName name="_166__FDSAUDITLINK__" hidden="1">{"fdsup://directions/FAT Viewer?action=UPDATE&amp;creator=factset&amp;DYN_ARGS=TRUE&amp;DOC_NAME=FAT:FQL_AUDITING_CLIENT_TEMPLATE.FAT&amp;display_string=Audit&amp;VAR:KEY=ULWZGBUTAN&amp;VAR:QUERY=RkZfRU5UUlBSX1ZBTF9EQUlMWSgwMS8xMS8yMDExLCwsLCwnRElMJykvRUNBX01FQU5fRUJJVCgyMDEyLDAxL","zExLzIwMTEp&amp;WINDOW=FIRST_POPUP&amp;HEIGHT=450&amp;WIDTH=450&amp;START_MAXIMIZED=FALSE&amp;VAR:CALENDAR=US&amp;VAR:SYMBOL=COL&amp;VAR:INDEX=0"}</definedName>
    <definedName name="_167__FDSAUDITLINK__" hidden="1">{"fdsup://directions/FAT Viewer?action=UPDATE&amp;creator=factset&amp;DYN_ARGS=TRUE&amp;DOC_NAME=FAT:FQL_AUDITING_CLIENT_TEMPLATE.FAT&amp;display_string=Audit&amp;VAR:KEY=QBIDQTKBSD&amp;VAR:QUERY=RkZfRU5UUlBSX1ZBTF9EQUlMWSgwMS8xMS8yMDExLCwsLCwnRElMJykvRUNBX01FQU5fRUJJVCgyMDExLDAxL","zExLzIwMTEp&amp;WINDOW=FIRST_POPUP&amp;HEIGHT=450&amp;WIDTH=450&amp;START_MAXIMIZED=FALSE&amp;VAR:CALENDAR=US&amp;VAR:SYMBOL=COL&amp;VAR:INDEX=0"}</definedName>
    <definedName name="_168__FDSAUDITLINK__" hidden="1">{"fdsup://directions/FAT Viewer?action=UPDATE&amp;creator=factset&amp;DYN_ARGS=TRUE&amp;DOC_NAME=FAT:FQL_AUDITING_CLIENT_TEMPLATE.FAT&amp;display_string=Audit&amp;VAR:KEY=GHCPKZMPUH&amp;VAR:QUERY=RkZfRU5UUlBSX1ZBTF9EQUlMWSgwMS8xMS8yMDExLCwsLCwnRElMJykvRUNBX01FQU5fRUJJVCgyMDEwLDAxL","zExLzIwMTEp&amp;WINDOW=FIRST_POPUP&amp;HEIGHT=450&amp;WIDTH=450&amp;START_MAXIMIZED=FALSE&amp;VAR:CALENDAR=US&amp;VAR:SYMBOL=COL&amp;VAR:INDEX=0"}</definedName>
    <definedName name="_169__FDSAUDITLINK__" hidden="1">{"fdsup://directions/FAT Viewer?action=UPDATE&amp;creator=factset&amp;DYN_ARGS=TRUE&amp;DOC_NAME=FAT:FQL_AUDITING_CLIENT_TEMPLATE.FAT&amp;display_string=Audit&amp;VAR:KEY=SZEJANYHML&amp;VAR:QUERY=RkZfRU5UUlBSX1ZBTF9EQUlMWSgwMS8xMS8yMDExLCwsLCwnRElMJykvRUNBX01FQU5fRUJJVERBKDIwMTIsM","DEvMTEvMjAxMSk=&amp;WINDOW=FIRST_POPUP&amp;HEIGHT=450&amp;WIDTH=450&amp;START_MAXIMIZED=FALSE&amp;VAR:CALENDAR=US&amp;VAR:SYMBOL=COL&amp;VAR:INDEX=0"}</definedName>
    <definedName name="_17__FDSAUDITLINK__" hidden="1">{"fdsup://directions/FAT Viewer?action=UPDATE&amp;creator=factset&amp;DYN_ARGS=TRUE&amp;DOC_NAME=FAT:FQL_AUDITING_CLIENT_TEMPLATE.FAT&amp;display_string=Audit&amp;VAR:KEY=YDGFCPQLMN&amp;VAR:QUERY=RkZfRU5UUlBSX1ZBTF9EQUlMWSgwNy8yNi8yMDExLCwsLCwnRElMJykvRUNBX01FQU5fRUJJVERBKDIwMTEsM","DcvMjYvMjAxMSk=&amp;WINDOW=FIRST_POPUP&amp;HEIGHT=450&amp;WIDTH=450&amp;START_MAXIMIZED=FALSE&amp;VAR:CALENDAR=FIVEDAY&amp;VAR:SYMBOL=PCP&amp;VAR:INDEX=0"}</definedName>
    <definedName name="_170__FDSAUDITLINK__" hidden="1">{"fdsup://directions/FAT Viewer?action=UPDATE&amp;creator=factset&amp;DYN_ARGS=TRUE&amp;DOC_NAME=FAT:FQL_AUDITING_CLIENT_TEMPLATE.FAT&amp;display_string=Audit&amp;VAR:KEY=SRCNKDOZCD&amp;VAR:QUERY=RkZfRU5UUlBSX1ZBTF9EQUlMWSgwMS8xMS8yMDExLCwsLCwnRElMJykvRUNBX01FQU5fRUJJVERBKDIwMTEsM","DEvMTEvMjAxMSk=&amp;WINDOW=FIRST_POPUP&amp;HEIGHT=450&amp;WIDTH=450&amp;START_MAXIMIZED=FALSE&amp;VAR:CALENDAR=US&amp;VAR:SYMBOL=COL&amp;VAR:INDEX=0"}</definedName>
    <definedName name="_171__FDSAUDITLINK__" hidden="1">{"fdsup://directions/FAT Viewer?action=UPDATE&amp;creator=factset&amp;DYN_ARGS=TRUE&amp;DOC_NAME=FAT:FQL_AUDITING_CLIENT_TEMPLATE.FAT&amp;display_string=Audit&amp;VAR:KEY=UPGZGNMDGH&amp;VAR:QUERY=RkZfRU5UUlBSX1ZBTF9EQUlMWSgwMS8xMS8yMDExLCwsLCwnRElMJykvRUNBX01FQU5fRUJJVERBKDIwMTAsM","DEvMTEvMjAxMSk=&amp;WINDOW=FIRST_POPUP&amp;HEIGHT=450&amp;WIDTH=450&amp;START_MAXIMIZED=FALSE&amp;VAR:CALENDAR=US&amp;VAR:SYMBOL=COL&amp;VAR:INDEX=0"}</definedName>
    <definedName name="_172__FDSAUDITLINK__" hidden="1">{"fdsup://directions/FAT Viewer?action=UPDATE&amp;creator=factset&amp;DYN_ARGS=TRUE&amp;DOC_NAME=FAT:FQL_AUDITING_CLIENT_TEMPLATE.FAT&amp;display_string=Audit&amp;VAR:KEY=KZUTSLQVSN&amp;VAR:QUERY=RkZfRU5UUlBSX1ZBTF9EQUlMWSgwMS8xMS8yMDExLCwsLCwnRElMJykvRUNBX01FQU5fU0FMRVMoMjAxMiwwM","S8xMS8yMDExKQ==&amp;WINDOW=FIRST_POPUP&amp;HEIGHT=450&amp;WIDTH=450&amp;START_MAXIMIZED=FALSE&amp;VAR:CALENDAR=US&amp;VAR:SYMBOL=BEAV&amp;VAR:INDEX=0"}</definedName>
    <definedName name="_173__FDSAUDITLINK__" hidden="1">{"fdsup://directions/FAT Viewer?action=UPDATE&amp;creator=factset&amp;DYN_ARGS=TRUE&amp;DOC_NAME=FAT:FQL_AUDITING_CLIENT_TEMPLATE.FAT&amp;display_string=Audit&amp;VAR:KEY=OZMJWDSBKF&amp;VAR:QUERY=RkZfRU5UUlBSX1ZBTF9EQUlMWSgwMS8xMS8yMDExLCwsLCwnRElMJykvRUNBX01FQU5fU0FMRVMoMjAxMSwwM","S8xMS8yMDExKQ==&amp;WINDOW=FIRST_POPUP&amp;HEIGHT=450&amp;WIDTH=450&amp;START_MAXIMIZED=FALSE&amp;VAR:CALENDAR=US&amp;VAR:SYMBOL=BEAV&amp;VAR:INDEX=0"}</definedName>
    <definedName name="_174__FDSAUDITLINK__" hidden="1">{"fdsup://directions/FAT Viewer?action=UPDATE&amp;creator=factset&amp;DYN_ARGS=TRUE&amp;DOC_NAME=FAT:FQL_AUDITING_CLIENT_TEMPLATE.FAT&amp;display_string=Audit&amp;VAR:KEY=EJOHIHGJAX&amp;VAR:QUERY=RkZfRU5UUlBSX1ZBTF9EQUlMWSgwMS8xMS8yMDExLCwsLCwnRElMJykvRUNBX01FQU5fU0FMRVMoMjAxMCwwM","S8xMS8yMDExKQ==&amp;WINDOW=FIRST_POPUP&amp;HEIGHT=450&amp;WIDTH=450&amp;START_MAXIMIZED=FALSE&amp;VAR:CALENDAR=US&amp;VAR:SYMBOL=BEAV&amp;VAR:INDEX=0"}</definedName>
    <definedName name="_175__FDSAUDITLINK__" hidden="1">{"fdsup://directions/FAT Viewer?action=UPDATE&amp;creator=factset&amp;DYN_ARGS=TRUE&amp;DOC_NAME=FAT:FQL_AUDITING_CLIENT_TEMPLATE.FAT&amp;display_string=Audit&amp;VAR:KEY=QDGFKZSVKB&amp;VAR:QUERY=RkZfRU5UUlBSX1ZBTF9EQUlMWSgwMS8xMS8yMDExLCwsLCwnRElMJykvRUNBX01FQU5fRUJJVCgyMDEyLDAxL","zExLzIwMTEp&amp;WINDOW=FIRST_POPUP&amp;HEIGHT=450&amp;WIDTH=450&amp;START_MAXIMIZED=FALSE&amp;VAR:CALENDAR=US&amp;VAR:SYMBOL=BEAV&amp;VAR:INDEX=0"}</definedName>
    <definedName name="_176__FDSAUDITLINK__" hidden="1">{"fdsup://directions/FAT Viewer?action=UPDATE&amp;creator=factset&amp;DYN_ARGS=TRUE&amp;DOC_NAME=FAT:FQL_AUDITING_CLIENT_TEMPLATE.FAT&amp;display_string=Audit&amp;VAR:KEY=EVAPAVCFOR&amp;VAR:QUERY=RkZfRU5UUlBSX1ZBTF9EQUlMWSgwMS8xMS8yMDExLCwsLCwnRElMJykvRUNBX01FQU5fRUJJVCgyMDExLDAxL","zExLzIwMTEp&amp;WINDOW=FIRST_POPUP&amp;HEIGHT=450&amp;WIDTH=450&amp;START_MAXIMIZED=FALSE&amp;VAR:CALENDAR=US&amp;VAR:SYMBOL=BEAV&amp;VAR:INDEX=0"}</definedName>
    <definedName name="_177__FDSAUDITLINK__" hidden="1">{"fdsup://directions/FAT Viewer?action=UPDATE&amp;creator=factset&amp;DYN_ARGS=TRUE&amp;DOC_NAME=FAT:FQL_AUDITING_CLIENT_TEMPLATE.FAT&amp;display_string=Audit&amp;VAR:KEY=QJMNWHAFYV&amp;VAR:QUERY=RkZfRU5UUlBSX1ZBTF9EQUlMWSgwMS8xMS8yMDExLCwsLCwnRElMJykvRUNBX01FQU5fRUJJVCgyMDEwLDAxL","zExLzIwMTEp&amp;WINDOW=FIRST_POPUP&amp;HEIGHT=450&amp;WIDTH=450&amp;START_MAXIMIZED=FALSE&amp;VAR:CALENDAR=US&amp;VAR:SYMBOL=BEAV&amp;VAR:INDEX=0"}</definedName>
    <definedName name="_178__FDSAUDITLINK__" hidden="1">{"fdsup://directions/FAT Viewer?action=UPDATE&amp;creator=factset&amp;DYN_ARGS=TRUE&amp;DOC_NAME=FAT:FQL_AUDITING_CLIENT_TEMPLATE.FAT&amp;display_string=Audit&amp;VAR:KEY=MXKVWNOJAD&amp;VAR:QUERY=RkZfRU5UUlBSX1ZBTF9EQUlMWSgwMS8xMS8yMDExLCwsLCwnRElMJykvRUNBX01FQU5fRUJJVERBKDIwMTIsM","DEvMTEvMjAxMSk=&amp;WINDOW=FIRST_POPUP&amp;HEIGHT=450&amp;WIDTH=450&amp;START_MAXIMIZED=FALSE&amp;VAR:CALENDAR=US&amp;VAR:SYMBOL=BEAV&amp;VAR:INDEX=0"}</definedName>
    <definedName name="_179__FDSAUDITLINK__" hidden="1">{"fdsup://directions/FAT Viewer?action=UPDATE&amp;creator=factset&amp;DYN_ARGS=TRUE&amp;DOC_NAME=FAT:FQL_AUDITING_CLIENT_TEMPLATE.FAT&amp;display_string=Audit&amp;VAR:KEY=WJQTQTQFYD&amp;VAR:QUERY=RkZfRU5UUlBSX1ZBTF9EQUlMWSgwMS8xMS8yMDExLCwsLCwnRElMJykvRUNBX01FQU5fRUJJVERBKDIwMTEsM","DEvMTEvMjAxMSk=&amp;WINDOW=FIRST_POPUP&amp;HEIGHT=450&amp;WIDTH=450&amp;START_MAXIMIZED=FALSE&amp;VAR:CALENDAR=US&amp;VAR:SYMBOL=BEAV&amp;VAR:INDEX=0"}</definedName>
    <definedName name="_18__FDSAUDITLINK__" hidden="1">{"fdsup://directions/FAT Viewer?action=UPDATE&amp;creator=factset&amp;DYN_ARGS=TRUE&amp;DOC_NAME=FAT:FQL_AUDITING_CLIENT_TEMPLATE.FAT&amp;display_string=Audit&amp;VAR:KEY=STSDOVKDQN&amp;VAR:QUERY=RkZfRU5UUlBSX1ZBTF9EQUlMWSgwNy8yNi8yMDExLCwsLCwnRElMJykvRUNBX01FQU5fRUJJVERBKDIwMTAsM","DcvMjYvMjAxMSk=&amp;WINDOW=FIRST_POPUP&amp;HEIGHT=450&amp;WIDTH=450&amp;START_MAXIMIZED=FALSE&amp;VAR:CALENDAR=FIVEDAY&amp;VAR:SYMBOL=PCP&amp;VAR:INDEX=0"}</definedName>
    <definedName name="_180__FDSAUDITLINK__" hidden="1">{"fdsup://directions/FAT Viewer?action=UPDATE&amp;creator=factset&amp;DYN_ARGS=TRUE&amp;DOC_NAME=FAT:FQL_AUDITING_CLIENT_TEMPLATE.FAT&amp;display_string=Audit&amp;VAR:KEY=ATWNKBUDUR&amp;VAR:QUERY=RkZfRU5UUlBSX1ZBTF9EQUlMWSgwMS8xMS8yMDExLCwsLCwnRElMJykvRUNBX01FQU5fRUJJVERBKDIwMTAsM","DEvMTEvMjAxMSk=&amp;WINDOW=FIRST_POPUP&amp;HEIGHT=450&amp;WIDTH=450&amp;START_MAXIMIZED=FALSE&amp;VAR:CALENDAR=US&amp;VAR:SYMBOL=BEAV&amp;VAR:INDEX=0"}</definedName>
    <definedName name="_181__FDSAUDITLINK__" hidden="1">{"fdsup://directions/FAT Viewer?action=UPDATE&amp;creator=factset&amp;DYN_ARGS=TRUE&amp;DOC_NAME=FAT:FQL_AUDITING_CLIENT_TEMPLATE.FAT&amp;display_string=Audit&amp;VAR:KEY=GJKXWJCZEP&amp;VAR:QUERY=RkZfRU5UUlBSX1ZBTF9EQUlMWSgwMS8xMS8yMDExLCwsLCwnRElMJykvRUNBX01FQU5fU0FMRVMoMjAxMiwwM","S8xMS8yMDExKQ==&amp;WINDOW=FIRST_POPUP&amp;HEIGHT=450&amp;WIDTH=450&amp;START_MAXIMIZED=FALSE&amp;VAR:CALENDAR=FIVEDAY&amp;VAR:SYMBOL=057580&amp;VAR:INDEX=0"}</definedName>
    <definedName name="_182__FDSAUDITLINK__" hidden="1">{"fdsup://directions/FAT Viewer?action=UPDATE&amp;creator=factset&amp;DYN_ARGS=TRUE&amp;DOC_NAME=FAT:FQL_AUDITING_CLIENT_TEMPLATE.FAT&amp;display_string=Audit&amp;VAR:KEY=SPAXABUVSH&amp;VAR:QUERY=RkZfRU5UUlBSX1ZBTF9EQUlMWSgwMS8xMS8yMDExLCwsLCwnRElMJykvRUNBX01FQU5fU0FMRVMoMjAxMSwwM","S8xMS8yMDExKQ==&amp;WINDOW=FIRST_POPUP&amp;HEIGHT=450&amp;WIDTH=450&amp;START_MAXIMIZED=FALSE&amp;VAR:CALENDAR=FIVEDAY&amp;VAR:SYMBOL=057580&amp;VAR:INDEX=0"}</definedName>
    <definedName name="_183__FDSAUDITLINK__" hidden="1">{"fdsup://directions/FAT Viewer?action=UPDATE&amp;creator=factset&amp;DYN_ARGS=TRUE&amp;DOC_NAME=FAT:FQL_AUDITING_CLIENT_TEMPLATE.FAT&amp;display_string=Audit&amp;VAR:KEY=SNYJOVEDIX&amp;VAR:QUERY=RkZfRU5UUlBSX1ZBTF9EQUlMWSgwMS8xMS8yMDExLCwsLCwnRElMJykvRUNBX01FQU5fU0FMRVMoMjAxMCwwM","S8xMS8yMDExKQ==&amp;WINDOW=FIRST_POPUP&amp;HEIGHT=450&amp;WIDTH=450&amp;START_MAXIMIZED=FALSE&amp;VAR:CALENDAR=FIVEDAY&amp;VAR:SYMBOL=057580&amp;VAR:INDEX=0"}</definedName>
    <definedName name="_184__FDSAUDITLINK__" hidden="1">{"fdsup://directions/FAT Viewer?action=UPDATE&amp;creator=factset&amp;DYN_ARGS=TRUE&amp;DOC_NAME=FAT:FQL_AUDITING_CLIENT_TEMPLATE.FAT&amp;display_string=Audit&amp;VAR:KEY=OVMZWVYBSL&amp;VAR:QUERY=RkZfRU5UUlBSX1ZBTF9EQUlMWSgwMS8xMS8yMDExLCwsLCwnRElMJykvRUNBX01FQU5fRUJJVCgyMDEyLDAxL","zExLzIwMTEp&amp;WINDOW=FIRST_POPUP&amp;HEIGHT=450&amp;WIDTH=450&amp;START_MAXIMIZED=FALSE&amp;VAR:CALENDAR=FIVEDAY&amp;VAR:SYMBOL=057580&amp;VAR:INDEX=0"}</definedName>
    <definedName name="_185__FDSAUDITLINK__" hidden="1">{"fdsup://directions/FAT Viewer?action=UPDATE&amp;creator=factset&amp;DYN_ARGS=TRUE&amp;DOC_NAME=FAT:FQL_AUDITING_CLIENT_TEMPLATE.FAT&amp;display_string=Audit&amp;VAR:KEY=ETWJSXEDIP&amp;VAR:QUERY=RkZfRU5UUlBSX1ZBTF9EQUlMWSgwMS8xMS8yMDExLCwsLCwnRElMJykvRUNBX01FQU5fRUJJVCgyMDExLDAxL","zExLzIwMTEp&amp;WINDOW=FIRST_POPUP&amp;HEIGHT=450&amp;WIDTH=450&amp;START_MAXIMIZED=FALSE&amp;VAR:CALENDAR=FIVEDAY&amp;VAR:SYMBOL=057580&amp;VAR:INDEX=0"}</definedName>
    <definedName name="_186__FDSAUDITLINK__" hidden="1">{"fdsup://directions/FAT Viewer?action=UPDATE&amp;creator=factset&amp;DYN_ARGS=TRUE&amp;DOC_NAME=FAT:FQL_AUDITING_CLIENT_TEMPLATE.FAT&amp;display_string=Audit&amp;VAR:KEY=ENQZMFWXSL&amp;VAR:QUERY=RkZfRU5UUlBSX1ZBTF9EQUlMWSgwMS8xMS8yMDExLCwsLCwnRElMJykvRUNBX01FQU5fRUJJVCgyMDEwLDAxL","zExLzIwMTEp&amp;WINDOW=FIRST_POPUP&amp;HEIGHT=450&amp;WIDTH=450&amp;START_MAXIMIZED=FALSE&amp;VAR:CALENDAR=FIVEDAY&amp;VAR:SYMBOL=057580&amp;VAR:INDEX=0"}</definedName>
    <definedName name="_187__FDSAUDITLINK__" hidden="1">{"fdsup://directions/FAT Viewer?action=UPDATE&amp;creator=factset&amp;DYN_ARGS=TRUE&amp;DOC_NAME=FAT:FQL_AUDITING_CLIENT_TEMPLATE.FAT&amp;display_string=Audit&amp;VAR:KEY=SHQBQZIVMX&amp;VAR:QUERY=RkZfRU5UUlBSX1ZBTF9EQUlMWSgwMS8xMS8yMDExLCwsLCwnRElMJykvRUNBX01FQU5fRUJJVERBKDIwMTIsM","DEvMTEvMjAxMSk=&amp;WINDOW=FIRST_POPUP&amp;HEIGHT=450&amp;WIDTH=450&amp;START_MAXIMIZED=FALSE&amp;VAR:CALENDAR=FIVEDAY&amp;VAR:SYMBOL=057580&amp;VAR:INDEX=0"}</definedName>
    <definedName name="_188__FDSAUDITLINK__" hidden="1">{"fdsup://directions/FAT Viewer?action=UPDATE&amp;creator=factset&amp;DYN_ARGS=TRUE&amp;DOC_NAME=FAT:FQL_AUDITING_CLIENT_TEMPLATE.FAT&amp;display_string=Audit&amp;VAR:KEY=GBEZCBIPGH&amp;VAR:QUERY=RkZfRU5UUlBSX1ZBTF9EQUlMWSgwMS8xMS8yMDExLCwsLCwnRElMJykvRUNBX01FQU5fRUJJVERBKDIwMTEsM","DEvMTEvMjAxMSk=&amp;WINDOW=FIRST_POPUP&amp;HEIGHT=450&amp;WIDTH=450&amp;START_MAXIMIZED=FALSE&amp;VAR:CALENDAR=FIVEDAY&amp;VAR:SYMBOL=057580&amp;VAR:INDEX=0"}</definedName>
    <definedName name="_189__FDSAUDITLINK__" hidden="1">{"fdsup://directions/FAT Viewer?action=UPDATE&amp;creator=factset&amp;DYN_ARGS=TRUE&amp;DOC_NAME=FAT:FQL_AUDITING_CLIENT_TEMPLATE.FAT&amp;display_string=Audit&amp;VAR:KEY=KZAJOTOJMH&amp;VAR:QUERY=RkZfRU5UUlBSX1ZBTF9EQUlMWSgwMS8xMS8yMDExLCwsLCwnRElMJykvRUNBX01FQU5fRUJJVERBKDIwMTAsM","DEvMTEvMjAxMSk=&amp;WINDOW=FIRST_POPUP&amp;HEIGHT=450&amp;WIDTH=450&amp;START_MAXIMIZED=FALSE&amp;VAR:CALENDAR=FIVEDAY&amp;VAR:SYMBOL=057580&amp;VAR:INDEX=0"}</definedName>
    <definedName name="_19__FDSAUDITLINK__" hidden="1">{"fdsup://directions/FAT Viewer?action=UPDATE&amp;creator=factset&amp;DYN_ARGS=TRUE&amp;DOC_NAME=FAT:FQL_AUDITING_CLIENT_TEMPLATE.FAT&amp;display_string=Audit&amp;VAR:KEY=KXQFYTULEJ&amp;VAR:QUERY=RkZfRU5UUlBSX1ZBTF9EQUlMWSgwNy8yNi8yMDExLCwsLCwnRElMJykvRUNBX01FQU5fU0FMRVMoMjAxMiwwN","y8yNi8yMDExKQ==&amp;WINDOW=FIRST_POPUP&amp;HEIGHT=450&amp;WIDTH=450&amp;START_MAXIMIZED=FALSE&amp;VAR:CALENDAR=FIVEDAY&amp;VAR:SYMBOL=MOG.A&amp;VAR:INDEX=0"}</definedName>
    <definedName name="_190__FDSAUDITLINK__" hidden="1">{"fdsup://directions/FAT Viewer?action=UPDATE&amp;creator=factset&amp;DYN_ARGS=TRUE&amp;DOC_NAME=FAT:FQL_AUDITING_CLIENT_TEMPLATE.FAT&amp;display_string=Audit&amp;VAR:KEY=MXUFCXYFCH&amp;VAR:QUERY=RkZfRU5UUlBSX1ZBTF9EQUlMWSgwMS8xMS8yMDExLCwsLCwnRElMJykvRUNBX01FQU5fU0FMRVMoMjAxMiwwM","S8xMS8yMDExKQ==&amp;WINDOW=FIRST_POPUP&amp;HEIGHT=450&amp;WIDTH=450&amp;START_MAXIMIZED=FALSE&amp;VAR:CALENDAR=FIVEDAY&amp;VAR:SYMBOL=PCP&amp;VAR:INDEX=0"}</definedName>
    <definedName name="_191__FDSAUDITLINK__" hidden="1">{"fdsup://directions/FAT Viewer?action=UPDATE&amp;creator=factset&amp;DYN_ARGS=TRUE&amp;DOC_NAME=FAT:FQL_AUDITING_CLIENT_TEMPLATE.FAT&amp;display_string=Audit&amp;VAR:KEY=ILAZWDYLGN&amp;VAR:QUERY=RkZfRU5UUlBSX1ZBTF9EQUlMWSgwMS8xMS8yMDExLCwsLCwnRElMJykvRUNBX01FQU5fU0FMRVMoMjAxMSwwM","S8xMS8yMDExKQ==&amp;WINDOW=FIRST_POPUP&amp;HEIGHT=450&amp;WIDTH=450&amp;START_MAXIMIZED=FALSE&amp;VAR:CALENDAR=FIVEDAY&amp;VAR:SYMBOL=PCP&amp;VAR:INDEX=0"}</definedName>
    <definedName name="_192__FDSAUDITLINK__" hidden="1">{"fdsup://directions/FAT Viewer?action=UPDATE&amp;creator=factset&amp;DYN_ARGS=TRUE&amp;DOC_NAME=FAT:FQL_AUDITING_CLIENT_TEMPLATE.FAT&amp;display_string=Audit&amp;VAR:KEY=MDKBYZORMP&amp;VAR:QUERY=RkZfRU5UUlBSX1ZBTF9EQUlMWSgwMS8xMS8yMDExLCwsLCwnRElMJykvRUNBX01FQU5fU0FMRVMoMjAxMCwwM","S8xMS8yMDExKQ==&amp;WINDOW=FIRST_POPUP&amp;HEIGHT=450&amp;WIDTH=450&amp;START_MAXIMIZED=FALSE&amp;VAR:CALENDAR=FIVEDAY&amp;VAR:SYMBOL=PCP&amp;VAR:INDEX=0"}</definedName>
    <definedName name="_193__FDSAUDITLINK__" hidden="1">{"fdsup://directions/FAT Viewer?action=UPDATE&amp;creator=factset&amp;DYN_ARGS=TRUE&amp;DOC_NAME=FAT:FQL_AUDITING_CLIENT_TEMPLATE.FAT&amp;display_string=Audit&amp;VAR:KEY=EDSRAHIDAT&amp;VAR:QUERY=RkZfRU5UUlBSX1ZBTF9EQUlMWSgwMS8xMS8yMDExLCwsLCwnRElMJykvRUNBX01FQU5fRUJJVCgyMDEyLDAxL","zExLzIwMTEp&amp;WINDOW=FIRST_POPUP&amp;HEIGHT=450&amp;WIDTH=450&amp;START_MAXIMIZED=FALSE&amp;VAR:CALENDAR=FIVEDAY&amp;VAR:SYMBOL=PCP&amp;VAR:INDEX=0"}</definedName>
    <definedName name="_194__FDSAUDITLINK__" hidden="1">{"fdsup://directions/FAT Viewer?action=UPDATE&amp;creator=factset&amp;DYN_ARGS=TRUE&amp;DOC_NAME=FAT:FQL_AUDITING_CLIENT_TEMPLATE.FAT&amp;display_string=Audit&amp;VAR:KEY=YDYTENQBOT&amp;VAR:QUERY=RkZfRU5UUlBSX1ZBTF9EQUlMWSgwMS8xMS8yMDExLCwsLCwnRElMJykvRUNBX01FQU5fRUJJVCgyMDExLDAxL","zExLzIwMTEp&amp;WINDOW=FIRST_POPUP&amp;HEIGHT=450&amp;WIDTH=450&amp;START_MAXIMIZED=FALSE&amp;VAR:CALENDAR=FIVEDAY&amp;VAR:SYMBOL=PCP&amp;VAR:INDEX=0"}</definedName>
    <definedName name="_195__FDSAUDITLINK__" hidden="1">{"fdsup://directions/FAT Viewer?action=UPDATE&amp;creator=factset&amp;DYN_ARGS=TRUE&amp;DOC_NAME=FAT:FQL_AUDITING_CLIENT_TEMPLATE.FAT&amp;display_string=Audit&amp;VAR:KEY=OHWBIJUDWP&amp;VAR:QUERY=RkZfRU5UUlBSX1ZBTF9EQUlMWSgwMS8xMS8yMDExLCwsLCwnRElMJykvRUNBX01FQU5fRUJJVCgyMDEwLDAxL","zExLzIwMTEp&amp;WINDOW=FIRST_POPUP&amp;HEIGHT=450&amp;WIDTH=450&amp;START_MAXIMIZED=FALSE&amp;VAR:CALENDAR=FIVEDAY&amp;VAR:SYMBOL=PCP&amp;VAR:INDEX=0"}</definedName>
    <definedName name="_196__FDSAUDITLINK__" hidden="1">{"fdsup://directions/FAT Viewer?action=UPDATE&amp;creator=factset&amp;DYN_ARGS=TRUE&amp;DOC_NAME=FAT:FQL_AUDITING_CLIENT_TEMPLATE.FAT&amp;display_string=Audit&amp;VAR:KEY=CJGBOFAPUN&amp;VAR:QUERY=RkZfRU5UUlBSX1ZBTF9EQUlMWSgwMS8xMS8yMDExLCwsLCwnRElMJykvRUNBX01FQU5fRUJJVERBKDIwMTIsM","DEvMTEvMjAxMSk=&amp;WINDOW=FIRST_POPUP&amp;HEIGHT=450&amp;WIDTH=450&amp;START_MAXIMIZED=FALSE&amp;VAR:CALENDAR=FIVEDAY&amp;VAR:SYMBOL=PCP&amp;VAR:INDEX=0"}</definedName>
    <definedName name="_197__FDSAUDITLINK__" hidden="1">{"fdsup://directions/FAT Viewer?action=UPDATE&amp;creator=factset&amp;DYN_ARGS=TRUE&amp;DOC_NAME=FAT:FQL_AUDITING_CLIENT_TEMPLATE.FAT&amp;display_string=Audit&amp;VAR:KEY=UJCNCDWZYH&amp;VAR:QUERY=RkZfRU5UUlBSX1ZBTF9EQUlMWSgwMS8xMS8yMDExLCwsLCwnRElMJykvRUNBX01FQU5fRUJJVERBKDIwMTEsM","DEvMTEvMjAxMSk=&amp;WINDOW=FIRST_POPUP&amp;HEIGHT=450&amp;WIDTH=450&amp;START_MAXIMIZED=FALSE&amp;VAR:CALENDAR=FIVEDAY&amp;VAR:SYMBOL=PCP&amp;VAR:INDEX=0"}</definedName>
    <definedName name="_198__FDSAUDITLINK__" hidden="1">{"fdsup://directions/FAT Viewer?action=UPDATE&amp;creator=factset&amp;DYN_ARGS=TRUE&amp;DOC_NAME=FAT:FQL_AUDITING_CLIENT_TEMPLATE.FAT&amp;display_string=Audit&amp;VAR:KEY=ULILIHILQP&amp;VAR:QUERY=RkZfRU5UUlBSX1ZBTF9EQUlMWSgwMS8xMS8yMDExLCwsLCwnRElMJykvRUNBX01FQU5fRUJJVERBKDIwMTAsM","DEvMTEvMjAxMSk=&amp;WINDOW=FIRST_POPUP&amp;HEIGHT=450&amp;WIDTH=450&amp;START_MAXIMIZED=FALSE&amp;VAR:CALENDAR=FIVEDAY&amp;VAR:SYMBOL=PCP&amp;VAR:INDEX=0"}</definedName>
    <definedName name="_199__FDSAUDITLINK__" hidden="1">{"fdsup://directions/FAT Viewer?action=UPDATE&amp;creator=factset&amp;DYN_ARGS=TRUE&amp;DOC_NAME=FAT:FQL_AUDITING_CLIENT_TEMPLATE.FAT&amp;display_string=Audit&amp;VAR:KEY=ALWBKHSXEZ&amp;VAR:QUERY=RkZfRU5UUlBSX1ZBTF9EQUlMWSgwMS8xMS8yMDExLCwsLCwnRElMJykvRUNBX01FQU5fU0FMRVMoMjAxMiwwM","S8xMS8yMDExKQ==&amp;WINDOW=FIRST_POPUP&amp;HEIGHT=450&amp;WIDTH=450&amp;START_MAXIMIZED=FALSE&amp;VAR:CALENDAR=FIVEDAY&amp;VAR:SYMBOL=MOG.A&amp;VAR:INDEX=0"}</definedName>
    <definedName name="_1Q00">[3]WY!$BB$2:$BB$1044</definedName>
    <definedName name="_1Q01">[3]WY!$AV$2:$AV$1044</definedName>
    <definedName name="_1Q02">[3]WY!$AP$2:$AP$1044</definedName>
    <definedName name="_1Q03">[3]WY!$AI$2:$AI$1044</definedName>
    <definedName name="_1Q91">[3]WY!$DD$2:$DD$1044</definedName>
    <definedName name="_1Q92">[3]WY!$CX$2:$CX$1044</definedName>
    <definedName name="_1Q93">[3]WY!$CR$2:$CR$1044</definedName>
    <definedName name="_1Q94">[3]WY!$CL$2:$CL$1044</definedName>
    <definedName name="_1Q95">[3]WY!$CF$2:$CF$1044</definedName>
    <definedName name="_1Q96">[3]WY!$BZ$2:$BZ$1044</definedName>
    <definedName name="_1Q97">[3]WY!$BT$2:$BT$1044</definedName>
    <definedName name="_1Q98">[3]WY!$BN$2:$BN$1044</definedName>
    <definedName name="_1Q99">[3]WY!$BH$2:$BH$1044</definedName>
    <definedName name="_2__123Graph_ACHART_2E" hidden="1">[1]Aerospace!$L$342:$L$373</definedName>
    <definedName name="_2__123Graph_Aｸﾞﾗﾌ_1" hidden="1">[2]ｾｸﾞﾒﾝﾄ!$E$164:$I$164</definedName>
    <definedName name="_2__FDSAUDITLINK__" hidden="1">{"fdsup://directions/FAT Viewer?action=UPDATE&amp;creator=factset&amp;DYN_ARGS=TRUE&amp;DOC_NAME=FAT:FQL_AUDITING_CLIENT_TEMPLATE.FAT&amp;display_string=Audit&amp;VAR:KEY=CLOBMTIDMF&amp;VAR:QUERY=RkZfRU5UUlBSX1ZBTF9EQUlMWSgwNy8yNi8yMDExLCwsLCwnRElMJykvRUNBX01FQU5fU0FMRVMoMjAxMSwwN","y8yNi8yMDExKQ==&amp;WINDOW=FIRST_POPUP&amp;HEIGHT=450&amp;WIDTH=450&amp;START_MAXIMIZED=FALSE&amp;VAR:CALENDAR=FIVEDAY&amp;VAR:SYMBOL=057580&amp;VAR:INDEX=0"}</definedName>
    <definedName name="_20__FDSAUDITLINK__" hidden="1">{"fdsup://directions/FAT Viewer?action=UPDATE&amp;creator=factset&amp;DYN_ARGS=TRUE&amp;DOC_NAME=FAT:FQL_AUDITING_CLIENT_TEMPLATE.FAT&amp;display_string=Audit&amp;VAR:KEY=YFUVUPKDQN&amp;VAR:QUERY=RkZfRU5UUlBSX1ZBTF9EQUlMWSgwNy8yNi8yMDExLCwsLCwnRElMJykvRUNBX01FQU5fU0FMRVMoMjAxMSwwN","y8yNi8yMDExKQ==&amp;WINDOW=FIRST_POPUP&amp;HEIGHT=450&amp;WIDTH=450&amp;START_MAXIMIZED=FALSE&amp;VAR:CALENDAR=FIVEDAY&amp;VAR:SYMBOL=MOG.A&amp;VAR:INDEX=0"}</definedName>
    <definedName name="_200__FDSAUDITLINK__" hidden="1">{"fdsup://directions/FAT Viewer?action=UPDATE&amp;creator=factset&amp;DYN_ARGS=TRUE&amp;DOC_NAME=FAT:FQL_AUDITING_CLIENT_TEMPLATE.FAT&amp;display_string=Audit&amp;VAR:KEY=UJKNYZOXGH&amp;VAR:QUERY=RkZfRU5UUlBSX1ZBTF9EQUlMWSgwMS8xMS8yMDExLCwsLCwnRElMJykvRUNBX01FQU5fU0FMRVMoMjAxMSwwM","S8xMS8yMDExKQ==&amp;WINDOW=FIRST_POPUP&amp;HEIGHT=450&amp;WIDTH=450&amp;START_MAXIMIZED=FALSE&amp;VAR:CALENDAR=FIVEDAY&amp;VAR:SYMBOL=MOG.A&amp;VAR:INDEX=0"}</definedName>
    <definedName name="_201__FDSAUDITLINK__" hidden="1">{"fdsup://directions/FAT Viewer?action=UPDATE&amp;creator=factset&amp;DYN_ARGS=TRUE&amp;DOC_NAME=FAT:FQL_AUDITING_CLIENT_TEMPLATE.FAT&amp;display_string=Audit&amp;VAR:KEY=UZINYXYJIP&amp;VAR:QUERY=RkZfRU5UUlBSX1ZBTF9EQUlMWSgwMS8xMS8yMDExLCwsLCwnRElMJykvRUNBX01FQU5fU0FMRVMoMjAxMCwwM","S8xMS8yMDExKQ==&amp;WINDOW=FIRST_POPUP&amp;HEIGHT=450&amp;WIDTH=450&amp;START_MAXIMIZED=FALSE&amp;VAR:CALENDAR=FIVEDAY&amp;VAR:SYMBOL=MOG.A&amp;VAR:INDEX=0"}</definedName>
    <definedName name="_202__FDSAUDITLINK__" hidden="1">{"fdsup://directions/FAT Viewer?action=UPDATE&amp;creator=factset&amp;DYN_ARGS=TRUE&amp;DOC_NAME=FAT:FQL_AUDITING_CLIENT_TEMPLATE.FAT&amp;display_string=Audit&amp;VAR:KEY=KBUNSBMVWP&amp;VAR:QUERY=RkZfRU5UUlBSX1ZBTF9EQUlMWSgwMS8xMS8yMDExLCwsLCwnRElMJykvRUNBX01FQU5fRUJJVCgyMDEyLDAxL","zExLzIwMTEp&amp;WINDOW=FIRST_POPUP&amp;HEIGHT=450&amp;WIDTH=450&amp;START_MAXIMIZED=FALSE&amp;VAR:CALENDAR=FIVEDAY&amp;VAR:SYMBOL=MOG.A&amp;VAR:INDEX=0"}</definedName>
    <definedName name="_203__FDSAUDITLINK__" hidden="1">{"fdsup://directions/FAT Viewer?action=UPDATE&amp;creator=factset&amp;DYN_ARGS=TRUE&amp;DOC_NAME=FAT:FQL_AUDITING_CLIENT_TEMPLATE.FAT&amp;display_string=Audit&amp;VAR:KEY=QTIRGRCNQP&amp;VAR:QUERY=RkZfRU5UUlBSX1ZBTF9EQUlMWSgwMS8xMS8yMDExLCwsLCwnRElMJykvRUNBX01FQU5fRUJJVCgyMDExLDAxL","zExLzIwMTEp&amp;WINDOW=FIRST_POPUP&amp;HEIGHT=450&amp;WIDTH=450&amp;START_MAXIMIZED=FALSE&amp;VAR:CALENDAR=FIVEDAY&amp;VAR:SYMBOL=MOG.A&amp;VAR:INDEX=0"}</definedName>
    <definedName name="_204__FDSAUDITLINK__" hidden="1">{"fdsup://directions/FAT Viewer?action=UPDATE&amp;creator=factset&amp;DYN_ARGS=TRUE&amp;DOC_NAME=FAT:FQL_AUDITING_CLIENT_TEMPLATE.FAT&amp;display_string=Audit&amp;VAR:KEY=GVGNCPODUV&amp;VAR:QUERY=RkZfRU5UUlBSX1ZBTF9EQUlMWSgwMS8xMS8yMDExLCwsLCwnRElMJykvRUNBX01FQU5fRUJJVCgyMDEwLDAxL","zExLzIwMTEp&amp;WINDOW=FIRST_POPUP&amp;HEIGHT=450&amp;WIDTH=450&amp;START_MAXIMIZED=FALSE&amp;VAR:CALENDAR=FIVEDAY&amp;VAR:SYMBOL=MOG.A&amp;VAR:INDEX=0"}</definedName>
    <definedName name="_205__FDSAUDITLINK__" hidden="1">{"fdsup://directions/FAT Viewer?action=UPDATE&amp;creator=factset&amp;DYN_ARGS=TRUE&amp;DOC_NAME=FAT:FQL_AUDITING_CLIENT_TEMPLATE.FAT&amp;display_string=Audit&amp;VAR:KEY=KXGRIVODUV&amp;VAR:QUERY=RkZfRU5UUlBSX1ZBTF9EQUlMWSgwMS8xMS8yMDExLCwsLCwnRElMJykvRUNBX01FQU5fRUJJVERBKDIwMTIsM","DEvMTEvMjAxMSk=&amp;WINDOW=FIRST_POPUP&amp;HEIGHT=450&amp;WIDTH=450&amp;START_MAXIMIZED=FALSE&amp;VAR:CALENDAR=FIVEDAY&amp;VAR:SYMBOL=MOG.A&amp;VAR:INDEX=0"}</definedName>
    <definedName name="_206__FDSAUDITLINK__" hidden="1">{"fdsup://directions/FAT Viewer?action=UPDATE&amp;creator=factset&amp;DYN_ARGS=TRUE&amp;DOC_NAME=FAT:FQL_AUDITING_CLIENT_TEMPLATE.FAT&amp;display_string=Audit&amp;VAR:KEY=CRANOROXQD&amp;VAR:QUERY=RkZfRU5UUlBSX1ZBTF9EQUlMWSgwMS8xMS8yMDExLCwsLCwnRElMJykvRUNBX01FQU5fRUJJVERBKDIwMTEsM","DEvMTEvMjAxMSk=&amp;WINDOW=FIRST_POPUP&amp;HEIGHT=450&amp;WIDTH=450&amp;START_MAXIMIZED=FALSE&amp;VAR:CALENDAR=FIVEDAY&amp;VAR:SYMBOL=MOG.A&amp;VAR:INDEX=0"}</definedName>
    <definedName name="_207__FDSAUDITLINK__" hidden="1">{"fdsup://directions/FAT Viewer?action=UPDATE&amp;creator=factset&amp;DYN_ARGS=TRUE&amp;DOC_NAME=FAT:FQL_AUDITING_CLIENT_TEMPLATE.FAT&amp;display_string=Audit&amp;VAR:KEY=QLUTQLCLGJ&amp;VAR:QUERY=RkZfRU5UUlBSX1ZBTF9EQUlMWSgwMS8xMS8yMDExLCwsLCwnRElMJykvRUNBX01FQU5fRUJJVERBKDIwMTAsM","DEvMTEvMjAxMSk=&amp;WINDOW=FIRST_POPUP&amp;HEIGHT=450&amp;WIDTH=450&amp;START_MAXIMIZED=FALSE&amp;VAR:CALENDAR=FIVEDAY&amp;VAR:SYMBOL=MOG.A&amp;VAR:INDEX=0"}</definedName>
    <definedName name="_208__FDSAUDITLINK__" hidden="1">{"fdsup://directions/FAT Viewer?action=UPDATE&amp;creator=factset&amp;DYN_ARGS=TRUE&amp;DOC_NAME=FAT:FQL_AUDITING_CLIENT_TEMPLATE.FAT&amp;display_string=Audit&amp;VAR:KEY=EZGTCLSBAD&amp;VAR:QUERY=RkZfRU5UUlBSX1ZBTF9EQUlMWSgwMS8xMS8yMDExLCwsLCwnRElMJykvRUNBX01FQU5fU0FMRVMoMjAxMiwwM","S8xMS8yMDExKQ==&amp;WINDOW=FIRST_POPUP&amp;HEIGHT=450&amp;WIDTH=450&amp;START_MAXIMIZED=FALSE&amp;VAR:CALENDAR=FIVEDAY&amp;VAR:SYMBOL=COL&amp;VAR:INDEX=0"}</definedName>
    <definedName name="_209__FDSAUDITLINK__" hidden="1">{"fdsup://directions/FAT Viewer?action=UPDATE&amp;creator=factset&amp;DYN_ARGS=TRUE&amp;DOC_NAME=FAT:FQL_AUDITING_CLIENT_TEMPLATE.FAT&amp;display_string=Audit&amp;VAR:KEY=YJKTCVWVCX&amp;VAR:QUERY=RkZfRU5UUlBSX1ZBTF9EQUlMWSgwMS8xMS8yMDExLCwsLCwnRElMJykvRUNBX01FQU5fU0FMRVMoMjAxMSwwM","S8xMS8yMDExKQ==&amp;WINDOW=FIRST_POPUP&amp;HEIGHT=450&amp;WIDTH=450&amp;START_MAXIMIZED=FALSE&amp;VAR:CALENDAR=FIVEDAY&amp;VAR:SYMBOL=COL&amp;VAR:INDEX=0"}</definedName>
    <definedName name="_21__FDSAUDITLINK__" hidden="1">{"fdsup://directions/FAT Viewer?action=UPDATE&amp;creator=factset&amp;DYN_ARGS=TRUE&amp;DOC_NAME=FAT:FQL_AUDITING_CLIENT_TEMPLATE.FAT&amp;display_string=Audit&amp;VAR:KEY=SXQPARKXCB&amp;VAR:QUERY=RkZfRU5UUlBSX1ZBTF9EQUlMWSgwNy8yNi8yMDExLCwsLCwnRElMJykvRUNBX01FQU5fU0FMRVMoMjAxMCwwN","y8yNi8yMDExKQ==&amp;WINDOW=FIRST_POPUP&amp;HEIGHT=450&amp;WIDTH=450&amp;START_MAXIMIZED=FALSE&amp;VAR:CALENDAR=FIVEDAY&amp;VAR:SYMBOL=MOG.A&amp;VAR:INDEX=0"}</definedName>
    <definedName name="_210__FDSAUDITLINK__" hidden="1">{"fdsup://directions/FAT Viewer?action=UPDATE&amp;creator=factset&amp;DYN_ARGS=TRUE&amp;DOC_NAME=FAT:FQL_AUDITING_CLIENT_TEMPLATE.FAT&amp;display_string=Audit&amp;VAR:KEY=ENIFKRWBWP&amp;VAR:QUERY=RkZfRU5UUlBSX1ZBTF9EQUlMWSgwMS8xMS8yMDExLCwsLCwnRElMJykvRUNBX01FQU5fU0FMRVMoMjAxMCwwM","S8xMS8yMDExKQ==&amp;WINDOW=FIRST_POPUP&amp;HEIGHT=450&amp;WIDTH=450&amp;START_MAXIMIZED=FALSE&amp;VAR:CALENDAR=FIVEDAY&amp;VAR:SYMBOL=COL&amp;VAR:INDEX=0"}</definedName>
    <definedName name="_211__FDSAUDITLINK__" hidden="1">{"fdsup://directions/FAT Viewer?action=UPDATE&amp;creator=factset&amp;DYN_ARGS=TRUE&amp;DOC_NAME=FAT:FQL_AUDITING_CLIENT_TEMPLATE.FAT&amp;display_string=Audit&amp;VAR:KEY=CDCBWBYDQB&amp;VAR:QUERY=RkZfRU5UUlBSX1ZBTF9EQUlMWSgwMS8xMS8yMDExLCwsLCwnRElMJykvRUNBX01FQU5fRUJJVCgyMDEyLDAxL","zExLzIwMTEp&amp;WINDOW=FIRST_POPUP&amp;HEIGHT=450&amp;WIDTH=450&amp;START_MAXIMIZED=FALSE&amp;VAR:CALENDAR=FIVEDAY&amp;VAR:SYMBOL=COL&amp;VAR:INDEX=0"}</definedName>
    <definedName name="_212__FDSAUDITLINK__" hidden="1">{"fdsup://directions/FAT Viewer?action=UPDATE&amp;creator=factset&amp;DYN_ARGS=TRUE&amp;DOC_NAME=FAT:FQL_AUDITING_CLIENT_TEMPLATE.FAT&amp;display_string=Audit&amp;VAR:KEY=MRELINIDUN&amp;VAR:QUERY=RkZfRU5UUlBSX1ZBTF9EQUlMWSgwMS8xMS8yMDExLCwsLCwnRElMJykvRUNBX01FQU5fRUJJVCgyMDExLDAxL","zExLzIwMTEp&amp;WINDOW=FIRST_POPUP&amp;HEIGHT=450&amp;WIDTH=450&amp;START_MAXIMIZED=FALSE&amp;VAR:CALENDAR=FIVEDAY&amp;VAR:SYMBOL=COL&amp;VAR:INDEX=0"}</definedName>
    <definedName name="_213__FDSAUDITLINK__" hidden="1">{"fdsup://directions/FAT Viewer?action=UPDATE&amp;creator=factset&amp;DYN_ARGS=TRUE&amp;DOC_NAME=FAT:FQL_AUDITING_CLIENT_TEMPLATE.FAT&amp;display_string=Audit&amp;VAR:KEY=IFODUDADIP&amp;VAR:QUERY=RkZfRU5UUlBSX1ZBTF9EQUlMWSgwMS8xMS8yMDExLCwsLCwnRElMJykvRUNBX01FQU5fRUJJVCgyMDEwLDAxL","zExLzIwMTEp&amp;WINDOW=FIRST_POPUP&amp;HEIGHT=450&amp;WIDTH=450&amp;START_MAXIMIZED=FALSE&amp;VAR:CALENDAR=FIVEDAY&amp;VAR:SYMBOL=COL&amp;VAR:INDEX=0"}</definedName>
    <definedName name="_214__FDSAUDITLINK__" hidden="1">{"fdsup://directions/FAT Viewer?action=UPDATE&amp;creator=factset&amp;DYN_ARGS=TRUE&amp;DOC_NAME=FAT:FQL_AUDITING_CLIENT_TEMPLATE.FAT&amp;display_string=Audit&amp;VAR:KEY=IVYHOZMZUD&amp;VAR:QUERY=RkZfRU5UUlBSX1ZBTF9EQUlMWSgwMS8xMS8yMDExLCwsLCwnRElMJykvRUNBX01FQU5fRUJJVERBKDIwMTIsM","DEvMTEvMjAxMSk=&amp;WINDOW=FIRST_POPUP&amp;HEIGHT=450&amp;WIDTH=450&amp;START_MAXIMIZED=FALSE&amp;VAR:CALENDAR=FIVEDAY&amp;VAR:SYMBOL=COL&amp;VAR:INDEX=0"}</definedName>
    <definedName name="_215__FDSAUDITLINK__" hidden="1">{"fdsup://directions/FAT Viewer?action=UPDATE&amp;creator=factset&amp;DYN_ARGS=TRUE&amp;DOC_NAME=FAT:FQL_AUDITING_CLIENT_TEMPLATE.FAT&amp;display_string=Audit&amp;VAR:KEY=KPUZOZGRKX&amp;VAR:QUERY=RkZfRU5UUlBSX1ZBTF9EQUlMWSgwMS8xMS8yMDExLCwsLCwnRElMJykvRUNBX01FQU5fRUJJVERBKDIwMTEsM","DEvMTEvMjAxMSk=&amp;WINDOW=FIRST_POPUP&amp;HEIGHT=450&amp;WIDTH=450&amp;START_MAXIMIZED=FALSE&amp;VAR:CALENDAR=FIVEDAY&amp;VAR:SYMBOL=COL&amp;VAR:INDEX=0"}</definedName>
    <definedName name="_216__FDSAUDITLINK__" hidden="1">{"fdsup://directions/FAT Viewer?action=UPDATE&amp;creator=factset&amp;DYN_ARGS=TRUE&amp;DOC_NAME=FAT:FQL_AUDITING_CLIENT_TEMPLATE.FAT&amp;display_string=Audit&amp;VAR:KEY=YHQTSVONSR&amp;VAR:QUERY=RkZfRU5UUlBSX1ZBTF9EQUlMWSgwMS8xMS8yMDExLCwsLCwnRElMJykvRUNBX01FQU5fRUJJVERBKDIwMTAsM","DEvMTEvMjAxMSk=&amp;WINDOW=FIRST_POPUP&amp;HEIGHT=450&amp;WIDTH=450&amp;START_MAXIMIZED=FALSE&amp;VAR:CALENDAR=FIVEDAY&amp;VAR:SYMBOL=COL&amp;VAR:INDEX=0"}</definedName>
    <definedName name="_217__FDSAUDITLINK__" hidden="1">{"fdsup://directions/FAT Viewer?action=UPDATE&amp;creator=factset&amp;DYN_ARGS=TRUE&amp;DOC_NAME=FAT:FQL_AUDITING_CLIENT_TEMPLATE.FAT&amp;display_string=Audit&amp;VAR:KEY=KLSZKFETWB&amp;VAR:QUERY=RkZfRU5UUlBSX1ZBTF9EQUlMWSgwMS8xMS8yMDExLCwsLCwnRElMJykvRUNBX01FQU5fU0FMRVMoMjAxMiwwM","S8xMS8yMDExKQ==&amp;WINDOW=FIRST_POPUP&amp;HEIGHT=450&amp;WIDTH=450&amp;START_MAXIMIZED=FALSE&amp;VAR:CALENDAR=FIVEDAY&amp;VAR:SYMBOL=BEAV&amp;VAR:INDEX=0"}</definedName>
    <definedName name="_218__FDSAUDITLINK__" hidden="1">{"fdsup://directions/FAT Viewer?action=UPDATE&amp;creator=factset&amp;DYN_ARGS=TRUE&amp;DOC_NAME=FAT:FQL_AUDITING_CLIENT_TEMPLATE.FAT&amp;display_string=Audit&amp;VAR:KEY=WFALUTYBGP&amp;VAR:QUERY=RkZfRU5UUlBSX1ZBTF9EQUlMWSgwMS8xMS8yMDExLCwsLCwnRElMJykvRUNBX01FQU5fU0FMRVMoMjAxMSwwM","S8xMS8yMDExKQ==&amp;WINDOW=FIRST_POPUP&amp;HEIGHT=450&amp;WIDTH=450&amp;START_MAXIMIZED=FALSE&amp;VAR:CALENDAR=FIVEDAY&amp;VAR:SYMBOL=BEAV&amp;VAR:INDEX=0"}</definedName>
    <definedName name="_219__FDSAUDITLINK__" hidden="1">{"fdsup://directions/FAT Viewer?action=UPDATE&amp;creator=factset&amp;DYN_ARGS=TRUE&amp;DOC_NAME=FAT:FQL_AUDITING_CLIENT_TEMPLATE.FAT&amp;display_string=Audit&amp;VAR:KEY=ODYHONQXAZ&amp;VAR:QUERY=RkZfRU5UUlBSX1ZBTF9EQUlMWSgwMS8xMS8yMDExLCwsLCwnRElMJykvRUNBX01FQU5fU0FMRVMoMjAxMCwwM","S8xMS8yMDExKQ==&amp;WINDOW=FIRST_POPUP&amp;HEIGHT=450&amp;WIDTH=450&amp;START_MAXIMIZED=FALSE&amp;VAR:CALENDAR=FIVEDAY&amp;VAR:SYMBOL=BEAV&amp;VAR:INDEX=0"}</definedName>
    <definedName name="_22__FDSAUDITLINK__" hidden="1">{"fdsup://directions/FAT Viewer?action=UPDATE&amp;creator=factset&amp;DYN_ARGS=TRUE&amp;DOC_NAME=FAT:FQL_AUDITING_CLIENT_TEMPLATE.FAT&amp;display_string=Audit&amp;VAR:KEY=YZABQJKFQX&amp;VAR:QUERY=RkZfRU5UUlBSX1ZBTF9EQUlMWSgwNy8yNi8yMDExLCwsLCwnRElMJykvRUNBX01FQU5fRUJJVCgyMDEyLDA3L","zI2LzIwMTEp&amp;WINDOW=FIRST_POPUP&amp;HEIGHT=450&amp;WIDTH=450&amp;START_MAXIMIZED=FALSE&amp;VAR:CALENDAR=FIVEDAY&amp;VAR:SYMBOL=MOG.A&amp;VAR:INDEX=0"}</definedName>
    <definedName name="_220__FDSAUDITLINK__" hidden="1">{"fdsup://directions/FAT Viewer?action=UPDATE&amp;creator=factset&amp;DYN_ARGS=TRUE&amp;DOC_NAME=FAT:FQL_AUDITING_CLIENT_TEMPLATE.FAT&amp;display_string=Audit&amp;VAR:KEY=YDGFSNGJUZ&amp;VAR:QUERY=RkZfRU5UUlBSX1ZBTF9EQUlMWSgwMS8xMS8yMDExLCwsLCwnRElMJykvRUNBX01FQU5fRUJJVCgyMDEyLDAxL","zExLzIwMTEp&amp;WINDOW=FIRST_POPUP&amp;HEIGHT=450&amp;WIDTH=450&amp;START_MAXIMIZED=FALSE&amp;VAR:CALENDAR=FIVEDAY&amp;VAR:SYMBOL=BEAV&amp;VAR:INDEX=0"}</definedName>
    <definedName name="_221__FDSAUDITLINK__" hidden="1">{"fdsup://directions/FAT Viewer?action=UPDATE&amp;creator=factset&amp;DYN_ARGS=TRUE&amp;DOC_NAME=FAT:FQL_AUDITING_CLIENT_TEMPLATE.FAT&amp;display_string=Audit&amp;VAR:KEY=YBCBUFQRWT&amp;VAR:QUERY=RkZfRU5UUlBSX1ZBTF9EQUlMWSgwMS8xMS8yMDExLCwsLCwnRElMJykvRUNBX01FQU5fRUJJVCgyMDExLDAxL","zExLzIwMTEp&amp;WINDOW=FIRST_POPUP&amp;HEIGHT=450&amp;WIDTH=450&amp;START_MAXIMIZED=FALSE&amp;VAR:CALENDAR=FIVEDAY&amp;VAR:SYMBOL=BEAV&amp;VAR:INDEX=0"}</definedName>
    <definedName name="_222__FDSAUDITLINK__" hidden="1">{"fdsup://directions/FAT Viewer?action=UPDATE&amp;creator=factset&amp;DYN_ARGS=TRUE&amp;DOC_NAME=FAT:FQL_AUDITING_CLIENT_TEMPLATE.FAT&amp;display_string=Audit&amp;VAR:KEY=SVCFMTMNEH&amp;VAR:QUERY=RkZfRU5UUlBSX1ZBTF9EQUlMWSgwMS8xMS8yMDExLCwsLCwnRElMJykvRUNBX01FQU5fRUJJVCgyMDEwLDAxL","zExLzIwMTEp&amp;WINDOW=FIRST_POPUP&amp;HEIGHT=450&amp;WIDTH=450&amp;START_MAXIMIZED=FALSE&amp;VAR:CALENDAR=FIVEDAY&amp;VAR:SYMBOL=BEAV&amp;VAR:INDEX=0"}</definedName>
    <definedName name="_223__FDSAUDITLINK__" hidden="1">{"fdsup://directions/FAT Viewer?action=UPDATE&amp;creator=factset&amp;DYN_ARGS=TRUE&amp;DOC_NAME=FAT:FQL_AUDITING_CLIENT_TEMPLATE.FAT&amp;display_string=Audit&amp;VAR:KEY=UPEPWDAVAV&amp;VAR:QUERY=RkZfRU5UUlBSX1ZBTF9EQUlMWSgwMS8xMS8yMDExLCwsLCwnRElMJykvRUNBX01FQU5fRUJJVERBKDIwMTIsM","DEvMTEvMjAxMSk=&amp;WINDOW=FIRST_POPUP&amp;HEIGHT=450&amp;WIDTH=450&amp;START_MAXIMIZED=FALSE&amp;VAR:CALENDAR=FIVEDAY&amp;VAR:SYMBOL=BEAV&amp;VAR:INDEX=0"}</definedName>
    <definedName name="_224__FDSAUDITLINK__" hidden="1">{"fdsup://directions/FAT Viewer?action=UPDATE&amp;creator=factset&amp;DYN_ARGS=TRUE&amp;DOC_NAME=FAT:FQL_AUDITING_CLIENT_TEMPLATE.FAT&amp;display_string=Audit&amp;VAR:KEY=GZENALIHQZ&amp;VAR:QUERY=RkZfRU5UUlBSX1ZBTF9EQUlMWSgwMS8xMS8yMDExLCwsLCwnRElMJykvRUNBX01FQU5fRUJJVERBKDIwMTEsM","DEvMTEvMjAxMSk=&amp;WINDOW=FIRST_POPUP&amp;HEIGHT=450&amp;WIDTH=450&amp;START_MAXIMIZED=FALSE&amp;VAR:CALENDAR=FIVEDAY&amp;VAR:SYMBOL=BEAV&amp;VAR:INDEX=0"}</definedName>
    <definedName name="_225__FDSAUDITLINK__" hidden="1">{"fdsup://directions/FAT Viewer?action=UPDATE&amp;creator=factset&amp;DYN_ARGS=TRUE&amp;DOC_NAME=FAT:FQL_AUDITING_CLIENT_TEMPLATE.FAT&amp;display_string=Audit&amp;VAR:KEY=ANEFKFOZQB&amp;VAR:QUERY=RkZfRU5UUlBSX1ZBTF9EQUlMWSgwMS8xMS8yMDExLCwsLCwnRElMJykvRUNBX01FQU5fRUJJVERBKDIwMTAsM","DEvMTEvMjAxMSk=&amp;WINDOW=FIRST_POPUP&amp;HEIGHT=450&amp;WIDTH=450&amp;START_MAXIMIZED=FALSE&amp;VAR:CALENDAR=FIVEDAY&amp;VAR:SYMBOL=BEAV&amp;VAR:INDEX=0"}</definedName>
    <definedName name="_226__FDSAUDITLINK__" hidden="1">{"fdsup://directions/FAT Viewer?action=UPDATE&amp;creator=factset&amp;DYN_ARGS=TRUE&amp;DOC_NAME=FAT:FQL_AUDITING_CLIENT_TEMPLATE.FAT&amp;display_string=Audit&amp;VAR:KEY=URQXKTSLOB&amp;VAR:QUERY=RkZfRU5UUlBSX1ZBTF9EQUlMWSgwNC8xNS8yMDExLCwsLCwnRElMJykvRUNBX01FQU5fU0FMRVMoMjAxMiwwN","C8xNS8yMDExKQ==&amp;WINDOW=FIRST_POPUP&amp;HEIGHT=450&amp;WIDTH=450&amp;START_MAXIMIZED=FALSE&amp;VAR:CALENDAR=FIVEDAY&amp;VAR:SYMBOL=057580&amp;VAR:INDEX=0"}</definedName>
    <definedName name="_227__FDSAUDITLINK__" hidden="1">{"fdsup://directions/FAT Viewer?action=UPDATE&amp;creator=factset&amp;DYN_ARGS=TRUE&amp;DOC_NAME=FAT:FQL_AUDITING_CLIENT_TEMPLATE.FAT&amp;display_string=Audit&amp;VAR:KEY=CZUVWJCPEZ&amp;VAR:QUERY=RkZfRU5UUlBSX1ZBTF9EQUlMWSgwNC8xNS8yMDExLCwsLCwnRElMJykvRUNBX01FQU5fU0FMRVMoMjAxMSwwN","C8xNS8yMDExKQ==&amp;WINDOW=FIRST_POPUP&amp;HEIGHT=450&amp;WIDTH=450&amp;START_MAXIMIZED=FALSE&amp;VAR:CALENDAR=FIVEDAY&amp;VAR:SYMBOL=057580&amp;VAR:INDEX=0"}</definedName>
    <definedName name="_228__FDSAUDITLINK__" hidden="1">{"fdsup://directions/FAT Viewer?action=UPDATE&amp;creator=factset&amp;DYN_ARGS=TRUE&amp;DOC_NAME=FAT:FQL_AUDITING_CLIENT_TEMPLATE.FAT&amp;display_string=Audit&amp;VAR:KEY=WRYZCLGVAT&amp;VAR:QUERY=RkZfRU5UUlBSX1ZBTF9EQUlMWSgwNC8xNS8yMDExLCwsLCwnRElMJykvRUNBX01FQU5fU0FMRVMoMjAxMCwwN","C8xNS8yMDExKQ==&amp;WINDOW=FIRST_POPUP&amp;HEIGHT=450&amp;WIDTH=450&amp;START_MAXIMIZED=FALSE&amp;VAR:CALENDAR=FIVEDAY&amp;VAR:SYMBOL=057580&amp;VAR:INDEX=0"}</definedName>
    <definedName name="_229__FDSAUDITLINK__" hidden="1">{"fdsup://directions/FAT Viewer?action=UPDATE&amp;creator=factset&amp;DYN_ARGS=TRUE&amp;DOC_NAME=FAT:FQL_AUDITING_CLIENT_TEMPLATE.FAT&amp;display_string=Audit&amp;VAR:KEY=KTEHEXUNKX&amp;VAR:QUERY=RkZfRU5UUlBSX1ZBTF9EQUlMWSgwNC8xNS8yMDExLCwsLCwnRElMJykvRUNBX01FQU5fRUJJVCgyMDEyLDA0L","zE1LzIwMTEp&amp;WINDOW=FIRST_POPUP&amp;HEIGHT=450&amp;WIDTH=450&amp;START_MAXIMIZED=FALSE&amp;VAR:CALENDAR=FIVEDAY&amp;VAR:SYMBOL=057580&amp;VAR:INDEX=0"}</definedName>
    <definedName name="_23__123Graph_Dｸﾞﾗﾌ_1" hidden="1">[2]ｾｸﾞﾒﾝﾄ!$E$167:$I$167</definedName>
    <definedName name="_23__FDSAUDITLINK__" hidden="1">{"fdsup://directions/FAT Viewer?action=UPDATE&amp;creator=factset&amp;DYN_ARGS=TRUE&amp;DOC_NAME=FAT:FQL_AUDITING_CLIENT_TEMPLATE.FAT&amp;display_string=Audit&amp;VAR:KEY=ATYHKPOLOF&amp;VAR:QUERY=RkZfRU5UUlBSX1ZBTF9EQUlMWSgwNy8yNi8yMDExLCwsLCwnRElMJykvRUNBX01FQU5fRUJJVCgyMDExLDA3L","zI2LzIwMTEp&amp;WINDOW=FIRST_POPUP&amp;HEIGHT=450&amp;WIDTH=450&amp;START_MAXIMIZED=FALSE&amp;VAR:CALENDAR=FIVEDAY&amp;VAR:SYMBOL=MOG.A&amp;VAR:INDEX=0"}</definedName>
    <definedName name="_230__FDSAUDITLINK__" hidden="1">{"fdsup://directions/FAT Viewer?action=UPDATE&amp;creator=factset&amp;DYN_ARGS=TRUE&amp;DOC_NAME=FAT:FQL_AUDITING_CLIENT_TEMPLATE.FAT&amp;display_string=Audit&amp;VAR:KEY=SJIXWFSXQJ&amp;VAR:QUERY=RkZfRU5UUlBSX1ZBTF9EQUlMWSgwNC8xNS8yMDExLCwsLCwnRElMJykvRUNBX01FQU5fRUJJVCgyMDExLDA0L","zE1LzIwMTEp&amp;WINDOW=FIRST_POPUP&amp;HEIGHT=450&amp;WIDTH=450&amp;START_MAXIMIZED=FALSE&amp;VAR:CALENDAR=FIVEDAY&amp;VAR:SYMBOL=057580&amp;VAR:INDEX=0"}</definedName>
    <definedName name="_231__FDSAUDITLINK__" hidden="1">{"fdsup://directions/FAT Viewer?action=UPDATE&amp;creator=factset&amp;DYN_ARGS=TRUE&amp;DOC_NAME=FAT:FQL_AUDITING_CLIENT_TEMPLATE.FAT&amp;display_string=Audit&amp;VAR:KEY=QVQBATWZSD&amp;VAR:QUERY=RkZfRU5UUlBSX1ZBTF9EQUlMWSgwNC8xNS8yMDExLCwsLCwnRElMJykvRUNBX01FQU5fRUJJVCgyMDEwLDA0L","zE1LzIwMTEp&amp;WINDOW=FIRST_POPUP&amp;HEIGHT=450&amp;WIDTH=450&amp;START_MAXIMIZED=FALSE&amp;VAR:CALENDAR=FIVEDAY&amp;VAR:SYMBOL=057580&amp;VAR:INDEX=0"}</definedName>
    <definedName name="_232__FDSAUDITLINK__" hidden="1">{"fdsup://directions/FAT Viewer?action=UPDATE&amp;creator=factset&amp;DYN_ARGS=TRUE&amp;DOC_NAME=FAT:FQL_AUDITING_CLIENT_TEMPLATE.FAT&amp;display_string=Audit&amp;VAR:KEY=OFENMVCLCJ&amp;VAR:QUERY=RkZfRU5UUlBSX1ZBTF9EQUlMWSgwNC8xNS8yMDExLCwsLCwnRElMJykvRUNBX01FQU5fRUJJVERBKDIwMTIsM","DQvMTUvMjAxMSk=&amp;WINDOW=FIRST_POPUP&amp;HEIGHT=450&amp;WIDTH=450&amp;START_MAXIMIZED=FALSE&amp;VAR:CALENDAR=FIVEDAY&amp;VAR:SYMBOL=057580&amp;VAR:INDEX=0"}</definedName>
    <definedName name="_233__FDSAUDITLINK__" hidden="1">{"fdsup://directions/FAT Viewer?action=UPDATE&amp;creator=factset&amp;DYN_ARGS=TRUE&amp;DOC_NAME=FAT:FQL_AUDITING_CLIENT_TEMPLATE.FAT&amp;display_string=Audit&amp;VAR:KEY=CBKLCDCTEN&amp;VAR:QUERY=RkZfRU5UUlBSX1ZBTF9EQUlMWSgwNC8xNS8yMDExLCwsLCwnRElMJykvRUNBX01FQU5fRUJJVERBKDIwMTEsM","DQvMTUvMjAxMSk=&amp;WINDOW=FIRST_POPUP&amp;HEIGHT=450&amp;WIDTH=450&amp;START_MAXIMIZED=FALSE&amp;VAR:CALENDAR=FIVEDAY&amp;VAR:SYMBOL=057580&amp;VAR:INDEX=0"}</definedName>
    <definedName name="_234__FDSAUDITLINK__" hidden="1">{"fdsup://directions/FAT Viewer?action=UPDATE&amp;creator=factset&amp;DYN_ARGS=TRUE&amp;DOC_NAME=FAT:FQL_AUDITING_CLIENT_TEMPLATE.FAT&amp;display_string=Audit&amp;VAR:KEY=GXSBOHUDSD&amp;VAR:QUERY=RkZfRU5UUlBSX1ZBTF9EQUlMWSgwNC8xNS8yMDExLCwsLCwnRElMJykvRUNBX01FQU5fRUJJVERBKDIwMTAsM","DQvMTUvMjAxMSk=&amp;WINDOW=FIRST_POPUP&amp;HEIGHT=450&amp;WIDTH=450&amp;START_MAXIMIZED=FALSE&amp;VAR:CALENDAR=FIVEDAY&amp;VAR:SYMBOL=057580&amp;VAR:INDEX=0"}</definedName>
    <definedName name="_235__FDSAUDITLINK__" hidden="1">{"fdsup://directions/FAT Viewer?action=UPDATE&amp;creator=factset&amp;DYN_ARGS=TRUE&amp;DOC_NAME=FAT:FQL_AUDITING_CLIENT_TEMPLATE.FAT&amp;display_string=Audit&amp;VAR:KEY=MBCVAPOVAP&amp;VAR:QUERY=RkZfRU5UUlBSX1ZBTF9EQUlMWSgwNC8xNS8yMDExLCwsLCwnRElMJykvRUNBX01FQU5fU0FMRVMoMjAxMiwwN","C8xNS8yMDExKQ==&amp;WINDOW=FIRST_POPUP&amp;HEIGHT=450&amp;WIDTH=450&amp;START_MAXIMIZED=FALSE&amp;VAR:CALENDAR=FIVEDAY&amp;VAR:SYMBOL=PCP&amp;VAR:INDEX=0"}</definedName>
    <definedName name="_236__FDSAUDITLINK__" hidden="1">{"fdsup://directions/FAT Viewer?action=UPDATE&amp;creator=factset&amp;DYN_ARGS=TRUE&amp;DOC_NAME=FAT:FQL_AUDITING_CLIENT_TEMPLATE.FAT&amp;display_string=Audit&amp;VAR:KEY=UZONWTSFKD&amp;VAR:QUERY=RkZfRU5UUlBSX1ZBTF9EQUlMWSgwNC8xNS8yMDExLCwsLCwnRElMJykvRUNBX01FQU5fU0FMRVMoMjAxMSwwN","C8xNS8yMDExKQ==&amp;WINDOW=FIRST_POPUP&amp;HEIGHT=450&amp;WIDTH=450&amp;START_MAXIMIZED=FALSE&amp;VAR:CALENDAR=FIVEDAY&amp;VAR:SYMBOL=PCP&amp;VAR:INDEX=0"}</definedName>
    <definedName name="_237__FDSAUDITLINK__" hidden="1">{"fdsup://directions/FAT Viewer?action=UPDATE&amp;creator=factset&amp;DYN_ARGS=TRUE&amp;DOC_NAME=FAT:FQL_AUDITING_CLIENT_TEMPLATE.FAT&amp;display_string=Audit&amp;VAR:KEY=CLGRYBUBOJ&amp;VAR:QUERY=RkZfRU5UUlBSX1ZBTF9EQUlMWSgwNC8xNS8yMDExLCwsLCwnRElMJykvRUNBX01FQU5fU0FMRVMoMjAxMCwwN","C8xNS8yMDExKQ==&amp;WINDOW=FIRST_POPUP&amp;HEIGHT=450&amp;WIDTH=450&amp;START_MAXIMIZED=FALSE&amp;VAR:CALENDAR=FIVEDAY&amp;VAR:SYMBOL=PCP&amp;VAR:INDEX=0"}</definedName>
    <definedName name="_238__FDSAUDITLINK__" hidden="1">{"fdsup://directions/FAT Viewer?action=UPDATE&amp;creator=factset&amp;DYN_ARGS=TRUE&amp;DOC_NAME=FAT:FQL_AUDITING_CLIENT_TEMPLATE.FAT&amp;display_string=Audit&amp;VAR:KEY=WTQFQXQBEZ&amp;VAR:QUERY=RkZfRU5UUlBSX1ZBTF9EQUlMWSgwNC8xNS8yMDExLCwsLCwnRElMJykvRUNBX01FQU5fRUJJVCgyMDEyLDA0L","zE1LzIwMTEp&amp;WINDOW=FIRST_POPUP&amp;HEIGHT=450&amp;WIDTH=450&amp;START_MAXIMIZED=FALSE&amp;VAR:CALENDAR=FIVEDAY&amp;VAR:SYMBOL=PCP&amp;VAR:INDEX=0"}</definedName>
    <definedName name="_239__FDSAUDITLINK__" hidden="1">{"fdsup://directions/FAT Viewer?action=UPDATE&amp;creator=factset&amp;DYN_ARGS=TRUE&amp;DOC_NAME=FAT:FQL_AUDITING_CLIENT_TEMPLATE.FAT&amp;display_string=Audit&amp;VAR:KEY=ETIHQFITOP&amp;VAR:QUERY=RkZfRU5UUlBSX1ZBTF9EQUlMWSgwNC8xNS8yMDExLCwsLCwnRElMJykvRUNBX01FQU5fRUJJVCgyMDExLDA0L","zE1LzIwMTEp&amp;WINDOW=FIRST_POPUP&amp;HEIGHT=450&amp;WIDTH=450&amp;START_MAXIMIZED=FALSE&amp;VAR:CALENDAR=FIVEDAY&amp;VAR:SYMBOL=PCP&amp;VAR:INDEX=0"}</definedName>
    <definedName name="_24__FDSAUDITLINK__" hidden="1">{"fdsup://directions/FAT Viewer?action=UPDATE&amp;creator=factset&amp;DYN_ARGS=TRUE&amp;DOC_NAME=FAT:FQL_AUDITING_CLIENT_TEMPLATE.FAT&amp;display_string=Audit&amp;VAR:KEY=INKPEBETEH&amp;VAR:QUERY=RkZfRU5UUlBSX1ZBTF9EQUlMWSgwNy8yNi8yMDExLCwsLCwnRElMJykvRUNBX01FQU5fRUJJVCgyMDEwLDA3L","zI2LzIwMTEp&amp;WINDOW=FIRST_POPUP&amp;HEIGHT=450&amp;WIDTH=450&amp;START_MAXIMIZED=FALSE&amp;VAR:CALENDAR=FIVEDAY&amp;VAR:SYMBOL=MOG.A&amp;VAR:INDEX=0"}</definedName>
    <definedName name="_240__FDSAUDITLINK__" hidden="1">{"fdsup://directions/FAT Viewer?action=UPDATE&amp;creator=factset&amp;DYN_ARGS=TRUE&amp;DOC_NAME=FAT:FQL_AUDITING_CLIENT_TEMPLATE.FAT&amp;display_string=Audit&amp;VAR:KEY=ORIJKZEDGL&amp;VAR:QUERY=RkZfRU5UUlBSX1ZBTF9EQUlMWSgwNC8xNS8yMDExLCwsLCwnRElMJykvRUNBX01FQU5fRUJJVCgyMDEwLDA0L","zE1LzIwMTEp&amp;WINDOW=FIRST_POPUP&amp;HEIGHT=450&amp;WIDTH=450&amp;START_MAXIMIZED=FALSE&amp;VAR:CALENDAR=FIVEDAY&amp;VAR:SYMBOL=PCP&amp;VAR:INDEX=0"}</definedName>
    <definedName name="_241__FDSAUDITLINK__" hidden="1">{"fdsup://directions/FAT Viewer?action=UPDATE&amp;creator=factset&amp;DYN_ARGS=TRUE&amp;DOC_NAME=FAT:FQL_AUDITING_CLIENT_TEMPLATE.FAT&amp;display_string=Audit&amp;VAR:KEY=IXWXABCNQP&amp;VAR:QUERY=RkZfRU5UUlBSX1ZBTF9EQUlMWSgwNC8xNS8yMDExLCwsLCwnRElMJykvRUNBX01FQU5fRUJJVERBKDIwMTIsM","DQvMTUvMjAxMSk=&amp;WINDOW=FIRST_POPUP&amp;HEIGHT=450&amp;WIDTH=450&amp;START_MAXIMIZED=FALSE&amp;VAR:CALENDAR=FIVEDAY&amp;VAR:SYMBOL=PCP&amp;VAR:INDEX=0"}</definedName>
    <definedName name="_242__FDSAUDITLINK__" hidden="1">{"fdsup://directions/FAT Viewer?action=UPDATE&amp;creator=factset&amp;DYN_ARGS=TRUE&amp;DOC_NAME=FAT:FQL_AUDITING_CLIENT_TEMPLATE.FAT&amp;display_string=Audit&amp;VAR:KEY=QFAZMXKHAR&amp;VAR:QUERY=RkZfRU5UUlBSX1ZBTF9EQUlMWSgwNC8xNS8yMDExLCwsLCwnRElMJykvRUNBX01FQU5fRUJJVERBKDIwMTEsM","DQvMTUvMjAxMSk=&amp;WINDOW=FIRST_POPUP&amp;HEIGHT=450&amp;WIDTH=450&amp;START_MAXIMIZED=FALSE&amp;VAR:CALENDAR=FIVEDAY&amp;VAR:SYMBOL=PCP&amp;VAR:INDEX=0"}</definedName>
    <definedName name="_243__FDSAUDITLINK__" hidden="1">{"fdsup://directions/FAT Viewer?action=UPDATE&amp;creator=factset&amp;DYN_ARGS=TRUE&amp;DOC_NAME=FAT:FQL_AUDITING_CLIENT_TEMPLATE.FAT&amp;display_string=Audit&amp;VAR:KEY=ULSJOLSFOZ&amp;VAR:QUERY=RkZfRU5UUlBSX1ZBTF9EQUlMWSgwNC8xNS8yMDExLCwsLCwnRElMJykvRUNBX01FQU5fRUJJVERBKDIwMTAsM","DQvMTUvMjAxMSk=&amp;WINDOW=FIRST_POPUP&amp;HEIGHT=450&amp;WIDTH=450&amp;START_MAXIMIZED=FALSE&amp;VAR:CALENDAR=FIVEDAY&amp;VAR:SYMBOL=PCP&amp;VAR:INDEX=0"}</definedName>
    <definedName name="_244__FDSAUDITLINK__" hidden="1">{"fdsup://directions/FAT Viewer?action=UPDATE&amp;creator=factset&amp;DYN_ARGS=TRUE&amp;DOC_NAME=FAT:FQL_AUDITING_CLIENT_TEMPLATE.FAT&amp;display_string=Audit&amp;VAR:KEY=KHEXYBOZUL&amp;VAR:QUERY=RkZfRU5UUlBSX1ZBTF9EQUlMWSgwNC8xNS8yMDExLCwsLCwnRElMJykvRUNBX01FQU5fU0FMRVMoMjAxMiwwN","C8xNS8yMDExKQ==&amp;WINDOW=FIRST_POPUP&amp;HEIGHT=450&amp;WIDTH=450&amp;START_MAXIMIZED=FALSE&amp;VAR:CALENDAR=FIVEDAY&amp;VAR:SYMBOL=MOG.A&amp;VAR:INDEX=0"}</definedName>
    <definedName name="_245__FDSAUDITLINK__" hidden="1">{"fdsup://directions/FAT Viewer?action=UPDATE&amp;creator=factset&amp;DYN_ARGS=TRUE&amp;DOC_NAME=FAT:FQL_AUDITING_CLIENT_TEMPLATE.FAT&amp;display_string=Audit&amp;VAR:KEY=AXCFMPYZQP&amp;VAR:QUERY=RkZfRU5UUlBSX1ZBTF9EQUlMWSgwNC8xNS8yMDExLCwsLCwnRElMJykvRUNBX01FQU5fU0FMRVMoMjAxMSwwN","C8xNS8yMDExKQ==&amp;WINDOW=FIRST_POPUP&amp;HEIGHT=450&amp;WIDTH=450&amp;START_MAXIMIZED=FALSE&amp;VAR:CALENDAR=FIVEDAY&amp;VAR:SYMBOL=MOG.A&amp;VAR:INDEX=0"}</definedName>
    <definedName name="_246__FDSAUDITLINK__" hidden="1">{"fdsup://directions/FAT Viewer?action=UPDATE&amp;creator=factset&amp;DYN_ARGS=TRUE&amp;DOC_NAME=FAT:FQL_AUDITING_CLIENT_TEMPLATE.FAT&amp;display_string=Audit&amp;VAR:KEY=ITQBODQZYH&amp;VAR:QUERY=RkZfRU5UUlBSX1ZBTF9EQUlMWSgwNC8xNS8yMDExLCwsLCwnRElMJykvRUNBX01FQU5fU0FMRVMoMjAxMCwwN","C8xNS8yMDExKQ==&amp;WINDOW=FIRST_POPUP&amp;HEIGHT=450&amp;WIDTH=450&amp;START_MAXIMIZED=FALSE&amp;VAR:CALENDAR=FIVEDAY&amp;VAR:SYMBOL=MOG.A&amp;VAR:INDEX=0"}</definedName>
    <definedName name="_247__FDSAUDITLINK__" hidden="1">{"fdsup://directions/FAT Viewer?action=UPDATE&amp;creator=factset&amp;DYN_ARGS=TRUE&amp;DOC_NAME=FAT:FQL_AUDITING_CLIENT_TEMPLATE.FAT&amp;display_string=Audit&amp;VAR:KEY=YRCZEBGRML&amp;VAR:QUERY=RkZfRU5UUlBSX1ZBTF9EQUlMWSgwNC8xNS8yMDExLCwsLCwnRElMJykvRUNBX01FQU5fRUJJVCgyMDEyLDA0L","zE1LzIwMTEp&amp;WINDOW=FIRST_POPUP&amp;HEIGHT=450&amp;WIDTH=450&amp;START_MAXIMIZED=FALSE&amp;VAR:CALENDAR=FIVEDAY&amp;VAR:SYMBOL=MOG.A&amp;VAR:INDEX=0"}</definedName>
    <definedName name="_248__FDSAUDITLINK__" hidden="1">{"fdsup://directions/FAT Viewer?action=UPDATE&amp;creator=factset&amp;DYN_ARGS=TRUE&amp;DOC_NAME=FAT:FQL_AUDITING_CLIENT_TEMPLATE.FAT&amp;display_string=Audit&amp;VAR:KEY=IFQZWBGXGF&amp;VAR:QUERY=RkZfRU5UUlBSX1ZBTF9EQUlMWSgwNC8xNS8yMDExLCwsLCwnRElMJykvRUNBX01FQU5fRUJJVCgyMDExLDA0L","zE1LzIwMTEp&amp;WINDOW=FIRST_POPUP&amp;HEIGHT=450&amp;WIDTH=450&amp;START_MAXIMIZED=FALSE&amp;VAR:CALENDAR=FIVEDAY&amp;VAR:SYMBOL=MOG.A&amp;VAR:INDEX=0"}</definedName>
    <definedName name="_249__FDSAUDITLINK__" hidden="1">{"fdsup://directions/FAT Viewer?action=UPDATE&amp;creator=factset&amp;DYN_ARGS=TRUE&amp;DOC_NAME=FAT:FQL_AUDITING_CLIENT_TEMPLATE.FAT&amp;display_string=Audit&amp;VAR:KEY=KLKDEXEBOJ&amp;VAR:QUERY=RkZfRU5UUlBSX1ZBTF9EQUlMWSgwNC8xNS8yMDExLCwsLCwnRElMJykvRUNBX01FQU5fRUJJVCgyMDEwLDA0L","zE1LzIwMTEp&amp;WINDOW=FIRST_POPUP&amp;HEIGHT=450&amp;WIDTH=450&amp;START_MAXIMIZED=FALSE&amp;VAR:CALENDAR=FIVEDAY&amp;VAR:SYMBOL=MOG.A&amp;VAR:INDEX=0"}</definedName>
    <definedName name="_25__FDSAUDITLINK__" hidden="1">{"fdsup://directions/FAT Viewer?action=UPDATE&amp;creator=factset&amp;DYN_ARGS=TRUE&amp;DOC_NAME=FAT:FQL_AUDITING_CLIENT_TEMPLATE.FAT&amp;display_string=Audit&amp;VAR:KEY=CNIJARGTKN&amp;VAR:QUERY=RkZfRU5UUlBSX1ZBTF9EQUlMWSgwNy8yNi8yMDExLCwsLCwnRElMJykvRUNBX01FQU5fRUJJVERBKDIwMTIsM","DcvMjYvMjAxMSk=&amp;WINDOW=FIRST_POPUP&amp;HEIGHT=450&amp;WIDTH=450&amp;START_MAXIMIZED=FALSE&amp;VAR:CALENDAR=FIVEDAY&amp;VAR:SYMBOL=MOG.A&amp;VAR:INDEX=0"}</definedName>
    <definedName name="_250__FDSAUDITLINK__" hidden="1">{"fdsup://directions/FAT Viewer?action=UPDATE&amp;creator=factset&amp;DYN_ARGS=TRUE&amp;DOC_NAME=FAT:FQL_AUDITING_CLIENT_TEMPLATE.FAT&amp;display_string=Audit&amp;VAR:KEY=KBINGZKXYB&amp;VAR:QUERY=RkZfRU5UUlBSX1ZBTF9EQUlMWSgwNC8xNS8yMDExLCwsLCwnRElMJykvRUNBX01FQU5fRUJJVERBKDIwMTIsM","DQvMTUvMjAxMSk=&amp;WINDOW=FIRST_POPUP&amp;HEIGHT=450&amp;WIDTH=450&amp;START_MAXIMIZED=FALSE&amp;VAR:CALENDAR=FIVEDAY&amp;VAR:SYMBOL=MOG.A&amp;VAR:INDEX=0"}</definedName>
    <definedName name="_251__FDSAUDITLINK__" hidden="1">{"fdsup://directions/FAT Viewer?action=UPDATE&amp;creator=factset&amp;DYN_ARGS=TRUE&amp;DOC_NAME=FAT:FQL_AUDITING_CLIENT_TEMPLATE.FAT&amp;display_string=Audit&amp;VAR:KEY=CFILUHMTOT&amp;VAR:QUERY=RkZfRU5UUlBSX1ZBTF9EQUlMWSgwNC8xNS8yMDExLCwsLCwnRElMJykvRUNBX01FQU5fRUJJVERBKDIwMTEsM","DQvMTUvMjAxMSk=&amp;WINDOW=FIRST_POPUP&amp;HEIGHT=450&amp;WIDTH=450&amp;START_MAXIMIZED=FALSE&amp;VAR:CALENDAR=FIVEDAY&amp;VAR:SYMBOL=MOG.A&amp;VAR:INDEX=0"}</definedName>
    <definedName name="_252__FDSAUDITLINK__" hidden="1">{"fdsup://directions/FAT Viewer?action=UPDATE&amp;creator=factset&amp;DYN_ARGS=TRUE&amp;DOC_NAME=FAT:FQL_AUDITING_CLIENT_TEMPLATE.FAT&amp;display_string=Audit&amp;VAR:KEY=UTYZAXQFKX&amp;VAR:QUERY=RkZfRU5UUlBSX1ZBTF9EQUlMWSgwNC8xNS8yMDExLCwsLCwnRElMJykvRUNBX01FQU5fRUJJVERBKDIwMTAsM","DQvMTUvMjAxMSk=&amp;WINDOW=FIRST_POPUP&amp;HEIGHT=450&amp;WIDTH=450&amp;START_MAXIMIZED=FALSE&amp;VAR:CALENDAR=FIVEDAY&amp;VAR:SYMBOL=MOG.A&amp;VAR:INDEX=0"}</definedName>
    <definedName name="_253__FDSAUDITLINK__" hidden="1">{"fdsup://directions/FAT Viewer?action=UPDATE&amp;creator=factset&amp;DYN_ARGS=TRUE&amp;DOC_NAME=FAT:FQL_AUDITING_CLIENT_TEMPLATE.FAT&amp;display_string=Audit&amp;VAR:KEY=YJUJYLOROZ&amp;VAR:QUERY=RkZfRU5UUlBSX1ZBTF9EQUlMWSgwNC8xNS8yMDExLCwsLCwnRElMJykvRUNBX01FQU5fU0FMRVMoMjAxMiwwN","C8xNS8yMDExKQ==&amp;WINDOW=FIRST_POPUP&amp;HEIGHT=450&amp;WIDTH=450&amp;START_MAXIMIZED=FALSE&amp;VAR:CALENDAR=FIVEDAY&amp;VAR:SYMBOL=COL&amp;VAR:INDEX=0"}</definedName>
    <definedName name="_254__FDSAUDITLINK__" hidden="1">{"fdsup://directions/FAT Viewer?action=UPDATE&amp;creator=factset&amp;DYN_ARGS=TRUE&amp;DOC_NAME=FAT:FQL_AUDITING_CLIENT_TEMPLATE.FAT&amp;display_string=Audit&amp;VAR:KEY=YLOVIBWHCF&amp;VAR:QUERY=RkZfRU5UUlBSX1ZBTF9EQUlMWSgwNC8xNS8yMDExLCwsLCwnRElMJykvRUNBX01FQU5fU0FMRVMoMjAxMSwwN","C8xNS8yMDExKQ==&amp;WINDOW=FIRST_POPUP&amp;HEIGHT=450&amp;WIDTH=450&amp;START_MAXIMIZED=FALSE&amp;VAR:CALENDAR=FIVEDAY&amp;VAR:SYMBOL=COL&amp;VAR:INDEX=0"}</definedName>
    <definedName name="_255__FDSAUDITLINK__" hidden="1">{"fdsup://directions/FAT Viewer?action=UPDATE&amp;creator=factset&amp;DYN_ARGS=TRUE&amp;DOC_NAME=FAT:FQL_AUDITING_CLIENT_TEMPLATE.FAT&amp;display_string=Audit&amp;VAR:KEY=WZKLGVKJWJ&amp;VAR:QUERY=RkZfRU5UUlBSX1ZBTF9EQUlMWSgwNC8xNS8yMDExLCwsLCwnRElMJykvRUNBX01FQU5fU0FMRVMoMjAxMCwwN","C8xNS8yMDExKQ==&amp;WINDOW=FIRST_POPUP&amp;HEIGHT=450&amp;WIDTH=450&amp;START_MAXIMIZED=FALSE&amp;VAR:CALENDAR=FIVEDAY&amp;VAR:SYMBOL=COL&amp;VAR:INDEX=0"}</definedName>
    <definedName name="_256__FDSAUDITLINK__" hidden="1">{"fdsup://directions/FAT Viewer?action=UPDATE&amp;creator=factset&amp;DYN_ARGS=TRUE&amp;DOC_NAME=FAT:FQL_AUDITING_CLIENT_TEMPLATE.FAT&amp;display_string=Audit&amp;VAR:KEY=SVUZMNYNKL&amp;VAR:QUERY=RkZfRU5UUlBSX1ZBTF9EQUlMWSgwNC8xNS8yMDExLCwsLCwnRElMJykvRUNBX01FQU5fRUJJVCgyMDEyLDA0L","zE1LzIwMTEp&amp;WINDOW=FIRST_POPUP&amp;HEIGHT=450&amp;WIDTH=450&amp;START_MAXIMIZED=FALSE&amp;VAR:CALENDAR=FIVEDAY&amp;VAR:SYMBOL=COL&amp;VAR:INDEX=0"}</definedName>
    <definedName name="_257__FDSAUDITLINK__" hidden="1">{"fdsup://directions/FAT Viewer?action=UPDATE&amp;creator=factset&amp;DYN_ARGS=TRUE&amp;DOC_NAME=FAT:FQL_AUDITING_CLIENT_TEMPLATE.FAT&amp;display_string=Audit&amp;VAR:KEY=SBIXYTMDCX&amp;VAR:QUERY=RkZfRU5UUlBSX1ZBTF9EQUlMWSgwNC8xNS8yMDExLCwsLCwnRElMJykvRUNBX01FQU5fRUJJVCgyMDExLDA0L","zE1LzIwMTEp&amp;WINDOW=FIRST_POPUP&amp;HEIGHT=450&amp;WIDTH=450&amp;START_MAXIMIZED=FALSE&amp;VAR:CALENDAR=FIVEDAY&amp;VAR:SYMBOL=COL&amp;VAR:INDEX=0"}</definedName>
    <definedName name="_258__FDSAUDITLINK__" hidden="1">{"fdsup://directions/FAT Viewer?action=UPDATE&amp;creator=factset&amp;DYN_ARGS=TRUE&amp;DOC_NAME=FAT:FQL_AUDITING_CLIENT_TEMPLATE.FAT&amp;display_string=Audit&amp;VAR:KEY=WJYXKNIHIL&amp;VAR:QUERY=RkZfRU5UUlBSX1ZBTF9EQUlMWSgwNC8xNS8yMDExLCwsLCwnRElMJykvRUNBX01FQU5fRUJJVCgyMDEwLDA0L","zE1LzIwMTEp&amp;WINDOW=FIRST_POPUP&amp;HEIGHT=450&amp;WIDTH=450&amp;START_MAXIMIZED=FALSE&amp;VAR:CALENDAR=FIVEDAY&amp;VAR:SYMBOL=COL&amp;VAR:INDEX=0"}</definedName>
    <definedName name="_259__FDSAUDITLINK__" hidden="1">{"fdsup://directions/FAT Viewer?action=UPDATE&amp;creator=factset&amp;DYN_ARGS=TRUE&amp;DOC_NAME=FAT:FQL_AUDITING_CLIENT_TEMPLATE.FAT&amp;display_string=Audit&amp;VAR:KEY=KDSXWLKXYV&amp;VAR:QUERY=RkZfRU5UUlBSX1ZBTF9EQUlMWSgwNC8xNS8yMDExLCwsLCwnRElMJykvRUNBX01FQU5fRUJJVERBKDIwMTIsM","DQvMTUvMjAxMSk=&amp;WINDOW=FIRST_POPUP&amp;HEIGHT=450&amp;WIDTH=450&amp;START_MAXIMIZED=FALSE&amp;VAR:CALENDAR=FIVEDAY&amp;VAR:SYMBOL=COL&amp;VAR:INDEX=0"}</definedName>
    <definedName name="_26__FDSAUDITLINK__" hidden="1">{"fdsup://directions/FAT Viewer?action=UPDATE&amp;creator=factset&amp;DYN_ARGS=TRUE&amp;DOC_NAME=FAT:FQL_AUDITING_CLIENT_TEMPLATE.FAT&amp;display_string=Audit&amp;VAR:KEY=WPWTGLCLQZ&amp;VAR:QUERY=RkZfRU5UUlBSX1ZBTF9EQUlMWSgwNy8yNi8yMDExLCwsLCwnRElMJykvRUNBX01FQU5fRUJJVERBKDIwMTEsM","DcvMjYvMjAxMSk=&amp;WINDOW=FIRST_POPUP&amp;HEIGHT=450&amp;WIDTH=450&amp;START_MAXIMIZED=FALSE&amp;VAR:CALENDAR=FIVEDAY&amp;VAR:SYMBOL=MOG.A&amp;VAR:INDEX=0"}</definedName>
    <definedName name="_260__FDSAUDITLINK__" hidden="1">{"fdsup://directions/FAT Viewer?action=UPDATE&amp;creator=factset&amp;DYN_ARGS=TRUE&amp;DOC_NAME=FAT:FQL_AUDITING_CLIENT_TEMPLATE.FAT&amp;display_string=Audit&amp;VAR:KEY=IJGBSDCNWV&amp;VAR:QUERY=RkZfRU5UUlBSX1ZBTF9EQUlMWSgwNC8xNS8yMDExLCwsLCwnRElMJykvRUNBX01FQU5fRUJJVERBKDIwMTEsM","DQvMTUvMjAxMSk=&amp;WINDOW=FIRST_POPUP&amp;HEIGHT=450&amp;WIDTH=450&amp;START_MAXIMIZED=FALSE&amp;VAR:CALENDAR=FIVEDAY&amp;VAR:SYMBOL=COL&amp;VAR:INDEX=0"}</definedName>
    <definedName name="_261__FDSAUDITLINK__" hidden="1">{"fdsup://directions/FAT Viewer?action=UPDATE&amp;creator=factset&amp;DYN_ARGS=TRUE&amp;DOC_NAME=FAT:FQL_AUDITING_CLIENT_TEMPLATE.FAT&amp;display_string=Audit&amp;VAR:KEY=WJQFOHGZCN&amp;VAR:QUERY=RkZfRU5UUlBSX1ZBTF9EQUlMWSgwNC8xNS8yMDExLCwsLCwnRElMJykvRUNBX01FQU5fRUJJVERBKDIwMTAsM","DQvMTUvMjAxMSk=&amp;WINDOW=FIRST_POPUP&amp;HEIGHT=450&amp;WIDTH=450&amp;START_MAXIMIZED=FALSE&amp;VAR:CALENDAR=FIVEDAY&amp;VAR:SYMBOL=COL&amp;VAR:INDEX=0"}</definedName>
    <definedName name="_262__FDSAUDITLINK__" hidden="1">{"fdsup://directions/FAT Viewer?action=UPDATE&amp;creator=factset&amp;DYN_ARGS=TRUE&amp;DOC_NAME=FAT:FQL_AUDITING_CLIENT_TEMPLATE.FAT&amp;display_string=Audit&amp;VAR:KEY=ALWZINKLIP&amp;VAR:QUERY=RkZfRU5UUlBSX1ZBTF9EQUlMWSgwNC8xNS8yMDExLCwsLCwnRElMJykvRUNBX01FQU5fU0FMRVMoMjAxMiwwN","C8xNS8yMDExKQ==&amp;WINDOW=FIRST_POPUP&amp;HEIGHT=450&amp;WIDTH=450&amp;START_MAXIMIZED=FALSE&amp;VAR:CALENDAR=FIVEDAY&amp;VAR:SYMBOL=BEAV&amp;VAR:INDEX=0"}</definedName>
    <definedName name="_263__FDSAUDITLINK__" hidden="1">{"fdsup://directions/FAT Viewer?action=UPDATE&amp;creator=factset&amp;DYN_ARGS=TRUE&amp;DOC_NAME=FAT:FQL_AUDITING_CLIENT_TEMPLATE.FAT&amp;display_string=Audit&amp;VAR:KEY=WDUXUTCLCV&amp;VAR:QUERY=RkZfRU5UUlBSX1ZBTF9EQUlMWSgwNC8xNS8yMDExLCwsLCwnRElMJykvRUNBX01FQU5fU0FMRVMoMjAxMSwwN","C8xNS8yMDExKQ==&amp;WINDOW=FIRST_POPUP&amp;HEIGHT=450&amp;WIDTH=450&amp;START_MAXIMIZED=FALSE&amp;VAR:CALENDAR=FIVEDAY&amp;VAR:SYMBOL=BEAV&amp;VAR:INDEX=0"}</definedName>
    <definedName name="_264__FDSAUDITLINK__" hidden="1">{"fdsup://directions/FAT Viewer?action=UPDATE&amp;creator=factset&amp;DYN_ARGS=TRUE&amp;DOC_NAME=FAT:FQL_AUDITING_CLIENT_TEMPLATE.FAT&amp;display_string=Audit&amp;VAR:KEY=UTCFSHYRUH&amp;VAR:QUERY=RkZfRU5UUlBSX1ZBTF9EQUlMWSgwNC8xNS8yMDExLCwsLCwnRElMJykvRUNBX01FQU5fU0FMRVMoMjAxMCwwN","C8xNS8yMDExKQ==&amp;WINDOW=FIRST_POPUP&amp;HEIGHT=450&amp;WIDTH=450&amp;START_MAXIMIZED=FALSE&amp;VAR:CALENDAR=FIVEDAY&amp;VAR:SYMBOL=BEAV&amp;VAR:INDEX=0"}</definedName>
    <definedName name="_265__FDSAUDITLINK__" hidden="1">{"fdsup://directions/FAT Viewer?action=UPDATE&amp;creator=factset&amp;DYN_ARGS=TRUE&amp;DOC_NAME=FAT:FQL_AUDITING_CLIENT_TEMPLATE.FAT&amp;display_string=Audit&amp;VAR:KEY=GPSDWHOVUN&amp;VAR:QUERY=RkZfRU5UUlBSX1ZBTF9EQUlMWSgwNC8xNS8yMDExLCwsLCwnRElMJykvRUNBX01FQU5fRUJJVCgyMDEyLDA0L","zE1LzIwMTEp&amp;WINDOW=FIRST_POPUP&amp;HEIGHT=450&amp;WIDTH=450&amp;START_MAXIMIZED=FALSE&amp;VAR:CALENDAR=FIVEDAY&amp;VAR:SYMBOL=BEAV&amp;VAR:INDEX=0"}</definedName>
    <definedName name="_266__FDSAUDITLINK__" hidden="1">{"fdsup://directions/FAT Viewer?action=UPDATE&amp;creator=factset&amp;DYN_ARGS=TRUE&amp;DOC_NAME=FAT:FQL_AUDITING_CLIENT_TEMPLATE.FAT&amp;display_string=Audit&amp;VAR:KEY=IFWDKFARMZ&amp;VAR:QUERY=RkZfRU5UUlBSX1ZBTF9EQUlMWSgwNC8xNS8yMDExLCwsLCwnRElMJykvRUNBX01FQU5fRUJJVCgyMDExLDA0L","zE1LzIwMTEp&amp;WINDOW=FIRST_POPUP&amp;HEIGHT=450&amp;WIDTH=450&amp;START_MAXIMIZED=FALSE&amp;VAR:CALENDAR=FIVEDAY&amp;VAR:SYMBOL=BEAV&amp;VAR:INDEX=0"}</definedName>
    <definedName name="_267__FDSAUDITLINK__" hidden="1">{"fdsup://directions/FAT Viewer?action=UPDATE&amp;creator=factset&amp;DYN_ARGS=TRUE&amp;DOC_NAME=FAT:FQL_AUDITING_CLIENT_TEMPLATE.FAT&amp;display_string=Audit&amp;VAR:KEY=QZMLSBKFCP&amp;VAR:QUERY=RkZfRU5UUlBSX1ZBTF9EQUlMWSgwNC8xNS8yMDExLCwsLCwnRElMJykvRUNBX01FQU5fRUJJVCgyMDEwLDA0L","zE1LzIwMTEp&amp;WINDOW=FIRST_POPUP&amp;HEIGHT=450&amp;WIDTH=450&amp;START_MAXIMIZED=FALSE&amp;VAR:CALENDAR=FIVEDAY&amp;VAR:SYMBOL=BEAV&amp;VAR:INDEX=0"}</definedName>
    <definedName name="_268__FDSAUDITLINK__" hidden="1">{"fdsup://directions/FAT Viewer?action=UPDATE&amp;creator=factset&amp;DYN_ARGS=TRUE&amp;DOC_NAME=FAT:FQL_AUDITING_CLIENT_TEMPLATE.FAT&amp;display_string=Audit&amp;VAR:KEY=KPKHOLUDMB&amp;VAR:QUERY=RkZfRU5UUlBSX1ZBTF9EQUlMWSgwNC8xNS8yMDExLCwsLCwnRElMJykvRUNBX01FQU5fRUJJVERBKDIwMTIsM","DQvMTUvMjAxMSk=&amp;WINDOW=FIRST_POPUP&amp;HEIGHT=450&amp;WIDTH=450&amp;START_MAXIMIZED=FALSE&amp;VAR:CALENDAR=FIVEDAY&amp;VAR:SYMBOL=BEAV&amp;VAR:INDEX=0"}</definedName>
    <definedName name="_269__FDSAUDITLINK__" hidden="1">{"fdsup://directions/FAT Viewer?action=UPDATE&amp;creator=factset&amp;DYN_ARGS=TRUE&amp;DOC_NAME=FAT:FQL_AUDITING_CLIENT_TEMPLATE.FAT&amp;display_string=Audit&amp;VAR:KEY=YPWTABWNSP&amp;VAR:QUERY=RkZfRU5UUlBSX1ZBTF9EQUlMWSgwNC8xNS8yMDExLCwsLCwnRElMJykvRUNBX01FQU5fRUJJVERBKDIwMTEsM","DQvMTUvMjAxMSk=&amp;WINDOW=FIRST_POPUP&amp;HEIGHT=450&amp;WIDTH=450&amp;START_MAXIMIZED=FALSE&amp;VAR:CALENDAR=FIVEDAY&amp;VAR:SYMBOL=BEAV&amp;VAR:INDEX=0"}</definedName>
    <definedName name="_27__FDSAUDITLINK__" hidden="1">{"fdsup://directions/FAT Viewer?action=UPDATE&amp;creator=factset&amp;DYN_ARGS=TRUE&amp;DOC_NAME=FAT:FQL_AUDITING_CLIENT_TEMPLATE.FAT&amp;display_string=Audit&amp;VAR:KEY=GPYNGJQBCN&amp;VAR:QUERY=RkZfRU5UUlBSX1ZBTF9EQUlMWSgwNy8yNi8yMDExLCwsLCwnRElMJykvRUNBX01FQU5fRUJJVERBKDIwMTAsM","DcvMjYvMjAxMSk=&amp;WINDOW=FIRST_POPUP&amp;HEIGHT=450&amp;WIDTH=450&amp;START_MAXIMIZED=FALSE&amp;VAR:CALENDAR=FIVEDAY&amp;VAR:SYMBOL=MOG.A&amp;VAR:INDEX=0"}</definedName>
    <definedName name="_270__FDSAUDITLINK__" hidden="1">{"fdsup://directions/FAT Viewer?action=UPDATE&amp;creator=factset&amp;DYN_ARGS=TRUE&amp;DOC_NAME=FAT:FQL_AUDITING_CLIENT_TEMPLATE.FAT&amp;display_string=Audit&amp;VAR:KEY=GNQDEDIRKR&amp;VAR:QUERY=RkZfRU5UUlBSX1ZBTF9EQUlMWSgwNC8xNS8yMDExLCwsLCwnRElMJykvRUNBX01FQU5fRUJJVERBKDIwMTAsM","DQvMTUvMjAxMSk=&amp;WINDOW=FIRST_POPUP&amp;HEIGHT=450&amp;WIDTH=450&amp;START_MAXIMIZED=FALSE&amp;VAR:CALENDAR=FIVEDAY&amp;VAR:SYMBOL=BEAV&amp;VAR:INDEX=0"}</definedName>
    <definedName name="_271__FDSAUDITLINK__" hidden="1">{"fdsup://directions/FAT Viewer?action=UPDATE&amp;creator=factset&amp;DYN_ARGS=TRUE&amp;DOC_NAME=FAT:FQL_AUDITING_CLIENT_TEMPLATE.FAT&amp;display_string=Audit&amp;VAR:KEY=ULCLMBOPAL&amp;VAR:QUERY=RkZfRU5UUlBSX1ZBTF9EQUlMWSgwNC8xNS8yMDExLCwsLCwnRElMJykvRUNBX01FQU5fU0FMRVMoMjAxMiwwN","C8xNS8yMDExKQ==&amp;WINDOW=FIRST_POPUP&amp;HEIGHT=450&amp;WIDTH=450&amp;START_MAXIMIZED=FALSE&amp;VAR:CALENDAR=US&amp;VAR:SYMBOL=057580&amp;VAR:INDEX=0"}</definedName>
    <definedName name="_272__FDSAUDITLINK__" hidden="1">{"fdsup://directions/FAT Viewer?action=UPDATE&amp;creator=factset&amp;DYN_ARGS=TRUE&amp;DOC_NAME=FAT:FQL_AUDITING_CLIENT_TEMPLATE.FAT&amp;display_string=Audit&amp;VAR:KEY=MLERAHQRGV&amp;VAR:QUERY=RkZfRU5UUlBSX1ZBTF9EQUlMWSgwNC8xNS8yMDExLCwsLCwnRElMJykvRUNBX01FQU5fU0FMRVMoMjAxMSwwN","C8xNS8yMDExKQ==&amp;WINDOW=FIRST_POPUP&amp;HEIGHT=450&amp;WIDTH=450&amp;START_MAXIMIZED=FALSE&amp;VAR:CALENDAR=US&amp;VAR:SYMBOL=057580&amp;VAR:INDEX=0"}</definedName>
    <definedName name="_273__FDSAUDITLINK__" hidden="1">{"fdsup://directions/FAT Viewer?action=UPDATE&amp;creator=factset&amp;DYN_ARGS=TRUE&amp;DOC_NAME=FAT:FQL_AUDITING_CLIENT_TEMPLATE.FAT&amp;display_string=Audit&amp;VAR:KEY=WNEXMDMDSF&amp;VAR:QUERY=RkZfRU5UUlBSX1ZBTF9EQUlMWSgwNC8xNS8yMDExLCwsLCwnRElMJykvRUNBX01FQU5fU0FMRVMoMjAxMCwwN","C8xNS8yMDExKQ==&amp;WINDOW=FIRST_POPUP&amp;HEIGHT=450&amp;WIDTH=450&amp;START_MAXIMIZED=FALSE&amp;VAR:CALENDAR=US&amp;VAR:SYMBOL=057580&amp;VAR:INDEX=0"}</definedName>
    <definedName name="_274__FDSAUDITLINK__" hidden="1">{"fdsup://directions/FAT Viewer?action=UPDATE&amp;creator=factset&amp;DYN_ARGS=TRUE&amp;DOC_NAME=FAT:FQL_AUDITING_CLIENT_TEMPLATE.FAT&amp;display_string=Audit&amp;VAR:KEY=ERAFWDCFUX&amp;VAR:QUERY=RkZfRU5UUlBSX1ZBTF9EQUlMWSgwNC8xNS8yMDExLCwsLCwnRElMJykvRUNBX01FQU5fRUJJVCgyMDEyLDA0L","zE1LzIwMTEp&amp;WINDOW=FIRST_POPUP&amp;HEIGHT=450&amp;WIDTH=450&amp;START_MAXIMIZED=FALSE&amp;VAR:CALENDAR=US&amp;VAR:SYMBOL=057580&amp;VAR:INDEX=0"}</definedName>
    <definedName name="_275__FDSAUDITLINK__" hidden="1">{"fdsup://directions/FAT Viewer?action=UPDATE&amp;creator=factset&amp;DYN_ARGS=TRUE&amp;DOC_NAME=FAT:FQL_AUDITING_CLIENT_TEMPLATE.FAT&amp;display_string=Audit&amp;VAR:KEY=WJAZQJEBMX&amp;VAR:QUERY=RkZfRU5UUlBSX1ZBTF9EQUlMWSgwNC8xNS8yMDExLCwsLCwnRElMJykvRUNBX01FQU5fRUJJVCgyMDExLDA0L","zE1LzIwMTEp&amp;WINDOW=FIRST_POPUP&amp;HEIGHT=450&amp;WIDTH=450&amp;START_MAXIMIZED=FALSE&amp;VAR:CALENDAR=US&amp;VAR:SYMBOL=057580&amp;VAR:INDEX=0"}</definedName>
    <definedName name="_276__FDSAUDITLINK__" hidden="1">{"fdsup://directions/FAT Viewer?action=UPDATE&amp;creator=factset&amp;DYN_ARGS=TRUE&amp;DOC_NAME=FAT:FQL_AUDITING_CLIENT_TEMPLATE.FAT&amp;display_string=Audit&amp;VAR:KEY=ULWZEPGPMB&amp;VAR:QUERY=RkZfRU5UUlBSX1ZBTF9EQUlMWSgwNC8xNS8yMDExLCwsLCwnRElMJykvRUNBX01FQU5fRUJJVCgyMDEwLDA0L","zE1LzIwMTEp&amp;WINDOW=FIRST_POPUP&amp;HEIGHT=450&amp;WIDTH=450&amp;START_MAXIMIZED=FALSE&amp;VAR:CALENDAR=US&amp;VAR:SYMBOL=057580&amp;VAR:INDEX=0"}</definedName>
    <definedName name="_277__FDSAUDITLINK__" hidden="1">{"fdsup://directions/FAT Viewer?action=UPDATE&amp;creator=factset&amp;DYN_ARGS=TRUE&amp;DOC_NAME=FAT:FQL_AUDITING_CLIENT_TEMPLATE.FAT&amp;display_string=Audit&amp;VAR:KEY=AVCTKDQJSR&amp;VAR:QUERY=RkZfRU5UUlBSX1ZBTF9EQUlMWSgwNC8xNS8yMDExLCwsLCwnRElMJykvRUNBX01FQU5fRUJJVERBKDIwMTIsM","DQvMTUvMjAxMSk=&amp;WINDOW=FIRST_POPUP&amp;HEIGHT=450&amp;WIDTH=450&amp;START_MAXIMIZED=FALSE&amp;VAR:CALENDAR=US&amp;VAR:SYMBOL=057580&amp;VAR:INDEX=0"}</definedName>
    <definedName name="_278__FDSAUDITLINK__" hidden="1">{"fdsup://directions/FAT Viewer?action=UPDATE&amp;creator=factset&amp;DYN_ARGS=TRUE&amp;DOC_NAME=FAT:FQL_AUDITING_CLIENT_TEMPLATE.FAT&amp;display_string=Audit&amp;VAR:KEY=UBSPCDARWT&amp;VAR:QUERY=RkZfRU5UUlBSX1ZBTF9EQUlMWSgwNC8xNS8yMDExLCwsLCwnRElMJykvRUNBX01FQU5fRUJJVERBKDIwMTEsM","DQvMTUvMjAxMSk=&amp;WINDOW=FIRST_POPUP&amp;HEIGHT=450&amp;WIDTH=450&amp;START_MAXIMIZED=FALSE&amp;VAR:CALENDAR=US&amp;VAR:SYMBOL=057580&amp;VAR:INDEX=0"}</definedName>
    <definedName name="_279__FDSAUDITLINK__" hidden="1">{"fdsup://directions/FAT Viewer?action=UPDATE&amp;creator=factset&amp;DYN_ARGS=TRUE&amp;DOC_NAME=FAT:FQL_AUDITING_CLIENT_TEMPLATE.FAT&amp;display_string=Audit&amp;VAR:KEY=CVIDELKVKF&amp;VAR:QUERY=RkZfRU5UUlBSX1ZBTF9EQUlMWSgwNC8xNS8yMDExLCwsLCwnRElMJykvRUNBX01FQU5fRUJJVERBKDIwMTAsM","DQvMTUvMjAxMSk=&amp;WINDOW=FIRST_POPUP&amp;HEIGHT=450&amp;WIDTH=450&amp;START_MAXIMIZED=FALSE&amp;VAR:CALENDAR=US&amp;VAR:SYMBOL=057580&amp;VAR:INDEX=0"}</definedName>
    <definedName name="_28__FDSAUDITLINK__" hidden="1">{"fdsup://directions/FAT Viewer?action=UPDATE&amp;creator=factset&amp;DYN_ARGS=TRUE&amp;DOC_NAME=FAT:FQL_AUDITING_CLIENT_TEMPLATE.FAT&amp;display_string=Audit&amp;VAR:KEY=IBGTYFAZEJ&amp;VAR:QUERY=RkZfRU5UUlBSX1ZBTF9EQUlMWSgwNy8yNi8yMDExLCwsLCwnRElMJykvRUNBX01FQU5fU0FMRVMoMjAxMiwwN","y8yNi8yMDExKQ==&amp;WINDOW=FIRST_POPUP&amp;HEIGHT=450&amp;WIDTH=450&amp;START_MAXIMIZED=FALSE&amp;VAR:CALENDAR=FIVEDAY&amp;VAR:SYMBOL=COL&amp;VAR:INDEX=0"}</definedName>
    <definedName name="_280__FDSAUDITLINK__" hidden="1">{"fdsup://directions/FAT Viewer?action=UPDATE&amp;creator=factset&amp;DYN_ARGS=TRUE&amp;DOC_NAME=FAT:FQL_AUDITING_CLIENT_TEMPLATE.FAT&amp;display_string=Audit&amp;VAR:KEY=WPKJQBKFGR&amp;VAR:QUERY=RkZfRU5UUlBSX1ZBTF9EQUlMWSgwNC8xNS8yMDExLCwsLCwnRElMJykvRUNBX01FQU5fU0FMRVMoMjAxMiwwN","C8xNS8yMDExKQ==&amp;WINDOW=FIRST_POPUP&amp;HEIGHT=450&amp;WIDTH=450&amp;START_MAXIMIZED=FALSE&amp;VAR:CALENDAR=US&amp;VAR:SYMBOL=PCP&amp;VAR:INDEX=0"}</definedName>
    <definedName name="_281__FDSAUDITLINK__" hidden="1">{"fdsup://directions/FAT Viewer?action=UPDATE&amp;creator=factset&amp;DYN_ARGS=TRUE&amp;DOC_NAME=FAT:FQL_AUDITING_CLIENT_TEMPLATE.FAT&amp;display_string=Audit&amp;VAR:KEY=MLWZYPCDAP&amp;VAR:QUERY=RkZfRU5UUlBSX1ZBTF9EQUlMWSgwNC8xNS8yMDExLCwsLCwnRElMJykvRUNBX01FQU5fU0FMRVMoMjAxMSwwN","C8xNS8yMDExKQ==&amp;WINDOW=FIRST_POPUP&amp;HEIGHT=450&amp;WIDTH=450&amp;START_MAXIMIZED=FALSE&amp;VAR:CALENDAR=US&amp;VAR:SYMBOL=PCP&amp;VAR:INDEX=0"}</definedName>
    <definedName name="_282__FDSAUDITLINK__" hidden="1">{"fdsup://directions/FAT Viewer?action=UPDATE&amp;creator=factset&amp;DYN_ARGS=TRUE&amp;DOC_NAME=FAT:FQL_AUDITING_CLIENT_TEMPLATE.FAT&amp;display_string=Audit&amp;VAR:KEY=UDSBKTYTQV&amp;VAR:QUERY=RkZfRU5UUlBSX1ZBTF9EQUlMWSgwNC8xNS8yMDExLCwsLCwnRElMJykvRUNBX01FQU5fU0FMRVMoMjAxMCwwN","C8xNS8yMDExKQ==&amp;WINDOW=FIRST_POPUP&amp;HEIGHT=450&amp;WIDTH=450&amp;START_MAXIMIZED=FALSE&amp;VAR:CALENDAR=US&amp;VAR:SYMBOL=PCP&amp;VAR:INDEX=0"}</definedName>
    <definedName name="_283__FDSAUDITLINK__" hidden="1">{"fdsup://directions/FAT Viewer?action=UPDATE&amp;creator=factset&amp;DYN_ARGS=TRUE&amp;DOC_NAME=FAT:FQL_AUDITING_CLIENT_TEMPLATE.FAT&amp;display_string=Audit&amp;VAR:KEY=GLQBAVQFQT&amp;VAR:QUERY=RkZfRU5UUlBSX1ZBTF9EQUlMWSgwNC8xNS8yMDExLCwsLCwnRElMJykvRUNBX01FQU5fRUJJVCgyMDEyLDA0L","zE1LzIwMTEp&amp;WINDOW=FIRST_POPUP&amp;HEIGHT=450&amp;WIDTH=450&amp;START_MAXIMIZED=FALSE&amp;VAR:CALENDAR=US&amp;VAR:SYMBOL=PCP&amp;VAR:INDEX=0"}</definedName>
    <definedName name="_284__FDSAUDITLINK__" hidden="1">{"fdsup://directions/FAT Viewer?action=UPDATE&amp;creator=factset&amp;DYN_ARGS=TRUE&amp;DOC_NAME=FAT:FQL_AUDITING_CLIENT_TEMPLATE.FAT&amp;display_string=Audit&amp;VAR:KEY=IJGRKBORED&amp;VAR:QUERY=RkZfRU5UUlBSX1ZBTF9EQUlMWSgwNC8xNS8yMDExLCwsLCwnRElMJykvRUNBX01FQU5fRUJJVCgyMDExLDA0L","zE1LzIwMTEp&amp;WINDOW=FIRST_POPUP&amp;HEIGHT=450&amp;WIDTH=450&amp;START_MAXIMIZED=FALSE&amp;VAR:CALENDAR=US&amp;VAR:SYMBOL=PCP&amp;VAR:INDEX=0"}</definedName>
    <definedName name="_285__FDSAUDITLINK__" hidden="1">{"fdsup://directions/FAT Viewer?action=UPDATE&amp;creator=factset&amp;DYN_ARGS=TRUE&amp;DOC_NAME=FAT:FQL_AUDITING_CLIENT_TEMPLATE.FAT&amp;display_string=Audit&amp;VAR:KEY=GPGJOHYTWB&amp;VAR:QUERY=RkZfRU5UUlBSX1ZBTF9EQUlMWSgwNC8xNS8yMDExLCwsLCwnRElMJykvRUNBX01FQU5fRUJJVCgyMDEwLDA0L","zE1LzIwMTEp&amp;WINDOW=FIRST_POPUP&amp;HEIGHT=450&amp;WIDTH=450&amp;START_MAXIMIZED=FALSE&amp;VAR:CALENDAR=US&amp;VAR:SYMBOL=PCP&amp;VAR:INDEX=0"}</definedName>
    <definedName name="_286__FDSAUDITLINK__" hidden="1">{"fdsup://directions/FAT Viewer?action=UPDATE&amp;creator=factset&amp;DYN_ARGS=TRUE&amp;DOC_NAME=FAT:FQL_AUDITING_CLIENT_TEMPLATE.FAT&amp;display_string=Audit&amp;VAR:KEY=CFENSVGJMV&amp;VAR:QUERY=RkZfRU5UUlBSX1ZBTF9EQUlMWSgwNC8xNS8yMDExLCwsLCwnRElMJykvRUNBX01FQU5fRUJJVERBKDIwMTIsM","DQvMTUvMjAxMSk=&amp;WINDOW=FIRST_POPUP&amp;HEIGHT=450&amp;WIDTH=450&amp;START_MAXIMIZED=FALSE&amp;VAR:CALENDAR=US&amp;VAR:SYMBOL=PCP&amp;VAR:INDEX=0"}</definedName>
    <definedName name="_287__FDSAUDITLINK__" hidden="1">{"fdsup://directions/FAT Viewer?action=UPDATE&amp;creator=factset&amp;DYN_ARGS=TRUE&amp;DOC_NAME=FAT:FQL_AUDITING_CLIENT_TEMPLATE.FAT&amp;display_string=Audit&amp;VAR:KEY=YBEDOLCDYH&amp;VAR:QUERY=RkZfRU5UUlBSX1ZBTF9EQUlMWSgwNC8xNS8yMDExLCwsLCwnRElMJykvRUNBX01FQU5fRUJJVERBKDIwMTEsM","DQvMTUvMjAxMSk=&amp;WINDOW=FIRST_POPUP&amp;HEIGHT=450&amp;WIDTH=450&amp;START_MAXIMIZED=FALSE&amp;VAR:CALENDAR=US&amp;VAR:SYMBOL=PCP&amp;VAR:INDEX=0"}</definedName>
    <definedName name="_288__FDSAUDITLINK__" hidden="1">{"fdsup://directions/FAT Viewer?action=UPDATE&amp;creator=factset&amp;DYN_ARGS=TRUE&amp;DOC_NAME=FAT:FQL_AUDITING_CLIENT_TEMPLATE.FAT&amp;display_string=Audit&amp;VAR:KEY=CXQXWLUJOV&amp;VAR:QUERY=RkZfRU5UUlBSX1ZBTF9EQUlMWSgwNC8xNS8yMDExLCwsLCwnRElMJykvRUNBX01FQU5fRUJJVERBKDIwMTAsM","DQvMTUvMjAxMSk=&amp;WINDOW=FIRST_POPUP&amp;HEIGHT=450&amp;WIDTH=450&amp;START_MAXIMIZED=FALSE&amp;VAR:CALENDAR=US&amp;VAR:SYMBOL=PCP&amp;VAR:INDEX=0"}</definedName>
    <definedName name="_289__FDSAUDITLINK__" hidden="1">{"fdsup://directions/FAT Viewer?action=UPDATE&amp;creator=factset&amp;DYN_ARGS=TRUE&amp;DOC_NAME=FAT:FQL_AUDITING_CLIENT_TEMPLATE.FAT&amp;display_string=Audit&amp;VAR:KEY=KRMNKPAZKF&amp;VAR:QUERY=RkZfRU5UUlBSX1ZBTF9EQUlMWSgwNC8xNS8yMDExLCwsLCwnRElMJykvRUNBX01FQU5fU0FMRVMoMjAxMiwwN","C8xNS8yMDExKQ==&amp;WINDOW=FIRST_POPUP&amp;HEIGHT=450&amp;WIDTH=450&amp;START_MAXIMIZED=FALSE&amp;VAR:CALENDAR=US&amp;VAR:SYMBOL=MOG.A&amp;VAR:INDEX=0"}</definedName>
    <definedName name="_29__123Graph_XLIQUIDS" hidden="1">[4]P!$R$29:$AK$29</definedName>
    <definedName name="_29__FDSAUDITLINK__" hidden="1">{"fdsup://directions/FAT Viewer?action=UPDATE&amp;creator=factset&amp;DYN_ARGS=TRUE&amp;DOC_NAME=FAT:FQL_AUDITING_CLIENT_TEMPLATE.FAT&amp;display_string=Audit&amp;VAR:KEY=MTUJYZELWJ&amp;VAR:QUERY=RkZfRU5UUlBSX1ZBTF9EQUlMWSgwNy8yNi8yMDExLCwsLCwnRElMJykvRUNBX01FQU5fU0FMRVMoMjAxMSwwN","y8yNi8yMDExKQ==&amp;WINDOW=FIRST_POPUP&amp;HEIGHT=450&amp;WIDTH=450&amp;START_MAXIMIZED=FALSE&amp;VAR:CALENDAR=FIVEDAY&amp;VAR:SYMBOL=COL&amp;VAR:INDEX=0"}</definedName>
    <definedName name="_290__FDSAUDITLINK__" hidden="1">{"fdsup://directions/FAT Viewer?action=UPDATE&amp;creator=factset&amp;DYN_ARGS=TRUE&amp;DOC_NAME=FAT:FQL_AUDITING_CLIENT_TEMPLATE.FAT&amp;display_string=Audit&amp;VAR:KEY=GDKHSHUVIJ&amp;VAR:QUERY=RkZfRU5UUlBSX1ZBTF9EQUlMWSgwNC8xNS8yMDExLCwsLCwnRElMJykvRUNBX01FQU5fU0FMRVMoMjAxMSwwN","C8xNS8yMDExKQ==&amp;WINDOW=FIRST_POPUP&amp;HEIGHT=450&amp;WIDTH=450&amp;START_MAXIMIZED=FALSE&amp;VAR:CALENDAR=US&amp;VAR:SYMBOL=MOG.A&amp;VAR:INDEX=0"}</definedName>
    <definedName name="_291__FDSAUDITLINK__" hidden="1">{"fdsup://directions/FAT Viewer?action=UPDATE&amp;creator=factset&amp;DYN_ARGS=TRUE&amp;DOC_NAME=FAT:FQL_AUDITING_CLIENT_TEMPLATE.FAT&amp;display_string=Audit&amp;VAR:KEY=QHYXCDADSR&amp;VAR:QUERY=RkZfRU5UUlBSX1ZBTF9EQUlMWSgwNC8xNS8yMDExLCwsLCwnRElMJykvRUNBX01FQU5fU0FMRVMoMjAxMCwwN","C8xNS8yMDExKQ==&amp;WINDOW=FIRST_POPUP&amp;HEIGHT=450&amp;WIDTH=450&amp;START_MAXIMIZED=FALSE&amp;VAR:CALENDAR=US&amp;VAR:SYMBOL=MOG.A&amp;VAR:INDEX=0"}</definedName>
    <definedName name="_292__FDSAUDITLINK__" hidden="1">{"fdsup://directions/FAT Viewer?action=UPDATE&amp;creator=factset&amp;DYN_ARGS=TRUE&amp;DOC_NAME=FAT:FQL_AUDITING_CLIENT_TEMPLATE.FAT&amp;display_string=Audit&amp;VAR:KEY=AJQPALWNCZ&amp;VAR:QUERY=RkZfRU5UUlBSX1ZBTF9EQUlMWSgwNC8xNS8yMDExLCwsLCwnRElMJykvRUNBX01FQU5fRUJJVCgyMDEyLDA0L","zE1LzIwMTEp&amp;WINDOW=FIRST_POPUP&amp;HEIGHT=450&amp;WIDTH=450&amp;START_MAXIMIZED=FALSE&amp;VAR:CALENDAR=US&amp;VAR:SYMBOL=MOG.A&amp;VAR:INDEX=0"}</definedName>
    <definedName name="_293__FDSAUDITLINK__" hidden="1">{"fdsup://directions/FAT Viewer?action=UPDATE&amp;creator=factset&amp;DYN_ARGS=TRUE&amp;DOC_NAME=FAT:FQL_AUDITING_CLIENT_TEMPLATE.FAT&amp;display_string=Audit&amp;VAR:KEY=MDOXMLCDGN&amp;VAR:QUERY=RkZfRU5UUlBSX1ZBTF9EQUlMWSgwNC8xNS8yMDExLCwsLCwnRElMJykvRUNBX01FQU5fRUJJVCgyMDExLDA0L","zE1LzIwMTEp&amp;WINDOW=FIRST_POPUP&amp;HEIGHT=450&amp;WIDTH=450&amp;START_MAXIMIZED=FALSE&amp;VAR:CALENDAR=US&amp;VAR:SYMBOL=MOG.A&amp;VAR:INDEX=0"}</definedName>
    <definedName name="_294__FDSAUDITLINK__" hidden="1">{"fdsup://directions/FAT Viewer?action=UPDATE&amp;creator=factset&amp;DYN_ARGS=TRUE&amp;DOC_NAME=FAT:FQL_AUDITING_CLIENT_TEMPLATE.FAT&amp;display_string=Audit&amp;VAR:KEY=SLQBWFCZAH&amp;VAR:QUERY=RkZfRU5UUlBSX1ZBTF9EQUlMWSgwNC8xNS8yMDExLCwsLCwnRElMJykvRUNBX01FQU5fRUJJVCgyMDEwLDA0L","zE1LzIwMTEp&amp;WINDOW=FIRST_POPUP&amp;HEIGHT=450&amp;WIDTH=450&amp;START_MAXIMIZED=FALSE&amp;VAR:CALENDAR=US&amp;VAR:SYMBOL=MOG.A&amp;VAR:INDEX=0"}</definedName>
    <definedName name="_295__FDSAUDITLINK__" hidden="1">{"fdsup://directions/FAT Viewer?action=UPDATE&amp;creator=factset&amp;DYN_ARGS=TRUE&amp;DOC_NAME=FAT:FQL_AUDITING_CLIENT_TEMPLATE.FAT&amp;display_string=Audit&amp;VAR:KEY=QZMXIBIZUZ&amp;VAR:QUERY=RkZfRU5UUlBSX1ZBTF9EQUlMWSgwNC8xNS8yMDExLCwsLCwnRElMJykvRUNBX01FQU5fRUJJVERBKDIwMTIsM","DQvMTUvMjAxMSk=&amp;WINDOW=FIRST_POPUP&amp;HEIGHT=450&amp;WIDTH=450&amp;START_MAXIMIZED=FALSE&amp;VAR:CALENDAR=US&amp;VAR:SYMBOL=MOG.A&amp;VAR:INDEX=0"}</definedName>
    <definedName name="_296__FDSAUDITLINK__" hidden="1">{"fdsup://directions/FAT Viewer?action=UPDATE&amp;creator=factset&amp;DYN_ARGS=TRUE&amp;DOC_NAME=FAT:FQL_AUDITING_CLIENT_TEMPLATE.FAT&amp;display_string=Audit&amp;VAR:KEY=AJQPGJMZWT&amp;VAR:QUERY=RkZfRU5UUlBSX1ZBTF9EQUlMWSgwNC8xNS8yMDExLCwsLCwnRElMJykvRUNBX01FQU5fRUJJVERBKDIwMTEsM","DQvMTUvMjAxMSk=&amp;WINDOW=FIRST_POPUP&amp;HEIGHT=450&amp;WIDTH=450&amp;START_MAXIMIZED=FALSE&amp;VAR:CALENDAR=US&amp;VAR:SYMBOL=MOG.A&amp;VAR:INDEX=0"}</definedName>
    <definedName name="_297__FDSAUDITLINK__" hidden="1">{"fdsup://directions/FAT Viewer?action=UPDATE&amp;creator=factset&amp;DYN_ARGS=TRUE&amp;DOC_NAME=FAT:FQL_AUDITING_CLIENT_TEMPLATE.FAT&amp;display_string=Audit&amp;VAR:KEY=SNCHIJMVYL&amp;VAR:QUERY=RkZfRU5UUlBSX1ZBTF9EQUlMWSgwNC8xNS8yMDExLCwsLCwnRElMJykvRUNBX01FQU5fRUJJVERBKDIwMTAsM","DQvMTUvMjAxMSk=&amp;WINDOW=FIRST_POPUP&amp;HEIGHT=450&amp;WIDTH=450&amp;START_MAXIMIZED=FALSE&amp;VAR:CALENDAR=US&amp;VAR:SYMBOL=MOG.A&amp;VAR:INDEX=0"}</definedName>
    <definedName name="_298__FDSAUDITLINK__" hidden="1">{"fdsup://directions/FAT Viewer?action=UPDATE&amp;creator=factset&amp;DYN_ARGS=TRUE&amp;DOC_NAME=FAT:FQL_AUDITING_CLIENT_TEMPLATE.FAT&amp;display_string=Audit&amp;VAR:KEY=OVCNCHSTMJ&amp;VAR:QUERY=RkZfRU5UUlBSX1ZBTF9EQUlMWSgwNC8xNS8yMDExLCwsLCwnRElMJykvRUNBX01FQU5fU0FMRVMoMjAxMiwwN","C8xNS8yMDExKQ==&amp;WINDOW=FIRST_POPUP&amp;HEIGHT=450&amp;WIDTH=450&amp;START_MAXIMIZED=FALSE&amp;VAR:CALENDAR=US&amp;VAR:SYMBOL=COL&amp;VAR:INDEX=0"}</definedName>
    <definedName name="_299__FDSAUDITLINK__" hidden="1">{"fdsup://directions/FAT Viewer?action=UPDATE&amp;creator=factset&amp;DYN_ARGS=TRUE&amp;DOC_NAME=FAT:FQL_AUDITING_CLIENT_TEMPLATE.FAT&amp;display_string=Audit&amp;VAR:KEY=WVYRGFOBIN&amp;VAR:QUERY=RkZfRU5UUlBSX1ZBTF9EQUlMWSgwNC8xNS8yMDExLCwsLCwnRElMJykvRUNBX01FQU5fU0FMRVMoMjAxMSwwN","C8xNS8yMDExKQ==&amp;WINDOW=FIRST_POPUP&amp;HEIGHT=450&amp;WIDTH=450&amp;START_MAXIMIZED=FALSE&amp;VAR:CALENDAR=US&amp;VAR:SYMBOL=COL&amp;VAR:INDEX=0"}</definedName>
    <definedName name="_2Q00">[3]WY!$BC$2:$BC$1044</definedName>
    <definedName name="_2Q01">[3]WY!$AW$2:$AW$1044</definedName>
    <definedName name="_2Q02">[3]WY!$AQ$2:$AQ$1044</definedName>
    <definedName name="_2Q03">[3]WY!$AJ$2:$AJ$1044</definedName>
    <definedName name="_2Q91">[3]WY!$DE$2:$DE$1044</definedName>
    <definedName name="_2Q92">[3]WY!$CY$2:$CY$1044</definedName>
    <definedName name="_2Q93">[3]WY!$CS$2:$CS$1044</definedName>
    <definedName name="_2Q94">[3]WY!$CM$2:$CM$1044</definedName>
    <definedName name="_2Q95">[3]WY!$CG$2:$CG$1044</definedName>
    <definedName name="_2Q96">[3]WY!$CA$2:$CA$1044</definedName>
    <definedName name="_2Q97">[3]WY!$BU$2:$BU$1044</definedName>
    <definedName name="_2Q98">[3]WY!$BO$2:$BO$1044</definedName>
    <definedName name="_2Q99">[3]WY!$BI$2:$BI$1044</definedName>
    <definedName name="_3__123Graph_ACHART_3I" hidden="1">[1]Acquisitions!$AO$4:$AU$4</definedName>
    <definedName name="_3__123Graph_Aｸﾞﾗﾌ_2" hidden="1">[2]単独!$AR$14:$AR$18</definedName>
    <definedName name="_3__FDSAUDITLINK__" hidden="1">{"fdsup://directions/FAT Viewer?action=UPDATE&amp;creator=factset&amp;DYN_ARGS=TRUE&amp;DOC_NAME=FAT:FQL_AUDITING_CLIENT_TEMPLATE.FAT&amp;display_string=Audit&amp;VAR:KEY=SREJAHMHSZ&amp;VAR:QUERY=RkZfRU5UUlBSX1ZBTF9EQUlMWSgwNy8yNi8yMDExLCwsLCwnRElMJykvRUNBX01FQU5fU0FMRVMoMjAxMCwwN","y8yNi8yMDExKQ==&amp;WINDOW=FIRST_POPUP&amp;HEIGHT=450&amp;WIDTH=450&amp;START_MAXIMIZED=FALSE&amp;VAR:CALENDAR=FIVEDAY&amp;VAR:SYMBOL=057580&amp;VAR:INDEX=0"}</definedName>
    <definedName name="_30__FDSAUDITLINK__" hidden="1">{"fdsup://directions/FAT Viewer?action=UPDATE&amp;creator=factset&amp;DYN_ARGS=TRUE&amp;DOC_NAME=FAT:FQL_AUDITING_CLIENT_TEMPLATE.FAT&amp;display_string=Audit&amp;VAR:KEY=ERQRKXWFMV&amp;VAR:QUERY=RkZfRU5UUlBSX1ZBTF9EQUlMWSgwNy8yNi8yMDExLCwsLCwnRElMJykvRUNBX01FQU5fU0FMRVMoMjAxMCwwN","y8yNi8yMDExKQ==&amp;WINDOW=FIRST_POPUP&amp;HEIGHT=450&amp;WIDTH=450&amp;START_MAXIMIZED=FALSE&amp;VAR:CALENDAR=FIVEDAY&amp;VAR:SYMBOL=COL&amp;VAR:INDEX=0"}</definedName>
    <definedName name="_300__FDSAUDITLINK__" hidden="1">{"fdsup://directions/FAT Viewer?action=UPDATE&amp;creator=factset&amp;DYN_ARGS=TRUE&amp;DOC_NAME=FAT:FQL_AUDITING_CLIENT_TEMPLATE.FAT&amp;display_string=Audit&amp;VAR:KEY=YBKVGXOJYF&amp;VAR:QUERY=RkZfRU5UUlBSX1ZBTF9EQUlMWSgwNC8xNS8yMDExLCwsLCwnRElMJykvRUNBX01FQU5fU0FMRVMoMjAxMCwwN","C8xNS8yMDExKQ==&amp;WINDOW=FIRST_POPUP&amp;HEIGHT=450&amp;WIDTH=450&amp;START_MAXIMIZED=FALSE&amp;VAR:CALENDAR=US&amp;VAR:SYMBOL=COL&amp;VAR:INDEX=0"}</definedName>
    <definedName name="_301__FDSAUDITLINK__" hidden="1">{"fdsup://directions/FAT Viewer?action=UPDATE&amp;creator=factset&amp;DYN_ARGS=TRUE&amp;DOC_NAME=FAT:FQL_AUDITING_CLIENT_TEMPLATE.FAT&amp;display_string=Audit&amp;VAR:KEY=MZAHONELAV&amp;VAR:QUERY=RkZfRU5UUlBSX1ZBTF9EQUlMWSgwNC8xNS8yMDExLCwsLCwnRElMJykvRUNBX01FQU5fRUJJVCgyMDEyLDA0L","zE1LzIwMTEp&amp;WINDOW=FIRST_POPUP&amp;HEIGHT=450&amp;WIDTH=450&amp;START_MAXIMIZED=FALSE&amp;VAR:CALENDAR=US&amp;VAR:SYMBOL=COL&amp;VAR:INDEX=0"}</definedName>
    <definedName name="_302__FDSAUDITLINK__" hidden="1">{"fdsup://directions/FAT Viewer?action=UPDATE&amp;creator=factset&amp;DYN_ARGS=TRUE&amp;DOC_NAME=FAT:FQL_AUDITING_CLIENT_TEMPLATE.FAT&amp;display_string=Audit&amp;VAR:KEY=QRCNYZAXEF&amp;VAR:QUERY=RkZfRU5UUlBSX1ZBTF9EQUlMWSgwNC8xNS8yMDExLCwsLCwnRElMJykvRUNBX01FQU5fRUJJVCgyMDExLDA0L","zE1LzIwMTEp&amp;WINDOW=FIRST_POPUP&amp;HEIGHT=450&amp;WIDTH=450&amp;START_MAXIMIZED=FALSE&amp;VAR:CALENDAR=US&amp;VAR:SYMBOL=COL&amp;VAR:INDEX=0"}</definedName>
    <definedName name="_303__FDSAUDITLINK__" hidden="1">{"fdsup://directions/FAT Viewer?action=UPDATE&amp;creator=factset&amp;DYN_ARGS=TRUE&amp;DOC_NAME=FAT:FQL_AUDITING_CLIENT_TEMPLATE.FAT&amp;display_string=Audit&amp;VAR:KEY=CTKJMXMRUR&amp;VAR:QUERY=RkZfRU5UUlBSX1ZBTF9EQUlMWSgwNC8xNS8yMDExLCwsLCwnRElMJykvRUNBX01FQU5fRUJJVCgyMDEwLDA0L","zE1LzIwMTEp&amp;WINDOW=FIRST_POPUP&amp;HEIGHT=450&amp;WIDTH=450&amp;START_MAXIMIZED=FALSE&amp;VAR:CALENDAR=US&amp;VAR:SYMBOL=COL&amp;VAR:INDEX=0"}</definedName>
    <definedName name="_304__FDSAUDITLINK__" hidden="1">{"fdsup://directions/FAT Viewer?action=UPDATE&amp;creator=factset&amp;DYN_ARGS=TRUE&amp;DOC_NAME=FAT:FQL_AUDITING_CLIENT_TEMPLATE.FAT&amp;display_string=Audit&amp;VAR:KEY=AVIROTUPYR&amp;VAR:QUERY=RkZfRU5UUlBSX1ZBTF9EQUlMWSgwNC8xNS8yMDExLCwsLCwnRElMJykvRUNBX01FQU5fRUJJVERBKDIwMTIsM","DQvMTUvMjAxMSk=&amp;WINDOW=FIRST_POPUP&amp;HEIGHT=450&amp;WIDTH=450&amp;START_MAXIMIZED=FALSE&amp;VAR:CALENDAR=US&amp;VAR:SYMBOL=COL&amp;VAR:INDEX=0"}</definedName>
    <definedName name="_305__FDSAUDITLINK__" hidden="1">{"fdsup://directions/FAT Viewer?action=UPDATE&amp;creator=factset&amp;DYN_ARGS=TRUE&amp;DOC_NAME=FAT:FQL_AUDITING_CLIENT_TEMPLATE.FAT&amp;display_string=Audit&amp;VAR:KEY=CFENGRAXEV&amp;VAR:QUERY=RkZfRU5UUlBSX1ZBTF9EQUlMWSgwNC8xNS8yMDExLCwsLCwnRElMJykvRUNBX01FQU5fRUJJVERBKDIwMTEsM","DQvMTUvMjAxMSk=&amp;WINDOW=FIRST_POPUP&amp;HEIGHT=450&amp;WIDTH=450&amp;START_MAXIMIZED=FALSE&amp;VAR:CALENDAR=US&amp;VAR:SYMBOL=COL&amp;VAR:INDEX=0"}</definedName>
    <definedName name="_306__FDSAUDITLINK__" hidden="1">{"fdsup://directions/FAT Viewer?action=UPDATE&amp;creator=factset&amp;DYN_ARGS=TRUE&amp;DOC_NAME=FAT:FQL_AUDITING_CLIENT_TEMPLATE.FAT&amp;display_string=Audit&amp;VAR:KEY=OFYTMJKLSN&amp;VAR:QUERY=RkZfRU5UUlBSX1ZBTF9EQUlMWSgwNC8xNS8yMDExLCwsLCwnRElMJykvRUNBX01FQU5fRUJJVERBKDIwMTAsM","DQvMTUvMjAxMSk=&amp;WINDOW=FIRST_POPUP&amp;HEIGHT=450&amp;WIDTH=450&amp;START_MAXIMIZED=FALSE&amp;VAR:CALENDAR=US&amp;VAR:SYMBOL=COL&amp;VAR:INDEX=0"}</definedName>
    <definedName name="_307__FDSAUDITLINK__" hidden="1">{"fdsup://directions/FAT Viewer?action=UPDATE&amp;creator=factset&amp;DYN_ARGS=TRUE&amp;DOC_NAME=FAT:FQL_AUDITING_CLIENT_TEMPLATE.FAT&amp;display_string=Audit&amp;VAR:KEY=CLEDCRSPQN&amp;VAR:QUERY=RkZfRU5UUlBSX1ZBTF9EQUlMWSgwNC8xNS8yMDExLCwsLCwnRElMJykvRUNBX01FQU5fU0FMRVMoMjAxMiwwN","C8xNS8yMDExKQ==&amp;WINDOW=FIRST_POPUP&amp;HEIGHT=450&amp;WIDTH=450&amp;START_MAXIMIZED=FALSE&amp;VAR:CALENDAR=US&amp;VAR:SYMBOL=BEAV&amp;VAR:INDEX=0"}</definedName>
    <definedName name="_308__FDSAUDITLINK__" hidden="1">{"fdsup://directions/FAT Viewer?action=UPDATE&amp;creator=factset&amp;DYN_ARGS=TRUE&amp;DOC_NAME=FAT:FQL_AUDITING_CLIENT_TEMPLATE.FAT&amp;display_string=Audit&amp;VAR:KEY=YPGBALGBQJ&amp;VAR:QUERY=RkZfRU5UUlBSX1ZBTF9EQUlMWSgwNC8xNS8yMDExLCwsLCwnRElMJykvRUNBX01FQU5fU0FMRVMoMjAxMSwwN","C8xNS8yMDExKQ==&amp;WINDOW=FIRST_POPUP&amp;HEIGHT=450&amp;WIDTH=450&amp;START_MAXIMIZED=FALSE&amp;VAR:CALENDAR=US&amp;VAR:SYMBOL=BEAV&amp;VAR:INDEX=0"}</definedName>
    <definedName name="_309__FDSAUDITLINK__" hidden="1">{"fdsup://directions/FAT Viewer?action=UPDATE&amp;creator=factset&amp;DYN_ARGS=TRUE&amp;DOC_NAME=FAT:FQL_AUDITING_CLIENT_TEMPLATE.FAT&amp;display_string=Audit&amp;VAR:KEY=WTEFSNKXGZ&amp;VAR:QUERY=RkZfRU5UUlBSX1ZBTF9EQUlMWSgwNC8xNS8yMDExLCwsLCwnRElMJykvRUNBX01FQU5fU0FMRVMoMjAxMCwwN","C8xNS8yMDExKQ==&amp;WINDOW=FIRST_POPUP&amp;HEIGHT=450&amp;WIDTH=450&amp;START_MAXIMIZED=FALSE&amp;VAR:CALENDAR=US&amp;VAR:SYMBOL=BEAV&amp;VAR:INDEX=0"}</definedName>
    <definedName name="_31__123Graph_XR_M_MARG" hidden="1">[4]P!$R$29:$AK$29</definedName>
    <definedName name="_31__FDSAUDITLINK__" hidden="1">{"fdsup://directions/FAT Viewer?action=UPDATE&amp;creator=factset&amp;DYN_ARGS=TRUE&amp;DOC_NAME=FAT:FQL_AUDITING_CLIENT_TEMPLATE.FAT&amp;display_string=Audit&amp;VAR:KEY=QPWLWNYVUP&amp;VAR:QUERY=RkZfRU5UUlBSX1ZBTF9EQUlMWSgwNy8yNi8yMDExLCwsLCwnRElMJykvRUNBX01FQU5fRUJJVCgyMDEyLDA3L","zI2LzIwMTEp&amp;WINDOW=FIRST_POPUP&amp;HEIGHT=450&amp;WIDTH=450&amp;START_MAXIMIZED=FALSE&amp;VAR:CALENDAR=FIVEDAY&amp;VAR:SYMBOL=COL&amp;VAR:INDEX=0"}</definedName>
    <definedName name="_310__FDSAUDITLINK__" hidden="1">{"fdsup://directions/FAT Viewer?action=UPDATE&amp;creator=factset&amp;DYN_ARGS=TRUE&amp;DOC_NAME=FAT:FQL_AUDITING_CLIENT_TEMPLATE.FAT&amp;display_string=Audit&amp;VAR:KEY=YZGNKLADER&amp;VAR:QUERY=RkZfRU5UUlBSX1ZBTF9EQUlMWSgwNC8xNS8yMDExLCwsLCwnRElMJykvRUNBX01FQU5fRUJJVCgyMDEyLDA0L","zE1LzIwMTEp&amp;WINDOW=FIRST_POPUP&amp;HEIGHT=450&amp;WIDTH=450&amp;START_MAXIMIZED=FALSE&amp;VAR:CALENDAR=US&amp;VAR:SYMBOL=BEAV&amp;VAR:INDEX=0"}</definedName>
    <definedName name="_311__FDSAUDITLINK__" hidden="1">{"fdsup://directions/FAT Viewer?action=UPDATE&amp;creator=factset&amp;DYN_ARGS=TRUE&amp;DOC_NAME=FAT:FQL_AUDITING_CLIENT_TEMPLATE.FAT&amp;display_string=Audit&amp;VAR:KEY=MBKPEHWRQR&amp;VAR:QUERY=RkZfRU5UUlBSX1ZBTF9EQUlMWSgwNC8xNS8yMDExLCwsLCwnRElMJykvRUNBX01FQU5fRUJJVCgyMDExLDA0L","zE1LzIwMTEp&amp;WINDOW=FIRST_POPUP&amp;HEIGHT=450&amp;WIDTH=450&amp;START_MAXIMIZED=FALSE&amp;VAR:CALENDAR=US&amp;VAR:SYMBOL=BEAV&amp;VAR:INDEX=0"}</definedName>
    <definedName name="_312__FDSAUDITLINK__" hidden="1">{"fdsup://directions/FAT Viewer?action=UPDATE&amp;creator=factset&amp;DYN_ARGS=TRUE&amp;DOC_NAME=FAT:FQL_AUDITING_CLIENT_TEMPLATE.FAT&amp;display_string=Audit&amp;VAR:KEY=WLGJMZMPKP&amp;VAR:QUERY=RkZfRU5UUlBSX1ZBTF9EQUlMWSgwNC8xNS8yMDExLCwsLCwnRElMJykvRUNBX01FQU5fRUJJVCgyMDEwLDA0L","zE1LzIwMTEp&amp;WINDOW=FIRST_POPUP&amp;HEIGHT=450&amp;WIDTH=450&amp;START_MAXIMIZED=FALSE&amp;VAR:CALENDAR=US&amp;VAR:SYMBOL=BEAV&amp;VAR:INDEX=0"}</definedName>
    <definedName name="_313__FDSAUDITLINK__" hidden="1">{"fdsup://directions/FAT Viewer?action=UPDATE&amp;creator=factset&amp;DYN_ARGS=TRUE&amp;DOC_NAME=FAT:FQL_AUDITING_CLIENT_TEMPLATE.FAT&amp;display_string=Audit&amp;VAR:KEY=ULKXITILAP&amp;VAR:QUERY=RkZfRU5UUlBSX1ZBTF9EQUlMWSgwNC8xNS8yMDExLCwsLCwnRElMJykvRUNBX01FQU5fRUJJVERBKDIwMTIsM","DQvMTUvMjAxMSk=&amp;WINDOW=FIRST_POPUP&amp;HEIGHT=450&amp;WIDTH=450&amp;START_MAXIMIZED=FALSE&amp;VAR:CALENDAR=US&amp;VAR:SYMBOL=BEAV&amp;VAR:INDEX=0"}</definedName>
    <definedName name="_314__FDSAUDITLINK__" hidden="1">{"fdsup://directions/FAT Viewer?action=UPDATE&amp;creator=factset&amp;DYN_ARGS=TRUE&amp;DOC_NAME=FAT:FQL_AUDITING_CLIENT_TEMPLATE.FAT&amp;display_string=Audit&amp;VAR:KEY=IVAHCPKPMH&amp;VAR:QUERY=RkZfRU5UUlBSX1ZBTF9EQUlMWSgwNC8xNS8yMDExLCwsLCwnRElMJykvRUNBX01FQU5fRUJJVERBKDIwMTEsM","DQvMTUvMjAxMSk=&amp;WINDOW=FIRST_POPUP&amp;HEIGHT=450&amp;WIDTH=450&amp;START_MAXIMIZED=FALSE&amp;VAR:CALENDAR=US&amp;VAR:SYMBOL=BEAV&amp;VAR:INDEX=0"}</definedName>
    <definedName name="_315__FDSAUDITLINK__" hidden="1">{"fdsup://directions/FAT Viewer?action=UPDATE&amp;creator=factset&amp;DYN_ARGS=TRUE&amp;DOC_NAME=FAT:FQL_AUDITING_CLIENT_TEMPLATE.FAT&amp;display_string=Audit&amp;VAR:KEY=CDCLAHAHUD&amp;VAR:QUERY=RkZfRU5UUlBSX1ZBTF9EQUlMWSgwNC8xNS8yMDExLCwsLCwnRElMJykvRUNBX01FQU5fRUJJVERBKDIwMTAsM","DQvMTUvMjAxMSk=&amp;WINDOW=FIRST_POPUP&amp;HEIGHT=450&amp;WIDTH=450&amp;START_MAXIMIZED=FALSE&amp;VAR:CALENDAR=US&amp;VAR:SYMBOL=BEAV&amp;VAR:INDEX=0"}</definedName>
    <definedName name="_316__FDSAUDITLINK__" hidden="1">{"fdsup://directions/FAT Viewer?action=UPDATE&amp;creator=factset&amp;DYN_ARGS=TRUE&amp;DOC_NAME=FAT:FQL_AUDITING_CLIENT_TEMPLATE.FAT&amp;display_string=Audit&amp;VAR:KEY=DEDIRKRYZG&amp;VAR:QUERY=RkZfRU5UUlBSX1ZBTF9EQUlMWSgwNy8xNS8yMDExLCwsLCwnRElMJykvRUNBX01FQU5fU0FMRVMoMjAxMiwwN","y8xNS8yMDExKQ==&amp;WINDOW=FIRST_POPUP&amp;HEIGHT=450&amp;WIDTH=450&amp;START_MAXIMIZED=FALSE&amp;VAR:CALENDAR=FIVEDAY&amp;VAR:SYMBOL=057580&amp;VAR:INDEX=0"}</definedName>
    <definedName name="_317__FDSAUDITLINK__" hidden="1">{"fdsup://directions/FAT Viewer?action=UPDATE&amp;creator=factset&amp;DYN_ARGS=TRUE&amp;DOC_NAME=FAT:FQL_AUDITING_CLIENT_TEMPLATE.FAT&amp;display_string=Audit&amp;VAR:KEY=XWJCZEPYDI&amp;VAR:QUERY=RkZfRU5UUlBSX1ZBTF9EQUlMWSgwNy8xNS8yMDExLCwsLCwnRElMJykvRUNBX01FQU5fU0FMRVMoMjAxMSwwN","y8xNS8yMDExKQ==&amp;WINDOW=FIRST_POPUP&amp;HEIGHT=450&amp;WIDTH=450&amp;START_MAXIMIZED=FALSE&amp;VAR:CALENDAR=FIVEDAY&amp;VAR:SYMBOL=057580&amp;VAR:INDEX=0"}</definedName>
    <definedName name="_318__FDSAUDITLINK__" hidden="1">{"fdsup://directions/FAT Viewer?action=UPDATE&amp;creator=factset&amp;DYN_ARGS=TRUE&amp;DOC_NAME=FAT:FQL_AUDITING_CLIENT_TEMPLATE.FAT&amp;display_string=Audit&amp;VAR:KEY=XABUVSHULA&amp;VAR:QUERY=RkZfRU5UUlBSX1ZBTF9EQUlMWSgwNy8xNS8yMDExLCwsLCwnRElMJykvRUNBX01FQU5fU0FMRVMoMjAxMCwwN","y8xNS8yMDExKQ==&amp;WINDOW=FIRST_POPUP&amp;HEIGHT=450&amp;WIDTH=450&amp;START_MAXIMIZED=FALSE&amp;VAR:CALENDAR=FIVEDAY&amp;VAR:SYMBOL=057580&amp;VAR:INDEX=0"}</definedName>
    <definedName name="_319__FDSAUDITLINK__" hidden="1">{"fdsup://directions/FAT Viewer?action=UPDATE&amp;creator=factset&amp;DYN_ARGS=TRUE&amp;DOC_NAME=FAT:FQL_AUDITING_CLIENT_TEMPLATE.FAT&amp;display_string=Audit&amp;VAR:KEY=JOVEDIXWLO&amp;VAR:QUERY=RkZfRU5UUlBSX1ZBTF9EQUlMWSgwNy8xNS8yMDExLCwsLCwnRElMJykvRUNBX01FQU5fRUJJVCgyMDEyLDA3L","zE1LzIwMTEp&amp;WINDOW=FIRST_POPUP&amp;HEIGHT=450&amp;WIDTH=450&amp;START_MAXIMIZED=FALSE&amp;VAR:CALENDAR=FIVEDAY&amp;VAR:SYMBOL=057580&amp;VAR:INDEX=0"}</definedName>
    <definedName name="_32__FDSAUDITLINK__" hidden="1">{"fdsup://directions/FAT Viewer?action=UPDATE&amp;creator=factset&amp;DYN_ARGS=TRUE&amp;DOC_NAME=FAT:FQL_AUDITING_CLIENT_TEMPLATE.FAT&amp;display_string=Audit&amp;VAR:KEY=EBGVSXITIV&amp;VAR:QUERY=RkZfRU5UUlBSX1ZBTF9EQUlMWSgwNy8yNi8yMDExLCwsLCwnRElMJykvRUNBX01FQU5fRUJJVCgyMDExLDA3L","zI2LzIwMTEp&amp;WINDOW=FIRST_POPUP&amp;HEIGHT=450&amp;WIDTH=450&amp;START_MAXIMIZED=FALSE&amp;VAR:CALENDAR=FIVEDAY&amp;VAR:SYMBOL=COL&amp;VAR:INDEX=0"}</definedName>
    <definedName name="_320__FDSAUDITLINK__" hidden="1">{"fdsup://directions/FAT Viewer?action=UPDATE&amp;creator=factset&amp;DYN_ARGS=TRUE&amp;DOC_NAME=FAT:FQL_AUDITING_CLIENT_TEMPLATE.FAT&amp;display_string=Audit&amp;VAR:KEY=ZWVYBSLCDE&amp;VAR:QUERY=RkZfRU5UUlBSX1ZBTF9EQUlMWSgwNy8xNS8yMDExLCwsLCwnRElMJykvRUNBX01FQU5fRUJJVCgyMDExLDA3L","zE1LzIwMTEp&amp;WINDOW=FIRST_POPUP&amp;HEIGHT=450&amp;WIDTH=450&amp;START_MAXIMIZED=FALSE&amp;VAR:CALENDAR=FIVEDAY&amp;VAR:SYMBOL=057580&amp;VAR:INDEX=0"}</definedName>
    <definedName name="_321__FDSAUDITLINK__" hidden="1">{"fdsup://directions/FAT Viewer?action=UPDATE&amp;creator=factset&amp;DYN_ARGS=TRUE&amp;DOC_NAME=FAT:FQL_AUDITING_CLIENT_TEMPLATE.FAT&amp;display_string=Audit&amp;VAR:KEY=JSXEDIPELY&amp;VAR:QUERY=RkZfRU5UUlBSX1ZBTF9EQUlMWSgwNy8xNS8yMDExLCwsLCwnRElMJykvRUNBX01FQU5fRUJJVCgyMDEwLDA3L","zE1LzIwMTEp&amp;WINDOW=FIRST_POPUP&amp;HEIGHT=450&amp;WIDTH=450&amp;START_MAXIMIZED=FALSE&amp;VAR:CALENDAR=FIVEDAY&amp;VAR:SYMBOL=057580&amp;VAR:INDEX=0"}</definedName>
    <definedName name="_322__FDSAUDITLINK__" hidden="1">{"fdsup://directions/FAT Viewer?action=UPDATE&amp;creator=factset&amp;DYN_ARGS=TRUE&amp;DOC_NAME=FAT:FQL_AUDITING_CLIENT_TEMPLATE.FAT&amp;display_string=Audit&amp;VAR:KEY=ZMFWXSLOFK&amp;VAR:QUERY=RkZfRU5UUlBSX1ZBTF9EQUlMWSgwNy8xNS8yMDExLCwsLCwnRElMJykvRUNBX01FQU5fRUJJVERBKDIwMTIsM","DcvMTUvMjAxMSk=&amp;WINDOW=FIRST_POPUP&amp;HEIGHT=450&amp;WIDTH=450&amp;START_MAXIMIZED=FALSE&amp;VAR:CALENDAR=FIVEDAY&amp;VAR:SYMBOL=057580&amp;VAR:INDEX=0"}</definedName>
    <definedName name="_323__FDSAUDITLINK__" hidden="1">{"fdsup://directions/FAT Viewer?action=UPDATE&amp;creator=factset&amp;DYN_ARGS=TRUE&amp;DOC_NAME=FAT:FQL_AUDITING_CLIENT_TEMPLATE.FAT&amp;display_string=Audit&amp;VAR:KEY=BQZIVMXMXW&amp;VAR:QUERY=RkZfRU5UUlBSX1ZBTF9EQUlMWSgwNy8xNS8yMDExLCwsLCwnRElMJykvRUNBX01FQU5fRUJJVERBKDIwMTEsM","DcvMTUvMjAxMSk=&amp;WINDOW=FIRST_POPUP&amp;HEIGHT=450&amp;WIDTH=450&amp;START_MAXIMIZED=FALSE&amp;VAR:CALENDAR=FIVEDAY&amp;VAR:SYMBOL=057580&amp;VAR:INDEX=0"}</definedName>
    <definedName name="_324__FDSAUDITLINK__" hidden="1">{"fdsup://directions/FAT Viewer?action=UPDATE&amp;creator=factset&amp;DYN_ARGS=TRUE&amp;DOC_NAME=FAT:FQL_AUDITING_CLIENT_TEMPLATE.FAT&amp;display_string=Audit&amp;VAR:KEY=ZCBIPGHWJS&amp;VAR:QUERY=RkZfRU5UUlBSX1ZBTF9EQUlMWSgwNy8xNS8yMDExLCwsLCwnRElMJykvRUNBX01FQU5fRUJJVERBKDIwMTAsM","DcvMTUvMjAxMSk=&amp;WINDOW=FIRST_POPUP&amp;HEIGHT=450&amp;WIDTH=450&amp;START_MAXIMIZED=FALSE&amp;VAR:CALENDAR=FIVEDAY&amp;VAR:SYMBOL=057580&amp;VAR:INDEX=0"}</definedName>
    <definedName name="_325__FDSAUDITLINK__" hidden="1">{"fdsup://directions/FAT Viewer?action=UPDATE&amp;creator=factset&amp;DYN_ARGS=TRUE&amp;DOC_NAME=FAT:FQL_AUDITING_CLIENT_TEMPLATE.FAT&amp;display_string=Audit&amp;VAR:KEY=JOTOJMHAPC&amp;VAR:QUERY=RkZfRU5UUlBSX1ZBTF9EQUlMWSgwNy8xNS8yMDExLCwsLCwnRElMJykvRUNBX01FQU5fU0FMRVMoMjAxMiwwN","y8xNS8yMDExKQ==&amp;WINDOW=FIRST_POPUP&amp;HEIGHT=450&amp;WIDTH=450&amp;START_MAXIMIZED=FALSE&amp;VAR:CALENDAR=FIVEDAY&amp;VAR:SYMBOL=PCP&amp;VAR:INDEX=0"}</definedName>
    <definedName name="_326__FDSAUDITLINK__" hidden="1">{"fdsup://directions/FAT Viewer?action=UPDATE&amp;creator=factset&amp;DYN_ARGS=TRUE&amp;DOC_NAME=FAT:FQL_AUDITING_CLIENT_TEMPLATE.FAT&amp;display_string=Audit&amp;VAR:KEY=FCXYFCHWXA&amp;VAR:QUERY=RkZfRU5UUlBSX1ZBTF9EQUlMWSgwNy8xNS8yMDExLCwsLCwnRElMJykvRUNBX01FQU5fU0FMRVMoMjAxMSwwN","y8xNS8yMDExKQ==&amp;WINDOW=FIRST_POPUP&amp;HEIGHT=450&amp;WIDTH=450&amp;START_MAXIMIZED=FALSE&amp;VAR:CALENDAR=FIVEDAY&amp;VAR:SYMBOL=PCP&amp;VAR:INDEX=0"}</definedName>
    <definedName name="_327__FDSAUDITLINK__" hidden="1">{"fdsup://directions/FAT Viewer?action=UPDATE&amp;creator=factset&amp;DYN_ARGS=TRUE&amp;DOC_NAME=FAT:FQL_AUDITING_CLIENT_TEMPLATE.FAT&amp;display_string=Audit&amp;VAR:KEY=ZWDYLGNOZS&amp;VAR:QUERY=RkZfRU5UUlBSX1ZBTF9EQUlMWSgwNy8xNS8yMDExLCwsLCwnRElMJykvRUNBX01FQU5fU0FMRVMoMjAxMCwwN","y8xNS8yMDExKQ==&amp;WINDOW=FIRST_POPUP&amp;HEIGHT=450&amp;WIDTH=450&amp;START_MAXIMIZED=FALSE&amp;VAR:CALENDAR=FIVEDAY&amp;VAR:SYMBOL=PCP&amp;VAR:INDEX=0"}</definedName>
    <definedName name="_328__FDSAUDITLINK__" hidden="1">{"fdsup://directions/FAT Viewer?action=UPDATE&amp;creator=factset&amp;DYN_ARGS=TRUE&amp;DOC_NAME=FAT:FQL_AUDITING_CLIENT_TEMPLATE.FAT&amp;display_string=Audit&amp;VAR:KEY=BYZORMPCHQ&amp;VAR:QUERY=RkZfRU5UUlBSX1ZBTF9EQUlMWSgwNy8xNS8yMDExLCwsLCwnRElMJykvRUNBX01FQU5fRUJJVCgyMDEyLDA3L","zE1LzIwMTEp&amp;WINDOW=FIRST_POPUP&amp;HEIGHT=450&amp;WIDTH=450&amp;START_MAXIMIZED=FALSE&amp;VAR:CALENDAR=FIVEDAY&amp;VAR:SYMBOL=PCP&amp;VAR:INDEX=0"}</definedName>
    <definedName name="_329__FDSAUDITLINK__" hidden="1">{"fdsup://directions/FAT Viewer?action=UPDATE&amp;creator=factset&amp;DYN_ARGS=TRUE&amp;DOC_NAME=FAT:FQL_AUDITING_CLIENT_TEMPLATE.FAT&amp;display_string=Audit&amp;VAR:KEY=RAHIDATUFY&amp;VAR:QUERY=RkZfRU5UUlBSX1ZBTF9EQUlMWSgwNy8xNS8yMDExLCwsLCwnRElMJykvRUNBX01FQU5fRUJJVCgyMDExLDA3L","zE1LzIwMTEp&amp;WINDOW=FIRST_POPUP&amp;HEIGHT=450&amp;WIDTH=450&amp;START_MAXIMIZED=FALSE&amp;VAR:CALENDAR=FIVEDAY&amp;VAR:SYMBOL=PCP&amp;VAR:INDEX=0"}</definedName>
    <definedName name="_33__FDSAUDITLINK__" hidden="1">{"fdsup://directions/FAT Viewer?action=UPDATE&amp;creator=factset&amp;DYN_ARGS=TRUE&amp;DOC_NAME=FAT:FQL_AUDITING_CLIENT_TEMPLATE.FAT&amp;display_string=Audit&amp;VAR:KEY=QVMFKXQFYT&amp;VAR:QUERY=RkZfRU5UUlBSX1ZBTF9EQUlMWSgwNy8yNi8yMDExLCwsLCwnRElMJykvRUNBX01FQU5fRUJJVCgyMDEwLDA3L","zI2LzIwMTEp&amp;WINDOW=FIRST_POPUP&amp;HEIGHT=450&amp;WIDTH=450&amp;START_MAXIMIZED=FALSE&amp;VAR:CALENDAR=FIVEDAY&amp;VAR:SYMBOL=COL&amp;VAR:INDEX=0"}</definedName>
    <definedName name="_330__FDSAUDITLINK__" hidden="1">{"fdsup://directions/FAT Viewer?action=UPDATE&amp;creator=factset&amp;DYN_ARGS=TRUE&amp;DOC_NAME=FAT:FQL_AUDITING_CLIENT_TEMPLATE.FAT&amp;display_string=Audit&amp;VAR:KEY=TENQBOTIFK&amp;VAR:QUERY=RkZfRU5UUlBSX1ZBTF9EQUlMWSgwNy8xNS8yMDExLCwsLCwnRElMJykvRUNBX01FQU5fRUJJVCgyMDEwLDA3L","zE1LzIwMTEp&amp;WINDOW=FIRST_POPUP&amp;HEIGHT=450&amp;WIDTH=450&amp;START_MAXIMIZED=FALSE&amp;VAR:CALENDAR=FIVEDAY&amp;VAR:SYMBOL=PCP&amp;VAR:INDEX=0"}</definedName>
    <definedName name="_331__FDSAUDITLINK__" hidden="1">{"fdsup://directions/FAT Viewer?action=UPDATE&amp;creator=factset&amp;DYN_ARGS=TRUE&amp;DOC_NAME=FAT:FQL_AUDITING_CLIENT_TEMPLATE.FAT&amp;display_string=Audit&amp;VAR:KEY=BIJUDWPANI&amp;VAR:QUERY=RkZfRU5UUlBSX1ZBTF9EQUlMWSgwNy8xNS8yMDExLCwsLCwnRElMJykvRUNBX01FQU5fRUJJVERBKDIwMTIsM","DcvMTUvMjAxMSk=&amp;WINDOW=FIRST_POPUP&amp;HEIGHT=450&amp;WIDTH=450&amp;START_MAXIMIZED=FALSE&amp;VAR:CALENDAR=FIVEDAY&amp;VAR:SYMBOL=PCP&amp;VAR:INDEX=0"}</definedName>
    <definedName name="_332__FDSAUDITLINK__" hidden="1">{"fdsup://directions/FAT Viewer?action=UPDATE&amp;creator=factset&amp;DYN_ARGS=TRUE&amp;DOC_NAME=FAT:FQL_AUDITING_CLIENT_TEMPLATE.FAT&amp;display_string=Audit&amp;VAR:KEY=BOFAPUNSFW&amp;VAR:QUERY=RkZfRU5UUlBSX1ZBTF9EQUlMWSgwNy8xNS8yMDExLCwsLCwnRElMJykvRUNBX01FQU5fRUJJVERBKDIwMTEsM","DcvMTUvMjAxMSk=&amp;WINDOW=FIRST_POPUP&amp;HEIGHT=450&amp;WIDTH=450&amp;START_MAXIMIZED=FALSE&amp;VAR:CALENDAR=FIVEDAY&amp;VAR:SYMBOL=PCP&amp;VAR:INDEX=0"}</definedName>
    <definedName name="_333__FDSAUDITLINK__" hidden="1">{"fdsup://directions/FAT Viewer?action=UPDATE&amp;creator=factset&amp;DYN_ARGS=TRUE&amp;DOC_NAME=FAT:FQL_AUDITING_CLIENT_TEMPLATE.FAT&amp;display_string=Audit&amp;VAR:KEY=NCDWZYHQLY&amp;VAR:QUERY=RkZfRU5UUlBSX1ZBTF9EQUlMWSgwNy8xNS8yMDExLCwsLCwnRElMJykvRUNBX01FQU5fRUJJVERBKDIwMTAsM","DcvMTUvMjAxMSk=&amp;WINDOW=FIRST_POPUP&amp;HEIGHT=450&amp;WIDTH=450&amp;START_MAXIMIZED=FALSE&amp;VAR:CALENDAR=FIVEDAY&amp;VAR:SYMBOL=PCP&amp;VAR:INDEX=0"}</definedName>
    <definedName name="_334__FDSAUDITLINK__" hidden="1">{"fdsup://directions/FAT Viewer?action=UPDATE&amp;creator=factset&amp;DYN_ARGS=TRUE&amp;DOC_NAME=FAT:FQL_AUDITING_CLIENT_TEMPLATE.FAT&amp;display_string=Audit&amp;VAR:KEY=LIHILQPEHS&amp;VAR:QUERY=RkZfRU5UUlBSX1ZBTF9EQUlMWSgwNy8xNS8yMDExLCwsLCwnRElMJykvRUNBX01FQU5fU0FMRVMoMjAxMiwwN","y8xNS8yMDExKQ==&amp;WINDOW=FIRST_POPUP&amp;HEIGHT=450&amp;WIDTH=450&amp;START_MAXIMIZED=FALSE&amp;VAR:CALENDAR=FIVEDAY&amp;VAR:SYMBOL=MOG.A&amp;VAR:INDEX=0"}</definedName>
    <definedName name="_335__FDSAUDITLINK__" hidden="1">{"fdsup://directions/FAT Viewer?action=UPDATE&amp;creator=factset&amp;DYN_ARGS=TRUE&amp;DOC_NAME=FAT:FQL_AUDITING_CLIENT_TEMPLATE.FAT&amp;display_string=Audit&amp;VAR:KEY=BKHSXEZQRI&amp;VAR:QUERY=RkZfRU5UUlBSX1ZBTF9EQUlMWSgwNy8xNS8yMDExLCwsLCwnRElMJykvRUNBX01FQU5fU0FMRVMoMjAxMSwwN","y8xNS8yMDExKQ==&amp;WINDOW=FIRST_POPUP&amp;HEIGHT=450&amp;WIDTH=450&amp;START_MAXIMIZED=FALSE&amp;VAR:CALENDAR=FIVEDAY&amp;VAR:SYMBOL=MOG.A&amp;VAR:INDEX=0"}</definedName>
    <definedName name="_336__FDSAUDITLINK__" hidden="1">{"fdsup://directions/FAT Viewer?action=UPDATE&amp;creator=factset&amp;DYN_ARGS=TRUE&amp;DOC_NAME=FAT:FQL_AUDITING_CLIENT_TEMPLATE.FAT&amp;display_string=Audit&amp;VAR:KEY=NYZOXGHULC&amp;VAR:QUERY=RkZfRU5UUlBSX1ZBTF9EQUlMWSgwNy8xNS8yMDExLCwsLCwnRElMJykvRUNBX01FQU5fU0FMRVMoMjAxMCwwN","y8xNS8yMDExKQ==&amp;WINDOW=FIRST_POPUP&amp;HEIGHT=450&amp;WIDTH=450&amp;START_MAXIMIZED=FALSE&amp;VAR:CALENDAR=FIVEDAY&amp;VAR:SYMBOL=MOG.A&amp;VAR:INDEX=0"}</definedName>
    <definedName name="_337__FDSAUDITLINK__" hidden="1">{"fdsup://directions/FAT Viewer?action=UPDATE&amp;creator=factset&amp;DYN_ARGS=TRUE&amp;DOC_NAME=FAT:FQL_AUDITING_CLIENT_TEMPLATE.FAT&amp;display_string=Audit&amp;VAR:KEY=NYXYJIPEVY&amp;VAR:QUERY=RkZfRU5UUlBSX1ZBTF9EQUlMWSgwNy8xNS8yMDExLCwsLCwnRElMJykvRUNBX01FQU5fRUJJVCgyMDEyLDA3L","zE1LzIwMTEp&amp;WINDOW=FIRST_POPUP&amp;HEIGHT=450&amp;WIDTH=450&amp;START_MAXIMIZED=FALSE&amp;VAR:CALENDAR=FIVEDAY&amp;VAR:SYMBOL=MOG.A&amp;VAR:INDEX=0"}</definedName>
    <definedName name="_338__FDSAUDITLINK__" hidden="1">{"fdsup://directions/FAT Viewer?action=UPDATE&amp;creator=factset&amp;DYN_ARGS=TRUE&amp;DOC_NAME=FAT:FQL_AUDITING_CLIENT_TEMPLATE.FAT&amp;display_string=Audit&amp;VAR:KEY=NSBMVWPMXC&amp;VAR:QUERY=RkZfRU5UUlBSX1ZBTF9EQUlMWSgwNy8xNS8yMDExLCwsLCwnRElMJykvRUNBX01FQU5fRUJJVCgyMDExLDA3L","zE1LzIwMTEp&amp;WINDOW=FIRST_POPUP&amp;HEIGHT=450&amp;WIDTH=450&amp;START_MAXIMIZED=FALSE&amp;VAR:CALENDAR=FIVEDAY&amp;VAR:SYMBOL=MOG.A&amp;VAR:INDEX=0"}</definedName>
    <definedName name="_339__FDSAUDITLINK__" hidden="1">{"fdsup://directions/FAT Viewer?action=UPDATE&amp;creator=factset&amp;DYN_ARGS=TRUE&amp;DOC_NAME=FAT:FQL_AUDITING_CLIENT_TEMPLATE.FAT&amp;display_string=Audit&amp;VAR:KEY=RGRCNQPWVG&amp;VAR:QUERY=RkZfRU5UUlBSX1ZBTF9EQUlMWSgwNy8xNS8yMDExLCwsLCwnRElMJykvRUNBX01FQU5fRUJJVCgyMDEwLDA3L","zE1LzIwMTEp&amp;WINDOW=FIRST_POPUP&amp;HEIGHT=450&amp;WIDTH=450&amp;START_MAXIMIZED=FALSE&amp;VAR:CALENDAR=FIVEDAY&amp;VAR:SYMBOL=MOG.A&amp;VAR:INDEX=0"}</definedName>
    <definedName name="_34__FDSAUDITLINK__" hidden="1">{"fdsup://directions/FAT Viewer?action=UPDATE&amp;creator=factset&amp;DYN_ARGS=TRUE&amp;DOC_NAME=FAT:FQL_AUDITING_CLIENT_TEMPLATE.FAT&amp;display_string=Audit&amp;VAR:KEY=WJEFSLGHOJ&amp;VAR:QUERY=RkZfRU5UUlBSX1ZBTF9EQUlMWSgwNy8yNi8yMDExLCwsLCwnRElMJykvRUNBX01FQU5fRUJJVERBKDIwMTIsM","DcvMjYvMjAxMSk=&amp;WINDOW=FIRST_POPUP&amp;HEIGHT=450&amp;WIDTH=450&amp;START_MAXIMIZED=FALSE&amp;VAR:CALENDAR=FIVEDAY&amp;VAR:SYMBOL=COL&amp;VAR:INDEX=0"}</definedName>
    <definedName name="_340__FDSAUDITLINK__" hidden="1">{"fdsup://directions/FAT Viewer?action=UPDATE&amp;creator=factset&amp;DYN_ARGS=TRUE&amp;DOC_NAME=FAT:FQL_AUDITING_CLIENT_TEMPLATE.FAT&amp;display_string=Audit&amp;VAR:KEY=NCPODUVUTY&amp;VAR:QUERY=RkZfRU5UUlBSX1ZBTF9EQUlMWSgwNy8xNS8yMDExLCwsLCwnRElMJykvRUNBX01FQU5fRUJJVERBKDIwMTIsM","DcvMTUvMjAxMSk=&amp;WINDOW=FIRST_POPUP&amp;HEIGHT=450&amp;WIDTH=450&amp;START_MAXIMIZED=FALSE&amp;VAR:CALENDAR=FIVEDAY&amp;VAR:SYMBOL=MOG.A&amp;VAR:INDEX=0"}</definedName>
    <definedName name="_341__FDSAUDITLINK__" hidden="1">{"fdsup://directions/FAT Viewer?action=UPDATE&amp;creator=factset&amp;DYN_ARGS=TRUE&amp;DOC_NAME=FAT:FQL_AUDITING_CLIENT_TEMPLATE.FAT&amp;display_string=Audit&amp;VAR:KEY=RIVODUVABY&amp;VAR:QUERY=RkZfRU5UUlBSX1ZBTF9EQUlMWSgwNy8xNS8yMDExLCwsLCwnRElMJykvRUNBX01FQU5fRUJJVERBKDIwMTEsM","DcvMTUvMjAxMSk=&amp;WINDOW=FIRST_POPUP&amp;HEIGHT=450&amp;WIDTH=450&amp;START_MAXIMIZED=FALSE&amp;VAR:CALENDAR=FIVEDAY&amp;VAR:SYMBOL=MOG.A&amp;VAR:INDEX=0"}</definedName>
    <definedName name="_342__FDSAUDITLINK__" hidden="1">{"fdsup://directions/FAT Viewer?action=UPDATE&amp;creator=factset&amp;DYN_ARGS=TRUE&amp;DOC_NAME=FAT:FQL_AUDITING_CLIENT_TEMPLATE.FAT&amp;display_string=Audit&amp;VAR:KEY=NOROXQDYDA&amp;VAR:QUERY=RkZfRU5UUlBSX1ZBTF9EQUlMWSgwNy8xNS8yMDExLCwsLCwnRElMJykvRUNBX01FQU5fRUJJVERBKDIwMTAsM","DcvMTUvMjAxMSk=&amp;WINDOW=FIRST_POPUP&amp;HEIGHT=450&amp;WIDTH=450&amp;START_MAXIMIZED=FALSE&amp;VAR:CALENDAR=FIVEDAY&amp;VAR:SYMBOL=MOG.A&amp;VAR:INDEX=0"}</definedName>
    <definedName name="_343__FDSAUDITLINK__" hidden="1">{"fdsup://directions/FAT Viewer?action=UPDATE&amp;creator=factset&amp;DYN_ARGS=TRUE&amp;DOC_NAME=FAT:FQL_AUDITING_CLIENT_TEMPLATE.FAT&amp;display_string=Audit&amp;VAR:KEY=TQLCLGJUJU&amp;VAR:QUERY=RkZfRU5UUlBSX1ZBTF9EQUlMWSgwNy8xNS8yMDExLCwsLCwnRElMJykvRUNBX01FQU5fU0FMRVMoMjAxMiwwN","y8xNS8yMDExKQ==&amp;WINDOW=FIRST_POPUP&amp;HEIGHT=450&amp;WIDTH=450&amp;START_MAXIMIZED=FALSE&amp;VAR:CALENDAR=FIVEDAY&amp;VAR:SYMBOL=COL&amp;VAR:INDEX=0"}</definedName>
    <definedName name="_344__FDSAUDITLINK__" hidden="1">{"fdsup://directions/FAT Viewer?action=UPDATE&amp;creator=factset&amp;DYN_ARGS=TRUE&amp;DOC_NAME=FAT:FQL_AUDITING_CLIENT_TEMPLATE.FAT&amp;display_string=Audit&amp;VAR:KEY=TCLSBADEBM&amp;VAR:QUERY=RkZfRU5UUlBSX1ZBTF9EQUlMWSgwNy8xNS8yMDExLCwsLCwnRElMJykvRUNBX01FQU5fU0FMRVMoMjAxMSwwN","y8xNS8yMDExKQ==&amp;WINDOW=FIRST_POPUP&amp;HEIGHT=450&amp;WIDTH=450&amp;START_MAXIMIZED=FALSE&amp;VAR:CALENDAR=FIVEDAY&amp;VAR:SYMBOL=COL&amp;VAR:INDEX=0"}</definedName>
    <definedName name="_345__FDSAUDITLINK__" hidden="1">{"fdsup://directions/FAT Viewer?action=UPDATE&amp;creator=factset&amp;DYN_ARGS=TRUE&amp;DOC_NAME=FAT:FQL_AUDITING_CLIENT_TEMPLATE.FAT&amp;display_string=Audit&amp;VAR:KEY=TCVWVCXSPG&amp;VAR:QUERY=RkZfRU5UUlBSX1ZBTF9EQUlMWSgwNy8xNS8yMDExLCwsLCwnRElMJykvRUNBX01FQU5fU0FMRVMoMjAxMCwwN","y8xNS8yMDExKQ==&amp;WINDOW=FIRST_POPUP&amp;HEIGHT=450&amp;WIDTH=450&amp;START_MAXIMIZED=FALSE&amp;VAR:CALENDAR=FIVEDAY&amp;VAR:SYMBOL=COL&amp;VAR:INDEX=0"}</definedName>
    <definedName name="_346__FDSAUDITLINK__" hidden="1">{"fdsup://directions/FAT Viewer?action=UPDATE&amp;creator=factset&amp;DYN_ARGS=TRUE&amp;DOC_NAME=FAT:FQL_AUDITING_CLIENT_TEMPLATE.FAT&amp;display_string=Audit&amp;VAR:KEY=FKRWBWPYJQ&amp;VAR:QUERY=RkZfRU5UUlBSX1ZBTF9EQUlMWSgwNy8xNS8yMDExLCwsLCwnRElMJykvRUNBX01FQU5fRUJJVCgyMDEyLDA3L","zE1LzIwMTEp&amp;WINDOW=FIRST_POPUP&amp;HEIGHT=450&amp;WIDTH=450&amp;START_MAXIMIZED=FALSE&amp;VAR:CALENDAR=FIVEDAY&amp;VAR:SYMBOL=COL&amp;VAR:INDEX=0"}</definedName>
    <definedName name="_347__FDSAUDITLINK__" hidden="1">{"fdsup://directions/FAT Viewer?action=UPDATE&amp;creator=factset&amp;DYN_ARGS=TRUE&amp;DOC_NAME=FAT:FQL_AUDITING_CLIENT_TEMPLATE.FAT&amp;display_string=Audit&amp;VAR:KEY=BWBYDQBYRG&amp;VAR:QUERY=RkZfRU5UUlBSX1ZBTF9EQUlMWSgwNy8xNS8yMDExLCwsLCwnRElMJykvRUNBX01FQU5fRUJJVCgyMDExLDA3L","zE1LzIwMTEp&amp;WINDOW=FIRST_POPUP&amp;HEIGHT=450&amp;WIDTH=450&amp;START_MAXIMIZED=FALSE&amp;VAR:CALENDAR=FIVEDAY&amp;VAR:SYMBOL=COL&amp;VAR:INDEX=0"}</definedName>
    <definedName name="_348__FDSAUDITLINK__" hidden="1">{"fdsup://directions/FAT Viewer?action=UPDATE&amp;creator=factset&amp;DYN_ARGS=TRUE&amp;DOC_NAME=FAT:FQL_AUDITING_CLIENT_TEMPLATE.FAT&amp;display_string=Audit&amp;VAR:KEY=LINIDUNITC&amp;VAR:QUERY=RkZfRU5UUlBSX1ZBTF9EQUlMWSgwNy8xNS8yMDExLCwsLCwnRElMJykvRUNBX01FQU5fRUJJVCgyMDEwLDA3L","zE1LzIwMTEp&amp;WINDOW=FIRST_POPUP&amp;HEIGHT=450&amp;WIDTH=450&amp;START_MAXIMIZED=FALSE&amp;VAR:CALENDAR=FIVEDAY&amp;VAR:SYMBOL=COL&amp;VAR:INDEX=0"}</definedName>
    <definedName name="_349__FDSAUDITLINK__" hidden="1">{"fdsup://directions/FAT Viewer?action=UPDATE&amp;creator=factset&amp;DYN_ARGS=TRUE&amp;DOC_NAME=FAT:FQL_AUDITING_CLIENT_TEMPLATE.FAT&amp;display_string=Audit&amp;VAR:KEY=DUDADIPCVA&amp;VAR:QUERY=RkZfRU5UUlBSX1ZBTF9EQUlMWSgwNy8xNS8yMDExLCwsLCwnRElMJykvRUNBX01FQU5fRUJJVERBKDIwMTIsM","DcvMTUvMjAxMSk=&amp;WINDOW=FIRST_POPUP&amp;HEIGHT=450&amp;WIDTH=450&amp;START_MAXIMIZED=FALSE&amp;VAR:CALENDAR=FIVEDAY&amp;VAR:SYMBOL=COL&amp;VAR:INDEX=0"}</definedName>
    <definedName name="_35__FDSAUDITLINK__" hidden="1">{"fdsup://directions/FAT Viewer?action=UPDATE&amp;creator=factset&amp;DYN_ARGS=TRUE&amp;DOC_NAME=FAT:FQL_AUDITING_CLIENT_TEMPLATE.FAT&amp;display_string=Audit&amp;VAR:KEY=OBIHMLOZCD&amp;VAR:QUERY=RkZfRU5UUlBSX1ZBTF9EQUlMWSgwNy8yNi8yMDExLCwsLCwnRElMJykvRUNBX01FQU5fRUJJVERBKDIwMTEsM","DcvMjYvMjAxMSk=&amp;WINDOW=FIRST_POPUP&amp;HEIGHT=450&amp;WIDTH=450&amp;START_MAXIMIZED=FALSE&amp;VAR:CALENDAR=FIVEDAY&amp;VAR:SYMBOL=COL&amp;VAR:INDEX=0"}</definedName>
    <definedName name="_350__FDSAUDITLINK__" hidden="1">{"fdsup://directions/FAT Viewer?action=UPDATE&amp;creator=factset&amp;DYN_ARGS=TRUE&amp;DOC_NAME=FAT:FQL_AUDITING_CLIENT_TEMPLATE.FAT&amp;display_string=Audit&amp;VAR:KEY=HOZMZUDYTG&amp;VAR:QUERY=RkZfRU5UUlBSX1ZBTF9EQUlMWSgwNy8xNS8yMDExLCwsLCwnRElMJykvRUNBX01FQU5fRUJJVERBKDIwMTEsM","DcvMTUvMjAxMSk=&amp;WINDOW=FIRST_POPUP&amp;HEIGHT=450&amp;WIDTH=450&amp;START_MAXIMIZED=FALSE&amp;VAR:CALENDAR=FIVEDAY&amp;VAR:SYMBOL=COL&amp;VAR:INDEX=0"}</definedName>
    <definedName name="_351__FDSAUDITLINK__" hidden="1">{"fdsup://directions/FAT Viewer?action=UPDATE&amp;creator=factset&amp;DYN_ARGS=TRUE&amp;DOC_NAME=FAT:FQL_AUDITING_CLIENT_TEMPLATE.FAT&amp;display_string=Audit&amp;VAR:KEY=ZOZGRKXKLQ&amp;VAR:QUERY=RkZfRU5UUlBSX1ZBTF9EQUlMWSgwNy8xNS8yMDExLCwsLCwnRElMJykvRUNBX01FQU5fRUJJVERBKDIwMTAsM","DcvMTUvMjAxMSk=&amp;WINDOW=FIRST_POPUP&amp;HEIGHT=450&amp;WIDTH=450&amp;START_MAXIMIZED=FALSE&amp;VAR:CALENDAR=FIVEDAY&amp;VAR:SYMBOL=COL&amp;VAR:INDEX=0"}</definedName>
    <definedName name="_352__FDSAUDITLINK__" hidden="1">{"fdsup://directions/FAT Viewer?action=UPDATE&amp;creator=factset&amp;DYN_ARGS=TRUE&amp;DOC_NAME=FAT:FQL_AUDITING_CLIENT_TEMPLATE.FAT&amp;display_string=Audit&amp;VAR:KEY=TSVONSRIPQ&amp;VAR:QUERY=RkZfRU5UUlBSX1ZBTF9EQUlMWSgwNy8xNS8yMDExLCwsLCwnRElMJykvRUNBX01FQU5fU0FMRVMoMjAxMiwwN","y8xNS8yMDExKQ==&amp;WINDOW=FIRST_POPUP&amp;HEIGHT=450&amp;WIDTH=450&amp;START_MAXIMIZED=FALSE&amp;VAR:CALENDAR=FIVEDAY&amp;VAR:SYMBOL=BEAV&amp;VAR:INDEX=0"}</definedName>
    <definedName name="_353__FDSAUDITLINK__" hidden="1">{"fdsup://directions/FAT Viewer?action=UPDATE&amp;creator=factset&amp;DYN_ARGS=TRUE&amp;DOC_NAME=FAT:FQL_AUDITING_CLIENT_TEMPLATE.FAT&amp;display_string=Audit&amp;VAR:KEY=ZKFETWBYZU&amp;VAR:QUERY=RkZfRU5UUlBSX1ZBTF9EQUlMWSgwNy8xNS8yMDExLCwsLCwnRElMJykvRUNBX01FQU5fU0FMRVMoMjAxMSwwN","y8xNS8yMDExKQ==&amp;WINDOW=FIRST_POPUP&amp;HEIGHT=450&amp;WIDTH=450&amp;START_MAXIMIZED=FALSE&amp;VAR:CALENDAR=FIVEDAY&amp;VAR:SYMBOL=BEAV&amp;VAR:INDEX=0"}</definedName>
    <definedName name="_354__FDSAUDITLINK__" hidden="1">{"fdsup://directions/FAT Viewer?action=UPDATE&amp;creator=factset&amp;DYN_ARGS=TRUE&amp;DOC_NAME=FAT:FQL_AUDITING_CLIENT_TEMPLATE.FAT&amp;display_string=Audit&amp;VAR:KEY=LUTYBGPKXA&amp;VAR:QUERY=RkZfRU5UUlBSX1ZBTF9EQUlMWSgwNy8xNS8yMDExLCwsLCwnRElMJykvRUNBX01FQU5fU0FMRVMoMjAxMCwwN","y8xNS8yMDExKQ==&amp;WINDOW=FIRST_POPUP&amp;HEIGHT=450&amp;WIDTH=450&amp;START_MAXIMIZED=FALSE&amp;VAR:CALENDAR=FIVEDAY&amp;VAR:SYMBOL=BEAV&amp;VAR:INDEX=0"}</definedName>
    <definedName name="_355__FDSAUDITLINK__" hidden="1">{"fdsup://directions/FAT Viewer?action=UPDATE&amp;creator=factset&amp;DYN_ARGS=TRUE&amp;DOC_NAME=FAT:FQL_AUDITING_CLIENT_TEMPLATE.FAT&amp;display_string=Audit&amp;VAR:KEY=HONQXAZSRM&amp;VAR:QUERY=RkZfRU5UUlBSX1ZBTF9EQUlMWSgwNy8xNS8yMDExLCwsLCwnRElMJykvRUNBX01FQU5fRUJJVCgyMDEyLDA3L","zE1LzIwMTEp&amp;WINDOW=FIRST_POPUP&amp;HEIGHT=450&amp;WIDTH=450&amp;START_MAXIMIZED=FALSE&amp;VAR:CALENDAR=FIVEDAY&amp;VAR:SYMBOL=BEAV&amp;VAR:INDEX=0"}</definedName>
    <definedName name="_356__FDSAUDITLINK__" hidden="1">{"fdsup://directions/FAT Viewer?action=UPDATE&amp;creator=factset&amp;DYN_ARGS=TRUE&amp;DOC_NAME=FAT:FQL_AUDITING_CLIENT_TEMPLATE.FAT&amp;display_string=Audit&amp;VAR:KEY=FSNGJUZGBG&amp;VAR:QUERY=RkZfRU5UUlBSX1ZBTF9EQUlMWSgwNy8xNS8yMDExLCwsLCwnRElMJykvRUNBX01FQU5fRUJJVCgyMDExLDA3L","zE1LzIwMTEp&amp;WINDOW=FIRST_POPUP&amp;HEIGHT=450&amp;WIDTH=450&amp;START_MAXIMIZED=FALSE&amp;VAR:CALENDAR=FIVEDAY&amp;VAR:SYMBOL=BEAV&amp;VAR:INDEX=0"}</definedName>
    <definedName name="_357__FDSAUDITLINK__" hidden="1">{"fdsup://directions/FAT Viewer?action=UPDATE&amp;creator=factset&amp;DYN_ARGS=TRUE&amp;DOC_NAME=FAT:FQL_AUDITING_CLIENT_TEMPLATE.FAT&amp;display_string=Audit&amp;VAR:KEY=BUFQRWTMNE&amp;VAR:QUERY=RkZfRU5UUlBSX1ZBTF9EQUlMWSgwNy8xNS8yMDExLCwsLCwnRElMJykvRUNBX01FQU5fRUJJVCgyMDEwLDA3L","zE1LzIwMTEp&amp;WINDOW=FIRST_POPUP&amp;HEIGHT=450&amp;WIDTH=450&amp;START_MAXIMIZED=FALSE&amp;VAR:CALENDAR=FIVEDAY&amp;VAR:SYMBOL=BEAV&amp;VAR:INDEX=0"}</definedName>
    <definedName name="_358__FDSAUDITLINK__" hidden="1">{"fdsup://directions/FAT Viewer?action=UPDATE&amp;creator=factset&amp;DYN_ARGS=TRUE&amp;DOC_NAME=FAT:FQL_AUDITING_CLIENT_TEMPLATE.FAT&amp;display_string=Audit&amp;VAR:KEY=FMTMNEHCFI&amp;VAR:QUERY=RkZfRU5UUlBSX1ZBTF9EQUlMWSgwNy8xNS8yMDExLCwsLCwnRElMJykvRUNBX01FQU5fRUJJVERBKDIwMTIsM","DcvMTUvMjAxMSk=&amp;WINDOW=FIRST_POPUP&amp;HEIGHT=450&amp;WIDTH=450&amp;START_MAXIMIZED=FALSE&amp;VAR:CALENDAR=FIVEDAY&amp;VAR:SYMBOL=BEAV&amp;VAR:INDEX=0"}</definedName>
    <definedName name="_359__FDSAUDITLINK__" hidden="1">{"fdsup://directions/FAT Viewer?action=UPDATE&amp;creator=factset&amp;DYN_ARGS=TRUE&amp;DOC_NAME=FAT:FQL_AUDITING_CLIENT_TEMPLATE.FAT&amp;display_string=Audit&amp;VAR:KEY=PWDAVAVWLC&amp;VAR:QUERY=RkZfRU5UUlBSX1ZBTF9EQUlMWSgwNy8xNS8yMDExLCwsLCwnRElMJykvRUNBX01FQU5fRUJJVERBKDIwMTEsM","DcvMTUvMjAxMSk=&amp;WINDOW=FIRST_POPUP&amp;HEIGHT=450&amp;WIDTH=450&amp;START_MAXIMIZED=FALSE&amp;VAR:CALENDAR=FIVEDAY&amp;VAR:SYMBOL=BEAV&amp;VAR:INDEX=0"}</definedName>
    <definedName name="_36__FDSAUDITLINK__" hidden="1">{"fdsup://directions/FAT Viewer?action=UPDATE&amp;creator=factset&amp;DYN_ARGS=TRUE&amp;DOC_NAME=FAT:FQL_AUDITING_CLIENT_TEMPLATE.FAT&amp;display_string=Audit&amp;VAR:KEY=OPOHUDCZQJ&amp;VAR:QUERY=RkZfRU5UUlBSX1ZBTF9EQUlMWSgwNy8yNi8yMDExLCwsLCwnRElMJykvRUNBX01FQU5fRUJJVERBKDIwMTAsM","DcvMjYvMjAxMSk=&amp;WINDOW=FIRST_POPUP&amp;HEIGHT=450&amp;WIDTH=450&amp;START_MAXIMIZED=FALSE&amp;VAR:CALENDAR=FIVEDAY&amp;VAR:SYMBOL=COL&amp;VAR:INDEX=0"}</definedName>
    <definedName name="_360__FDSAUDITLINK__" hidden="1">{"fdsup://directions/FAT Viewer?action=UPDATE&amp;creator=factset&amp;DYN_ARGS=TRUE&amp;DOC_NAME=FAT:FQL_AUDITING_CLIENT_TEMPLATE.FAT&amp;display_string=Audit&amp;VAR:KEY=NALIHQZUJE&amp;VAR:QUERY=RkZfRU5UUlBSX1ZBTF9EQUlMWSgwNy8xNS8yMDExLCwsLCwnRElMJykvRUNBX01FQU5fRUJJVERBKDIwMTAsM","DcvMTUvMjAxMSk=&amp;WINDOW=FIRST_POPUP&amp;HEIGHT=450&amp;WIDTH=450&amp;START_MAXIMIZED=FALSE&amp;VAR:CALENDAR=FIVEDAY&amp;VAR:SYMBOL=BEAV&amp;VAR:INDEX=0"}</definedName>
    <definedName name="_361__FDSAUDITLINK__" hidden="1">{"fdsup://directions/FAT Viewer?action=UPDATE&amp;creator=factset&amp;DYN_ARGS=TRUE&amp;DOC_NAME=FAT:FQL_AUDITING_CLIENT_TEMPLATE.FAT&amp;display_string=Audit&amp;VAR:KEY=OHKHQTCVEB&amp;VAR:QUERY=RkZfRU5UUlBSX1ZBTF9EQUlMWSgwNy8yNi8yMDExLCwsLCwnRElMJykvRUNBX01FQU5fU0FMRVMoMjAxMiwwN","y8yNi8yMDExKQ==&amp;WINDOW=FIRST_POPUP&amp;HEIGHT=450&amp;WIDTH=450&amp;START_MAXIMIZED=FALSE&amp;VAR:CALENDAR=FIVEDAY&amp;VAR:SYMBOL=057580&amp;VAR:INDEX=0"}</definedName>
    <definedName name="_362__FDSAUDITLINK__" hidden="1">{"fdsup://directions/FAT Viewer?action=UPDATE&amp;creator=factset&amp;DYN_ARGS=TRUE&amp;DOC_NAME=FAT:FQL_AUDITING_CLIENT_TEMPLATE.FAT&amp;display_string=Audit&amp;VAR:KEY=CLOBMTIDMF&amp;VAR:QUERY=RkZfRU5UUlBSX1ZBTF9EQUlMWSgwNy8yNi8yMDExLCwsLCwnRElMJykvRUNBX01FQU5fU0FMRVMoMjAxMSwwN","y8yNi8yMDExKQ==&amp;WINDOW=FIRST_POPUP&amp;HEIGHT=450&amp;WIDTH=450&amp;START_MAXIMIZED=FALSE&amp;VAR:CALENDAR=FIVEDAY&amp;VAR:SYMBOL=057580&amp;VAR:INDEX=0"}</definedName>
    <definedName name="_363__FDSAUDITLINK__" hidden="1">{"fdsup://directions/FAT Viewer?action=UPDATE&amp;creator=factset&amp;DYN_ARGS=TRUE&amp;DOC_NAME=FAT:FQL_AUDITING_CLIENT_TEMPLATE.FAT&amp;display_string=Audit&amp;VAR:KEY=SREJAHMHSZ&amp;VAR:QUERY=RkZfRU5UUlBSX1ZBTF9EQUlMWSgwNy8yNi8yMDExLCwsLCwnRElMJykvRUNBX01FQU5fU0FMRVMoMjAxMCwwN","y8yNi8yMDExKQ==&amp;WINDOW=FIRST_POPUP&amp;HEIGHT=450&amp;WIDTH=450&amp;START_MAXIMIZED=FALSE&amp;VAR:CALENDAR=FIVEDAY&amp;VAR:SYMBOL=057580&amp;VAR:INDEX=0"}</definedName>
    <definedName name="_364__FDSAUDITLINK__" hidden="1">{"fdsup://directions/FAT Viewer?action=UPDATE&amp;creator=factset&amp;DYN_ARGS=TRUE&amp;DOC_NAME=FAT:FQL_AUDITING_CLIENT_TEMPLATE.FAT&amp;display_string=Audit&amp;VAR:KEY=ETQPCRMJYZ&amp;VAR:QUERY=RkZfRU5UUlBSX1ZBTF9EQUlMWSgwNy8yNi8yMDExLCwsLCwnRElMJykvRUNBX01FQU5fRUJJVCgyMDEyLDA3L","zI2LzIwMTEp&amp;WINDOW=FIRST_POPUP&amp;HEIGHT=450&amp;WIDTH=450&amp;START_MAXIMIZED=FALSE&amp;VAR:CALENDAR=FIVEDAY&amp;VAR:SYMBOL=057580&amp;VAR:INDEX=0"}</definedName>
    <definedName name="_365__FDSAUDITLINK__" hidden="1">{"fdsup://directions/FAT Viewer?action=UPDATE&amp;creator=factset&amp;DYN_ARGS=TRUE&amp;DOC_NAME=FAT:FQL_AUDITING_CLIENT_TEMPLATE.FAT&amp;display_string=Audit&amp;VAR:KEY=SVSHUNMTQH&amp;VAR:QUERY=RkZfRU5UUlBSX1ZBTF9EQUlMWSgwNy8yNi8yMDExLCwsLCwnRElMJykvRUNBX01FQU5fRUJJVCgyMDExLDA3L","zI2LzIwMTEp&amp;WINDOW=FIRST_POPUP&amp;HEIGHT=450&amp;WIDTH=450&amp;START_MAXIMIZED=FALSE&amp;VAR:CALENDAR=FIVEDAY&amp;VAR:SYMBOL=057580&amp;VAR:INDEX=0"}</definedName>
    <definedName name="_366__FDSAUDITLINK__" hidden="1">{"fdsup://directions/FAT Viewer?action=UPDATE&amp;creator=factset&amp;DYN_ARGS=TRUE&amp;DOC_NAME=FAT:FQL_AUDITING_CLIENT_TEMPLATE.FAT&amp;display_string=Audit&amp;VAR:KEY=MNWFIBIRGT&amp;VAR:QUERY=RkZfRU5UUlBSX1ZBTF9EQUlMWSgwNy8yNi8yMDExLCwsLCwnRElMJykvRUNBX01FQU5fRUJJVCgyMDEwLDA3L","zI2LzIwMTEp&amp;WINDOW=FIRST_POPUP&amp;HEIGHT=450&amp;WIDTH=450&amp;START_MAXIMIZED=FALSE&amp;VAR:CALENDAR=FIVEDAY&amp;VAR:SYMBOL=057580&amp;VAR:INDEX=0"}</definedName>
    <definedName name="_367__FDSAUDITLINK__" hidden="1">{"fdsup://directions/FAT Viewer?action=UPDATE&amp;creator=factset&amp;DYN_ARGS=TRUE&amp;DOC_NAME=FAT:FQL_AUDITING_CLIENT_TEMPLATE.FAT&amp;display_string=Audit&amp;VAR:KEY=QVCDGRURIT&amp;VAR:QUERY=RkZfRU5UUlBSX1ZBTF9EQUlMWSgwNy8yNi8yMDExLCwsLCwnRElMJykvRUNBX01FQU5fRUJJVERBKDIwMTIsM","DcvMjYvMjAxMSk=&amp;WINDOW=FIRST_POPUP&amp;HEIGHT=450&amp;WIDTH=450&amp;START_MAXIMIZED=FALSE&amp;VAR:CALENDAR=FIVEDAY&amp;VAR:SYMBOL=057580&amp;VAR:INDEX=0"}</definedName>
    <definedName name="_368__FDSAUDITLINK__" hidden="1">{"fdsup://directions/FAT Viewer?action=UPDATE&amp;creator=factset&amp;DYN_ARGS=TRUE&amp;DOC_NAME=FAT:FQL_AUDITING_CLIENT_TEMPLATE.FAT&amp;display_string=Audit&amp;VAR:KEY=SJKDQBQDGZ&amp;VAR:QUERY=RkZfRU5UUlBSX1ZBTF9EQUlMWSgwNy8yNi8yMDExLCwsLCwnRElMJykvRUNBX01FQU5fRUJJVERBKDIwMTEsM","DcvMjYvMjAxMSk=&amp;WINDOW=FIRST_POPUP&amp;HEIGHT=450&amp;WIDTH=450&amp;START_MAXIMIZED=FALSE&amp;VAR:CALENDAR=FIVEDAY&amp;VAR:SYMBOL=057580&amp;VAR:INDEX=0"}</definedName>
    <definedName name="_369__FDSAUDITLINK__" hidden="1">{"fdsup://directions/FAT Viewer?action=UPDATE&amp;creator=factset&amp;DYN_ARGS=TRUE&amp;DOC_NAME=FAT:FQL_AUDITING_CLIENT_TEMPLATE.FAT&amp;display_string=Audit&amp;VAR:KEY=CNCPCRILGF&amp;VAR:QUERY=RkZfRU5UUlBSX1ZBTF9EQUlMWSgwNy8yNi8yMDExLCwsLCwnRElMJykvRUNBX01FQU5fRUJJVERBKDIwMTAsM","DcvMjYvMjAxMSk=&amp;WINDOW=FIRST_POPUP&amp;HEIGHT=450&amp;WIDTH=450&amp;START_MAXIMIZED=FALSE&amp;VAR:CALENDAR=FIVEDAY&amp;VAR:SYMBOL=057580&amp;VAR:INDEX=0"}</definedName>
    <definedName name="_37__FDSAUDITLINK__" hidden="1">{"fdsup://directions/FAT Viewer?action=UPDATE&amp;creator=factset&amp;DYN_ARGS=TRUE&amp;DOC_NAME=FAT:FQL_AUDITING_CLIENT_TEMPLATE.FAT&amp;display_string=Audit&amp;VAR:KEY=ODMPABOVYP&amp;VAR:QUERY=RkZfRU5UUlBSX1ZBTF9EQUlMWSgwNy8yNi8yMDExLCwsLCwnRElMJykvRUNBX01FQU5fU0FMRVMoMjAxMiwwN","y8yNi8yMDExKQ==&amp;WINDOW=FIRST_POPUP&amp;HEIGHT=450&amp;WIDTH=450&amp;START_MAXIMIZED=FALSE&amp;VAR:CALENDAR=FIVEDAY&amp;VAR:SYMBOL=BEAV&amp;VAR:INDEX=0"}</definedName>
    <definedName name="_370__FDSAUDITLINK__" hidden="1">{"fdsup://directions/FAT Viewer?action=UPDATE&amp;creator=factset&amp;DYN_ARGS=TRUE&amp;DOC_NAME=FAT:FQL_AUDITING_CLIENT_TEMPLATE.FAT&amp;display_string=Audit&amp;VAR:KEY=ORQVGRAVMP&amp;VAR:QUERY=RkZfRU5UUlBSX1ZBTF9EQUlMWSgwNy8yNi8yMDExLCwsLCwnRElMJykvRUNBX01FQU5fU0FMRVMoMjAxMiwwN","y8yNi8yMDExKQ==&amp;WINDOW=FIRST_POPUP&amp;HEIGHT=450&amp;WIDTH=450&amp;START_MAXIMIZED=FALSE&amp;VAR:CALENDAR=FIVEDAY&amp;VAR:SYMBOL=PCP&amp;VAR:INDEX=0"}</definedName>
    <definedName name="_371__FDSAUDITLINK__" hidden="1">{"fdsup://directions/FAT Viewer?action=UPDATE&amp;creator=factset&amp;DYN_ARGS=TRUE&amp;DOC_NAME=FAT:FQL_AUDITING_CLIENT_TEMPLATE.FAT&amp;display_string=Audit&amp;VAR:KEY=YFSJQFSXUZ&amp;VAR:QUERY=RkZfRU5UUlBSX1ZBTF9EQUlMWSgwNy8yNi8yMDExLCwsLCwnRElMJykvRUNBX01FQU5fU0FMRVMoMjAxMSwwN","y8yNi8yMDExKQ==&amp;WINDOW=FIRST_POPUP&amp;HEIGHT=450&amp;WIDTH=450&amp;START_MAXIMIZED=FALSE&amp;VAR:CALENDAR=FIVEDAY&amp;VAR:SYMBOL=PCP&amp;VAR:INDEX=0"}</definedName>
    <definedName name="_372__FDSAUDITLINK__" hidden="1">{"fdsup://directions/FAT Viewer?action=UPDATE&amp;creator=factset&amp;DYN_ARGS=TRUE&amp;DOC_NAME=FAT:FQL_AUDITING_CLIENT_TEMPLATE.FAT&amp;display_string=Audit&amp;VAR:KEY=UDAFCFULSP&amp;VAR:QUERY=RkZfRU5UUlBSX1ZBTF9EQUlMWSgwNy8yNi8yMDExLCwsLCwnRElMJykvRUNBX01FQU5fU0FMRVMoMjAxMCwwN","y8yNi8yMDExKQ==&amp;WINDOW=FIRST_POPUP&amp;HEIGHT=450&amp;WIDTH=450&amp;START_MAXIMIZED=FALSE&amp;VAR:CALENDAR=FIVEDAY&amp;VAR:SYMBOL=PCP&amp;VAR:INDEX=0"}</definedName>
    <definedName name="_373__FDSAUDITLINK__" hidden="1">{"fdsup://directions/FAT Viewer?action=UPDATE&amp;creator=factset&amp;DYN_ARGS=TRUE&amp;DOC_NAME=FAT:FQL_AUDITING_CLIENT_TEMPLATE.FAT&amp;display_string=Audit&amp;VAR:KEY=KLEJQHIDEX&amp;VAR:QUERY=RkZfRU5UUlBSX1ZBTF9EQUlMWSgwNy8yNi8yMDExLCwsLCwnRElMJykvRUNBX01FQU5fRUJJVCgyMDEyLDA3L","zI2LzIwMTEp&amp;WINDOW=FIRST_POPUP&amp;HEIGHT=450&amp;WIDTH=450&amp;START_MAXIMIZED=FALSE&amp;VAR:CALENDAR=FIVEDAY&amp;VAR:SYMBOL=PCP&amp;VAR:INDEX=0"}</definedName>
    <definedName name="_374__FDSAUDITLINK__" hidden="1">{"fdsup://directions/FAT Viewer?action=UPDATE&amp;creator=factset&amp;DYN_ARGS=TRUE&amp;DOC_NAME=FAT:FQL_AUDITING_CLIENT_TEMPLATE.FAT&amp;display_string=Audit&amp;VAR:KEY=OVGJKNKRKZ&amp;VAR:QUERY=RkZfRU5UUlBSX1ZBTF9EQUlMWSgwNy8yNi8yMDExLCwsLCwnRElMJykvRUNBX01FQU5fRUJJVCgyMDExLDA3L","zI2LzIwMTEp&amp;WINDOW=FIRST_POPUP&amp;HEIGHT=450&amp;WIDTH=450&amp;START_MAXIMIZED=FALSE&amp;VAR:CALENDAR=FIVEDAY&amp;VAR:SYMBOL=PCP&amp;VAR:INDEX=0"}</definedName>
    <definedName name="_375__FDSAUDITLINK__" hidden="1">{"fdsup://directions/FAT Viewer?action=UPDATE&amp;creator=factset&amp;DYN_ARGS=TRUE&amp;DOC_NAME=FAT:FQL_AUDITING_CLIENT_TEMPLATE.FAT&amp;display_string=Audit&amp;VAR:KEY=ODWHYHEJGN&amp;VAR:QUERY=RkZfRU5UUlBSX1ZBTF9EQUlMWSgwNy8yNi8yMDExLCwsLCwnRElMJykvRUNBX01FQU5fRUJJVCgyMDEwLDA3L","zI2LzIwMTEp&amp;WINDOW=FIRST_POPUP&amp;HEIGHT=450&amp;WIDTH=450&amp;START_MAXIMIZED=FALSE&amp;VAR:CALENDAR=FIVEDAY&amp;VAR:SYMBOL=PCP&amp;VAR:INDEX=0"}</definedName>
    <definedName name="_376__FDSAUDITLINK__" hidden="1">{"fdsup://directions/FAT Viewer?action=UPDATE&amp;creator=factset&amp;DYN_ARGS=TRUE&amp;DOC_NAME=FAT:FQL_AUDITING_CLIENT_TEMPLATE.FAT&amp;display_string=Audit&amp;VAR:KEY=GTAVKJIZEX&amp;VAR:QUERY=RkZfRU5UUlBSX1ZBTF9EQUlMWSgwNy8yNi8yMDExLCwsLCwnRElMJykvRUNBX01FQU5fRUJJVERBKDIwMTIsM","DcvMjYvMjAxMSk=&amp;WINDOW=FIRST_POPUP&amp;HEIGHT=450&amp;WIDTH=450&amp;START_MAXIMIZED=FALSE&amp;VAR:CALENDAR=FIVEDAY&amp;VAR:SYMBOL=PCP&amp;VAR:INDEX=0"}</definedName>
    <definedName name="_377__FDSAUDITLINK__" hidden="1">{"fdsup://directions/FAT Viewer?action=UPDATE&amp;creator=factset&amp;DYN_ARGS=TRUE&amp;DOC_NAME=FAT:FQL_AUDITING_CLIENT_TEMPLATE.FAT&amp;display_string=Audit&amp;VAR:KEY=YDGFCPQLMN&amp;VAR:QUERY=RkZfRU5UUlBSX1ZBTF9EQUlMWSgwNy8yNi8yMDExLCwsLCwnRElMJykvRUNBX01FQU5fRUJJVERBKDIwMTEsM","DcvMjYvMjAxMSk=&amp;WINDOW=FIRST_POPUP&amp;HEIGHT=450&amp;WIDTH=450&amp;START_MAXIMIZED=FALSE&amp;VAR:CALENDAR=FIVEDAY&amp;VAR:SYMBOL=PCP&amp;VAR:INDEX=0"}</definedName>
    <definedName name="_378__FDSAUDITLINK__" hidden="1">{"fdsup://directions/FAT Viewer?action=UPDATE&amp;creator=factset&amp;DYN_ARGS=TRUE&amp;DOC_NAME=FAT:FQL_AUDITING_CLIENT_TEMPLATE.FAT&amp;display_string=Audit&amp;VAR:KEY=STSDOVKDQN&amp;VAR:QUERY=RkZfRU5UUlBSX1ZBTF9EQUlMWSgwNy8yNi8yMDExLCwsLCwnRElMJykvRUNBX01FQU5fRUJJVERBKDIwMTAsM","DcvMjYvMjAxMSk=&amp;WINDOW=FIRST_POPUP&amp;HEIGHT=450&amp;WIDTH=450&amp;START_MAXIMIZED=FALSE&amp;VAR:CALENDAR=FIVEDAY&amp;VAR:SYMBOL=PCP&amp;VAR:INDEX=0"}</definedName>
    <definedName name="_379__FDSAUDITLINK__" hidden="1">{"fdsup://directions/FAT Viewer?action=UPDATE&amp;creator=factset&amp;DYN_ARGS=TRUE&amp;DOC_NAME=FAT:FQL_AUDITING_CLIENT_TEMPLATE.FAT&amp;display_string=Audit&amp;VAR:KEY=KXQFYTULEJ&amp;VAR:QUERY=RkZfRU5UUlBSX1ZBTF9EQUlMWSgwNy8yNi8yMDExLCwsLCwnRElMJykvRUNBX01FQU5fU0FMRVMoMjAxMiwwN","y8yNi8yMDExKQ==&amp;WINDOW=FIRST_POPUP&amp;HEIGHT=450&amp;WIDTH=450&amp;START_MAXIMIZED=FALSE&amp;VAR:CALENDAR=FIVEDAY&amp;VAR:SYMBOL=MOG.A&amp;VAR:INDEX=0"}</definedName>
    <definedName name="_38__FDSAUDITLINK__" hidden="1">{"fdsup://directions/FAT Viewer?action=UPDATE&amp;creator=factset&amp;DYN_ARGS=TRUE&amp;DOC_NAME=FAT:FQL_AUDITING_CLIENT_TEMPLATE.FAT&amp;display_string=Audit&amp;VAR:KEY=YPQNMTWJMT&amp;VAR:QUERY=RkZfRU5UUlBSX1ZBTF9EQUlMWSgwNy8yNi8yMDExLCwsLCwnRElMJykvRUNBX01FQU5fU0FMRVMoMjAxMSwwN","y8yNi8yMDExKQ==&amp;WINDOW=FIRST_POPUP&amp;HEIGHT=450&amp;WIDTH=450&amp;START_MAXIMIZED=FALSE&amp;VAR:CALENDAR=FIVEDAY&amp;VAR:SYMBOL=BEAV&amp;VAR:INDEX=0"}</definedName>
    <definedName name="_380__FDSAUDITLINK__" hidden="1">{"fdsup://directions/FAT Viewer?action=UPDATE&amp;creator=factset&amp;DYN_ARGS=TRUE&amp;DOC_NAME=FAT:FQL_AUDITING_CLIENT_TEMPLATE.FAT&amp;display_string=Audit&amp;VAR:KEY=YFUVUPKDQN&amp;VAR:QUERY=RkZfRU5UUlBSX1ZBTF9EQUlMWSgwNy8yNi8yMDExLCwsLCwnRElMJykvRUNBX01FQU5fU0FMRVMoMjAxMSwwN","y8yNi8yMDExKQ==&amp;WINDOW=FIRST_POPUP&amp;HEIGHT=450&amp;WIDTH=450&amp;START_MAXIMIZED=FALSE&amp;VAR:CALENDAR=FIVEDAY&amp;VAR:SYMBOL=MOG.A&amp;VAR:INDEX=0"}</definedName>
    <definedName name="_381__FDSAUDITLINK__" hidden="1">{"fdsup://directions/FAT Viewer?action=UPDATE&amp;creator=factset&amp;DYN_ARGS=TRUE&amp;DOC_NAME=FAT:FQL_AUDITING_CLIENT_TEMPLATE.FAT&amp;display_string=Audit&amp;VAR:KEY=SXQPARKXCB&amp;VAR:QUERY=RkZfRU5UUlBSX1ZBTF9EQUlMWSgwNy8yNi8yMDExLCwsLCwnRElMJykvRUNBX01FQU5fU0FMRVMoMjAxMCwwN","y8yNi8yMDExKQ==&amp;WINDOW=FIRST_POPUP&amp;HEIGHT=450&amp;WIDTH=450&amp;START_MAXIMIZED=FALSE&amp;VAR:CALENDAR=FIVEDAY&amp;VAR:SYMBOL=MOG.A&amp;VAR:INDEX=0"}</definedName>
    <definedName name="_382__FDSAUDITLINK__" hidden="1">{"fdsup://directions/FAT Viewer?action=UPDATE&amp;creator=factset&amp;DYN_ARGS=TRUE&amp;DOC_NAME=FAT:FQL_AUDITING_CLIENT_TEMPLATE.FAT&amp;display_string=Audit&amp;VAR:KEY=YZABQJKFQX&amp;VAR:QUERY=RkZfRU5UUlBSX1ZBTF9EQUlMWSgwNy8yNi8yMDExLCwsLCwnRElMJykvRUNBX01FQU5fRUJJVCgyMDEyLDA3L","zI2LzIwMTEp&amp;WINDOW=FIRST_POPUP&amp;HEIGHT=450&amp;WIDTH=450&amp;START_MAXIMIZED=FALSE&amp;VAR:CALENDAR=FIVEDAY&amp;VAR:SYMBOL=MOG.A&amp;VAR:INDEX=0"}</definedName>
    <definedName name="_383__FDSAUDITLINK__" hidden="1">{"fdsup://directions/FAT Viewer?action=UPDATE&amp;creator=factset&amp;DYN_ARGS=TRUE&amp;DOC_NAME=FAT:FQL_AUDITING_CLIENT_TEMPLATE.FAT&amp;display_string=Audit&amp;VAR:KEY=ATYHKPOLOF&amp;VAR:QUERY=RkZfRU5UUlBSX1ZBTF9EQUlMWSgwNy8yNi8yMDExLCwsLCwnRElMJykvRUNBX01FQU5fRUJJVCgyMDExLDA3L","zI2LzIwMTEp&amp;WINDOW=FIRST_POPUP&amp;HEIGHT=450&amp;WIDTH=450&amp;START_MAXIMIZED=FALSE&amp;VAR:CALENDAR=FIVEDAY&amp;VAR:SYMBOL=MOG.A&amp;VAR:INDEX=0"}</definedName>
    <definedName name="_384__FDSAUDITLINK__" hidden="1">{"fdsup://directions/FAT Viewer?action=UPDATE&amp;creator=factset&amp;DYN_ARGS=TRUE&amp;DOC_NAME=FAT:FQL_AUDITING_CLIENT_TEMPLATE.FAT&amp;display_string=Audit&amp;VAR:KEY=INKPEBETEH&amp;VAR:QUERY=RkZfRU5UUlBSX1ZBTF9EQUlMWSgwNy8yNi8yMDExLCwsLCwnRElMJykvRUNBX01FQU5fRUJJVCgyMDEwLDA3L","zI2LzIwMTEp&amp;WINDOW=FIRST_POPUP&amp;HEIGHT=450&amp;WIDTH=450&amp;START_MAXIMIZED=FALSE&amp;VAR:CALENDAR=FIVEDAY&amp;VAR:SYMBOL=MOG.A&amp;VAR:INDEX=0"}</definedName>
    <definedName name="_385__FDSAUDITLINK__" hidden="1">{"fdsup://directions/FAT Viewer?action=UPDATE&amp;creator=factset&amp;DYN_ARGS=TRUE&amp;DOC_NAME=FAT:FQL_AUDITING_CLIENT_TEMPLATE.FAT&amp;display_string=Audit&amp;VAR:KEY=CNIJARGTKN&amp;VAR:QUERY=RkZfRU5UUlBSX1ZBTF9EQUlMWSgwNy8yNi8yMDExLCwsLCwnRElMJykvRUNBX01FQU5fRUJJVERBKDIwMTIsM","DcvMjYvMjAxMSk=&amp;WINDOW=FIRST_POPUP&amp;HEIGHT=450&amp;WIDTH=450&amp;START_MAXIMIZED=FALSE&amp;VAR:CALENDAR=FIVEDAY&amp;VAR:SYMBOL=MOG.A&amp;VAR:INDEX=0"}</definedName>
    <definedName name="_386__FDSAUDITLINK__" hidden="1">{"fdsup://directions/FAT Viewer?action=UPDATE&amp;creator=factset&amp;DYN_ARGS=TRUE&amp;DOC_NAME=FAT:FQL_AUDITING_CLIENT_TEMPLATE.FAT&amp;display_string=Audit&amp;VAR:KEY=WPWTGLCLQZ&amp;VAR:QUERY=RkZfRU5UUlBSX1ZBTF9EQUlMWSgwNy8yNi8yMDExLCwsLCwnRElMJykvRUNBX01FQU5fRUJJVERBKDIwMTEsM","DcvMjYvMjAxMSk=&amp;WINDOW=FIRST_POPUP&amp;HEIGHT=450&amp;WIDTH=450&amp;START_MAXIMIZED=FALSE&amp;VAR:CALENDAR=FIVEDAY&amp;VAR:SYMBOL=MOG.A&amp;VAR:INDEX=0"}</definedName>
    <definedName name="_387__FDSAUDITLINK__" hidden="1">{"fdsup://directions/FAT Viewer?action=UPDATE&amp;creator=factset&amp;DYN_ARGS=TRUE&amp;DOC_NAME=FAT:FQL_AUDITING_CLIENT_TEMPLATE.FAT&amp;display_string=Audit&amp;VAR:KEY=GPYNGJQBCN&amp;VAR:QUERY=RkZfRU5UUlBSX1ZBTF9EQUlMWSgwNy8yNi8yMDExLCwsLCwnRElMJykvRUNBX01FQU5fRUJJVERBKDIwMTAsM","DcvMjYvMjAxMSk=&amp;WINDOW=FIRST_POPUP&amp;HEIGHT=450&amp;WIDTH=450&amp;START_MAXIMIZED=FALSE&amp;VAR:CALENDAR=FIVEDAY&amp;VAR:SYMBOL=MOG.A&amp;VAR:INDEX=0"}</definedName>
    <definedName name="_388__FDSAUDITLINK__" hidden="1">{"fdsup://directions/FAT Viewer?action=UPDATE&amp;creator=factset&amp;DYN_ARGS=TRUE&amp;DOC_NAME=FAT:FQL_AUDITING_CLIENT_TEMPLATE.FAT&amp;display_string=Audit&amp;VAR:KEY=IBGTYFAZEJ&amp;VAR:QUERY=RkZfRU5UUlBSX1ZBTF9EQUlMWSgwNy8yNi8yMDExLCwsLCwnRElMJykvRUNBX01FQU5fU0FMRVMoMjAxMiwwN","y8yNi8yMDExKQ==&amp;WINDOW=FIRST_POPUP&amp;HEIGHT=450&amp;WIDTH=450&amp;START_MAXIMIZED=FALSE&amp;VAR:CALENDAR=FIVEDAY&amp;VAR:SYMBOL=COL&amp;VAR:INDEX=0"}</definedName>
    <definedName name="_389__FDSAUDITLINK__" hidden="1">{"fdsup://directions/FAT Viewer?action=UPDATE&amp;creator=factset&amp;DYN_ARGS=TRUE&amp;DOC_NAME=FAT:FQL_AUDITING_CLIENT_TEMPLATE.FAT&amp;display_string=Audit&amp;VAR:KEY=MTUJYZELWJ&amp;VAR:QUERY=RkZfRU5UUlBSX1ZBTF9EQUlMWSgwNy8yNi8yMDExLCwsLCwnRElMJykvRUNBX01FQU5fU0FMRVMoMjAxMSwwN","y8yNi8yMDExKQ==&amp;WINDOW=FIRST_POPUP&amp;HEIGHT=450&amp;WIDTH=450&amp;START_MAXIMIZED=FALSE&amp;VAR:CALENDAR=FIVEDAY&amp;VAR:SYMBOL=COL&amp;VAR:INDEX=0"}</definedName>
    <definedName name="_39__FDSAUDITLINK__" hidden="1">{"fdsup://directions/FAT Viewer?action=UPDATE&amp;creator=factset&amp;DYN_ARGS=TRUE&amp;DOC_NAME=FAT:FQL_AUDITING_CLIENT_TEMPLATE.FAT&amp;display_string=Audit&amp;VAR:KEY=KZAFGVGFMR&amp;VAR:QUERY=RkZfRU5UUlBSX1ZBTF9EQUlMWSgwNy8yNi8yMDExLCwsLCwnRElMJykvRUNBX01FQU5fU0FMRVMoMjAxMCwwN","y8yNi8yMDExKQ==&amp;WINDOW=FIRST_POPUP&amp;HEIGHT=450&amp;WIDTH=450&amp;START_MAXIMIZED=FALSE&amp;VAR:CALENDAR=FIVEDAY&amp;VAR:SYMBOL=BEAV&amp;VAR:INDEX=0"}</definedName>
    <definedName name="_390__FDSAUDITLINK__" hidden="1">{"fdsup://directions/FAT Viewer?action=UPDATE&amp;creator=factset&amp;DYN_ARGS=TRUE&amp;DOC_NAME=FAT:FQL_AUDITING_CLIENT_TEMPLATE.FAT&amp;display_string=Audit&amp;VAR:KEY=ERQRKXWFMV&amp;VAR:QUERY=RkZfRU5UUlBSX1ZBTF9EQUlMWSgwNy8yNi8yMDExLCwsLCwnRElMJykvRUNBX01FQU5fU0FMRVMoMjAxMCwwN","y8yNi8yMDExKQ==&amp;WINDOW=FIRST_POPUP&amp;HEIGHT=450&amp;WIDTH=450&amp;START_MAXIMIZED=FALSE&amp;VAR:CALENDAR=FIVEDAY&amp;VAR:SYMBOL=COL&amp;VAR:INDEX=0"}</definedName>
    <definedName name="_391__FDSAUDITLINK__" hidden="1">{"fdsup://directions/FAT Viewer?action=UPDATE&amp;creator=factset&amp;DYN_ARGS=TRUE&amp;DOC_NAME=FAT:FQL_AUDITING_CLIENT_TEMPLATE.FAT&amp;display_string=Audit&amp;VAR:KEY=QPWLWNYVUP&amp;VAR:QUERY=RkZfRU5UUlBSX1ZBTF9EQUlMWSgwNy8yNi8yMDExLCwsLCwnRElMJykvRUNBX01FQU5fRUJJVCgyMDEyLDA3L","zI2LzIwMTEp&amp;WINDOW=FIRST_POPUP&amp;HEIGHT=450&amp;WIDTH=450&amp;START_MAXIMIZED=FALSE&amp;VAR:CALENDAR=FIVEDAY&amp;VAR:SYMBOL=COL&amp;VAR:INDEX=0"}</definedName>
    <definedName name="_392__FDSAUDITLINK__" hidden="1">{"fdsup://directions/FAT Viewer?action=UPDATE&amp;creator=factset&amp;DYN_ARGS=TRUE&amp;DOC_NAME=FAT:FQL_AUDITING_CLIENT_TEMPLATE.FAT&amp;display_string=Audit&amp;VAR:KEY=EBGVSXITIV&amp;VAR:QUERY=RkZfRU5UUlBSX1ZBTF9EQUlMWSgwNy8yNi8yMDExLCwsLCwnRElMJykvRUNBX01FQU5fRUJJVCgyMDExLDA3L","zI2LzIwMTEp&amp;WINDOW=FIRST_POPUP&amp;HEIGHT=450&amp;WIDTH=450&amp;START_MAXIMIZED=FALSE&amp;VAR:CALENDAR=FIVEDAY&amp;VAR:SYMBOL=COL&amp;VAR:INDEX=0"}</definedName>
    <definedName name="_393__FDSAUDITLINK__" hidden="1">{"fdsup://directions/FAT Viewer?action=UPDATE&amp;creator=factset&amp;DYN_ARGS=TRUE&amp;DOC_NAME=FAT:FQL_AUDITING_CLIENT_TEMPLATE.FAT&amp;display_string=Audit&amp;VAR:KEY=QVMFKXQFYT&amp;VAR:QUERY=RkZfRU5UUlBSX1ZBTF9EQUlMWSgwNy8yNi8yMDExLCwsLCwnRElMJykvRUNBX01FQU5fRUJJVCgyMDEwLDA3L","zI2LzIwMTEp&amp;WINDOW=FIRST_POPUP&amp;HEIGHT=450&amp;WIDTH=450&amp;START_MAXIMIZED=FALSE&amp;VAR:CALENDAR=FIVEDAY&amp;VAR:SYMBOL=COL&amp;VAR:INDEX=0"}</definedName>
    <definedName name="_394__FDSAUDITLINK__" hidden="1">{"fdsup://directions/FAT Viewer?action=UPDATE&amp;creator=factset&amp;DYN_ARGS=TRUE&amp;DOC_NAME=FAT:FQL_AUDITING_CLIENT_TEMPLATE.FAT&amp;display_string=Audit&amp;VAR:KEY=WJEFSLGHOJ&amp;VAR:QUERY=RkZfRU5UUlBSX1ZBTF9EQUlMWSgwNy8yNi8yMDExLCwsLCwnRElMJykvRUNBX01FQU5fRUJJVERBKDIwMTIsM","DcvMjYvMjAxMSk=&amp;WINDOW=FIRST_POPUP&amp;HEIGHT=450&amp;WIDTH=450&amp;START_MAXIMIZED=FALSE&amp;VAR:CALENDAR=FIVEDAY&amp;VAR:SYMBOL=COL&amp;VAR:INDEX=0"}</definedName>
    <definedName name="_395__FDSAUDITLINK__" hidden="1">{"fdsup://directions/FAT Viewer?action=UPDATE&amp;creator=factset&amp;DYN_ARGS=TRUE&amp;DOC_NAME=FAT:FQL_AUDITING_CLIENT_TEMPLATE.FAT&amp;display_string=Audit&amp;VAR:KEY=OBIHMLOZCD&amp;VAR:QUERY=RkZfRU5UUlBSX1ZBTF9EQUlMWSgwNy8yNi8yMDExLCwsLCwnRElMJykvRUNBX01FQU5fRUJJVERBKDIwMTEsM","DcvMjYvMjAxMSk=&amp;WINDOW=FIRST_POPUP&amp;HEIGHT=450&amp;WIDTH=450&amp;START_MAXIMIZED=FALSE&amp;VAR:CALENDAR=FIVEDAY&amp;VAR:SYMBOL=COL&amp;VAR:INDEX=0"}</definedName>
    <definedName name="_396__FDSAUDITLINK__" hidden="1">{"fdsup://directions/FAT Viewer?action=UPDATE&amp;creator=factset&amp;DYN_ARGS=TRUE&amp;DOC_NAME=FAT:FQL_AUDITING_CLIENT_TEMPLATE.FAT&amp;display_string=Audit&amp;VAR:KEY=OPOHUDCZQJ&amp;VAR:QUERY=RkZfRU5UUlBSX1ZBTF9EQUlMWSgwNy8yNi8yMDExLCwsLCwnRElMJykvRUNBX01FQU5fRUJJVERBKDIwMTAsM","DcvMjYvMjAxMSk=&amp;WINDOW=FIRST_POPUP&amp;HEIGHT=450&amp;WIDTH=450&amp;START_MAXIMIZED=FALSE&amp;VAR:CALENDAR=FIVEDAY&amp;VAR:SYMBOL=COL&amp;VAR:INDEX=0"}</definedName>
    <definedName name="_397__FDSAUDITLINK__" hidden="1">{"fdsup://directions/FAT Viewer?action=UPDATE&amp;creator=factset&amp;DYN_ARGS=TRUE&amp;DOC_NAME=FAT:FQL_AUDITING_CLIENT_TEMPLATE.FAT&amp;display_string=Audit&amp;VAR:KEY=ODMPABOVYP&amp;VAR:QUERY=RkZfRU5UUlBSX1ZBTF9EQUlMWSgwNy8yNi8yMDExLCwsLCwnRElMJykvRUNBX01FQU5fU0FMRVMoMjAxMiwwN","y8yNi8yMDExKQ==&amp;WINDOW=FIRST_POPUP&amp;HEIGHT=450&amp;WIDTH=450&amp;START_MAXIMIZED=FALSE&amp;VAR:CALENDAR=FIVEDAY&amp;VAR:SYMBOL=BEAV&amp;VAR:INDEX=0"}</definedName>
    <definedName name="_398__FDSAUDITLINK__" hidden="1">{"fdsup://directions/FAT Viewer?action=UPDATE&amp;creator=factset&amp;DYN_ARGS=TRUE&amp;DOC_NAME=FAT:FQL_AUDITING_CLIENT_TEMPLATE.FAT&amp;display_string=Audit&amp;VAR:KEY=YPQNMTWJMT&amp;VAR:QUERY=RkZfRU5UUlBSX1ZBTF9EQUlMWSgwNy8yNi8yMDExLCwsLCwnRElMJykvRUNBX01FQU5fU0FMRVMoMjAxMSwwN","y8yNi8yMDExKQ==&amp;WINDOW=FIRST_POPUP&amp;HEIGHT=450&amp;WIDTH=450&amp;START_MAXIMIZED=FALSE&amp;VAR:CALENDAR=FIVEDAY&amp;VAR:SYMBOL=BEAV&amp;VAR:INDEX=0"}</definedName>
    <definedName name="_399__FDSAUDITLINK__" hidden="1">{"fdsup://directions/FAT Viewer?action=UPDATE&amp;creator=factset&amp;DYN_ARGS=TRUE&amp;DOC_NAME=FAT:FQL_AUDITING_CLIENT_TEMPLATE.FAT&amp;display_string=Audit&amp;VAR:KEY=KZAFGVGFMR&amp;VAR:QUERY=RkZfRU5UUlBSX1ZBTF9EQUlMWSgwNy8yNi8yMDExLCwsLCwnRElMJykvRUNBX01FQU5fU0FMRVMoMjAxMCwwN","y8yNi8yMDExKQ==&amp;WINDOW=FIRST_POPUP&amp;HEIGHT=450&amp;WIDTH=450&amp;START_MAXIMIZED=FALSE&amp;VAR:CALENDAR=FIVEDAY&amp;VAR:SYMBOL=BEAV&amp;VAR:INDEX=0"}</definedName>
    <definedName name="_3Q00">[3]WY!$BD$2:$BD$1044</definedName>
    <definedName name="_3Q01">[3]WY!$AX$2:$AX$1044</definedName>
    <definedName name="_3Q02">[3]WY!$AR$2:$AR$1044</definedName>
    <definedName name="_3Q03">[3]WY!$AK$2:$AK$1044</definedName>
    <definedName name="_3Q91">[3]WY!$DF$2:$DF$1044</definedName>
    <definedName name="_3Q92">[3]WY!$CZ$2:$CZ$1044</definedName>
    <definedName name="_3Q93">[3]WY!$CT$2:$CT$1044</definedName>
    <definedName name="_3Q94">[3]WY!$CN$2:$CN$1044</definedName>
    <definedName name="_3Q95">[3]WY!$CH$2:$CH$1044</definedName>
    <definedName name="_3Q96">[3]WY!$CB$2:$CB$1044</definedName>
    <definedName name="_3Q97">[3]WY!$BV$2:$BV$1044</definedName>
    <definedName name="_3Q98">[3]WY!$BP$2:$BP$1044</definedName>
    <definedName name="_3Q99">[3]WY!$BJ$2:$BJ$1044</definedName>
    <definedName name="_4__123Graph_Bｸﾞﾗﾌ_1" hidden="1">[2]ｾｸﾞﾒﾝﾄ!$E$165:$I$165</definedName>
    <definedName name="_4__FDSAUDITLINK__" hidden="1">{"fdsup://directions/FAT Viewer?action=UPDATE&amp;creator=factset&amp;DYN_ARGS=TRUE&amp;DOC_NAME=FAT:FQL_AUDITING_CLIENT_TEMPLATE.FAT&amp;display_string=Audit&amp;VAR:KEY=ETQPCRMJYZ&amp;VAR:QUERY=RkZfRU5UUlBSX1ZBTF9EQUlMWSgwNy8yNi8yMDExLCwsLCwnRElMJykvRUNBX01FQU5fRUJJVCgyMDEyLDA3L","zI2LzIwMTEp&amp;WINDOW=FIRST_POPUP&amp;HEIGHT=450&amp;WIDTH=450&amp;START_MAXIMIZED=FALSE&amp;VAR:CALENDAR=FIVEDAY&amp;VAR:SYMBOL=057580&amp;VAR:INDEX=0"}</definedName>
    <definedName name="_40__FDSAUDITLINK__" hidden="1">{"fdsup://directions/FAT Viewer?action=UPDATE&amp;creator=factset&amp;DYN_ARGS=TRUE&amp;DOC_NAME=FAT:FQL_AUDITING_CLIENT_TEMPLATE.FAT&amp;display_string=Audit&amp;VAR:KEY=IDQBCZGDEP&amp;VAR:QUERY=RkZfRU5UUlBSX1ZBTF9EQUlMWSgwNy8yNi8yMDExLCwsLCwnRElMJykvRUNBX01FQU5fRUJJVCgyMDEyLDA3L","zI2LzIwMTEp&amp;WINDOW=FIRST_POPUP&amp;HEIGHT=450&amp;WIDTH=450&amp;START_MAXIMIZED=FALSE&amp;VAR:CALENDAR=FIVEDAY&amp;VAR:SYMBOL=BEAV&amp;VAR:INDEX=0"}</definedName>
    <definedName name="_400__FDSAUDITLINK__" hidden="1">{"fdsup://directions/FAT Viewer?action=UPDATE&amp;creator=factset&amp;DYN_ARGS=TRUE&amp;DOC_NAME=FAT:FQL_AUDITING_CLIENT_TEMPLATE.FAT&amp;display_string=Audit&amp;VAR:KEY=IDQBCZGDEP&amp;VAR:QUERY=RkZfRU5UUlBSX1ZBTF9EQUlMWSgwNy8yNi8yMDExLCwsLCwnRElMJykvRUNBX01FQU5fRUJJVCgyMDEyLDA3L","zI2LzIwMTEp&amp;WINDOW=FIRST_POPUP&amp;HEIGHT=450&amp;WIDTH=450&amp;START_MAXIMIZED=FALSE&amp;VAR:CALENDAR=FIVEDAY&amp;VAR:SYMBOL=BEAV&amp;VAR:INDEX=0"}</definedName>
    <definedName name="_401__FDSAUDITLINK__" hidden="1">{"fdsup://directions/FAT Viewer?action=UPDATE&amp;creator=factset&amp;DYN_ARGS=TRUE&amp;DOC_NAME=FAT:FQL_AUDITING_CLIENT_TEMPLATE.FAT&amp;display_string=Audit&amp;VAR:KEY=WVKNCTYPSN&amp;VAR:QUERY=RkZfRU5UUlBSX1ZBTF9EQUlMWSgwNy8yNi8yMDExLCwsLCwnRElMJykvRUNBX01FQU5fRUJJVCgyMDExLDA3L","zI2LzIwMTEp&amp;WINDOW=FIRST_POPUP&amp;HEIGHT=450&amp;WIDTH=450&amp;START_MAXIMIZED=FALSE&amp;VAR:CALENDAR=FIVEDAY&amp;VAR:SYMBOL=BEAV&amp;VAR:INDEX=0"}</definedName>
    <definedName name="_402__FDSAUDITLINK__" hidden="1">{"fdsup://directions/FAT Viewer?action=UPDATE&amp;creator=factset&amp;DYN_ARGS=TRUE&amp;DOC_NAME=FAT:FQL_AUDITING_CLIENT_TEMPLATE.FAT&amp;display_string=Audit&amp;VAR:KEY=MBODGNALGH&amp;VAR:QUERY=RkZfRU5UUlBSX1ZBTF9EQUlMWSgwNy8yNi8yMDExLCwsLCwnRElMJykvRUNBX01FQU5fRUJJVCgyMDEwLDA3L","zI2LzIwMTEp&amp;WINDOW=FIRST_POPUP&amp;HEIGHT=450&amp;WIDTH=450&amp;START_MAXIMIZED=FALSE&amp;VAR:CALENDAR=FIVEDAY&amp;VAR:SYMBOL=BEAV&amp;VAR:INDEX=0"}</definedName>
    <definedName name="_403__FDSAUDITLINK__" hidden="1">{"fdsup://directions/FAT Viewer?action=UPDATE&amp;creator=factset&amp;DYN_ARGS=TRUE&amp;DOC_NAME=FAT:FQL_AUDITING_CLIENT_TEMPLATE.FAT&amp;display_string=Audit&amp;VAR:KEY=WJSVULKJYJ&amp;VAR:QUERY=RkZfRU5UUlBSX1ZBTF9EQUlMWSgwNy8yNi8yMDExLCwsLCwnRElMJykvRUNBX01FQU5fRUJJVERBKDIwMTIsM","DcvMjYvMjAxMSk=&amp;WINDOW=FIRST_POPUP&amp;HEIGHT=450&amp;WIDTH=450&amp;START_MAXIMIZED=FALSE&amp;VAR:CALENDAR=FIVEDAY&amp;VAR:SYMBOL=BEAV&amp;VAR:INDEX=0"}</definedName>
    <definedName name="_404__FDSAUDITLINK__" hidden="1">{"fdsup://directions/FAT Viewer?action=UPDATE&amp;creator=factset&amp;DYN_ARGS=TRUE&amp;DOC_NAME=FAT:FQL_AUDITING_CLIENT_TEMPLATE.FAT&amp;display_string=Audit&amp;VAR:KEY=QBMLEFKZQR&amp;VAR:QUERY=RkZfRU5UUlBSX1ZBTF9EQUlMWSgwNy8yNi8yMDExLCwsLCwnRElMJykvRUNBX01FQU5fRUJJVERBKDIwMTEsM","DcvMjYvMjAxMSk=&amp;WINDOW=FIRST_POPUP&amp;HEIGHT=450&amp;WIDTH=450&amp;START_MAXIMIZED=FALSE&amp;VAR:CALENDAR=FIVEDAY&amp;VAR:SYMBOL=BEAV&amp;VAR:INDEX=0"}</definedName>
    <definedName name="_405__FDSAUDITLINK__" hidden="1">{"fdsup://directions/FAT Viewer?action=UPDATE&amp;creator=factset&amp;DYN_ARGS=TRUE&amp;DOC_NAME=FAT:FQL_AUDITING_CLIENT_TEMPLATE.FAT&amp;display_string=Audit&amp;VAR:KEY=WPGPUVULWR&amp;VAR:QUERY=RkZfRU5UUlBSX1ZBTF9EQUlMWSgwNy8yNi8yMDExLCwsLCwnRElMJykvRUNBX01FQU5fRUJJVERBKDIwMTAsM","DcvMjYvMjAxMSk=&amp;WINDOW=FIRST_POPUP&amp;HEIGHT=450&amp;WIDTH=450&amp;START_MAXIMIZED=FALSE&amp;VAR:CALENDAR=FIVEDAY&amp;VAR:SYMBOL=BEAV&amp;VAR:INDEX=0"}</definedName>
    <definedName name="_406__FDSAUDITLINK__" hidden="1">{"fdsup://directions/FAT Viewer?action=UPDATE&amp;creator=factset&amp;DYN_ARGS=TRUE&amp;DOC_NAME=FAT:FQL_AUDITING_CLIENT_TEMPLATE.FAT&amp;display_string=Audit&amp;VAR:KEY=XWPAHSFOFS&amp;VAR:QUERY=RkZfRU5UUlBSX1ZBTF9EQUlMWSgxMC8yNS8yMDExLCwsLCwnRElMJykgLyBFQ0FfTUVBTl9TQUxFUygyMDEyL","DEwLzI1LzIwMTEp&amp;WINDOW=FIRST_POPUP&amp;HEIGHT=450&amp;WIDTH=450&amp;START_MAXIMIZED=FALSE&amp;VAR:CALENDAR=FIVEDAY&amp;VAR:SYMBOL=057580&amp;VAR:INDEX=0"}</definedName>
    <definedName name="_407__FDSAUDITLINK__" hidden="1">{"fdsup://directions/FAT Viewer?action=UPDATE&amp;creator=factset&amp;DYN_ARGS=TRUE&amp;DOC_NAME=FAT:FQL_AUDITING_CLIENT_TEMPLATE.FAT&amp;display_string=Audit&amp;VAR:KEY=DCTMTCLORI&amp;VAR:QUERY=RkZfRU5UUlBSX1ZBTF9EQUlMWSgxMC8yNS8yMDExLCwsLCwnRElMJykgLyBFQ0FfTUVBTl9TQUxFUygyMDExL","DEwLzI1LzIwMTEp&amp;WINDOW=FIRST_POPUP&amp;HEIGHT=450&amp;WIDTH=450&amp;START_MAXIMIZED=FALSE&amp;VAR:CALENDAR=FIVEDAY&amp;VAR:SYMBOL=057580&amp;VAR:INDEX=0"}</definedName>
    <definedName name="_408__FDSAUDITLINK__" hidden="1">{"fdsup://directions/FAT Viewer?action=UPDATE&amp;creator=factset&amp;DYN_ARGS=TRUE&amp;DOC_NAME=FAT:FQL_AUDITING_CLIENT_TEMPLATE.FAT&amp;display_string=Audit&amp;VAR:KEY=NCJSTAZWDO&amp;VAR:QUERY=RkZfRU5UUlBSX1ZBTF9EQUlMWSgxMC8yNS8yMDExLCwsLCwnRElMJykgLyBFQ0FfTUVBTl9TQUxFUygyMDEwL","DEwLzI1LzIwMTEp&amp;WINDOW=FIRST_POPUP&amp;HEIGHT=450&amp;WIDTH=450&amp;START_MAXIMIZED=FALSE&amp;VAR:CALENDAR=FIVEDAY&amp;VAR:SYMBOL=057580&amp;VAR:INDEX=0"}</definedName>
    <definedName name="_409__FDSAUDITLINK__" hidden="1">{"fdsup://directions/FAT Viewer?action=UPDATE&amp;creator=factset&amp;DYN_ARGS=TRUE&amp;DOC_NAME=FAT:FQL_AUDITING_CLIENT_TEMPLATE.FAT&amp;display_string=Audit&amp;VAR:KEY=RILILSHEZI&amp;VAR:QUERY=RkZfRU5UUlBSX1ZBTF9EQUlMWSgxMC8yNS8yMDExLCwsLCwnRElMJykgLyBFQ0FfTUVBTl9FQklUKDIwMTIsM","TAvMjUvMjAxMSk=&amp;WINDOW=FIRST_POPUP&amp;HEIGHT=450&amp;WIDTH=450&amp;START_MAXIMIZED=FALSE&amp;VAR:CALENDAR=FIVEDAY&amp;VAR:SYMBOL=057580&amp;VAR:INDEX=0"}</definedName>
    <definedName name="_41__FDSAUDITLINK__" hidden="1">{"fdsup://directions/FAT Viewer?action=UPDATE&amp;creator=factset&amp;DYN_ARGS=TRUE&amp;DOC_NAME=FAT:FQL_AUDITING_CLIENT_TEMPLATE.FAT&amp;display_string=Audit&amp;VAR:KEY=WVKNCTYPSN&amp;VAR:QUERY=RkZfRU5UUlBSX1ZBTF9EQUlMWSgwNy8yNi8yMDExLCwsLCwnRElMJykvRUNBX01FQU5fRUJJVCgyMDExLDA3L","zI2LzIwMTEp&amp;WINDOW=FIRST_POPUP&amp;HEIGHT=450&amp;WIDTH=450&amp;START_MAXIMIZED=FALSE&amp;VAR:CALENDAR=FIVEDAY&amp;VAR:SYMBOL=BEAV&amp;VAR:INDEX=0"}</definedName>
    <definedName name="_410__FDSAUDITLINK__" hidden="1">{"fdsup://directions/FAT Viewer?action=UPDATE&amp;creator=factset&amp;DYN_ARGS=TRUE&amp;DOC_NAME=FAT:FQL_AUDITING_CLIENT_TEMPLATE.FAT&amp;display_string=Audit&amp;VAR:KEY=TWJSPYPULW&amp;VAR:QUERY=RkZfRU5UUlBSX1ZBTF9EQUlMWSgxMC8yNS8yMDExLCwsLCwnRElMJykgLyBFQ0FfTUVBTl9FQklUKDIwMTEsM","TAvMjUvMjAxMSk=&amp;WINDOW=FIRST_POPUP&amp;HEIGHT=450&amp;WIDTH=450&amp;START_MAXIMIZED=FALSE&amp;VAR:CALENDAR=FIVEDAY&amp;VAR:SYMBOL=057580&amp;VAR:INDEX=0"}</definedName>
    <definedName name="_411__FDSAUDITLINK__" hidden="1">{"fdsup://directions/FAT Viewer?action=UPDATE&amp;creator=factset&amp;DYN_ARGS=TRUE&amp;DOC_NAME=FAT:FQL_AUDITING_CLIENT_TEMPLATE.FAT&amp;display_string=Audit&amp;VAR:KEY=LIFQNQNAZK&amp;VAR:QUERY=RkZfRU5UUlBSX1ZBTF9EQUlMWSgxMC8yNS8yMDExLCwsLCwnRElMJykgLyBFQ0FfTUVBTl9FQklUKDIwMTAsM","TAvMjUvMjAxMSk=&amp;WINDOW=FIRST_POPUP&amp;HEIGHT=450&amp;WIDTH=450&amp;START_MAXIMIZED=FALSE&amp;VAR:CALENDAR=FIVEDAY&amp;VAR:SYMBOL=057580&amp;VAR:INDEX=0"}</definedName>
    <definedName name="_412__FDSAUDITLINK__" hidden="1">{"fdsup://directions/FAT Viewer?action=UPDATE&amp;creator=factset&amp;DYN_ARGS=TRUE&amp;DOC_NAME=FAT:FQL_AUDITING_CLIENT_TEMPLATE.FAT&amp;display_string=Audit&amp;VAR:KEY=NMXUHCLQRE&amp;VAR:QUERY=RkZfRU5UUlBSX1ZBTF9EQUlMWSgxMC8yNS8yMDExLCwsLCwnRElMJykgLyBFQ0FfTUVBTl9FQklUREEoMjAxM","iwxMC8yNS8yMDExKQ==&amp;WINDOW=FIRST_POPUP&amp;HEIGHT=450&amp;WIDTH=450&amp;START_MAXIMIZED=FALSE&amp;VAR:CALENDAR=FIVEDAY&amp;VAR:SYMBOL=057580&amp;VAR:INDEX=0"}</definedName>
    <definedName name="_413__FDSAUDITLINK__" hidden="1">{"fdsup://directions/FAT Viewer?action=UPDATE&amp;creator=factset&amp;DYN_ARGS=TRUE&amp;DOC_NAME=FAT:FQL_AUDITING_CLIENT_TEMPLATE.FAT&amp;display_string=Audit&amp;VAR:KEY=DILEXMDIBO&amp;VAR:QUERY=RkZfRU5UUlBSX1ZBTF9EQUlMWSgxMC8yNS8yMDExLCwsLCwnRElMJykgLyBFQ0FfTUVBTl9FQklUREEoMjAxM","SwxMC8yNS8yMDExKQ==&amp;WINDOW=FIRST_POPUP&amp;HEIGHT=450&amp;WIDTH=450&amp;START_MAXIMIZED=FALSE&amp;VAR:CALENDAR=FIVEDAY&amp;VAR:SYMBOL=057580&amp;VAR:INDEX=0"}</definedName>
    <definedName name="_414__FDSAUDITLINK__" hidden="1">{"fdsup://directions/FAT Viewer?action=UPDATE&amp;creator=factset&amp;DYN_ARGS=TRUE&amp;DOC_NAME=FAT:FQL_AUDITING_CLIENT_TEMPLATE.FAT&amp;display_string=Audit&amp;VAR:KEY=JUZCTUHWVW&amp;VAR:QUERY=RkZfRU5UUlBSX1ZBTF9EQUlMWSgxMC8yNS8yMDExLCwsLCwnRElMJykgLyBFQ0FfTUVBTl9FQklUREEoMjAxM","CwxMC8yNS8yMDExKQ==&amp;WINDOW=FIRST_POPUP&amp;HEIGHT=450&amp;WIDTH=450&amp;START_MAXIMIZED=FALSE&amp;VAR:CALENDAR=FIVEDAY&amp;VAR:SYMBOL=057580&amp;VAR:INDEX=0"}</definedName>
    <definedName name="_415__FDSAUDITLINK__" hidden="1">{"fdsup://directions/FAT Viewer?action=UPDATE&amp;creator=factset&amp;DYN_ARGS=TRUE&amp;DOC_NAME=FAT:FQL_AUDITING_CLIENT_TEMPLATE.FAT&amp;display_string=Audit&amp;VAR:KEY=TIPWNMRYNK&amp;VAR:QUERY=RkZfRU5UUlBSX1ZBTF9EQUlMWSgxMC8yNS8yMDExLCwsLCwnRElMJykgLyBFQ0FfTUVBTl9TQUxFUygyMDEyL","DEwLzI1LzIwMTEp&amp;WINDOW=FIRST_POPUP&amp;HEIGHT=450&amp;WIDTH=450&amp;START_MAXIMIZED=FALSE&amp;VAR:CALENDAR=FIVEDAY&amp;VAR:SYMBOL=PCP&amp;VAR:INDEX=0"}</definedName>
    <definedName name="_416__FDSAUDITLINK__" hidden="1">{"fdsup://directions/FAT Viewer?action=UPDATE&amp;creator=factset&amp;DYN_ARGS=TRUE&amp;DOC_NAME=FAT:FQL_AUDITING_CLIENT_TEMPLATE.FAT&amp;display_string=Audit&amp;VAR:KEY=ZOVQDMNGXI&amp;VAR:QUERY=RkZfRU5UUlBSX1ZBTF9EQUlMWSgxMC8yNS8yMDExLCwsLCwnRElMJykgLyBFQ0FfTUVBTl9TQUxFUygyMDExL","DEwLzI1LzIwMTEp&amp;WINDOW=FIRST_POPUP&amp;HEIGHT=450&amp;WIDTH=450&amp;START_MAXIMIZED=FALSE&amp;VAR:CALENDAR=FIVEDAY&amp;VAR:SYMBOL=PCP&amp;VAR:INDEX=0"}</definedName>
    <definedName name="_417__FDSAUDITLINK__" hidden="1">{"fdsup://directions/FAT Viewer?action=UPDATE&amp;creator=factset&amp;DYN_ARGS=TRUE&amp;DOC_NAME=FAT:FQL_AUDITING_CLIENT_TEMPLATE.FAT&amp;display_string=Audit&amp;VAR:KEY=PCLCLGVATC&amp;VAR:QUERY=RkZfRU5UUlBSX1ZBTF9EQUlMWSgxMC8yNS8yMDExLCwsLCwnRElMJykgLyBFQ0FfTUVBTl9TQUxFUygyMDEwL","DEwLzI1LzIwMTEp&amp;WINDOW=FIRST_POPUP&amp;HEIGHT=450&amp;WIDTH=450&amp;START_MAXIMIZED=FALSE&amp;VAR:CALENDAR=FIVEDAY&amp;VAR:SYMBOL=PCP&amp;VAR:INDEX=0"}</definedName>
    <definedName name="_418__FDSAUDITLINK__" hidden="1">{"fdsup://directions/FAT Viewer?action=UPDATE&amp;creator=factset&amp;DYN_ARGS=TRUE&amp;DOC_NAME=FAT:FQL_AUDITING_CLIENT_TEMPLATE.FAT&amp;display_string=Audit&amp;VAR:KEY=PILYDARSXK&amp;VAR:QUERY=RkZfRU5UUlBSX1ZBTF9EQUlMWSgxMC8yNS8yMDExLCwsLCwnRElMJykgLyBFQ0FfTUVBTl9FQklUKDIwMTIsM","TAvMjUvMjAxMSk=&amp;WINDOW=FIRST_POPUP&amp;HEIGHT=450&amp;WIDTH=450&amp;START_MAXIMIZED=FALSE&amp;VAR:CALENDAR=FIVEDAY&amp;VAR:SYMBOL=PCP&amp;VAR:INDEX=0"}</definedName>
    <definedName name="_419__FDSAUDITLINK__" hidden="1">{"fdsup://directions/FAT Viewer?action=UPDATE&amp;creator=factset&amp;DYN_ARGS=TRUE&amp;DOC_NAME=FAT:FQL_AUDITING_CLIENT_TEMPLATE.FAT&amp;display_string=Audit&amp;VAR:KEY=HWXSTIDYDS&amp;VAR:QUERY=RkZfRU5UUlBSX1ZBTF9EQUlMWSgxMC8yNS8yMDExLCwsLCwnRElMJykgLyBFQ0FfTUVBTl9FQklUKDIwMTEsM","TAvMjUvMjAxMSk=&amp;WINDOW=FIRST_POPUP&amp;HEIGHT=450&amp;WIDTH=450&amp;START_MAXIMIZED=FALSE&amp;VAR:CALENDAR=FIVEDAY&amp;VAR:SYMBOL=PCP&amp;VAR:INDEX=0"}</definedName>
    <definedName name="_42__FDSAUDITLINK__" hidden="1">{"fdsup://directions/FAT Viewer?action=UPDATE&amp;creator=factset&amp;DYN_ARGS=TRUE&amp;DOC_NAME=FAT:FQL_AUDITING_CLIENT_TEMPLATE.FAT&amp;display_string=Audit&amp;VAR:KEY=MBODGNALGH&amp;VAR:QUERY=RkZfRU5UUlBSX1ZBTF9EQUlMWSgwNy8yNi8yMDExLCwsLCwnRElMJykvRUNBX01FQU5fRUJJVCgyMDEwLDA3L","zI2LzIwMTEp&amp;WINDOW=FIRST_POPUP&amp;HEIGHT=450&amp;WIDTH=450&amp;START_MAXIMIZED=FALSE&amp;VAR:CALENDAR=FIVEDAY&amp;VAR:SYMBOL=BEAV&amp;VAR:INDEX=0"}</definedName>
    <definedName name="_420__FDSAUDITLINK__" hidden="1">{"fdsup://directions/FAT Viewer?action=UPDATE&amp;creator=factset&amp;DYN_ARGS=TRUE&amp;DOC_NAME=FAT:FQL_AUDITING_CLIENT_TEMPLATE.FAT&amp;display_string=Audit&amp;VAR:KEY=TUNWJWRGVE&amp;VAR:QUERY=RkZfRU5UUlBSX1ZBTF9EQUlMWSgxMC8yNS8yMDExLCwsLCwnRElMJykgLyBFQ0FfTUVBTl9FQklUKDIwMTAsM","TAvMjUvMjAxMSk=&amp;WINDOW=FIRST_POPUP&amp;HEIGHT=450&amp;WIDTH=450&amp;START_MAXIMIZED=FALSE&amp;VAR:CALENDAR=FIVEDAY&amp;VAR:SYMBOL=PCP&amp;VAR:INDEX=0"}</definedName>
    <definedName name="_421__FDSAUDITLINK__" hidden="1">{"fdsup://directions/FAT Viewer?action=UPDATE&amp;creator=factset&amp;DYN_ARGS=TRUE&amp;DOC_NAME=FAT:FQL_AUDITING_CLIENT_TEMPLATE.FAT&amp;display_string=Audit&amp;VAR:KEY=LQPURGDKVE&amp;VAR:QUERY=RkZfRU5UUlBSX1ZBTF9EQUlMWSgxMC8yNS8yMDExLCwsLCwnRElMJykgLyBFQ0FfTUVBTl9FQklUREEoMjAxM","iwxMC8yNS8yMDExKQ==&amp;WINDOW=FIRST_POPUP&amp;HEIGHT=450&amp;WIDTH=450&amp;START_MAXIMIZED=FALSE&amp;VAR:CALENDAR=FIVEDAY&amp;VAR:SYMBOL=PCP&amp;VAR:INDEX=0"}</definedName>
    <definedName name="_422__FDSAUDITLINK__" hidden="1">{"fdsup://directions/FAT Viewer?action=UPDATE&amp;creator=factset&amp;DYN_ARGS=TRUE&amp;DOC_NAME=FAT:FQL_AUDITING_CLIENT_TEMPLATE.FAT&amp;display_string=Audit&amp;VAR:KEY=TEFEFKXOTU&amp;VAR:QUERY=RkZfRU5UUlBSX1ZBTF9EQUlMWSgxMC8yNS8yMDExLCwsLCwnRElMJykgLyBFQ0FfTUVBTl9FQklUREEoMjAxM","SwxMC8yNS8yMDExKQ==&amp;WINDOW=FIRST_POPUP&amp;HEIGHT=450&amp;WIDTH=450&amp;START_MAXIMIZED=FALSE&amp;VAR:CALENDAR=FIVEDAY&amp;VAR:SYMBOL=PCP&amp;VAR:INDEX=0"}</definedName>
    <definedName name="_423__FDSAUDITLINK__" hidden="1">{"fdsup://directions/FAT Viewer?action=UPDATE&amp;creator=factset&amp;DYN_ARGS=TRUE&amp;DOC_NAME=FAT:FQL_AUDITING_CLIENT_TEMPLATE.FAT&amp;display_string=Audit&amp;VAR:KEY=VITUVGFYXO&amp;VAR:QUERY=RkZfRU5UUlBSX1ZBTF9EQUlMWSgxMC8yNS8yMDExLCwsLCwnRElMJykgLyBFQ0FfTUVBTl9FQklUREEoMjAxM","CwxMC8yNS8yMDExKQ==&amp;WINDOW=FIRST_POPUP&amp;HEIGHT=450&amp;WIDTH=450&amp;START_MAXIMIZED=FALSE&amp;VAR:CALENDAR=FIVEDAY&amp;VAR:SYMBOL=PCP&amp;VAR:INDEX=0"}</definedName>
    <definedName name="_424__FDSAUDITLINK__" hidden="1">{"fdsup://directions/FAT Viewer?action=UPDATE&amp;creator=factset&amp;DYN_ARGS=TRUE&amp;DOC_NAME=FAT:FQL_AUDITING_CLIENT_TEMPLATE.FAT&amp;display_string=Audit&amp;VAR:KEY=RILETEDUFK&amp;VAR:QUERY=RkZfRU5UUlBSX1ZBTF9EQUlMWSgxMC8yNS8yMDExLCwsLCwnRElMJykgLyBFQ0FfTUVBTl9TQUxFUygyMDEyL","DEwLzI1LzIwMTEp&amp;WINDOW=FIRST_POPUP&amp;HEIGHT=450&amp;WIDTH=450&amp;START_MAXIMIZED=FALSE&amp;VAR:CALENDAR=FIVEDAY&amp;VAR:SYMBOL=MOG.A&amp;VAR:INDEX=0"}</definedName>
    <definedName name="_425__FDSAUDITLINK__" hidden="1">{"fdsup://directions/FAT Viewer?action=UPDATE&amp;creator=factset&amp;DYN_ARGS=TRUE&amp;DOC_NAME=FAT:FQL_AUDITING_CLIENT_TEMPLATE.FAT&amp;display_string=Audit&amp;VAR:KEY=TQNIXSJEDK&amp;VAR:QUERY=RkZfRU5UUlBSX1ZBTF9EQUlMWSgxMC8yNS8yMDExLCwsLCwnRElMJykgLyBFQ0FfTUVBTl9TQUxFUygyMDExL","DEwLzI1LzIwMTEp&amp;WINDOW=FIRST_POPUP&amp;HEIGHT=450&amp;WIDTH=450&amp;START_MAXIMIZED=FALSE&amp;VAR:CALENDAR=FIVEDAY&amp;VAR:SYMBOL=MOG.A&amp;VAR:INDEX=0"}</definedName>
    <definedName name="_426__FDSAUDITLINK__" hidden="1">{"fdsup://directions/FAT Viewer?action=UPDATE&amp;creator=factset&amp;DYN_ARGS=TRUE&amp;DOC_NAME=FAT:FQL_AUDITING_CLIENT_TEMPLATE.FAT&amp;display_string=Audit&amp;VAR:KEY=HGFYHERKTG&amp;VAR:QUERY=RkZfRU5UUlBSX1ZBTF9EQUlMWSgxMC8yNS8yMDExLCwsLCwnRElMJykgLyBFQ0FfTUVBTl9TQUxFUygyMDEwL","DEwLzI1LzIwMTEp&amp;WINDOW=FIRST_POPUP&amp;HEIGHT=450&amp;WIDTH=450&amp;START_MAXIMIZED=FALSE&amp;VAR:CALENDAR=FIVEDAY&amp;VAR:SYMBOL=MOG.A&amp;VAR:INDEX=0"}</definedName>
    <definedName name="_427__FDSAUDITLINK__" hidden="1">{"fdsup://directions/FAT Viewer?action=UPDATE&amp;creator=factset&amp;DYN_ARGS=TRUE&amp;DOC_NAME=FAT:FQL_AUDITING_CLIENT_TEMPLATE.FAT&amp;display_string=Audit&amp;VAR:KEY=XWJENQVONU&amp;VAR:QUERY=RkZfRU5UUlBSX1ZBTF9EQUlMWSgxMC8yNS8yMDExLCwsLCwnRElMJykgLyBFQ0FfTUVBTl9FQklUKDIwMTIsM","TAvMjUvMjAxMSk=&amp;WINDOW=FIRST_POPUP&amp;HEIGHT=450&amp;WIDTH=450&amp;START_MAXIMIZED=FALSE&amp;VAR:CALENDAR=FIVEDAY&amp;VAR:SYMBOL=MOG.A&amp;VAR:INDEX=0"}</definedName>
    <definedName name="_428__FDSAUDITLINK__" hidden="1">{"fdsup://directions/FAT Viewer?action=UPDATE&amp;creator=factset&amp;DYN_ARGS=TRUE&amp;DOC_NAME=FAT:FQL_AUDITING_CLIENT_TEMPLATE.FAT&amp;display_string=Audit&amp;VAR:KEY=DMLIBAHOFC&amp;VAR:QUERY=RkZfRU5UUlBSX1ZBTF9EQUlMWSgxMC8yNS8yMDExLCwsLCwnRElMJykgLyBFQ0FfTUVBTl9FQklUKDIwMTEsM","TAvMjUvMjAxMSk=&amp;WINDOW=FIRST_POPUP&amp;HEIGHT=450&amp;WIDTH=450&amp;START_MAXIMIZED=FALSE&amp;VAR:CALENDAR=FIVEDAY&amp;VAR:SYMBOL=MOG.A&amp;VAR:INDEX=0"}</definedName>
    <definedName name="_429__FDSAUDITLINK__" hidden="1">{"fdsup://directions/FAT Viewer?action=UPDATE&amp;creator=factset&amp;DYN_ARGS=TRUE&amp;DOC_NAME=FAT:FQL_AUDITING_CLIENT_TEMPLATE.FAT&amp;display_string=Audit&amp;VAR:KEY=BWRARETWPQ&amp;VAR:QUERY=RkZfRU5UUlBSX1ZBTF9EQUlMWSgxMC8yNS8yMDExLCwsLCwnRElMJykgLyBFQ0FfTUVBTl9FQklUKDIwMTAsM","TAvMjUvMjAxMSk=&amp;WINDOW=FIRST_POPUP&amp;HEIGHT=450&amp;WIDTH=450&amp;START_MAXIMIZED=FALSE&amp;VAR:CALENDAR=FIVEDAY&amp;VAR:SYMBOL=MOG.A&amp;VAR:INDEX=0"}</definedName>
    <definedName name="_43__FDSAUDITLINK__" hidden="1">{"fdsup://directions/FAT Viewer?action=UPDATE&amp;creator=factset&amp;DYN_ARGS=TRUE&amp;DOC_NAME=FAT:FQL_AUDITING_CLIENT_TEMPLATE.FAT&amp;display_string=Audit&amp;VAR:KEY=WJSVULKJYJ&amp;VAR:QUERY=RkZfRU5UUlBSX1ZBTF9EQUlMWSgwNy8yNi8yMDExLCwsLCwnRElMJykvRUNBX01FQU5fRUJJVERBKDIwMTIsM","DcvMjYvMjAxMSk=&amp;WINDOW=FIRST_POPUP&amp;HEIGHT=450&amp;WIDTH=450&amp;START_MAXIMIZED=FALSE&amp;VAR:CALENDAR=FIVEDAY&amp;VAR:SYMBOL=BEAV&amp;VAR:INDEX=0"}</definedName>
    <definedName name="_430__FDSAUDITLINK__" hidden="1">{"fdsup://directions/FAT Viewer?action=UPDATE&amp;creator=factset&amp;DYN_ARGS=TRUE&amp;DOC_NAME=FAT:FQL_AUDITING_CLIENT_TEMPLATE.FAT&amp;display_string=Audit&amp;VAR:KEY=XWBQVKVMBO&amp;VAR:QUERY=RkZfRU5UUlBSX1ZBTF9EQUlMWSgxMC8yNS8yMDExLCwsLCwnRElMJykgLyBFQ0FfTUVBTl9FQklUREEoMjAxM","iwxMC8yNS8yMDExKQ==&amp;WINDOW=FIRST_POPUP&amp;HEIGHT=450&amp;WIDTH=450&amp;START_MAXIMIZED=FALSE&amp;VAR:CALENDAR=FIVEDAY&amp;VAR:SYMBOL=MOG.A&amp;VAR:INDEX=0"}</definedName>
    <definedName name="_431__FDSAUDITLINK__" hidden="1">{"fdsup://directions/FAT Viewer?action=UPDATE&amp;creator=factset&amp;DYN_ARGS=TRUE&amp;DOC_NAME=FAT:FQL_AUDITING_CLIENT_TEMPLATE.FAT&amp;display_string=Audit&amp;VAR:KEY=PMRIVCNYTS&amp;VAR:QUERY=RkZfRU5UUlBSX1ZBTF9EQUlMWSgxMC8yNS8yMDExLCwsLCwnRElMJykgLyBFQ0FfTUVBTl9FQklUREEoMjAxM","SwxMC8yNS8yMDExKQ==&amp;WINDOW=FIRST_POPUP&amp;HEIGHT=450&amp;WIDTH=450&amp;START_MAXIMIZED=FALSE&amp;VAR:CALENDAR=FIVEDAY&amp;VAR:SYMBOL=MOG.A&amp;VAR:INDEX=0"}</definedName>
    <definedName name="_432__FDSAUDITLINK__" hidden="1">{"fdsup://directions/FAT Viewer?action=UPDATE&amp;creator=factset&amp;DYN_ARGS=TRUE&amp;DOC_NAME=FAT:FQL_AUDITING_CLIENT_TEMPLATE.FAT&amp;display_string=Audit&amp;VAR:KEY=TKBGDIHATU&amp;VAR:QUERY=RkZfRU5UUlBSX1ZBTF9EQUlMWSgxMC8yNS8yMDExLCwsLCwnRElMJykgLyBFQ0FfTUVBTl9FQklUREEoMjAxM","CwxMC8yNS8yMDExKQ==&amp;WINDOW=FIRST_POPUP&amp;HEIGHT=450&amp;WIDTH=450&amp;START_MAXIMIZED=FALSE&amp;VAR:CALENDAR=FIVEDAY&amp;VAR:SYMBOL=MOG.A&amp;VAR:INDEX=0"}</definedName>
    <definedName name="_433__FDSAUDITLINK__" hidden="1">{"fdsup://directions/FAT Viewer?action=UPDATE&amp;creator=factset&amp;DYN_ARGS=TRUE&amp;DOC_NAME=FAT:FQL_AUDITING_CLIENT_TEMPLATE.FAT&amp;display_string=Audit&amp;VAR:KEY=FQTUHCHGJQ&amp;VAR:QUERY=RkZfRU5UUlBSX1ZBTF9EQUlMWSgxMC8yNS8yMDExLCwsLCwnRElMJykgLyBFQ0FfTUVBTl9TQUxFUygyMDEyL","DEwLzI1LzIwMTEp&amp;WINDOW=FIRST_POPUP&amp;HEIGHT=450&amp;WIDTH=450&amp;START_MAXIMIZED=FALSE&amp;VAR:CALENDAR=FIVEDAY&amp;VAR:SYMBOL=COL&amp;VAR:INDEX=0"}</definedName>
    <definedName name="_434__FDSAUDITLINK__" hidden="1">{"fdsup://directions/FAT Viewer?action=UPDATE&amp;creator=factset&amp;DYN_ARGS=TRUE&amp;DOC_NAME=FAT:FQL_AUDITING_CLIENT_TEMPLATE.FAT&amp;display_string=Audit&amp;VAR:KEY=BKVQBWBMRA&amp;VAR:QUERY=RkZfRU5UUlBSX1ZBTF9EQUlMWSgxMC8yNS8yMDExLCwsLCwnRElMJykgLyBFQ0FfTUVBTl9TQUxFUygyMDExL","DEwLzI1LzIwMTEp&amp;WINDOW=FIRST_POPUP&amp;HEIGHT=450&amp;WIDTH=450&amp;START_MAXIMIZED=FALSE&amp;VAR:CALENDAR=FIVEDAY&amp;VAR:SYMBOL=COL&amp;VAR:INDEX=0"}</definedName>
    <definedName name="_435__FDSAUDITLINK__" hidden="1">{"fdsup://directions/FAT Viewer?action=UPDATE&amp;creator=factset&amp;DYN_ARGS=TRUE&amp;DOC_NAME=FAT:FQL_AUDITING_CLIENT_TEMPLATE.FAT&amp;display_string=Audit&amp;VAR:KEY=POJYDGRWNS&amp;VAR:QUERY=RkZfRU5UUlBSX1ZBTF9EQUlMWSgxMC8yNS8yMDExLCwsLCwnRElMJykgLyBFQ0FfTUVBTl9TQUxFUygyMDEwL","DEwLzI1LzIwMTEp&amp;WINDOW=FIRST_POPUP&amp;HEIGHT=450&amp;WIDTH=450&amp;START_MAXIMIZED=FALSE&amp;VAR:CALENDAR=FIVEDAY&amp;VAR:SYMBOL=COL&amp;VAR:INDEX=0"}</definedName>
    <definedName name="_436__FDSAUDITLINK__" hidden="1">{"fdsup://directions/FAT Viewer?action=UPDATE&amp;creator=factset&amp;DYN_ARGS=TRUE&amp;DOC_NAME=FAT:FQL_AUDITING_CLIENT_TEMPLATE.FAT&amp;display_string=Audit&amp;VAR:KEY=VKLGDQVKPA&amp;VAR:QUERY=RkZfRU5UUlBSX1ZBTF9EQUlMWSgxMC8yNS8yMDExLCwsLCwnRElMJykgLyBFQ0FfTUVBTl9FQklUKDIwMTIsM","TAvMjUvMjAxMSk=&amp;WINDOW=FIRST_POPUP&amp;HEIGHT=450&amp;WIDTH=450&amp;START_MAXIMIZED=FALSE&amp;VAR:CALENDAR=FIVEDAY&amp;VAR:SYMBOL=COL&amp;VAR:INDEX=0"}</definedName>
    <definedName name="_437__FDSAUDITLINK__" hidden="1">{"fdsup://directions/FAT Viewer?action=UPDATE&amp;creator=factset&amp;DYN_ARGS=TRUE&amp;DOC_NAME=FAT:FQL_AUDITING_CLIENT_TEMPLATE.FAT&amp;display_string=Audit&amp;VAR:KEY=TAPOZSHOVO&amp;VAR:QUERY=RkZfRU5UUlBSX1ZBTF9EQUlMWSgxMC8yNS8yMDExLCwsLCwnRElMJykgLyBFQ0FfTUVBTl9FQklUKDIwMTEsM","TAvMjUvMjAxMSk=&amp;WINDOW=FIRST_POPUP&amp;HEIGHT=450&amp;WIDTH=450&amp;START_MAXIMIZED=FALSE&amp;VAR:CALENDAR=FIVEDAY&amp;VAR:SYMBOL=COL&amp;VAR:INDEX=0"}</definedName>
    <definedName name="_438__FDSAUDITLINK__" hidden="1">{"fdsup://directions/FAT Viewer?action=UPDATE&amp;creator=factset&amp;DYN_ARGS=TRUE&amp;DOC_NAME=FAT:FQL_AUDITING_CLIENT_TEMPLATE.FAT&amp;display_string=Audit&amp;VAR:KEY=NOXUZSPQLE&amp;VAR:QUERY=RkZfRU5UUlBSX1ZBTF9EQUlMWSgxMC8yNS8yMDExLCwsLCwnRElMJykgLyBFQ0FfTUVBTl9FQklUKDIwMTAsM","TAvMjUvMjAxMSk=&amp;WINDOW=FIRST_POPUP&amp;HEIGHT=450&amp;WIDTH=450&amp;START_MAXIMIZED=FALSE&amp;VAR:CALENDAR=FIVEDAY&amp;VAR:SYMBOL=COL&amp;VAR:INDEX=0"}</definedName>
    <definedName name="_439__FDSAUDITLINK__" hidden="1">{"fdsup://directions/FAT Viewer?action=UPDATE&amp;creator=factset&amp;DYN_ARGS=TRUE&amp;DOC_NAME=FAT:FQL_AUDITING_CLIENT_TEMPLATE.FAT&amp;display_string=Audit&amp;VAR:KEY=BUFALEHWJU&amp;VAR:QUERY=RkZfRU5UUlBSX1ZBTF9EQUlMWSgxMC8yNS8yMDExLCwsLCwnRElMJykgLyBFQ0FfTUVBTl9FQklUREEoMjAxM","iwxMC8yNS8yMDExKQ==&amp;WINDOW=FIRST_POPUP&amp;HEIGHT=450&amp;WIDTH=450&amp;START_MAXIMIZED=FALSE&amp;VAR:CALENDAR=FIVEDAY&amp;VAR:SYMBOL=COL&amp;VAR:INDEX=0"}</definedName>
    <definedName name="_44__FDSAUDITLINK__" hidden="1">{"fdsup://directions/FAT Viewer?action=UPDATE&amp;creator=factset&amp;DYN_ARGS=TRUE&amp;DOC_NAME=FAT:FQL_AUDITING_CLIENT_TEMPLATE.FAT&amp;display_string=Audit&amp;VAR:KEY=QBMLEFKZQR&amp;VAR:QUERY=RkZfRU5UUlBSX1ZBTF9EQUlMWSgwNy8yNi8yMDExLCwsLCwnRElMJykvRUNBX01FQU5fRUJJVERBKDIwMTEsM","DcvMjYvMjAxMSk=&amp;WINDOW=FIRST_POPUP&amp;HEIGHT=450&amp;WIDTH=450&amp;START_MAXIMIZED=FALSE&amp;VAR:CALENDAR=FIVEDAY&amp;VAR:SYMBOL=BEAV&amp;VAR:INDEX=0"}</definedName>
    <definedName name="_440__FDSAUDITLINK__" hidden="1">{"fdsup://directions/FAT Viewer?action=UPDATE&amp;creator=factset&amp;DYN_ARGS=TRUE&amp;DOC_NAME=FAT:FQL_AUDITING_CLIENT_TEMPLATE.FAT&amp;display_string=Audit&amp;VAR:KEY=DKRIHCDAVK&amp;VAR:QUERY=RkZfRU5UUlBSX1ZBTF9EQUlMWSgxMC8yNS8yMDExLCwsLCwnRElMJykgLyBFQ0FfTUVBTl9FQklUREEoMjAxM","SwxMC8yNS8yMDExKQ==&amp;WINDOW=FIRST_POPUP&amp;HEIGHT=450&amp;WIDTH=450&amp;START_MAXIMIZED=FALSE&amp;VAR:CALENDAR=FIVEDAY&amp;VAR:SYMBOL=COL&amp;VAR:INDEX=0"}</definedName>
    <definedName name="_441__FDSAUDITLINK__" hidden="1">{"fdsup://directions/FAT Viewer?action=UPDATE&amp;creator=factset&amp;DYN_ARGS=TRUE&amp;DOC_NAME=FAT:FQL_AUDITING_CLIENT_TEMPLATE.FAT&amp;display_string=Audit&amp;VAR:KEY=RSZGFEJYPW&amp;VAR:QUERY=RkZfRU5UUlBSX1ZBTF9EQUlMWSgxMC8yNS8yMDExLCwsLCwnRElMJykgLyBFQ0FfTUVBTl9FQklUREEoMjAxM","CwxMC8yNS8yMDExKQ==&amp;WINDOW=FIRST_POPUP&amp;HEIGHT=450&amp;WIDTH=450&amp;START_MAXIMIZED=FALSE&amp;VAR:CALENDAR=FIVEDAY&amp;VAR:SYMBOL=COL&amp;VAR:INDEX=0"}</definedName>
    <definedName name="_442__FDSAUDITLINK__" hidden="1">{"fdsup://directions/FAT Viewer?action=UPDATE&amp;creator=factset&amp;DYN_ARGS=TRUE&amp;DOC_NAME=FAT:FQL_AUDITING_CLIENT_TEMPLATE.FAT&amp;display_string=Audit&amp;VAR:KEY=ZSRQREZUPO&amp;VAR:QUERY=RkZfRU5UUlBSX1ZBTF9EQUlMWSgxMC8yNS8yMDExLCwsLCwnRElMJykgLyBFQ0FfTUVBTl9TQUxFUygyMDEyL","DEwLzI1LzIwMTEp&amp;WINDOW=FIRST_POPUP&amp;HEIGHT=450&amp;WIDTH=450&amp;START_MAXIMIZED=FALSE&amp;VAR:CALENDAR=FIVEDAY&amp;VAR:SYMBOL=BEAV&amp;VAR:INDEX=0"}</definedName>
    <definedName name="_443__FDSAUDITLINK__" hidden="1">{"fdsup://directions/FAT Viewer?action=UPDATE&amp;creator=factset&amp;DYN_ARGS=TRUE&amp;DOC_NAME=FAT:FQL_AUDITING_CLIENT_TEMPLATE.FAT&amp;display_string=Audit&amp;VAR:KEY=FIFAVCBOLG&amp;VAR:QUERY=RkZfRU5UUlBSX1ZBTF9EQUlMWSgxMC8yNS8yMDExLCwsLCwnRElMJykgLyBFQ0FfTUVBTl9TQUxFUygyMDExL","DEwLzI1LzIwMTEp&amp;WINDOW=FIRST_POPUP&amp;HEIGHT=450&amp;WIDTH=450&amp;START_MAXIMIZED=FALSE&amp;VAR:CALENDAR=FIVEDAY&amp;VAR:SYMBOL=BEAV&amp;VAR:INDEX=0"}</definedName>
    <definedName name="_444__FDSAUDITLINK__" hidden="1">{"fdsup://directions/FAT Viewer?action=UPDATE&amp;creator=factset&amp;DYN_ARGS=TRUE&amp;DOC_NAME=FAT:FQL_AUDITING_CLIENT_TEMPLATE.FAT&amp;display_string=Audit&amp;VAR:KEY=VUJEVUDARS&amp;VAR:QUERY=RkZfRU5UUlBSX1ZBTF9EQUlMWSgxMC8yNS8yMDExLCwsLCwnRElMJykgLyBFQ0FfTUVBTl9TQUxFUygyMDEwL","DEwLzI1LzIwMTEp&amp;WINDOW=FIRST_POPUP&amp;HEIGHT=450&amp;WIDTH=450&amp;START_MAXIMIZED=FALSE&amp;VAR:CALENDAR=FIVEDAY&amp;VAR:SYMBOL=BEAV&amp;VAR:INDEX=0"}</definedName>
    <definedName name="_445__FDSAUDITLINK__" hidden="1">{"fdsup://directions/FAT Viewer?action=UPDATE&amp;creator=factset&amp;DYN_ARGS=TRUE&amp;DOC_NAME=FAT:FQL_AUDITING_CLIENT_TEMPLATE.FAT&amp;display_string=Audit&amp;VAR:KEY=PUZEPQHABE&amp;VAR:QUERY=RkZfRU5UUlBSX1ZBTF9EQUlMWSgxMC8yNS8yMDExLCwsLCwnRElMJykgLyBFQ0FfTUVBTl9FQklUKDIwMTIsM","TAvMjUvMjAxMSk=&amp;WINDOW=FIRST_POPUP&amp;HEIGHT=450&amp;WIDTH=450&amp;START_MAXIMIZED=FALSE&amp;VAR:CALENDAR=FIVEDAY&amp;VAR:SYMBOL=BEAV&amp;VAR:INDEX=0"}</definedName>
    <definedName name="_446__FDSAUDITLINK__" hidden="1">{"fdsup://directions/FAT Viewer?action=UPDATE&amp;creator=factset&amp;DYN_ARGS=TRUE&amp;DOC_NAME=FAT:FQL_AUDITING_CLIENT_TEMPLATE.FAT&amp;display_string=Audit&amp;VAR:KEY=HODWHEZEZU&amp;VAR:QUERY=RkZfRU5UUlBSX1ZBTF9EQUlMWSgxMC8yNS8yMDExLCwsLCwnRElMJykgLyBFQ0FfTUVBTl9FQklUKDIwMTEsM","TAvMjUvMjAxMSk=&amp;WINDOW=FIRST_POPUP&amp;HEIGHT=450&amp;WIDTH=450&amp;START_MAXIMIZED=FALSE&amp;VAR:CALENDAR=FIVEDAY&amp;VAR:SYMBOL=BEAV&amp;VAR:INDEX=0"}</definedName>
    <definedName name="_447__FDSAUDITLINK__" hidden="1">{"fdsup://directions/FAT Viewer?action=UPDATE&amp;creator=factset&amp;DYN_ARGS=TRUE&amp;DOC_NAME=FAT:FQL_AUDITING_CLIENT_TEMPLATE.FAT&amp;display_string=Audit&amp;VAR:KEY=VYVSJSTOHU&amp;VAR:QUERY=RkZfRU5UUlBSX1ZBTF9EQUlMWSgxMC8yNS8yMDExLCwsLCwnRElMJykgLyBFQ0FfTUVBTl9FQklUKDIwMTAsM","TAvMjUvMjAxMSk=&amp;WINDOW=FIRST_POPUP&amp;HEIGHT=450&amp;WIDTH=450&amp;START_MAXIMIZED=FALSE&amp;VAR:CALENDAR=FIVEDAY&amp;VAR:SYMBOL=BEAV&amp;VAR:INDEX=0"}</definedName>
    <definedName name="_448__FDSAUDITLINK__" hidden="1">{"fdsup://directions/FAT Viewer?action=UPDATE&amp;creator=factset&amp;DYN_ARGS=TRUE&amp;DOC_NAME=FAT:FQL_AUDITING_CLIENT_TEMPLATE.FAT&amp;display_string=Audit&amp;VAR:KEY=RQJSXSHGFM&amp;VAR:QUERY=RkZfRU5UUlBSX1ZBTF9EQUlMWSgxMC8yNS8yMDExLCwsLCwnRElMJykgLyBFQ0FfTUVBTl9FQklUREEoMjAxM","iwxMC8yNS8yMDExKQ==&amp;WINDOW=FIRST_POPUP&amp;HEIGHT=450&amp;WIDTH=450&amp;START_MAXIMIZED=FALSE&amp;VAR:CALENDAR=FIVEDAY&amp;VAR:SYMBOL=BEAV&amp;VAR:INDEX=0"}</definedName>
    <definedName name="_449__FDSAUDITLINK__" hidden="1">{"fdsup://directions/FAT Viewer?action=UPDATE&amp;creator=factset&amp;DYN_ARGS=TRUE&amp;DOC_NAME=FAT:FQL_AUDITING_CLIENT_TEMPLATE.FAT&amp;display_string=Audit&amp;VAR:KEY=XKDAXCJIXA&amp;VAR:QUERY=RkZfRU5UUlBSX1ZBTF9EQUlMWSgxMC8yNS8yMDExLCwsLCwnRElMJykgLyBFQ0FfTUVBTl9FQklUREEoMjAxM","SwxMC8yNS8yMDExKQ==&amp;WINDOW=FIRST_POPUP&amp;HEIGHT=450&amp;WIDTH=450&amp;START_MAXIMIZED=FALSE&amp;VAR:CALENDAR=FIVEDAY&amp;VAR:SYMBOL=BEAV&amp;VAR:INDEX=0"}</definedName>
    <definedName name="_45__FDSAUDITLINK__" hidden="1">{"fdsup://directions/FAT Viewer?action=UPDATE&amp;creator=factset&amp;DYN_ARGS=TRUE&amp;DOC_NAME=FAT:FQL_AUDITING_CLIENT_TEMPLATE.FAT&amp;display_string=Audit&amp;VAR:KEY=WPGPUVULWR&amp;VAR:QUERY=RkZfRU5UUlBSX1ZBTF9EQUlMWSgwNy8yNi8yMDExLCwsLCwnRElMJykvRUNBX01FQU5fRUJJVERBKDIwMTAsM","DcvMjYvMjAxMSk=&amp;WINDOW=FIRST_POPUP&amp;HEIGHT=450&amp;WIDTH=450&amp;START_MAXIMIZED=FALSE&amp;VAR:CALENDAR=FIVEDAY&amp;VAR:SYMBOL=BEAV&amp;VAR:INDEX=0"}</definedName>
    <definedName name="_450__FDSAUDITLINK__" hidden="1">{"fdsup://directions/FAT Viewer?action=UPDATE&amp;creator=factset&amp;DYN_ARGS=TRUE&amp;DOC_NAME=FAT:FQL_AUDITING_CLIENT_TEMPLATE.FAT&amp;display_string=Audit&amp;VAR:KEY=PYFOXQDEBI&amp;VAR:QUERY=RkZfRU5UUlBSX1ZBTF9EQUlMWSgxMC8yNS8yMDExLCwsLCwnRElMJykgLyBFQ0FfTUVBTl9FQklUREEoMjAxM","CwxMC8yNS8yMDExKQ==&amp;WINDOW=FIRST_POPUP&amp;HEIGHT=450&amp;WIDTH=450&amp;START_MAXIMIZED=FALSE&amp;VAR:CALENDAR=FIVEDAY&amp;VAR:SYMBOL=BEAV&amp;VAR:INDEX=0"}</definedName>
    <definedName name="_451__FDSAUDITLINK__" hidden="1">{"fdsup://directions/FAT Viewer?action=UPDATE&amp;creator=factset&amp;DYN_ARGS=TRUE&amp;DOC_NAME=FAT:FQL_AUDITING_CLIENT_TEMPLATE.FAT&amp;display_string=Audit&amp;VAR:KEY=BITIHQHOZY&amp;VAR:QUERY=RkZfRU5UUlBSX1ZBTF9EQUlMWSgwNS8wNy8yMDEwLCwsLCwnRElMJykvRUNBX01FQU5fU0FMRVMoMjAxMSwwN","S8wNy8yMDEwKQ==&amp;WINDOW=FIRST_POPUP&amp;HEIGHT=450&amp;WIDTH=450&amp;START_MAXIMIZED=FALSE&amp;VAR:CALENDAR=FIVEDAY&amp;VAR:SYMBOL=GD&amp;VAR:INDEX=0"}</definedName>
    <definedName name="_452__FDSAUDITLINK__" hidden="1">{"fdsup://directions/FAT Viewer?action=UPDATE&amp;creator=factset&amp;DYN_ARGS=TRUE&amp;DOC_NAME=FAT:FQL_AUDITING_CLIENT_TEMPLATE.FAT&amp;display_string=Audit&amp;VAR:KEY=HKNQDOXCPM&amp;VAR:QUERY=RkZfRU5UUlBSX1ZBTF9EQUlMWSgwNS8wNy8yMDEwLCwsLCwnRElMJykvRUNBX01FQU5fU0FMRVMoMjAxMCwwN","S8wNy8yMDEwKQ==&amp;WINDOW=FIRST_POPUP&amp;HEIGHT=450&amp;WIDTH=450&amp;START_MAXIMIZED=FALSE&amp;VAR:CALENDAR=FIVEDAY&amp;VAR:SYMBOL=GD&amp;VAR:INDEX=0"}</definedName>
    <definedName name="_453__FDSAUDITLINK__" hidden="1">{"fdsup://directions/FAT Viewer?action=UPDATE&amp;creator=factset&amp;DYN_ARGS=TRUE&amp;DOC_NAME=FAT:FQL_AUDITING_CLIENT_TEMPLATE.FAT&amp;display_string=Audit&amp;VAR:KEY=DYPQHMXUZG&amp;VAR:QUERY=RkZfRU5UUlBSX1ZBTF9EQUlMWSgwNS8wNy8yMDEwLCwsLCwnRElMJykvRUNBX01FQU5fRUJJVCgyMDEyLDA1L","zA3LzIwMTAp&amp;WINDOW=FIRST_POPUP&amp;HEIGHT=450&amp;WIDTH=450&amp;START_MAXIMIZED=FALSE&amp;VAR:CALENDAR=FIVEDAY&amp;VAR:SYMBOL=GD&amp;VAR:INDEX=0"}</definedName>
    <definedName name="_454__FDSAUDITLINK__" hidden="1">{"fdsup://directions/FAT Viewer?action=UPDATE&amp;creator=factset&amp;DYN_ARGS=TRUE&amp;DOC_NAME=FAT:FQL_AUDITING_CLIENT_TEMPLATE.FAT&amp;display_string=Audit&amp;VAR:KEY=XSNCVSPGZG&amp;VAR:QUERY=RkZfRU5UUlBSX1ZBTF9EQUlMWSgwNS8wNy8yMDEwLCwsLCwnRElMJykvRUNBX01FQU5fRUJJVCgyMDExLDA1L","zA3LzIwMTAp&amp;WINDOW=FIRST_POPUP&amp;HEIGHT=450&amp;WIDTH=450&amp;START_MAXIMIZED=FALSE&amp;VAR:CALENDAR=FIVEDAY&amp;VAR:SYMBOL=GD&amp;VAR:INDEX=0"}</definedName>
    <definedName name="_455__FDSAUDITLINK__" hidden="1">{"fdsup://directions/FAT Viewer?action=UPDATE&amp;creator=factset&amp;DYN_ARGS=TRUE&amp;DOC_NAME=FAT:FQL_AUDITING_CLIENT_TEMPLATE.FAT&amp;display_string=Audit&amp;VAR:KEY=BELGZORAFS&amp;VAR:QUERY=RkZfRU5UUlBSX1ZBTF9EQUlMWSgwNS8wNy8yMDEwLCwsLCwnRElMJykvRUNBX01FQU5fRUJJVCgyMDEwLDA1L","zA3LzIwMTAp&amp;WINDOW=FIRST_POPUP&amp;HEIGHT=450&amp;WIDTH=450&amp;START_MAXIMIZED=FALSE&amp;VAR:CALENDAR=FIVEDAY&amp;VAR:SYMBOL=GD&amp;VAR:INDEX=0"}</definedName>
    <definedName name="_456__FDSAUDITLINK__" hidden="1">{"fdsup://directions/FAT Viewer?action=UPDATE&amp;creator=factset&amp;DYN_ARGS=TRUE&amp;DOC_NAME=FAT:FQL_AUDITING_CLIENT_TEMPLATE.FAT&amp;display_string=Audit&amp;VAR:KEY=PQFYRQHMXW&amp;VAR:QUERY=RkZfRU5UUlBSX1ZBTF9EQUlMWSgwNS8wNy8yMDEwLCwsLCwnRElMJykvRUNBX01FQU5fRUJJVERBKDIwMTIsM","DUvMDcvMjAxMCk=&amp;WINDOW=FIRST_POPUP&amp;HEIGHT=450&amp;WIDTH=450&amp;START_MAXIMIZED=FALSE&amp;VAR:CALENDAR=FIVEDAY&amp;VAR:SYMBOL=GD&amp;VAR:INDEX=0"}</definedName>
    <definedName name="_457__FDSAUDITLINK__" hidden="1">{"fdsup://directions/FAT Viewer?action=UPDATE&amp;creator=factset&amp;DYN_ARGS=TRUE&amp;DOC_NAME=FAT:FQL_AUDITING_CLIENT_TEMPLATE.FAT&amp;display_string=Audit&amp;VAR:KEY=DQZKTKJEDM&amp;VAR:QUERY=RkZfRU5UUlBSX1ZBTF9EQUlMWSgwNS8wNy8yMDEwLCwsLCwnRElMJykvRUNBX01FQU5fRUJJVERBKDIwMTEsM","DUvMDcvMjAxMCk=&amp;WINDOW=FIRST_POPUP&amp;HEIGHT=450&amp;WIDTH=450&amp;START_MAXIMIZED=FALSE&amp;VAR:CALENDAR=FIVEDAY&amp;VAR:SYMBOL=GD&amp;VAR:INDEX=0"}</definedName>
    <definedName name="_458__FDSAUDITLINK__" hidden="1">{"fdsup://directions/FAT Viewer?action=UPDATE&amp;creator=factset&amp;DYN_ARGS=TRUE&amp;DOC_NAME=FAT:FQL_AUDITING_CLIENT_TEMPLATE.FAT&amp;display_string=Audit&amp;VAR:KEY=VAVUNSLMFS&amp;VAR:QUERY=RkZfRU5UUlBSX1ZBTF9EQUlMWSgwNS8wNy8yMDEwLCwsLCwnRElMJykvRUNBX01FQU5fRUJJVERBKDIwMTAsM","DUvMDcvMjAxMCk=&amp;WINDOW=FIRST_POPUP&amp;HEIGHT=450&amp;WIDTH=450&amp;START_MAXIMIZED=FALSE&amp;VAR:CALENDAR=FIVEDAY&amp;VAR:SYMBOL=GD&amp;VAR:INDEX=0"}</definedName>
    <definedName name="_459__FDSAUDITLINK__" hidden="1">{"fdsup://directions/FAT Viewer?action=UPDATE&amp;creator=factset&amp;DYN_ARGS=TRUE&amp;DOC_NAME=FAT:FQL_AUDITING_CLIENT_TEMPLATE.FAT&amp;display_string=Audit&amp;VAR:KEY=ZKZIVCJEHS&amp;VAR:QUERY=RkZfRU5UUlBSX1ZBTF9EQUlMWSgwNS8wNy8yMDEwLCwsLCwnRElMJykvRUNBX01FQU5fU0FMRVMoMjAxMiwwN","S8wNy8yMDEwKQ==&amp;WINDOW=FIRST_POPUP&amp;HEIGHT=450&amp;WIDTH=450&amp;START_MAXIMIZED=FALSE&amp;VAR:CALENDAR=FIVEDAY&amp;VAR:SYMBOL=UTX&amp;VAR:INDEX=0"}</definedName>
    <definedName name="_46__FDSAUDITLINK__" hidden="1">{"fdsup://directions/FAT Viewer?action=UPDATE&amp;creator=factset&amp;DYN_ARGS=TRUE&amp;DOC_NAME=FAT:FQL_AUDITING_CLIENT_TEMPLATE.FAT&amp;display_string=Audit&amp;VAR:KEY=IPIPCVMPKT&amp;VAR:QUERY=RkZfRU5UUlBSX1ZBTF9EQUlMWSgxMC8yNy8yMDEwLCwsLCwnRElMJykvRUNBX01FQU5fU0FMRVMoMjAxMiwxM","C8yNy8yMDEwKQ==&amp;WINDOW=FIRST_POPUP&amp;HEIGHT=450&amp;WIDTH=450&amp;START_MAXIMIZED=FALSE&amp;VAR:CALENDAR=US&amp;VAR:SYMBOL=057580&amp;VAR:INDEX=0"}</definedName>
    <definedName name="_460__FDSAUDITLINK__" hidden="1">{"fdsup://directions/FAT Viewer?action=UPDATE&amp;creator=factset&amp;DYN_ARGS=TRUE&amp;DOC_NAME=FAT:FQL_AUDITING_CLIENT_TEMPLATE.FAT&amp;display_string=Audit&amp;VAR:KEY=DWFMNSDYJM&amp;VAR:QUERY=RkZfRU5UUlBSX1ZBTF9EQUlMWSgwNS8wNy8yMDEwLCwsLCwnRElMJykvRUNBX01FQU5fU0FMRVMoMjAxMSwwN","S8wNy8yMDEwKQ==&amp;WINDOW=FIRST_POPUP&amp;HEIGHT=450&amp;WIDTH=450&amp;START_MAXIMIZED=FALSE&amp;VAR:CALENDAR=FIVEDAY&amp;VAR:SYMBOL=UTX&amp;VAR:INDEX=0"}</definedName>
    <definedName name="_461__FDSAUDITLINK__" hidden="1">{"fdsup://directions/FAT Viewer?action=UPDATE&amp;creator=factset&amp;DYN_ARGS=TRUE&amp;DOC_NAME=FAT:FQL_AUDITING_CLIENT_TEMPLATE.FAT&amp;display_string=Audit&amp;VAR:KEY=ZSXKNSJUJO&amp;VAR:QUERY=RkZfRU5UUlBSX1ZBTF9EQUlMWSgwNS8wNy8yMDEwLCwsLCwnRElMJykvRUNBX01FQU5fU0FMRVMoMjAxMCwwN","S8wNy8yMDEwKQ==&amp;WINDOW=FIRST_POPUP&amp;HEIGHT=450&amp;WIDTH=450&amp;START_MAXIMIZED=FALSE&amp;VAR:CALENDAR=FIVEDAY&amp;VAR:SYMBOL=UTX&amp;VAR:INDEX=0"}</definedName>
    <definedName name="_462__FDSAUDITLINK__" hidden="1">{"fdsup://directions/FAT Viewer?action=UPDATE&amp;creator=factset&amp;DYN_ARGS=TRUE&amp;DOC_NAME=FAT:FQL_AUDITING_CLIENT_TEMPLATE.FAT&amp;display_string=Audit&amp;VAR:KEY=TUZCLAXUPA&amp;VAR:QUERY=RkZfRU5UUlBSX1ZBTF9EQUlMWSgwNS8wNy8yMDEwLCwsLCwnRElMJykvRUNBX01FQU5fRUJJVCgyMDEyLDA1L","zA3LzIwMTAp&amp;WINDOW=FIRST_POPUP&amp;HEIGHT=450&amp;WIDTH=450&amp;START_MAXIMIZED=FALSE&amp;VAR:CALENDAR=FIVEDAY&amp;VAR:SYMBOL=UTX&amp;VAR:INDEX=0"}</definedName>
    <definedName name="_463__FDSAUDITLINK__" hidden="1">{"fdsup://directions/FAT Viewer?action=UPDATE&amp;creator=factset&amp;DYN_ARGS=TRUE&amp;DOC_NAME=FAT:FQL_AUDITING_CLIENT_TEMPLATE.FAT&amp;display_string=Audit&amp;VAR:KEY=HMVEPSJWTA&amp;VAR:QUERY=RkZfRU5UUlBSX1ZBTF9EQUlMWSgwNS8wNy8yMDEwLCwsLCwnRElMJykvRUNBX01FQU5fRUJJVCgyMDExLDA1L","zA3LzIwMTAp&amp;WINDOW=FIRST_POPUP&amp;HEIGHT=450&amp;WIDTH=450&amp;START_MAXIMIZED=FALSE&amp;VAR:CALENDAR=FIVEDAY&amp;VAR:SYMBOL=UTX&amp;VAR:INDEX=0"}</definedName>
    <definedName name="_464__FDSAUDITLINK__" hidden="1">{"fdsup://directions/FAT Viewer?action=UPDATE&amp;creator=factset&amp;DYN_ARGS=TRUE&amp;DOC_NAME=FAT:FQL_AUDITING_CLIENT_TEMPLATE.FAT&amp;display_string=Audit&amp;VAR:KEY=ZAXGXAFCDW&amp;VAR:QUERY=RkZfRU5UUlBSX1ZBTF9EQUlMWSgwNS8wNy8yMDEwLCwsLCwnRElMJykvRUNBX01FQU5fRUJJVCgyMDEwLDA1L","zA3LzIwMTAp&amp;WINDOW=FIRST_POPUP&amp;HEIGHT=450&amp;WIDTH=450&amp;START_MAXIMIZED=FALSE&amp;VAR:CALENDAR=FIVEDAY&amp;VAR:SYMBOL=UTX&amp;VAR:INDEX=0"}</definedName>
    <definedName name="_465__FDSAUDITLINK__" hidden="1">{"fdsup://directions/FAT Viewer?action=UPDATE&amp;creator=factset&amp;DYN_ARGS=TRUE&amp;DOC_NAME=FAT:FQL_AUDITING_CLIENT_TEMPLATE.FAT&amp;display_string=Audit&amp;VAR:KEY=HETWNORMXO&amp;VAR:QUERY=RkZfRU5UUlBSX1ZBTF9EQUlMWSgwNS8wNy8yMDEwLCwsLCwnRElMJykvRUNBX01FQU5fRUJJVERBKDIwMTIsM","DUvMDcvMjAxMCk=&amp;WINDOW=FIRST_POPUP&amp;HEIGHT=450&amp;WIDTH=450&amp;START_MAXIMIZED=FALSE&amp;VAR:CALENDAR=FIVEDAY&amp;VAR:SYMBOL=UTX&amp;VAR:INDEX=0"}</definedName>
    <definedName name="_466__FDSAUDITLINK__" hidden="1">{"fdsup://directions/FAT Viewer?action=UPDATE&amp;creator=factset&amp;DYN_ARGS=TRUE&amp;DOC_NAME=FAT:FQL_AUDITING_CLIENT_TEMPLATE.FAT&amp;display_string=Audit&amp;VAR:KEY=TWTKBMLCLK&amp;VAR:QUERY=RkZfRU5UUlBSX1ZBTF9EQUlMWSgwNS8wNy8yMDEwLCwsLCwnRElMJykvRUNBX01FQU5fRUJJVERBKDIwMTEsM","DUvMDcvMjAxMCk=&amp;WINDOW=FIRST_POPUP&amp;HEIGHT=450&amp;WIDTH=450&amp;START_MAXIMIZED=FALSE&amp;VAR:CALENDAR=FIVEDAY&amp;VAR:SYMBOL=UTX&amp;VAR:INDEX=0"}</definedName>
    <definedName name="_467__FDSAUDITLINK__" hidden="1">{"fdsup://directions/FAT Viewer?action=UPDATE&amp;creator=factset&amp;DYN_ARGS=TRUE&amp;DOC_NAME=FAT:FQL_AUDITING_CLIENT_TEMPLATE.FAT&amp;display_string=Audit&amp;VAR:KEY=ZWRCFYXGFK&amp;VAR:QUERY=RkZfRU5UUlBSX1ZBTF9EQUlMWSgwNS8wNy8yMDEwLCwsLCwnRElMJykvRUNBX01FQU5fRUJJVERBKDIwMTAsM","DUvMDcvMjAxMCk=&amp;WINDOW=FIRST_POPUP&amp;HEIGHT=450&amp;WIDTH=450&amp;START_MAXIMIZED=FALSE&amp;VAR:CALENDAR=FIVEDAY&amp;VAR:SYMBOL=UTX&amp;VAR:INDEX=0"}</definedName>
    <definedName name="_468__FDSAUDITLINK__" hidden="1">{"fdsup://directions/FAT Viewer?action=UPDATE&amp;creator=factset&amp;DYN_ARGS=TRUE&amp;DOC_NAME=FAT:FQL_AUDITING_CLIENT_TEMPLATE.FAT&amp;display_string=Audit&amp;VAR:KEY=JQRWVCFKRU&amp;VAR:QUERY=RkZfRU5UUlBSX1ZBTF9EQUlMWSgwNS8yNC8yMDEwLCwsLCwnRElMJykvRUNBX01FQU5fU0FMRVMoMjAxMiwwN","S8yNC8yMDEwKQ==&amp;WINDOW=FIRST_POPUP&amp;HEIGHT=450&amp;WIDTH=450&amp;START_MAXIMIZED=FALSE&amp;VAR:CALENDAR=FIVEDAY&amp;VAR:SYMBOL=BA&amp;VAR:INDEX=0"}</definedName>
    <definedName name="_469__FDSAUDITLINK__" hidden="1">{"fdsup://directions/FAT Viewer?action=UPDATE&amp;creator=factset&amp;DYN_ARGS=TRUE&amp;DOC_NAME=FAT:FQL_AUDITING_CLIENT_TEMPLATE.FAT&amp;display_string=Audit&amp;VAR:KEY=FCJCZMLYDW&amp;VAR:QUERY=RkZfRU5UUlBSX1ZBTF9EQUlMWSgwNS8yNC8yMDEwLCwsLCwnRElMJykvRUNBX01FQU5fU0FMRVMoMjAxMSwwN","S8yNC8yMDEwKQ==&amp;WINDOW=FIRST_POPUP&amp;HEIGHT=450&amp;WIDTH=450&amp;START_MAXIMIZED=FALSE&amp;VAR:CALENDAR=FIVEDAY&amp;VAR:SYMBOL=BA&amp;VAR:INDEX=0"}</definedName>
    <definedName name="_47__FDSAUDITLINK__" hidden="1">{"fdsup://directions/FAT Viewer?action=UPDATE&amp;creator=factset&amp;DYN_ARGS=TRUE&amp;DOC_NAME=FAT:FQL_AUDITING_CLIENT_TEMPLATE.FAT&amp;display_string=Audit&amp;VAR:KEY=IBAJAXKHQD&amp;VAR:QUERY=RkZfRU5UUlBSX1ZBTF9EQUlMWSgxMC8yNy8yMDEwLCwsLCwnRElMJykvRUNBX01FQU5fU0FMRVMoMjAxMSwxM","C8yNy8yMDEwKQ==&amp;WINDOW=FIRST_POPUP&amp;HEIGHT=450&amp;WIDTH=450&amp;START_MAXIMIZED=FALSE&amp;VAR:CALENDAR=US&amp;VAR:SYMBOL=057580&amp;VAR:INDEX=0"}</definedName>
    <definedName name="_470__FDSAUDITLINK__" hidden="1">{"fdsup://directions/FAT Viewer?action=UPDATE&amp;creator=factset&amp;DYN_ARGS=TRUE&amp;DOC_NAME=FAT:FQL_AUDITING_CLIENT_TEMPLATE.FAT&amp;display_string=Audit&amp;VAR:KEY=JARADSZALA&amp;VAR:QUERY=RkZfRU5UUlBSX1ZBTF9EQUlMWSgwNS8yNC8yMDEwLCwsLCwnRElMJykvRUNBX01FQU5fU0FMRVMoMjAxMCwwN","S8yNC8yMDEwKQ==&amp;WINDOW=FIRST_POPUP&amp;HEIGHT=450&amp;WIDTH=450&amp;START_MAXIMIZED=FALSE&amp;VAR:CALENDAR=FIVEDAY&amp;VAR:SYMBOL=BA&amp;VAR:INDEX=0"}</definedName>
    <definedName name="_471__FDSAUDITLINK__" hidden="1">{"fdsup://directions/FAT Viewer?action=UPDATE&amp;creator=factset&amp;DYN_ARGS=TRUE&amp;DOC_NAME=FAT:FQL_AUDITING_CLIENT_TEMPLATE.FAT&amp;display_string=Audit&amp;VAR:KEY=XKVCJYJABC&amp;VAR:QUERY=RkZfRU5UUlBSX1ZBTF9EQUlMWSgwNS8yNC8yMDEwLCwsLCwnRElMJykvRUNBX01FQU5fRUJJVCgyMDEyLDA1L","zI0LzIwMTAp&amp;WINDOW=FIRST_POPUP&amp;HEIGHT=450&amp;WIDTH=450&amp;START_MAXIMIZED=FALSE&amp;VAR:CALENDAR=FIVEDAY&amp;VAR:SYMBOL=BA&amp;VAR:INDEX=0"}</definedName>
    <definedName name="_472__FDSAUDITLINK__" hidden="1">{"fdsup://directions/FAT Viewer?action=UPDATE&amp;creator=factset&amp;DYN_ARGS=TRUE&amp;DOC_NAME=FAT:FQL_AUDITING_CLIENT_TEMPLATE.FAT&amp;display_string=Audit&amp;VAR:KEY=XWDWZGXQXS&amp;VAR:QUERY=RkZfRU5UUlBSX1ZBTF9EQUlMWSgwNS8yNC8yMDEwLCwsLCwnRElMJykvRUNBX01FQU5fRUJJVCgyMDExLDA1L","zI0LzIwMTAp&amp;WINDOW=FIRST_POPUP&amp;HEIGHT=450&amp;WIDTH=450&amp;START_MAXIMIZED=FALSE&amp;VAR:CALENDAR=FIVEDAY&amp;VAR:SYMBOL=BA&amp;VAR:INDEX=0"}</definedName>
    <definedName name="_473__FDSAUDITLINK__" hidden="1">{"fdsup://directions/FAT Viewer?action=UPDATE&amp;creator=factset&amp;DYN_ARGS=TRUE&amp;DOC_NAME=FAT:FQL_AUDITING_CLIENT_TEMPLATE.FAT&amp;display_string=Audit&amp;VAR:KEY=DIVEFIDORQ&amp;VAR:QUERY=RkZfRU5UUlBSX1ZBTF9EQUlMWSgwNS8yNC8yMDEwLCwsLCwnRElMJykvRUNBX01FQU5fRUJJVCgyMDEwLDA1L","zI0LzIwMTAp&amp;WINDOW=FIRST_POPUP&amp;HEIGHT=450&amp;WIDTH=450&amp;START_MAXIMIZED=FALSE&amp;VAR:CALENDAR=FIVEDAY&amp;VAR:SYMBOL=BA&amp;VAR:INDEX=0"}</definedName>
    <definedName name="_474__FDSAUDITLINK__" hidden="1">{"fdsup://directions/FAT Viewer?action=UPDATE&amp;creator=factset&amp;DYN_ARGS=TRUE&amp;DOC_NAME=FAT:FQL_AUDITING_CLIENT_TEMPLATE.FAT&amp;display_string=Audit&amp;VAR:KEY=FIFALQFUVE&amp;VAR:QUERY=RkZfRU5UUlBSX1ZBTF9EQUlMWSgwNS8yNC8yMDEwLCwsLCwnRElMJykvRUNBX01FQU5fRUJJVERBKDIwMTIsM","DUvMjQvMjAxMCk=&amp;WINDOW=FIRST_POPUP&amp;HEIGHT=450&amp;WIDTH=450&amp;START_MAXIMIZED=FALSE&amp;VAR:CALENDAR=FIVEDAY&amp;VAR:SYMBOL=BA&amp;VAR:INDEX=0"}</definedName>
    <definedName name="_475__FDSAUDITLINK__" hidden="1">{"fdsup://directions/FAT Viewer?action=UPDATE&amp;creator=factset&amp;DYN_ARGS=TRUE&amp;DOC_NAME=FAT:FQL_AUDITING_CLIENT_TEMPLATE.FAT&amp;display_string=Audit&amp;VAR:KEY=JGLONGZIVO&amp;VAR:QUERY=RkZfRU5UUlBSX1ZBTF9EQUlMWSgwNS8yNC8yMDEwLCwsLCwnRElMJykvRUNBX01FQU5fRUJJVERBKDIwMTEsM","DUvMjQvMjAxMCk=&amp;WINDOW=FIRST_POPUP&amp;HEIGHT=450&amp;WIDTH=450&amp;START_MAXIMIZED=FALSE&amp;VAR:CALENDAR=FIVEDAY&amp;VAR:SYMBOL=BA&amp;VAR:INDEX=0"}</definedName>
    <definedName name="_476__FDSAUDITLINK__" hidden="1">{"fdsup://directions/FAT Viewer?action=UPDATE&amp;creator=factset&amp;DYN_ARGS=TRUE&amp;DOC_NAME=FAT:FQL_AUDITING_CLIENT_TEMPLATE.FAT&amp;display_string=Audit&amp;VAR:KEY=JEHIFGLYDA&amp;VAR:QUERY=RkZfRU5UUlBSX1ZBTF9EQUlMWSgwNS8yNC8yMDEwLCwsLCwnRElMJykvRUNBX01FQU5fRUJJVERBKDIwMTAsM","DUvMjQvMjAxMCk=&amp;WINDOW=FIRST_POPUP&amp;HEIGHT=450&amp;WIDTH=450&amp;START_MAXIMIZED=FALSE&amp;VAR:CALENDAR=FIVEDAY&amp;VAR:SYMBOL=BA&amp;VAR:INDEX=0"}</definedName>
    <definedName name="_477__FDSAUDITLINK__" hidden="1">{"fdsup://directions/FAT Viewer?action=UPDATE&amp;creator=factset&amp;DYN_ARGS=TRUE&amp;DOC_NAME=FAT:FQL_AUDITING_CLIENT_TEMPLATE.FAT&amp;display_string=Audit&amp;VAR:KEY=FSHCTKHERS&amp;VAR:QUERY=RkZfRU5UUlBSX1ZBTF9EQUlMWSgwNS8yNC8yMDEwLCwsLCwnRElMJykvRUNBX01FQU5fU0FMRVMoMjAxMiwwN","S8yNC8yMDEwKQ==&amp;WINDOW=FIRST_POPUP&amp;HEIGHT=450&amp;WIDTH=450&amp;START_MAXIMIZED=FALSE&amp;VAR:CALENDAR=FIVEDAY&amp;VAR:SYMBOL=GD&amp;VAR:INDEX=0"}</definedName>
    <definedName name="_478__FDSAUDITLINK__" hidden="1">{"fdsup://directions/FAT Viewer?action=UPDATE&amp;creator=factset&amp;DYN_ARGS=TRUE&amp;DOC_NAME=FAT:FQL_AUDITING_CLIENT_TEMPLATE.FAT&amp;display_string=Audit&amp;VAR:KEY=XUBCXAZIVW&amp;VAR:QUERY=RkZfRU5UUlBSX1ZBTF9EQUlMWSgwNS8yNC8yMDEwLCwsLCwnRElMJykvRUNBX01FQU5fU0FMRVMoMjAxMSwwN","S8yNC8yMDEwKQ==&amp;WINDOW=FIRST_POPUP&amp;HEIGHT=450&amp;WIDTH=450&amp;START_MAXIMIZED=FALSE&amp;VAR:CALENDAR=FIVEDAY&amp;VAR:SYMBOL=GD&amp;VAR:INDEX=0"}</definedName>
    <definedName name="_479__FDSAUDITLINK__" hidden="1">{"fdsup://directions/FAT Viewer?action=UPDATE&amp;creator=factset&amp;DYN_ARGS=TRUE&amp;DOC_NAME=FAT:FQL_AUDITING_CLIENT_TEMPLATE.FAT&amp;display_string=Audit&amp;VAR:KEY=LUPSRUHYLK&amp;VAR:QUERY=RkZfRU5UUlBSX1ZBTF9EQUlMWSgwNS8yNC8yMDEwLCwsLCwnRElMJykvRUNBX01FQU5fU0FMRVMoMjAxMCwwN","S8yNC8yMDEwKQ==&amp;WINDOW=FIRST_POPUP&amp;HEIGHT=450&amp;WIDTH=450&amp;START_MAXIMIZED=FALSE&amp;VAR:CALENDAR=FIVEDAY&amp;VAR:SYMBOL=GD&amp;VAR:INDEX=0"}</definedName>
    <definedName name="_48__FDSAUDITLINK__" hidden="1">{"fdsup://directions/FAT Viewer?action=UPDATE&amp;creator=factset&amp;DYN_ARGS=TRUE&amp;DOC_NAME=FAT:FQL_AUDITING_CLIENT_TEMPLATE.FAT&amp;display_string=Audit&amp;VAR:KEY=CRMRQVORCB&amp;VAR:QUERY=RkZfRU5UUlBSX1ZBTF9EQUlMWSgxMC8yNy8yMDEwLCwsLCwnRElMJykvRUNBX01FQU5fU0FMRVMoMjAxMCwxM","C8yNy8yMDEwKQ==&amp;WINDOW=FIRST_POPUP&amp;HEIGHT=450&amp;WIDTH=450&amp;START_MAXIMIZED=FALSE&amp;VAR:CALENDAR=US&amp;VAR:SYMBOL=057580&amp;VAR:INDEX=0"}</definedName>
    <definedName name="_480__FDSAUDITLINK__" hidden="1">{"fdsup://directions/FAT Viewer?action=UPDATE&amp;creator=factset&amp;DYN_ARGS=TRUE&amp;DOC_NAME=FAT:FQL_AUDITING_CLIENT_TEMPLATE.FAT&amp;display_string=Audit&amp;VAR:KEY=HYJUVSVCHA&amp;VAR:QUERY=RkZfRU5UUlBSX1ZBTF9EQUlMWSgwNS8yNC8yMDEwLCwsLCwnRElMJykvRUNBX01FQU5fRUJJVCgyMDEyLDA1L","zI0LzIwMTAp&amp;WINDOW=FIRST_POPUP&amp;HEIGHT=450&amp;WIDTH=450&amp;START_MAXIMIZED=FALSE&amp;VAR:CALENDAR=FIVEDAY&amp;VAR:SYMBOL=GD&amp;VAR:INDEX=0"}</definedName>
    <definedName name="_481__FDSAUDITLINK__" hidden="1">{"fdsup://directions/FAT Viewer?action=UPDATE&amp;creator=factset&amp;DYN_ARGS=TRUE&amp;DOC_NAME=FAT:FQL_AUDITING_CLIENT_TEMPLATE.FAT&amp;display_string=Audit&amp;VAR:KEY=RORYHYVSDM&amp;VAR:QUERY=RkZfRU5UUlBSX1ZBTF9EQUlMWSgwNS8yNC8yMDEwLCwsLCwnRElMJykvRUNBX01FQU5fRUJJVCgyMDExLDA1L","zI0LzIwMTAp&amp;WINDOW=FIRST_POPUP&amp;HEIGHT=450&amp;WIDTH=450&amp;START_MAXIMIZED=FALSE&amp;VAR:CALENDAR=FIVEDAY&amp;VAR:SYMBOL=GD&amp;VAR:INDEX=0"}</definedName>
    <definedName name="_482__FDSAUDITLINK__" hidden="1">{"fdsup://directions/FAT Viewer?action=UPDATE&amp;creator=factset&amp;DYN_ARGS=TRUE&amp;DOC_NAME=FAT:FQL_AUDITING_CLIENT_TEMPLATE.FAT&amp;display_string=Audit&amp;VAR:KEY=XKVURUPIXC&amp;VAR:QUERY=RkZfRU5UUlBSX1ZBTF9EQUlMWSgwNS8yNC8yMDEwLCwsLCwnRElMJykvRUNBX01FQU5fRUJJVCgyMDEwLDA1L","zI0LzIwMTAp&amp;WINDOW=FIRST_POPUP&amp;HEIGHT=450&amp;WIDTH=450&amp;START_MAXIMIZED=FALSE&amp;VAR:CALENDAR=FIVEDAY&amp;VAR:SYMBOL=GD&amp;VAR:INDEX=0"}</definedName>
    <definedName name="_483__FDSAUDITLINK__" hidden="1">{"fdsup://directions/FAT Viewer?action=UPDATE&amp;creator=factset&amp;DYN_ARGS=TRUE&amp;DOC_NAME=FAT:FQL_AUDITING_CLIENT_TEMPLATE.FAT&amp;display_string=Audit&amp;VAR:KEY=BYLGZMFORU&amp;VAR:QUERY=RkZfRU5UUlBSX1ZBTF9EQUlMWSgwNS8yNC8yMDEwLCwsLCwnRElMJykvRUNBX01FQU5fRUJJVERBKDIwMTIsM","DUvMjQvMjAxMCk=&amp;WINDOW=FIRST_POPUP&amp;HEIGHT=450&amp;WIDTH=450&amp;START_MAXIMIZED=FALSE&amp;VAR:CALENDAR=FIVEDAY&amp;VAR:SYMBOL=GD&amp;VAR:INDEX=0"}</definedName>
    <definedName name="_484__FDSAUDITLINK__" hidden="1">{"fdsup://directions/FAT Viewer?action=UPDATE&amp;creator=factset&amp;DYN_ARGS=TRUE&amp;DOC_NAME=FAT:FQL_AUDITING_CLIENT_TEMPLATE.FAT&amp;display_string=Audit&amp;VAR:KEY=HQXKDININU&amp;VAR:QUERY=RkZfRU5UUlBSX1ZBTF9EQUlMWSgwNS8yNC8yMDEwLCwsLCwnRElMJykvRUNBX01FQU5fRUJJVERBKDIwMTEsM","DUvMjQvMjAxMCk=&amp;WINDOW=FIRST_POPUP&amp;HEIGHT=450&amp;WIDTH=450&amp;START_MAXIMIZED=FALSE&amp;VAR:CALENDAR=FIVEDAY&amp;VAR:SYMBOL=GD&amp;VAR:INDEX=0"}</definedName>
    <definedName name="_485__FDSAUDITLINK__" hidden="1">{"fdsup://directions/FAT Viewer?action=UPDATE&amp;creator=factset&amp;DYN_ARGS=TRUE&amp;DOC_NAME=FAT:FQL_AUDITING_CLIENT_TEMPLATE.FAT&amp;display_string=Audit&amp;VAR:KEY=JAVEVMJIVC&amp;VAR:QUERY=RkZfRU5UUlBSX1ZBTF9EQUlMWSgwNS8yNC8yMDEwLCwsLCwnRElMJykvRUNBX01FQU5fRUJJVERBKDIwMTAsM","DUvMjQvMjAxMCk=&amp;WINDOW=FIRST_POPUP&amp;HEIGHT=450&amp;WIDTH=450&amp;START_MAXIMIZED=FALSE&amp;VAR:CALENDAR=FIVEDAY&amp;VAR:SYMBOL=GD&amp;VAR:INDEX=0"}</definedName>
    <definedName name="_486__FDSAUDITLINK__" hidden="1">{"fdsup://directions/FAT Viewer?action=UPDATE&amp;creator=factset&amp;DYN_ARGS=TRUE&amp;DOC_NAME=FAT:FQL_AUDITING_CLIENT_TEMPLATE.FAT&amp;display_string=Audit&amp;VAR:KEY=HULUTOPEPC&amp;VAR:QUERY=RkZfRU5UUlBSX1ZBTF9EQUlMWSgwNS8yNC8yMDEwLCwsLCwnRElMJykvRUNBX01FQU5fU0FMRVMoMjAxMiwwN","S8yNC8yMDEwKQ==&amp;WINDOW=FIRST_POPUP&amp;HEIGHT=450&amp;WIDTH=450&amp;START_MAXIMIZED=FALSE&amp;VAR:CALENDAR=FIVEDAY&amp;VAR:SYMBOL=UTX&amp;VAR:INDEX=0"}</definedName>
    <definedName name="_487__FDSAUDITLINK__" hidden="1">{"fdsup://directions/FAT Viewer?action=UPDATE&amp;creator=factset&amp;DYN_ARGS=TRUE&amp;DOC_NAME=FAT:FQL_AUDITING_CLIENT_TEMPLATE.FAT&amp;display_string=Audit&amp;VAR:KEY=TIXQHADAPA&amp;VAR:QUERY=RkZfRU5UUlBSX1ZBTF9EQUlMWSgwNS8yNC8yMDEwLCwsLCwnRElMJykvRUNBX01FQU5fU0FMRVMoMjAxMSwwN","S8yNC8yMDEwKQ==&amp;WINDOW=FIRST_POPUP&amp;HEIGHT=450&amp;WIDTH=450&amp;START_MAXIMIZED=FALSE&amp;VAR:CALENDAR=FIVEDAY&amp;VAR:SYMBOL=UTX&amp;VAR:INDEX=0"}</definedName>
    <definedName name="_488__FDSAUDITLINK__" hidden="1">{"fdsup://directions/FAT Viewer?action=UPDATE&amp;creator=factset&amp;DYN_ARGS=TRUE&amp;DOC_NAME=FAT:FQL_AUDITING_CLIENT_TEMPLATE.FAT&amp;display_string=Audit&amp;VAR:KEY=HEBCZWZOBK&amp;VAR:QUERY=RkZfRU5UUlBSX1ZBTF9EQUlMWSgwNS8yNC8yMDEwLCwsLCwnRElMJykvRUNBX01FQU5fU0FMRVMoMjAxMCwwN","S8yNC8yMDEwKQ==&amp;WINDOW=FIRST_POPUP&amp;HEIGHT=450&amp;WIDTH=450&amp;START_MAXIMIZED=FALSE&amp;VAR:CALENDAR=FIVEDAY&amp;VAR:SYMBOL=UTX&amp;VAR:INDEX=0"}</definedName>
    <definedName name="_489__FDSAUDITLINK__" hidden="1">{"fdsup://directions/FAT Viewer?action=UPDATE&amp;creator=factset&amp;DYN_ARGS=TRUE&amp;DOC_NAME=FAT:FQL_AUDITING_CLIENT_TEMPLATE.FAT&amp;display_string=Audit&amp;VAR:KEY=HGDUVIHYTU&amp;VAR:QUERY=RkZfRU5UUlBSX1ZBTF9EQUlMWSgwNS8yNC8yMDEwLCwsLCwnRElMJykvRUNBX01FQU5fRUJJVCgyMDEyLDA1L","zI0LzIwMTAp&amp;WINDOW=FIRST_POPUP&amp;HEIGHT=450&amp;WIDTH=450&amp;START_MAXIMIZED=FALSE&amp;VAR:CALENDAR=FIVEDAY&amp;VAR:SYMBOL=UTX&amp;VAR:INDEX=0"}</definedName>
    <definedName name="_49__FDSAUDITLINK__" hidden="1">{"fdsup://directions/FAT Viewer?action=UPDATE&amp;creator=factset&amp;DYN_ARGS=TRUE&amp;DOC_NAME=FAT:FQL_AUDITING_CLIENT_TEMPLATE.FAT&amp;display_string=Audit&amp;VAR:KEY=CNGFSPMHQN&amp;VAR:QUERY=RkZfRU5UUlBSX1ZBTF9EQUlMWSgxMC8yNy8yMDEwLCwsLCwnRElMJykvRUNBX01FQU5fRUJJVCgyMDEyLDEwL","zI3LzIwMTAp&amp;WINDOW=FIRST_POPUP&amp;HEIGHT=450&amp;WIDTH=450&amp;START_MAXIMIZED=FALSE&amp;VAR:CALENDAR=US&amp;VAR:SYMBOL=057580&amp;VAR:INDEX=0"}</definedName>
    <definedName name="_490__FDSAUDITLINK__" hidden="1">{"fdsup://directions/FAT Viewer?action=UPDATE&amp;creator=factset&amp;DYN_ARGS=TRUE&amp;DOC_NAME=FAT:FQL_AUDITING_CLIENT_TEMPLATE.FAT&amp;display_string=Audit&amp;VAR:KEY=PSFUFQVAXS&amp;VAR:QUERY=RkZfRU5UUlBSX1ZBTF9EQUlMWSgwNS8yNC8yMDEwLCwsLCwnRElMJykvRUNBX01FQU5fRUJJVCgyMDExLDA1L","zI0LzIwMTAp&amp;WINDOW=FIRST_POPUP&amp;HEIGHT=450&amp;WIDTH=450&amp;START_MAXIMIZED=FALSE&amp;VAR:CALENDAR=FIVEDAY&amp;VAR:SYMBOL=UTX&amp;VAR:INDEX=0"}</definedName>
    <definedName name="_491__FDSAUDITLINK__" hidden="1">{"fdsup://directions/FAT Viewer?action=UPDATE&amp;creator=factset&amp;DYN_ARGS=TRUE&amp;DOC_NAME=FAT:FQL_AUDITING_CLIENT_TEMPLATE.FAT&amp;display_string=Audit&amp;VAR:KEY=NGPYZKJQPI&amp;VAR:QUERY=RkZfRU5UUlBSX1ZBTF9EQUlMWSgwNS8yNC8yMDEwLCwsLCwnRElMJykvRUNBX01FQU5fRUJJVCgyMDEwLDA1L","zI0LzIwMTAp&amp;WINDOW=FIRST_POPUP&amp;HEIGHT=450&amp;WIDTH=450&amp;START_MAXIMIZED=FALSE&amp;VAR:CALENDAR=FIVEDAY&amp;VAR:SYMBOL=UTX&amp;VAR:INDEX=0"}</definedName>
    <definedName name="_492__FDSAUDITLINK__" hidden="1">{"fdsup://directions/FAT Viewer?action=UPDATE&amp;creator=factset&amp;DYN_ARGS=TRUE&amp;DOC_NAME=FAT:FQL_AUDITING_CLIENT_TEMPLATE.FAT&amp;display_string=Audit&amp;VAR:KEY=TYHOVSNGLW&amp;VAR:QUERY=RkZfRU5UUlBSX1ZBTF9EQUlMWSgwNS8yNC8yMDEwLCwsLCwnRElMJykvRUNBX01FQU5fRUJJVERBKDIwMTIsM","DUvMjQvMjAxMCk=&amp;WINDOW=FIRST_POPUP&amp;HEIGHT=450&amp;WIDTH=450&amp;START_MAXIMIZED=FALSE&amp;VAR:CALENDAR=FIVEDAY&amp;VAR:SYMBOL=UTX&amp;VAR:INDEX=0"}</definedName>
    <definedName name="_493__FDSAUDITLINK__" hidden="1">{"fdsup://directions/FAT Viewer?action=UPDATE&amp;creator=factset&amp;DYN_ARGS=TRUE&amp;DOC_NAME=FAT:FQL_AUDITING_CLIENT_TEMPLATE.FAT&amp;display_string=Audit&amp;VAR:KEY=TMPOHCBYFM&amp;VAR:QUERY=RkZfRU5UUlBSX1ZBTF9EQUlMWSgwNS8yNC8yMDEwLCwsLCwnRElMJykvRUNBX01FQU5fRUJJVERBKDIwMTEsM","DUvMjQvMjAxMCk=&amp;WINDOW=FIRST_POPUP&amp;HEIGHT=450&amp;WIDTH=450&amp;START_MAXIMIZED=FALSE&amp;VAR:CALENDAR=FIVEDAY&amp;VAR:SYMBOL=UTX&amp;VAR:INDEX=0"}</definedName>
    <definedName name="_494__FDSAUDITLINK__" hidden="1">{"fdsup://directions/FAT Viewer?action=UPDATE&amp;creator=factset&amp;DYN_ARGS=TRUE&amp;DOC_NAME=FAT:FQL_AUDITING_CLIENT_TEMPLATE.FAT&amp;display_string=Audit&amp;VAR:KEY=BUFSJEXQBK&amp;VAR:QUERY=RkZfRU5UUlBSX1ZBTF9EQUlMWSgwNS8yNC8yMDEwLCwsLCwnRElMJykvRUNBX01FQU5fRUJJVERBKDIwMTAsM","DUvMjQvMjAxMCk=&amp;WINDOW=FIRST_POPUP&amp;HEIGHT=450&amp;WIDTH=450&amp;START_MAXIMIZED=FALSE&amp;VAR:CALENDAR=FIVEDAY&amp;VAR:SYMBOL=UTX&amp;VAR:INDEX=0"}</definedName>
    <definedName name="_495__FDSAUDITLINK__" hidden="1">{"fdsup://directions/FAT Viewer?action=UPDATE&amp;creator=factset&amp;DYN_ARGS=TRUE&amp;DOC_NAME=FAT:FQL_AUDITING_CLIENT_TEMPLATE.FAT&amp;display_string=Audit&amp;VAR:KEY=SJKVGZKVML&amp;VAR:QUERY=RkZfRU5UUlBSX1ZBTF9EQUlMWSgwNy8yMS8yMDEwLCwsLCwnRElMJykvRUNBX01FQU5fU0FMRVMoMjAxMiwwN","y8yMS8yMDEwKQ==&amp;WINDOW=FIRST_POPUP&amp;HEIGHT=450&amp;WIDTH=450&amp;START_MAXIMIZED=FALSE&amp;VAR:CALENDAR=US&amp;VAR:SYMBOL=BA&amp;VAR:INDEX=0"}</definedName>
    <definedName name="_496__FDSAUDITLINK__" hidden="1">{"fdsup://directions/FAT Viewer?action=UPDATE&amp;creator=factset&amp;DYN_ARGS=TRUE&amp;DOC_NAME=FAT:FQL_AUDITING_CLIENT_TEMPLATE.FAT&amp;display_string=Audit&amp;VAR:KEY=QZMHQRIDCR&amp;VAR:QUERY=RkZfRU5UUlBSX1ZBTF9EQUlMWSgwNy8yMS8yMDEwLCwsLCwnRElMJykvRUNBX01FQU5fU0FMRVMoMjAxMSwwN","y8yMS8yMDEwKQ==&amp;WINDOW=FIRST_POPUP&amp;HEIGHT=450&amp;WIDTH=450&amp;START_MAXIMIZED=FALSE&amp;VAR:CALENDAR=US&amp;VAR:SYMBOL=BA&amp;VAR:INDEX=0"}</definedName>
    <definedName name="_497__FDSAUDITLINK__" hidden="1">{"fdsup://directions/FAT Viewer?action=UPDATE&amp;creator=factset&amp;DYN_ARGS=TRUE&amp;DOC_NAME=FAT:FQL_AUDITING_CLIENT_TEMPLATE.FAT&amp;display_string=Audit&amp;VAR:KEY=GLQNKLQDIV&amp;VAR:QUERY=RkZfRU5UUlBSX1ZBTF9EQUlMWSgwNy8yMS8yMDEwLCwsLCwnRElMJykvRUNBX01FQU5fU0FMRVMoMjAxMCwwN","y8yMS8yMDEwKQ==&amp;WINDOW=FIRST_POPUP&amp;HEIGHT=450&amp;WIDTH=450&amp;START_MAXIMIZED=FALSE&amp;VAR:CALENDAR=US&amp;VAR:SYMBOL=BA&amp;VAR:INDEX=0"}</definedName>
    <definedName name="_498__FDSAUDITLINK__" hidden="1">{"fdsup://directions/FAT Viewer?action=UPDATE&amp;creator=factset&amp;DYN_ARGS=TRUE&amp;DOC_NAME=FAT:FQL_AUDITING_CLIENT_TEMPLATE.FAT&amp;display_string=Audit&amp;VAR:KEY=QFKJARWDMT&amp;VAR:QUERY=RkZfRU5UUlBSX1ZBTF9EQUlMWSgwNy8yMS8yMDEwLCwsLCwnRElMJykvRUNBX01FQU5fRUJJVCgyMDEyLDA3L","zIxLzIwMTAp&amp;WINDOW=FIRST_POPUP&amp;HEIGHT=450&amp;WIDTH=450&amp;START_MAXIMIZED=FALSE&amp;VAR:CALENDAR=US&amp;VAR:SYMBOL=BA&amp;VAR:INDEX=0"}</definedName>
    <definedName name="_499__FDSAUDITLINK__" hidden="1">{"fdsup://directions/FAT Viewer?action=UPDATE&amp;creator=factset&amp;DYN_ARGS=TRUE&amp;DOC_NAME=FAT:FQL_AUDITING_CLIENT_TEMPLATE.FAT&amp;display_string=Audit&amp;VAR:KEY=QZYLUDKVMH&amp;VAR:QUERY=RkZfRU5UUlBSX1ZBTF9EQUlMWSgwNy8yMS8yMDEwLCwsLCwnRElMJykvRUNBX01FQU5fRUJJVCgyMDExLDA3L","zIxLzIwMTAp&amp;WINDOW=FIRST_POPUP&amp;HEIGHT=450&amp;WIDTH=450&amp;START_MAXIMIZED=FALSE&amp;VAR:CALENDAR=US&amp;VAR:SYMBOL=BA&amp;VAR:INDEX=0"}</definedName>
    <definedName name="_4Q00">[3]WY!$BE$2:$BE$1044</definedName>
    <definedName name="_4Q01">[3]WY!$AY$2:$AY$1044</definedName>
    <definedName name="_4Q02">[3]WY!$AS$2:$AS$1044</definedName>
    <definedName name="_4Q03">[3]WY!$AL$2:$AL$1044</definedName>
    <definedName name="_4Q91">[3]WY!$DG$2:$DG$1044</definedName>
    <definedName name="_4Q92">[3]WY!$DA$2:$DA$1044</definedName>
    <definedName name="_4Q93">[3]WY!$CU$2:$CU$1044</definedName>
    <definedName name="_4Q94">[3]WY!$CO$2:$CO$1044</definedName>
    <definedName name="_4Q95">[3]WY!$CI$2:$CI$1044</definedName>
    <definedName name="_4Q96">[3]WY!$CC$2:$CC$1044</definedName>
    <definedName name="_4Q97">[3]WY!$BW$2:$BW$1044</definedName>
    <definedName name="_4Q98">[3]WY!$BQ$2:$BQ$1044</definedName>
    <definedName name="_4Q99">[3]WY!$BK$2:$BK$1044</definedName>
    <definedName name="_5__123Graph_Aｸﾞﾗﾌ_1" hidden="1">[2]ｾｸﾞﾒﾝﾄ!$E$164:$I$164</definedName>
    <definedName name="_5__123Graph_Dｸﾞﾗﾌ_1" hidden="1">[2]ｾｸﾞﾒﾝﾄ!$E$167:$I$167</definedName>
    <definedName name="_5__FDSAUDITLINK__" hidden="1">{"fdsup://directions/FAT Viewer?action=UPDATE&amp;creator=factset&amp;DYN_ARGS=TRUE&amp;DOC_NAME=FAT:FQL_AUDITING_CLIENT_TEMPLATE.FAT&amp;display_string=Audit&amp;VAR:KEY=SVSHUNMTQH&amp;VAR:QUERY=RkZfRU5UUlBSX1ZBTF9EQUlMWSgwNy8yNi8yMDExLCwsLCwnRElMJykvRUNBX01FQU5fRUJJVCgyMDExLDA3L","zI2LzIwMTEp&amp;WINDOW=FIRST_POPUP&amp;HEIGHT=450&amp;WIDTH=450&amp;START_MAXIMIZED=FALSE&amp;VAR:CALENDAR=FIVEDAY&amp;VAR:SYMBOL=057580&amp;VAR:INDEX=0"}</definedName>
    <definedName name="_50__FDSAUDITLINK__" hidden="1">{"fdsup://directions/FAT Viewer?action=UPDATE&amp;creator=factset&amp;DYN_ARGS=TRUE&amp;DOC_NAME=FAT:FQL_AUDITING_CLIENT_TEMPLATE.FAT&amp;display_string=Audit&amp;VAR:KEY=CTOZOVOTUF&amp;VAR:QUERY=RkZfRU5UUlBSX1ZBTF9EQUlMWSgxMC8yNy8yMDEwLCwsLCwnRElMJykvRUNBX01FQU5fRUJJVCgyMDExLDEwL","zI3LzIwMTAp&amp;WINDOW=FIRST_POPUP&amp;HEIGHT=450&amp;WIDTH=450&amp;START_MAXIMIZED=FALSE&amp;VAR:CALENDAR=US&amp;VAR:SYMBOL=057580&amp;VAR:INDEX=0"}</definedName>
    <definedName name="_500__FDSAUDITLINK__" hidden="1">{"fdsup://directions/FAT Viewer?action=UPDATE&amp;creator=factset&amp;DYN_ARGS=TRUE&amp;DOC_NAME=FAT:FQL_AUDITING_CLIENT_TEMPLATE.FAT&amp;display_string=Audit&amp;VAR:KEY=KRGFEJQBGZ&amp;VAR:QUERY=RkZfRU5UUlBSX1ZBTF9EQUlMWSgwNy8yMS8yMDEwLCwsLCwnRElMJykvRUNBX01FQU5fRUJJVCgyMDEwLDA3L","zIxLzIwMTAp&amp;WINDOW=FIRST_POPUP&amp;HEIGHT=450&amp;WIDTH=450&amp;START_MAXIMIZED=FALSE&amp;VAR:CALENDAR=US&amp;VAR:SYMBOL=BA&amp;VAR:INDEX=0"}</definedName>
    <definedName name="_501__FDSAUDITLINK__" hidden="1">{"fdsup://directions/FAT Viewer?action=UPDATE&amp;creator=factset&amp;DYN_ARGS=TRUE&amp;DOC_NAME=FAT:FQL_AUDITING_CLIENT_TEMPLATE.FAT&amp;display_string=Audit&amp;VAR:KEY=ALWZKVKNKH&amp;VAR:QUERY=RkZfRU5UUlBSX1ZBTF9EQUlMWSgwNy8yMS8yMDEwLCwsLCwnRElMJykvRUNBX01FQU5fRUJJVERBKDIwMTIsM","DcvMjEvMjAxMCk=&amp;WINDOW=FIRST_POPUP&amp;HEIGHT=450&amp;WIDTH=450&amp;START_MAXIMIZED=FALSE&amp;VAR:CALENDAR=US&amp;VAR:SYMBOL=BA&amp;VAR:INDEX=0"}</definedName>
    <definedName name="_502__FDSAUDITLINK__" hidden="1">{"fdsup://directions/FAT Viewer?action=UPDATE&amp;creator=factset&amp;DYN_ARGS=TRUE&amp;DOC_NAME=FAT:FQL_AUDITING_CLIENT_TEMPLATE.FAT&amp;display_string=Audit&amp;VAR:KEY=EVQTSHYLCZ&amp;VAR:QUERY=RkZfRU5UUlBSX1ZBTF9EQUlMWSgwNy8yMS8yMDEwLCwsLCwnRElMJykvRUNBX01FQU5fRUJJVERBKDIwMTEsM","DcvMjEvMjAxMCk=&amp;WINDOW=FIRST_POPUP&amp;HEIGHT=450&amp;WIDTH=450&amp;START_MAXIMIZED=FALSE&amp;VAR:CALENDAR=US&amp;VAR:SYMBOL=BA&amp;VAR:INDEX=0"}</definedName>
    <definedName name="_503__FDSAUDITLINK__" hidden="1">{"fdsup://directions/FAT Viewer?action=UPDATE&amp;creator=factset&amp;DYN_ARGS=TRUE&amp;DOC_NAME=FAT:FQL_AUDITING_CLIENT_TEMPLATE.FAT&amp;display_string=Audit&amp;VAR:KEY=IDOHSVELUR&amp;VAR:QUERY=RkZfRU5UUlBSX1ZBTF9EQUlMWSgwNy8yMS8yMDEwLCwsLCwnRElMJykvRUNBX01FQU5fRUJJVERBKDIwMTAsM","DcvMjEvMjAxMCk=&amp;WINDOW=FIRST_POPUP&amp;HEIGHT=450&amp;WIDTH=450&amp;START_MAXIMIZED=FALSE&amp;VAR:CALENDAR=US&amp;VAR:SYMBOL=BA&amp;VAR:INDEX=0"}</definedName>
    <definedName name="_504__FDSAUDITLINK__" hidden="1">{"fdsup://directions/FAT Viewer?action=UPDATE&amp;creator=factset&amp;DYN_ARGS=TRUE&amp;DOC_NAME=FAT:FQL_AUDITING_CLIENT_TEMPLATE.FAT&amp;display_string=Audit&amp;VAR:KEY=OLUTOLKFID&amp;VAR:QUERY=RkZfRU5UUlBSX1ZBTF9EQUlMWSgwNy8yMS8yMDEwLCwsLCwnRElMJykvRUNBX01FQU5fU0FMRVMoMjAxMiwwN","y8yMS8yMDEwKQ==&amp;WINDOW=FIRST_POPUP&amp;HEIGHT=450&amp;WIDTH=450&amp;START_MAXIMIZED=FALSE&amp;VAR:CALENDAR=US&amp;VAR:SYMBOL=GD&amp;VAR:INDEX=0"}</definedName>
    <definedName name="_505__FDSAUDITLINK__" hidden="1">{"fdsup://directions/FAT Viewer?action=UPDATE&amp;creator=factset&amp;DYN_ARGS=TRUE&amp;DOC_NAME=FAT:FQL_AUDITING_CLIENT_TEMPLATE.FAT&amp;display_string=Audit&amp;VAR:KEY=YZEBODCDIT&amp;VAR:QUERY=RkZfRU5UUlBSX1ZBTF9EQUlMWSgwNy8yMS8yMDEwLCwsLCwnRElMJykvRUNBX01FQU5fU0FMRVMoMjAxMSwwN","y8yMS8yMDEwKQ==&amp;WINDOW=FIRST_POPUP&amp;HEIGHT=450&amp;WIDTH=450&amp;START_MAXIMIZED=FALSE&amp;VAR:CALENDAR=US&amp;VAR:SYMBOL=GD&amp;VAR:INDEX=0"}</definedName>
    <definedName name="_506__FDSAUDITLINK__" hidden="1">{"fdsup://directions/FAT Viewer?action=UPDATE&amp;creator=factset&amp;DYN_ARGS=TRUE&amp;DOC_NAME=FAT:FQL_AUDITING_CLIENT_TEMPLATE.FAT&amp;display_string=Audit&amp;VAR:KEY=QVEBAXMZID&amp;VAR:QUERY=RkZfRU5UUlBSX1ZBTF9EQUlMWSgwNy8yMS8yMDEwLCwsLCwnRElMJykvRUNBX01FQU5fU0FMRVMoMjAxMCwwN","y8yMS8yMDEwKQ==&amp;WINDOW=FIRST_POPUP&amp;HEIGHT=450&amp;WIDTH=450&amp;START_MAXIMIZED=FALSE&amp;VAR:CALENDAR=US&amp;VAR:SYMBOL=GD&amp;VAR:INDEX=0"}</definedName>
    <definedName name="_507__FDSAUDITLINK__" hidden="1">{"fdsup://directions/FAT Viewer?action=UPDATE&amp;creator=factset&amp;DYN_ARGS=TRUE&amp;DOC_NAME=FAT:FQL_AUDITING_CLIENT_TEMPLATE.FAT&amp;display_string=Audit&amp;VAR:KEY=MVKNMZMXGZ&amp;VAR:QUERY=RkZfRU5UUlBSX1ZBTF9EQUlMWSgwNy8yMS8yMDEwLCwsLCwnRElMJykvRUNBX01FQU5fRUJJVCgyMDEyLDA3L","zIxLzIwMTAp&amp;WINDOW=FIRST_POPUP&amp;HEIGHT=450&amp;WIDTH=450&amp;START_MAXIMIZED=FALSE&amp;VAR:CALENDAR=US&amp;VAR:SYMBOL=GD&amp;VAR:INDEX=0"}</definedName>
    <definedName name="_508__FDSAUDITLINK__" hidden="1">{"fdsup://directions/FAT Viewer?action=UPDATE&amp;creator=factset&amp;DYN_ARGS=TRUE&amp;DOC_NAME=FAT:FQL_AUDITING_CLIENT_TEMPLATE.FAT&amp;display_string=Audit&amp;VAR:KEY=WZQHKPGRAV&amp;VAR:QUERY=RkZfRU5UUlBSX1ZBTF9EQUlMWSgwNy8yMS8yMDEwLCwsLCwnRElMJykvRUNBX01FQU5fRUJJVCgyMDExLDA3L","zIxLzIwMTAp&amp;WINDOW=FIRST_POPUP&amp;HEIGHT=450&amp;WIDTH=450&amp;START_MAXIMIZED=FALSE&amp;VAR:CALENDAR=US&amp;VAR:SYMBOL=GD&amp;VAR:INDEX=0"}</definedName>
    <definedName name="_509__FDSAUDITLINK__" hidden="1">{"fdsup://directions/FAT Viewer?action=UPDATE&amp;creator=factset&amp;DYN_ARGS=TRUE&amp;DOC_NAME=FAT:FQL_AUDITING_CLIENT_TEMPLATE.FAT&amp;display_string=Audit&amp;VAR:KEY=CXCZQVOPSV&amp;VAR:QUERY=RkZfRU5UUlBSX1ZBTF9EQUlMWSgwNy8yMS8yMDEwLCwsLCwnRElMJykvRUNBX01FQU5fRUJJVCgyMDEwLDA3L","zIxLzIwMTAp&amp;WINDOW=FIRST_POPUP&amp;HEIGHT=450&amp;WIDTH=450&amp;START_MAXIMIZED=FALSE&amp;VAR:CALENDAR=US&amp;VAR:SYMBOL=GD&amp;VAR:INDEX=0"}</definedName>
    <definedName name="_51__FDSAUDITLINK__" hidden="1">{"fdsup://directions/FAT Viewer?action=UPDATE&amp;creator=factset&amp;DYN_ARGS=TRUE&amp;DOC_NAME=FAT:FQL_AUDITING_CLIENT_TEMPLATE.FAT&amp;display_string=Audit&amp;VAR:KEY=CDKJMPINSR&amp;VAR:QUERY=RkZfRU5UUlBSX1ZBTF9EQUlMWSgxMC8yNy8yMDEwLCwsLCwnRElMJykvRUNBX01FQU5fRUJJVCgyMDEwLDEwL","zI3LzIwMTAp&amp;WINDOW=FIRST_POPUP&amp;HEIGHT=450&amp;WIDTH=450&amp;START_MAXIMIZED=FALSE&amp;VAR:CALENDAR=US&amp;VAR:SYMBOL=057580&amp;VAR:INDEX=0"}</definedName>
    <definedName name="_510__FDSAUDITLINK__" hidden="1">{"fdsup://directions/FAT Viewer?action=UPDATE&amp;creator=factset&amp;DYN_ARGS=TRUE&amp;DOC_NAME=FAT:FQL_AUDITING_CLIENT_TEMPLATE.FAT&amp;display_string=Audit&amp;VAR:KEY=EDOZWNITQL&amp;VAR:QUERY=RkZfRU5UUlBSX1ZBTF9EQUlMWSgwNy8yMS8yMDEwLCwsLCwnRElMJykvRUNBX01FQU5fRUJJVERBKDIwMTIsM","DcvMjEvMjAxMCk=&amp;WINDOW=FIRST_POPUP&amp;HEIGHT=450&amp;WIDTH=450&amp;START_MAXIMIZED=FALSE&amp;VAR:CALENDAR=US&amp;VAR:SYMBOL=GD&amp;VAR:INDEX=0"}</definedName>
    <definedName name="_511__FDSAUDITLINK__" hidden="1">{"fdsup://directions/FAT Viewer?action=UPDATE&amp;creator=factset&amp;DYN_ARGS=TRUE&amp;DOC_NAME=FAT:FQL_AUDITING_CLIENT_TEMPLATE.FAT&amp;display_string=Audit&amp;VAR:KEY=QLMRWBKFIH&amp;VAR:QUERY=RkZfRU5UUlBSX1ZBTF9EQUlMWSgwNy8yMS8yMDEwLCwsLCwnRElMJykvRUNBX01FQU5fRUJJVERBKDIwMTEsM","DcvMjEvMjAxMCk=&amp;WINDOW=FIRST_POPUP&amp;HEIGHT=450&amp;WIDTH=450&amp;START_MAXIMIZED=FALSE&amp;VAR:CALENDAR=US&amp;VAR:SYMBOL=GD&amp;VAR:INDEX=0"}</definedName>
    <definedName name="_512__FDSAUDITLINK__" hidden="1">{"fdsup://directions/FAT Viewer?action=UPDATE&amp;creator=factset&amp;DYN_ARGS=TRUE&amp;DOC_NAME=FAT:FQL_AUDITING_CLIENT_TEMPLATE.FAT&amp;display_string=Audit&amp;VAR:KEY=GNYNIPURWJ&amp;VAR:QUERY=RkZfRU5UUlBSX1ZBTF9EQUlMWSgwNy8yMS8yMDEwLCwsLCwnRElMJykvRUNBX01FQU5fRUJJVERBKDIwMTAsM","DcvMjEvMjAxMCk=&amp;WINDOW=FIRST_POPUP&amp;HEIGHT=450&amp;WIDTH=450&amp;START_MAXIMIZED=FALSE&amp;VAR:CALENDAR=US&amp;VAR:SYMBOL=GD&amp;VAR:INDEX=0"}</definedName>
    <definedName name="_513__FDSAUDITLINK__" hidden="1">{"fdsup://directions/FAT Viewer?action=UPDATE&amp;creator=factset&amp;DYN_ARGS=TRUE&amp;DOC_NAME=FAT:FQL_AUDITING_CLIENT_TEMPLATE.FAT&amp;display_string=Audit&amp;VAR:KEY=INQNSFMHEJ&amp;VAR:QUERY=RkZfRU5UUlBSX1ZBTF9EQUlMWSgwNy8yMS8yMDEwLCwsLCwnRElMJykvRUNBX01FQU5fU0FMRVMoMjAxMiwwN","y8yMS8yMDEwKQ==&amp;WINDOW=FIRST_POPUP&amp;HEIGHT=450&amp;WIDTH=450&amp;START_MAXIMIZED=FALSE&amp;VAR:CALENDAR=US&amp;VAR:SYMBOL=UTX&amp;VAR:INDEX=0"}</definedName>
    <definedName name="_514__FDSAUDITLINK__" hidden="1">{"fdsup://directions/FAT Viewer?action=UPDATE&amp;creator=factset&amp;DYN_ARGS=TRUE&amp;DOC_NAME=FAT:FQL_AUDITING_CLIENT_TEMPLATE.FAT&amp;display_string=Audit&amp;VAR:KEY=IZSFCHGHSX&amp;VAR:QUERY=RkZfRU5UUlBSX1ZBTF9EQUlMWSgwNy8yMS8yMDEwLCwsLCwnRElMJykvRUNBX01FQU5fU0FMRVMoMjAxMSwwN","y8yMS8yMDEwKQ==&amp;WINDOW=FIRST_POPUP&amp;HEIGHT=450&amp;WIDTH=450&amp;START_MAXIMIZED=FALSE&amp;VAR:CALENDAR=US&amp;VAR:SYMBOL=UTX&amp;VAR:INDEX=0"}</definedName>
    <definedName name="_515__FDSAUDITLINK__" hidden="1">{"fdsup://directions/FAT Viewer?action=UPDATE&amp;creator=factset&amp;DYN_ARGS=TRUE&amp;DOC_NAME=FAT:FQL_AUDITING_CLIENT_TEMPLATE.FAT&amp;display_string=Audit&amp;VAR:KEY=IFSFWROTGV&amp;VAR:QUERY=RkZfRU5UUlBSX1ZBTF9EQUlMWSgwNy8yMS8yMDEwLCwsLCwnRElMJykvRUNBX01FQU5fU0FMRVMoMjAxMCwwN","y8yMS8yMDEwKQ==&amp;WINDOW=FIRST_POPUP&amp;HEIGHT=450&amp;WIDTH=450&amp;START_MAXIMIZED=FALSE&amp;VAR:CALENDAR=US&amp;VAR:SYMBOL=UTX&amp;VAR:INDEX=0"}</definedName>
    <definedName name="_516__FDSAUDITLINK__" hidden="1">{"fdsup://directions/FAT Viewer?action=UPDATE&amp;creator=factset&amp;DYN_ARGS=TRUE&amp;DOC_NAME=FAT:FQL_AUDITING_CLIENT_TEMPLATE.FAT&amp;display_string=Audit&amp;VAR:KEY=OVQXSVIBEH&amp;VAR:QUERY=RkZfRU5UUlBSX1ZBTF9EQUlMWSgwNy8yMS8yMDEwLCwsLCwnRElMJykvRUNBX01FQU5fRUJJVCgyMDEyLDA3L","zIxLzIwMTAp&amp;WINDOW=FIRST_POPUP&amp;HEIGHT=450&amp;WIDTH=450&amp;START_MAXIMIZED=FALSE&amp;VAR:CALENDAR=US&amp;VAR:SYMBOL=UTX&amp;VAR:INDEX=0"}</definedName>
    <definedName name="_517__FDSAUDITLINK__" hidden="1">{"fdsup://directions/FAT Viewer?action=UPDATE&amp;creator=factset&amp;DYN_ARGS=TRUE&amp;DOC_NAME=FAT:FQL_AUDITING_CLIENT_TEMPLATE.FAT&amp;display_string=Audit&amp;VAR:KEY=WXYBOZYRCH&amp;VAR:QUERY=RkZfRU5UUlBSX1ZBTF9EQUlMWSgwNy8yMS8yMDEwLCwsLCwnRElMJykvRUNBX01FQU5fRUJJVCgyMDExLDA3L","zIxLzIwMTAp&amp;WINDOW=FIRST_POPUP&amp;HEIGHT=450&amp;WIDTH=450&amp;START_MAXIMIZED=FALSE&amp;VAR:CALENDAR=US&amp;VAR:SYMBOL=UTX&amp;VAR:INDEX=0"}</definedName>
    <definedName name="_518__FDSAUDITLINK__" hidden="1">{"fdsup://directions/FAT Viewer?action=UPDATE&amp;creator=factset&amp;DYN_ARGS=TRUE&amp;DOC_NAME=FAT:FQL_AUDITING_CLIENT_TEMPLATE.FAT&amp;display_string=Audit&amp;VAR:KEY=UPOLKBSJEF&amp;VAR:QUERY=RkZfRU5UUlBSX1ZBTF9EQUlMWSgwNy8yMS8yMDEwLCwsLCwnRElMJykvRUNBX01FQU5fRUJJVCgyMDEwLDA3L","zIxLzIwMTAp&amp;WINDOW=FIRST_POPUP&amp;HEIGHT=450&amp;WIDTH=450&amp;START_MAXIMIZED=FALSE&amp;VAR:CALENDAR=US&amp;VAR:SYMBOL=UTX&amp;VAR:INDEX=0"}</definedName>
    <definedName name="_519__FDSAUDITLINK__" hidden="1">{"fdsup://directions/FAT Viewer?action=UPDATE&amp;creator=factset&amp;DYN_ARGS=TRUE&amp;DOC_NAME=FAT:FQL_AUDITING_CLIENT_TEMPLATE.FAT&amp;display_string=Audit&amp;VAR:KEY=OZIFUDINSR&amp;VAR:QUERY=RkZfRU5UUlBSX1ZBTF9EQUlMWSgwNy8yMS8yMDEwLCwsLCwnRElMJykvRUNBX01FQU5fRUJJVERBKDIwMTIsM","DcvMjEvMjAxMCk=&amp;WINDOW=FIRST_POPUP&amp;HEIGHT=450&amp;WIDTH=450&amp;START_MAXIMIZED=FALSE&amp;VAR:CALENDAR=US&amp;VAR:SYMBOL=UTX&amp;VAR:INDEX=0"}</definedName>
    <definedName name="_52__FDSAUDITLINK__" hidden="1">{"fdsup://directions/FAT Viewer?action=UPDATE&amp;creator=factset&amp;DYN_ARGS=TRUE&amp;DOC_NAME=FAT:FQL_AUDITING_CLIENT_TEMPLATE.FAT&amp;display_string=Audit&amp;VAR:KEY=GPURKBYLMZ&amp;VAR:QUERY=RkZfRU5UUlBSX1ZBTF9EQUlMWSgxMC8yNy8yMDEwLCwsLCwnRElMJykvRUNBX01FQU5fRUJJVERBKDIwMTIsM","TAvMjcvMjAxMCk=&amp;WINDOW=FIRST_POPUP&amp;HEIGHT=450&amp;WIDTH=450&amp;START_MAXIMIZED=FALSE&amp;VAR:CALENDAR=US&amp;VAR:SYMBOL=057580&amp;VAR:INDEX=0"}</definedName>
    <definedName name="_520__FDSAUDITLINK__" hidden="1">{"fdsup://directions/FAT Viewer?action=UPDATE&amp;creator=factset&amp;DYN_ARGS=TRUE&amp;DOC_NAME=FAT:FQL_AUDITING_CLIENT_TEMPLATE.FAT&amp;display_string=Audit&amp;VAR:KEY=OPWZOJWNSV&amp;VAR:QUERY=RkZfRU5UUlBSX1ZBTF9EQUlMWSgwNy8yMS8yMDEwLCwsLCwnRElMJykvRUNBX01FQU5fRUJJVERBKDIwMTEsM","DcvMjEvMjAxMCk=&amp;WINDOW=FIRST_POPUP&amp;HEIGHT=450&amp;WIDTH=450&amp;START_MAXIMIZED=FALSE&amp;VAR:CALENDAR=US&amp;VAR:SYMBOL=UTX&amp;VAR:INDEX=0"}</definedName>
    <definedName name="_521__FDSAUDITLINK__" hidden="1">{"fdsup://directions/FAT Viewer?action=UPDATE&amp;creator=factset&amp;DYN_ARGS=TRUE&amp;DOC_NAME=FAT:FQL_AUDITING_CLIENT_TEMPLATE.FAT&amp;display_string=Audit&amp;VAR:KEY=KNOBARIPOJ&amp;VAR:QUERY=RkZfRU5UUlBSX1ZBTF9EQUlMWSgwNy8yMS8yMDEwLCwsLCwnRElMJykvRUNBX01FQU5fRUJJVERBKDIwMTAsM","DcvMjEvMjAxMCk=&amp;WINDOW=FIRST_POPUP&amp;HEIGHT=450&amp;WIDTH=450&amp;START_MAXIMIZED=FALSE&amp;VAR:CALENDAR=US&amp;VAR:SYMBOL=UTX&amp;VAR:INDEX=0"}</definedName>
    <definedName name="_522__FDSAUDITLINK__" hidden="1">{"fdsup://directions/FAT Viewer?action=UPDATE&amp;creator=factset&amp;DYN_ARGS=TRUE&amp;DOC_NAME=FAT:FQL_AUDITING_CLIENT_TEMPLATE.FAT&amp;display_string=Audit&amp;VAR:KEY=BAHGHCHADY&amp;VAR:QUERY=RkZfRU5UUlBSX1ZBTF9EQUlMWSgwNy8yMS8yMDEwLCwsLCwnRElMJykvRUNBX01FQU5fU0FMRVMoMjAxMiwwN","y8yMS8yMDEwKQ==&amp;WINDOW=FIRST_POPUP&amp;HEIGHT=450&amp;WIDTH=450&amp;START_MAXIMIZED=FALSE&amp;VAR:CALENDAR=US&amp;VAR:SYMBOL=BA&amp;VAR:INDEX=0"}</definedName>
    <definedName name="_523__FDSAUDITLINK__" hidden="1">{"fdsup://directions/FAT Viewer?action=UPDATE&amp;creator=factset&amp;DYN_ARGS=TRUE&amp;DOC_NAME=FAT:FQL_AUDITING_CLIENT_TEMPLATE.FAT&amp;display_string=Audit&amp;VAR:KEY=LGNEBSLOFK&amp;VAR:QUERY=RkZfRU5UUlBSX1ZBTF9EQUlMWSgwNy8yMS8yMDEwLCwsLCwnRElMJykvRUNBX01FQU5fU0FMRVMoMjAxMSwwN","y8yMS8yMDEwKQ==&amp;WINDOW=FIRST_POPUP&amp;HEIGHT=450&amp;WIDTH=450&amp;START_MAXIMIZED=FALSE&amp;VAR:CALENDAR=US&amp;VAR:SYMBOL=BA&amp;VAR:INDEX=0"}</definedName>
    <definedName name="_524__FDSAUDITLINK__" hidden="1">{"fdsup://directions/FAT Viewer?action=UPDATE&amp;creator=factset&amp;DYN_ARGS=TRUE&amp;DOC_NAME=FAT:FQL_AUDITING_CLIENT_TEMPLATE.FAT&amp;display_string=Audit&amp;VAR:KEY=ZUVSZANGTC&amp;VAR:QUERY=RkZfRU5UUlBSX1ZBTF9EQUlMWSgwNy8yMS8yMDEwLCwsLCwnRElMJykvRUNBX01FQU5fU0FMRVMoMjAxMCwwN","y8yMS8yMDEwKQ==&amp;WINDOW=FIRST_POPUP&amp;HEIGHT=450&amp;WIDTH=450&amp;START_MAXIMIZED=FALSE&amp;VAR:CALENDAR=US&amp;VAR:SYMBOL=BA&amp;VAR:INDEX=0"}</definedName>
    <definedName name="_525__FDSAUDITLINK__" hidden="1">{"fdsup://directions/FAT Viewer?action=UPDATE&amp;creator=factset&amp;DYN_ARGS=TRUE&amp;DOC_NAME=FAT:FQL_AUDITING_CLIENT_TEMPLATE.FAT&amp;display_string=Audit&amp;VAR:KEY=ZQHEPCTOTY&amp;VAR:QUERY=RkZfRU5UUlBSX1ZBTF9EQUlMWSgwNy8yMS8yMDEwLCwsLCwnRElMJykvRUNBX01FQU5fRUJJVCgyMDEyLDA3L","zIxLzIwMTAp&amp;WINDOW=FIRST_POPUP&amp;HEIGHT=450&amp;WIDTH=450&amp;START_MAXIMIZED=FALSE&amp;VAR:CALENDAR=US&amp;VAR:SYMBOL=BA&amp;VAR:INDEX=0"}</definedName>
    <definedName name="_526__FDSAUDITLINK__" hidden="1">{"fdsup://directions/FAT Viewer?action=UPDATE&amp;creator=factset&amp;DYN_ARGS=TRUE&amp;DOC_NAME=FAT:FQL_AUDITING_CLIENT_TEMPLATE.FAT&amp;display_string=Audit&amp;VAR:KEY=LUHYHQHMRC&amp;VAR:QUERY=RkZfRU5UUlBSX1ZBTF9EQUlMWSgwNy8yMS8yMDEwLCwsLCwnRElMJykvRUNBX01FQU5fRUJJVCgyMDExLDA3L","zIxLzIwMTAp&amp;WINDOW=FIRST_POPUP&amp;HEIGHT=450&amp;WIDTH=450&amp;START_MAXIMIZED=FALSE&amp;VAR:CALENDAR=US&amp;VAR:SYMBOL=BA&amp;VAR:INDEX=0"}</definedName>
    <definedName name="_527__FDSAUDITLINK__" hidden="1">{"fdsup://directions/FAT Viewer?action=UPDATE&amp;creator=factset&amp;DYN_ARGS=TRUE&amp;DOC_NAME=FAT:FQL_AUDITING_CLIENT_TEMPLATE.FAT&amp;display_string=Audit&amp;VAR:KEY=RYRYTANIVO&amp;VAR:QUERY=RkZfRU5UUlBSX1ZBTF9EQUlMWSgwNy8yMS8yMDEwLCwsLCwnRElMJykvRUNBX01FQU5fRUJJVCgyMDEwLDA3L","zIxLzIwMTAp&amp;WINDOW=FIRST_POPUP&amp;HEIGHT=450&amp;WIDTH=450&amp;START_MAXIMIZED=FALSE&amp;VAR:CALENDAR=US&amp;VAR:SYMBOL=BA&amp;VAR:INDEX=0"}</definedName>
    <definedName name="_528__FDSAUDITLINK__" hidden="1">{"fdsup://directions/FAT Viewer?action=UPDATE&amp;creator=factset&amp;DYN_ARGS=TRUE&amp;DOC_NAME=FAT:FQL_AUDITING_CLIENT_TEMPLATE.FAT&amp;display_string=Audit&amp;VAR:KEY=HSFEVMJERY&amp;VAR:QUERY=RkZfRU5UUlBSX1ZBTF9EQUlMWSgwNy8yMS8yMDEwLCwsLCwnRElMJykvRUNBX01FQU5fRUJJVERBKDIwMTIsM","DcvMjEvMjAxMCk=&amp;WINDOW=FIRST_POPUP&amp;HEIGHT=450&amp;WIDTH=450&amp;START_MAXIMIZED=FALSE&amp;VAR:CALENDAR=US&amp;VAR:SYMBOL=BA&amp;VAR:INDEX=0"}</definedName>
    <definedName name="_529__FDSAUDITLINK__" hidden="1">{"fdsup://directions/FAT Viewer?action=UPDATE&amp;creator=factset&amp;DYN_ARGS=TRUE&amp;DOC_NAME=FAT:FQL_AUDITING_CLIENT_TEMPLATE.FAT&amp;display_string=Audit&amp;VAR:KEY=RQZGHSFSZQ&amp;VAR:QUERY=RkZfRU5UUlBSX1ZBTF9EQUlMWSgwNy8yMS8yMDEwLCwsLCwnRElMJykvRUNBX01FQU5fRUJJVERBKDIwMTEsM","DcvMjEvMjAxMCk=&amp;WINDOW=FIRST_POPUP&amp;HEIGHT=450&amp;WIDTH=450&amp;START_MAXIMIZED=FALSE&amp;VAR:CALENDAR=US&amp;VAR:SYMBOL=BA&amp;VAR:INDEX=0"}</definedName>
    <definedName name="_53__FDSAUDITLINK__" hidden="1">{"fdsup://directions/FAT Viewer?action=UPDATE&amp;creator=factset&amp;DYN_ARGS=TRUE&amp;DOC_NAME=FAT:FQL_AUDITING_CLIENT_TEMPLATE.FAT&amp;display_string=Audit&amp;VAR:KEY=QJWDOLKDAR&amp;VAR:QUERY=RkZfRU5UUlBSX1ZBTF9EQUlMWSgxMC8yNy8yMDEwLCwsLCwnRElMJykvRUNBX01FQU5fRUJJVERBKDIwMTEsM","TAvMjcvMjAxMCk=&amp;WINDOW=FIRST_POPUP&amp;HEIGHT=450&amp;WIDTH=450&amp;START_MAXIMIZED=FALSE&amp;VAR:CALENDAR=US&amp;VAR:SYMBOL=057580&amp;VAR:INDEX=0"}</definedName>
    <definedName name="_530__FDSAUDITLINK__" hidden="1">{"fdsup://directions/FAT Viewer?action=UPDATE&amp;creator=factset&amp;DYN_ARGS=TRUE&amp;DOC_NAME=FAT:FQL_AUDITING_CLIENT_TEMPLATE.FAT&amp;display_string=Audit&amp;VAR:KEY=BEREVWTQFG&amp;VAR:QUERY=RkZfRU5UUlBSX1ZBTF9EQUlMWSgwNy8yMS8yMDEwLCwsLCwnRElMJykvRUNBX01FQU5fRUJJVERBKDIwMTAsM","DcvMjEvMjAxMCk=&amp;WINDOW=FIRST_POPUP&amp;HEIGHT=450&amp;WIDTH=450&amp;START_MAXIMIZED=FALSE&amp;VAR:CALENDAR=US&amp;VAR:SYMBOL=BA&amp;VAR:INDEX=0"}</definedName>
    <definedName name="_531__FDSAUDITLINK__" hidden="1">{"fdsup://directions/FAT Viewer?action=UPDATE&amp;creator=factset&amp;DYN_ARGS=TRUE&amp;DOC_NAME=FAT:FQL_AUDITING_CLIENT_TEMPLATE.FAT&amp;display_string=Audit&amp;VAR:KEY=HYHEXQVGHC&amp;VAR:QUERY=RkZfRU5UUlBSX1ZBTF9EQUlMWSgwNy8yMS8yMDEwLCwsLCwnRElMJykvRUNBX01FQU5fU0FMRVMoMjAxMiwwN","y8yMS8yMDEwKQ==&amp;WINDOW=FIRST_POPUP&amp;HEIGHT=450&amp;WIDTH=450&amp;START_MAXIMIZED=FALSE&amp;VAR:CALENDAR=US&amp;VAR:SYMBOL=GD&amp;VAR:INDEX=0"}</definedName>
    <definedName name="_532__FDSAUDITLINK__" hidden="1">{"fdsup://directions/FAT Viewer?action=UPDATE&amp;creator=factset&amp;DYN_ARGS=TRUE&amp;DOC_NAME=FAT:FQL_AUDITING_CLIENT_TEMPLATE.FAT&amp;display_string=Audit&amp;VAR:KEY=PSROFSLOTO&amp;VAR:QUERY=RkZfRU5UUlBSX1ZBTF9EQUlMWSgwNy8yMS8yMDEwLCwsLCwnRElMJykvRUNBX01FQU5fU0FMRVMoMjAxMSwwN","y8yMS8yMDEwKQ==&amp;WINDOW=FIRST_POPUP&amp;HEIGHT=450&amp;WIDTH=450&amp;START_MAXIMIZED=FALSE&amp;VAR:CALENDAR=US&amp;VAR:SYMBOL=GD&amp;VAR:INDEX=0"}</definedName>
    <definedName name="_533__FDSAUDITLINK__" hidden="1">{"fdsup://directions/FAT Viewer?action=UPDATE&amp;creator=factset&amp;DYN_ARGS=TRUE&amp;DOC_NAME=FAT:FQL_AUDITING_CLIENT_TEMPLATE.FAT&amp;display_string=Audit&amp;VAR:KEY=DEZQRKFSVE&amp;VAR:QUERY=RkZfRU5UUlBSX1ZBTF9EQUlMWSgwNy8yMS8yMDEwLCwsLCwnRElMJykvRUNBX01FQU5fU0FMRVMoMjAxMCwwN","y8yMS8yMDEwKQ==&amp;WINDOW=FIRST_POPUP&amp;HEIGHT=450&amp;WIDTH=450&amp;START_MAXIMIZED=FALSE&amp;VAR:CALENDAR=US&amp;VAR:SYMBOL=GD&amp;VAR:INDEX=0"}</definedName>
    <definedName name="_534__FDSAUDITLINK__" hidden="1">{"fdsup://directions/FAT Viewer?action=UPDATE&amp;creator=factset&amp;DYN_ARGS=TRUE&amp;DOC_NAME=FAT:FQL_AUDITING_CLIENT_TEMPLATE.FAT&amp;display_string=Audit&amp;VAR:KEY=FOBADKRWZQ&amp;VAR:QUERY=RkZfRU5UUlBSX1ZBTF9EQUlMWSgwNy8yMS8yMDEwLCwsLCwnRElMJykvRUNBX01FQU5fRUJJVCgyMDEyLDA3L","zIxLzIwMTAp&amp;WINDOW=FIRST_POPUP&amp;HEIGHT=450&amp;WIDTH=450&amp;START_MAXIMIZED=FALSE&amp;VAR:CALENDAR=US&amp;VAR:SYMBOL=GD&amp;VAR:INDEX=0"}</definedName>
    <definedName name="_535__FDSAUDITLINK__" hidden="1">{"fdsup://directions/FAT Viewer?action=UPDATE&amp;creator=factset&amp;DYN_ARGS=TRUE&amp;DOC_NAME=FAT:FQL_AUDITING_CLIENT_TEMPLATE.FAT&amp;display_string=Audit&amp;VAR:KEY=TEDWDQJCBW&amp;VAR:QUERY=RkZfRU5UUlBSX1ZBTF9EQUlMWSgwNy8yMS8yMDEwLCwsLCwnRElMJykvRUNBX01FQU5fRUJJVCgyMDExLDA3L","zIxLzIwMTAp&amp;WINDOW=FIRST_POPUP&amp;HEIGHT=450&amp;WIDTH=450&amp;START_MAXIMIZED=FALSE&amp;VAR:CALENDAR=US&amp;VAR:SYMBOL=GD&amp;VAR:INDEX=0"}</definedName>
    <definedName name="_536__FDSAUDITLINK__" hidden="1">{"fdsup://directions/FAT Viewer?action=UPDATE&amp;creator=factset&amp;DYN_ARGS=TRUE&amp;DOC_NAME=FAT:FQL_AUDITING_CLIENT_TEMPLATE.FAT&amp;display_string=Audit&amp;VAR:KEY=RETUVMZEDA&amp;VAR:QUERY=RkZfRU5UUlBSX1ZBTF9EQUlMWSgwNy8yMS8yMDEwLCwsLCwnRElMJykvRUNBX01FQU5fRUJJVCgyMDEwLDA3L","zIxLzIwMTAp&amp;WINDOW=FIRST_POPUP&amp;HEIGHT=450&amp;WIDTH=450&amp;START_MAXIMIZED=FALSE&amp;VAR:CALENDAR=US&amp;VAR:SYMBOL=GD&amp;VAR:INDEX=0"}</definedName>
    <definedName name="_537__FDSAUDITLINK__" hidden="1">{"fdsup://directions/FAT Viewer?action=UPDATE&amp;creator=factset&amp;DYN_ARGS=TRUE&amp;DOC_NAME=FAT:FQL_AUDITING_CLIENT_TEMPLATE.FAT&amp;display_string=Audit&amp;VAR:KEY=RUFYJKRYFY&amp;VAR:QUERY=RkZfRU5UUlBSX1ZBTF9EQUlMWSgwNy8yMS8yMDEwLCwsLCwnRElMJykvRUNBX01FQU5fRUJJVERBKDIwMTIsM","DcvMjEvMjAxMCk=&amp;WINDOW=FIRST_POPUP&amp;HEIGHT=450&amp;WIDTH=450&amp;START_MAXIMIZED=FALSE&amp;VAR:CALENDAR=US&amp;VAR:SYMBOL=GD&amp;VAR:INDEX=0"}</definedName>
    <definedName name="_538__FDSAUDITLINK__" hidden="1">{"fdsup://directions/FAT Viewer?action=UPDATE&amp;creator=factset&amp;DYN_ARGS=TRUE&amp;DOC_NAME=FAT:FQL_AUDITING_CLIENT_TEMPLATE.FAT&amp;display_string=Audit&amp;VAR:KEY=BIBMLEDIJG&amp;VAR:QUERY=RkZfRU5UUlBSX1ZBTF9EQUlMWSgwNy8yMS8yMDEwLCwsLCwnRElMJykvRUNBX01FQU5fRUJJVERBKDIwMTEsM","DcvMjEvMjAxMCk=&amp;WINDOW=FIRST_POPUP&amp;HEIGHT=450&amp;WIDTH=450&amp;START_MAXIMIZED=FALSE&amp;VAR:CALENDAR=US&amp;VAR:SYMBOL=GD&amp;VAR:INDEX=0"}</definedName>
    <definedName name="_539__FDSAUDITLINK__" hidden="1">{"fdsup://directions/FAT Viewer?action=UPDATE&amp;creator=factset&amp;DYN_ARGS=TRUE&amp;DOC_NAME=FAT:FQL_AUDITING_CLIENT_TEMPLATE.FAT&amp;display_string=Audit&amp;VAR:KEY=FYBETKJIJO&amp;VAR:QUERY=RkZfRU5UUlBSX1ZBTF9EQUlMWSgwNy8yMS8yMDEwLCwsLCwnRElMJykvRUNBX01FQU5fRUJJVERBKDIwMTAsM","DcvMjEvMjAxMCk=&amp;WINDOW=FIRST_POPUP&amp;HEIGHT=450&amp;WIDTH=450&amp;START_MAXIMIZED=FALSE&amp;VAR:CALENDAR=US&amp;VAR:SYMBOL=GD&amp;VAR:INDEX=0"}</definedName>
    <definedName name="_54__FDSAUDITLINK__" hidden="1">{"fdsup://directions/FAT Viewer?action=UPDATE&amp;creator=factset&amp;DYN_ARGS=TRUE&amp;DOC_NAME=FAT:FQL_AUDITING_CLIENT_TEMPLATE.FAT&amp;display_string=Audit&amp;VAR:KEY=ONGJMNEZEF&amp;VAR:QUERY=RkZfRU5UUlBSX1ZBTF9EQUlMWSgxMC8yNy8yMDEwLCwsLCwnRElMJykvRUNBX01FQU5fRUJJVERBKDIwMTAsM","TAvMjcvMjAxMCk=&amp;WINDOW=FIRST_POPUP&amp;HEIGHT=450&amp;WIDTH=450&amp;START_MAXIMIZED=FALSE&amp;VAR:CALENDAR=US&amp;VAR:SYMBOL=057580&amp;VAR:INDEX=0"}</definedName>
    <definedName name="_540__FDSAUDITLINK__" hidden="1">{"fdsup://directions/FAT Viewer?action=UPDATE&amp;creator=factset&amp;DYN_ARGS=TRUE&amp;DOC_NAME=FAT:FQL_AUDITING_CLIENT_TEMPLATE.FAT&amp;display_string=Audit&amp;VAR:KEY=BOZEHGFQLM&amp;VAR:QUERY=RkZfRU5UUlBSX1ZBTF9EQUlMWSgwNy8yMS8yMDEwLCwsLCwnRElMJykvRUNBX01FQU5fU0FMRVMoMjAxMiwwN","y8yMS8yMDEwKQ==&amp;WINDOW=FIRST_POPUP&amp;HEIGHT=450&amp;WIDTH=450&amp;START_MAXIMIZED=FALSE&amp;VAR:CALENDAR=US&amp;VAR:SYMBOL=UTX&amp;VAR:INDEX=0"}</definedName>
    <definedName name="_541__FDSAUDITLINK__" hidden="1">{"fdsup://directions/FAT Viewer?action=UPDATE&amp;creator=factset&amp;DYN_ARGS=TRUE&amp;DOC_NAME=FAT:FQL_AUDITING_CLIENT_TEMPLATE.FAT&amp;display_string=Audit&amp;VAR:KEY=RWNQLMTWJO&amp;VAR:QUERY=RkZfRU5UUlBSX1ZBTF9EQUlMWSgwNy8yMS8yMDEwLCwsLCwnRElMJykvRUNBX01FQU5fU0FMRVMoMjAxMSwwN","y8yMS8yMDEwKQ==&amp;WINDOW=FIRST_POPUP&amp;HEIGHT=450&amp;WIDTH=450&amp;START_MAXIMIZED=FALSE&amp;VAR:CALENDAR=US&amp;VAR:SYMBOL=UTX&amp;VAR:INDEX=0"}</definedName>
    <definedName name="_542__FDSAUDITLINK__" hidden="1">{"fdsup://directions/FAT Viewer?action=UPDATE&amp;creator=factset&amp;DYN_ARGS=TRUE&amp;DOC_NAME=FAT:FQL_AUDITING_CLIENT_TEMPLATE.FAT&amp;display_string=Audit&amp;VAR:KEY=DADCFKVUTS&amp;VAR:QUERY=RkZfRU5UUlBSX1ZBTF9EQUlMWSgwNy8yMS8yMDEwLCwsLCwnRElMJykvRUNBX01FQU5fU0FMRVMoMjAxMCwwN","y8yMS8yMDEwKQ==&amp;WINDOW=FIRST_POPUP&amp;HEIGHT=450&amp;WIDTH=450&amp;START_MAXIMIZED=FALSE&amp;VAR:CALENDAR=US&amp;VAR:SYMBOL=UTX&amp;VAR:INDEX=0"}</definedName>
    <definedName name="_543__FDSAUDITLINK__" hidden="1">{"fdsup://directions/FAT Viewer?action=UPDATE&amp;creator=factset&amp;DYN_ARGS=TRUE&amp;DOC_NAME=FAT:FQL_AUDITING_CLIENT_TEMPLATE.FAT&amp;display_string=Audit&amp;VAR:KEY=NURGVAJMZI&amp;VAR:QUERY=RkZfRU5UUlBSX1ZBTF9EQUlMWSgwNy8yMS8yMDEwLCwsLCwnRElMJykvRUNBX01FQU5fRUJJVCgyMDEyLDA3L","zIxLzIwMTAp&amp;WINDOW=FIRST_POPUP&amp;HEIGHT=450&amp;WIDTH=450&amp;START_MAXIMIZED=FALSE&amp;VAR:CALENDAR=US&amp;VAR:SYMBOL=UTX&amp;VAR:INDEX=0"}</definedName>
    <definedName name="_544__FDSAUDITLINK__" hidden="1">{"fdsup://directions/FAT Viewer?action=UPDATE&amp;creator=factset&amp;DYN_ARGS=TRUE&amp;DOC_NAME=FAT:FQL_AUDITING_CLIENT_TEMPLATE.FAT&amp;display_string=Audit&amp;VAR:KEY=XUHOVKDEVU&amp;VAR:QUERY=RkZfRU5UUlBSX1ZBTF9EQUlMWSgwNy8yMS8yMDEwLCwsLCwnRElMJykvRUNBX01FQU5fRUJJVCgyMDExLDA3L","zIxLzIwMTAp&amp;WINDOW=FIRST_POPUP&amp;HEIGHT=450&amp;WIDTH=450&amp;START_MAXIMIZED=FALSE&amp;VAR:CALENDAR=US&amp;VAR:SYMBOL=UTX&amp;VAR:INDEX=0"}</definedName>
    <definedName name="_545__FDSAUDITLINK__" hidden="1">{"fdsup://directions/FAT Viewer?action=UPDATE&amp;creator=factset&amp;DYN_ARGS=TRUE&amp;DOC_NAME=FAT:FQL_AUDITING_CLIENT_TEMPLATE.FAT&amp;display_string=Audit&amp;VAR:KEY=RKNALSTGBM&amp;VAR:QUERY=RkZfRU5UUlBSX1ZBTF9EQUlMWSgwNy8yMS8yMDEwLCwsLCwnRElMJykvRUNBX01FQU5fRUJJVCgyMDEwLDA3L","zIxLzIwMTAp&amp;WINDOW=FIRST_POPUP&amp;HEIGHT=450&amp;WIDTH=450&amp;START_MAXIMIZED=FALSE&amp;VAR:CALENDAR=US&amp;VAR:SYMBOL=UTX&amp;VAR:INDEX=0"}</definedName>
    <definedName name="_546__FDSAUDITLINK__" hidden="1">{"fdsup://directions/FAT Viewer?action=UPDATE&amp;creator=factset&amp;DYN_ARGS=TRUE&amp;DOC_NAME=FAT:FQL_AUDITING_CLIENT_TEMPLATE.FAT&amp;display_string=Audit&amp;VAR:KEY=HQLARYFAJY&amp;VAR:QUERY=RkZfRU5UUlBSX1ZBTF9EQUlMWSgwNy8yMS8yMDEwLCwsLCwnRElMJykvRUNBX01FQU5fRUJJVERBKDIwMTIsM","DcvMjEvMjAxMCk=&amp;WINDOW=FIRST_POPUP&amp;HEIGHT=450&amp;WIDTH=450&amp;START_MAXIMIZED=FALSE&amp;VAR:CALENDAR=US&amp;VAR:SYMBOL=UTX&amp;VAR:INDEX=0"}</definedName>
    <definedName name="_547__FDSAUDITLINK__" hidden="1">{"fdsup://directions/FAT Viewer?action=UPDATE&amp;creator=factset&amp;DYN_ARGS=TRUE&amp;DOC_NAME=FAT:FQL_AUDITING_CLIENT_TEMPLATE.FAT&amp;display_string=Audit&amp;VAR:KEY=TMTYDOJSXM&amp;VAR:QUERY=RkZfRU5UUlBSX1ZBTF9EQUlMWSgwNy8yMS8yMDEwLCwsLCwnRElMJykvRUNBX01FQU5fRUJJVERBKDIwMTEsM","DcvMjEvMjAxMCk=&amp;WINDOW=FIRST_POPUP&amp;HEIGHT=450&amp;WIDTH=450&amp;START_MAXIMIZED=FALSE&amp;VAR:CALENDAR=US&amp;VAR:SYMBOL=UTX&amp;VAR:INDEX=0"}</definedName>
    <definedName name="_548__FDSAUDITLINK__" hidden="1">{"fdsup://directions/FAT Viewer?action=UPDATE&amp;creator=factset&amp;DYN_ARGS=TRUE&amp;DOC_NAME=FAT:FQL_AUDITING_CLIENT_TEMPLATE.FAT&amp;display_string=Audit&amp;VAR:KEY=HONKDIBIRM&amp;VAR:QUERY=RkZfRU5UUlBSX1ZBTF9EQUlMWSgwNy8yMS8yMDEwLCwsLCwnRElMJykvRUNBX01FQU5fRUJJVERBKDIwMTAsM","DcvMjEvMjAxMCk=&amp;WINDOW=FIRST_POPUP&amp;HEIGHT=450&amp;WIDTH=450&amp;START_MAXIMIZED=FALSE&amp;VAR:CALENDAR=US&amp;VAR:SYMBOL=UTX&amp;VAR:INDEX=0"}</definedName>
    <definedName name="_549__FDSAUDITLINK__" hidden="1">{"fdsup://directions/FAT Viewer?action=UPDATE&amp;creator=factset&amp;DYN_ARGS=TRUE&amp;DOC_NAME=FAT:FQL_AUDITING_CLIENT_TEMPLATE.FAT&amp;display_string=Audit&amp;VAR:KEY=BIZIRGFGXM&amp;VAR:QUERY=RkZfRU5UUlBSX1ZBTF9EQUlMWSgwNy8zMC8yMDEwLCwsLCwnRElMJykvRUNBX01FQU5fU0FMRVMoMjAxMiwwN","y8zMC8yMDEwKQ==&amp;WINDOW=FIRST_POPUP&amp;HEIGHT=450&amp;WIDTH=450&amp;START_MAXIMIZED=FALSE&amp;VAR:CALENDAR=US&amp;VAR:SYMBOL=BA&amp;VAR:INDEX=0"}</definedName>
    <definedName name="_55__FDSAUDITLINK__" hidden="1">{"fdsup://directions/FAT Viewer?action=UPDATE&amp;creator=factset&amp;DYN_ARGS=TRUE&amp;DOC_NAME=FAT:FQL_AUDITING_CLIENT_TEMPLATE.FAT&amp;display_string=Audit&amp;VAR:KEY=CVOXUBYTWV&amp;VAR:QUERY=RkZfRU5UUlBSX1ZBTF9EQUlMWSgxMC8yNy8yMDEwLCwsLCwnRElMJykvRUNBX01FQU5fU0FMRVMoMjAxMiwxM","C8yNy8yMDEwKQ==&amp;WINDOW=FIRST_POPUP&amp;HEIGHT=450&amp;WIDTH=450&amp;START_MAXIMIZED=FALSE&amp;VAR:CALENDAR=US&amp;VAR:SYMBOL=PCP&amp;VAR:INDEX=0"}</definedName>
    <definedName name="_550__FDSAUDITLINK__" hidden="1">{"fdsup://directions/FAT Viewer?action=UPDATE&amp;creator=factset&amp;DYN_ARGS=TRUE&amp;DOC_NAME=FAT:FQL_AUDITING_CLIENT_TEMPLATE.FAT&amp;display_string=Audit&amp;VAR:KEY=DWNYHUZOPU&amp;VAR:QUERY=RkZfRU5UUlBSX1ZBTF9EQUlMWSgwNy8zMC8yMDEwLCwsLCwnRElMJykvRUNBX01FQU5fU0FMRVMoMjAxMSwwN","y8zMC8yMDEwKQ==&amp;WINDOW=FIRST_POPUP&amp;HEIGHT=450&amp;WIDTH=450&amp;START_MAXIMIZED=FALSE&amp;VAR:CALENDAR=US&amp;VAR:SYMBOL=BA&amp;VAR:INDEX=0"}</definedName>
    <definedName name="_551__FDSAUDITLINK__" hidden="1">{"fdsup://directions/FAT Viewer?action=UPDATE&amp;creator=factset&amp;DYN_ARGS=TRUE&amp;DOC_NAME=FAT:FQL_AUDITING_CLIENT_TEMPLATE.FAT&amp;display_string=Audit&amp;VAR:KEY=XMJYRKXSRY&amp;VAR:QUERY=RkZfRU5UUlBSX1ZBTF9EQUlMWSgwNy8zMC8yMDEwLCwsLCwnRElMJykvRUNBX01FQU5fU0FMRVMoMjAxMCwwN","y8zMC8yMDEwKQ==&amp;WINDOW=FIRST_POPUP&amp;HEIGHT=450&amp;WIDTH=450&amp;START_MAXIMIZED=FALSE&amp;VAR:CALENDAR=US&amp;VAR:SYMBOL=BA&amp;VAR:INDEX=0"}</definedName>
    <definedName name="_552__FDSAUDITLINK__" hidden="1">{"fdsup://directions/FAT Viewer?action=UPDATE&amp;creator=factset&amp;DYN_ARGS=TRUE&amp;DOC_NAME=FAT:FQL_AUDITING_CLIENT_TEMPLATE.FAT&amp;display_string=Audit&amp;VAR:KEY=NSVAXADCXC&amp;VAR:QUERY=RkZfRU5UUlBSX1ZBTF9EQUlMWSgwNy8zMC8yMDEwLCwsLCwnRElMJykvRUNBX01FQU5fRUJJVCgyMDEyLDA3L","zMwLzIwMTAp&amp;WINDOW=FIRST_POPUP&amp;HEIGHT=450&amp;WIDTH=450&amp;START_MAXIMIZED=FALSE&amp;VAR:CALENDAR=US&amp;VAR:SYMBOL=BA&amp;VAR:INDEX=0"}</definedName>
    <definedName name="_553__FDSAUDITLINK__" hidden="1">{"fdsup://directions/FAT Viewer?action=UPDATE&amp;creator=factset&amp;DYN_ARGS=TRUE&amp;DOC_NAME=FAT:FQL_AUDITING_CLIENT_TEMPLATE.FAT&amp;display_string=Audit&amp;VAR:KEY=TQLWZIPURW&amp;VAR:QUERY=RkZfRU5UUlBSX1ZBTF9EQUlMWSgwNy8zMC8yMDEwLCwsLCwnRElMJykvRUNBX01FQU5fRUJJVCgyMDExLDA3L","zMwLzIwMTAp&amp;WINDOW=FIRST_POPUP&amp;HEIGHT=450&amp;WIDTH=450&amp;START_MAXIMIZED=FALSE&amp;VAR:CALENDAR=US&amp;VAR:SYMBOL=BA&amp;VAR:INDEX=0"}</definedName>
    <definedName name="_554__FDSAUDITLINK__" hidden="1">{"fdsup://directions/FAT Viewer?action=UPDATE&amp;creator=factset&amp;DYN_ARGS=TRUE&amp;DOC_NAME=FAT:FQL_AUDITING_CLIENT_TEMPLATE.FAT&amp;display_string=Audit&amp;VAR:KEY=TSDMZMTWNG&amp;VAR:QUERY=RkZfRU5UUlBSX1ZBTF9EQUlMWSgwNy8zMC8yMDEwLCwsLCwnRElMJykvRUNBX01FQU5fRUJJVCgyMDEwLDA3L","zMwLzIwMTAp&amp;WINDOW=FIRST_POPUP&amp;HEIGHT=450&amp;WIDTH=450&amp;START_MAXIMIZED=FALSE&amp;VAR:CALENDAR=US&amp;VAR:SYMBOL=BA&amp;VAR:INDEX=0"}</definedName>
    <definedName name="_555__FDSAUDITLINK__" hidden="1">{"fdsup://directions/FAT Viewer?action=UPDATE&amp;creator=factset&amp;DYN_ARGS=TRUE&amp;DOC_NAME=FAT:FQL_AUDITING_CLIENT_TEMPLATE.FAT&amp;display_string=Audit&amp;VAR:KEY=FGTKHQRQPW&amp;VAR:QUERY=RkZfRU5UUlBSX1ZBTF9EQUlMWSgwNy8zMC8yMDEwLCwsLCwnRElMJykvRUNBX01FQU5fRUJJVERBKDIwMTIsM","DcvMzAvMjAxMCk=&amp;WINDOW=FIRST_POPUP&amp;HEIGHT=450&amp;WIDTH=450&amp;START_MAXIMIZED=FALSE&amp;VAR:CALENDAR=US&amp;VAR:SYMBOL=BA&amp;VAR:INDEX=0"}</definedName>
    <definedName name="_556__FDSAUDITLINK__" hidden="1">{"fdsup://directions/FAT Viewer?action=UPDATE&amp;creator=factset&amp;DYN_ARGS=TRUE&amp;DOC_NAME=FAT:FQL_AUDITING_CLIENT_TEMPLATE.FAT&amp;display_string=Audit&amp;VAR:KEY=DSVMBUFKDU&amp;VAR:QUERY=RkZfRU5UUlBSX1ZBTF9EQUlMWSgwNy8zMC8yMDEwLCwsLCwnRElMJykvRUNBX01FQU5fRUJJVERBKDIwMTEsM","DcvMzAvMjAxMCk=&amp;WINDOW=FIRST_POPUP&amp;HEIGHT=450&amp;WIDTH=450&amp;START_MAXIMIZED=FALSE&amp;VAR:CALENDAR=US&amp;VAR:SYMBOL=BA&amp;VAR:INDEX=0"}</definedName>
    <definedName name="_557__FDSAUDITLINK__" hidden="1">{"fdsup://directions/FAT Viewer?action=UPDATE&amp;creator=factset&amp;DYN_ARGS=TRUE&amp;DOC_NAME=FAT:FQL_AUDITING_CLIENT_TEMPLATE.FAT&amp;display_string=Audit&amp;VAR:KEY=LCJETUNWTM&amp;VAR:QUERY=RkZfRU5UUlBSX1ZBTF9EQUlMWSgwNy8zMC8yMDEwLCwsLCwnRElMJykvRUNBX01FQU5fRUJJVERBKDIwMTAsM","DcvMzAvMjAxMCk=&amp;WINDOW=FIRST_POPUP&amp;HEIGHT=450&amp;WIDTH=450&amp;START_MAXIMIZED=FALSE&amp;VAR:CALENDAR=US&amp;VAR:SYMBOL=BA&amp;VAR:INDEX=0"}</definedName>
    <definedName name="_558__FDSAUDITLINK__" hidden="1">{"fdsup://directions/FAT Viewer?action=UPDATE&amp;creator=factset&amp;DYN_ARGS=TRUE&amp;DOC_NAME=FAT:FQL_AUDITING_CLIENT_TEMPLATE.FAT&amp;display_string=Audit&amp;VAR:KEY=JGLKJSLWNM&amp;VAR:QUERY=RkZfRU5UUlBSX1ZBTF9EQUlMWSgwNy8zMC8yMDEwLCwsLCwnRElMJykvRUNBX01FQU5fU0FMRVMoMjAxMiwwN","y8zMC8yMDEwKQ==&amp;WINDOW=FIRST_POPUP&amp;HEIGHT=450&amp;WIDTH=450&amp;START_MAXIMIZED=FALSE&amp;VAR:CALENDAR=US&amp;VAR:SYMBOL=GD&amp;VAR:INDEX=0"}</definedName>
    <definedName name="_559__FDSAUDITLINK__" hidden="1">{"fdsup://directions/FAT Viewer?action=UPDATE&amp;creator=factset&amp;DYN_ARGS=TRUE&amp;DOC_NAME=FAT:FQL_AUDITING_CLIENT_TEMPLATE.FAT&amp;display_string=Audit&amp;VAR:KEY=DMPUNMPING&amp;VAR:QUERY=RkZfRU5UUlBSX1ZBTF9EQUlMWSgwNy8zMC8yMDEwLCwsLCwnRElMJykvRUNBX01FQU5fU0FMRVMoMjAxMSwwN","y8zMC8yMDEwKQ==&amp;WINDOW=FIRST_POPUP&amp;HEIGHT=450&amp;WIDTH=450&amp;START_MAXIMIZED=FALSE&amp;VAR:CALENDAR=US&amp;VAR:SYMBOL=GD&amp;VAR:INDEX=0"}</definedName>
    <definedName name="_56__FDSAUDITLINK__" hidden="1">{"fdsup://directions/FAT Viewer?action=UPDATE&amp;creator=factset&amp;DYN_ARGS=TRUE&amp;DOC_NAME=FAT:FQL_AUDITING_CLIENT_TEMPLATE.FAT&amp;display_string=Audit&amp;VAR:KEY=WXQVSJKXEH&amp;VAR:QUERY=RkZfRU5UUlBSX1ZBTF9EQUlMWSgxMC8yNy8yMDEwLCwsLCwnRElMJykvRUNBX01FQU5fU0FMRVMoMjAxMSwxM","C8yNy8yMDEwKQ==&amp;WINDOW=FIRST_POPUP&amp;HEIGHT=450&amp;WIDTH=450&amp;START_MAXIMIZED=FALSE&amp;VAR:CALENDAR=US&amp;VAR:SYMBOL=PCP&amp;VAR:INDEX=0"}</definedName>
    <definedName name="_560__FDSAUDITLINK__" hidden="1">{"fdsup://directions/FAT Viewer?action=UPDATE&amp;creator=factset&amp;DYN_ARGS=TRUE&amp;DOC_NAME=FAT:FQL_AUDITING_CLIENT_TEMPLATE.FAT&amp;display_string=Audit&amp;VAR:KEY=XQLGJENONM&amp;VAR:QUERY=RkZfRU5UUlBSX1ZBTF9EQUlMWSgwNy8zMC8yMDEwLCwsLCwnRElMJykvRUNBX01FQU5fU0FMRVMoMjAxMCwwN","y8zMC8yMDEwKQ==&amp;WINDOW=FIRST_POPUP&amp;HEIGHT=450&amp;WIDTH=450&amp;START_MAXIMIZED=FALSE&amp;VAR:CALENDAR=US&amp;VAR:SYMBOL=GD&amp;VAR:INDEX=0"}</definedName>
    <definedName name="_561__FDSAUDITLINK__" hidden="1">{"fdsup://directions/FAT Viewer?action=UPDATE&amp;creator=factset&amp;DYN_ARGS=TRUE&amp;DOC_NAME=FAT:FQL_AUDITING_CLIENT_TEMPLATE.FAT&amp;display_string=Audit&amp;VAR:KEY=DQNYHKPYXM&amp;VAR:QUERY=RkZfRU5UUlBSX1ZBTF9EQUlMWSgwNy8zMC8yMDEwLCwsLCwnRElMJykvRUNBX01FQU5fRUJJVCgyMDEyLDA3L","zMwLzIwMTAp&amp;WINDOW=FIRST_POPUP&amp;HEIGHT=450&amp;WIDTH=450&amp;START_MAXIMIZED=FALSE&amp;VAR:CALENDAR=US&amp;VAR:SYMBOL=GD&amp;VAR:INDEX=0"}</definedName>
    <definedName name="_562__FDSAUDITLINK__" hidden="1">{"fdsup://directions/FAT Viewer?action=UPDATE&amp;creator=factset&amp;DYN_ARGS=TRUE&amp;DOC_NAME=FAT:FQL_AUDITING_CLIENT_TEMPLATE.FAT&amp;display_string=Audit&amp;VAR:KEY=XQLCVWFGTI&amp;VAR:QUERY=RkZfRU5UUlBSX1ZBTF9EQUlMWSgwNy8zMC8yMDEwLCwsLCwnRElMJykvRUNBX01FQU5fRUJJVCgyMDExLDA3L","zMwLzIwMTAp&amp;WINDOW=FIRST_POPUP&amp;HEIGHT=450&amp;WIDTH=450&amp;START_MAXIMIZED=FALSE&amp;VAR:CALENDAR=US&amp;VAR:SYMBOL=GD&amp;VAR:INDEX=0"}</definedName>
    <definedName name="_563__FDSAUDITLINK__" hidden="1">{"fdsup://directions/FAT Viewer?action=UPDATE&amp;creator=factset&amp;DYN_ARGS=TRUE&amp;DOC_NAME=FAT:FQL_AUDITING_CLIENT_TEMPLATE.FAT&amp;display_string=Audit&amp;VAR:KEY=RQXOXSROXE&amp;VAR:QUERY=RkZfRU5UUlBSX1ZBTF9EQUlMWSgwNy8zMC8yMDEwLCwsLCwnRElMJykvRUNBX01FQU5fRUJJVCgyMDEwLDA3L","zMwLzIwMTAp&amp;WINDOW=FIRST_POPUP&amp;HEIGHT=450&amp;WIDTH=450&amp;START_MAXIMIZED=FALSE&amp;VAR:CALENDAR=US&amp;VAR:SYMBOL=GD&amp;VAR:INDEX=0"}</definedName>
    <definedName name="_564__FDSAUDITLINK__" hidden="1">{"fdsup://directions/FAT Viewer?action=UPDATE&amp;creator=factset&amp;DYN_ARGS=TRUE&amp;DOC_NAME=FAT:FQL_AUDITING_CLIENT_TEMPLATE.FAT&amp;display_string=Audit&amp;VAR:KEY=XUTUNUFINU&amp;VAR:QUERY=RkZfRU5UUlBSX1ZBTF9EQUlMWSgwNy8zMC8yMDEwLCwsLCwnRElMJykvRUNBX01FQU5fRUJJVERBKDIwMTIsM","DcvMzAvMjAxMCk=&amp;WINDOW=FIRST_POPUP&amp;HEIGHT=450&amp;WIDTH=450&amp;START_MAXIMIZED=FALSE&amp;VAR:CALENDAR=US&amp;VAR:SYMBOL=GD&amp;VAR:INDEX=0"}</definedName>
    <definedName name="_565__FDSAUDITLINK__" hidden="1">{"fdsup://directions/FAT Viewer?action=UPDATE&amp;creator=factset&amp;DYN_ARGS=TRUE&amp;DOC_NAME=FAT:FQL_AUDITING_CLIENT_TEMPLATE.FAT&amp;display_string=Audit&amp;VAR:KEY=PQBQNKTMVM&amp;VAR:QUERY=RkZfRU5UUlBSX1ZBTF9EQUlMWSgwNy8zMC8yMDEwLCwsLCwnRElMJykvRUNBX01FQU5fRUJJVERBKDIwMTEsM","DcvMzAvMjAxMCk=&amp;WINDOW=FIRST_POPUP&amp;HEIGHT=450&amp;WIDTH=450&amp;START_MAXIMIZED=FALSE&amp;VAR:CALENDAR=US&amp;VAR:SYMBOL=GD&amp;VAR:INDEX=0"}</definedName>
    <definedName name="_566__FDSAUDITLINK__" hidden="1">{"fdsup://directions/FAT Viewer?action=UPDATE&amp;creator=factset&amp;DYN_ARGS=TRUE&amp;DOC_NAME=FAT:FQL_AUDITING_CLIENT_TEMPLATE.FAT&amp;display_string=Audit&amp;VAR:KEY=LUJMPKLWJS&amp;VAR:QUERY=RkZfRU5UUlBSX1ZBTF9EQUlMWSgwNy8zMC8yMDEwLCwsLCwnRElMJykvRUNBX01FQU5fRUJJVERBKDIwMTAsM","DcvMzAvMjAxMCk=&amp;WINDOW=FIRST_POPUP&amp;HEIGHT=450&amp;WIDTH=450&amp;START_MAXIMIZED=FALSE&amp;VAR:CALENDAR=US&amp;VAR:SYMBOL=GD&amp;VAR:INDEX=0"}</definedName>
    <definedName name="_567__FDSAUDITLINK__" hidden="1">{"fdsup://directions/FAT Viewer?action=UPDATE&amp;creator=factset&amp;DYN_ARGS=TRUE&amp;DOC_NAME=FAT:FQL_AUDITING_CLIENT_TEMPLATE.FAT&amp;display_string=Audit&amp;VAR:KEY=ZQNQTWTEPC&amp;VAR:QUERY=RkZfRU5UUlBSX1ZBTF9EQUlMWSgwNy8zMC8yMDEwLCwsLCwnRElMJykvRUNBX01FQU5fU0FMRVMoMjAxMiwwN","y8zMC8yMDEwKQ==&amp;WINDOW=FIRST_POPUP&amp;HEIGHT=450&amp;WIDTH=450&amp;START_MAXIMIZED=FALSE&amp;VAR:CALENDAR=US&amp;VAR:SYMBOL=UTX&amp;VAR:INDEX=0"}</definedName>
    <definedName name="_568__FDSAUDITLINK__" hidden="1">{"fdsup://directions/FAT Viewer?action=UPDATE&amp;creator=factset&amp;DYN_ARGS=TRUE&amp;DOC_NAME=FAT:FQL_AUDITING_CLIENT_TEMPLATE.FAT&amp;display_string=Audit&amp;VAR:KEY=RUZKNGHURC&amp;VAR:QUERY=RkZfRU5UUlBSX1ZBTF9EQUlMWSgwNy8zMC8yMDEwLCwsLCwnRElMJykvRUNBX01FQU5fU0FMRVMoMjAxMSwwN","y8zMC8yMDEwKQ==&amp;WINDOW=FIRST_POPUP&amp;HEIGHT=450&amp;WIDTH=450&amp;START_MAXIMIZED=FALSE&amp;VAR:CALENDAR=US&amp;VAR:SYMBOL=UTX&amp;VAR:INDEX=0"}</definedName>
    <definedName name="_569__FDSAUDITLINK__" hidden="1">{"fdsup://directions/FAT Viewer?action=UPDATE&amp;creator=factset&amp;DYN_ARGS=TRUE&amp;DOC_NAME=FAT:FQL_AUDITING_CLIENT_TEMPLATE.FAT&amp;display_string=Audit&amp;VAR:KEY=NYZQZOVYZU&amp;VAR:QUERY=RkZfRU5UUlBSX1ZBTF9EQUlMWSgwNy8zMC8yMDEwLCwsLCwnRElMJykvRUNBX01FQU5fU0FMRVMoMjAxMCwwN","y8zMC8yMDEwKQ==&amp;WINDOW=FIRST_POPUP&amp;HEIGHT=450&amp;WIDTH=450&amp;START_MAXIMIZED=FALSE&amp;VAR:CALENDAR=US&amp;VAR:SYMBOL=UTX&amp;VAR:INDEX=0"}</definedName>
    <definedName name="_57__FDSAUDITLINK__" hidden="1">{"fdsup://directions/FAT Viewer?action=UPDATE&amp;creator=factset&amp;DYN_ARGS=TRUE&amp;DOC_NAME=FAT:FQL_AUDITING_CLIENT_TEMPLATE.FAT&amp;display_string=Audit&amp;VAR:KEY=ETKBQDSRGJ&amp;VAR:QUERY=RkZfRU5UUlBSX1ZBTF9EQUlMWSgxMC8yNy8yMDEwLCwsLCwnRElMJykvRUNBX01FQU5fU0FMRVMoMjAxMCwxM","C8yNy8yMDEwKQ==&amp;WINDOW=FIRST_POPUP&amp;HEIGHT=450&amp;WIDTH=450&amp;START_MAXIMIZED=FALSE&amp;VAR:CALENDAR=US&amp;VAR:SYMBOL=PCP&amp;VAR:INDEX=0"}</definedName>
    <definedName name="_570__FDSAUDITLINK__" hidden="1">{"fdsup://directions/FAT Viewer?action=UPDATE&amp;creator=factset&amp;DYN_ARGS=TRUE&amp;DOC_NAME=FAT:FQL_AUDITING_CLIENT_TEMPLATE.FAT&amp;display_string=Audit&amp;VAR:KEY=RAFSJSDYLU&amp;VAR:QUERY=RkZfRU5UUlBSX1ZBTF9EQUlMWSgwNy8zMC8yMDEwLCwsLCwnRElMJykvRUNBX01FQU5fRUJJVCgyMDEyLDA3L","zMwLzIwMTAp&amp;WINDOW=FIRST_POPUP&amp;HEIGHT=450&amp;WIDTH=450&amp;START_MAXIMIZED=FALSE&amp;VAR:CALENDAR=US&amp;VAR:SYMBOL=UTX&amp;VAR:INDEX=0"}</definedName>
    <definedName name="_571__FDSAUDITLINK__" hidden="1">{"fdsup://directions/FAT Viewer?action=UPDATE&amp;creator=factset&amp;DYN_ARGS=TRUE&amp;DOC_NAME=FAT:FQL_AUDITING_CLIENT_TEMPLATE.FAT&amp;display_string=Audit&amp;VAR:KEY=JQBMXMNOFW&amp;VAR:QUERY=RkZfRU5UUlBSX1ZBTF9EQUlMWSgwNy8zMC8yMDEwLCwsLCwnRElMJykvRUNBX01FQU5fRUJJVCgyMDExLDA3L","zMwLzIwMTAp&amp;WINDOW=FIRST_POPUP&amp;HEIGHT=450&amp;WIDTH=450&amp;START_MAXIMIZED=FALSE&amp;VAR:CALENDAR=US&amp;VAR:SYMBOL=UTX&amp;VAR:INDEX=0"}</definedName>
    <definedName name="_572__FDSAUDITLINK__" hidden="1">{"fdsup://directions/FAT Viewer?action=UPDATE&amp;creator=factset&amp;DYN_ARGS=TRUE&amp;DOC_NAME=FAT:FQL_AUDITING_CLIENT_TEMPLATE.FAT&amp;display_string=Audit&amp;VAR:KEY=ZADSLMBMRW&amp;VAR:QUERY=RkZfRU5UUlBSX1ZBTF9EQUlMWSgwNy8zMC8yMDEwLCwsLCwnRElMJykvRUNBX01FQU5fRUJJVCgyMDEwLDA3L","zMwLzIwMTAp&amp;WINDOW=FIRST_POPUP&amp;HEIGHT=450&amp;WIDTH=450&amp;START_MAXIMIZED=FALSE&amp;VAR:CALENDAR=US&amp;VAR:SYMBOL=UTX&amp;VAR:INDEX=0"}</definedName>
    <definedName name="_573__FDSAUDITLINK__" hidden="1">{"fdsup://directions/FAT Viewer?action=UPDATE&amp;creator=factset&amp;DYN_ARGS=TRUE&amp;DOC_NAME=FAT:FQL_AUDITING_CLIENT_TEMPLATE.FAT&amp;display_string=Audit&amp;VAR:KEY=VIHETOZQTO&amp;VAR:QUERY=RkZfRU5UUlBSX1ZBTF9EQUlMWSgwNy8zMC8yMDEwLCwsLCwnRElMJykvRUNBX01FQU5fRUJJVERBKDIwMTIsM","DcvMzAvMjAxMCk=&amp;WINDOW=FIRST_POPUP&amp;HEIGHT=450&amp;WIDTH=450&amp;START_MAXIMIZED=FALSE&amp;VAR:CALENDAR=US&amp;VAR:SYMBOL=UTX&amp;VAR:INDEX=0"}</definedName>
    <definedName name="_574__FDSAUDITLINK__" hidden="1">{"fdsup://directions/FAT Viewer?action=UPDATE&amp;creator=factset&amp;DYN_ARGS=TRUE&amp;DOC_NAME=FAT:FQL_AUDITING_CLIENT_TEMPLATE.FAT&amp;display_string=Audit&amp;VAR:KEY=FODYTWVCXI&amp;VAR:QUERY=RkZfRU5UUlBSX1ZBTF9EQUlMWSgwNy8zMC8yMDEwLCwsLCwnRElMJykvRUNBX01FQU5fRUJJVERBKDIwMTEsM","DcvMzAvMjAxMCk=&amp;WINDOW=FIRST_POPUP&amp;HEIGHT=450&amp;WIDTH=450&amp;START_MAXIMIZED=FALSE&amp;VAR:CALENDAR=US&amp;VAR:SYMBOL=UTX&amp;VAR:INDEX=0"}</definedName>
    <definedName name="_575__FDSAUDITLINK__" hidden="1">{"fdsup://directions/FAT Viewer?action=UPDATE&amp;creator=factset&amp;DYN_ARGS=TRUE&amp;DOC_NAME=FAT:FQL_AUDITING_CLIENT_TEMPLATE.FAT&amp;display_string=Audit&amp;VAR:KEY=VOXYDADEJY&amp;VAR:QUERY=RkZfRU5UUlBSX1ZBTF9EQUlMWSgwNy8zMC8yMDEwLCwsLCwnRElMJykvRUNBX01FQU5fRUJJVERBKDIwMTAsM","DcvMzAvMjAxMCk=&amp;WINDOW=FIRST_POPUP&amp;HEIGHT=450&amp;WIDTH=450&amp;START_MAXIMIZED=FALSE&amp;VAR:CALENDAR=US&amp;VAR:SYMBOL=UTX&amp;VAR:INDEX=0"}</definedName>
    <definedName name="_58__FDSAUDITLINK__" hidden="1">{"fdsup://directions/FAT Viewer?action=UPDATE&amp;creator=factset&amp;DYN_ARGS=TRUE&amp;DOC_NAME=FAT:FQL_AUDITING_CLIENT_TEMPLATE.FAT&amp;display_string=Audit&amp;VAR:KEY=UFOVMBKBIB&amp;VAR:QUERY=RkZfRU5UUlBSX1ZBTF9EQUlMWSgxMC8yNy8yMDEwLCwsLCwnRElMJykvRUNBX01FQU5fRUJJVCgyMDEyLDEwL","zI3LzIwMTAp&amp;WINDOW=FIRST_POPUP&amp;HEIGHT=450&amp;WIDTH=450&amp;START_MAXIMIZED=FALSE&amp;VAR:CALENDAR=US&amp;VAR:SYMBOL=PCP&amp;VAR:INDEX=0"}</definedName>
    <definedName name="_59__FDSAUDITLINK__" hidden="1">{"fdsup://directions/FAT Viewer?action=UPDATE&amp;creator=factset&amp;DYN_ARGS=TRUE&amp;DOC_NAME=FAT:FQL_AUDITING_CLIENT_TEMPLATE.FAT&amp;display_string=Audit&amp;VAR:KEY=SNULEZIZAV&amp;VAR:QUERY=RkZfRU5UUlBSX1ZBTF9EQUlMWSgxMC8yNy8yMDEwLCwsLCwnRElMJykvRUNBX01FQU5fRUJJVCgyMDExLDEwL","zI3LzIwMTAp&amp;WINDOW=FIRST_POPUP&amp;HEIGHT=450&amp;WIDTH=450&amp;START_MAXIMIZED=FALSE&amp;VAR:CALENDAR=US&amp;VAR:SYMBOL=PCP&amp;VAR:INDEX=0"}</definedName>
    <definedName name="_6__123Graph_Aｸﾞﾗﾌ_2" hidden="1">[2]単独!$AR$14:$AR$18</definedName>
    <definedName name="_6__FDSAUDITLINK__" hidden="1">{"fdsup://directions/FAT Viewer?action=UPDATE&amp;creator=factset&amp;DYN_ARGS=TRUE&amp;DOC_NAME=FAT:FQL_AUDITING_CLIENT_TEMPLATE.FAT&amp;display_string=Audit&amp;VAR:KEY=MNWFIBIRGT&amp;VAR:QUERY=RkZfRU5UUlBSX1ZBTF9EQUlMWSgwNy8yNi8yMDExLCwsLCwnRElMJykvRUNBX01FQU5fRUJJVCgyMDEwLDA3L","zI2LzIwMTEp&amp;WINDOW=FIRST_POPUP&amp;HEIGHT=450&amp;WIDTH=450&amp;START_MAXIMIZED=FALSE&amp;VAR:CALENDAR=FIVEDAY&amp;VAR:SYMBOL=057580&amp;VAR:INDEX=0"}</definedName>
    <definedName name="_60__FDSAUDITLINK__" hidden="1">{"fdsup://directions/FAT Viewer?action=UPDATE&amp;creator=factset&amp;DYN_ARGS=TRUE&amp;DOC_NAME=FAT:FQL_AUDITING_CLIENT_TEMPLATE.FAT&amp;display_string=Audit&amp;VAR:KEY=YVULUNEBQJ&amp;VAR:QUERY=RkZfRU5UUlBSX1ZBTF9EQUlMWSgxMC8yNy8yMDEwLCwsLCwnRElMJykvRUNBX01FQU5fRUJJVCgyMDEwLDEwL","zI3LzIwMTAp&amp;WINDOW=FIRST_POPUP&amp;HEIGHT=450&amp;WIDTH=450&amp;START_MAXIMIZED=FALSE&amp;VAR:CALENDAR=US&amp;VAR:SYMBOL=PCP&amp;VAR:INDEX=0"}</definedName>
    <definedName name="_61__FDSAUDITLINK__" hidden="1">{"fdsup://directions/FAT Viewer?action=UPDATE&amp;creator=factset&amp;DYN_ARGS=TRUE&amp;DOC_NAME=FAT:FQL_AUDITING_CLIENT_TEMPLATE.FAT&amp;display_string=Audit&amp;VAR:KEY=EDCPWZMXMZ&amp;VAR:QUERY=RkZfRU5UUlBSX1ZBTF9EQUlMWSgxMC8yNy8yMDEwLCwsLCwnRElMJykvRUNBX01FQU5fRUJJVERBKDIwMTIsM","TAvMjcvMjAxMCk=&amp;WINDOW=FIRST_POPUP&amp;HEIGHT=450&amp;WIDTH=450&amp;START_MAXIMIZED=FALSE&amp;VAR:CALENDAR=US&amp;VAR:SYMBOL=PCP&amp;VAR:INDEX=0"}</definedName>
    <definedName name="_62__FDSAUDITLINK__" hidden="1">{"fdsup://directions/FAT Viewer?action=UPDATE&amp;creator=factset&amp;DYN_ARGS=TRUE&amp;DOC_NAME=FAT:FQL_AUDITING_CLIENT_TEMPLATE.FAT&amp;display_string=Audit&amp;VAR:KEY=ILSZSHQPWN&amp;VAR:QUERY=RkZfRU5UUlBSX1ZBTF9EQUlMWSgxMC8yNy8yMDEwLCwsLCwnRElMJykvRUNBX01FQU5fRUJJVERBKDIwMTEsM","TAvMjcvMjAxMCk=&amp;WINDOW=FIRST_POPUP&amp;HEIGHT=450&amp;WIDTH=450&amp;START_MAXIMIZED=FALSE&amp;VAR:CALENDAR=US&amp;VAR:SYMBOL=PCP&amp;VAR:INDEX=0"}</definedName>
    <definedName name="_63__FDSAUDITLINK__" hidden="1">{"fdsup://directions/FAT Viewer?action=UPDATE&amp;creator=factset&amp;DYN_ARGS=TRUE&amp;DOC_NAME=FAT:FQL_AUDITING_CLIENT_TEMPLATE.FAT&amp;display_string=Audit&amp;VAR:KEY=WNWBOPQNSF&amp;VAR:QUERY=RkZfRU5UUlBSX1ZBTF9EQUlMWSgxMC8yNy8yMDEwLCwsLCwnRElMJykvRUNBX01FQU5fRUJJVERBKDIwMTAsM","TAvMjcvMjAxMCk=&amp;WINDOW=FIRST_POPUP&amp;HEIGHT=450&amp;WIDTH=450&amp;START_MAXIMIZED=FALSE&amp;VAR:CALENDAR=US&amp;VAR:SYMBOL=PCP&amp;VAR:INDEX=0"}</definedName>
    <definedName name="_64__FDSAUDITLINK__" hidden="1">{"fdsup://directions/FAT Viewer?action=UPDATE&amp;creator=factset&amp;DYN_ARGS=TRUE&amp;DOC_NAME=FAT:FQL_AUDITING_CLIENT_TEMPLATE.FAT&amp;display_string=Audit&amp;VAR:KEY=YTEZKPADST&amp;VAR:QUERY=RkZfRU5UUlBSX1ZBTF9EQUlMWSgxMC8yNy8yMDEwLCwsLCwnRElMJykvRUNBX01FQU5fU0FMRVMoMjAxMiwxM","C8yNy8yMDEwKQ==&amp;WINDOW=FIRST_POPUP&amp;HEIGHT=450&amp;WIDTH=450&amp;START_MAXIMIZED=FALSE&amp;VAR:CALENDAR=US&amp;VAR:SYMBOL=MOG.A&amp;VAR:INDEX=0"}</definedName>
    <definedName name="_65__FDSAUDITLINK__" hidden="1">{"fdsup://directions/FAT Viewer?action=UPDATE&amp;creator=factset&amp;DYN_ARGS=TRUE&amp;DOC_NAME=FAT:FQL_AUDITING_CLIENT_TEMPLATE.FAT&amp;display_string=Audit&amp;VAR:KEY=GXETQTCLOB&amp;VAR:QUERY=RkZfRU5UUlBSX1ZBTF9EQUlMWSgxMC8yNy8yMDEwLCwsLCwnRElMJykvRUNBX01FQU5fU0FMRVMoMjAxMSwxM","C8yNy8yMDEwKQ==&amp;WINDOW=FIRST_POPUP&amp;HEIGHT=450&amp;WIDTH=450&amp;START_MAXIMIZED=FALSE&amp;VAR:CALENDAR=US&amp;VAR:SYMBOL=MOG.A&amp;VAR:INDEX=0"}</definedName>
    <definedName name="_66__FDSAUDITLINK__" hidden="1">{"fdsup://directions/FAT Viewer?action=UPDATE&amp;creator=factset&amp;DYN_ARGS=TRUE&amp;DOC_NAME=FAT:FQL_AUDITING_CLIENT_TEMPLATE.FAT&amp;display_string=Audit&amp;VAR:KEY=QLARSBCFKZ&amp;VAR:QUERY=RkZfRU5UUlBSX1ZBTF9EQUlMWSgxMC8yNy8yMDEwLCwsLCwnRElMJykvRUNBX01FQU5fU0FMRVMoMjAxMCwxM","C8yNy8yMDEwKQ==&amp;WINDOW=FIRST_POPUP&amp;HEIGHT=450&amp;WIDTH=450&amp;START_MAXIMIZED=FALSE&amp;VAR:CALENDAR=US&amp;VAR:SYMBOL=MOG.A&amp;VAR:INDEX=0"}</definedName>
    <definedName name="_67__FDSAUDITLINK__" hidden="1">{"fdsup://directions/FAT Viewer?action=UPDATE&amp;creator=factset&amp;DYN_ARGS=TRUE&amp;DOC_NAME=FAT:FQL_AUDITING_CLIENT_TEMPLATE.FAT&amp;display_string=Audit&amp;VAR:KEY=IPUXANURWZ&amp;VAR:QUERY=RkZfRU5UUlBSX1ZBTF9EQUlMWSgxMC8yNy8yMDEwLCwsLCwnRElMJykvRUNBX01FQU5fRUJJVCgyMDEyLDEwL","zI3LzIwMTAp&amp;WINDOW=FIRST_POPUP&amp;HEIGHT=450&amp;WIDTH=450&amp;START_MAXIMIZED=FALSE&amp;VAR:CALENDAR=US&amp;VAR:SYMBOL=MOG.A&amp;VAR:INDEX=0"}</definedName>
    <definedName name="_68__FDSAUDITLINK__" hidden="1">{"fdsup://directions/FAT Viewer?action=UPDATE&amp;creator=factset&amp;DYN_ARGS=TRUE&amp;DOC_NAME=FAT:FQL_AUDITING_CLIENT_TEMPLATE.FAT&amp;display_string=Audit&amp;VAR:KEY=AJCRUZKRCP&amp;VAR:QUERY=RkZfRU5UUlBSX1ZBTF9EQUlMWSgxMC8yNy8yMDEwLCwsLCwnRElMJykvRUNBX01FQU5fRUJJVCgyMDExLDEwL","zI3LzIwMTAp&amp;WINDOW=FIRST_POPUP&amp;HEIGHT=450&amp;WIDTH=450&amp;START_MAXIMIZED=FALSE&amp;VAR:CALENDAR=US&amp;VAR:SYMBOL=MOG.A&amp;VAR:INDEX=0"}</definedName>
    <definedName name="_69__FDSAUDITLINK__" hidden="1">{"fdsup://directions/FAT Viewer?action=UPDATE&amp;creator=factset&amp;DYN_ARGS=TRUE&amp;DOC_NAME=FAT:FQL_AUDITING_CLIENT_TEMPLATE.FAT&amp;display_string=Audit&amp;VAR:KEY=IVCHKBQBKH&amp;VAR:QUERY=RkZfRU5UUlBSX1ZBTF9EQUlMWSgxMC8yNy8yMDEwLCwsLCwnRElMJykvRUNBX01FQU5fRUJJVCgyMDEwLDEwL","zI3LzIwMTAp&amp;WINDOW=FIRST_POPUP&amp;HEIGHT=450&amp;WIDTH=450&amp;START_MAXIMIZED=FALSE&amp;VAR:CALENDAR=US&amp;VAR:SYMBOL=MOG.A&amp;VAR:INDEX=0"}</definedName>
    <definedName name="_7__123Graph_BCHART_1E" hidden="1">[1]Aerospace!$AJ$342:$AJ$355</definedName>
    <definedName name="_7__FDSAUDITLINK__" hidden="1">{"fdsup://directions/FAT Viewer?action=UPDATE&amp;creator=factset&amp;DYN_ARGS=TRUE&amp;DOC_NAME=FAT:FQL_AUDITING_CLIENT_TEMPLATE.FAT&amp;display_string=Audit&amp;VAR:KEY=QVCDGRURIT&amp;VAR:QUERY=RkZfRU5UUlBSX1ZBTF9EQUlMWSgwNy8yNi8yMDExLCwsLCwnRElMJykvRUNBX01FQU5fRUJJVERBKDIwMTIsM","DcvMjYvMjAxMSk=&amp;WINDOW=FIRST_POPUP&amp;HEIGHT=450&amp;WIDTH=450&amp;START_MAXIMIZED=FALSE&amp;VAR:CALENDAR=FIVEDAY&amp;VAR:SYMBOL=057580&amp;VAR:INDEX=0"}</definedName>
    <definedName name="_70__FDSAUDITLINK__" hidden="1">{"fdsup://directions/FAT Viewer?action=UPDATE&amp;creator=factset&amp;DYN_ARGS=TRUE&amp;DOC_NAME=FAT:FQL_AUDITING_CLIENT_TEMPLATE.FAT&amp;display_string=Audit&amp;VAR:KEY=INQHWXQVQN&amp;VAR:QUERY=RkZfRU5UUlBSX1ZBTF9EQUlMWSgxMC8yNy8yMDEwLCwsLCwnRElMJykvRUNBX01FQU5fRUJJVERBKDIwMTIsM","TAvMjcvMjAxMCk=&amp;WINDOW=FIRST_POPUP&amp;HEIGHT=450&amp;WIDTH=450&amp;START_MAXIMIZED=FALSE&amp;VAR:CALENDAR=US&amp;VAR:SYMBOL=MOG.A&amp;VAR:INDEX=0"}</definedName>
    <definedName name="_71__FDSAUDITLINK__" hidden="1">{"fdsup://directions/FAT Viewer?action=UPDATE&amp;creator=factset&amp;DYN_ARGS=TRUE&amp;DOC_NAME=FAT:FQL_AUDITING_CLIENT_TEMPLATE.FAT&amp;display_string=Audit&amp;VAR:KEY=ELEPSJCPKH&amp;VAR:QUERY=RkZfRU5UUlBSX1ZBTF9EQUlMWSgxMC8yNy8yMDEwLCwsLCwnRElMJykvRUNBX01FQU5fRUJJVERBKDIwMTEsM","TAvMjcvMjAxMCk=&amp;WINDOW=FIRST_POPUP&amp;HEIGHT=450&amp;WIDTH=450&amp;START_MAXIMIZED=FALSE&amp;VAR:CALENDAR=US&amp;VAR:SYMBOL=MOG.A&amp;VAR:INDEX=0"}</definedName>
    <definedName name="_72__FDSAUDITLINK__" hidden="1">{"fdsup://directions/FAT Viewer?action=UPDATE&amp;creator=factset&amp;DYN_ARGS=TRUE&amp;DOC_NAME=FAT:FQL_AUDITING_CLIENT_TEMPLATE.FAT&amp;display_string=Audit&amp;VAR:KEY=YLUPQBWBAD&amp;VAR:QUERY=RkZfRU5UUlBSX1ZBTF9EQUlMWSgxMC8yNy8yMDEwLCwsLCwnRElMJykvRUNBX01FQU5fRUJJVERBKDIwMTAsM","TAvMjcvMjAxMCk=&amp;WINDOW=FIRST_POPUP&amp;HEIGHT=450&amp;WIDTH=450&amp;START_MAXIMIZED=FALSE&amp;VAR:CALENDAR=US&amp;VAR:SYMBOL=MOG.A&amp;VAR:INDEX=0"}</definedName>
    <definedName name="_73__FDSAUDITLINK__" hidden="1">{"fdsup://directions/FAT Viewer?action=UPDATE&amp;creator=factset&amp;DYN_ARGS=TRUE&amp;DOC_NAME=FAT:FQL_AUDITING_CLIENT_TEMPLATE.FAT&amp;display_string=Audit&amp;VAR:KEY=UZEXULGXAJ&amp;VAR:QUERY=RkZfRU5UUlBSX1ZBTF9EQUlMWSgxMC8yNy8yMDEwLCwsLCwnRElMJykvRUNBX01FQU5fU0FMRVMoMjAxMiwxM","C8yNy8yMDEwKQ==&amp;WINDOW=FIRST_POPUP&amp;HEIGHT=450&amp;WIDTH=450&amp;START_MAXIMIZED=FALSE&amp;VAR:CALENDAR=US&amp;VAR:SYMBOL=COL&amp;VAR:INDEX=0"}</definedName>
    <definedName name="_74__FDSAUDITLINK__" hidden="1">{"fdsup://directions/FAT Viewer?action=UPDATE&amp;creator=factset&amp;DYN_ARGS=TRUE&amp;DOC_NAME=FAT:FQL_AUDITING_CLIENT_TEMPLATE.FAT&amp;display_string=Audit&amp;VAR:KEY=CVIFIBMNGB&amp;VAR:QUERY=RkZfRU5UUlBSX1ZBTF9EQUlMWSgxMC8yNy8yMDEwLCwsLCwnRElMJykvRUNBX01FQU5fU0FMRVMoMjAxMSwxM","C8yNy8yMDEwKQ==&amp;WINDOW=FIRST_POPUP&amp;HEIGHT=450&amp;WIDTH=450&amp;START_MAXIMIZED=FALSE&amp;VAR:CALENDAR=US&amp;VAR:SYMBOL=COL&amp;VAR:INDEX=0"}</definedName>
    <definedName name="_75__FDSAUDITLINK__" hidden="1">{"fdsup://directions/FAT Viewer?action=UPDATE&amp;creator=factset&amp;DYN_ARGS=TRUE&amp;DOC_NAME=FAT:FQL_AUDITING_CLIENT_TEMPLATE.FAT&amp;display_string=Audit&amp;VAR:KEY=ADWNOJQNAH&amp;VAR:QUERY=RkZfRU5UUlBSX1ZBTF9EQUlMWSgxMC8yNy8yMDEwLCwsLCwnRElMJykvRUNBX01FQU5fU0FMRVMoMjAxMCwxM","C8yNy8yMDEwKQ==&amp;WINDOW=FIRST_POPUP&amp;HEIGHT=450&amp;WIDTH=450&amp;START_MAXIMIZED=FALSE&amp;VAR:CALENDAR=US&amp;VAR:SYMBOL=COL&amp;VAR:INDEX=0"}</definedName>
    <definedName name="_76__FDSAUDITLINK__" hidden="1">{"fdsup://directions/FAT Viewer?action=UPDATE&amp;creator=factset&amp;DYN_ARGS=TRUE&amp;DOC_NAME=FAT:FQL_AUDITING_CLIENT_TEMPLATE.FAT&amp;display_string=Audit&amp;VAR:KEY=KTUZMNUTMT&amp;VAR:QUERY=RkZfRU5UUlBSX1ZBTF9EQUlMWSgxMC8yNy8yMDEwLCwsLCwnRElMJykvRUNBX01FQU5fRUJJVCgyMDEyLDEwL","zI3LzIwMTAp&amp;WINDOW=FIRST_POPUP&amp;HEIGHT=450&amp;WIDTH=450&amp;START_MAXIMIZED=FALSE&amp;VAR:CALENDAR=US&amp;VAR:SYMBOL=COL&amp;VAR:INDEX=0"}</definedName>
    <definedName name="_77__FDSAUDITLINK__" hidden="1">{"fdsup://directions/FAT Viewer?action=UPDATE&amp;creator=factset&amp;DYN_ARGS=TRUE&amp;DOC_NAME=FAT:FQL_AUDITING_CLIENT_TEMPLATE.FAT&amp;display_string=Audit&amp;VAR:KEY=UBWFKZUTOF&amp;VAR:QUERY=RkZfRU5UUlBSX1ZBTF9EQUlMWSgxMC8yNy8yMDEwLCwsLCwnRElMJykvRUNBX01FQU5fRUJJVCgyMDExLDEwL","zI3LzIwMTAp&amp;WINDOW=FIRST_POPUP&amp;HEIGHT=450&amp;WIDTH=450&amp;START_MAXIMIZED=FALSE&amp;VAR:CALENDAR=US&amp;VAR:SYMBOL=COL&amp;VAR:INDEX=0"}</definedName>
    <definedName name="_78__FDSAUDITLINK__" hidden="1">{"fdsup://directions/FAT Viewer?action=UPDATE&amp;creator=factset&amp;DYN_ARGS=TRUE&amp;DOC_NAME=FAT:FQL_AUDITING_CLIENT_TEMPLATE.FAT&amp;display_string=Audit&amp;VAR:KEY=SXQVUDMNUF&amp;VAR:QUERY=RkZfRU5UUlBSX1ZBTF9EQUlMWSgxMC8yNy8yMDEwLCwsLCwnRElMJykvRUNBX01FQU5fRUJJVCgyMDEwLDEwL","zI3LzIwMTAp&amp;WINDOW=FIRST_POPUP&amp;HEIGHT=450&amp;WIDTH=450&amp;START_MAXIMIZED=FALSE&amp;VAR:CALENDAR=US&amp;VAR:SYMBOL=COL&amp;VAR:INDEX=0"}</definedName>
    <definedName name="_79__FDSAUDITLINK__" hidden="1">{"fdsup://directions/FAT Viewer?action=UPDATE&amp;creator=factset&amp;DYN_ARGS=TRUE&amp;DOC_NAME=FAT:FQL_AUDITING_CLIENT_TEMPLATE.FAT&amp;display_string=Audit&amp;VAR:KEY=MBKFOPOJEN&amp;VAR:QUERY=RkZfRU5UUlBSX1ZBTF9EQUlMWSgxMC8yNy8yMDEwLCwsLCwnRElMJykvRUNBX01FQU5fRUJJVERBKDIwMTIsM","TAvMjcvMjAxMCk=&amp;WINDOW=FIRST_POPUP&amp;HEIGHT=450&amp;WIDTH=450&amp;START_MAXIMIZED=FALSE&amp;VAR:CALENDAR=US&amp;VAR:SYMBOL=COL&amp;VAR:INDEX=0"}</definedName>
    <definedName name="_8__123Graph_BCHART_2E" hidden="1">[1]Aerospace!$AD$342:$AD$373</definedName>
    <definedName name="_8__FDSAUDITLINK__" hidden="1">{"fdsup://directions/FAT Viewer?action=UPDATE&amp;creator=factset&amp;DYN_ARGS=TRUE&amp;DOC_NAME=FAT:FQL_AUDITING_CLIENT_TEMPLATE.FAT&amp;display_string=Audit&amp;VAR:KEY=SJKDQBQDGZ&amp;VAR:QUERY=RkZfRU5UUlBSX1ZBTF9EQUlMWSgwNy8yNi8yMDExLCwsLCwnRElMJykvRUNBX01FQU5fRUJJVERBKDIwMTEsM","DcvMjYvMjAxMSk=&amp;WINDOW=FIRST_POPUP&amp;HEIGHT=450&amp;WIDTH=450&amp;START_MAXIMIZED=FALSE&amp;VAR:CALENDAR=FIVEDAY&amp;VAR:SYMBOL=057580&amp;VAR:INDEX=0"}</definedName>
    <definedName name="_80__FDSAUDITLINK__" hidden="1">{"fdsup://directions/FAT Viewer?action=UPDATE&amp;creator=factset&amp;DYN_ARGS=TRUE&amp;DOC_NAME=FAT:FQL_AUDITING_CLIENT_TEMPLATE.FAT&amp;display_string=Audit&amp;VAR:KEY=QDAJYBQFOZ&amp;VAR:QUERY=RkZfRU5UUlBSX1ZBTF9EQUlMWSgxMC8yNy8yMDEwLCwsLCwnRElMJykvRUNBX01FQU5fRUJJVERBKDIwMTEsM","TAvMjcvMjAxMCk=&amp;WINDOW=FIRST_POPUP&amp;HEIGHT=450&amp;WIDTH=450&amp;START_MAXIMIZED=FALSE&amp;VAR:CALENDAR=US&amp;VAR:SYMBOL=COL&amp;VAR:INDEX=0"}</definedName>
    <definedName name="_81__FDSAUDITLINK__" hidden="1">{"fdsup://directions/FAT Viewer?action=UPDATE&amp;creator=factset&amp;DYN_ARGS=TRUE&amp;DOC_NAME=FAT:FQL_AUDITING_CLIENT_TEMPLATE.FAT&amp;display_string=Audit&amp;VAR:KEY=EBQJABYBYP&amp;VAR:QUERY=RkZfRU5UUlBSX1ZBTF9EQUlMWSgxMC8yNy8yMDEwLCwsLCwnRElMJykvRUNBX01FQU5fRUJJVERBKDIwMTAsM","TAvMjcvMjAxMCk=&amp;WINDOW=FIRST_POPUP&amp;HEIGHT=450&amp;WIDTH=450&amp;START_MAXIMIZED=FALSE&amp;VAR:CALENDAR=US&amp;VAR:SYMBOL=COL&amp;VAR:INDEX=0"}</definedName>
    <definedName name="_82__FDSAUDITLINK__" hidden="1">{"fdsup://directions/FAT Viewer?action=UPDATE&amp;creator=factset&amp;DYN_ARGS=TRUE&amp;DOC_NAME=FAT:FQL_AUDITING_CLIENT_TEMPLATE.FAT&amp;display_string=Audit&amp;VAR:KEY=YZUBGLOBIX&amp;VAR:QUERY=RkZfRU5UUlBSX1ZBTF9EQUlMWSgxMC8yNy8yMDEwLCwsLCwnRElMJykvRUNBX01FQU5fU0FMRVMoMjAxMiwxM","C8yNy8yMDEwKQ==&amp;WINDOW=FIRST_POPUP&amp;HEIGHT=450&amp;WIDTH=450&amp;START_MAXIMIZED=FALSE&amp;VAR:CALENDAR=US&amp;VAR:SYMBOL=BEAV&amp;VAR:INDEX=0"}</definedName>
    <definedName name="_83__FDSAUDITLINK__" hidden="1">{"fdsup://directions/FAT Viewer?action=UPDATE&amp;creator=factset&amp;DYN_ARGS=TRUE&amp;DOC_NAME=FAT:FQL_AUDITING_CLIENT_TEMPLATE.FAT&amp;display_string=Audit&amp;VAR:KEY=CJCFWTKZYB&amp;VAR:QUERY=RkZfRU5UUlBSX1ZBTF9EQUlMWSgxMC8yNy8yMDEwLCwsLCwnRElMJykvRUNBX01FQU5fU0FMRVMoMjAxMSwxM","C8yNy8yMDEwKQ==&amp;WINDOW=FIRST_POPUP&amp;HEIGHT=450&amp;WIDTH=450&amp;START_MAXIMIZED=FALSE&amp;VAR:CALENDAR=US&amp;VAR:SYMBOL=BEAV&amp;VAR:INDEX=0"}</definedName>
    <definedName name="_84__FDSAUDITLINK__" hidden="1">{"fdsup://directions/FAT Viewer?action=UPDATE&amp;creator=factset&amp;DYN_ARGS=TRUE&amp;DOC_NAME=FAT:FQL_AUDITING_CLIENT_TEMPLATE.FAT&amp;display_string=Audit&amp;VAR:KEY=GHILWFMFIP&amp;VAR:QUERY=RkZfRU5UUlBSX1ZBTF9EQUlMWSgxMC8yNy8yMDEwLCwsLCwnRElMJykvRUNBX01FQU5fU0FMRVMoMjAxMCwxM","C8yNy8yMDEwKQ==&amp;WINDOW=FIRST_POPUP&amp;HEIGHT=450&amp;WIDTH=450&amp;START_MAXIMIZED=FALSE&amp;VAR:CALENDAR=US&amp;VAR:SYMBOL=BEAV&amp;VAR:INDEX=0"}</definedName>
    <definedName name="_85__FDSAUDITLINK__" hidden="1">{"fdsup://directions/FAT Viewer?action=UPDATE&amp;creator=factset&amp;DYN_ARGS=TRUE&amp;DOC_NAME=FAT:FQL_AUDITING_CLIENT_TEMPLATE.FAT&amp;display_string=Audit&amp;VAR:KEY=GDIHCTEZWX&amp;VAR:QUERY=RkZfRU5UUlBSX1ZBTF9EQUlMWSgxMC8yNy8yMDEwLCwsLCwnRElMJykvRUNBX01FQU5fRUJJVCgyMDEyLDEwL","zI3LzIwMTAp&amp;WINDOW=FIRST_POPUP&amp;HEIGHT=450&amp;WIDTH=450&amp;START_MAXIMIZED=FALSE&amp;VAR:CALENDAR=US&amp;VAR:SYMBOL=BEAV&amp;VAR:INDEX=0"}</definedName>
    <definedName name="_86__FDSAUDITLINK__" hidden="1">{"fdsup://directions/FAT Viewer?action=UPDATE&amp;creator=factset&amp;DYN_ARGS=TRUE&amp;DOC_NAME=FAT:FQL_AUDITING_CLIENT_TEMPLATE.FAT&amp;display_string=Audit&amp;VAR:KEY=AFMBOVUXYD&amp;VAR:QUERY=RkZfRU5UUlBSX1ZBTF9EQUlMWSgxMC8yNy8yMDEwLCwsLCwnRElMJykvRUNBX01FQU5fRUJJVCgyMDExLDEwL","zI3LzIwMTAp&amp;WINDOW=FIRST_POPUP&amp;HEIGHT=450&amp;WIDTH=450&amp;START_MAXIMIZED=FALSE&amp;VAR:CALENDAR=US&amp;VAR:SYMBOL=BEAV&amp;VAR:INDEX=0"}</definedName>
    <definedName name="_87__FDSAUDITLINK__" hidden="1">{"fdsup://directions/FAT Viewer?action=UPDATE&amp;creator=factset&amp;DYN_ARGS=TRUE&amp;DOC_NAME=FAT:FQL_AUDITING_CLIENT_TEMPLATE.FAT&amp;display_string=Audit&amp;VAR:KEY=WVGFSRUBMR&amp;VAR:QUERY=RkZfRU5UUlBSX1ZBTF9EQUlMWSgxMC8yNy8yMDEwLCwsLCwnRElMJykvRUNBX01FQU5fRUJJVCgyMDEwLDEwL","zI3LzIwMTAp&amp;WINDOW=FIRST_POPUP&amp;HEIGHT=450&amp;WIDTH=450&amp;START_MAXIMIZED=FALSE&amp;VAR:CALENDAR=US&amp;VAR:SYMBOL=BEAV&amp;VAR:INDEX=0"}</definedName>
    <definedName name="_88__FDSAUDITLINK__" hidden="1">{"fdsup://directions/FAT Viewer?action=UPDATE&amp;creator=factset&amp;DYN_ARGS=TRUE&amp;DOC_NAME=FAT:FQL_AUDITING_CLIENT_TEMPLATE.FAT&amp;display_string=Audit&amp;VAR:KEY=UBKVOVQJMJ&amp;VAR:QUERY=RkZfRU5UUlBSX1ZBTF9EQUlMWSgxMC8yNy8yMDEwLCwsLCwnRElMJykvRUNBX01FQU5fRUJJVERBKDIwMTIsM","TAvMjcvMjAxMCk=&amp;WINDOW=FIRST_POPUP&amp;HEIGHT=450&amp;WIDTH=450&amp;START_MAXIMIZED=FALSE&amp;VAR:CALENDAR=US&amp;VAR:SYMBOL=BEAV&amp;VAR:INDEX=0"}</definedName>
    <definedName name="_89__FDSAUDITLINK__" hidden="1">{"fdsup://directions/FAT Viewer?action=UPDATE&amp;creator=factset&amp;DYN_ARGS=TRUE&amp;DOC_NAME=FAT:FQL_AUDITING_CLIENT_TEMPLATE.FAT&amp;display_string=Audit&amp;VAR:KEY=GPYXQBABCJ&amp;VAR:QUERY=RkZfRU5UUlBSX1ZBTF9EQUlMWSgxMC8yNy8yMDEwLCwsLCwnRElMJykvRUNBX01FQU5fRUJJVERBKDIwMTEsM","TAvMjcvMjAxMCk=&amp;WINDOW=FIRST_POPUP&amp;HEIGHT=450&amp;WIDTH=450&amp;START_MAXIMIZED=FALSE&amp;VAR:CALENDAR=US&amp;VAR:SYMBOL=BEAV&amp;VAR:INDEX=0"}</definedName>
    <definedName name="_9__123Graph_Aｸﾞﾗﾌ_1" hidden="1">[2]ｾｸﾞﾒﾝﾄ!$E$164:$I$164</definedName>
    <definedName name="_9__123Graph_Bｸﾞﾗﾌ_1" hidden="1">[2]ｾｸﾞﾒﾝﾄ!$E$165:$I$165</definedName>
    <definedName name="_9__FDSAUDITLINK__" hidden="1">{"fdsup://directions/FAT Viewer?action=UPDATE&amp;creator=factset&amp;DYN_ARGS=TRUE&amp;DOC_NAME=FAT:FQL_AUDITING_CLIENT_TEMPLATE.FAT&amp;display_string=Audit&amp;VAR:KEY=CNCPCRILGF&amp;VAR:QUERY=RkZfRU5UUlBSX1ZBTF9EQUlMWSgwNy8yNi8yMDExLCwsLCwnRElMJykvRUNBX01FQU5fRUJJVERBKDIwMTAsM","DcvMjYvMjAxMSk=&amp;WINDOW=FIRST_POPUP&amp;HEIGHT=450&amp;WIDTH=450&amp;START_MAXIMIZED=FALSE&amp;VAR:CALENDAR=FIVEDAY&amp;VAR:SYMBOL=057580&amp;VAR:INDEX=0"}</definedName>
    <definedName name="_90__FDSAUDITLINK__" hidden="1">{"fdsup://directions/FAT Viewer?action=UPDATE&amp;creator=factset&amp;DYN_ARGS=TRUE&amp;DOC_NAME=FAT:FQL_AUDITING_CLIENT_TEMPLATE.FAT&amp;display_string=Audit&amp;VAR:KEY=GXOBITUHIN&amp;VAR:QUERY=RkZfRU5UUlBSX1ZBTF9EQUlMWSgxMC8yNy8yMDEwLCwsLCwnRElMJykvRUNBX01FQU5fRUJJVERBKDIwMTAsM","TAvMjcvMjAxMCk=&amp;WINDOW=FIRST_POPUP&amp;HEIGHT=450&amp;WIDTH=450&amp;START_MAXIMIZED=FALSE&amp;VAR:CALENDAR=US&amp;VAR:SYMBOL=BEAV&amp;VAR:INDEX=0"}</definedName>
    <definedName name="_91__FDSAUDITLINK__" hidden="1">{"fdsup://directions/FAT Viewer?action=UPDATE&amp;creator=factset&amp;DYN_ARGS=TRUE&amp;DOC_NAME=FAT:FQL_AUDITING_CLIENT_TEMPLATE.FAT&amp;display_string=Audit&amp;VAR:KEY=WBABKTKNKJ&amp;VAR:QUERY=RkZfRU5UUlBSX1ZBTF9EQUlMWSgxMC8yNy8yMDEwLCwsLCwnRElMJykvRUNBX01FQU5fU0FMRVMoMjAxMiwxM","C8yNy8yMDEwKQ==&amp;WINDOW=FIRST_POPUP&amp;HEIGHT=450&amp;WIDTH=450&amp;START_MAXIMIZED=FALSE&amp;VAR:CALENDAR=US&amp;VAR:SYMBOL=057580&amp;VAR:INDEX=0"}</definedName>
    <definedName name="_92__FDSAUDITLINK__" hidden="1">{"fdsup://directions/FAT Viewer?action=UPDATE&amp;creator=factset&amp;DYN_ARGS=TRUE&amp;DOC_NAME=FAT:FQL_AUDITING_CLIENT_TEMPLATE.FAT&amp;display_string=Audit&amp;VAR:KEY=UTAHKNITMN&amp;VAR:QUERY=RkZfRU5UUlBSX1ZBTF9EQUlMWSgxMC8yNy8yMDEwLCwsLCwnRElMJykvRUNBX01FQU5fU0FMRVMoMjAxMSwxM","C8yNy8yMDEwKQ==&amp;WINDOW=FIRST_POPUP&amp;HEIGHT=450&amp;WIDTH=450&amp;START_MAXIMIZED=FALSE&amp;VAR:CALENDAR=US&amp;VAR:SYMBOL=057580&amp;VAR:INDEX=0"}</definedName>
    <definedName name="_93__FDSAUDITLINK__" hidden="1">{"fdsup://directions/FAT Viewer?action=UPDATE&amp;creator=factset&amp;DYN_ARGS=TRUE&amp;DOC_NAME=FAT:FQL_AUDITING_CLIENT_TEMPLATE.FAT&amp;display_string=Audit&amp;VAR:KEY=AXQDEXGDCB&amp;VAR:QUERY=RkZfRU5UUlBSX1ZBTF9EQUlMWSgxMC8yNy8yMDEwLCwsLCwnRElMJykvRUNBX01FQU5fU0FMRVMoMjAxMCwxM","C8yNy8yMDEwKQ==&amp;WINDOW=FIRST_POPUP&amp;HEIGHT=450&amp;WIDTH=450&amp;START_MAXIMIZED=FALSE&amp;VAR:CALENDAR=US&amp;VAR:SYMBOL=057580&amp;VAR:INDEX=0"}</definedName>
    <definedName name="_94__FDSAUDITLINK__" hidden="1">{"fdsup://directions/FAT Viewer?action=UPDATE&amp;creator=factset&amp;DYN_ARGS=TRUE&amp;DOC_NAME=FAT:FQL_AUDITING_CLIENT_TEMPLATE.FAT&amp;display_string=Audit&amp;VAR:KEY=CPYVKNGNSH&amp;VAR:QUERY=RkZfRU5UUlBSX1ZBTF9EQUlMWSgxMC8yNy8yMDEwLCwsLCwnRElMJykvRUNBX01FQU5fRUJJVCgyMDEyLDEwL","zI3LzIwMTAp&amp;WINDOW=FIRST_POPUP&amp;HEIGHT=450&amp;WIDTH=450&amp;START_MAXIMIZED=FALSE&amp;VAR:CALENDAR=US&amp;VAR:SYMBOL=057580&amp;VAR:INDEX=0"}</definedName>
    <definedName name="_95__FDSAUDITLINK__" hidden="1">{"fdsup://directions/FAT Viewer?action=UPDATE&amp;creator=factset&amp;DYN_ARGS=TRUE&amp;DOC_NAME=FAT:FQL_AUDITING_CLIENT_TEMPLATE.FAT&amp;display_string=Audit&amp;VAR:KEY=WDUVANYXSN&amp;VAR:QUERY=RkZfRU5UUlBSX1ZBTF9EQUlMWSgxMC8yNy8yMDEwLCwsLCwnRElMJykvRUNBX01FQU5fRUJJVCgyMDExLDEwL","zI3LzIwMTAp&amp;WINDOW=FIRST_POPUP&amp;HEIGHT=450&amp;WIDTH=450&amp;START_MAXIMIZED=FALSE&amp;VAR:CALENDAR=US&amp;VAR:SYMBOL=057580&amp;VAR:INDEX=0"}</definedName>
    <definedName name="_96__FDSAUDITLINK__" hidden="1">{"fdsup://directions/FAT Viewer?action=UPDATE&amp;creator=factset&amp;DYN_ARGS=TRUE&amp;DOC_NAME=FAT:FQL_AUDITING_CLIENT_TEMPLATE.FAT&amp;display_string=Audit&amp;VAR:KEY=CRCHCTYTWZ&amp;VAR:QUERY=RkZfRU5UUlBSX1ZBTF9EQUlMWSgxMC8yNy8yMDEwLCwsLCwnRElMJykvRUNBX01FQU5fRUJJVCgyMDEwLDEwL","zI3LzIwMTAp&amp;WINDOW=FIRST_POPUP&amp;HEIGHT=450&amp;WIDTH=450&amp;START_MAXIMIZED=FALSE&amp;VAR:CALENDAR=US&amp;VAR:SYMBOL=057580&amp;VAR:INDEX=0"}</definedName>
    <definedName name="_97__FDSAUDITLINK__" hidden="1">{"fdsup://directions/FAT Viewer?action=UPDATE&amp;creator=factset&amp;DYN_ARGS=TRUE&amp;DOC_NAME=FAT:FQL_AUDITING_CLIENT_TEMPLATE.FAT&amp;display_string=Audit&amp;VAR:KEY=SBKRYBSRMX&amp;VAR:QUERY=RkZfRU5UUlBSX1ZBTF9EQUlMWSgxMC8yNy8yMDEwLCwsLCwnRElMJykvRUNBX01FQU5fRUJJVERBKDIwMTIsM","TAvMjcvMjAxMCk=&amp;WINDOW=FIRST_POPUP&amp;HEIGHT=450&amp;WIDTH=450&amp;START_MAXIMIZED=FALSE&amp;VAR:CALENDAR=US&amp;VAR:SYMBOL=057580&amp;VAR:INDEX=0"}</definedName>
    <definedName name="_98__FDSAUDITLINK__" hidden="1">{"fdsup://directions/FAT Viewer?action=UPDATE&amp;creator=factset&amp;DYN_ARGS=TRUE&amp;DOC_NAME=FAT:FQL_AUDITING_CLIENT_TEMPLATE.FAT&amp;display_string=Audit&amp;VAR:KEY=CPOXOLKXOL&amp;VAR:QUERY=RkZfRU5UUlBSX1ZBTF9EQUlMWSgxMC8yNy8yMDEwLCwsLCwnRElMJykvRUNBX01FQU5fRUJJVERBKDIwMTEsM","TAvMjcvMjAxMCk=&amp;WINDOW=FIRST_POPUP&amp;HEIGHT=450&amp;WIDTH=450&amp;START_MAXIMIZED=FALSE&amp;VAR:CALENDAR=US&amp;VAR:SYMBOL=057580&amp;VAR:INDEX=0"}</definedName>
    <definedName name="_99__FDSAUDITLINK__" hidden="1">{"fdsup://directions/FAT Viewer?action=UPDATE&amp;creator=factset&amp;DYN_ARGS=TRUE&amp;DOC_NAME=FAT:FQL_AUDITING_CLIENT_TEMPLATE.FAT&amp;display_string=Audit&amp;VAR:KEY=QRYRIFQZUP&amp;VAR:QUERY=RkZfRU5UUlBSX1ZBTF9EQUlMWSgxMC8yNy8yMDEwLCwsLCwnRElMJykvRUNBX01FQU5fRUJJVERBKDIwMTAsM","TAvMjcvMjAxMCk=&amp;WINDOW=FIRST_POPUP&amp;HEIGHT=450&amp;WIDTH=450&amp;START_MAXIMIZED=FALSE&amp;VAR:CALENDAR=US&amp;VAR:SYMBOL=057580&amp;VAR:INDEX=0"}</definedName>
    <definedName name="_ActualvsExpect">[1]Tables!$CD$268:$CI$281</definedName>
    <definedName name="_actvsexp">[1]Tables!$CD$226:$CL$237</definedName>
    <definedName name="_actvsexpwocomments">[1]Tables!$CD$226:$CI$237</definedName>
    <definedName name="_bdm.02E29E7B1053433EA3CCCBE4E5141596.edm" hidden="1">[5]Sheet1!$A:$IV</definedName>
    <definedName name="_bdm.05C76620D0F942BD91694A7441F1F5C8.edm" hidden="1" xml:space="preserve">                                    [6]Charts!$A:$IV</definedName>
    <definedName name="_bdm.078EA78924E84E8D85C00E79DB46B34D.edm" hidden="1">'[7]Monthly Note'!$A:$IV</definedName>
    <definedName name="_bdm.0A309A7C54694B58B44FD1219DEB06D6.edm" hidden="1" xml:space="preserve">                    [8]Charts!$A:$IV</definedName>
    <definedName name="_bdm.0B3D3E997120452FBC2D66FEB853AEB5.edm" hidden="1">'[9]Old Format'!$A:$IV</definedName>
    <definedName name="_bdm.0CF6476ABCD740CBBD526EFD70553332.edm" hidden="1">'[10]BJs charts'!$A:$IV</definedName>
    <definedName name="_bdm.0FE4CCE013E445E6BACF2B2139C3125F.edm" hidden="1" xml:space="preserve">                                    [6]Charts!$A:$IV</definedName>
    <definedName name="_bdm.11EB72ACE3374B1CB252FDD683429D59.edm" hidden="1">[11]C1500!$A:$IV</definedName>
    <definedName name="_bdm.14505C7EA9BF421980DFF73F48458FA0.edm" hidden="1">[12]Scratch!$A:$IV</definedName>
    <definedName name="_bdm.147D945281854BAD92540BF0916FBE8E.edm" hidden="1">'[9]Deliveries LCA &amp; RJ'!$A:$IV</definedName>
    <definedName name="_bdm.157183DAF1E84906A95424A6EC9D85A4.edm" hidden="1">[12]FCF!$A:$IV</definedName>
    <definedName name="_bdm.15E035C6D252441EBE1CA7246B35B9BF.edm" hidden="1" xml:space="preserve">                                    [6]Charts!$A:$IV</definedName>
    <definedName name="_bdm.17B254B60E574C2FB9729545A86672B8.edm" hidden="1" xml:space="preserve">                    [8]Charts!$A:$IV</definedName>
    <definedName name="_bdm.1E1A1F0BCC22433CB91E014ED273A01A.edm" hidden="1">'[13]F35 Analysis'!$A:$IV</definedName>
    <definedName name="_bdm.1FC41A8947EA40ECB546F0F88AAD1069.edm" hidden="1">[1]Aerospace!$A:$IV</definedName>
    <definedName name="_bdm.2061331506604D9FAA33EA18B64E87B8.edm" hidden="1">[1]Aerospacemodel!$A:$IV</definedName>
    <definedName name="_bdm.239F81C4FCB14E8E837150F85A952995.edm" hidden="1" xml:space="preserve">              [6]FCF!$A:$IV</definedName>
    <definedName name="_bdm.266670196A064D96BEB637495C0C3E7D.edm" hidden="1">'[9]Backlog v Deliveries'!$A:$IV</definedName>
    <definedName name="_bdm.27FA7C534A97476B8A53B3D84C38F75B.edm" hidden="1">'[7]Boeing Del Schedule- Reported'!$A:$IV</definedName>
    <definedName name="_bdm.2D0960B0D04847B19CCA5C16D808F1D2.edm" hidden="1" xml:space="preserve">              [6]FCF!$A:$IV</definedName>
    <definedName name="_bdm.2E5B8185B9C24169A0E58561C92910AD.edm" hidden="1" xml:space="preserve">        [6]Sensitivity!$A:$IV</definedName>
    <definedName name="_bdm.2F3E2D1A137043FD84CADCE9EA8304AC.edm" hidden="1" xml:space="preserve">              [6]FCF!$A:$IV</definedName>
    <definedName name="_bdm.308A2BC54F3348DD849DDB2142BA41B4.edm" hidden="1">'[7]787 vs A350 Orders'!$A:$IV</definedName>
    <definedName name="_bdm.343E216D5B414568A14BCBF2B2272126.edm" hidden="1">'[9]Airbus Monthly'!$A:$IV</definedName>
    <definedName name="_bdm.35FE14BF4EA64E7FB4E1024B97988A70.edm" hidden="1">[14]Deliveries!$A:$IV</definedName>
    <definedName name="_bdm.38623E9759C140A08ECC1DCA6D676F49.edm" hidden="1" xml:space="preserve">                    [8]Pension!$A:$IV</definedName>
    <definedName name="_bdm.398EE42877E946E2A1A0BF5366E69083.edm" hidden="1">[15]Scratch!$A:$IV</definedName>
    <definedName name="_bdm.3BA3F032213D4DC0879368F226B0ACFB.edm" hidden="1">[1]Historical!$A:$IV</definedName>
    <definedName name="_bdm.3C2DC0AA74BE43CB8FC86B2C5BB472F1.edm" hidden="1">'[16]MWA RR'!$A:$IV</definedName>
    <definedName name="_bdm.4245E76961BA47F3BEE79C56B40B4FF1.edm" hidden="1">'[7]Paris 05 Orders'!$A:$IV</definedName>
    <definedName name="_bdm.4734EDA442224401A6F676759E588CA3.edm" hidden="1">[1]Tables!$A:$IV</definedName>
    <definedName name="_bdm.47419B450E0B4977AEDD16CD5669726A.edm" hidden="1">[15]Variance!$A:$IV</definedName>
    <definedName name="_bdm.4B0A00B2D50C478196AEE2DE4077891C.edm" hidden="1">'[9]Boeing Monthly'!$A:$IV</definedName>
    <definedName name="_bdm.4CC88C4501154E8CB7D8110D590F116E.edm" hidden="1" xml:space="preserve">                                    [6]Charts!$A:$IV</definedName>
    <definedName name="_bdm.4F0497BCADEC4BC9B6B2D1023BD52A4D.edm" hidden="1" xml:space="preserve">                    [8]Charts!$A:$IV</definedName>
    <definedName name="_bdm.53AEC234A9334FF985E56778AD2527A2.edm" hidden="1">'[1]Sum of Parts'!$A:$IV</definedName>
    <definedName name="_bdm.563F9366C63F43DD93BE87B09D05918B.edm" hidden="1" xml:space="preserve">                    [8]Charts!$A:$IV</definedName>
    <definedName name="_bdm.5929A3875CC54C5392CE41B76CCE5ED4.edm" hidden="1" xml:space="preserve">              [6]FCF!$A:$IV</definedName>
    <definedName name="_bdm.594AC617276D42EB850DC98D0A94EEFE.edm" hidden="1">[1]mwareSettings!$A:$IV</definedName>
    <definedName name="_bdm.5967BDAB0381464AB44AD26330B61961.edm" hidden="1">[1]Resources!$A:$IV</definedName>
    <definedName name="_bdm.61C58FA279E54130900B21E8B4865A66.edm" hidden="1" xml:space="preserve">                    [8]Walk!$A:$IV</definedName>
    <definedName name="_bdm.626FF1703AAC42B7BAD6A57CDB997F50.edm" hidden="1">[17]DDM!$A:$IV</definedName>
    <definedName name="_bdm.65820A31135B4F2A9C85BECB29D10637.edm" hidden="1">'[12]MWA RR'!$A:$IV</definedName>
    <definedName name="_bdm.69B88B76B1B64D43AA8C731E93AEBECE.edm" hidden="1">[1]Quarterly!$A:$IV</definedName>
    <definedName name="_bdm.6DC0A0F673744BCDAA7DFC156B424095.edm" hidden="1">[17]FX!$A:$IV</definedName>
    <definedName name="_bdm.732E3ADD87814FF19D1501A8B61B4F6B.edm" hidden="1">[17]SOTP!$A:$IV</definedName>
    <definedName name="_bdm.761AA87A722B4ECDB42BE133587B5F08.edm" hidden="1">'[15]Comm Networks'!$A:$IV</definedName>
    <definedName name="_bdm.77F96403296B45A1AB7B76004A7450CE.edm" hidden="1">'[7]Boeing Del Schedule'!$A:$IV</definedName>
    <definedName name="_bdm.7A1B969AA9F34694B5A5BE94DF418973.edm" hidden="1" xml:space="preserve">                          '[6]2010e Fair Market Value'!$A:$IV</definedName>
    <definedName name="_bdm.7B29AB6E4D784D59966D698C096CF906.edm" hidden="1" xml:space="preserve">                          [6]FCF!$A:$IV</definedName>
    <definedName name="_bdm.7B625CC9C9964BA48BDD9DBECD5CD6B4.edm" hidden="1">'[1]Gulf Backlog'!$A:$IV</definedName>
    <definedName name="_bdm.7D78028F194C41A7BDFA1D1A0F9CD507.edm" hidden="1">[18]Sheet1!$A:$IV</definedName>
    <definedName name="_bdm.7F22CBDFEEAE4328A00D529162BAA0AF.edm" hidden="1">'[9]Storage Summary'!$A:$IV</definedName>
    <definedName name="_bdm.853AD08E651648D1B91CB8C66D89BC17.edm" hidden="1">[12]SOTP!$A:$IV</definedName>
    <definedName name="_bdm.8CF40BC716584083A0F217F33DD5F511.edm" hidden="1">'[15]Govt Systems'!$A:$IV</definedName>
    <definedName name="_bdm.93F1714AA3EA4E53B6ECBD6353C50769.edm" hidden="1" xml:space="preserve">                                        [6]Sensitivity!$A:$IV</definedName>
    <definedName name="_bdm.943F4B03FC0140B6AFE1A172565651BD.edm" hidden="1">'[9]WW Fleet Stats'!$A:$IV</definedName>
    <definedName name="_bdm.990192282A5E464980704B34CC58ACC1.edm" hidden="1">'[9]Sang-scratch'!$A:$IV</definedName>
    <definedName name="_bdm.9AAE8749CB734469BD1407FBAD7BA49E.edm" hidden="1">'[12]Comm Systems'!$A:$IV</definedName>
    <definedName name="_bdm.9E6C55D26149430081F9F1316173B659.edm" hidden="1">'[1]MWA RR'!$A:$IV</definedName>
    <definedName name="_bdm.A3E73079BB3E401681653080CC0CCAF6.edm" hidden="1">[18]Main!$A:$IV</definedName>
    <definedName name="_bdm.A41CADEBCF2C4759913F909EDF763630.edm" hidden="1">'[15]Sat Services'!$A:$IV</definedName>
    <definedName name="_bdm.A43907D10E124383954BB5FB908689F7.edm" hidden="1" xml:space="preserve">                    [8]Pension!$A:$IV</definedName>
    <definedName name="_bdm.A8D59B57C4184413ACD45E8D9BC6F49C.edm" hidden="1" xml:space="preserve">                                    '[6]2010e Fair Market Value'!$A:$IV</definedName>
    <definedName name="_bdm.A9FDA19A0EC441A88F23DB34903DDCA4.edm" hidden="1">'[7]New Tables 2006'!$A:$IV</definedName>
    <definedName name="_bdm.B4D5A25F6AD644F992F393C214489883.edm" hidden="1">[12]HV!$A:$IV</definedName>
    <definedName name="_bdm.B50A8F3075404A3DAD2A4B20C94C4C32.edm" hidden="1" xml:space="preserve">                    [8]Walk!$A:$IV</definedName>
    <definedName name="_bdm.B79BA6AB469647F4959D1173B0661A55.edm" hidden="1">'[9]from AIRCAP'!$A:$IV</definedName>
    <definedName name="_bdm.B89F0DCA1C9841C48CDCE7713894289D.edm" hidden="1">[7]Graphs!$A:$IV</definedName>
    <definedName name="_bdm.BEF639A7268143F3A5EF7EA4F6286DB5.edm" hidden="1">'[19]Annual Traffic Summary'!$A:$IV</definedName>
    <definedName name="_bdm.C00627F58E374E789B8AD4F1E1016016.edm" hidden="1">[1]DCF!$A:$IV</definedName>
    <definedName name="_bdm.C1D64D3D12104A57B36648A45FD482BA.edm" hidden="1">'[9]Program Lifecycles'!$A:$IV</definedName>
    <definedName name="_bdm.C5F0C4E8F22B4A55BA70296AF9B61F1A.edm" hidden="1">'[1]Gulf AC In Oper'!$A:$IV</definedName>
    <definedName name="_bdm.C83ED9EAE99F4A45B4DCC1C643411F19.edm" hidden="1">'[1]Variance Analysis'!$A:$IV</definedName>
    <definedName name="_bdm.CAB0F15EC35D4F47A39CDDF3C5EF250A.edm" hidden="1">'[20]BizJet Deliveries'!$A:$IV</definedName>
    <definedName name="_bdm.CC06A2CE73364769937226ED328A3B28.edm" hidden="1">'[1]Combat Sys'!$A:$IV</definedName>
    <definedName name="_bdm.CCBED13869B24A03BC4DA6C3DBA93AC5.edm" hidden="1">'[1]Gulf Del By Cust'!$A:$IV</definedName>
    <definedName name="_bdm.CF7F925623CF4F49A6B5D5AF5FF3EB17.edm" hidden="1">'[1]DCF Old'!$A:$IV</definedName>
    <definedName name="_bdm.D16D4B4991F24D41B4A4D56808A9138E.edm" hidden="1">[7]Main!$A:$IV</definedName>
    <definedName name="_bdm.D736FE2ECE9844E481084B2BEE4999E6.edm" hidden="1" xml:space="preserve">                      [6]FCF!$A:$IV</definedName>
    <definedName name="_bdm.D9693A91C4234F65B844EEC4BFAAD949.edm" hidden="1">'[7]F''boro 08 Orders'!$A:$IV</definedName>
    <definedName name="_bdm.D9E108B6406341D2861CB14581BD073A.edm" hidden="1" xml:space="preserve">                      '[6]2010e Fair Market Value'!$A:$IV</definedName>
    <definedName name="_bdm.DAF05722B58E40AF8A0DD0C5C5565E86.edm" hidden="1" xml:space="preserve">                                    [6]Charts!$A:$IV</definedName>
    <definedName name="_bdm.DBAE357D368A4F73A71F1C59B7410C02.edm" hidden="1">[1]ISTmodel!$A:$IV</definedName>
    <definedName name="_bdm.DCA91A27BDEE4141924A80B1FAB6CAB4.edm" hidden="1" xml:space="preserve">                                    [6]Charts!$A:$IV</definedName>
    <definedName name="_bdm.E32A116BB8AF457EABFAC69CB51F4C47.edm" hidden="1" xml:space="preserve">                                    [6]FCF!$A:$IV</definedName>
    <definedName name="_bdm.E78D5F77B9704765898D93BE5B0440EF.edm" hidden="1">'[12]Govt Systems'!$A:$IV</definedName>
    <definedName name="_bdm.E7B140965DFC4B4CB3AF0C90B25C7F5B.edm" hidden="1" xml:space="preserve">                    [8]Pension!$A:$IV</definedName>
    <definedName name="_bdm.E9A30DEE7AAA401587D155EE8B963312.edm" hidden="1">[1]Main!$A:$IV</definedName>
    <definedName name="_bdm.E9BABFAC54E04B0EAEA6B1850220160E.edm" hidden="1">[21]Graphs!$A:$IV</definedName>
    <definedName name="_bdm.EA049B7228D04EFCA3CA5A7DCF7D7577.edm" hidden="1" xml:space="preserve">                                    [6]Charts!$A:$IV</definedName>
    <definedName name="_bdm.EB71207A3C454F22948B2C37520A7952.edm" hidden="1" xml:space="preserve">                                    [6]Charts!$A:$IV</definedName>
    <definedName name="_bdm.EC1C669790714E999B1F786F94002AAF.edm" hidden="1" xml:space="preserve">                    [8]Walk!$A:$IV</definedName>
    <definedName name="_bdm.EF8BDB0672F7486F9F49EFD6914D1E0C.edm" hidden="1">[17]Guidance!$A:$IV</definedName>
    <definedName name="_bdm.F0534C7080FA442F9782B47F27018E5C.edm" hidden="1">[16]DCF!$A:$IV</definedName>
    <definedName name="_bdm.F2D7158D39524BD083A9C9850E79D5B0.edm" hidden="1" xml:space="preserve">                    [8]Charts!$A:$IV</definedName>
    <definedName name="_bdm.F34B28B19825438E97F16E849389D4AE.edm" hidden="1">[12]Guid!$A:$IV</definedName>
    <definedName name="_bdm.F61F1A8D7FBE4DDB976FC9D75E157E84.edm" hidden="1">'[9]Sang - Charts'!$A:$IV</definedName>
    <definedName name="_bdm.F6A91C8C462244CDBB03456A2BABE3B9.edm" hidden="1">[1]Combatmodel!$A:$IV</definedName>
    <definedName name="_bdm.F9B7852CD88747DBA03CDE2FA8516D2D.edm" hidden="1" xml:space="preserve">                                    [6]Charts!$A:$IV</definedName>
    <definedName name="_bdm.FA190DA1B38549B599DE6D2E4639EC00.edm" hidden="1">[12]Breakdown!$A:$IV</definedName>
    <definedName name="_bdm.FE83D8468D5940D6B287CD786E8688D6.edm" hidden="1">[17]RI!$A:$IV</definedName>
    <definedName name="_BS">[1]Main!$A$301:$V$348</definedName>
    <definedName name="_CF">[1]Main!$A$150:$V$205</definedName>
    <definedName name="_CommJetTransport">'[9]from AIRCAP'!$A$3:$AL$54</definedName>
    <definedName name="_EPSChanges">[1]Tables!$T$603:$X$608</definedName>
    <definedName name="_FY00">[3]WY!$BF$2:$BF$697</definedName>
    <definedName name="_FY01">[3]WY!$AZ$2:$AZ$697</definedName>
    <definedName name="_FY02">[3]WY!$AT$2:$AT$697</definedName>
    <definedName name="_FY03">[3]WY!$AN$2:$AN$697</definedName>
    <definedName name="_FY92">[3]WY!$DB$2:$DB$697</definedName>
    <definedName name="_FY93">[3]WY!$CV$2:$CV$697</definedName>
    <definedName name="_FY94">[3]WY!$CP$2:$CP$697</definedName>
    <definedName name="_FY95">[3]WY!$CJ$2:$CJ$697</definedName>
    <definedName name="_FY96">[3]WY!$CD$2:$CD$697</definedName>
    <definedName name="_FY97">[3]WY!$BX$2:$BX$697</definedName>
    <definedName name="_FY98">[3]WY!$BR$2:$BR$697</definedName>
    <definedName name="_FY99">[3]WY!$BL$2:$BL$697</definedName>
    <definedName name="_GulfBacklog">'[1]Gulf Backlog'!$A$208:$D$299</definedName>
    <definedName name="_GulfDels">[1]Main!$A$80:$U$83</definedName>
    <definedName name="_GulfDelsAbbreviated">[1]Tables!$T$594:$AA$597</definedName>
    <definedName name="_GulfDelsbyCust">'[1]Gulf Del By Cust'!$A$113:$F$198</definedName>
    <definedName name="_GulfDelsByCustTable">'[1]Gulf Del By Cust'!$N$6:$T$16</definedName>
    <definedName name="_GulfstreamDelsOutlook">[1]Main!$A$78:$V$89</definedName>
    <definedName name="_IS">[1]Main!$A$2:$W$50</definedName>
    <definedName name="_ISTOpps">[1]ISTmodel!$AN$18:$AT$26</definedName>
    <definedName name="_Key1" hidden="1">[2]単独!$U$1</definedName>
    <definedName name="_Order1">0</definedName>
    <definedName name="_QtlyIS">[1]Quarterly!$BF$2:$BR$58</definedName>
    <definedName name="_rtn1">576</definedName>
    <definedName name="_rtn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_Sort" hidden="1">[2]単独!$A$512:$AC$552</definedName>
    <definedName name="_sumofparts">'[1]Sum of Parts'!$A$187:$G$201</definedName>
    <definedName name="_SumOfPartsEVEBITDA">'[1]Sum of Parts'!$A$130:$G$145</definedName>
    <definedName name="_SumOfPartsPE">'[1]Sum of Parts'!$A$148:$G$161</definedName>
    <definedName name="_Variance">'[1]Variance Analysis'!$EC$5:$EH$40</definedName>
    <definedName name="A">[2]ｾｸﾞﾒﾝﾄ!$E$165:$I$165</definedName>
    <definedName name="aaaaa" hidden="1">[1]Aerospace!$AD$342:$AD$373</definedName>
    <definedName name="abc"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J_columnG">OFFSET('[10]Biz Jet Output Data'!$G$20,0,0,COUNT('[10]Biz Jet Output Data'!$G$1:$G$65536),1)</definedName>
    <definedName name="ABJ_rolling12mo">OFFSET('[10]Biz Jet Output Data'!$H$20,COUNT('[10]Biz Jet Output Data'!$H$1:$H$65536)-12,0,12,1)</definedName>
    <definedName name="ABJ_TotalOchange_LTM">OFFSET('[10]Biz Jet Output Data'!$G$20,COUNT('[10]Biz Jet Output Data'!$G$1:$G$65536)-12,0,12,1)</definedName>
    <definedName name="Actual" hidden="1">{#N/A,#N/A,TRUE,"Historicals";#N/A,#N/A,TRUE,"Charts";#N/A,#N/A,TRUE,"Forecasts"}</definedName>
    <definedName name="AdditionalInstructions">IndexInformation!$B$42</definedName>
    <definedName name="Address" localSheetId="0">ImportantDisclosures!$A$2:$A$2</definedName>
    <definedName name="ANA" localSheetId="5">ModPubIndex!$A$7</definedName>
    <definedName name="anscount" hidden="1">1</definedName>
    <definedName name="asg" hidden="1">[1]Aerospace!$AL$342:$AL$355</definedName>
    <definedName name="asga" hidden="1">[2]ｾｸﾞﾒﾝﾄ!$E$165:$I$165</definedName>
    <definedName name="asgash" hidden="1">[1]Aerospace!$A$342:$A$374</definedName>
    <definedName name="asgh" hidden="1">[1]Aerospace!$R$342:$R$373</definedName>
    <definedName name="asgsadh" hidden="1">[2]ｾｸﾞﾒﾝﾄ!$E$167:$I$167</definedName>
    <definedName name="ash" hidden="1">[1]Aerospace!$AK$342:$AK$355</definedName>
    <definedName name="Asia_ASM">OFFSET([19]Monthly_Traffic_Summary!$AF$297,COUNT([19]Monthly_Traffic_Summary!$AF$1:$AF$65536)-12,0,12,1)</definedName>
    <definedName name="Asia_ASM_LTM">OFFSET([19]Monthly_Traffic_Summary!$AG$309,COUNT([19]Monthly_Traffic_Summary!$AG$1:$AG$65536)-12,0,12,1)</definedName>
    <definedName name="Asia_ASM10y">OFFSET([19]Monthly_Traffic_Summary!$AF$297,COUNT([19]Monthly_Traffic_Summary!$AF$1:$AF$65536)-120,0,120,1)</definedName>
    <definedName name="Asia_dates10y">OFFSET([19]Monthly_Traffic_Summary!$A$9,COUNT([19]Monthly_Traffic_Summary!$A$1:$A$65536)-120,0,120,1)</definedName>
    <definedName name="Asia_LF">OFFSET([19]Monthly_Traffic_Summary!$AH$297,COUNT([19]Monthly_Traffic_Summary!$AH$1:$AH$65536)-12,0,12,1)</definedName>
    <definedName name="Asia_LF_LTM">OFFSET([19]Monthly_Traffic_Summary!$AI$309,COUNT([19]Monthly_Traffic_Summary!$AI$1:$AI$65536)-12,0,12,1)</definedName>
    <definedName name="Asia_LF10y">OFFSET([19]Monthly_Traffic_Summary!$AH$297,COUNT([19]Monthly_Traffic_Summary!$AH$1:$AH$65536)-120,0,120,1)</definedName>
    <definedName name="Asia_RPM">OFFSET([19]Monthly_Traffic_Summary!$AD$297,COUNT([19]Monthly_Traffic_Summary!$AD$1:$AD$65536)-12,0,12,1)</definedName>
    <definedName name="Asia_RPM_LTM">OFFSET([19]Monthly_Traffic_Summary!$AE$309,COUNT([19]Monthly_Traffic_Summary!$AE$1:$AE$65536)-12,0,12,1)</definedName>
    <definedName name="Asia_RPM10y">OFFSET([19]Monthly_Traffic_Summary!$AD$297,COUNT([19]Monthly_Traffic_Summary!$AD$1:$AD$65536)-120,0,120,1)</definedName>
    <definedName name="assets">[3]WY!$D$520:$EG$520</definedName>
    <definedName name="Authors" localSheetId="0">ImportantDisclosures!$A$7</definedName>
    <definedName name="Authors" localSheetId="4">IndexInformation!$B$18</definedName>
    <definedName name="b" hidden="1">[2]ｾｸﾞﾒﾝﾄ!$E$167:$I$167</definedName>
    <definedName name="B_columnAD">OFFSET('[10]Biz Jet Output Data'!$AG$20,0,0,COUNT('[10]Biz Jet Output Data'!$AG$1:$AG$65536)-12,1)</definedName>
    <definedName name="B_columnAF">OFFSET('[10]Biz Jet Output Data'!$AI$20,0,0,COUNT('[10]Biz Jet Output Data'!$AI$1:$AI$65536)-1,1)</definedName>
    <definedName name="B_columnAH">OFFSET('[10]Biz Jet Output Data'!$AK$20,0,0,COUNT('[10]Biz Jet Output Data'!$AK$1:$AK$65536),1)</definedName>
    <definedName name="B_columnAI">OFFSET('[10]Biz Jet Output Data'!$AL$20,0,0,COUNT('[10]Biz Jet Output Data'!$AL$1:$AL$65536),1)</definedName>
    <definedName name="B_rolling12mo">OFFSET('[10]Biz Jet Output Data'!$AL$20,COUNT('[10]Biz Jet Output Data'!$AL$1:$AL$65536)-12,0,12,1)</definedName>
    <definedName name="B_TotalO_LTM">OFFSET('[10]Biz Jet Output Data'!$AG$8,COUNT('[10]Biz Jet Output Data'!$AG$1:$AG$65536)-12,0,12,1)</definedName>
    <definedName name="B_TotalOchange_LTM">OFFSET('[10]Biz Jet Output Data'!$AK$20,COUNT('[10]Biz Jet Output Data'!$AK$1:$AK$65536)-12,0,12,1)</definedName>
    <definedName name="BA_bookbillav">OFFSET('[9]Boeing Monthly'!$AU$451,COUNT('[9]Boeing Monthly'!$AU$1:$AU$65536)-121,0,120,1)</definedName>
    <definedName name="BA_orders">OFFSET('[9]Boeing Charts'!$C$6,COUNT('[9]Boeing Charts'!$C$1:$C$65536)-12,0,12,1)</definedName>
    <definedName name="BA_performance">OFFSET('[9]Boeing Charts'!$C$6,0,0,COUNT('[9]Boeing Charts'!$C$1:$C$65536),1)</definedName>
    <definedName name="BA_relativeprice">OFFSET('[9]Boeing Monthly'!$AX$451,COUNT('[9]Boeing Monthly'!$AX$1:$AX$65536)-121,0,120,1)</definedName>
    <definedName name="BA_stockperformance">OFFSET('[9]Boeing Charts'!$D$6,0,0,COUNT('[9]Boeing Charts'!$D$1:$D$65536),1)</definedName>
    <definedName name="BA_stockprice">OFFSET('[9]Boeing Charts'!$D$6,COUNT('[9]Boeing Charts'!$D$1:$D$65536)-12,0,12,1)</definedName>
    <definedName name="Balance">[1]Main!$A$301:$S$349</definedName>
    <definedName name="bcd"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BJ_2001_dates">OFFSET('[10]Biz Jet Output Data'!$A$20,0,0,COUNT('[10]Biz Jet Output Data'!$A$1:$A$65536)-12,1)</definedName>
    <definedName name="BJ_2001_rolling">OFFSET('[10]Biz Jet Output Data'!$E$20,0,0,COUNT('[10]Biz Jet Output Data'!$E$1:$E$65536)-1,1)</definedName>
    <definedName name="BJ_2001_rollingyoy">OFFSET('[10]Biz Jet Output Data'!$H$20,0,0,COUNT('[10]Biz Jet Output Data'!$H$1:$H$65536),1)</definedName>
    <definedName name="BJ_TotalO">OFFSET('[10]Biz Jet Output Data'!$D$20,0,0,COUNT('[10]Biz Jet Output Data'!$D$1:$D$65536)-12,1)</definedName>
    <definedName name="BJ_TotalO_LTM">OFFSET('[10]Biz Jet Output Data'!$D$8,COUNT('[10]Biz Jet Output Data'!$D$1:$D$65536)-12,0,12,1)</definedName>
    <definedName name="BJ_TotalO_YoY">OFFSET('[10]Biz Jet Output Data'!$G$20,0,0,COUNT('[10]Biz Jet Output Data'!$G$1:$G$65536),1)</definedName>
    <definedName name="BRO" localSheetId="5">ModPubIndex!$A$1</definedName>
    <definedName name="BS.CF">'[22]BOW Model'!$A$487:$AF$520</definedName>
    <definedName name="C_columnU">OFFSET('[10]Biz Jet Output Data'!$W$20,0,0,COUNT('[10]Biz Jet Output Data'!$W$1:$W$65536)-12,1)</definedName>
    <definedName name="C_columnW">OFFSET('[10]Biz Jet Output Data'!$Y$20,0,0,COUNT('[10]Biz Jet Output Data'!$Y$1:$Y$65536)-1,1)</definedName>
    <definedName name="C_columnY">OFFSET('[10]Biz Jet Output Data'!$AA$20,0,0,COUNT('[10]Biz Jet Output Data'!$AA$1:$AA$65536),1)</definedName>
    <definedName name="C_columnZ">OFFSET('[10]Biz Jet Output Data'!$AB$20,0,0,COUNT('[10]Biz Jet Output Data'!$AB$1:$AB$65536),1)</definedName>
    <definedName name="C_rolling12mo">OFFSET('[10]Biz Jet Output Data'!$AB$20,COUNT('[10]Biz Jet Output Data'!$AB$1:$AB$65536)-12,0,12,1)</definedName>
    <definedName name="C_TotalO_LTM">OFFSET('[10]Biz Jet Output Data'!$W$8,COUNT('[10]Biz Jet Output Data'!$W$1:$W$65536)-12,0,12,1)</definedName>
    <definedName name="C_TotalOchange_LTM">OFFSET('[10]Biz Jet Output Data'!$AA$20,COUNT('[10]Biz Jet Output Data'!$AA$1:$AA$65536)-12,0,12,1)</definedName>
    <definedName name="CAPACITIES">'[23]TIN Model'!$A$4:$AD$34</definedName>
    <definedName name="Cash">[1]Main!$A$209:$S$252</definedName>
    <definedName name="cash_1q99">[24]Balance!$R$9</definedName>
    <definedName name="CD">'[9]Deliveries LCA &amp; RJ'!$A$1</definedName>
    <definedName name="cdfh" hidden="1">[1]Aerospace!$AI$342:$AI$355</definedName>
    <definedName name="ceps">[3]WY!$D$382:$EG$382</definedName>
    <definedName name="CF">'[23]TIN Model'!$A$488:$AD$546</definedName>
    <definedName name="CopyrightStamp">ImportantDisclosures!$A$27</definedName>
    <definedName name="correlation">'[9]Boeing Monthly'!$AU$674</definedName>
    <definedName name="COU" localSheetId="5">ModPubIndex!$A$5</definedName>
    <definedName name="CQEnd" localSheetId="4">IndexInformation!$B$31</definedName>
    <definedName name="Currency" localSheetId="4">IndexInformation!$B$24</definedName>
    <definedName name="Current_month">OFFSET([19]Monthly_Traffic_Summary!$A$9,COUNT([19]Monthly_Traffic_Summary!$A$1:$A$65536)-2,0,1,1)</definedName>
    <definedName name="CurrentBA_month">OFFSET('[9]Boeing Charts'!$B$6,COUNT('[9]Boeing Charts'!$B$1:$B$65536)-1,0,1,1)</definedName>
    <definedName name="CurrentBJ_month">OFFSET('[10]Biz Jet Output Data'!$A$8,COUNT('[10]Biz Jet Output Data'!$A$1:$A$65536)-1,0,1,1)</definedName>
    <definedName name="currentFY">2012</definedName>
    <definedName name="CurrentStockPrice" localSheetId="4">IndexInformation!$B$23</definedName>
    <definedName name="CurrQtrEPS" localSheetId="4">IndexInformation!$B$29</definedName>
    <definedName name="CurrYearEPS" localSheetId="4">IndexInformation!$B$11</definedName>
    <definedName name="CurrYearTotalRevenue" localSheetId="4">IndexInformation!$B$10</definedName>
    <definedName name="CurrYearTotalRevenueActual" localSheetId="4">IndexInformation!$B$32</definedName>
    <definedName name="CUSIP" localSheetId="4">IndexInformation!$B$20</definedName>
    <definedName name="CYEnd" localSheetId="4">IndexInformation!$B$30</definedName>
    <definedName name="da">[3]WY!$D$420:$EG$420</definedName>
    <definedName name="dataseries1">OFFSET('[25]Roll off Speed'!$X$12,0,0,COUNTIF('[25]Roll off Speed'!$W$12:$W$1231,"&lt;&gt;false"),1)</definedName>
    <definedName name="Date" localSheetId="0">ImportantDisclosures!$A$8</definedName>
    <definedName name="Date">OFFSET([9]StoredAC!$B$9,0,0,COUNT([9]StoredAC!$B$1:$B$65536),1)</definedName>
    <definedName name="Dates_BA_RP">OFFSET('[9]Boeing Monthly'!$AZ$440,COUNT('[9]Boeing Monthly'!$AZ$1:$AZ$65536)-168,0,168,1)</definedName>
    <definedName name="Dates_BAmonthly">OFFSET('[9]Boeing Monthly'!$AZ$440,COUNT('[9]Boeing Monthly'!$AZ$1:$AZ$65536)-120,0,120,1)</definedName>
    <definedName name="Dates_BJ">OFFSET('[10]Biz Jet Output Data'!$A$8,0,0,COUNT('[10]Biz Jet Output Data'!$A$1:$A$65536),1)</definedName>
    <definedName name="Dates_BJ_LTM">OFFSET('[10]Biz Jet Output Data'!$A$8,COUNT('[10]Biz Jet Output Data'!$A$1:$A$65536)-12,0,12,1)</definedName>
    <definedName name="Dates10y">OFFSET([19]Monthly_Traffic_Summary!$A$9,COUNT([19]Monthly_Traffic_Summary!$A$1:$A$65536)-120,0,120,1)</definedName>
    <definedName name="DatesBA_charts">OFFSET('[9]Boeing Charts'!$B$6,COUNT('[9]Boeing Charts'!$B$1:$B$65536)-12,0,12,1)</definedName>
    <definedName name="DatesBA_performance">OFFSET('[9]Boeing Charts'!$B$6,0,0,COUNT('[9]Boeing Charts'!$B$1:$B$65536),1)</definedName>
    <definedName name="DatesLTM">OFFSET([19]Monthly_Traffic_Summary!$A$9,COUNT([19]Monthly_Traffic_Summary!$A$1:$A$65536)-12,0,12,1)</definedName>
    <definedName name="defense1">{"Client Name or Project Name"}</definedName>
    <definedName name="defense2">[26]mwareDates!$B$2:$E$21</definedName>
    <definedName name="Deleted" localSheetId="4">IndexInformation!$B$27</definedName>
    <definedName name="Description" localSheetId="4">IndexInformation!$B$7</definedName>
    <definedName name="dfgt" hidden="1">[1]Aerospace!$A$354:$A$386</definedName>
    <definedName name="dfw" hidden="1">[1]Aerospace!$AJ$354:$AJ$367</definedName>
    <definedName name="Discipline" localSheetId="4">IndexInformation!$B$3</definedName>
    <definedName name="DISCIPLINE" localSheetId="5">ModPubIndex!$A$12</definedName>
    <definedName name="DisclosuresText">ImportantDisclosures!$A$22</definedName>
    <definedName name="Distribution" localSheetId="4">IndexInformation!$B$26</definedName>
    <definedName name="DistTable" localSheetId="0">ImportantDisclosures!#REF!</definedName>
    <definedName name="DistTablePreamble" localSheetId="0">ImportantDisclosures!#REF!</definedName>
    <definedName name="DOCDAT" localSheetId="5">ModPubIndex!$A$2</definedName>
    <definedName name="DOCTIME" localSheetId="5">ModPubIndex!$A$3</definedName>
    <definedName name="DocType" localSheetId="4">IndexInformation!$B$5</definedName>
    <definedName name="dropDown">1</definedName>
    <definedName name="dropDown2">1</definedName>
    <definedName name="DRS_Balance">[27]Main!$A$180:$AE$212</definedName>
    <definedName name="DRS_Cash">[27]Main!$A$130</definedName>
    <definedName name="DRS_Earnings">[27]Main!$A$1</definedName>
    <definedName name="drtrt" hidden="1">[1]Aerospace!$A$342:$A$374</definedName>
    <definedName name="dsfgh" hidden="1">[1]Aerospace!$L$342:$L$373</definedName>
    <definedName name="dsfh" hidden="1">[1]Acquisitions!$AO$4:$AU$4</definedName>
    <definedName name="dsh" hidden="1">[2]ｾｸﾞﾒﾝﾄ!$E$164:$I$164</definedName>
    <definedName name="EARN">'[23]TIN Model'!$A$182:$AD$236</definedName>
    <definedName name="EBIT">[28]WY!$AG$271:$HW$271</definedName>
    <definedName name="ebit00">'[29]Inc-Yr Summary'!$AC$27</definedName>
    <definedName name="ebitda">[3]WY!$D$421:$EG$421</definedName>
    <definedName name="EBITDA_CAL00">'[24]Inc-Yr Summary Calendar'!$AH$41</definedName>
    <definedName name="EBITDA_CAL01">'[24]Inc-Yr Summary Calendar'!$AI$41</definedName>
    <definedName name="EBITDA_CAL02">'[24]Inc-Yr Summary Calendar'!$AJ$41</definedName>
    <definedName name="EBITDA_CAL95">'[24]Inc-Yr Summary Calendar'!$I$41</definedName>
    <definedName name="EBITDA_CAL96">'[24]Inc-Yr Summary Calendar'!$O$41</definedName>
    <definedName name="EBITDA_CAL97">'[24]Inc-Yr Summary Calendar'!$U$41</definedName>
    <definedName name="EBITDA_CAL98">'[24]Inc-Yr Summary Calendar'!$AA$41</definedName>
    <definedName name="EBITDA_CAL99">'[24]Inc-Yr Summary Calendar'!$AG$41</definedName>
    <definedName name="EBITDA94">'[30]Inc-Yr Summary'!$Z$46</definedName>
    <definedName name="EMAIL_ALERT" localSheetId="5">ModPubIndex!$A$10</definedName>
    <definedName name="EmailAlert" localSheetId="4">IndexInformation!$B$28</definedName>
    <definedName name="EPS_CAL00">'[24]Inc-Yr Summary Calendar'!$AH$35</definedName>
    <definedName name="EPS_CAL01">'[24]Inc-Yr Summary Calendar'!$AI$35</definedName>
    <definedName name="EPS_CAL02">'[24]Inc-Yr Summary Calendar'!$AJ$35</definedName>
    <definedName name="EPS_CAL95">'[24]Inc-Yr Summary Calendar'!$I$35</definedName>
    <definedName name="EPS_CAL96">'[24]Inc-Yr Summary Calendar'!$O$35</definedName>
    <definedName name="EPS_CAL97">'[24]Inc-Yr Summary Calendar'!$U$35</definedName>
    <definedName name="EPS_CAL98">'[24]Inc-Yr Summary Calendar'!$AA$35</definedName>
    <definedName name="EPS_CAL99">'[24]Inc-Yr Summary Calendar'!$AG$35</definedName>
    <definedName name="equity">[3]WY!$D$556:$EG$556</definedName>
    <definedName name="eter" hidden="1">[1]Aerospace!$AJ$342:$AJ$355</definedName>
    <definedName name="Europe_ASM">OFFSET([19]Monthly_Traffic_Summary!$Y$261,COUNT([19]Monthly_Traffic_Summary!$Y$1:$Y$65536)-12,0,12,1)</definedName>
    <definedName name="Europe_ASM_LTM">OFFSET([19]Monthly_Traffic_Summary!$Z$261,COUNT([19]Monthly_Traffic_Summary!$Z$1:$Z$65536)-12,0,12,1)</definedName>
    <definedName name="Europe_ASM10y">OFFSET([19]Monthly_Traffic_Summary!$Y$261,COUNT([19]Monthly_Traffic_Summary!$Y$1:$Y$65536)-120,0,120,1)</definedName>
    <definedName name="Europe_LF">OFFSET([19]Monthly_Traffic_Summary!$AA$261,COUNT([19]Monthly_Traffic_Summary!$AA$1:$AA$65536)-12,0,12,1)</definedName>
    <definedName name="Europe_LF_LTM">OFFSET([19]Monthly_Traffic_Summary!$AB$261,COUNT([19]Monthly_Traffic_Summary!$AB$1:$AB$65536)-12,0,12,1)</definedName>
    <definedName name="Europe_LF10y">OFFSET([19]Monthly_Traffic_Summary!$AA$261,COUNT([19]Monthly_Traffic_Summary!$AA$1:$AA$65536)-120,0,120,1)</definedName>
    <definedName name="Europe_RPM">OFFSET([19]Monthly_Traffic_Summary!$W$261,COUNT([19]Monthly_Traffic_Summary!$W$1:$W$65536)-12,0,12,1)</definedName>
    <definedName name="Europe_RPM_LTM">OFFSET([19]Monthly_Traffic_Summary!$X$261,COUNT([19]Monthly_Traffic_Summary!$X$1:$X$65536)-12,0,12,1)</definedName>
    <definedName name="Europe_RPM10y">OFFSET([19]Monthly_Traffic_Summary!$W$261,COUNT([19]Monthly_Traffic_Summary!$W$1:$W$65536)-120,0,120,1)</definedName>
    <definedName name="ev">[3]WY!$D$425:$EG$425</definedName>
    <definedName name="ｆ" hidden="1">"iQShowAnnual"</definedName>
    <definedName name="fdsa" hidden="1">39489.6256597222</definedName>
    <definedName name="fgf" hidden="1">[1]Aerospace!$AH$354:$AH$367</definedName>
    <definedName name="fhrt" hidden="1">[1]Aerospace!$AL$342:$AL$355</definedName>
    <definedName name="FiveYearGrowthRate" localSheetId="4">IndexInformation!$B$16</definedName>
    <definedName name="FollowingYearEPS" localSheetId="4">IndexInformation!$B$15</definedName>
    <definedName name="FollowingYearTotalRevenue" localSheetId="4">IndexInformation!$B$14</definedName>
    <definedName name="FollowingYearTotalRevenueActual" localSheetId="4">IndexInformation!$B$34</definedName>
    <definedName name="frg" hidden="1">[1]Aerospace!$O$354:$O$385</definedName>
    <definedName name="FY00">[3]WY!$BF$2:$BF$1044</definedName>
    <definedName name="FY01_">[3]WY!$AZ$2:$AZ$1044</definedName>
    <definedName name="FY02_">[3]WY!$AT$2:$AT$1044</definedName>
    <definedName name="FY03_">[3]WY!$AN$2:$AN$1044</definedName>
    <definedName name="FY92_">[3]WY!$DB$2:$DB$1044</definedName>
    <definedName name="FY93_">[3]WY!$CV$2:$CV$1044</definedName>
    <definedName name="FY94_">[3]WY!$CP$2:$CP$1044</definedName>
    <definedName name="FY95_">[3]WY!$CJ$2:$CJ$1044</definedName>
    <definedName name="FY96_">[3]WY!$CD$2:$CD$1044</definedName>
    <definedName name="FY97_">[3]WY!$BX$2:$BX$1044</definedName>
    <definedName name="FY98_">[3]WY!$BR$2:$BR$1044</definedName>
    <definedName name="FY99_">[3]WY!$BL$2:$BL$1044</definedName>
    <definedName name="G_columnL">OFFSET('[10]Biz Jet Output Data'!$M$20,0,0,COUNT('[10]Biz Jet Output Data'!$M$1:$M$65536)-12,1)</definedName>
    <definedName name="G_columnN">OFFSET('[10]Biz Jet Output Data'!$O$20,0,0,COUNT('[10]Biz Jet Output Data'!$O$1:$O$65536)-1,1)</definedName>
    <definedName name="G_columnP">OFFSET('[10]Biz Jet Output Data'!$Q$20,0,0,COUNT('[10]Biz Jet Output Data'!$Q$1:$Q$65536),1)</definedName>
    <definedName name="G_columnQ">OFFSET('[10]Biz Jet Output Data'!$R$20,0,0,COUNT('[10]Biz Jet Output Data'!$R$1:$R$65536),1)</definedName>
    <definedName name="G_rolling12mo">OFFSET('[10]Biz Jet Output Data'!$R$20,COUNT('[10]Biz Jet Output Data'!$R$1:$R$65536)-12,0,12,1)</definedName>
    <definedName name="G_TotalO_LTM">OFFSET('[10]Biz Jet Output Data'!$M$8,COUNT('[10]Biz Jet Output Data'!$M$1:$M$65536)-12,0,12,1)</definedName>
    <definedName name="G_TotalOchange_LTM">OFFSET('[10]Biz Jet Output Data'!$Q$20,COUNT('[10]Biz Jet Output Data'!$Q$1:$Q$65536)-12,0,12,1)</definedName>
    <definedName name="ghjhg" hidden="1">[2]ｾｸﾞﾒﾝﾄ!$E$164:$I$164</definedName>
    <definedName name="ghtrhy" hidden="1">[1]Aerospace!$R$342:$R$373</definedName>
    <definedName name="HISTORY">'[23]TIN Model'!$A$641:$AD$648</definedName>
    <definedName name="HL" localSheetId="5">ModPubIndex!$A$8</definedName>
    <definedName name="Income">[1]Main!$A$3:$S$37</definedName>
    <definedName name="IND" localSheetId="5">ModPubIndex!$A$9</definedName>
    <definedName name="Industry" localSheetId="0">ImportantDisclosures!$A$12</definedName>
    <definedName name="IndustryId">IndexInformation!$B$40</definedName>
    <definedName name="IndustryRating" localSheetId="0">ImportantDisclosures!$A$13</definedName>
    <definedName name="InStorageDates">OFFSET('[9]StoredAC v2'!$B$9,0,0,COUNT('[9]StoredAC v2'!$B$1:$B$65536),1)</definedName>
    <definedName name="intexp">[3]WY!$D$351:$EG$351</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INDUSTRY_REC" hidden="1">"c4455"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"c116"</definedName>
    <definedName name="IQ_CASH_CONVERSION" hidden="1">"c117"</definedName>
    <definedName name="IQ_CASH_DUE_BANKS" hidden="1">"c1351"</definedName>
    <definedName name="IQ_CASH_EQUIV" hidden="1">"c118"</definedName>
    <definedName name="IQ_CASH_FINAN" hidden="1">"c119"</definedName>
    <definedName name="IQ_CASH_FLOW_ACT_OR_EST" hidden="1">"c4154"</definedName>
    <definedName name="IQ_CASH_INTEREST" hidden="1">"c120"</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OSITS_INTEREST_SECURITIES" hidden="1">"c5509"</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Q_INC" hidden="1">"c3498"</definedName>
    <definedName name="IQ_EBIT_EQ_INC_EXCL_SBC" hidden="1">"c3502"</definedName>
    <definedName name="IQ_EBIT_EXCL_SBC" hidden="1">"c3082"</definedName>
    <definedName name="IQ_EBIT_GW_ACT_OR_EST" hidden="1">"c4306"</definedName>
    <definedName name="IQ_EBIT_INT" hidden="1">"c360"</definedName>
    <definedName name="IQ_EBIT_MARGIN" hidden="1">"c359"</definedName>
    <definedName name="IQ_EBIT_OVER_IE" hidden="1">"c1369"</definedName>
    <definedName name="IQ_EBIT_SBC_ACT_OR_EST" hidden="1">"c4316"</definedName>
    <definedName name="IQ_EBIT_SBC_GW_ACT_OR_EST" hidden="1">"c4320"</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ACT_OR_EST" hidden="1">"c2215"</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HIGH_EST" hidden="1">"c370"</definedName>
    <definedName name="IQ_EBITDA_HIGH_EST_REUT" hidden="1">"c3642"</definedName>
    <definedName name="IQ_EBITDA_INT" hidden="1">"c373"</definedName>
    <definedName name="IQ_EBITDA_LOW_EST" hidden="1">"c371"</definedName>
    <definedName name="IQ_EBITDA_LOW_EST_REUT" hidden="1">"c3643"</definedName>
    <definedName name="IQ_EBITDA_MARGIN" hidden="1">"c372"</definedName>
    <definedName name="IQ_EBITDA_MEDIAN_EST" hidden="1">"c1663"</definedName>
    <definedName name="IQ_EBITDA_MEDIAN_EST_REUT" hidden="1">"c3641"</definedName>
    <definedName name="IQ_EBITDA_NUM_EST" hidden="1">"c374"</definedName>
    <definedName name="IQ_EBITDA_NUM_EST_REUT" hidden="1">"c3644"</definedName>
    <definedName name="IQ_EBITDA_OVER_TOTAL_IE" hidden="1">"c1371"</definedName>
    <definedName name="IQ_EBITDA_SBC_ACT_OR_EST" hidden="1">"c4337"</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SBC_ACT_OR_EST" hidden="1">"c4350"</definedName>
    <definedName name="IQ_EBT_SBC_GW_ACT_OR_EST" hidden="1">"c4354"</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ACT_OR_EST" hidden="1">"c2213"</definedName>
    <definedName name="IQ_EPS_EST" hidden="1">"c399"</definedName>
    <definedName name="IQ_EPS_EST_REUT" hidden="1">"c5453"</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RM" hidden="1">"c1902"</definedName>
    <definedName name="IQ_EPS_NUM_EST" hidden="1">"c402"</definedName>
    <definedName name="IQ_EPS_NUM_EST_REUT" hidden="1">"c5451"</definedName>
    <definedName name="IQ_EPS_SBC_ACT_OR_EST" hidden="1">"c4376"</definedName>
    <definedName name="IQ_EPS_SBC_GW_ACT_OR_EST" hidden="1">"c4380"</definedName>
    <definedName name="IQ_EPS_STDDEV_EST" hidden="1">"c403"</definedName>
    <definedName name="IQ_EPS_STDDEV_EST_REUT" hidden="1">"c5452"</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EPS" hidden="1">"c1648"</definedName>
    <definedName name="IQ_EST_CURRENCY" hidden="1">"c2140"</definedName>
    <definedName name="IQ_EST_CURRENCY_REUT" hidden="1">"c5437"</definedName>
    <definedName name="IQ_EST_DATE" hidden="1">"c1634"</definedName>
    <definedName name="IQ_EST_DATE_REUT" hidden="1">"c5438"</definedName>
    <definedName name="IQ_EST_EPS_DIFF" hidden="1">"c1864"</definedName>
    <definedName name="IQ_EST_EPS_GROWTH_1YR" hidden="1">"c1636"</definedName>
    <definedName name="IQ_EST_EPS_GROWTH_1YR_REUT" hidden="1">"c3646"</definedName>
    <definedName name="IQ_EST_EPS_GROWTH_5YR" hidden="1">"c1655"</definedName>
    <definedName name="IQ_EST_EPS_GROWTH_5YR_REUT" hidden="1">"c3633"</definedName>
    <definedName name="IQ_EST_EPS_GROWTH_Q_1YR" hidden="1">"c1641"</definedName>
    <definedName name="IQ_EST_EPS_GROWTH_Q_1YR_REUT" hidden="1">"c5410"</definedName>
    <definedName name="IQ_EST_VENDOR" hidden="1">"c5564"</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ADJ_ACT_OR_EST" hidden="1">"c4435"</definedName>
    <definedName name="IQ_FFO_PAYOUT_RATIO" hidden="1">"c3492"</definedName>
    <definedName name="IQ_FFO_SHARE_ACT_OR_EST" hidden="1">"c4446"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_DIV_ST_DEBT_TOTAL" hidden="1">"c5527"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_TARGET_PRICE_REUT" hidden="1">"c5317"</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_SECURITY_SUPPL" hidden="1">"c5511"</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BC_ACT_OR_EST" hidden="1">"c4474"</definedName>
    <definedName name="IQ_NI_SBC_GW_ACT_OR_EST" hidden="1">"c4478"</definedName>
    <definedName name="IQ_NI_SFAS" hidden="1">"c795"</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MORT" hidden="1">"c5563"</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 hidden="1">"c1863"</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_TARGET_REUT" hidden="1">"c3631"</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CURRING_PROFIT_ACT_OR_EST" hidden="1">"c4507"</definedName>
    <definedName name="IQ_RECURRING_PROFIT_SHARE_ACT_OR_EST" hidden="1">"c4508"</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"c2903"</definedName>
    <definedName name="IQ_RETAIL_ACQUIRED_OWNED_STORES" hidden="1">"c2895"</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ENUE" hidden="1">"c1422"</definedName>
    <definedName name="IQ_REVENUE_ACT_OR_EST" hidden="1">"c2214"</definedName>
    <definedName name="IQ_REVENUE_EST" hidden="1">"c1126"</definedName>
    <definedName name="IQ_REVENUE_EST_REUT" hidden="1">"c3634"</definedName>
    <definedName name="IQ_REVENUE_HIGH_EST" hidden="1">"c1127"</definedName>
    <definedName name="IQ_REVENUE_HIGH_EST_REUT" hidden="1">"c3636"</definedName>
    <definedName name="IQ_REVENUE_LOW_EST" hidden="1">"c1128"</definedName>
    <definedName name="IQ_REVENUE_LOW_EST_REUT" hidden="1">"c3637"</definedName>
    <definedName name="IQ_REVENUE_MEDIAN_EST" hidden="1">"c1662"</definedName>
    <definedName name="IQ_REVENUE_MEDIAN_EST_REUT" hidden="1">"c3635"</definedName>
    <definedName name="IQ_REVENUE_NUM_EST" hidden="1">"c1129"</definedName>
    <definedName name="IQ_REVENUE_NUM_EST_REUT" hidden="1">"c3638"</definedName>
    <definedName name="IQ_REVISION_DATE_" hidden="1">39244.4711574074</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NUM_REUT" hidden="1">"c5319"</definedName>
    <definedName name="IQ_TARGET_PRICE_STDDEV" hidden="1">"c1654"</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IGHTED_AVG_PRICE" hidden="1">"c1334"</definedName>
    <definedName name="IQ_WIP_INV" hidden="1">"c1335"</definedName>
    <definedName name="IQ_WORKING_CAP" hidden="1">"c3494"</definedName>
    <definedName name="IQ_WORKMEN_WRITTEN" hidden="1">"c1336"</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KeepVersions" localSheetId="4">IndexInformation!$B$8</definedName>
    <definedName name="LanguageCode">IndexInformation!$B$38</definedName>
    <definedName name="Last_date">OFFSET('[9]StoredAC v2'!$B$9,COUNT('[9]StoredAC v2'!$B$1:$B$65536)-1,0,1,1)</definedName>
    <definedName name="LastCell" localSheetId="0">ImportantDisclosures!$A$22</definedName>
    <definedName name="liab">[3]WY!$D$555:$EG$555</definedName>
    <definedName name="Linking_Range_10">Model!$A$1:$Q$199</definedName>
    <definedName name="Linking_Range_11">Model!$A$1:$Q$175</definedName>
    <definedName name="Linking_Range_12">Model!$A$176:$Q$240</definedName>
    <definedName name="Linking_Range_13">Model!$A$1:$Q$198</definedName>
    <definedName name="Linking_Range_14">Model!$A$200:$Q$240</definedName>
    <definedName name="Linking_Range_15">Model!$A$242:$Q$268</definedName>
    <definedName name="Linking_Range_18">Model!$A$1:$Q$240</definedName>
    <definedName name="Linking_Range_19">Model!$A$1:$Q$268</definedName>
    <definedName name="Linking_Range_20">Model!$A$1:$Q$304</definedName>
    <definedName name="LT_Debt_1q99">[24]Balance!$R$28</definedName>
    <definedName name="MacroVersion" localSheetId="4">IndexInformation!$B$1</definedName>
    <definedName name="MACRS_schedule">[31]Analysis!$C$2</definedName>
    <definedName name="MACRSoptions">[31]MACRS!$C$4:$C$8</definedName>
    <definedName name="Mainline">OFFSET([9]StoredAC!$AP$9,0,0,COUNT([9]StoredAC!$AP$1:$AP$65536)-1,1)</definedName>
    <definedName name="Mid_AC">OFFSET('[9]StoredAC v2'!$W$9,0,0,COUNT('[9]StoredAC v2'!$W$1:$W$65536)-1,1)</definedName>
    <definedName name="Mid_Sized">OFFSET([9]StoredAC!$BI$9,0,0,COUNT([9]StoredAC!$BI$1:$BI$65536)-1,1)</definedName>
    <definedName name="MidInStorage">OFFSET('[9]StoredAC v2'!$W$9,0,0,COUNT('[9]StoredAC v2'!$W$1:$W$65536)-1,1)</definedName>
    <definedName name="ModelPrice" localSheetId="0">ImportantDisclosures!$A$14</definedName>
    <definedName name="Mult">[16]DCF!$B$7</definedName>
    <definedName name="Multiplier" localSheetId="4">IndexInformation!$B$35</definedName>
    <definedName name="multSecurities_L">[32]MultipleSecurities!$A$2:$A$17</definedName>
    <definedName name="mv">[3]WY!$D$424:$EG$424</definedName>
    <definedName name="netdebt">[3]WY!$D$423:$EG$423</definedName>
    <definedName name="New">OFFSET([9]StoredAC!$BY$9,0,0,COUNT([9]StoredAC!$BY$1:$BY$65536)-1,1)</definedName>
    <definedName name="New_AC">OFFSET('[9]StoredAC v2'!$AJ$9,0,0,COUNT('[9]StoredAC v2'!$AJ$1:$AJ$65536)-1,1)</definedName>
    <definedName name="New_Small">OFFSET([9]StoredAC!$BE$9,0,0,COUNT([9]StoredAC!$BE$1:$BE$65536)-1,1)</definedName>
    <definedName name="NewInStorage">OFFSET('[9]StoredAC v2'!$AJ$9,0,0,COUNT('[9]StoredAC v2'!$AJ$1:$AJ$65536)-1,1)</definedName>
    <definedName name="NextYearEPS" localSheetId="4">IndexInformation!$B$13</definedName>
    <definedName name="NextYearTotalRevenue" localSheetId="4">IndexInformation!$B$12</definedName>
    <definedName name="NextYearTotalRevenueActual" localSheetId="4">IndexInformation!$B$33</definedName>
    <definedName name="Note_Pay_1q99">[24]Balance!$R$21</definedName>
    <definedName name="ObjectType">IndexInformation!$B$37</definedName>
    <definedName name="Old">OFFSET([9]StoredAC!$BX$9,0,0,COUNT([9]StoredAC!$BX$1:$BX$65536)-1,1)</definedName>
    <definedName name="Old_AC">OFFSET('[9]StoredAC v2'!$L$9,0,0,COUNT('[9]StoredAC v2'!$L$1:$L$65536)-1,1)</definedName>
    <definedName name="Old_Narrows">OFFSET([9]StoredAC!$BF$9,0,0,COUNT([9]StoredAC!$BF$1:$BF$65536)-1,1)</definedName>
    <definedName name="OldInStorage">OFFSET('[9]StoredAC v2'!$L$9,0,0,COUNT('[9]StoredAC v2'!$L$1:$L$65536)-1,1)</definedName>
    <definedName name="one">{"Client Name or Project Name"}</definedName>
    <definedName name="Op_profit_01">'[33]Income-Segment'!$BD$25</definedName>
    <definedName name="Op_profit_02">'[33]Income-Segment'!$BE$25</definedName>
    <definedName name="Op_profit00">'[33]Income-Segment'!$BC$25</definedName>
    <definedName name="Op_profit03">'[33]Income-Segment'!$BF$25</definedName>
    <definedName name="Op_profit96">'[33]Income-Segment'!$AD$25</definedName>
    <definedName name="Op_profit97">'[33]Income-Segment'!$AN$25</definedName>
    <definedName name="Op_profit98">'[33]Income-Segment'!$AS$25</definedName>
    <definedName name="Op_profit99">'[33]Income-Segment'!$AX$25</definedName>
    <definedName name="OPEB_Guide">#N/A</definedName>
    <definedName name="P_L">[1]Tables!$X$256:$AN$276</definedName>
    <definedName name="PANA" localSheetId="5">ModPubIndex!$A$11</definedName>
    <definedName name="PathName" localSheetId="4">IndexInformation!$B$25</definedName>
    <definedName name="Pension_Guide">#N/A</definedName>
    <definedName name="_xlnm.Print_Area" localSheetId="3">Model!$A$1:$D$346</definedName>
    <definedName name="_xlnm.Print_Area" localSheetId="2">Valuation!$B$1:$T$63</definedName>
    <definedName name="_xlnm.Print_Titles">"Formula removed, name can be deleted."</definedName>
    <definedName name="PRODPRIX">'[23]TIN Model'!$A$37:$AD$97</definedName>
    <definedName name="PRODUCT" localSheetId="5">ModPubIndex!$A$6</definedName>
    <definedName name="ProjectName">{"Client Name or Project Name"}</definedName>
    <definedName name="PSYM" localSheetId="5">ModPubIndex!$A$4</definedName>
    <definedName name="PublishDate" localSheetId="4">IndexInformation!$B$2</definedName>
    <definedName name="Q">'[22]BOW Model'!$FQ$437:$FT$437</definedName>
    <definedName name="Q3Flash">[1]Tables!$AL$235:$AS$254</definedName>
    <definedName name="QIncome_1999">[1]Quarterly!$DE$1:$DQ$45</definedName>
    <definedName name="QIncome_2000">[1]Quarterly!$CM$1:$CY$45</definedName>
    <definedName name="Quarterly___Annual__Free__Cash_Position___MM">[27]Quarterly!$A$124</definedName>
    <definedName name="Quarterly_Balance_Sheet">[27]Quarterly!$A$166:$M$201</definedName>
    <definedName name="qwer" hidden="1">"c2903"</definedName>
    <definedName name="Rating" localSheetId="4">IndexInformation!$B$9</definedName>
    <definedName name="RatingsDefined" localSheetId="0">ImportantDisclosures!$A$21</definedName>
    <definedName name="RatingsDefs" localSheetId="0">ImportantDisclosures!#REF!</definedName>
    <definedName name="RegACDisclosure" localSheetId="0">ImportantDisclosures!#REF!</definedName>
    <definedName name="ResearchTopic" localSheetId="4">IndexInformation!$B$4</definedName>
    <definedName name="rev">[3]WY!$D$282:$EG$282</definedName>
    <definedName name="REV_CAL00">'[24]Inc-Yr Summary Calendar'!$AH$19</definedName>
    <definedName name="REV_CAL01">'[24]Inc-Yr Summary Calendar'!$AI$19</definedName>
    <definedName name="REV_CAL02">'[24]Inc-Yr Summary Calendar'!$AJ$19</definedName>
    <definedName name="REV_CAL95">'[24]Inc-Yr Summary Calendar'!$I$19</definedName>
    <definedName name="REV_CAL96">'[24]Inc-Yr Summary Calendar'!$O$19</definedName>
    <definedName name="REV_CAL97">'[24]Inc-Yr Summary Calendar'!$U$19</definedName>
    <definedName name="REV_CAL98">'[24]Inc-Yr Summary Calendar'!$AA$19</definedName>
    <definedName name="REV_CAL99">'[24]Inc-Yr Summary Calendar'!$AG$19</definedName>
    <definedName name="RIC" localSheetId="4">IndexInformation!$B$21</definedName>
    <definedName name="roa">[3]WY!$D$462:$EG$462</definedName>
    <definedName name="roe">[3]WY!$D$461:$EG$461</definedName>
    <definedName name="roi">[3]WY!$D$460:$EG$460</definedName>
    <definedName name="Rsquared">'[9]Boeing Monthly'!$AT$674</definedName>
    <definedName name="rtyry" hidden="1">[1]Aerospace!$AD$342:$AD$373</definedName>
    <definedName name="sag" hidden="1">[2]単独!$AR$14:$AR$18</definedName>
    <definedName name="sagas" hidden="1">[1]Aerospace!$AJ$342:$AJ$355</definedName>
    <definedName name="sdsf" hidden="1">[1]Acquisitions!$AO$4:$AU$4</definedName>
    <definedName name="SECSettlement" localSheetId="0">ImportantDisclosures!#REF!</definedName>
    <definedName name="SEDOL" localSheetId="4">IndexInformation!$B$22</definedName>
    <definedName name="Sedol">2648806</definedName>
    <definedName name="sef" hidden="1">[1]Aerospace!$AB$354:$AB$385</definedName>
    <definedName name="Shares_Out_1q99">'[24]Inc-Yr Summary'!$X$48</definedName>
    <definedName name="shs">[3]WY!$D$378:$EG$378</definedName>
    <definedName name="solver_cvg" localSheetId="3" hidden="1">0.0001</definedName>
    <definedName name="solver_drv" localSheetId="3" hidden="1">1</definedName>
    <definedName name="solver_eng" localSheetId="3" hidden="1">1</definedName>
    <definedName name="solver_est" localSheetId="3" hidden="1">1</definedName>
    <definedName name="solver_itr" localSheetId="3" hidden="1">2147483647</definedName>
    <definedName name="solver_mip" localSheetId="3" hidden="1">2147483647</definedName>
    <definedName name="solver_mni" localSheetId="3" hidden="1">30</definedName>
    <definedName name="solver_mrt" localSheetId="3" hidden="1">0.075</definedName>
    <definedName name="solver_msl" localSheetId="3" hidden="1">2</definedName>
    <definedName name="solver_neg" localSheetId="3" hidden="1">1</definedName>
    <definedName name="solver_nod" localSheetId="3" hidden="1">2147483647</definedName>
    <definedName name="solver_num" localSheetId="3" hidden="1">0</definedName>
    <definedName name="solver_nwt" localSheetId="3" hidden="1">1</definedName>
    <definedName name="solver_opt" localSheetId="3" hidden="1">Model!$B$233</definedName>
    <definedName name="solver_pre" localSheetId="3" hidden="1">0.000001</definedName>
    <definedName name="solver_rbv" localSheetId="3" hidden="1">1</definedName>
    <definedName name="solver_rlx" localSheetId="3" hidden="1">2</definedName>
    <definedName name="solver_rsd" localSheetId="3" hidden="1">0</definedName>
    <definedName name="solver_scl" localSheetId="3" hidden="1">1</definedName>
    <definedName name="solver_sho" localSheetId="3" hidden="1">2</definedName>
    <definedName name="solver_ssz" localSheetId="3" hidden="1">100</definedName>
    <definedName name="solver_tim" localSheetId="3" hidden="1">2147483647</definedName>
    <definedName name="solver_tol" localSheetId="3" hidden="1">0.01</definedName>
    <definedName name="solver_typ" localSheetId="3" hidden="1">3</definedName>
    <definedName name="solver_val" localSheetId="3" hidden="1">213</definedName>
    <definedName name="solver_ver" localSheetId="3" hidden="1">3</definedName>
    <definedName name="SourceDefined" localSheetId="0">ImportantDisclosures!$A$19</definedName>
    <definedName name="Statement">[0]!Statement</definedName>
    <definedName name="StockRating" localSheetId="0">ImportantDisclosures!$A$11</definedName>
    <definedName name="Stored_Dates">OFFSET('[9]StoredAC v2'!$B$9,0,0,COUNT('[9]StoredAC v2'!$B$1:$B$65536),1)</definedName>
    <definedName name="SubjectCode" localSheetId="4">IndexInformation!$B$6</definedName>
    <definedName name="SubmitterUserId">IndexInformation!$B$39</definedName>
    <definedName name="SUMCF">'[23]TIN Model'!$A$602:$AD$637</definedName>
    <definedName name="SUPPRESSED" localSheetId="5">ModPubIndex!$A$13</definedName>
    <definedName name="T_Mainline">OFFSET('[9]StoredAC v2'!$AK$9,0,0,COUNT('[9]StoredAC v2'!$AK$1:$AK$65536)-1,1)</definedName>
    <definedName name="TABLE1">'[22]BOW Model'!$A$3:$GC$92</definedName>
    <definedName name="TargetPrice" localSheetId="0">ImportantDisclosures!$A$15</definedName>
    <definedName name="Taxes">[28]WY!$AG$306:$HW$306</definedName>
    <definedName name="TemplateRegion">IndexInformation!$B$36</definedName>
    <definedName name="Ticker" localSheetId="0">ImportantDisclosures!$A$10</definedName>
    <definedName name="ticker">OFFSET('[34]Exclusion List'!$A$1,1,0,COUNTA('[34]Exclusion List'!$A$1:$A$65536)-1,1)</definedName>
    <definedName name="TickerRegion">IndexInformation!$B$41</definedName>
    <definedName name="Tickers" localSheetId="4">IndexInformation!$B$19</definedName>
    <definedName name="toc">[17]TOC!$A$1</definedName>
    <definedName name="TotalInStorage">OFFSET('[9]StoredAC v2'!$AK$9,0,0,COUNT('[9]StoredAC v2'!$AK$1:$AK$65536)-1,1)</definedName>
    <definedName name="trEdate">"0FY"</definedName>
    <definedName name="trSdate">#N/A</definedName>
    <definedName name="trythy" hidden="1">[1]Aerospace!$AK$342:$AK$355</definedName>
    <definedName name="tyd" hidden="1">[2]ｾｸﾞﾒﾝﾄ!$E$165:$I$165</definedName>
    <definedName name="uiyioy" hidden="1">[2]単独!$AR$14:$AR$18</definedName>
    <definedName name="Update_This">[35]!Update_This</definedName>
    <definedName name="UpdateReason" localSheetId="4">IndexInformation!$B$17</definedName>
    <definedName name="US_ASM">OFFSET([19]Monthly_Traffic_Summary!$R$9,COUNT([19]Monthly_Traffic_Summary!$R$1:$R$65536)-12,0,12,1)</definedName>
    <definedName name="US_ASM_LTM">OFFSET([19]Monthly_Traffic_Summary!$S$21,COUNT([19]Monthly_Traffic_Summary!$S$1:$S$65536)-12,0,12,1)</definedName>
    <definedName name="US_ASM10y">OFFSET([19]Monthly_Traffic_Summary!$R$9,COUNT([19]Monthly_Traffic_Summary!$R$1:$R$65536)-120,0,120,1)</definedName>
    <definedName name="US_LF">OFFSET([19]Monthly_Traffic_Summary!$T$9,COUNT([19]Monthly_Traffic_Summary!$T$1:$T$65536)-12,0,12,1)</definedName>
    <definedName name="US_LF_LTM">OFFSET([19]Monthly_Traffic_Summary!$U$21,COUNT([19]Monthly_Traffic_Summary!$U$1:$U$65536)-12,0,12,1)</definedName>
    <definedName name="US_LF10y">OFFSET([19]Monthly_Traffic_Summary!$T$9,COUNT([19]Monthly_Traffic_Summary!$T$1:$T$65536)-120,0,120,1)</definedName>
    <definedName name="US_RPM">OFFSET([19]Monthly_Traffic_Summary!$P$9,COUNT([19]Monthly_Traffic_Summary!$P$1:$P$65536)-12,0,12,1)</definedName>
    <definedName name="US_RPM_LTM">OFFSET([19]Monthly_Traffic_Summary!$Q$21,COUNT([19]Monthly_Traffic_Summary!$Q$1:$Q$65536)-12,0,12,1)</definedName>
    <definedName name="US_RPM10y">OFFSET([19]Monthly_Traffic_Summary!$P$9,COUNT([19]Monthly_Traffic_Summary!$P$1:$P$65536)-120,0,120,1)</definedName>
    <definedName name="USRegDisclosures" localSheetId="0">ImportantDisclosures!#REF!</definedName>
    <definedName name="v" hidden="1">[2]ｾｸﾞﾒﾝﾄ!$E$164:$I$164</definedName>
    <definedName name="Valuation">[1]Main!$AI$4:$AV$21</definedName>
    <definedName name="Version">"June 29, 2004"</definedName>
    <definedName name="w" hidden="1">[2]単独!$AR$14:$AR$18</definedName>
    <definedName name="wer" hidden="1">"c2895"</definedName>
    <definedName name="Widebodies">OFFSET([9]StoredAC!$BZ$9,0,0,COUNT([9]StoredAC!$BZ$1:$BZ$65536)-1,1)</definedName>
    <definedName name="Worldwide_ASM_LTM">OFFSET([19]Monthly_Traffic_Summary!$AN$369,COUNT([19]Monthly_Traffic_Summary!$AN$1:$AN$65536)-12,0,12,1)</definedName>
    <definedName name="Worldwide_RPM_LTM">OFFSET([19]Monthly_Traffic_Summary!$AL$369,COUNT([19]Monthly_Traffic_Summary!$AL$1:$AL$65536)-12,0,12,1)</definedName>
    <definedName name="Worlwide_LF_LTM">OFFSET([19]Monthly_Traffic_Summary!$AP$369,COUNT([19]Monthly_Traffic_Summary!$AP$1:$AP$65536)-12,0,12,1)</definedName>
    <definedName name="wrn.2._.pagers." hidden="1">{"Cover",#N/A,FALSE,"Cover";"Summary",#N/A,FALSE,"Summarpage"}</definedName>
    <definedName name="wrn.allpages." hidden="1">{#N/A,#N/A,TRUE,"Historicals";#N/A,#N/A,TRUE,"Charts";#N/A,#N/A,TRUE,"Forecasts"}</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Industry.xls." hidden="1">{#N/A,#N/A,FALSE,"Earnings";#N/A,#N/A,FALSE,"Overview";#N/A,#N/A,FALSE,"Summary";#N/A,#N/A,FALSE,"Summary II";#N/A,#N/A,FALSE,"R&amp;D";#N/A,#N/A,FALSE,"R&amp;D Forecast";#N/A,#N/A,FALSE,"Tax Adj";#N/A,#N/A,FALSE,"Goodwill";#N/A,#N/A,FALSE,"FX ";#N/A,#N/A,FALSE,"Consolidation";#N/A,#N/A,FALSE,"Provisions"}</definedName>
    <definedName name="wrn.MOBIL." hidden="1">{"quarter",#N/A,FALSE,"MOB"}</definedName>
    <definedName name="wrn.Pulp." hidden="1">{"Pulp Production",#N/A,FALSE,"Pulp";"Pulp Earnings",#N/A,FALSE,"Pulp"}</definedName>
    <definedName name="xaxis">OFFSET('[25]Roll off Speed'!$W$12,0,0,COUNTIF('[25]Roll off Speed'!$W$12:$W$1231,"&lt;&gt;false"),1)</definedName>
    <definedName name="xx" hidden="1">[1]Aerospace!$AI$342:$AI$355</definedName>
    <definedName name="ytdhy" hidden="1">[2]ｾｸﾞﾒﾝﾄ!$E$167:$I$167</definedName>
    <definedName name="zsd" hidden="1">[1]Aerospace!$L$342:$L$373</definedName>
  </definedNames>
  <calcPr calcId="145621" calcMode="autoNoTable"/>
</workbook>
</file>

<file path=xl/calcChain.xml><?xml version="1.0" encoding="utf-8"?>
<calcChain xmlns="http://schemas.openxmlformats.org/spreadsheetml/2006/main">
  <c r="L342" i="1" l="1"/>
  <c r="G342" i="1"/>
  <c r="C342" i="1"/>
  <c r="B342" i="1"/>
  <c r="G341" i="1"/>
  <c r="F341" i="1"/>
  <c r="E341" i="1"/>
  <c r="D341" i="1"/>
  <c r="C341" i="1"/>
  <c r="U339" i="1"/>
  <c r="T339" i="1"/>
  <c r="S339" i="1"/>
  <c r="R339" i="1"/>
  <c r="K339" i="1"/>
  <c r="J339" i="1"/>
  <c r="I339" i="1"/>
  <c r="F339" i="1"/>
  <c r="E339" i="1"/>
  <c r="B339" i="1"/>
  <c r="AP333" i="1"/>
  <c r="AP332" i="1"/>
  <c r="AK332" i="1"/>
  <c r="AF333" i="1"/>
  <c r="AF332" i="1"/>
  <c r="L333" i="1"/>
  <c r="L332" i="1"/>
  <c r="L331" i="1"/>
  <c r="G333" i="1"/>
  <c r="G332" i="1"/>
  <c r="G331" i="1"/>
  <c r="B333" i="1"/>
  <c r="B332" i="1"/>
  <c r="B331" i="1"/>
  <c r="B317" i="1"/>
  <c r="V299" i="1"/>
  <c r="Q302" i="1"/>
  <c r="V302" i="1" s="1"/>
  <c r="Q301" i="1"/>
  <c r="V301" i="1" s="1"/>
  <c r="Q300" i="1"/>
  <c r="V300" i="1" s="1"/>
  <c r="V303" i="1" s="1"/>
  <c r="V322" i="1" s="1"/>
  <c r="V323" i="1" s="1"/>
  <c r="Q299" i="1"/>
  <c r="U303" i="1"/>
  <c r="T303" i="1"/>
  <c r="S303" i="1"/>
  <c r="R303" i="1"/>
  <c r="M304" i="1"/>
  <c r="I304" i="1"/>
  <c r="E304" i="1"/>
  <c r="P303" i="1"/>
  <c r="O303" i="1"/>
  <c r="N303" i="1"/>
  <c r="M303" i="1"/>
  <c r="L303" i="1"/>
  <c r="L322" i="1" s="1"/>
  <c r="L323" i="1" s="1"/>
  <c r="K303" i="1"/>
  <c r="J303" i="1"/>
  <c r="I303" i="1"/>
  <c r="H303" i="1"/>
  <c r="F303" i="1"/>
  <c r="E303" i="1"/>
  <c r="D303" i="1"/>
  <c r="C303" i="1"/>
  <c r="B303" i="1"/>
  <c r="B322" i="1" s="1"/>
  <c r="B323" i="1" s="1"/>
  <c r="L302" i="1"/>
  <c r="L301" i="1"/>
  <c r="L300" i="1"/>
  <c r="L299" i="1"/>
  <c r="G302" i="1"/>
  <c r="G301" i="1"/>
  <c r="G300" i="1"/>
  <c r="G299" i="1"/>
  <c r="G303" i="1" s="1"/>
  <c r="G322" i="1" s="1"/>
  <c r="G323" i="1" s="1"/>
  <c r="W300" i="1"/>
  <c r="X300" i="1" s="1"/>
  <c r="Y300" i="1" s="1"/>
  <c r="Z300" i="1" s="1"/>
  <c r="AA300" i="1" s="1"/>
  <c r="AF300" i="1" s="1"/>
  <c r="AK300" i="1" s="1"/>
  <c r="AP300" i="1" s="1"/>
  <c r="Y299" i="1"/>
  <c r="Z299" i="1" s="1"/>
  <c r="W299" i="1"/>
  <c r="X299" i="1" s="1"/>
  <c r="U297" i="1"/>
  <c r="U304" i="1" s="1"/>
  <c r="T297" i="1"/>
  <c r="T304" i="1" s="1"/>
  <c r="S297" i="1"/>
  <c r="S304" i="1" s="1"/>
  <c r="R297" i="1"/>
  <c r="R304" i="1" s="1"/>
  <c r="P297" i="1"/>
  <c r="P304" i="1" s="1"/>
  <c r="O297" i="1"/>
  <c r="O304" i="1" s="1"/>
  <c r="N297" i="1"/>
  <c r="N304" i="1" s="1"/>
  <c r="M297" i="1"/>
  <c r="K297" i="1"/>
  <c r="K304" i="1" s="1"/>
  <c r="J297" i="1"/>
  <c r="J304" i="1" s="1"/>
  <c r="I297" i="1"/>
  <c r="H297" i="1"/>
  <c r="H304" i="1" s="1"/>
  <c r="F297" i="1"/>
  <c r="F304" i="1" s="1"/>
  <c r="E297" i="1"/>
  <c r="D297" i="1"/>
  <c r="D304" i="1" s="1"/>
  <c r="C297" i="1"/>
  <c r="C304" i="1" s="1"/>
  <c r="B297" i="1"/>
  <c r="B321" i="1" s="1"/>
  <c r="Q296" i="1"/>
  <c r="Q295" i="1"/>
  <c r="Q294" i="1"/>
  <c r="Q293" i="1"/>
  <c r="Q290" i="1"/>
  <c r="Q288" i="1"/>
  <c r="Q286" i="1"/>
  <c r="L296" i="1"/>
  <c r="L295" i="1"/>
  <c r="L294" i="1"/>
  <c r="L317" i="1" s="1"/>
  <c r="L293" i="1"/>
  <c r="G296" i="1"/>
  <c r="G295" i="1"/>
  <c r="G297" i="1" s="1"/>
  <c r="G294" i="1"/>
  <c r="G317" i="1" s="1"/>
  <c r="G293" i="1"/>
  <c r="G291" i="1"/>
  <c r="U291" i="1"/>
  <c r="T291" i="1"/>
  <c r="S291" i="1"/>
  <c r="R291" i="1"/>
  <c r="P291" i="1"/>
  <c r="O291" i="1"/>
  <c r="N291" i="1"/>
  <c r="M291" i="1"/>
  <c r="K291" i="1"/>
  <c r="J291" i="1"/>
  <c r="I291" i="1"/>
  <c r="H291" i="1"/>
  <c r="F291" i="1"/>
  <c r="E291" i="1"/>
  <c r="D291" i="1"/>
  <c r="C291" i="1"/>
  <c r="B291" i="1"/>
  <c r="T290" i="1"/>
  <c r="O290" i="1"/>
  <c r="L288" i="1"/>
  <c r="L286" i="1"/>
  <c r="G288" i="1"/>
  <c r="G286" i="1"/>
  <c r="Z296" i="1"/>
  <c r="AA296" i="1" s="1"/>
  <c r="AF296" i="1" s="1"/>
  <c r="AK296" i="1" s="1"/>
  <c r="AP296" i="1" s="1"/>
  <c r="X296" i="1"/>
  <c r="Y296" i="1" s="1"/>
  <c r="W296" i="1"/>
  <c r="V296" i="1"/>
  <c r="V295" i="1"/>
  <c r="Y294" i="1"/>
  <c r="X294" i="1"/>
  <c r="Z294" i="1" s="1"/>
  <c r="AA294" i="1" s="1"/>
  <c r="W294" i="1"/>
  <c r="V294" i="1"/>
  <c r="V317" i="1" s="1"/>
  <c r="V293" i="1"/>
  <c r="V297" i="1" s="1"/>
  <c r="V288" i="1"/>
  <c r="V286" i="1"/>
  <c r="AF283" i="1"/>
  <c r="AK283" i="1" s="1"/>
  <c r="AP283" i="1" s="1"/>
  <c r="Q283" i="1"/>
  <c r="Q282" i="1"/>
  <c r="Q281" i="1"/>
  <c r="Q280" i="1"/>
  <c r="Q277" i="1"/>
  <c r="Q275" i="1"/>
  <c r="Q273" i="1"/>
  <c r="L283" i="1"/>
  <c r="L282" i="1"/>
  <c r="L281" i="1"/>
  <c r="L280" i="1"/>
  <c r="L277" i="1"/>
  <c r="L275" i="1"/>
  <c r="L273" i="1"/>
  <c r="G283" i="1"/>
  <c r="G282" i="1"/>
  <c r="G281" i="1"/>
  <c r="G280" i="1"/>
  <c r="G277" i="1"/>
  <c r="G275" i="1"/>
  <c r="G273" i="1"/>
  <c r="E277" i="1"/>
  <c r="D277" i="1"/>
  <c r="C277" i="1"/>
  <c r="B277" i="1"/>
  <c r="Z283" i="1"/>
  <c r="AA283" i="1" s="1"/>
  <c r="Y283" i="1"/>
  <c r="X283" i="1"/>
  <c r="W283" i="1"/>
  <c r="V283" i="1"/>
  <c r="Z281" i="1"/>
  <c r="AA281" i="1" s="1"/>
  <c r="AF281" i="1" s="1"/>
  <c r="AK281" i="1" s="1"/>
  <c r="AP281" i="1" s="1"/>
  <c r="Y281" i="1"/>
  <c r="X281" i="1"/>
  <c r="W281" i="1"/>
  <c r="V281" i="1"/>
  <c r="V280" i="1"/>
  <c r="V275" i="1"/>
  <c r="V273" i="1"/>
  <c r="R266" i="1"/>
  <c r="M266" i="1"/>
  <c r="L266" i="1"/>
  <c r="H266" i="1"/>
  <c r="G266" i="1"/>
  <c r="C266" i="1"/>
  <c r="B266" i="1"/>
  <c r="B268" i="1" s="1"/>
  <c r="T265" i="1"/>
  <c r="S265" i="1"/>
  <c r="O265" i="1"/>
  <c r="N265" i="1"/>
  <c r="I265" i="1"/>
  <c r="F265" i="1"/>
  <c r="E265" i="1"/>
  <c r="D265" i="1"/>
  <c r="AA264" i="1"/>
  <c r="AA262" i="1"/>
  <c r="AA261" i="1"/>
  <c r="AA260" i="1"/>
  <c r="AA257" i="1"/>
  <c r="AA256" i="1"/>
  <c r="AA247" i="1"/>
  <c r="AA246" i="1"/>
  <c r="R264" i="1"/>
  <c r="M264" i="1"/>
  <c r="H264" i="1"/>
  <c r="C264" i="1"/>
  <c r="B264" i="1"/>
  <c r="T263" i="1"/>
  <c r="U263" i="1" s="1"/>
  <c r="S263" i="1"/>
  <c r="S264" i="1" s="1"/>
  <c r="O263" i="1"/>
  <c r="P263" i="1" s="1"/>
  <c r="N263" i="1"/>
  <c r="N264" i="1" s="1"/>
  <c r="I263" i="1"/>
  <c r="D263" i="1"/>
  <c r="D342" i="1" s="1"/>
  <c r="V262" i="1"/>
  <c r="V246" i="1"/>
  <c r="Q262" i="1"/>
  <c r="Q261" i="1"/>
  <c r="V261" i="1" s="1"/>
  <c r="Q256" i="1"/>
  <c r="V256" i="1" s="1"/>
  <c r="Q246" i="1"/>
  <c r="F262" i="1"/>
  <c r="F261" i="1"/>
  <c r="F256" i="1"/>
  <c r="F250" i="1"/>
  <c r="F246" i="1"/>
  <c r="AP261" i="1"/>
  <c r="AK261" i="1"/>
  <c r="AF261" i="1"/>
  <c r="J261" i="1"/>
  <c r="I261" i="1"/>
  <c r="K261" i="1" s="1"/>
  <c r="U260" i="1"/>
  <c r="P260" i="1"/>
  <c r="Q260" i="1" s="1"/>
  <c r="K260" i="1"/>
  <c r="K256" i="1"/>
  <c r="K250" i="1"/>
  <c r="K246" i="1"/>
  <c r="AP258" i="1"/>
  <c r="AK258" i="1"/>
  <c r="AF258" i="1"/>
  <c r="X258" i="1"/>
  <c r="W258" i="1"/>
  <c r="T259" i="1"/>
  <c r="U259" i="1" s="1"/>
  <c r="S259" i="1"/>
  <c r="T258" i="1"/>
  <c r="S258" i="1"/>
  <c r="R257" i="1"/>
  <c r="S257" i="1" s="1"/>
  <c r="T257" i="1" s="1"/>
  <c r="U257" i="1" s="1"/>
  <c r="O259" i="1"/>
  <c r="P259" i="1" s="1"/>
  <c r="N259" i="1"/>
  <c r="Q259" i="1" s="1"/>
  <c r="V259" i="1" s="1"/>
  <c r="N258" i="1"/>
  <c r="O258" i="1" s="1"/>
  <c r="O257" i="1"/>
  <c r="P257" i="1" s="1"/>
  <c r="N257" i="1"/>
  <c r="M257" i="1"/>
  <c r="Q257" i="1" s="1"/>
  <c r="V257" i="1" s="1"/>
  <c r="L257" i="1"/>
  <c r="J259" i="1"/>
  <c r="I259" i="1"/>
  <c r="K259" i="1" s="1"/>
  <c r="I258" i="1"/>
  <c r="H257" i="1"/>
  <c r="G257" i="1"/>
  <c r="E260" i="1"/>
  <c r="D260" i="1"/>
  <c r="F260" i="1" s="1"/>
  <c r="D259" i="1"/>
  <c r="E258" i="1"/>
  <c r="D258" i="1"/>
  <c r="D257" i="1"/>
  <c r="C257" i="1"/>
  <c r="B257" i="1"/>
  <c r="G256" i="1"/>
  <c r="G254" i="1"/>
  <c r="G335" i="1" s="1"/>
  <c r="G253" i="1"/>
  <c r="C254" i="1"/>
  <c r="B254" i="1"/>
  <c r="B335" i="1" s="1"/>
  <c r="W253" i="1"/>
  <c r="R254" i="1"/>
  <c r="R253" i="1"/>
  <c r="M254" i="1"/>
  <c r="L254" i="1"/>
  <c r="L335" i="1" s="1"/>
  <c r="N253" i="1"/>
  <c r="M253" i="1"/>
  <c r="L253" i="1"/>
  <c r="H254" i="1"/>
  <c r="H253" i="1"/>
  <c r="Z251" i="1"/>
  <c r="Z258" i="1" s="1"/>
  <c r="Y251" i="1"/>
  <c r="AA251" i="1" s="1"/>
  <c r="U251" i="1"/>
  <c r="T251" i="1"/>
  <c r="T253" i="1" s="1"/>
  <c r="S251" i="1"/>
  <c r="S253" i="1" s="1"/>
  <c r="T250" i="1"/>
  <c r="S250" i="1"/>
  <c r="S254" i="1" s="1"/>
  <c r="S248" i="1"/>
  <c r="T248" i="1" s="1"/>
  <c r="U248" i="1" s="1"/>
  <c r="U247" i="1"/>
  <c r="T247" i="1"/>
  <c r="S247" i="1"/>
  <c r="O251" i="1"/>
  <c r="N251" i="1"/>
  <c r="N250" i="1"/>
  <c r="P248" i="1"/>
  <c r="O248" i="1"/>
  <c r="N248" i="1"/>
  <c r="O247" i="1"/>
  <c r="P247" i="1" s="1"/>
  <c r="N247" i="1"/>
  <c r="AK246" i="1"/>
  <c r="AP246" i="1" s="1"/>
  <c r="AF246" i="1"/>
  <c r="AX244" i="1"/>
  <c r="AY244" i="1" s="1"/>
  <c r="AZ244" i="1" s="1"/>
  <c r="X244" i="1"/>
  <c r="W244" i="1"/>
  <c r="W280" i="1" s="1"/>
  <c r="S245" i="1"/>
  <c r="T245" i="1" s="1"/>
  <c r="U245" i="1" s="1"/>
  <c r="T244" i="1"/>
  <c r="U244" i="1" s="1"/>
  <c r="S244" i="1"/>
  <c r="N245" i="1"/>
  <c r="O244" i="1"/>
  <c r="N244" i="1"/>
  <c r="I251" i="1"/>
  <c r="J250" i="1"/>
  <c r="I250" i="1"/>
  <c r="J248" i="1"/>
  <c r="I248" i="1"/>
  <c r="K248" i="1" s="1"/>
  <c r="I247" i="1"/>
  <c r="J246" i="1"/>
  <c r="I246" i="1"/>
  <c r="I245" i="1"/>
  <c r="J244" i="1"/>
  <c r="I244" i="1"/>
  <c r="K244" i="1" s="1"/>
  <c r="D253" i="1"/>
  <c r="D251" i="1"/>
  <c r="E250" i="1"/>
  <c r="E266" i="1" s="1"/>
  <c r="D250" i="1"/>
  <c r="E248" i="1"/>
  <c r="D248" i="1"/>
  <c r="F248" i="1" s="1"/>
  <c r="D247" i="1"/>
  <c r="E246" i="1"/>
  <c r="D246" i="1"/>
  <c r="D245" i="1"/>
  <c r="E244" i="1"/>
  <c r="D244" i="1"/>
  <c r="F244" i="1" s="1"/>
  <c r="U239" i="1"/>
  <c r="T239" i="1"/>
  <c r="R239" i="1"/>
  <c r="M239" i="1"/>
  <c r="L239" i="1"/>
  <c r="H239" i="1"/>
  <c r="G239" i="1"/>
  <c r="Z238" i="1"/>
  <c r="Y238" i="1"/>
  <c r="W238" i="1"/>
  <c r="V238" i="1"/>
  <c r="S238" i="1"/>
  <c r="N238" i="1"/>
  <c r="K238" i="1"/>
  <c r="J238" i="1"/>
  <c r="I238" i="1"/>
  <c r="F238" i="1"/>
  <c r="E238" i="1"/>
  <c r="D238" i="1"/>
  <c r="AA229" i="1"/>
  <c r="N236" i="1"/>
  <c r="J236" i="1"/>
  <c r="F236" i="1"/>
  <c r="T235" i="1"/>
  <c r="S235" i="1"/>
  <c r="R235" i="1"/>
  <c r="R236" i="1" s="1"/>
  <c r="O236" i="1"/>
  <c r="Q235" i="1"/>
  <c r="M236" i="1"/>
  <c r="U234" i="1"/>
  <c r="T234" i="1"/>
  <c r="S234" i="1"/>
  <c r="R234" i="1"/>
  <c r="P234" i="1"/>
  <c r="O234" i="1"/>
  <c r="N234" i="1"/>
  <c r="M234" i="1"/>
  <c r="L234" i="1"/>
  <c r="K234" i="1"/>
  <c r="J234" i="1"/>
  <c r="I234" i="1"/>
  <c r="H234" i="1"/>
  <c r="G234" i="1"/>
  <c r="F234" i="1"/>
  <c r="E234" i="1"/>
  <c r="D234" i="1"/>
  <c r="AK229" i="1"/>
  <c r="AP229" i="1" s="1"/>
  <c r="AF229" i="1"/>
  <c r="Q233" i="1"/>
  <c r="Q234" i="1" s="1"/>
  <c r="Q231" i="1"/>
  <c r="Q227" i="1"/>
  <c r="U232" i="1"/>
  <c r="T232" i="1"/>
  <c r="S232" i="1"/>
  <c r="R232" i="1"/>
  <c r="P232" i="1"/>
  <c r="O232" i="1"/>
  <c r="N232" i="1"/>
  <c r="M232" i="1"/>
  <c r="L232" i="1"/>
  <c r="K232" i="1"/>
  <c r="J232" i="1"/>
  <c r="I232" i="1"/>
  <c r="H232" i="1"/>
  <c r="G232" i="1"/>
  <c r="F232" i="1"/>
  <c r="E232" i="1"/>
  <c r="D232" i="1"/>
  <c r="C232" i="1"/>
  <c r="B232" i="1"/>
  <c r="Z233" i="1"/>
  <c r="Y233" i="1"/>
  <c r="X233" i="1"/>
  <c r="W233" i="1"/>
  <c r="AA233" i="1" s="1"/>
  <c r="V233" i="1"/>
  <c r="V232" i="1" s="1"/>
  <c r="V231" i="1"/>
  <c r="U230" i="1"/>
  <c r="U229" i="1" s="1"/>
  <c r="T230" i="1"/>
  <c r="T229" i="1" s="1"/>
  <c r="V229" i="1" s="1"/>
  <c r="S230" i="1"/>
  <c r="V230" i="1" s="1"/>
  <c r="K230" i="1"/>
  <c r="J230" i="1"/>
  <c r="I230" i="1"/>
  <c r="L230" i="1" s="1"/>
  <c r="F230" i="1"/>
  <c r="E230" i="1"/>
  <c r="D230" i="1"/>
  <c r="C230" i="1"/>
  <c r="G230" i="1" s="1"/>
  <c r="R229" i="1"/>
  <c r="U228" i="1"/>
  <c r="T228" i="1"/>
  <c r="S228" i="1"/>
  <c r="S229" i="1" s="1"/>
  <c r="R228" i="1"/>
  <c r="N230" i="1"/>
  <c r="P228" i="1"/>
  <c r="O228" i="1"/>
  <c r="N228" i="1"/>
  <c r="H229" i="1"/>
  <c r="D229" i="1"/>
  <c r="M228" i="1"/>
  <c r="K228" i="1"/>
  <c r="K229" i="1" s="1"/>
  <c r="L229" i="1" s="1"/>
  <c r="J228" i="1"/>
  <c r="J229" i="1" s="1"/>
  <c r="I228" i="1"/>
  <c r="I229" i="1" s="1"/>
  <c r="H228" i="1"/>
  <c r="F228" i="1"/>
  <c r="F229" i="1" s="1"/>
  <c r="E228" i="1"/>
  <c r="E229" i="1" s="1"/>
  <c r="D228" i="1"/>
  <c r="C228" i="1"/>
  <c r="C229" i="1" s="1"/>
  <c r="G229" i="1" s="1"/>
  <c r="W227" i="1"/>
  <c r="X227" i="1" s="1"/>
  <c r="V227" i="1"/>
  <c r="L227" i="1"/>
  <c r="G227" i="1"/>
  <c r="X223" i="1"/>
  <c r="W223" i="1"/>
  <c r="U223" i="1"/>
  <c r="T223" i="1"/>
  <c r="S223" i="1"/>
  <c r="R223" i="1"/>
  <c r="Q223" i="1"/>
  <c r="P223" i="1"/>
  <c r="O223" i="1"/>
  <c r="N223" i="1"/>
  <c r="M223" i="1"/>
  <c r="K223" i="1"/>
  <c r="J223" i="1"/>
  <c r="I223" i="1"/>
  <c r="H223" i="1"/>
  <c r="F223" i="1"/>
  <c r="E223" i="1"/>
  <c r="D223" i="1"/>
  <c r="C223" i="1"/>
  <c r="B223" i="1"/>
  <c r="V221" i="1"/>
  <c r="U221" i="1"/>
  <c r="Q221" i="1"/>
  <c r="P221" i="1"/>
  <c r="V220" i="1"/>
  <c r="Q220" i="1"/>
  <c r="L220" i="1"/>
  <c r="L223" i="1" s="1"/>
  <c r="G220" i="1"/>
  <c r="G223" i="1" s="1"/>
  <c r="U215" i="1"/>
  <c r="T215" i="1"/>
  <c r="S215" i="1"/>
  <c r="R215" i="1"/>
  <c r="K215" i="1"/>
  <c r="J215" i="1"/>
  <c r="I215" i="1"/>
  <c r="F215" i="1"/>
  <c r="E215" i="1"/>
  <c r="C215" i="1"/>
  <c r="B215" i="1"/>
  <c r="X215" i="1"/>
  <c r="V209" i="1"/>
  <c r="V206" i="1"/>
  <c r="V205" i="1"/>
  <c r="V204" i="1"/>
  <c r="V202" i="1"/>
  <c r="V201" i="1"/>
  <c r="V203" i="1" s="1"/>
  <c r="AA203" i="1" s="1"/>
  <c r="AF203" i="1" s="1"/>
  <c r="AK203" i="1" s="1"/>
  <c r="AP203" i="1" s="1"/>
  <c r="Q209" i="1"/>
  <c r="P209" i="1"/>
  <c r="G209" i="1"/>
  <c r="W206" i="1"/>
  <c r="AA205" i="1"/>
  <c r="AA202" i="1"/>
  <c r="AA204" i="1" s="1"/>
  <c r="Q205" i="1"/>
  <c r="Q202" i="1"/>
  <c r="Q204" i="1" s="1"/>
  <c r="Q201" i="1"/>
  <c r="Q203" i="1" s="1"/>
  <c r="G205" i="1"/>
  <c r="G203" i="1"/>
  <c r="G202" i="1"/>
  <c r="G204" i="1" s="1"/>
  <c r="G201" i="1"/>
  <c r="L204" i="1"/>
  <c r="L203" i="1"/>
  <c r="L202" i="1"/>
  <c r="Y201" i="1"/>
  <c r="X201" i="1"/>
  <c r="W201" i="1"/>
  <c r="Z201" i="1" s="1"/>
  <c r="AP193" i="1"/>
  <c r="AP191" i="1" s="1"/>
  <c r="AP192" i="1"/>
  <c r="AK193" i="1"/>
  <c r="AK192" i="1"/>
  <c r="AK191" i="1"/>
  <c r="AF193" i="1"/>
  <c r="AF192" i="1"/>
  <c r="AF191" i="1" s="1"/>
  <c r="K193" i="1"/>
  <c r="K192" i="1"/>
  <c r="F193" i="1"/>
  <c r="F192" i="1"/>
  <c r="Z193" i="1"/>
  <c r="Y193" i="1"/>
  <c r="AA192" i="1"/>
  <c r="Z192" i="1"/>
  <c r="Y192" i="1"/>
  <c r="Z191" i="1"/>
  <c r="X191" i="1"/>
  <c r="X339" i="1" s="1"/>
  <c r="W191" i="1"/>
  <c r="V191" i="1"/>
  <c r="Q193" i="1"/>
  <c r="P193" i="1"/>
  <c r="Q192" i="1"/>
  <c r="P192" i="1"/>
  <c r="P191" i="1" s="1"/>
  <c r="O191" i="1"/>
  <c r="N191" i="1"/>
  <c r="M191" i="1"/>
  <c r="H191" i="1"/>
  <c r="G191" i="1"/>
  <c r="G339" i="1" s="1"/>
  <c r="D191" i="1"/>
  <c r="C191" i="1"/>
  <c r="C339" i="1" s="1"/>
  <c r="Q156" i="1"/>
  <c r="Q155" i="1"/>
  <c r="Q154" i="1"/>
  <c r="F186" i="1"/>
  <c r="E186" i="1"/>
  <c r="D186" i="1"/>
  <c r="C186" i="1"/>
  <c r="G185" i="1"/>
  <c r="B185" i="1"/>
  <c r="B186" i="1" s="1"/>
  <c r="B184" i="1"/>
  <c r="B172" i="1"/>
  <c r="P166" i="1"/>
  <c r="Q166" i="1" s="1"/>
  <c r="P165" i="1"/>
  <c r="Q165" i="1" s="1"/>
  <c r="Q162" i="1" s="1"/>
  <c r="P162" i="1"/>
  <c r="P164" i="1" s="1"/>
  <c r="P160" i="1"/>
  <c r="K166" i="1"/>
  <c r="K165" i="1"/>
  <c r="K162" i="1" s="1"/>
  <c r="K164" i="1"/>
  <c r="K161" i="1"/>
  <c r="K160" i="1"/>
  <c r="F166" i="1"/>
  <c r="F162" i="1" s="1"/>
  <c r="F165" i="1"/>
  <c r="AF164" i="1"/>
  <c r="AK164" i="1" s="1"/>
  <c r="AP164" i="1" s="1"/>
  <c r="E162" i="1"/>
  <c r="D162" i="1"/>
  <c r="D164" i="1" s="1"/>
  <c r="C162" i="1"/>
  <c r="B162" i="1"/>
  <c r="U160" i="1"/>
  <c r="T160" i="1"/>
  <c r="S160" i="1"/>
  <c r="R160" i="1"/>
  <c r="F160" i="1"/>
  <c r="E160" i="1"/>
  <c r="D160" i="1"/>
  <c r="C160" i="1"/>
  <c r="B160" i="1"/>
  <c r="O162" i="1"/>
  <c r="O164" i="1" s="1"/>
  <c r="N162" i="1"/>
  <c r="N164" i="1" s="1"/>
  <c r="M162" i="1"/>
  <c r="M164" i="1" s="1"/>
  <c r="L162" i="1"/>
  <c r="L164" i="1" s="1"/>
  <c r="O160" i="1"/>
  <c r="N160" i="1"/>
  <c r="M160" i="1"/>
  <c r="L160" i="1"/>
  <c r="J162" i="1"/>
  <c r="J164" i="1" s="1"/>
  <c r="I162" i="1"/>
  <c r="I164" i="1" s="1"/>
  <c r="H162" i="1"/>
  <c r="H164" i="1" s="1"/>
  <c r="G162" i="1"/>
  <c r="G164" i="1" s="1"/>
  <c r="J160" i="1"/>
  <c r="J178" i="1" s="1"/>
  <c r="I160" i="1"/>
  <c r="H160" i="1"/>
  <c r="G160" i="1"/>
  <c r="G178" i="1" s="1"/>
  <c r="AA156" i="1"/>
  <c r="V156" i="1"/>
  <c r="V155" i="1"/>
  <c r="V154" i="1"/>
  <c r="V153" i="1" s="1"/>
  <c r="G156" i="1"/>
  <c r="G153" i="1" s="1"/>
  <c r="G172" i="1" s="1"/>
  <c r="G155" i="1"/>
  <c r="AF155" i="1"/>
  <c r="AK155" i="1" s="1"/>
  <c r="W155" i="1"/>
  <c r="W154" i="1"/>
  <c r="AA153" i="1"/>
  <c r="W153" i="1"/>
  <c r="U153" i="1"/>
  <c r="U178" i="1" s="1"/>
  <c r="T153" i="1"/>
  <c r="T172" i="1" s="1"/>
  <c r="S153" i="1"/>
  <c r="S172" i="1" s="1"/>
  <c r="R153" i="1"/>
  <c r="R172" i="1" s="1"/>
  <c r="P153" i="1"/>
  <c r="P178" i="1" s="1"/>
  <c r="O153" i="1"/>
  <c r="O172" i="1" s="1"/>
  <c r="N153" i="1"/>
  <c r="N172" i="1" s="1"/>
  <c r="M153" i="1"/>
  <c r="M172" i="1" s="1"/>
  <c r="L153" i="1"/>
  <c r="L172" i="1" s="1"/>
  <c r="K153" i="1"/>
  <c r="K178" i="1" s="1"/>
  <c r="J153" i="1"/>
  <c r="J172" i="1" s="1"/>
  <c r="I153" i="1"/>
  <c r="I172" i="1" s="1"/>
  <c r="H153" i="1"/>
  <c r="H172" i="1" s="1"/>
  <c r="F153" i="1"/>
  <c r="F178" i="1" s="1"/>
  <c r="E153" i="1"/>
  <c r="E172" i="1" s="1"/>
  <c r="D153" i="1"/>
  <c r="D172" i="1" s="1"/>
  <c r="C153" i="1"/>
  <c r="C172" i="1" s="1"/>
  <c r="B153" i="1"/>
  <c r="B178" i="1" s="1"/>
  <c r="AA151" i="1"/>
  <c r="Z144" i="1"/>
  <c r="Y144" i="1"/>
  <c r="AF144" i="1" s="1"/>
  <c r="AA143" i="1"/>
  <c r="AA136" i="1"/>
  <c r="O137" i="1"/>
  <c r="N137" i="1"/>
  <c r="M137" i="1"/>
  <c r="L137" i="1"/>
  <c r="J137" i="1"/>
  <c r="I137" i="1"/>
  <c r="H137" i="1"/>
  <c r="G137" i="1"/>
  <c r="E137" i="1"/>
  <c r="D137" i="1"/>
  <c r="C137" i="1"/>
  <c r="B137" i="1"/>
  <c r="Q136" i="1"/>
  <c r="Q137" i="1" s="1"/>
  <c r="P136" i="1"/>
  <c r="P137" i="1" s="1"/>
  <c r="K136" i="1"/>
  <c r="K137" i="1" s="1"/>
  <c r="F136" i="1"/>
  <c r="F137" i="1" s="1"/>
  <c r="O134" i="1"/>
  <c r="N134" i="1"/>
  <c r="M134" i="1"/>
  <c r="J134" i="1"/>
  <c r="I134" i="1"/>
  <c r="H134" i="1"/>
  <c r="F134" i="1"/>
  <c r="E134" i="1"/>
  <c r="D134" i="1"/>
  <c r="C134" i="1"/>
  <c r="G134" i="1" s="1"/>
  <c r="G132" i="1" s="1"/>
  <c r="B134" i="1"/>
  <c r="O132" i="1"/>
  <c r="N132" i="1"/>
  <c r="M132" i="1"/>
  <c r="J132" i="1"/>
  <c r="I132" i="1"/>
  <c r="H132" i="1"/>
  <c r="E132" i="1"/>
  <c r="D132" i="1"/>
  <c r="C132" i="1"/>
  <c r="B132" i="1"/>
  <c r="AP126" i="1"/>
  <c r="AK126" i="1"/>
  <c r="U130" i="1"/>
  <c r="T130" i="1"/>
  <c r="S130" i="1"/>
  <c r="R130" i="1"/>
  <c r="P130" i="1"/>
  <c r="O130" i="1"/>
  <c r="O131" i="1" s="1"/>
  <c r="N130" i="1"/>
  <c r="N131" i="1" s="1"/>
  <c r="M130" i="1"/>
  <c r="L130" i="1"/>
  <c r="L131" i="1" s="1"/>
  <c r="J130" i="1"/>
  <c r="J131" i="1" s="1"/>
  <c r="I130" i="1"/>
  <c r="H130" i="1"/>
  <c r="H131" i="1" s="1"/>
  <c r="G130" i="1"/>
  <c r="G131" i="1" s="1"/>
  <c r="E130" i="1"/>
  <c r="D130" i="1"/>
  <c r="C130" i="1"/>
  <c r="B130" i="1"/>
  <c r="P129" i="1"/>
  <c r="O129" i="1"/>
  <c r="N129" i="1"/>
  <c r="M129" i="1"/>
  <c r="L129" i="1"/>
  <c r="K129" i="1"/>
  <c r="J129" i="1"/>
  <c r="I129" i="1"/>
  <c r="H129" i="1"/>
  <c r="G129" i="1"/>
  <c r="V128" i="1"/>
  <c r="Q128" i="1"/>
  <c r="Q129" i="1" s="1"/>
  <c r="Q123" i="1"/>
  <c r="Q124" i="1" s="1"/>
  <c r="Z126" i="1"/>
  <c r="AA123" i="1"/>
  <c r="U125" i="1"/>
  <c r="T125" i="1"/>
  <c r="Y126" i="1" s="1"/>
  <c r="S125" i="1"/>
  <c r="X126" i="1" s="1"/>
  <c r="R125" i="1"/>
  <c r="W126" i="1" s="1"/>
  <c r="O127" i="1"/>
  <c r="N127" i="1"/>
  <c r="M127" i="1"/>
  <c r="L127" i="1"/>
  <c r="J127" i="1"/>
  <c r="I127" i="1"/>
  <c r="H127" i="1"/>
  <c r="G127" i="1"/>
  <c r="N126" i="1"/>
  <c r="J126" i="1"/>
  <c r="P125" i="1"/>
  <c r="O125" i="1"/>
  <c r="O126" i="1" s="1"/>
  <c r="N125" i="1"/>
  <c r="M125" i="1"/>
  <c r="L125" i="1"/>
  <c r="L126" i="1" s="1"/>
  <c r="J125" i="1"/>
  <c r="I125" i="1"/>
  <c r="H125" i="1"/>
  <c r="G125" i="1"/>
  <c r="O124" i="1"/>
  <c r="N124" i="1"/>
  <c r="M124" i="1"/>
  <c r="L124" i="1"/>
  <c r="J124" i="1"/>
  <c r="I124" i="1"/>
  <c r="H124" i="1"/>
  <c r="G124" i="1"/>
  <c r="E125" i="1"/>
  <c r="D125" i="1"/>
  <c r="I126" i="1" s="1"/>
  <c r="C125" i="1"/>
  <c r="B125" i="1"/>
  <c r="E124" i="1"/>
  <c r="D124" i="1"/>
  <c r="C124" i="1"/>
  <c r="B124" i="1"/>
  <c r="P123" i="1"/>
  <c r="P124" i="1" s="1"/>
  <c r="K123" i="1"/>
  <c r="K124" i="1" s="1"/>
  <c r="F123" i="1"/>
  <c r="O121" i="1"/>
  <c r="N121" i="1"/>
  <c r="M121" i="1"/>
  <c r="K121" i="1"/>
  <c r="J121" i="1"/>
  <c r="I121" i="1"/>
  <c r="H121" i="1"/>
  <c r="E121" i="1"/>
  <c r="D121" i="1"/>
  <c r="C121" i="1"/>
  <c r="B121" i="1"/>
  <c r="O119" i="1"/>
  <c r="N119" i="1"/>
  <c r="M119" i="1"/>
  <c r="J119" i="1"/>
  <c r="I119" i="1"/>
  <c r="H119" i="1"/>
  <c r="E119" i="1"/>
  <c r="D119" i="1"/>
  <c r="C119" i="1"/>
  <c r="B119" i="1"/>
  <c r="U117" i="1"/>
  <c r="T117" i="1"/>
  <c r="S117" i="1"/>
  <c r="R117" i="1"/>
  <c r="P117" i="1"/>
  <c r="O117" i="1"/>
  <c r="O118" i="1" s="1"/>
  <c r="N117" i="1"/>
  <c r="N118" i="1" s="1"/>
  <c r="M117" i="1"/>
  <c r="L117" i="1"/>
  <c r="L118" i="1" s="1"/>
  <c r="J117" i="1"/>
  <c r="J118" i="1" s="1"/>
  <c r="I117" i="1"/>
  <c r="H117" i="1"/>
  <c r="H118" i="1" s="1"/>
  <c r="G117" i="1"/>
  <c r="G118" i="1" s="1"/>
  <c r="E117" i="1"/>
  <c r="D117" i="1"/>
  <c r="C117" i="1"/>
  <c r="B117" i="1"/>
  <c r="P116" i="1"/>
  <c r="O116" i="1"/>
  <c r="N116" i="1"/>
  <c r="M116" i="1"/>
  <c r="L116" i="1"/>
  <c r="K116" i="1"/>
  <c r="J116" i="1"/>
  <c r="I116" i="1"/>
  <c r="H116" i="1"/>
  <c r="G116" i="1"/>
  <c r="V115" i="1"/>
  <c r="Q115" i="1"/>
  <c r="Q116" i="1" s="1"/>
  <c r="Y113" i="1"/>
  <c r="AA110" i="1"/>
  <c r="U112" i="1"/>
  <c r="T112" i="1"/>
  <c r="S112" i="1"/>
  <c r="R112" i="1"/>
  <c r="W113" i="1" s="1"/>
  <c r="O114" i="1"/>
  <c r="N114" i="1"/>
  <c r="M114" i="1"/>
  <c r="L114" i="1"/>
  <c r="J114" i="1"/>
  <c r="I114" i="1"/>
  <c r="H114" i="1"/>
  <c r="G114" i="1"/>
  <c r="N113" i="1"/>
  <c r="J113" i="1"/>
  <c r="P112" i="1"/>
  <c r="Z113" i="1" s="1"/>
  <c r="O112" i="1"/>
  <c r="O113" i="1" s="1"/>
  <c r="N112" i="1"/>
  <c r="X113" i="1" s="1"/>
  <c r="M112" i="1"/>
  <c r="L112" i="1"/>
  <c r="L113" i="1" s="1"/>
  <c r="J112" i="1"/>
  <c r="I112" i="1"/>
  <c r="H112" i="1"/>
  <c r="M113" i="1" s="1"/>
  <c r="G112" i="1"/>
  <c r="G113" i="1" s="1"/>
  <c r="O111" i="1"/>
  <c r="N111" i="1"/>
  <c r="M111" i="1"/>
  <c r="L111" i="1"/>
  <c r="J111" i="1"/>
  <c r="I111" i="1"/>
  <c r="H111" i="1"/>
  <c r="G111" i="1"/>
  <c r="E112" i="1"/>
  <c r="D112" i="1"/>
  <c r="I113" i="1" s="1"/>
  <c r="C112" i="1"/>
  <c r="B112" i="1"/>
  <c r="E111" i="1"/>
  <c r="D111" i="1"/>
  <c r="C111" i="1"/>
  <c r="B111" i="1"/>
  <c r="P110" i="1"/>
  <c r="P108" i="1" s="1"/>
  <c r="P106" i="1" s="1"/>
  <c r="K110" i="1"/>
  <c r="K111" i="1" s="1"/>
  <c r="F110" i="1"/>
  <c r="F111" i="1" s="1"/>
  <c r="O108" i="1"/>
  <c r="N108" i="1"/>
  <c r="M108" i="1"/>
  <c r="Q108" i="1" s="1"/>
  <c r="Q106" i="1" s="1"/>
  <c r="K108" i="1"/>
  <c r="J108" i="1"/>
  <c r="I108" i="1"/>
  <c r="H108" i="1"/>
  <c r="L108" i="1" s="1"/>
  <c r="L106" i="1" s="1"/>
  <c r="E108" i="1"/>
  <c r="D108" i="1"/>
  <c r="C108" i="1"/>
  <c r="B108" i="1"/>
  <c r="O106" i="1"/>
  <c r="N106" i="1"/>
  <c r="M106" i="1"/>
  <c r="J106" i="1"/>
  <c r="I106" i="1"/>
  <c r="H106" i="1"/>
  <c r="E106" i="1"/>
  <c r="D106" i="1"/>
  <c r="C106" i="1"/>
  <c r="B106" i="1"/>
  <c r="AP100" i="1"/>
  <c r="AK100" i="1"/>
  <c r="U104" i="1"/>
  <c r="T104" i="1"/>
  <c r="S104" i="1"/>
  <c r="R104" i="1"/>
  <c r="P104" i="1"/>
  <c r="O104" i="1"/>
  <c r="O105" i="1" s="1"/>
  <c r="N104" i="1"/>
  <c r="N105" i="1" s="1"/>
  <c r="M104" i="1"/>
  <c r="M105" i="1" s="1"/>
  <c r="L104" i="1"/>
  <c r="L105" i="1" s="1"/>
  <c r="J104" i="1"/>
  <c r="J105" i="1" s="1"/>
  <c r="I104" i="1"/>
  <c r="I105" i="1" s="1"/>
  <c r="H104" i="1"/>
  <c r="H105" i="1" s="1"/>
  <c r="G104" i="1"/>
  <c r="G105" i="1" s="1"/>
  <c r="E104" i="1"/>
  <c r="D104" i="1"/>
  <c r="C104" i="1"/>
  <c r="B104" i="1"/>
  <c r="P103" i="1"/>
  <c r="O103" i="1"/>
  <c r="N103" i="1"/>
  <c r="M103" i="1"/>
  <c r="L103" i="1"/>
  <c r="K103" i="1"/>
  <c r="J103" i="1"/>
  <c r="I103" i="1"/>
  <c r="H103" i="1"/>
  <c r="G103" i="1"/>
  <c r="V102" i="1"/>
  <c r="Q102" i="1"/>
  <c r="Q101" i="1" s="1"/>
  <c r="Y100" i="1"/>
  <c r="X100" i="1"/>
  <c r="U99" i="1"/>
  <c r="Z100" i="1" s="1"/>
  <c r="T99" i="1"/>
  <c r="S99" i="1"/>
  <c r="R99" i="1"/>
  <c r="W100" i="1" s="1"/>
  <c r="O101" i="1"/>
  <c r="N101" i="1"/>
  <c r="M101" i="1"/>
  <c r="L101" i="1"/>
  <c r="J101" i="1"/>
  <c r="I101" i="1"/>
  <c r="H101" i="1"/>
  <c r="G101" i="1"/>
  <c r="O100" i="1"/>
  <c r="G100" i="1"/>
  <c r="P99" i="1"/>
  <c r="O99" i="1"/>
  <c r="N99" i="1"/>
  <c r="M99" i="1"/>
  <c r="M100" i="1" s="1"/>
  <c r="L99" i="1"/>
  <c r="L100" i="1" s="1"/>
  <c r="J99" i="1"/>
  <c r="I99" i="1"/>
  <c r="N100" i="1" s="1"/>
  <c r="H99" i="1"/>
  <c r="H100" i="1" s="1"/>
  <c r="G99" i="1"/>
  <c r="E99" i="1"/>
  <c r="J100" i="1" s="1"/>
  <c r="D99" i="1"/>
  <c r="C99" i="1"/>
  <c r="B99" i="1"/>
  <c r="G95" i="1"/>
  <c r="G96" i="1" s="1"/>
  <c r="G87" i="1"/>
  <c r="Q88" i="1"/>
  <c r="Q87" i="1"/>
  <c r="Q85" i="1"/>
  <c r="Q89" i="1" s="1"/>
  <c r="Q90" i="1" s="1"/>
  <c r="L87" i="1"/>
  <c r="L88" i="1" s="1"/>
  <c r="L85" i="1"/>
  <c r="L97" i="1" s="1"/>
  <c r="G85" i="1"/>
  <c r="B84" i="1"/>
  <c r="Q82" i="1"/>
  <c r="L82" i="1"/>
  <c r="L79" i="1" s="1"/>
  <c r="L80" i="1" s="1"/>
  <c r="Q79" i="1"/>
  <c r="Q78" i="1"/>
  <c r="L78" i="1"/>
  <c r="L75" i="1" s="1"/>
  <c r="L76" i="1" s="1"/>
  <c r="G79" i="1"/>
  <c r="G80" i="1" s="1"/>
  <c r="B79" i="1"/>
  <c r="B80" i="1" s="1"/>
  <c r="Q75" i="1"/>
  <c r="L74" i="1"/>
  <c r="L73" i="1"/>
  <c r="L72" i="1"/>
  <c r="L71" i="1"/>
  <c r="L70" i="1"/>
  <c r="L69" i="1"/>
  <c r="G76" i="1"/>
  <c r="G75" i="1"/>
  <c r="G74" i="1"/>
  <c r="G73" i="1"/>
  <c r="G72" i="1"/>
  <c r="G71" i="1"/>
  <c r="G70" i="1"/>
  <c r="G69" i="1"/>
  <c r="B76" i="1"/>
  <c r="B75" i="1"/>
  <c r="B74" i="1"/>
  <c r="B73" i="1"/>
  <c r="B72" i="1"/>
  <c r="B71" i="1"/>
  <c r="E73" i="1"/>
  <c r="E74" i="1" s="1"/>
  <c r="D73" i="1"/>
  <c r="D74" i="1" s="1"/>
  <c r="C73" i="1"/>
  <c r="C74" i="1" s="1"/>
  <c r="E71" i="1"/>
  <c r="E72" i="1" s="1"/>
  <c r="D71" i="1"/>
  <c r="D72" i="1" s="1"/>
  <c r="C71" i="1"/>
  <c r="C72" i="1" s="1"/>
  <c r="U69" i="1"/>
  <c r="T69" i="1"/>
  <c r="S69" i="1"/>
  <c r="R69" i="1"/>
  <c r="O73" i="1"/>
  <c r="O74" i="1" s="1"/>
  <c r="N73" i="1"/>
  <c r="M73" i="1"/>
  <c r="M74" i="1" s="1"/>
  <c r="O71" i="1"/>
  <c r="O72" i="1" s="1"/>
  <c r="N71" i="1"/>
  <c r="M71" i="1"/>
  <c r="M72" i="1" s="1"/>
  <c r="P69" i="1"/>
  <c r="O69" i="1"/>
  <c r="O38" i="1" s="1"/>
  <c r="M69" i="1"/>
  <c r="J73" i="1"/>
  <c r="J74" i="1" s="1"/>
  <c r="I73" i="1"/>
  <c r="I74" i="1" s="1"/>
  <c r="H73" i="1"/>
  <c r="H74" i="1" s="1"/>
  <c r="J71" i="1"/>
  <c r="J72" i="1" s="1"/>
  <c r="I71" i="1"/>
  <c r="I72" i="1" s="1"/>
  <c r="H71" i="1"/>
  <c r="H72" i="1" s="1"/>
  <c r="J69" i="1"/>
  <c r="J38" i="1" s="1"/>
  <c r="I69" i="1"/>
  <c r="H69" i="1"/>
  <c r="E69" i="1"/>
  <c r="E38" i="1" s="1"/>
  <c r="D69" i="1"/>
  <c r="C69" i="1"/>
  <c r="B69" i="1"/>
  <c r="V68" i="1"/>
  <c r="N68" i="1"/>
  <c r="Q68" i="1" s="1"/>
  <c r="K68" i="1"/>
  <c r="F68" i="1"/>
  <c r="AF52" i="1"/>
  <c r="AK52" i="1" s="1"/>
  <c r="S12" i="80" s="1"/>
  <c r="Z52" i="1"/>
  <c r="Y52" i="1"/>
  <c r="Q48" i="1"/>
  <c r="L51" i="1"/>
  <c r="L49" i="1"/>
  <c r="L50" i="1" s="1"/>
  <c r="L48" i="1"/>
  <c r="G51" i="1"/>
  <c r="Q46" i="1"/>
  <c r="L46" i="1"/>
  <c r="O42" i="1"/>
  <c r="N42" i="1"/>
  <c r="M42" i="1"/>
  <c r="L42" i="1"/>
  <c r="J42" i="1"/>
  <c r="I42" i="1"/>
  <c r="H42" i="1"/>
  <c r="G42" i="1"/>
  <c r="E42" i="1"/>
  <c r="D42" i="1"/>
  <c r="C42" i="1"/>
  <c r="B42" i="1"/>
  <c r="K41" i="1"/>
  <c r="K39" i="1"/>
  <c r="K36" i="1"/>
  <c r="K42" i="1" s="1"/>
  <c r="F41" i="1"/>
  <c r="F39" i="1"/>
  <c r="O40" i="1"/>
  <c r="N40" i="1"/>
  <c r="M40" i="1"/>
  <c r="L40" i="1"/>
  <c r="J40" i="1"/>
  <c r="I40" i="1"/>
  <c r="H40" i="1"/>
  <c r="G40" i="1"/>
  <c r="E40" i="1"/>
  <c r="D40" i="1"/>
  <c r="C40" i="1"/>
  <c r="B40" i="1"/>
  <c r="D38" i="1"/>
  <c r="B38" i="1"/>
  <c r="P41" i="1"/>
  <c r="Q41" i="1" s="1"/>
  <c r="Q42" i="1" s="1"/>
  <c r="P39" i="1"/>
  <c r="Q39" i="1" s="1"/>
  <c r="Q40" i="1" s="1"/>
  <c r="P38" i="1"/>
  <c r="P37" i="1"/>
  <c r="M38" i="1"/>
  <c r="L38" i="1"/>
  <c r="O37" i="1"/>
  <c r="N37" i="1"/>
  <c r="M37" i="1"/>
  <c r="L37" i="1"/>
  <c r="I38" i="1"/>
  <c r="G38" i="1"/>
  <c r="J37" i="1"/>
  <c r="I37" i="1"/>
  <c r="H37" i="1"/>
  <c r="G37" i="1"/>
  <c r="Z36" i="1"/>
  <c r="Z128" i="1" s="1"/>
  <c r="Y36" i="1"/>
  <c r="X36" i="1"/>
  <c r="W36" i="1"/>
  <c r="V36" i="1"/>
  <c r="V130" i="1" s="1"/>
  <c r="Q36" i="1"/>
  <c r="Q49" i="1" s="1"/>
  <c r="Q50" i="1" s="1"/>
  <c r="Q32" i="1"/>
  <c r="F36" i="1"/>
  <c r="L35" i="1"/>
  <c r="L34" i="1"/>
  <c r="L33" i="1"/>
  <c r="L32" i="1"/>
  <c r="G35" i="1"/>
  <c r="Q30" i="1"/>
  <c r="L30" i="1"/>
  <c r="O26" i="1"/>
  <c r="N26" i="1"/>
  <c r="M26" i="1"/>
  <c r="L26" i="1"/>
  <c r="K26" i="1"/>
  <c r="J26" i="1"/>
  <c r="I26" i="1"/>
  <c r="H26" i="1"/>
  <c r="G26" i="1"/>
  <c r="E26" i="1"/>
  <c r="D26" i="1"/>
  <c r="C26" i="1"/>
  <c r="B26" i="1"/>
  <c r="K25" i="1"/>
  <c r="K23" i="1"/>
  <c r="K24" i="1" s="1"/>
  <c r="K20" i="1"/>
  <c r="K117" i="1" s="1"/>
  <c r="P118" i="1" s="1"/>
  <c r="F25" i="1"/>
  <c r="F26" i="1" s="1"/>
  <c r="F23" i="1"/>
  <c r="F24" i="1" s="1"/>
  <c r="O24" i="1"/>
  <c r="N24" i="1"/>
  <c r="M24" i="1"/>
  <c r="L24" i="1"/>
  <c r="J24" i="1"/>
  <c r="I24" i="1"/>
  <c r="H24" i="1"/>
  <c r="G24" i="1"/>
  <c r="E24" i="1"/>
  <c r="D24" i="1"/>
  <c r="C24" i="1"/>
  <c r="B24" i="1"/>
  <c r="E22" i="1"/>
  <c r="D22" i="1"/>
  <c r="C22" i="1"/>
  <c r="B22" i="1"/>
  <c r="Q25" i="1"/>
  <c r="Q26" i="1" s="1"/>
  <c r="P25" i="1"/>
  <c r="P26" i="1" s="1"/>
  <c r="P24" i="1"/>
  <c r="Q23" i="1"/>
  <c r="P23" i="1"/>
  <c r="P22" i="1"/>
  <c r="P21" i="1"/>
  <c r="O22" i="1"/>
  <c r="M22" i="1"/>
  <c r="L22" i="1"/>
  <c r="O21" i="1"/>
  <c r="N21" i="1"/>
  <c r="M21" i="1"/>
  <c r="L21" i="1"/>
  <c r="J22" i="1"/>
  <c r="I22" i="1"/>
  <c r="H22" i="1"/>
  <c r="G22" i="1"/>
  <c r="J21" i="1"/>
  <c r="I21" i="1"/>
  <c r="H21" i="1"/>
  <c r="G21" i="1"/>
  <c r="Z20" i="1"/>
  <c r="Y20" i="1"/>
  <c r="X20" i="1"/>
  <c r="W20" i="1"/>
  <c r="V20" i="1"/>
  <c r="V117" i="1" s="1"/>
  <c r="Q20" i="1"/>
  <c r="Q21" i="1" s="1"/>
  <c r="Q16" i="1"/>
  <c r="F20" i="1"/>
  <c r="F117" i="1" s="1"/>
  <c r="L19" i="1"/>
  <c r="L17" i="1"/>
  <c r="L18" i="1" s="1"/>
  <c r="L16" i="1"/>
  <c r="G19" i="1"/>
  <c r="Q14" i="1"/>
  <c r="L14" i="1"/>
  <c r="AX12" i="1"/>
  <c r="AY12" i="1" s="1"/>
  <c r="AW12" i="1"/>
  <c r="BA10" i="1"/>
  <c r="AZ10" i="1"/>
  <c r="AY10" i="1"/>
  <c r="AX10" i="1"/>
  <c r="O10" i="1"/>
  <c r="N10" i="1"/>
  <c r="M10" i="1"/>
  <c r="L10" i="1"/>
  <c r="K10" i="1"/>
  <c r="J10" i="1"/>
  <c r="I10" i="1"/>
  <c r="H10" i="1"/>
  <c r="G10" i="1"/>
  <c r="E10" i="1"/>
  <c r="D10" i="1"/>
  <c r="C10" i="1"/>
  <c r="B10" i="1"/>
  <c r="K9" i="1"/>
  <c r="K73" i="1" s="1"/>
  <c r="K74" i="1" s="1"/>
  <c r="K7" i="1"/>
  <c r="K71" i="1" s="1"/>
  <c r="K4" i="1"/>
  <c r="K69" i="1" s="1"/>
  <c r="F9" i="1"/>
  <c r="F73" i="1" s="1"/>
  <c r="F7" i="1"/>
  <c r="F71" i="1" s="1"/>
  <c r="O8" i="1"/>
  <c r="N8" i="1"/>
  <c r="M8" i="1"/>
  <c r="L8" i="1"/>
  <c r="J8" i="1"/>
  <c r="I8" i="1"/>
  <c r="H8" i="1"/>
  <c r="G8" i="1"/>
  <c r="E8" i="1"/>
  <c r="D8" i="1"/>
  <c r="C8" i="1"/>
  <c r="B8" i="1"/>
  <c r="E6" i="1"/>
  <c r="D6" i="1"/>
  <c r="C6" i="1"/>
  <c r="B6" i="1"/>
  <c r="Q9" i="1"/>
  <c r="P9" i="1"/>
  <c r="P73" i="1" s="1"/>
  <c r="P74" i="1" s="1"/>
  <c r="P8" i="1"/>
  <c r="Q7" i="1"/>
  <c r="Q71" i="1" s="1"/>
  <c r="P7" i="1"/>
  <c r="P71" i="1" s="1"/>
  <c r="P72" i="1" s="1"/>
  <c r="P6" i="1"/>
  <c r="P5" i="1"/>
  <c r="O6" i="1"/>
  <c r="M6" i="1"/>
  <c r="L6" i="1"/>
  <c r="O5" i="1"/>
  <c r="N5" i="1"/>
  <c r="M5" i="1"/>
  <c r="L5" i="1"/>
  <c r="J6" i="1"/>
  <c r="I6" i="1"/>
  <c r="H6" i="1"/>
  <c r="G6" i="1"/>
  <c r="J5" i="1"/>
  <c r="I5" i="1"/>
  <c r="H5" i="1"/>
  <c r="G5" i="1"/>
  <c r="Z4" i="1"/>
  <c r="Y4" i="1"/>
  <c r="X4" i="1"/>
  <c r="X102" i="1" s="1"/>
  <c r="W4" i="1"/>
  <c r="V4" i="1"/>
  <c r="V104" i="1" s="1"/>
  <c r="Q4" i="1"/>
  <c r="Q17" i="1" s="1"/>
  <c r="Q18" i="1" s="1"/>
  <c r="F4" i="1"/>
  <c r="F104" i="1" s="1"/>
  <c r="Q1" i="1"/>
  <c r="Q62" i="80"/>
  <c r="P62" i="80"/>
  <c r="O62" i="80"/>
  <c r="N62" i="80"/>
  <c r="O51" i="80"/>
  <c r="N51" i="80"/>
  <c r="T49" i="80"/>
  <c r="S49" i="80"/>
  <c r="R49" i="80"/>
  <c r="Q49" i="80"/>
  <c r="P47" i="80"/>
  <c r="O49" i="80"/>
  <c r="N49" i="80"/>
  <c r="O48" i="80"/>
  <c r="N48" i="80"/>
  <c r="O47" i="80"/>
  <c r="O57" i="80" s="1"/>
  <c r="N47" i="80"/>
  <c r="N57" i="80" s="1"/>
  <c r="T45" i="80"/>
  <c r="S45" i="80"/>
  <c r="R45" i="80"/>
  <c r="O45" i="80"/>
  <c r="N45" i="80"/>
  <c r="T44" i="80"/>
  <c r="T43" i="80"/>
  <c r="S43" i="80"/>
  <c r="R43" i="80"/>
  <c r="R44" i="80" s="1"/>
  <c r="Q43" i="80"/>
  <c r="O43" i="80"/>
  <c r="O44" i="80" s="1"/>
  <c r="N43" i="80"/>
  <c r="N44" i="80" s="1"/>
  <c r="O41" i="80"/>
  <c r="O53" i="80" s="1"/>
  <c r="N41" i="80"/>
  <c r="N53" i="80" s="1"/>
  <c r="Q37" i="80"/>
  <c r="P37" i="80"/>
  <c r="O37" i="80"/>
  <c r="N37" i="80"/>
  <c r="P34" i="80"/>
  <c r="O34" i="80"/>
  <c r="N34" i="80"/>
  <c r="T33" i="80"/>
  <c r="S33" i="80"/>
  <c r="R33" i="80"/>
  <c r="Q33" i="80"/>
  <c r="P33" i="80"/>
  <c r="T32" i="80"/>
  <c r="S32" i="80"/>
  <c r="R32" i="80"/>
  <c r="Q32" i="80"/>
  <c r="P32" i="80"/>
  <c r="O32" i="80"/>
  <c r="N32" i="80"/>
  <c r="T25" i="80"/>
  <c r="S25" i="80"/>
  <c r="R25" i="80"/>
  <c r="P25" i="80"/>
  <c r="N25" i="80"/>
  <c r="T22" i="80"/>
  <c r="S22" i="80"/>
  <c r="R22" i="80"/>
  <c r="Q22" i="80"/>
  <c r="Q26" i="80" s="1"/>
  <c r="P22" i="80"/>
  <c r="P26" i="80" s="1"/>
  <c r="O22" i="80"/>
  <c r="O26" i="80" s="1"/>
  <c r="N22" i="80"/>
  <c r="N26" i="80" s="1"/>
  <c r="N20" i="80"/>
  <c r="N19" i="80"/>
  <c r="N23" i="80" s="1"/>
  <c r="N18" i="80"/>
  <c r="P21" i="80"/>
  <c r="O21" i="80"/>
  <c r="P20" i="80"/>
  <c r="O20" i="80"/>
  <c r="E45" i="80" s="1"/>
  <c r="P19" i="80"/>
  <c r="F44" i="80" s="1"/>
  <c r="O19" i="80"/>
  <c r="E44" i="80" s="1"/>
  <c r="P18" i="80"/>
  <c r="O18" i="80"/>
  <c r="E43" i="80" s="1"/>
  <c r="P13" i="80"/>
  <c r="O13" i="80"/>
  <c r="N13" i="80"/>
  <c r="N11" i="80"/>
  <c r="N14" i="80" s="1"/>
  <c r="N10" i="80"/>
  <c r="N9" i="80"/>
  <c r="H10" i="80"/>
  <c r="F10" i="80"/>
  <c r="R12" i="80"/>
  <c r="H40" i="80" s="1"/>
  <c r="Q12" i="80"/>
  <c r="P12" i="80"/>
  <c r="O12" i="80"/>
  <c r="P11" i="80"/>
  <c r="F39" i="80" s="1"/>
  <c r="O11" i="80"/>
  <c r="E39" i="80" s="1"/>
  <c r="P10" i="80"/>
  <c r="F38" i="80" s="1"/>
  <c r="O10" i="80"/>
  <c r="E38" i="80" s="1"/>
  <c r="P9" i="80"/>
  <c r="O9" i="80"/>
  <c r="E37" i="80" s="1"/>
  <c r="B2" i="80"/>
  <c r="C6" i="79"/>
  <c r="S236" i="1" l="1"/>
  <c r="T236" i="1"/>
  <c r="K289" i="1"/>
  <c r="K343" i="1"/>
  <c r="K180" i="1"/>
  <c r="K22" i="1"/>
  <c r="K6" i="1"/>
  <c r="X111" i="1"/>
  <c r="X108" i="1"/>
  <c r="X106" i="1" s="1"/>
  <c r="X101" i="1"/>
  <c r="X103" i="1"/>
  <c r="Q73" i="1"/>
  <c r="K72" i="1"/>
  <c r="AY15" i="1"/>
  <c r="AY13" i="1"/>
  <c r="AZ12" i="1"/>
  <c r="P14" i="80"/>
  <c r="F43" i="80"/>
  <c r="F45" i="80"/>
  <c r="Q5" i="1"/>
  <c r="K5" i="1"/>
  <c r="Q10" i="1"/>
  <c r="W115" i="1"/>
  <c r="W117" i="1"/>
  <c r="W118" i="1" s="1"/>
  <c r="K21" i="1"/>
  <c r="F130" i="1"/>
  <c r="F132" i="1"/>
  <c r="Q35" i="1"/>
  <c r="P40" i="1"/>
  <c r="AA36" i="1"/>
  <c r="F40" i="1"/>
  <c r="K38" i="1"/>
  <c r="F42" i="1"/>
  <c r="Z145" i="1"/>
  <c r="Z141" i="1"/>
  <c r="W68" i="1"/>
  <c r="C289" i="1"/>
  <c r="C292" i="1"/>
  <c r="C157" i="1"/>
  <c r="C180" i="1"/>
  <c r="H289" i="1"/>
  <c r="H180" i="1"/>
  <c r="H159" i="1"/>
  <c r="H157" i="1"/>
  <c r="H158" i="1" s="1"/>
  <c r="H70" i="1"/>
  <c r="M289" i="1"/>
  <c r="M180" i="1"/>
  <c r="M157" i="1"/>
  <c r="M158" i="1" s="1"/>
  <c r="M70" i="1"/>
  <c r="R289" i="1"/>
  <c r="W289" i="1" s="1"/>
  <c r="R157" i="1"/>
  <c r="R180" i="1"/>
  <c r="V69" i="1"/>
  <c r="G88" i="1"/>
  <c r="G97" i="1"/>
  <c r="K99" i="1"/>
  <c r="I100" i="1"/>
  <c r="K101" i="1"/>
  <c r="Y102" i="1"/>
  <c r="K104" i="1"/>
  <c r="K105" i="1" s="1"/>
  <c r="P111" i="1"/>
  <c r="H113" i="1"/>
  <c r="X115" i="1"/>
  <c r="X172" i="1" s="1"/>
  <c r="V112" i="1"/>
  <c r="M118" i="1"/>
  <c r="K119" i="1"/>
  <c r="F125" i="1"/>
  <c r="P127" i="1"/>
  <c r="I131" i="1"/>
  <c r="AX245" i="1"/>
  <c r="AK144" i="1"/>
  <c r="L171" i="1"/>
  <c r="P207" i="1"/>
  <c r="P176" i="1"/>
  <c r="P179" i="1"/>
  <c r="U207" i="1"/>
  <c r="U194" i="1"/>
  <c r="U196" i="1" s="1"/>
  <c r="U176" i="1"/>
  <c r="U197" i="1"/>
  <c r="G197" i="1"/>
  <c r="G176" i="1"/>
  <c r="G207" i="1"/>
  <c r="G179" i="1"/>
  <c r="G194" i="1"/>
  <c r="K157" i="1"/>
  <c r="I40" i="80"/>
  <c r="S44" i="80"/>
  <c r="AA4" i="1"/>
  <c r="F8" i="1"/>
  <c r="F10" i="1"/>
  <c r="Q19" i="1"/>
  <c r="AA20" i="1"/>
  <c r="Q125" i="1"/>
  <c r="Q126" i="1" s="1"/>
  <c r="Q130" i="1"/>
  <c r="Q131" i="1" s="1"/>
  <c r="Y128" i="1"/>
  <c r="AF141" i="1"/>
  <c r="R21" i="80" s="1"/>
  <c r="H46" i="80" s="1"/>
  <c r="AF145" i="1"/>
  <c r="W69" i="1"/>
  <c r="D289" i="1"/>
  <c r="D180" i="1"/>
  <c r="D157" i="1"/>
  <c r="I289" i="1"/>
  <c r="I180" i="1"/>
  <c r="I159" i="1"/>
  <c r="I157" i="1"/>
  <c r="I158" i="1" s="1"/>
  <c r="I70" i="1"/>
  <c r="N69" i="1"/>
  <c r="S289" i="1"/>
  <c r="X289" i="1" s="1"/>
  <c r="S180" i="1"/>
  <c r="S157" i="1"/>
  <c r="G343" i="1"/>
  <c r="G289" i="1"/>
  <c r="G180" i="1"/>
  <c r="G190" i="1"/>
  <c r="G159" i="1"/>
  <c r="G157" i="1"/>
  <c r="L180" i="1"/>
  <c r="L157" i="1"/>
  <c r="L158" i="1" s="1"/>
  <c r="L84" i="1"/>
  <c r="G89" i="1"/>
  <c r="G90" i="1" s="1"/>
  <c r="G93" i="1"/>
  <c r="G91" i="1" s="1"/>
  <c r="G92" i="1" s="1"/>
  <c r="L95" i="1"/>
  <c r="L96" i="1" s="1"/>
  <c r="P101" i="1"/>
  <c r="Z102" i="1"/>
  <c r="Z104" i="1" s="1"/>
  <c r="Z105" i="1" s="1"/>
  <c r="X104" i="1"/>
  <c r="X105" i="1" s="1"/>
  <c r="F108" i="1"/>
  <c r="F106" i="1" s="1"/>
  <c r="K112" i="1"/>
  <c r="K114" i="1"/>
  <c r="Z115" i="1"/>
  <c r="Q110" i="1"/>
  <c r="Q111" i="1" s="1"/>
  <c r="I118" i="1"/>
  <c r="L121" i="1"/>
  <c r="L119" i="1" s="1"/>
  <c r="F124" i="1"/>
  <c r="F121" i="1"/>
  <c r="G126" i="1"/>
  <c r="P126" i="1"/>
  <c r="Z130" i="1"/>
  <c r="Z131" i="1" s="1"/>
  <c r="Q127" i="1"/>
  <c r="AP155" i="1"/>
  <c r="AP153" i="1" s="1"/>
  <c r="T26" i="80" s="1"/>
  <c r="AK153" i="1"/>
  <c r="B167" i="1"/>
  <c r="AX13" i="1"/>
  <c r="AX15" i="1" s="1"/>
  <c r="Q112" i="1"/>
  <c r="Q113" i="1" s="1"/>
  <c r="Q117" i="1"/>
  <c r="Q118" i="1" s="1"/>
  <c r="Y115" i="1"/>
  <c r="Q24" i="1"/>
  <c r="Q33" i="1"/>
  <c r="Q34" i="1" s="1"/>
  <c r="Z134" i="1"/>
  <c r="Z132" i="1" s="1"/>
  <c r="Z129" i="1"/>
  <c r="Z127" i="1"/>
  <c r="Z137" i="1"/>
  <c r="K130" i="1"/>
  <c r="K131" i="1" s="1"/>
  <c r="K127" i="1"/>
  <c r="K125" i="1"/>
  <c r="K126" i="1" s="1"/>
  <c r="K40" i="1"/>
  <c r="P42" i="1"/>
  <c r="Q51" i="1"/>
  <c r="AK145" i="1"/>
  <c r="AK141" i="1"/>
  <c r="S21" i="80" s="1"/>
  <c r="I46" i="80" s="1"/>
  <c r="E292" i="1"/>
  <c r="E289" i="1"/>
  <c r="E180" i="1"/>
  <c r="E163" i="1"/>
  <c r="J343" i="1"/>
  <c r="J289" i="1"/>
  <c r="J180" i="1"/>
  <c r="J159" i="1"/>
  <c r="J157" i="1"/>
  <c r="J70" i="1"/>
  <c r="O289" i="1"/>
  <c r="O180" i="1"/>
  <c r="O157" i="1"/>
  <c r="O70" i="1"/>
  <c r="T289" i="1"/>
  <c r="Y289" i="1" s="1"/>
  <c r="T180" i="1"/>
  <c r="Q69" i="1"/>
  <c r="Q38" i="1" s="1"/>
  <c r="L89" i="1"/>
  <c r="L90" i="1" s="1"/>
  <c r="Q86" i="1"/>
  <c r="V99" i="1"/>
  <c r="W102" i="1"/>
  <c r="Y104" i="1"/>
  <c r="Y105" i="1" s="1"/>
  <c r="Q160" i="1"/>
  <c r="Q103" i="1"/>
  <c r="Q104" i="1"/>
  <c r="Q105" i="1" s="1"/>
  <c r="K106" i="1"/>
  <c r="F112" i="1"/>
  <c r="P114" i="1"/>
  <c r="Q114" i="1"/>
  <c r="M126" i="1"/>
  <c r="H126" i="1"/>
  <c r="X128" i="1"/>
  <c r="X130" i="1" s="1"/>
  <c r="X131" i="1" s="1"/>
  <c r="E174" i="1"/>
  <c r="E169" i="1"/>
  <c r="J174" i="1"/>
  <c r="J169" i="1"/>
  <c r="J173" i="1"/>
  <c r="S169" i="1"/>
  <c r="C163" i="1"/>
  <c r="Q8" i="1"/>
  <c r="S26" i="80"/>
  <c r="K8" i="1"/>
  <c r="P10" i="1"/>
  <c r="W22" i="1"/>
  <c r="K118" i="1"/>
  <c r="W128" i="1"/>
  <c r="W130" i="1"/>
  <c r="W131" i="1" s="1"/>
  <c r="H38" i="1"/>
  <c r="Q37" i="1"/>
  <c r="C38" i="1"/>
  <c r="K37" i="1"/>
  <c r="Y145" i="1"/>
  <c r="Y141" i="1"/>
  <c r="AP52" i="1"/>
  <c r="B343" i="1"/>
  <c r="B289" i="1"/>
  <c r="B190" i="1"/>
  <c r="B180" i="1"/>
  <c r="B157" i="1"/>
  <c r="F69" i="1"/>
  <c r="P343" i="1"/>
  <c r="P289" i="1"/>
  <c r="P157" i="1"/>
  <c r="P158" i="1" s="1"/>
  <c r="P163" i="1"/>
  <c r="P180" i="1"/>
  <c r="P167" i="1"/>
  <c r="P159" i="1"/>
  <c r="P70" i="1"/>
  <c r="U343" i="1"/>
  <c r="U289" i="1"/>
  <c r="Z289" i="1" s="1"/>
  <c r="U180" i="1"/>
  <c r="U157" i="1"/>
  <c r="G84" i="1"/>
  <c r="L86" i="1"/>
  <c r="F99" i="1"/>
  <c r="Q99" i="1"/>
  <c r="Q100" i="1" s="1"/>
  <c r="V172" i="1"/>
  <c r="V169" i="1" s="1"/>
  <c r="V160" i="1"/>
  <c r="V125" i="1"/>
  <c r="M131" i="1"/>
  <c r="B194" i="1"/>
  <c r="B196" i="1" s="1"/>
  <c r="B176" i="1"/>
  <c r="B197" i="1"/>
  <c r="B207" i="1"/>
  <c r="F194" i="1"/>
  <c r="F196" i="1" s="1"/>
  <c r="F207" i="1"/>
  <c r="F176" i="1"/>
  <c r="F197" i="1"/>
  <c r="K207" i="1"/>
  <c r="K197" i="1"/>
  <c r="K194" i="1"/>
  <c r="K179" i="1"/>
  <c r="K176" i="1"/>
  <c r="K177" i="1" s="1"/>
  <c r="O174" i="1"/>
  <c r="O175" i="1" s="1"/>
  <c r="O173" i="1"/>
  <c r="O169" i="1"/>
  <c r="T169" i="1"/>
  <c r="G173" i="1"/>
  <c r="G169" i="1"/>
  <c r="G171" i="1"/>
  <c r="G174" i="1"/>
  <c r="J194" i="1"/>
  <c r="J207" i="1"/>
  <c r="J197" i="1"/>
  <c r="J176" i="1"/>
  <c r="E157" i="1"/>
  <c r="T157" i="1"/>
  <c r="F164" i="1"/>
  <c r="F163" i="1"/>
  <c r="F167" i="1"/>
  <c r="I174" i="1"/>
  <c r="I175" i="1" s="1"/>
  <c r="I173" i="1"/>
  <c r="M169" i="1"/>
  <c r="M174" i="1"/>
  <c r="M173" i="1"/>
  <c r="R169" i="1"/>
  <c r="H178" i="1"/>
  <c r="H167" i="1"/>
  <c r="H161" i="1"/>
  <c r="H163" i="1"/>
  <c r="M159" i="1"/>
  <c r="M178" i="1"/>
  <c r="M167" i="1"/>
  <c r="M161" i="1"/>
  <c r="M163" i="1"/>
  <c r="Q163" i="1"/>
  <c r="B174" i="1"/>
  <c r="B169" i="1"/>
  <c r="K172" i="1"/>
  <c r="P172" i="1"/>
  <c r="G187" i="1"/>
  <c r="L187" i="1" s="1"/>
  <c r="W339" i="1"/>
  <c r="W215" i="1"/>
  <c r="AP339" i="1"/>
  <c r="AP215" i="1"/>
  <c r="P121" i="1"/>
  <c r="P119" i="1" s="1"/>
  <c r="K134" i="1"/>
  <c r="K132" i="1" s="1"/>
  <c r="AA144" i="1"/>
  <c r="AW245" i="1" s="1"/>
  <c r="N174" i="1"/>
  <c r="N173" i="1"/>
  <c r="AF153" i="1"/>
  <c r="R26" i="80" s="1"/>
  <c r="X154" i="1"/>
  <c r="X153" i="1" s="1"/>
  <c r="X155" i="1"/>
  <c r="Z155" i="1" s="1"/>
  <c r="I178" i="1"/>
  <c r="I343" i="1" s="1"/>
  <c r="I167" i="1"/>
  <c r="I161" i="1"/>
  <c r="I163" i="1"/>
  <c r="N159" i="1"/>
  <c r="N178" i="1"/>
  <c r="N167" i="1"/>
  <c r="N161" i="1"/>
  <c r="N163" i="1"/>
  <c r="C178" i="1"/>
  <c r="C167" i="1"/>
  <c r="R178" i="1"/>
  <c r="B164" i="1"/>
  <c r="K163" i="1"/>
  <c r="J167" i="1"/>
  <c r="I169" i="1"/>
  <c r="U172" i="1"/>
  <c r="U169" i="1" s="1"/>
  <c r="Q153" i="1"/>
  <c r="Q172" i="1" s="1"/>
  <c r="Q164" i="1"/>
  <c r="P134" i="1"/>
  <c r="P132" i="1" s="1"/>
  <c r="C174" i="1"/>
  <c r="C169" i="1"/>
  <c r="Y154" i="1"/>
  <c r="Y153" i="1" s="1"/>
  <c r="Y155" i="1"/>
  <c r="J161" i="1"/>
  <c r="J163" i="1"/>
  <c r="O159" i="1"/>
  <c r="O178" i="1"/>
  <c r="O161" i="1"/>
  <c r="O163" i="1"/>
  <c r="D178" i="1"/>
  <c r="D343" i="1" s="1"/>
  <c r="D167" i="1"/>
  <c r="S178" i="1"/>
  <c r="S343" i="1" s="1"/>
  <c r="B163" i="1"/>
  <c r="C164" i="1"/>
  <c r="P161" i="1"/>
  <c r="K159" i="1"/>
  <c r="K167" i="1"/>
  <c r="F172" i="1"/>
  <c r="O339" i="1"/>
  <c r="O215" i="1"/>
  <c r="AK339" i="1"/>
  <c r="AK215" i="1"/>
  <c r="D174" i="1"/>
  <c r="H169" i="1"/>
  <c r="H174" i="1"/>
  <c r="H175" i="1" s="1"/>
  <c r="H173" i="1"/>
  <c r="L174" i="1"/>
  <c r="L175" i="1" s="1"/>
  <c r="L173" i="1"/>
  <c r="L169" i="1"/>
  <c r="L170" i="1" s="1"/>
  <c r="G167" i="1"/>
  <c r="G168" i="1" s="1"/>
  <c r="G161" i="1"/>
  <c r="G163" i="1"/>
  <c r="L159" i="1"/>
  <c r="L178" i="1"/>
  <c r="L161" i="1"/>
  <c r="L163" i="1"/>
  <c r="E178" i="1"/>
  <c r="E343" i="1" s="1"/>
  <c r="T178" i="1"/>
  <c r="E164" i="1"/>
  <c r="E167" i="1"/>
  <c r="O167" i="1"/>
  <c r="D169" i="1"/>
  <c r="N169" i="1"/>
  <c r="B187" i="1"/>
  <c r="L167" i="1"/>
  <c r="L168" i="1" s="1"/>
  <c r="H339" i="1"/>
  <c r="H215" i="1"/>
  <c r="L191" i="1"/>
  <c r="P339" i="1"/>
  <c r="P215" i="1"/>
  <c r="AA193" i="1"/>
  <c r="AA191" i="1" s="1"/>
  <c r="Y191" i="1"/>
  <c r="AF339" i="1"/>
  <c r="AF215" i="1"/>
  <c r="U252" i="1"/>
  <c r="Y206" i="1"/>
  <c r="X206" i="1"/>
  <c r="G228" i="1"/>
  <c r="O230" i="1"/>
  <c r="P230" i="1" s="1"/>
  <c r="K245" i="1"/>
  <c r="J245" i="1"/>
  <c r="I257" i="1"/>
  <c r="J258" i="1"/>
  <c r="D163" i="1"/>
  <c r="G186" i="1"/>
  <c r="Z206" i="1"/>
  <c r="V223" i="1"/>
  <c r="L228" i="1"/>
  <c r="Q228" i="1"/>
  <c r="N229" i="1"/>
  <c r="V228" i="1"/>
  <c r="W228" i="1"/>
  <c r="W230" i="1" s="1"/>
  <c r="G235" i="1"/>
  <c r="G236" i="1" s="1"/>
  <c r="I236" i="1"/>
  <c r="H236" i="1"/>
  <c r="L235" i="1"/>
  <c r="L236" i="1" s="1"/>
  <c r="P236" i="1"/>
  <c r="U235" i="1"/>
  <c r="X238" i="1"/>
  <c r="Q238" i="1"/>
  <c r="N239" i="1"/>
  <c r="Y263" i="1"/>
  <c r="AD238" i="1"/>
  <c r="AI238" i="1" s="1"/>
  <c r="AN238" i="1" s="1"/>
  <c r="Y239" i="1"/>
  <c r="L287" i="1"/>
  <c r="D339" i="1"/>
  <c r="D215" i="1"/>
  <c r="M339" i="1"/>
  <c r="M215" i="1"/>
  <c r="Q191" i="1"/>
  <c r="Z223" i="1"/>
  <c r="E236" i="1"/>
  <c r="D236" i="1"/>
  <c r="Y244" i="1"/>
  <c r="AA244" i="1" s="1"/>
  <c r="P244" i="1"/>
  <c r="Z244" i="1" s="1"/>
  <c r="U258" i="1"/>
  <c r="U253" i="1"/>
  <c r="K265" i="1"/>
  <c r="J265" i="1"/>
  <c r="I264" i="1"/>
  <c r="U265" i="1"/>
  <c r="U264" i="1" s="1"/>
  <c r="T264" i="1"/>
  <c r="N339" i="1"/>
  <c r="N215" i="1"/>
  <c r="V339" i="1"/>
  <c r="V215" i="1"/>
  <c r="Z339" i="1"/>
  <c r="Z215" i="1"/>
  <c r="G215" i="1"/>
  <c r="Y227" i="1"/>
  <c r="X228" i="1"/>
  <c r="X230" i="1" s="1"/>
  <c r="P229" i="1"/>
  <c r="AA234" i="1"/>
  <c r="AA227" i="1" s="1"/>
  <c r="AA223" i="1"/>
  <c r="AF233" i="1"/>
  <c r="X280" i="1"/>
  <c r="X253" i="1"/>
  <c r="N254" i="1"/>
  <c r="O250" i="1"/>
  <c r="N266" i="1"/>
  <c r="Y223" i="1"/>
  <c r="M229" i="1"/>
  <c r="Q232" i="1"/>
  <c r="AA232" i="1" s="1"/>
  <c r="K236" i="1"/>
  <c r="S239" i="1"/>
  <c r="Z263" i="1"/>
  <c r="Z239" i="1"/>
  <c r="AE238" i="1"/>
  <c r="AJ238" i="1" s="1"/>
  <c r="AO238" i="1" s="1"/>
  <c r="F247" i="1"/>
  <c r="E247" i="1"/>
  <c r="D254" i="1"/>
  <c r="I252" i="1"/>
  <c r="I253" i="1"/>
  <c r="J251" i="1"/>
  <c r="K251" i="1" s="1"/>
  <c r="Q245" i="1"/>
  <c r="Q248" i="1"/>
  <c r="V248" i="1" s="1"/>
  <c r="T254" i="1"/>
  <c r="T266" i="1"/>
  <c r="U250" i="1"/>
  <c r="B278" i="1"/>
  <c r="L274" i="1"/>
  <c r="AA317" i="1"/>
  <c r="AF294" i="1"/>
  <c r="R292" i="1"/>
  <c r="W292" i="1" s="1"/>
  <c r="W291" i="1" s="1"/>
  <c r="O239" i="1"/>
  <c r="J239" i="1"/>
  <c r="V239" i="1"/>
  <c r="I239" i="1"/>
  <c r="E245" i="1"/>
  <c r="F245" i="1" s="1"/>
  <c r="O253" i="1"/>
  <c r="P251" i="1"/>
  <c r="I254" i="1"/>
  <c r="V260" i="1"/>
  <c r="K263" i="1"/>
  <c r="J263" i="1"/>
  <c r="Q264" i="1"/>
  <c r="V264" i="1" s="1"/>
  <c r="O264" i="1"/>
  <c r="P265" i="1"/>
  <c r="P264" i="1" s="1"/>
  <c r="B272" i="1"/>
  <c r="G267" i="1"/>
  <c r="G268" i="1" s="1"/>
  <c r="C267" i="1"/>
  <c r="C268" i="1" s="1"/>
  <c r="V282" i="1"/>
  <c r="N292" i="1"/>
  <c r="P239" i="1"/>
  <c r="K239" i="1"/>
  <c r="W263" i="1"/>
  <c r="W239" i="1"/>
  <c r="AB238" i="1"/>
  <c r="AA238" i="1"/>
  <c r="D252" i="1"/>
  <c r="F251" i="1"/>
  <c r="E251" i="1"/>
  <c r="K247" i="1"/>
  <c r="J247" i="1"/>
  <c r="I266" i="1"/>
  <c r="Q244" i="1"/>
  <c r="Q247" i="1"/>
  <c r="V247" i="1" s="1"/>
  <c r="AA332" i="1"/>
  <c r="AA253" i="1"/>
  <c r="F259" i="1"/>
  <c r="E259" i="1"/>
  <c r="D264" i="1"/>
  <c r="AA258" i="1"/>
  <c r="Q45" i="80" s="1"/>
  <c r="Q44" i="80" s="1"/>
  <c r="D278" i="1"/>
  <c r="V277" i="1"/>
  <c r="Y258" i="1"/>
  <c r="Q251" i="1"/>
  <c r="S266" i="1"/>
  <c r="J292" i="1"/>
  <c r="S252" i="1"/>
  <c r="E263" i="1"/>
  <c r="Q263" i="1"/>
  <c r="D266" i="1"/>
  <c r="B292" i="1"/>
  <c r="F292" i="1"/>
  <c r="O245" i="1"/>
  <c r="P245" i="1" s="1"/>
  <c r="T252" i="1"/>
  <c r="Y253" i="1"/>
  <c r="C278" i="1"/>
  <c r="V289" i="1"/>
  <c r="H292" i="1"/>
  <c r="M292" i="1"/>
  <c r="G321" i="1"/>
  <c r="G304" i="1"/>
  <c r="W290" i="1"/>
  <c r="X290" i="1" s="1"/>
  <c r="Y290" i="1" s="1"/>
  <c r="Z290" i="1" s="1"/>
  <c r="AA290" i="1" s="1"/>
  <c r="V290" i="1"/>
  <c r="V313" i="1"/>
  <c r="L289" i="1"/>
  <c r="K292" i="1"/>
  <c r="O292" i="1"/>
  <c r="S292" i="1"/>
  <c r="X292" i="1" s="1"/>
  <c r="G292" i="1"/>
  <c r="V321" i="1"/>
  <c r="V304" i="1"/>
  <c r="D292" i="1"/>
  <c r="P292" i="1"/>
  <c r="T292" i="1"/>
  <c r="Y292" i="1" s="1"/>
  <c r="L291" i="1"/>
  <c r="L292" i="1" s="1"/>
  <c r="L297" i="1"/>
  <c r="Q317" i="1"/>
  <c r="Q297" i="1"/>
  <c r="I292" i="1"/>
  <c r="U292" i="1"/>
  <c r="Z292" i="1" s="1"/>
  <c r="G313" i="1"/>
  <c r="Q289" i="1"/>
  <c r="AA289" i="1" s="1"/>
  <c r="AF289" i="1" s="1"/>
  <c r="AA299" i="1"/>
  <c r="L313" i="1"/>
  <c r="Q291" i="1"/>
  <c r="B304" i="1"/>
  <c r="V341" i="1"/>
  <c r="L341" i="1"/>
  <c r="Q341" i="1"/>
  <c r="Q303" i="1"/>
  <c r="Q322" i="1" s="1"/>
  <c r="Q323" i="1" s="1"/>
  <c r="B325" i="1"/>
  <c r="B313" i="1"/>
  <c r="L334" i="1"/>
  <c r="AK333" i="1"/>
  <c r="G325" i="1"/>
  <c r="N55" i="80"/>
  <c r="N16" i="80"/>
  <c r="N27" i="80" s="1"/>
  <c r="N29" i="80" s="1"/>
  <c r="N36" i="80" s="1"/>
  <c r="E55" i="80"/>
  <c r="O55" i="80"/>
  <c r="O14" i="80"/>
  <c r="F41" i="80" s="1"/>
  <c r="O23" i="80"/>
  <c r="E47" i="80" s="1"/>
  <c r="F37" i="80"/>
  <c r="P23" i="80"/>
  <c r="F47" i="80" s="1"/>
  <c r="Q171" i="1" l="1"/>
  <c r="Q174" i="1"/>
  <c r="Q175" i="1" s="1"/>
  <c r="Q173" i="1"/>
  <c r="Q169" i="1"/>
  <c r="Q170" i="1" s="1"/>
  <c r="K253" i="1"/>
  <c r="K252" i="1"/>
  <c r="K254" i="1"/>
  <c r="X173" i="1"/>
  <c r="AK289" i="1"/>
  <c r="E342" i="1"/>
  <c r="F263" i="1"/>
  <c r="E264" i="1"/>
  <c r="U266" i="1"/>
  <c r="U254" i="1"/>
  <c r="AF232" i="1"/>
  <c r="AK232" i="1" s="1"/>
  <c r="AP232" i="1" s="1"/>
  <c r="W232" i="1"/>
  <c r="W231" i="1" s="1"/>
  <c r="Z227" i="1"/>
  <c r="Z228" i="1" s="1"/>
  <c r="Z230" i="1" s="1"/>
  <c r="Y228" i="1"/>
  <c r="Y230" i="1" s="1"/>
  <c r="K264" i="1"/>
  <c r="Q236" i="1"/>
  <c r="Q239" i="1"/>
  <c r="U236" i="1"/>
  <c r="W235" i="1"/>
  <c r="AA339" i="1"/>
  <c r="AA215" i="1"/>
  <c r="Q25" i="80"/>
  <c r="O207" i="1"/>
  <c r="O179" i="1"/>
  <c r="O176" i="1"/>
  <c r="O177" i="1" s="1"/>
  <c r="O197" i="1"/>
  <c r="O194" i="1"/>
  <c r="R194" i="1"/>
  <c r="R196" i="1" s="1"/>
  <c r="R176" i="1"/>
  <c r="R207" i="1"/>
  <c r="R197" i="1"/>
  <c r="R199" i="1" s="1"/>
  <c r="N175" i="1"/>
  <c r="AA231" i="1"/>
  <c r="H207" i="1"/>
  <c r="H197" i="1"/>
  <c r="H194" i="1"/>
  <c r="H179" i="1"/>
  <c r="H176" i="1"/>
  <c r="J179" i="1"/>
  <c r="J196" i="1"/>
  <c r="K196" i="1"/>
  <c r="K195" i="1"/>
  <c r="B326" i="1"/>
  <c r="B199" i="1"/>
  <c r="F343" i="1"/>
  <c r="F289" i="1"/>
  <c r="F180" i="1"/>
  <c r="F157" i="1"/>
  <c r="F38" i="1"/>
  <c r="O287" i="1"/>
  <c r="O276" i="1"/>
  <c r="O274" i="1"/>
  <c r="O278" i="1"/>
  <c r="O252" i="1"/>
  <c r="O182" i="1"/>
  <c r="O181" i="1"/>
  <c r="J158" i="1"/>
  <c r="F119" i="1"/>
  <c r="G121" i="1"/>
  <c r="G119" i="1" s="1"/>
  <c r="K113" i="1"/>
  <c r="G158" i="1"/>
  <c r="G196" i="1"/>
  <c r="G195" i="1"/>
  <c r="N30" i="80"/>
  <c r="N66" i="80" s="1"/>
  <c r="G326" i="1"/>
  <c r="G199" i="1"/>
  <c r="G198" i="1"/>
  <c r="P194" i="1"/>
  <c r="AY245" i="1"/>
  <c r="AP144" i="1"/>
  <c r="AZ245" i="1" s="1"/>
  <c r="X68" i="1"/>
  <c r="F74" i="1"/>
  <c r="Q72" i="1"/>
  <c r="Q292" i="1"/>
  <c r="V291" i="1"/>
  <c r="V292" i="1" s="1"/>
  <c r="AA341" i="1"/>
  <c r="AF299" i="1"/>
  <c r="L321" i="1"/>
  <c r="L304" i="1"/>
  <c r="V244" i="1"/>
  <c r="AW243" i="1"/>
  <c r="E252" i="1"/>
  <c r="E253" i="1"/>
  <c r="E254" i="1"/>
  <c r="AA239" i="1"/>
  <c r="C272" i="1"/>
  <c r="C279" i="1" s="1"/>
  <c r="C284" i="1" s="1"/>
  <c r="C305" i="1" s="1"/>
  <c r="D267" i="1"/>
  <c r="E257" i="1"/>
  <c r="F257" i="1" s="1"/>
  <c r="AF317" i="1"/>
  <c r="AK294" i="1"/>
  <c r="AF202" i="1"/>
  <c r="AF204" i="1" s="1"/>
  <c r="R62" i="80"/>
  <c r="V245" i="1"/>
  <c r="AA245" i="1"/>
  <c r="Y280" i="1"/>
  <c r="AF227" i="1"/>
  <c r="AA228" i="1"/>
  <c r="AA230" i="1" s="1"/>
  <c r="O229" i="1"/>
  <c r="Q229" i="1" s="1"/>
  <c r="X239" i="1"/>
  <c r="X263" i="1"/>
  <c r="AC238" i="1"/>
  <c r="AH238" i="1" s="1"/>
  <c r="AM238" i="1" s="1"/>
  <c r="T207" i="1"/>
  <c r="T197" i="1"/>
  <c r="T199" i="1" s="1"/>
  <c r="T194" i="1"/>
  <c r="T196" i="1" s="1"/>
  <c r="T176" i="1"/>
  <c r="L207" i="1"/>
  <c r="L197" i="1"/>
  <c r="L194" i="1"/>
  <c r="L176" i="1"/>
  <c r="L177" i="1" s="1"/>
  <c r="L179" i="1"/>
  <c r="F174" i="1"/>
  <c r="F169" i="1"/>
  <c r="D207" i="1"/>
  <c r="D197" i="1"/>
  <c r="D199" i="1" s="1"/>
  <c r="D194" i="1"/>
  <c r="D196" i="1" s="1"/>
  <c r="D176" i="1"/>
  <c r="Q187" i="1"/>
  <c r="L185" i="1"/>
  <c r="L186" i="1" s="1"/>
  <c r="G175" i="1"/>
  <c r="Z154" i="1"/>
  <c r="Z153" i="1" s="1"/>
  <c r="K199" i="1"/>
  <c r="K198" i="1"/>
  <c r="F208" i="1"/>
  <c r="F210" i="1"/>
  <c r="U287" i="1"/>
  <c r="Z287" i="1" s="1"/>
  <c r="U274" i="1"/>
  <c r="Z274" i="1" s="1"/>
  <c r="U278" i="1"/>
  <c r="Z278" i="1" s="1"/>
  <c r="U276" i="1"/>
  <c r="Z276" i="1" s="1"/>
  <c r="U182" i="1"/>
  <c r="F22" i="1"/>
  <c r="F6" i="1"/>
  <c r="T343" i="1"/>
  <c r="O343" i="1"/>
  <c r="Q22" i="1"/>
  <c r="W180" i="1"/>
  <c r="W70" i="1"/>
  <c r="W38" i="1"/>
  <c r="U210" i="1"/>
  <c r="U208" i="1"/>
  <c r="P197" i="1"/>
  <c r="X124" i="1"/>
  <c r="X116" i="1"/>
  <c r="X114" i="1"/>
  <c r="X121" i="1"/>
  <c r="X119" i="1" s="1"/>
  <c r="W288" i="1"/>
  <c r="M287" i="1"/>
  <c r="M278" i="1"/>
  <c r="M276" i="1"/>
  <c r="M252" i="1"/>
  <c r="M274" i="1"/>
  <c r="M182" i="1"/>
  <c r="M181" i="1"/>
  <c r="H343" i="1"/>
  <c r="Z152" i="1"/>
  <c r="Z149" i="1"/>
  <c r="Z147" i="1" s="1"/>
  <c r="P105" i="1"/>
  <c r="P131" i="1"/>
  <c r="G108" i="1"/>
  <c r="G106" i="1" s="1"/>
  <c r="X117" i="1"/>
  <c r="X118" i="1" s="1"/>
  <c r="Q321" i="1"/>
  <c r="Q304" i="1"/>
  <c r="D268" i="1"/>
  <c r="G272" i="1"/>
  <c r="L267" i="1"/>
  <c r="L268" i="1" s="1"/>
  <c r="H267" i="1"/>
  <c r="H268" i="1" s="1"/>
  <c r="J252" i="1"/>
  <c r="J253" i="1"/>
  <c r="O254" i="1"/>
  <c r="P250" i="1"/>
  <c r="O266" i="1"/>
  <c r="J254" i="1"/>
  <c r="Q339" i="1"/>
  <c r="Q215" i="1"/>
  <c r="E194" i="1"/>
  <c r="E196" i="1" s="1"/>
  <c r="E207" i="1"/>
  <c r="E176" i="1"/>
  <c r="J177" i="1" s="1"/>
  <c r="E197" i="1"/>
  <c r="E199" i="1" s="1"/>
  <c r="C207" i="1"/>
  <c r="C176" i="1"/>
  <c r="C197" i="1"/>
  <c r="C199" i="1" s="1"/>
  <c r="C194" i="1"/>
  <c r="C196" i="1" s="1"/>
  <c r="N194" i="1"/>
  <c r="N179" i="1"/>
  <c r="N176" i="1"/>
  <c r="N197" i="1"/>
  <c r="N207" i="1"/>
  <c r="P169" i="1"/>
  <c r="P174" i="1"/>
  <c r="P173" i="1"/>
  <c r="J199" i="1"/>
  <c r="K210" i="1"/>
  <c r="K208" i="1"/>
  <c r="V178" i="1"/>
  <c r="V157" i="1"/>
  <c r="B334" i="1"/>
  <c r="B287" i="1"/>
  <c r="B274" i="1"/>
  <c r="B252" i="1"/>
  <c r="B276" i="1"/>
  <c r="B182" i="1"/>
  <c r="AP141" i="1"/>
  <c r="T21" i="80" s="1"/>
  <c r="J46" i="80" s="1"/>
  <c r="T12" i="80"/>
  <c r="J40" i="80" s="1"/>
  <c r="X127" i="1"/>
  <c r="X137" i="1"/>
  <c r="X134" i="1"/>
  <c r="X132" i="1" s="1"/>
  <c r="X129" i="1"/>
  <c r="W172" i="1"/>
  <c r="W160" i="1"/>
  <c r="W111" i="1"/>
  <c r="W103" i="1"/>
  <c r="AA102" i="1"/>
  <c r="W108" i="1"/>
  <c r="W101" i="1"/>
  <c r="Q180" i="1"/>
  <c r="Q70" i="1"/>
  <c r="Q97" i="1"/>
  <c r="Q84" i="1"/>
  <c r="J287" i="1"/>
  <c r="J276" i="1"/>
  <c r="J274" i="1"/>
  <c r="J278" i="1"/>
  <c r="J182" i="1"/>
  <c r="J181" i="1"/>
  <c r="E287" i="1"/>
  <c r="E276" i="1"/>
  <c r="E274" i="1"/>
  <c r="E278" i="1"/>
  <c r="E187" i="1"/>
  <c r="E182" i="1"/>
  <c r="E184" i="1" s="1"/>
  <c r="Y124" i="1"/>
  <c r="Y121" i="1"/>
  <c r="Y119" i="1" s="1"/>
  <c r="Y116" i="1"/>
  <c r="Y114" i="1"/>
  <c r="Q121" i="1"/>
  <c r="Q119" i="1" s="1"/>
  <c r="Z116" i="1"/>
  <c r="Z121" i="1"/>
  <c r="Z119" i="1" s="1"/>
  <c r="Z114" i="1"/>
  <c r="Z124" i="1"/>
  <c r="L276" i="1"/>
  <c r="L252" i="1"/>
  <c r="L278" i="1"/>
  <c r="L182" i="1"/>
  <c r="L181" i="1"/>
  <c r="N343" i="1"/>
  <c r="N289" i="1"/>
  <c r="N180" i="1"/>
  <c r="N157" i="1"/>
  <c r="N158" i="1" s="1"/>
  <c r="N70" i="1"/>
  <c r="N22" i="1"/>
  <c r="N6" i="1"/>
  <c r="N38" i="1"/>
  <c r="I287" i="1"/>
  <c r="I276" i="1"/>
  <c r="I278" i="1"/>
  <c r="I274" i="1"/>
  <c r="I182" i="1"/>
  <c r="I183" i="1" s="1"/>
  <c r="I181" i="1"/>
  <c r="D287" i="1"/>
  <c r="D276" i="1"/>
  <c r="D274" i="1"/>
  <c r="D182" i="1"/>
  <c r="D184" i="1" s="1"/>
  <c r="D187" i="1"/>
  <c r="Y137" i="1"/>
  <c r="Y134" i="1"/>
  <c r="Y132" i="1" s="1"/>
  <c r="Y129" i="1"/>
  <c r="Y127" i="1"/>
  <c r="AA117" i="1"/>
  <c r="AA118" i="1" s="1"/>
  <c r="Q10" i="80"/>
  <c r="G38" i="80" s="1"/>
  <c r="AA21" i="1"/>
  <c r="AF20" i="1"/>
  <c r="G208" i="1"/>
  <c r="G210" i="1"/>
  <c r="U199" i="1"/>
  <c r="P210" i="1"/>
  <c r="P208" i="1"/>
  <c r="L134" i="1"/>
  <c r="L132" i="1" s="1"/>
  <c r="P113" i="1"/>
  <c r="W104" i="1"/>
  <c r="W105" i="1" s="1"/>
  <c r="K100" i="1"/>
  <c r="V343" i="1"/>
  <c r="V180" i="1"/>
  <c r="V278" i="1" s="1"/>
  <c r="R343" i="1"/>
  <c r="C287" i="1"/>
  <c r="C276" i="1"/>
  <c r="C274" i="1"/>
  <c r="C252" i="1"/>
  <c r="C187" i="1"/>
  <c r="C182" i="1"/>
  <c r="C184" i="1" s="1"/>
  <c r="C343" i="1"/>
  <c r="AA130" i="1"/>
  <c r="AA131" i="1" s="1"/>
  <c r="AF36" i="1"/>
  <c r="AA37" i="1"/>
  <c r="Q11" i="80"/>
  <c r="G39" i="80" s="1"/>
  <c r="Z117" i="1"/>
  <c r="Z118" i="1" s="1"/>
  <c r="Q80" i="1"/>
  <c r="P100" i="1"/>
  <c r="Q76" i="1"/>
  <c r="BA12" i="1"/>
  <c r="BA13" i="1" s="1"/>
  <c r="BA15" i="1" s="1"/>
  <c r="AZ13" i="1"/>
  <c r="AZ15" i="1" s="1"/>
  <c r="Q74" i="1"/>
  <c r="K70" i="1"/>
  <c r="W6" i="1"/>
  <c r="Q332" i="1"/>
  <c r="Q253" i="1"/>
  <c r="Q252" i="1"/>
  <c r="V251" i="1"/>
  <c r="Q258" i="1"/>
  <c r="F253" i="1"/>
  <c r="F252" i="1"/>
  <c r="F258" i="1"/>
  <c r="F266" i="1" s="1"/>
  <c r="F254" i="1"/>
  <c r="AG238" i="1"/>
  <c r="AF238" i="1"/>
  <c r="P49" i="80"/>
  <c r="Q313" i="1"/>
  <c r="Q342" i="1"/>
  <c r="V263" i="1"/>
  <c r="AA333" i="1"/>
  <c r="B318" i="1"/>
  <c r="B279" i="1"/>
  <c r="B284" i="1" s="1"/>
  <c r="Q265" i="1"/>
  <c r="P253" i="1"/>
  <c r="P252" i="1"/>
  <c r="P258" i="1"/>
  <c r="AF231" i="1"/>
  <c r="AF223" i="1"/>
  <c r="AK233" i="1"/>
  <c r="R37" i="80"/>
  <c r="G34" i="80" s="1"/>
  <c r="J264" i="1"/>
  <c r="L264" i="1" s="1"/>
  <c r="V235" i="1"/>
  <c r="W259" i="1"/>
  <c r="W265" i="1" s="1"/>
  <c r="J257" i="1"/>
  <c r="K257" i="1" s="1"/>
  <c r="K258" i="1" s="1"/>
  <c r="K266" i="1" s="1"/>
  <c r="J266" i="1"/>
  <c r="Q230" i="1"/>
  <c r="Y339" i="1"/>
  <c r="Y215" i="1"/>
  <c r="L339" i="1"/>
  <c r="L215" i="1"/>
  <c r="O25" i="80"/>
  <c r="S207" i="1"/>
  <c r="S197" i="1"/>
  <c r="S199" i="1" s="1"/>
  <c r="S194" i="1"/>
  <c r="S196" i="1" s="1"/>
  <c r="S176" i="1"/>
  <c r="I194" i="1"/>
  <c r="I179" i="1"/>
  <c r="I176" i="1"/>
  <c r="I177" i="1" s="1"/>
  <c r="I207" i="1"/>
  <c r="I197" i="1"/>
  <c r="K169" i="1"/>
  <c r="K173" i="1"/>
  <c r="K174" i="1"/>
  <c r="K175" i="1" s="1"/>
  <c r="M207" i="1"/>
  <c r="M194" i="1"/>
  <c r="M179" i="1"/>
  <c r="M176" i="1"/>
  <c r="M177" i="1" s="1"/>
  <c r="M197" i="1"/>
  <c r="M175" i="1"/>
  <c r="J208" i="1"/>
  <c r="J210" i="1"/>
  <c r="G170" i="1"/>
  <c r="F199" i="1"/>
  <c r="B208" i="1"/>
  <c r="B210" i="1"/>
  <c r="Q134" i="1"/>
  <c r="Q132" i="1" s="1"/>
  <c r="P287" i="1"/>
  <c r="P274" i="1"/>
  <c r="P278" i="1"/>
  <c r="P276" i="1"/>
  <c r="P182" i="1"/>
  <c r="P181" i="1"/>
  <c r="Y152" i="1"/>
  <c r="Y149" i="1"/>
  <c r="AA141" i="1"/>
  <c r="AA128" i="1"/>
  <c r="W127" i="1"/>
  <c r="W137" i="1"/>
  <c r="W134" i="1"/>
  <c r="W129" i="1"/>
  <c r="J175" i="1"/>
  <c r="Q167" i="1"/>
  <c r="Q168" i="1" s="1"/>
  <c r="Q159" i="1"/>
  <c r="Q178" i="1"/>
  <c r="Q343" i="1" s="1"/>
  <c r="Q161" i="1"/>
  <c r="Q157" i="1"/>
  <c r="Q158" i="1" s="1"/>
  <c r="T287" i="1"/>
  <c r="Y287" i="1" s="1"/>
  <c r="T276" i="1"/>
  <c r="Y276" i="1" s="1"/>
  <c r="T274" i="1"/>
  <c r="Y274" i="1" s="1"/>
  <c r="T278" i="1"/>
  <c r="Y278" i="1" s="1"/>
  <c r="T182" i="1"/>
  <c r="O158" i="1"/>
  <c r="Y117" i="1"/>
  <c r="Y118" i="1" s="1"/>
  <c r="Q6" i="1"/>
  <c r="Z172" i="1"/>
  <c r="Z160" i="1"/>
  <c r="Z103" i="1"/>
  <c r="Z111" i="1"/>
  <c r="Z108" i="1"/>
  <c r="Z106" i="1" s="1"/>
  <c r="Z101" i="1"/>
  <c r="L343" i="1"/>
  <c r="G287" i="1"/>
  <c r="G276" i="1"/>
  <c r="G334" i="1"/>
  <c r="G278" i="1"/>
  <c r="G252" i="1"/>
  <c r="G274" i="1"/>
  <c r="G181" i="1"/>
  <c r="G182" i="1"/>
  <c r="G183" i="1" s="1"/>
  <c r="S276" i="1"/>
  <c r="X276" i="1" s="1"/>
  <c r="S278" i="1"/>
  <c r="X278" i="1" s="1"/>
  <c r="S287" i="1"/>
  <c r="X287" i="1" s="1"/>
  <c r="S274" i="1"/>
  <c r="X274" i="1" s="1"/>
  <c r="S182" i="1"/>
  <c r="Y130" i="1"/>
  <c r="Y131" i="1" s="1"/>
  <c r="AA5" i="1"/>
  <c r="Q9" i="80"/>
  <c r="AA104" i="1"/>
  <c r="AA105" i="1" s="1"/>
  <c r="AF4" i="1"/>
  <c r="K158" i="1"/>
  <c r="G177" i="1"/>
  <c r="P177" i="1"/>
  <c r="Y172" i="1"/>
  <c r="Y160" i="1"/>
  <c r="Y108" i="1"/>
  <c r="Y106" i="1" s="1"/>
  <c r="Y101" i="1"/>
  <c r="Y103" i="1"/>
  <c r="Y111" i="1"/>
  <c r="Q95" i="1"/>
  <c r="Q96" i="1" s="1"/>
  <c r="R287" i="1"/>
  <c r="W287" i="1" s="1"/>
  <c r="R278" i="1"/>
  <c r="W278" i="1" s="1"/>
  <c r="W277" i="1" s="1"/>
  <c r="R274" i="1"/>
  <c r="W274" i="1" s="1"/>
  <c r="W273" i="1" s="1"/>
  <c r="R252" i="1"/>
  <c r="R276" i="1"/>
  <c r="W276" i="1" s="1"/>
  <c r="R182" i="1"/>
  <c r="M343" i="1"/>
  <c r="H287" i="1"/>
  <c r="H278" i="1"/>
  <c r="H274" i="1"/>
  <c r="H252" i="1"/>
  <c r="H276" i="1"/>
  <c r="H182" i="1"/>
  <c r="H183" i="1" s="1"/>
  <c r="H181" i="1"/>
  <c r="W121" i="1"/>
  <c r="AA115" i="1"/>
  <c r="W124" i="1"/>
  <c r="W116" i="1"/>
  <c r="W114" i="1"/>
  <c r="N72" i="1"/>
  <c r="N74" i="1"/>
  <c r="X160" i="1"/>
  <c r="K287" i="1"/>
  <c r="K274" i="1"/>
  <c r="K278" i="1"/>
  <c r="K276" i="1"/>
  <c r="K181" i="1"/>
  <c r="K182" i="1"/>
  <c r="F72" i="1"/>
  <c r="N38" i="80"/>
  <c r="N54" i="80"/>
  <c r="E41" i="80"/>
  <c r="O16" i="80"/>
  <c r="O27" i="80" s="1"/>
  <c r="O29" i="80" s="1"/>
  <c r="P16" i="80"/>
  <c r="P27" i="80" s="1"/>
  <c r="P29" i="80" s="1"/>
  <c r="AA121" i="1" l="1"/>
  <c r="AA119" i="1" s="1"/>
  <c r="W119" i="1"/>
  <c r="Y178" i="1"/>
  <c r="Y162" i="1"/>
  <c r="Y161" i="1"/>
  <c r="Z173" i="1"/>
  <c r="W132" i="1"/>
  <c r="AA134" i="1"/>
  <c r="AA132" i="1" s="1"/>
  <c r="AA138" i="1"/>
  <c r="AA152" i="1"/>
  <c r="AA145" i="1"/>
  <c r="Q21" i="80"/>
  <c r="G46" i="80" s="1"/>
  <c r="P183" i="1"/>
  <c r="M196" i="1"/>
  <c r="M195" i="1"/>
  <c r="B320" i="1"/>
  <c r="B305" i="1"/>
  <c r="V342" i="1"/>
  <c r="P48" i="80"/>
  <c r="V265" i="1"/>
  <c r="P51" i="80" s="1"/>
  <c r="P50" i="80" s="1"/>
  <c r="Q334" i="1"/>
  <c r="Q333" i="1"/>
  <c r="G315" i="1"/>
  <c r="G314" i="1"/>
  <c r="G309" i="1"/>
  <c r="G216" i="1"/>
  <c r="G217" i="1" s="1"/>
  <c r="G211" i="1"/>
  <c r="G240" i="1" s="1"/>
  <c r="G222" i="1"/>
  <c r="G213" i="1"/>
  <c r="J183" i="1"/>
  <c r="Q276" i="1"/>
  <c r="Q274" i="1"/>
  <c r="Q182" i="1"/>
  <c r="Q181" i="1"/>
  <c r="Q278" i="1"/>
  <c r="Q287" i="1"/>
  <c r="AA172" i="1"/>
  <c r="AA160" i="1"/>
  <c r="AA103" i="1"/>
  <c r="AA99" i="1"/>
  <c r="AA101" i="1"/>
  <c r="Q18" i="80"/>
  <c r="AA111" i="1"/>
  <c r="W173" i="1"/>
  <c r="W169" i="1"/>
  <c r="J198" i="1"/>
  <c r="E210" i="1"/>
  <c r="E208" i="1"/>
  <c r="E267" i="1"/>
  <c r="E268" i="1" s="1"/>
  <c r="D272" i="1"/>
  <c r="D279" i="1" s="1"/>
  <c r="D284" i="1" s="1"/>
  <c r="D305" i="1" s="1"/>
  <c r="U216" i="1"/>
  <c r="U217" i="1" s="1"/>
  <c r="U218" i="1" s="1"/>
  <c r="U222" i="1"/>
  <c r="U213" i="1"/>
  <c r="U211" i="1"/>
  <c r="L196" i="1"/>
  <c r="L195" i="1"/>
  <c r="O30" i="80"/>
  <c r="G29" i="80"/>
  <c r="AX243" i="1"/>
  <c r="AW246" i="1"/>
  <c r="P196" i="1"/>
  <c r="P195" i="1"/>
  <c r="H199" i="1"/>
  <c r="H198" i="1"/>
  <c r="O196" i="1"/>
  <c r="O195" i="1"/>
  <c r="O208" i="1"/>
  <c r="O210" i="1"/>
  <c r="X235" i="1"/>
  <c r="X167" i="1"/>
  <c r="X178" i="1"/>
  <c r="X162" i="1"/>
  <c r="X161" i="1"/>
  <c r="Y173" i="1"/>
  <c r="AF104" i="1"/>
  <c r="AF105" i="1" s="1"/>
  <c r="AF102" i="1"/>
  <c r="AK4" i="1"/>
  <c r="R9" i="80"/>
  <c r="Y147" i="1"/>
  <c r="AA149" i="1"/>
  <c r="AA147" i="1" s="1"/>
  <c r="M199" i="1"/>
  <c r="M198" i="1"/>
  <c r="M210" i="1"/>
  <c r="M208" i="1"/>
  <c r="I199" i="1"/>
  <c r="I198" i="1"/>
  <c r="I196" i="1"/>
  <c r="I195" i="1"/>
  <c r="S210" i="1"/>
  <c r="S208" i="1"/>
  <c r="B329" i="1"/>
  <c r="B328" i="1"/>
  <c r="B319" i="1"/>
  <c r="B327" i="1" s="1"/>
  <c r="AF263" i="1"/>
  <c r="AF239" i="1"/>
  <c r="V332" i="1"/>
  <c r="V253" i="1"/>
  <c r="V252" i="1"/>
  <c r="P43" i="80"/>
  <c r="V258" i="1"/>
  <c r="P45" i="80" s="1"/>
  <c r="P44" i="80" s="1"/>
  <c r="AF130" i="1"/>
  <c r="AF131" i="1" s="1"/>
  <c r="AF128" i="1"/>
  <c r="AK36" i="1"/>
  <c r="R11" i="80"/>
  <c r="H39" i="80" s="1"/>
  <c r="V207" i="1"/>
  <c r="V194" i="1"/>
  <c r="V176" i="1"/>
  <c r="V197" i="1"/>
  <c r="N208" i="1"/>
  <c r="N210" i="1"/>
  <c r="N196" i="1"/>
  <c r="N195" i="1"/>
  <c r="C208" i="1"/>
  <c r="C210" i="1"/>
  <c r="H272" i="1"/>
  <c r="H279" i="1" s="1"/>
  <c r="H284" i="1" s="1"/>
  <c r="H305" i="1" s="1"/>
  <c r="I267" i="1"/>
  <c r="I268" i="1" s="1"/>
  <c r="L326" i="1"/>
  <c r="L199" i="1"/>
  <c r="L198" i="1"/>
  <c r="L325" i="1"/>
  <c r="W245" i="1"/>
  <c r="Z245" i="1"/>
  <c r="AF245" i="1"/>
  <c r="AK245" i="1" s="1"/>
  <c r="AP245" i="1" s="1"/>
  <c r="Y245" i="1"/>
  <c r="X245" i="1"/>
  <c r="Y68" i="1"/>
  <c r="X69" i="1"/>
  <c r="H177" i="1"/>
  <c r="H210" i="1"/>
  <c r="H208" i="1"/>
  <c r="R208" i="1"/>
  <c r="R210" i="1"/>
  <c r="O199" i="1"/>
  <c r="O198" i="1"/>
  <c r="B315" i="1"/>
  <c r="B311" i="1"/>
  <c r="B314" i="1"/>
  <c r="B309" i="1"/>
  <c r="B222" i="1"/>
  <c r="B213" i="1"/>
  <c r="B216" i="1"/>
  <c r="B217" i="1" s="1"/>
  <c r="B211" i="1"/>
  <c r="B240" i="1" s="1"/>
  <c r="H34" i="80"/>
  <c r="F34" i="80"/>
  <c r="AL238" i="1"/>
  <c r="AP238" i="1" s="1"/>
  <c r="AK238" i="1"/>
  <c r="P216" i="1"/>
  <c r="P217" i="1" s="1"/>
  <c r="P211" i="1"/>
  <c r="P222" i="1"/>
  <c r="P213" i="1"/>
  <c r="AK20" i="1"/>
  <c r="R10" i="80"/>
  <c r="H38" i="80" s="1"/>
  <c r="N199" i="1"/>
  <c r="N198" i="1"/>
  <c r="L272" i="1"/>
  <c r="V267" i="1"/>
  <c r="R267" i="1"/>
  <c r="R268" i="1" s="1"/>
  <c r="Q267" i="1"/>
  <c r="M267" i="1"/>
  <c r="M268" i="1" s="1"/>
  <c r="P199" i="1"/>
  <c r="P198" i="1"/>
  <c r="L210" i="1"/>
  <c r="L208" i="1"/>
  <c r="T210" i="1"/>
  <c r="T208" i="1"/>
  <c r="AK227" i="1"/>
  <c r="AF228" i="1"/>
  <c r="AF230" i="1" s="1"/>
  <c r="AK317" i="1"/>
  <c r="AP294" i="1"/>
  <c r="AK202" i="1"/>
  <c r="AK204" i="1" s="1"/>
  <c r="S62" i="80"/>
  <c r="AF341" i="1"/>
  <c r="AK299" i="1"/>
  <c r="O183" i="1"/>
  <c r="J195" i="1"/>
  <c r="F342" i="1"/>
  <c r="F264" i="1"/>
  <c r="G264" i="1" s="1"/>
  <c r="AP289" i="1"/>
  <c r="J222" i="1"/>
  <c r="J216" i="1"/>
  <c r="J217" i="1" s="1"/>
  <c r="J213" i="1"/>
  <c r="J211" i="1"/>
  <c r="I210" i="1"/>
  <c r="I208" i="1"/>
  <c r="K183" i="1"/>
  <c r="AA124" i="1"/>
  <c r="AA114" i="1"/>
  <c r="Q19" i="80"/>
  <c r="G44" i="80" s="1"/>
  <c r="AA116" i="1"/>
  <c r="AA112" i="1"/>
  <c r="G37" i="80"/>
  <c r="Z178" i="1"/>
  <c r="Z161" i="1"/>
  <c r="Z162" i="1"/>
  <c r="Q179" i="1"/>
  <c r="Q194" i="1"/>
  <c r="Q207" i="1"/>
  <c r="Q197" i="1"/>
  <c r="Q176" i="1"/>
  <c r="Q177" i="1" s="1"/>
  <c r="AA137" i="1"/>
  <c r="AA127" i="1"/>
  <c r="AA125" i="1"/>
  <c r="Q20" i="80"/>
  <c r="G45" i="80" s="1"/>
  <c r="AA129" i="1"/>
  <c r="AP233" i="1"/>
  <c r="AK231" i="1"/>
  <c r="AK223" i="1"/>
  <c r="S37" i="80"/>
  <c r="V287" i="1"/>
  <c r="V182" i="1"/>
  <c r="V276" i="1"/>
  <c r="V274" i="1"/>
  <c r="N287" i="1"/>
  <c r="N276" i="1"/>
  <c r="N278" i="1"/>
  <c r="N274" i="1"/>
  <c r="N182" i="1"/>
  <c r="N183" i="1" s="1"/>
  <c r="N181" i="1"/>
  <c r="N252" i="1"/>
  <c r="L184" i="1"/>
  <c r="L183" i="1"/>
  <c r="W106" i="1"/>
  <c r="AA108" i="1"/>
  <c r="AA106" i="1" s="1"/>
  <c r="W178" i="1"/>
  <c r="W159" i="1"/>
  <c r="W162" i="1"/>
  <c r="W163" i="1" s="1"/>
  <c r="W161" i="1"/>
  <c r="W157" i="1"/>
  <c r="W158" i="1" s="1"/>
  <c r="AP145" i="1"/>
  <c r="K216" i="1"/>
  <c r="K217" i="1" s="1"/>
  <c r="K211" i="1"/>
  <c r="K213" i="1"/>
  <c r="K222" i="1"/>
  <c r="P175" i="1"/>
  <c r="N177" i="1"/>
  <c r="P254" i="1"/>
  <c r="P266" i="1"/>
  <c r="G318" i="1"/>
  <c r="G279" i="1"/>
  <c r="G284" i="1" s="1"/>
  <c r="N60" i="80"/>
  <c r="M183" i="1"/>
  <c r="W252" i="1"/>
  <c r="W182" i="1"/>
  <c r="W183" i="1" s="1"/>
  <c r="W181" i="1"/>
  <c r="F222" i="1"/>
  <c r="F213" i="1"/>
  <c r="F211" i="1"/>
  <c r="F240" i="1" s="1"/>
  <c r="F216" i="1"/>
  <c r="F217" i="1" s="1"/>
  <c r="AA187" i="1"/>
  <c r="V187" i="1"/>
  <c r="V185" i="1" s="1"/>
  <c r="V186" i="1" s="1"/>
  <c r="Q185" i="1"/>
  <c r="Q186" i="1" s="1"/>
  <c r="D210" i="1"/>
  <c r="D208" i="1"/>
  <c r="Z280" i="1"/>
  <c r="AA280" i="1" s="1"/>
  <c r="Z253" i="1"/>
  <c r="F287" i="1"/>
  <c r="F274" i="1"/>
  <c r="F276" i="1"/>
  <c r="F278" i="1"/>
  <c r="F187" i="1"/>
  <c r="F182" i="1"/>
  <c r="F184" i="1" s="1"/>
  <c r="G184" i="1" s="1"/>
  <c r="H196" i="1"/>
  <c r="H195" i="1"/>
  <c r="X232" i="1"/>
  <c r="X231" i="1" s="1"/>
  <c r="AA263" i="1"/>
  <c r="P36" i="80"/>
  <c r="F49" i="80"/>
  <c r="O36" i="80"/>
  <c r="E49" i="80"/>
  <c r="G320" i="1" l="1"/>
  <c r="G305" i="1"/>
  <c r="W197" i="1"/>
  <c r="W207" i="1"/>
  <c r="W194" i="1"/>
  <c r="W176" i="1"/>
  <c r="W177" i="1" s="1"/>
  <c r="W179" i="1"/>
  <c r="W343" i="1"/>
  <c r="AK228" i="1"/>
  <c r="AK230" i="1" s="1"/>
  <c r="AP227" i="1"/>
  <c r="AP228" i="1" s="1"/>
  <c r="AP230" i="1" s="1"/>
  <c r="D216" i="1"/>
  <c r="D217" i="1" s="1"/>
  <c r="D211" i="1"/>
  <c r="D240" i="1" s="1"/>
  <c r="D222" i="1"/>
  <c r="D213" i="1"/>
  <c r="K218" i="1"/>
  <c r="AP223" i="1"/>
  <c r="AP231" i="1"/>
  <c r="T37" i="80"/>
  <c r="Q210" i="1"/>
  <c r="Q208" i="1"/>
  <c r="Z163" i="1"/>
  <c r="T216" i="1"/>
  <c r="T217" i="1" s="1"/>
  <c r="T211" i="1"/>
  <c r="T222" i="1"/>
  <c r="T213" i="1"/>
  <c r="R272" i="1"/>
  <c r="R279" i="1" s="1"/>
  <c r="R284" i="1" s="1"/>
  <c r="R305" i="1" s="1"/>
  <c r="S267" i="1"/>
  <c r="S268" i="1" s="1"/>
  <c r="P240" i="1"/>
  <c r="P212" i="1"/>
  <c r="Z232" i="1"/>
  <c r="Z231" i="1" s="1"/>
  <c r="X343" i="1"/>
  <c r="X180" i="1"/>
  <c r="X70" i="1"/>
  <c r="X6" i="1"/>
  <c r="X38" i="1"/>
  <c r="X22" i="1"/>
  <c r="X169" i="1"/>
  <c r="X288" i="1"/>
  <c r="X291" i="1"/>
  <c r="C216" i="1"/>
  <c r="C217" i="1" s="1"/>
  <c r="C211" i="1"/>
  <c r="C240" i="1" s="1"/>
  <c r="C222" i="1"/>
  <c r="C213" i="1"/>
  <c r="N222" i="1"/>
  <c r="N216" i="1"/>
  <c r="N217" i="1" s="1"/>
  <c r="N218" i="1" s="1"/>
  <c r="N213" i="1"/>
  <c r="N211" i="1"/>
  <c r="V196" i="1"/>
  <c r="P30" i="80"/>
  <c r="AF127" i="1"/>
  <c r="AF129" i="1"/>
  <c r="R20" i="80"/>
  <c r="H45" i="80" s="1"/>
  <c r="H37" i="80"/>
  <c r="X159" i="1"/>
  <c r="Y232" i="1"/>
  <c r="Y231" i="1" s="1"/>
  <c r="AX246" i="1"/>
  <c r="AY243" i="1"/>
  <c r="U214" i="1"/>
  <c r="E272" i="1"/>
  <c r="E279" i="1" s="1"/>
  <c r="E284" i="1" s="1"/>
  <c r="E305" i="1" s="1"/>
  <c r="F267" i="1"/>
  <c r="F268" i="1" s="1"/>
  <c r="F272" i="1" s="1"/>
  <c r="F279" i="1" s="1"/>
  <c r="F284" i="1" s="1"/>
  <c r="F305" i="1" s="1"/>
  <c r="E216" i="1"/>
  <c r="E217" i="1" s="1"/>
  <c r="J218" i="1" s="1"/>
  <c r="E222" i="1"/>
  <c r="E213" i="1"/>
  <c r="E211" i="1"/>
  <c r="E240" i="1" s="1"/>
  <c r="AF100" i="1"/>
  <c r="AA100" i="1"/>
  <c r="G214" i="1"/>
  <c r="B312" i="1"/>
  <c r="B310" i="1"/>
  <c r="AF280" i="1"/>
  <c r="AF253" i="1"/>
  <c r="K214" i="1"/>
  <c r="N63" i="80"/>
  <c r="N65" i="80"/>
  <c r="K243" i="1"/>
  <c r="K224" i="1"/>
  <c r="V184" i="1"/>
  <c r="Q196" i="1"/>
  <c r="Q195" i="1"/>
  <c r="Z207" i="1"/>
  <c r="Z194" i="1"/>
  <c r="Z179" i="1"/>
  <c r="Z197" i="1"/>
  <c r="AF112" i="1"/>
  <c r="AA113" i="1"/>
  <c r="I216" i="1"/>
  <c r="I217" i="1" s="1"/>
  <c r="I218" i="1" s="1"/>
  <c r="I222" i="1"/>
  <c r="I213" i="1"/>
  <c r="I211" i="1"/>
  <c r="J243" i="1"/>
  <c r="J224" i="1"/>
  <c r="P218" i="1"/>
  <c r="B243" i="1"/>
  <c r="B224" i="1"/>
  <c r="Z68" i="1"/>
  <c r="Z69" i="1" s="1"/>
  <c r="Y69" i="1"/>
  <c r="Y163" i="1" s="1"/>
  <c r="I272" i="1"/>
  <c r="I279" i="1" s="1"/>
  <c r="I284" i="1" s="1"/>
  <c r="I305" i="1" s="1"/>
  <c r="J267" i="1"/>
  <c r="J268" i="1" s="1"/>
  <c r="V210" i="1"/>
  <c r="V208" i="1"/>
  <c r="M216" i="1"/>
  <c r="M217" i="1" s="1"/>
  <c r="M218" i="1" s="1"/>
  <c r="M222" i="1"/>
  <c r="M213" i="1"/>
  <c r="M211" i="1"/>
  <c r="X157" i="1"/>
  <c r="X158" i="1" s="1"/>
  <c r="X207" i="1"/>
  <c r="X194" i="1"/>
  <c r="X179" i="1"/>
  <c r="X176" i="1"/>
  <c r="X177" i="1" s="1"/>
  <c r="X197" i="1"/>
  <c r="Y235" i="1"/>
  <c r="X259" i="1"/>
  <c r="U243" i="1"/>
  <c r="U224" i="1"/>
  <c r="G243" i="1"/>
  <c r="G255" i="1" s="1"/>
  <c r="G224" i="1"/>
  <c r="G340" i="1"/>
  <c r="Y207" i="1"/>
  <c r="Y194" i="1"/>
  <c r="Y179" i="1"/>
  <c r="Y176" i="1"/>
  <c r="Y177" i="1" s="1"/>
  <c r="Y197" i="1"/>
  <c r="AA68" i="1"/>
  <c r="P255" i="1"/>
  <c r="J240" i="1"/>
  <c r="L309" i="1"/>
  <c r="L315" i="1"/>
  <c r="L314" i="1"/>
  <c r="L216" i="1"/>
  <c r="L217" i="1" s="1"/>
  <c r="L218" i="1" s="1"/>
  <c r="L211" i="1"/>
  <c r="L222" i="1"/>
  <c r="L213" i="1"/>
  <c r="L214" i="1" s="1"/>
  <c r="L318" i="1"/>
  <c r="L279" i="1"/>
  <c r="L284" i="1" s="1"/>
  <c r="O60" i="80"/>
  <c r="AK239" i="1"/>
  <c r="AK263" i="1"/>
  <c r="H216" i="1"/>
  <c r="H217" i="1" s="1"/>
  <c r="H218" i="1" s="1"/>
  <c r="H211" i="1"/>
  <c r="H222" i="1"/>
  <c r="H213" i="1"/>
  <c r="H214" i="1" s="1"/>
  <c r="V326" i="1"/>
  <c r="V199" i="1"/>
  <c r="V325" i="1"/>
  <c r="AF342" i="1"/>
  <c r="R48" i="80"/>
  <c r="AK102" i="1"/>
  <c r="S9" i="80"/>
  <c r="AP4" i="1"/>
  <c r="AK104" i="1"/>
  <c r="AK105" i="1" s="1"/>
  <c r="F29" i="80"/>
  <c r="H29" i="80"/>
  <c r="W174" i="1"/>
  <c r="G43" i="80"/>
  <c r="Q23" i="80"/>
  <c r="AA178" i="1"/>
  <c r="AA162" i="1"/>
  <c r="AA161" i="1"/>
  <c r="Z174" i="1"/>
  <c r="M272" i="1"/>
  <c r="M279" i="1" s="1"/>
  <c r="M284" i="1" s="1"/>
  <c r="M305" i="1" s="1"/>
  <c r="N267" i="1"/>
  <c r="N268" i="1" s="1"/>
  <c r="P214" i="1"/>
  <c r="AA342" i="1"/>
  <c r="Q48" i="80"/>
  <c r="AF187" i="1"/>
  <c r="F340" i="1"/>
  <c r="F243" i="1"/>
  <c r="F224" i="1"/>
  <c r="G328" i="1"/>
  <c r="G329" i="1"/>
  <c r="G319" i="1"/>
  <c r="G327" i="1" s="1"/>
  <c r="K240" i="1"/>
  <c r="K212" i="1"/>
  <c r="W167" i="1"/>
  <c r="AF126" i="1"/>
  <c r="AA126" i="1"/>
  <c r="Q326" i="1"/>
  <c r="Q199" i="1"/>
  <c r="Q198" i="1"/>
  <c r="Q325" i="1"/>
  <c r="J214" i="1"/>
  <c r="AP299" i="1"/>
  <c r="AK341" i="1"/>
  <c r="AP317" i="1"/>
  <c r="AP202" i="1"/>
  <c r="AP204" i="1" s="1"/>
  <c r="T62" i="80"/>
  <c r="AP20" i="1"/>
  <c r="S10" i="80"/>
  <c r="I38" i="80" s="1"/>
  <c r="P243" i="1"/>
  <c r="P249" i="1" s="1"/>
  <c r="P224" i="1"/>
  <c r="P225" i="1" s="1"/>
  <c r="AP263" i="1"/>
  <c r="AP239" i="1"/>
  <c r="W275" i="1"/>
  <c r="R222" i="1"/>
  <c r="R213" i="1"/>
  <c r="R214" i="1" s="1"/>
  <c r="R216" i="1"/>
  <c r="R217" i="1" s="1"/>
  <c r="R211" i="1"/>
  <c r="AK128" i="1"/>
  <c r="S11" i="80"/>
  <c r="I39" i="80" s="1"/>
  <c r="AP36" i="1"/>
  <c r="V334" i="1"/>
  <c r="V333" i="1"/>
  <c r="S216" i="1"/>
  <c r="S217" i="1" s="1"/>
  <c r="S218" i="1" s="1"/>
  <c r="S211" i="1"/>
  <c r="S222" i="1"/>
  <c r="S213" i="1"/>
  <c r="S214" i="1" s="1"/>
  <c r="AF103" i="1"/>
  <c r="AF101" i="1"/>
  <c r="R18" i="80"/>
  <c r="X163" i="1"/>
  <c r="X174" i="1"/>
  <c r="O216" i="1"/>
  <c r="O217" i="1" s="1"/>
  <c r="O218" i="1" s="1"/>
  <c r="O211" i="1"/>
  <c r="O222" i="1"/>
  <c r="O213" i="1"/>
  <c r="O214" i="1" s="1"/>
  <c r="O66" i="80"/>
  <c r="E50" i="80"/>
  <c r="U240" i="1"/>
  <c r="U212" i="1"/>
  <c r="AA173" i="1"/>
  <c r="Q183" i="1"/>
  <c r="Q184" i="1"/>
  <c r="G218" i="1"/>
  <c r="W286" i="1"/>
  <c r="W293" i="1" s="1"/>
  <c r="P38" i="80"/>
  <c r="F53" i="80" s="1"/>
  <c r="O38" i="80"/>
  <c r="E53" i="80" s="1"/>
  <c r="O54" i="80"/>
  <c r="AK129" i="1" l="1"/>
  <c r="AK127" i="1"/>
  <c r="S20" i="80"/>
  <c r="I45" i="80" s="1"/>
  <c r="I37" i="80"/>
  <c r="R218" i="1"/>
  <c r="T10" i="80"/>
  <c r="J38" i="80" s="1"/>
  <c r="AP102" i="1"/>
  <c r="AP104" i="1" s="1"/>
  <c r="AP105" i="1" s="1"/>
  <c r="T9" i="80"/>
  <c r="H240" i="1"/>
  <c r="H212" i="1"/>
  <c r="Y198" i="1"/>
  <c r="Y209" i="1"/>
  <c r="Y210" i="1"/>
  <c r="Z235" i="1"/>
  <c r="Z259" i="1" s="1"/>
  <c r="Z265" i="1" s="1"/>
  <c r="Y259" i="1"/>
  <c r="Y265" i="1" s="1"/>
  <c r="X196" i="1"/>
  <c r="X195" i="1"/>
  <c r="M214" i="1"/>
  <c r="V315" i="1"/>
  <c r="V314" i="1"/>
  <c r="V309" i="1"/>
  <c r="V222" i="1"/>
  <c r="V213" i="1"/>
  <c r="V211" i="1"/>
  <c r="V240" i="1" s="1"/>
  <c r="V216" i="1"/>
  <c r="V217" i="1" s="1"/>
  <c r="Z343" i="1"/>
  <c r="Z180" i="1"/>
  <c r="Z6" i="1"/>
  <c r="Z22" i="1"/>
  <c r="Z70" i="1"/>
  <c r="Z38" i="1"/>
  <c r="Z288" i="1"/>
  <c r="AA288" i="1" s="1"/>
  <c r="Z291" i="1"/>
  <c r="Z159" i="1"/>
  <c r="Z157" i="1"/>
  <c r="Z158" i="1" s="1"/>
  <c r="Z167" i="1"/>
  <c r="Z169" i="1"/>
  <c r="I243" i="1"/>
  <c r="I224" i="1"/>
  <c r="Z198" i="1"/>
  <c r="Z210" i="1"/>
  <c r="Z209" i="1"/>
  <c r="E340" i="1"/>
  <c r="E243" i="1"/>
  <c r="E224" i="1"/>
  <c r="J225" i="1" s="1"/>
  <c r="N212" i="1"/>
  <c r="N240" i="1"/>
  <c r="T267" i="1"/>
  <c r="T268" i="1" s="1"/>
  <c r="S272" i="1"/>
  <c r="S279" i="1" s="1"/>
  <c r="S284" i="1" s="1"/>
  <c r="S305" i="1" s="1"/>
  <c r="T240" i="1"/>
  <c r="T212" i="1"/>
  <c r="Q314" i="1"/>
  <c r="Q309" i="1"/>
  <c r="Q315" i="1"/>
  <c r="Q216" i="1"/>
  <c r="Q217" i="1" s="1"/>
  <c r="Q218" i="1" s="1"/>
  <c r="Q222" i="1"/>
  <c r="Q213" i="1"/>
  <c r="Q214" i="1" s="1"/>
  <c r="Q211" i="1"/>
  <c r="W210" i="1"/>
  <c r="W209" i="1"/>
  <c r="AA209" i="1" s="1"/>
  <c r="S243" i="1"/>
  <c r="S224" i="1"/>
  <c r="AK130" i="1"/>
  <c r="AK131" i="1" s="1"/>
  <c r="AK187" i="1"/>
  <c r="O63" i="80"/>
  <c r="O65" i="80"/>
  <c r="E54" i="80"/>
  <c r="L243" i="1"/>
  <c r="L255" i="1" s="1"/>
  <c r="L224" i="1"/>
  <c r="L225" i="1" s="1"/>
  <c r="L340" i="1"/>
  <c r="J212" i="1"/>
  <c r="U225" i="1"/>
  <c r="X199" i="1"/>
  <c r="X198" i="1"/>
  <c r="X209" i="1"/>
  <c r="X210" i="1"/>
  <c r="M243" i="1"/>
  <c r="M224" i="1"/>
  <c r="J272" i="1"/>
  <c r="J279" i="1" s="1"/>
  <c r="J284" i="1" s="1"/>
  <c r="J305" i="1" s="1"/>
  <c r="K267" i="1"/>
  <c r="K268" i="1" s="1"/>
  <c r="K272" i="1" s="1"/>
  <c r="K279" i="1" s="1"/>
  <c r="K284" i="1" s="1"/>
  <c r="K305" i="1" s="1"/>
  <c r="J249" i="1"/>
  <c r="J255" i="1"/>
  <c r="Z176" i="1"/>
  <c r="Z177" i="1" s="1"/>
  <c r="K225" i="1"/>
  <c r="AY246" i="1"/>
  <c r="AZ243" i="1"/>
  <c r="AZ246" i="1" s="1"/>
  <c r="N214" i="1"/>
  <c r="C340" i="1"/>
  <c r="C243" i="1"/>
  <c r="C224" i="1"/>
  <c r="T218" i="1"/>
  <c r="W199" i="1"/>
  <c r="W198" i="1"/>
  <c r="AP342" i="1"/>
  <c r="T48" i="80"/>
  <c r="L320" i="1"/>
  <c r="L305" i="1"/>
  <c r="L240" i="1"/>
  <c r="L212" i="1"/>
  <c r="I212" i="1"/>
  <c r="I240" i="1"/>
  <c r="K249" i="1"/>
  <c r="K255" i="1"/>
  <c r="F50" i="80"/>
  <c r="P66" i="80"/>
  <c r="T214" i="1"/>
  <c r="O243" i="1"/>
  <c r="O224" i="1"/>
  <c r="O225" i="1" s="1"/>
  <c r="S212" i="1"/>
  <c r="S240" i="1"/>
  <c r="R243" i="1"/>
  <c r="R224" i="1"/>
  <c r="R225" i="1" s="1"/>
  <c r="AK342" i="1"/>
  <c r="S48" i="80"/>
  <c r="U249" i="1"/>
  <c r="U255" i="1"/>
  <c r="B249" i="1"/>
  <c r="B255" i="1"/>
  <c r="O240" i="1"/>
  <c r="O212" i="1"/>
  <c r="H43" i="80"/>
  <c r="AP130" i="1"/>
  <c r="AP131" i="1" s="1"/>
  <c r="AP128" i="1"/>
  <c r="T11" i="80"/>
  <c r="J39" i="80" s="1"/>
  <c r="R240" i="1"/>
  <c r="R212" i="1"/>
  <c r="W249" i="1"/>
  <c r="AP341" i="1"/>
  <c r="F249" i="1"/>
  <c r="F255" i="1"/>
  <c r="O267" i="1"/>
  <c r="O268" i="1" s="1"/>
  <c r="N272" i="1"/>
  <c r="N279" i="1" s="1"/>
  <c r="N284" i="1" s="1"/>
  <c r="N305" i="1" s="1"/>
  <c r="AA207" i="1"/>
  <c r="AA210" i="1" s="1"/>
  <c r="AA197" i="1"/>
  <c r="AA179" i="1"/>
  <c r="AY178" i="1"/>
  <c r="AA194" i="1"/>
  <c r="S18" i="80"/>
  <c r="AK101" i="1"/>
  <c r="AK103" i="1"/>
  <c r="H243" i="1"/>
  <c r="H224" i="1"/>
  <c r="H225" i="1" s="1"/>
  <c r="L329" i="1"/>
  <c r="L328" i="1"/>
  <c r="L319" i="1"/>
  <c r="L327" i="1" s="1"/>
  <c r="Q13" i="80"/>
  <c r="Q14" i="80" s="1"/>
  <c r="AF68" i="1"/>
  <c r="AA69" i="1"/>
  <c r="AA176" i="1" s="1"/>
  <c r="AA177" i="1" s="1"/>
  <c r="Y195" i="1"/>
  <c r="Y196" i="1"/>
  <c r="G225" i="1"/>
  <c r="X265" i="1"/>
  <c r="M240" i="1"/>
  <c r="M212" i="1"/>
  <c r="Y343" i="1"/>
  <c r="Y180" i="1"/>
  <c r="Y199" i="1" s="1"/>
  <c r="Y70" i="1"/>
  <c r="Y6" i="1"/>
  <c r="Y22" i="1"/>
  <c r="Y38" i="1"/>
  <c r="Y291" i="1"/>
  <c r="Y288" i="1"/>
  <c r="Y159" i="1"/>
  <c r="Y169" i="1"/>
  <c r="Y157" i="1"/>
  <c r="Y158" i="1" s="1"/>
  <c r="Y167" i="1"/>
  <c r="Y174" i="1"/>
  <c r="I214" i="1"/>
  <c r="AF113" i="1"/>
  <c r="AK112" i="1"/>
  <c r="AF115" i="1"/>
  <c r="Z196" i="1"/>
  <c r="Z195" i="1"/>
  <c r="AK253" i="1"/>
  <c r="AK280" i="1"/>
  <c r="N243" i="1"/>
  <c r="N224" i="1"/>
  <c r="N225" i="1" s="1"/>
  <c r="X252" i="1"/>
  <c r="X182" i="1"/>
  <c r="X181" i="1"/>
  <c r="X273" i="1"/>
  <c r="X277" i="1"/>
  <c r="T243" i="1"/>
  <c r="T224" i="1"/>
  <c r="T225" i="1" s="1"/>
  <c r="D340" i="1"/>
  <c r="D243" i="1"/>
  <c r="D224" i="1"/>
  <c r="W196" i="1"/>
  <c r="W195" i="1"/>
  <c r="G312" i="1"/>
  <c r="G310" i="1"/>
  <c r="G311" i="1"/>
  <c r="AA259" i="1" l="1"/>
  <c r="AP280" i="1"/>
  <c r="AP253" i="1"/>
  <c r="G41" i="80"/>
  <c r="Q16" i="80"/>
  <c r="Q27" i="80" s="1"/>
  <c r="Q29" i="80" s="1"/>
  <c r="I43" i="80"/>
  <c r="AA326" i="1"/>
  <c r="AA198" i="1"/>
  <c r="AA325" i="1"/>
  <c r="R249" i="1"/>
  <c r="R255" i="1"/>
  <c r="O249" i="1"/>
  <c r="O255" i="1"/>
  <c r="L312" i="1"/>
  <c r="L310" i="1"/>
  <c r="L311" i="1"/>
  <c r="M225" i="1"/>
  <c r="AA291" i="1"/>
  <c r="AA292" i="1" s="1"/>
  <c r="AF292" i="1" s="1"/>
  <c r="J37" i="80"/>
  <c r="T249" i="1"/>
  <c r="T255" i="1"/>
  <c r="AA343" i="1"/>
  <c r="AA180" i="1"/>
  <c r="AA199" i="1" s="1"/>
  <c r="AA70" i="1"/>
  <c r="AY69" i="1"/>
  <c r="AA6" i="1"/>
  <c r="AA22" i="1"/>
  <c r="AA38" i="1"/>
  <c r="AA159" i="1"/>
  <c r="AA169" i="1"/>
  <c r="AA170" i="1" s="1"/>
  <c r="AA157" i="1"/>
  <c r="AA158" i="1" s="1"/>
  <c r="AA171" i="1"/>
  <c r="N249" i="1"/>
  <c r="N255" i="1"/>
  <c r="Y182" i="1"/>
  <c r="Y181" i="1"/>
  <c r="Y252" i="1"/>
  <c r="Y273" i="1"/>
  <c r="Y277" i="1"/>
  <c r="H249" i="1"/>
  <c r="H255" i="1"/>
  <c r="AA196" i="1"/>
  <c r="AA195" i="1"/>
  <c r="Q30" i="80"/>
  <c r="AA315" i="1"/>
  <c r="AA222" i="1"/>
  <c r="AA213" i="1"/>
  <c r="AA214" i="1" s="1"/>
  <c r="AA211" i="1"/>
  <c r="AA216" i="1"/>
  <c r="AA217" i="1" s="1"/>
  <c r="AA218" i="1" s="1"/>
  <c r="AP127" i="1"/>
  <c r="AP129" i="1"/>
  <c r="T20" i="80"/>
  <c r="J45" i="80" s="1"/>
  <c r="C249" i="1"/>
  <c r="C255" i="1"/>
  <c r="M249" i="1"/>
  <c r="Q249" i="1" s="1"/>
  <c r="V249" i="1" s="1"/>
  <c r="M255" i="1"/>
  <c r="AA208" i="1"/>
  <c r="Q34" i="80"/>
  <c r="Q243" i="1"/>
  <c r="Q224" i="1"/>
  <c r="Q225" i="1" s="1"/>
  <c r="Q340" i="1"/>
  <c r="I225" i="1"/>
  <c r="G47" i="80"/>
  <c r="X183" i="1"/>
  <c r="X275" i="1"/>
  <c r="X249" i="1" s="1"/>
  <c r="X286" i="1"/>
  <c r="X293" i="1" s="1"/>
  <c r="Q47" i="80"/>
  <c r="AA265" i="1"/>
  <c r="Q51" i="80" s="1"/>
  <c r="AA163" i="1"/>
  <c r="X222" i="1"/>
  <c r="X213" i="1"/>
  <c r="X214" i="1" s="1"/>
  <c r="X216" i="1"/>
  <c r="X217" i="1" s="1"/>
  <c r="X218" i="1" s="1"/>
  <c r="X211" i="1"/>
  <c r="S225" i="1"/>
  <c r="W222" i="1"/>
  <c r="W213" i="1"/>
  <c r="W214" i="1" s="1"/>
  <c r="W216" i="1"/>
  <c r="W217" i="1" s="1"/>
  <c r="W218" i="1" s="1"/>
  <c r="W211" i="1"/>
  <c r="T272" i="1"/>
  <c r="T279" i="1" s="1"/>
  <c r="T284" i="1" s="1"/>
  <c r="T305" i="1" s="1"/>
  <c r="U267" i="1"/>
  <c r="U268" i="1" s="1"/>
  <c r="U272" i="1" s="1"/>
  <c r="U279" i="1" s="1"/>
  <c r="U284" i="1" s="1"/>
  <c r="U305" i="1" s="1"/>
  <c r="Z211" i="1"/>
  <c r="Z222" i="1"/>
  <c r="Z216" i="1"/>
  <c r="Z217" i="1" s="1"/>
  <c r="Z218" i="1" s="1"/>
  <c r="Z213" i="1"/>
  <c r="Z214" i="1" s="1"/>
  <c r="I249" i="1"/>
  <c r="I255" i="1"/>
  <c r="Z252" i="1"/>
  <c r="Z182" i="1"/>
  <c r="Z181" i="1"/>
  <c r="Z277" i="1"/>
  <c r="AA277" i="1" s="1"/>
  <c r="AA278" i="1" s="1"/>
  <c r="AF278" i="1" s="1"/>
  <c r="Z273" i="1"/>
  <c r="AA273" i="1" s="1"/>
  <c r="Y216" i="1"/>
  <c r="Y217" i="1" s="1"/>
  <c r="Y218" i="1" s="1"/>
  <c r="Y211" i="1"/>
  <c r="Y222" i="1"/>
  <c r="Y213" i="1"/>
  <c r="Y214" i="1" s="1"/>
  <c r="AP103" i="1"/>
  <c r="AP101" i="1"/>
  <c r="T18" i="80"/>
  <c r="AA167" i="1"/>
  <c r="AA168" i="1" s="1"/>
  <c r="AF116" i="1"/>
  <c r="AF114" i="1"/>
  <c r="R19" i="80"/>
  <c r="AF117" i="1"/>
  <c r="AF118" i="1" s="1"/>
  <c r="AF160" i="1"/>
  <c r="AF172" i="1"/>
  <c r="D249" i="1"/>
  <c r="D255" i="1"/>
  <c r="AK113" i="1"/>
  <c r="AP112" i="1"/>
  <c r="AK115" i="1"/>
  <c r="AK68" i="1"/>
  <c r="R13" i="80"/>
  <c r="R14" i="80" s="1"/>
  <c r="AF69" i="1"/>
  <c r="P267" i="1"/>
  <c r="P268" i="1" s="1"/>
  <c r="P272" i="1" s="1"/>
  <c r="P279" i="1" s="1"/>
  <c r="P284" i="1" s="1"/>
  <c r="P305" i="1" s="1"/>
  <c r="O272" i="1"/>
  <c r="O279" i="1" s="1"/>
  <c r="O284" i="1" s="1"/>
  <c r="O305" i="1" s="1"/>
  <c r="AP187" i="1"/>
  <c r="S249" i="1"/>
  <c r="S255" i="1"/>
  <c r="Q212" i="1"/>
  <c r="Q240" i="1"/>
  <c r="E249" i="1"/>
  <c r="E255" i="1"/>
  <c r="Z199" i="1"/>
  <c r="V224" i="1"/>
  <c r="V340" i="1"/>
  <c r="AA235" i="1"/>
  <c r="AA174" i="1"/>
  <c r="Q50" i="80" l="1"/>
  <c r="AF235" i="1"/>
  <c r="AA236" i="1"/>
  <c r="H41" i="80"/>
  <c r="AF178" i="1"/>
  <c r="AF159" i="1"/>
  <c r="AF162" i="1"/>
  <c r="AF163" i="1" s="1"/>
  <c r="AF161" i="1"/>
  <c r="AF157" i="1"/>
  <c r="AF158" i="1" s="1"/>
  <c r="Y243" i="1"/>
  <c r="Y224" i="1"/>
  <c r="Y225" i="1" s="1"/>
  <c r="AK278" i="1"/>
  <c r="Z243" i="1"/>
  <c r="Z224" i="1"/>
  <c r="Z225" i="1" s="1"/>
  <c r="W212" i="1"/>
  <c r="W240" i="1"/>
  <c r="X243" i="1"/>
  <c r="X224" i="1"/>
  <c r="X225" i="1" s="1"/>
  <c r="AA243" i="1"/>
  <c r="AA224" i="1"/>
  <c r="AA225" i="1" s="1"/>
  <c r="H44" i="80"/>
  <c r="R23" i="80"/>
  <c r="H47" i="80" s="1"/>
  <c r="S13" i="80"/>
  <c r="S14" i="80" s="1"/>
  <c r="AP68" i="1"/>
  <c r="AK69" i="1"/>
  <c r="Y212" i="1"/>
  <c r="Y240" i="1"/>
  <c r="Z212" i="1"/>
  <c r="Z240" i="1"/>
  <c r="X212" i="1"/>
  <c r="X240" i="1"/>
  <c r="G249" i="1"/>
  <c r="AA309" i="1"/>
  <c r="G50" i="80"/>
  <c r="Q66" i="80"/>
  <c r="L249" i="1"/>
  <c r="AK292" i="1"/>
  <c r="AF291" i="1"/>
  <c r="G49" i="80"/>
  <c r="Q36" i="80"/>
  <c r="Q38" i="80" s="1"/>
  <c r="G53" i="80" s="1"/>
  <c r="AK114" i="1"/>
  <c r="AK116" i="1"/>
  <c r="S19" i="80"/>
  <c r="AK117" i="1"/>
  <c r="AK118" i="1" s="1"/>
  <c r="AK160" i="1"/>
  <c r="AK172" i="1"/>
  <c r="AA212" i="1"/>
  <c r="AA240" i="1"/>
  <c r="Y183" i="1"/>
  <c r="Y286" i="1"/>
  <c r="Y293" i="1" s="1"/>
  <c r="Y275" i="1"/>
  <c r="AA182" i="1"/>
  <c r="AA181" i="1"/>
  <c r="AA252" i="1"/>
  <c r="AA334" i="1"/>
  <c r="AA185" i="1"/>
  <c r="AA186" i="1" s="1"/>
  <c r="J43" i="80"/>
  <c r="Z183" i="1"/>
  <c r="Z286" i="1"/>
  <c r="Z275" i="1"/>
  <c r="AA275" i="1" s="1"/>
  <c r="AA276" i="1" s="1"/>
  <c r="AF276" i="1" s="1"/>
  <c r="AF343" i="1"/>
  <c r="AF180" i="1"/>
  <c r="AF277" i="1" s="1"/>
  <c r="AF70" i="1"/>
  <c r="AF288" i="1"/>
  <c r="AF22" i="1"/>
  <c r="AF6" i="1"/>
  <c r="AF38" i="1"/>
  <c r="AP113" i="1"/>
  <c r="AP115" i="1"/>
  <c r="AF173" i="1"/>
  <c r="AF169" i="1"/>
  <c r="AF170" i="1" s="1"/>
  <c r="AF171" i="1"/>
  <c r="AA274" i="1"/>
  <c r="AF274" i="1" s="1"/>
  <c r="W243" i="1"/>
  <c r="W224" i="1"/>
  <c r="W225" i="1" s="1"/>
  <c r="V243" i="1"/>
  <c r="V250" i="1" s="1"/>
  <c r="Q250" i="1"/>
  <c r="Z249" i="1"/>
  <c r="AF167" i="1" l="1"/>
  <c r="AF168" i="1" s="1"/>
  <c r="R16" i="80"/>
  <c r="R27" i="80" s="1"/>
  <c r="R29" i="80" s="1"/>
  <c r="H49" i="80" s="1"/>
  <c r="AF174" i="1"/>
  <c r="AF175" i="1" s="1"/>
  <c r="V331" i="1"/>
  <c r="V254" i="1"/>
  <c r="V266" i="1"/>
  <c r="V268" i="1" s="1"/>
  <c r="V272" i="1" s="1"/>
  <c r="P41" i="80"/>
  <c r="P53" i="80" s="1"/>
  <c r="AF273" i="1"/>
  <c r="AK274" i="1"/>
  <c r="AK276" i="1"/>
  <c r="AK173" i="1"/>
  <c r="AK169" i="1"/>
  <c r="AK170" i="1" s="1"/>
  <c r="AK171" i="1"/>
  <c r="AF207" i="1"/>
  <c r="AF194" i="1"/>
  <c r="AF197" i="1"/>
  <c r="AF176" i="1"/>
  <c r="AF177" i="1" s="1"/>
  <c r="AF179" i="1"/>
  <c r="AF252" i="1"/>
  <c r="AF182" i="1"/>
  <c r="AF275" i="1" s="1"/>
  <c r="AF181" i="1"/>
  <c r="AF334" i="1"/>
  <c r="AF185" i="1"/>
  <c r="AF186" i="1" s="1"/>
  <c r="AA286" i="1"/>
  <c r="AA287" i="1" s="1"/>
  <c r="AF287" i="1" s="1"/>
  <c r="Z293" i="1"/>
  <c r="AA183" i="1"/>
  <c r="AA184" i="1"/>
  <c r="AK159" i="1"/>
  <c r="AK178" i="1"/>
  <c r="AK343" i="1" s="1"/>
  <c r="AK161" i="1"/>
  <c r="AK157" i="1"/>
  <c r="AK158" i="1" s="1"/>
  <c r="AK162" i="1"/>
  <c r="AK163" i="1" s="1"/>
  <c r="AK291" i="1"/>
  <c r="AP292" i="1"/>
  <c r="AK180" i="1"/>
  <c r="AK70" i="1"/>
  <c r="AK288" i="1"/>
  <c r="AK6" i="1"/>
  <c r="AK22" i="1"/>
  <c r="AK38" i="1"/>
  <c r="AK235" i="1"/>
  <c r="AF259" i="1"/>
  <c r="AP114" i="1"/>
  <c r="AP116" i="1"/>
  <c r="T19" i="80"/>
  <c r="AP117" i="1"/>
  <c r="AP118" i="1" s="1"/>
  <c r="AP172" i="1"/>
  <c r="AP160" i="1"/>
  <c r="T13" i="80"/>
  <c r="T14" i="80" s="1"/>
  <c r="AP69" i="1"/>
  <c r="Y249" i="1"/>
  <c r="AA249" i="1" s="1"/>
  <c r="Q331" i="1"/>
  <c r="Q266" i="1"/>
  <c r="Q268" i="1" s="1"/>
  <c r="Q254" i="1"/>
  <c r="W301" i="1"/>
  <c r="I44" i="80"/>
  <c r="S23" i="80"/>
  <c r="I47" i="80" s="1"/>
  <c r="I41" i="80"/>
  <c r="S16" i="80"/>
  <c r="S27" i="80" s="1"/>
  <c r="S29" i="80" s="1"/>
  <c r="AP278" i="1"/>
  <c r="AK277" i="1"/>
  <c r="AK167" i="1" l="1"/>
  <c r="AK168" i="1" s="1"/>
  <c r="Q335" i="1"/>
  <c r="Q255" i="1"/>
  <c r="AP180" i="1"/>
  <c r="AP70" i="1"/>
  <c r="AP288" i="1"/>
  <c r="AP6" i="1"/>
  <c r="AP22" i="1"/>
  <c r="AP38" i="1"/>
  <c r="R47" i="80"/>
  <c r="AF265" i="1"/>
  <c r="R51" i="80" s="1"/>
  <c r="R50" i="80" s="1"/>
  <c r="AK287" i="1"/>
  <c r="AF286" i="1"/>
  <c r="AF293" i="1" s="1"/>
  <c r="AF184" i="1"/>
  <c r="AF183" i="1"/>
  <c r="AP274" i="1"/>
  <c r="AP273" i="1" s="1"/>
  <c r="AK273" i="1"/>
  <c r="V335" i="1"/>
  <c r="V255" i="1"/>
  <c r="Q272" i="1"/>
  <c r="AA267" i="1"/>
  <c r="W267" i="1"/>
  <c r="J41" i="80"/>
  <c r="J44" i="80"/>
  <c r="T23" i="80"/>
  <c r="J47" i="80" s="1"/>
  <c r="AP235" i="1"/>
  <c r="AP259" i="1" s="1"/>
  <c r="AK259" i="1"/>
  <c r="AP291" i="1"/>
  <c r="AF326" i="1"/>
  <c r="AF199" i="1"/>
  <c r="AF198" i="1"/>
  <c r="AF325" i="1"/>
  <c r="AK174" i="1"/>
  <c r="AK175" i="1" s="1"/>
  <c r="AF249" i="1"/>
  <c r="I49" i="80"/>
  <c r="AP178" i="1"/>
  <c r="AP159" i="1"/>
  <c r="AP161" i="1"/>
  <c r="AP157" i="1"/>
  <c r="AP158" i="1" s="1"/>
  <c r="AP162" i="1"/>
  <c r="AP163" i="1" s="1"/>
  <c r="AK207" i="1"/>
  <c r="AK194" i="1"/>
  <c r="AK197" i="1"/>
  <c r="AK176" i="1"/>
  <c r="AK177" i="1" s="1"/>
  <c r="AK179" i="1"/>
  <c r="AF195" i="1"/>
  <c r="AF196" i="1"/>
  <c r="R30" i="80"/>
  <c r="P55" i="80"/>
  <c r="F55" i="80"/>
  <c r="P57" i="80"/>
  <c r="P54" i="80"/>
  <c r="X301" i="1"/>
  <c r="AP171" i="1"/>
  <c r="AP173" i="1"/>
  <c r="AP169" i="1"/>
  <c r="AP170" i="1" s="1"/>
  <c r="AK252" i="1"/>
  <c r="AK181" i="1"/>
  <c r="AK182" i="1"/>
  <c r="AK334" i="1"/>
  <c r="AK185" i="1"/>
  <c r="AK186" i="1" s="1"/>
  <c r="AA293" i="1"/>
  <c r="AF209" i="1"/>
  <c r="R34" i="80" s="1"/>
  <c r="AP276" i="1"/>
  <c r="V318" i="1"/>
  <c r="V279" i="1"/>
  <c r="V284" i="1" s="1"/>
  <c r="P60" i="80"/>
  <c r="AP174" i="1" l="1"/>
  <c r="AP175" i="1" s="1"/>
  <c r="T16" i="80"/>
  <c r="T27" i="80" s="1"/>
  <c r="T29" i="80" s="1"/>
  <c r="J49" i="80"/>
  <c r="AK184" i="1"/>
  <c r="AK183" i="1"/>
  <c r="AK326" i="1"/>
  <c r="AK198" i="1"/>
  <c r="AK199" i="1"/>
  <c r="AK325" i="1"/>
  <c r="AP197" i="1"/>
  <c r="AP176" i="1"/>
  <c r="AP177" i="1" s="1"/>
  <c r="AP179" i="1"/>
  <c r="AP207" i="1"/>
  <c r="AP194" i="1"/>
  <c r="P65" i="80"/>
  <c r="P63" i="80"/>
  <c r="F54" i="80"/>
  <c r="AK275" i="1"/>
  <c r="AK196" i="1"/>
  <c r="AK195" i="1"/>
  <c r="S30" i="80"/>
  <c r="AP167" i="1"/>
  <c r="AP168" i="1" s="1"/>
  <c r="Q318" i="1"/>
  <c r="Q279" i="1"/>
  <c r="Q284" i="1" s="1"/>
  <c r="AP287" i="1"/>
  <c r="AK286" i="1"/>
  <c r="AK293" i="1" s="1"/>
  <c r="AP334" i="1"/>
  <c r="AP252" i="1"/>
  <c r="AP182" i="1"/>
  <c r="AP181" i="1"/>
  <c r="AP185" i="1"/>
  <c r="AP186" i="1" s="1"/>
  <c r="V320" i="1"/>
  <c r="V305" i="1"/>
  <c r="R36" i="80"/>
  <c r="Y301" i="1"/>
  <c r="AK209" i="1"/>
  <c r="S34" i="80" s="1"/>
  <c r="S36" i="80" s="1"/>
  <c r="S38" i="80" s="1"/>
  <c r="I53" i="80" s="1"/>
  <c r="S47" i="80"/>
  <c r="AK265" i="1"/>
  <c r="S51" i="80" s="1"/>
  <c r="S50" i="80" s="1"/>
  <c r="AP343" i="1"/>
  <c r="V329" i="1"/>
  <c r="V328" i="1"/>
  <c r="V319" i="1"/>
  <c r="V327" i="1" s="1"/>
  <c r="AF210" i="1"/>
  <c r="H50" i="80"/>
  <c r="R66" i="80"/>
  <c r="T47" i="80"/>
  <c r="AP265" i="1"/>
  <c r="T51" i="80" s="1"/>
  <c r="AP277" i="1"/>
  <c r="AK249" i="1" l="1"/>
  <c r="T50" i="80"/>
  <c r="AF309" i="1"/>
  <c r="AF211" i="1"/>
  <c r="AF222" i="1"/>
  <c r="AF213" i="1"/>
  <c r="AF214" i="1" s="1"/>
  <c r="AF216" i="1"/>
  <c r="AF217" i="1" s="1"/>
  <c r="AF218" i="1" s="1"/>
  <c r="AK210" i="1"/>
  <c r="G18" i="80"/>
  <c r="R38" i="80"/>
  <c r="H53" i="80" s="1"/>
  <c r="AP184" i="1"/>
  <c r="AP183" i="1"/>
  <c r="AP196" i="1"/>
  <c r="AP195" i="1"/>
  <c r="T30" i="80"/>
  <c r="AP326" i="1"/>
  <c r="AP199" i="1"/>
  <c r="AP198" i="1"/>
  <c r="AP325" i="1"/>
  <c r="V312" i="1"/>
  <c r="V310" i="1"/>
  <c r="AP286" i="1"/>
  <c r="AP293" i="1" s="1"/>
  <c r="AP249" i="1"/>
  <c r="AP209" i="1"/>
  <c r="T34" i="80" s="1"/>
  <c r="T36" i="80" s="1"/>
  <c r="T38" i="80" s="1"/>
  <c r="J53" i="80" s="1"/>
  <c r="AP275" i="1"/>
  <c r="I50" i="80"/>
  <c r="S66" i="80"/>
  <c r="Q305" i="1"/>
  <c r="Q306" i="1" s="1"/>
  <c r="Q320" i="1"/>
  <c r="Z301" i="1"/>
  <c r="G27" i="80"/>
  <c r="Q329" i="1"/>
  <c r="Q328" i="1"/>
  <c r="Q319" i="1"/>
  <c r="Q327" i="1" s="1"/>
  <c r="V306" i="1" l="1"/>
  <c r="AA301" i="1"/>
  <c r="AP210" i="1"/>
  <c r="J50" i="80"/>
  <c r="T66" i="80"/>
  <c r="G22" i="80"/>
  <c r="G25" i="80" s="1"/>
  <c r="F18" i="80"/>
  <c r="H18" i="80"/>
  <c r="AF243" i="1"/>
  <c r="AF224" i="1"/>
  <c r="AF225" i="1" s="1"/>
  <c r="F27" i="80"/>
  <c r="H27" i="80"/>
  <c r="Q312" i="1"/>
  <c r="Q310" i="1"/>
  <c r="V311" i="1"/>
  <c r="Q311" i="1"/>
  <c r="AK309" i="1"/>
  <c r="AK213" i="1"/>
  <c r="AK214" i="1" s="1"/>
  <c r="AK216" i="1"/>
  <c r="AK217" i="1" s="1"/>
  <c r="AK218" i="1" s="1"/>
  <c r="AK222" i="1"/>
  <c r="AK211" i="1"/>
  <c r="AF212" i="1"/>
  <c r="AF240" i="1"/>
  <c r="H20" i="80" l="1"/>
  <c r="H19" i="80"/>
  <c r="H21" i="80"/>
  <c r="AK212" i="1"/>
  <c r="AK240" i="1"/>
  <c r="F20" i="80"/>
  <c r="F19" i="80"/>
  <c r="AP309" i="1"/>
  <c r="AP211" i="1"/>
  <c r="AP222" i="1"/>
  <c r="AP213" i="1"/>
  <c r="AP214" i="1" s="1"/>
  <c r="AP216" i="1"/>
  <c r="AP217" i="1" s="1"/>
  <c r="AP218" i="1" s="1"/>
  <c r="G33" i="80"/>
  <c r="G9" i="80" s="1"/>
  <c r="AK243" i="1"/>
  <c r="AK224" i="1"/>
  <c r="AK225" i="1" s="1"/>
  <c r="F21" i="80"/>
  <c r="AF301" i="1"/>
  <c r="AA340" i="1"/>
  <c r="AP243" i="1" l="1"/>
  <c r="AP224" i="1"/>
  <c r="AP225" i="1" s="1"/>
  <c r="AP212" i="1"/>
  <c r="AP240" i="1"/>
  <c r="F22" i="80"/>
  <c r="F25" i="80" s="1"/>
  <c r="H22" i="80"/>
  <c r="H25" i="80" s="1"/>
  <c r="AK301" i="1"/>
  <c r="AF340" i="1"/>
  <c r="G14" i="80"/>
  <c r="G11" i="80"/>
  <c r="C5" i="79"/>
  <c r="G13" i="80"/>
  <c r="AK340" i="1" l="1"/>
  <c r="AP301" i="1"/>
  <c r="H33" i="80"/>
  <c r="H9" i="80" s="1"/>
  <c r="F33" i="80"/>
  <c r="F9" i="80" s="1"/>
  <c r="F11" i="80" l="1"/>
  <c r="F14" i="80"/>
  <c r="F13" i="80"/>
  <c r="AP340" i="1"/>
  <c r="H13" i="80"/>
  <c r="H14" i="80"/>
  <c r="H11" i="80"/>
  <c r="W303" i="1" l="1"/>
  <c r="X303" i="1" l="1"/>
  <c r="X250" i="1"/>
  <c r="Y250" i="1"/>
  <c r="W250" i="1"/>
  <c r="AA248" i="1" l="1"/>
  <c r="AA250" i="1" s="1"/>
  <c r="Z250" i="1"/>
  <c r="W266" i="1"/>
  <c r="W268" i="1" s="1"/>
  <c r="W254" i="1"/>
  <c r="W255" i="1" s="1"/>
  <c r="Y266" i="1"/>
  <c r="Y254" i="1"/>
  <c r="Y255" i="1" s="1"/>
  <c r="X254" i="1"/>
  <c r="X255" i="1" s="1"/>
  <c r="X266" i="1"/>
  <c r="Y303" i="1"/>
  <c r="W297" i="1" l="1"/>
  <c r="W304" i="1" s="1"/>
  <c r="X267" i="1"/>
  <c r="X268" i="1" s="1"/>
  <c r="W272" i="1"/>
  <c r="W279" i="1" s="1"/>
  <c r="AA302" i="1"/>
  <c r="Z303" i="1"/>
  <c r="Z266" i="1"/>
  <c r="Z254" i="1"/>
  <c r="Z255" i="1" s="1"/>
  <c r="AA266" i="1"/>
  <c r="AA268" i="1" s="1"/>
  <c r="Q41" i="80"/>
  <c r="Q53" i="80" s="1"/>
  <c r="AA254" i="1"/>
  <c r="AA331" i="1"/>
  <c r="AF250" i="1"/>
  <c r="AF254" i="1" l="1"/>
  <c r="AF266" i="1"/>
  <c r="R41" i="80"/>
  <c r="R53" i="80" s="1"/>
  <c r="AF331" i="1"/>
  <c r="X297" i="1"/>
  <c r="X304" i="1" s="1"/>
  <c r="AA282" i="1"/>
  <c r="AA255" i="1"/>
  <c r="AA335" i="1"/>
  <c r="X272" i="1"/>
  <c r="X279" i="1" s="1"/>
  <c r="X284" i="1" s="1"/>
  <c r="X305" i="1" s="1"/>
  <c r="Y267" i="1"/>
  <c r="Y268" i="1" s="1"/>
  <c r="G55" i="80"/>
  <c r="Q54" i="80"/>
  <c r="Q55" i="80"/>
  <c r="Q57" i="80"/>
  <c r="AF267" i="1"/>
  <c r="AA272" i="1"/>
  <c r="AA303" i="1"/>
  <c r="AA322" i="1" s="1"/>
  <c r="AF268" i="1" l="1"/>
  <c r="AA314" i="1"/>
  <c r="AA323" i="1"/>
  <c r="AF315" i="1" s="1"/>
  <c r="AA313" i="1"/>
  <c r="AF272" i="1"/>
  <c r="AK267" i="1"/>
  <c r="Q60" i="80"/>
  <c r="AA279" i="1"/>
  <c r="AA284" i="1" s="1"/>
  <c r="AA320" i="1" s="1"/>
  <c r="AA318" i="1"/>
  <c r="H55" i="80"/>
  <c r="R57" i="80"/>
  <c r="G16" i="80"/>
  <c r="R55" i="80"/>
  <c r="R54" i="80"/>
  <c r="H16" i="80"/>
  <c r="F16" i="80"/>
  <c r="Y297" i="1"/>
  <c r="Y304" i="1" s="1"/>
  <c r="AF303" i="1"/>
  <c r="AF322" i="1" s="1"/>
  <c r="Y272" i="1"/>
  <c r="Y279" i="1" s="1"/>
  <c r="Y284" i="1" s="1"/>
  <c r="Z267" i="1"/>
  <c r="Z268" i="1" s="1"/>
  <c r="Z272" i="1" s="1"/>
  <c r="Z279" i="1" s="1"/>
  <c r="Z284" i="1" s="1"/>
  <c r="W284" i="1"/>
  <c r="W305" i="1" s="1"/>
  <c r="AF335" i="1"/>
  <c r="AF255" i="1"/>
  <c r="AK250" i="1"/>
  <c r="Y305" i="1" l="1"/>
  <c r="AA295" i="1"/>
  <c r="Z297" i="1"/>
  <c r="Z304" i="1" s="1"/>
  <c r="AA319" i="1"/>
  <c r="AA327" i="1" s="1"/>
  <c r="AA329" i="1"/>
  <c r="AA328" i="1"/>
  <c r="AF279" i="1"/>
  <c r="R60" i="80"/>
  <c r="AF318" i="1"/>
  <c r="AK266" i="1"/>
  <c r="AK268" i="1" s="1"/>
  <c r="AK331" i="1"/>
  <c r="AK254" i="1"/>
  <c r="S41" i="80"/>
  <c r="S53" i="80" s="1"/>
  <c r="AF323" i="1"/>
  <c r="AK315" i="1" s="1"/>
  <c r="AF313" i="1"/>
  <c r="AK314" i="1"/>
  <c r="AA312" i="1"/>
  <c r="AA310" i="1"/>
  <c r="AA311" i="1"/>
  <c r="AP303" i="1"/>
  <c r="AP322" i="1" s="1"/>
  <c r="AK303" i="1"/>
  <c r="AK322" i="1" s="1"/>
  <c r="G54" i="80"/>
  <c r="Q65" i="80"/>
  <c r="Q63" i="80"/>
  <c r="AF314" i="1"/>
  <c r="Z305" i="1"/>
  <c r="AF284" i="1" l="1"/>
  <c r="AP323" i="1"/>
  <c r="AP313" i="1"/>
  <c r="S54" i="80"/>
  <c r="I55" i="80"/>
  <c r="S55" i="80"/>
  <c r="S57" i="80"/>
  <c r="AF329" i="1"/>
  <c r="AF328" i="1"/>
  <c r="AF319" i="1"/>
  <c r="AF327" i="1" s="1"/>
  <c r="AK255" i="1"/>
  <c r="AK335" i="1"/>
  <c r="G30" i="80"/>
  <c r="R63" i="80"/>
  <c r="R65" i="80"/>
  <c r="H54" i="80"/>
  <c r="AK313" i="1"/>
  <c r="AP314" i="1"/>
  <c r="AK323" i="1"/>
  <c r="AP315" i="1" s="1"/>
  <c r="AF320" i="1"/>
  <c r="AK272" i="1"/>
  <c r="AP267" i="1"/>
  <c r="AA297" i="1"/>
  <c r="AP250" i="1"/>
  <c r="AP331" i="1" l="1"/>
  <c r="AP266" i="1"/>
  <c r="AP268" i="1" s="1"/>
  <c r="AP272" i="1" s="1"/>
  <c r="AP254" i="1"/>
  <c r="T41" i="80"/>
  <c r="T53" i="80" s="1"/>
  <c r="AF297" i="1"/>
  <c r="AK318" i="1"/>
  <c r="AK279" i="1"/>
  <c r="AK284" i="1" s="1"/>
  <c r="S60" i="80"/>
  <c r="AA321" i="1"/>
  <c r="AA304" i="1"/>
  <c r="AA305" i="1" s="1"/>
  <c r="AA306" i="1" s="1"/>
  <c r="AF312" i="1"/>
  <c r="AF310" i="1"/>
  <c r="AF311" i="1"/>
  <c r="F30" i="80"/>
  <c r="F31" i="80" s="1"/>
  <c r="F15" i="80" s="1"/>
  <c r="H30" i="80"/>
  <c r="H31" i="80" s="1"/>
  <c r="H15" i="80" s="1"/>
  <c r="G31" i="80"/>
  <c r="G15" i="80" s="1"/>
  <c r="I54" i="80" l="1"/>
  <c r="S63" i="80"/>
  <c r="S65" i="80"/>
  <c r="AF321" i="1"/>
  <c r="AF304" i="1"/>
  <c r="AF305" i="1" s="1"/>
  <c r="AF306" i="1" s="1"/>
  <c r="AK320" i="1"/>
  <c r="AP297" i="1"/>
  <c r="AK297" i="1"/>
  <c r="AK329" i="1"/>
  <c r="AK319" i="1"/>
  <c r="AK327" i="1" s="1"/>
  <c r="AK328" i="1"/>
  <c r="J55" i="80"/>
  <c r="T55" i="80"/>
  <c r="T57" i="80"/>
  <c r="T54" i="80"/>
  <c r="AP335" i="1"/>
  <c r="AP255" i="1"/>
  <c r="AP279" i="1"/>
  <c r="T60" i="80"/>
  <c r="AP318" i="1"/>
  <c r="AP284" i="1" l="1"/>
  <c r="AP321" i="1"/>
  <c r="AP304" i="1"/>
  <c r="J54" i="80"/>
  <c r="T63" i="80"/>
  <c r="T65" i="80"/>
  <c r="AK321" i="1"/>
  <c r="AK304" i="1"/>
  <c r="AK305" i="1" s="1"/>
  <c r="AK306" i="1" s="1"/>
  <c r="AP319" i="1"/>
  <c r="AP327" i="1" s="1"/>
  <c r="AP329" i="1"/>
  <c r="AP328" i="1"/>
  <c r="AK312" i="1"/>
  <c r="AK310" i="1"/>
  <c r="AK311" i="1"/>
  <c r="AP305" i="1" l="1"/>
  <c r="AP306" i="1" s="1"/>
  <c r="AP320" i="1"/>
  <c r="AP312" i="1" l="1"/>
  <c r="AP310" i="1"/>
  <c r="AP311" i="1"/>
</calcChain>
</file>

<file path=xl/comments1.xml><?xml version="1.0" encoding="utf-8"?>
<comments xmlns="http://schemas.openxmlformats.org/spreadsheetml/2006/main">
  <authors>
    <author>sang</author>
  </authors>
  <commentList>
    <comment ref="A1" authorId="0">
      <text>
        <r>
          <rPr>
            <b/>
            <sz val="8"/>
            <color indexed="81"/>
            <rFont val="Tahoma"/>
            <family val="2"/>
          </rPr>
          <t>卟䙄_x0003_＀＀䶓+低幃䅃偟协剔呅偟剁彔佃呎䥒⡂㈱㈯〰ⰹⰬ唬䑓착!＀＀ ＀＀	＀＀_x0008_＀＀_x0001_＀＀_x0001_＀＀_x0001_＀＀＀＀＀＀耀䁚찀䶜_x001F_低幃䍅彁䕍乁䕟卐⬨ⰲ㐰〯⼶〲ㄱ착!＀＀ ＀＀	＀＀_x0008_＀＀_x0001_＀＀_x0001_＀＀_x0001_＀＀齁鏈쮤䀜찀䶓$低幃䅃偟久当䕂彎䅐䑉ㄨ⼲〲㤰ⰬⰬ单⥄!＀＀ ＀＀	＀＀_x0008_＀＀_x0001_＀＀_x0001_＀＀_x0001_＀＀＀＀＀＀㰀䂕찀䶓G低幃䅃偟久当䕎彔佃呓ㄨ⼲〲㐰ⰬⰬ单⥄址当䕐华佉彎偎彐塅⡐㈱㈯〰ⰴⰬ唬䑓착!＀＀ ＀＀	＀＀_x0008_＀＀_x0001_＀＀_x0001_＀＀_x0001_＀＀＀＀＀＀䁵찀䶓＀Ｏ低幃南䡟呌䍈剁彅䵁剏彔䕓噒䍟协⡔㈱㈯〰ⰹⰬ唬䑓착!＀＀ ＀＀	＀＀_x0008_＀＀_x0001_＀＀_x0001_＀＀_x0001_＀＀＀＀＀＀耀쁍찀⪽产!低幃䍅彁䕍乁䕟䥂䑔⬨ⰱ〱㈯⼵〲ㄱ착!＀＀ ＀＀	＀＀_x0008_＀＀_x0001_＀＀_x0001_＀＀_x0001_＀＀ⓝ脆쌕䂬찀䶓&lt;低幃南偟久䥓乏䅟卓呅当佂䑎⡓㈱㈯〰⤷䍀彁䕐华偟呃䙟⡉㈱㈯〰⤷!＀＀ ＀＀	＀＀_x0008_＀＀_x0001_＀＀_x0001_＀＀_x0001_＀＀＀＀＀＀＀＀䁁찀䶓%低幃䅃偟久当啃归䥌䉁⡓㈱㈯㄰ⰰⰬ唬䑓착!＀＀ ＀＀	＀＀_x0008_＀＀_x0001_＀＀_x0001_＀＀_x0001_＀＀＀＀＀＀耀䁘찀⪽产!低幃䍅彁䕍乁卟䱁卅⬨ⰳ〱㈯⼵〲ㄱ착!＀＀ ＀＀	＀＀_x0008_＀＀_x0001_＀＀_x0001_＀＀_x0001_＀＀＀＀＀＀氰䃚찀䶓J低幃䅃偟久当䥄䍓剟呁⡅㈱㈯〰ⰸⰬ唬䑓䀩南偟久䥓乏䑟卉彃䅒䕔ㄨ⼲〲㠰ⰬⰬ单⥄!＀＀ ＀＀	＀＀_x0008_＀＀_x0001_＀＀_x0001_＀＀_x0001_＀＀＀＀＀＀＀＀䀙찀䶓_x0017_呁幋彆䕂䅔卟㕐〰㙟䴰〨착!＀＀ ＀＀	＀＀_x0008_＀＀_x0001_＀＀_x0001_＀＀_x0001_＀＀꿹悽릁㿪찀䶓)低幃䅃偟协剔呅佟䡔䑁彊䉎⡁㈱㈯〰ⰹⰬ唬䑓착!＀＀ ＀＀	＀＀_x0008_＀＀_x0001_＀＀_x0001_＀＀_x0001_＀＀＀＀＀＀ 䁣찀䶓J低幃䅃偟协剔呅剟䅏䅟呃ㄨ⼲〲〱ⰬⰬ单⥄址当䱈䡔䅃䕒䅟呃剟䅏ㄨ⼲〲〱ⰬⰬ单⥄!＀＀ ＀＀	＀＀_x0008_＀＀_x0001_＀＀_x0001_＀＀_x0001_＀＀＀＀＀＀＀＀䁛찀䶓J低幃䅃偟久当䱐乁䅟呓ㄨ⼲〲㜰ⰬⰬ单⥄址当䕐华佉彎䅖彌十䕓協ㄨ⼲〲㜰ⰬⰬ单⥄!＀＀ ＀＀	＀＀_x0008_＀＀_x0001_＀＀_x0001_＀＀_x0001_＀＀＀＀＀＀嫀䃖찀䶓&amp;低幃䅃偟久当十彔义䅔䝎ㄨ⼲〲㜰ⰬⰬ单⥄!＀＀ ＀＀	＀＀_x0008_＀＀_x0001_＀＀_x0001_＀＀_x0001_＀＀豀碵꼝쐕찀䶓H低幃䅃偟久当义彔佃呓ㄨ⼲〲〱ⰬⰬ单⥄址当䕐华佉彎义彔佃呓ㄨ⼲〲〱ⰬⰬ单⥄!＀＀ ＀＀	＀＀_x0008_＀＀_x0001_＀＀_x0001_＀＀_x0001_＀＀＀＀＀＀저䂕찀䶓_x001B_呁幋䝆䵟呋噟䱁䕕 ⼳㔱㈯㄰찱!＀＀ ＀＀	＀＀_x0008_＀＀_x0001_＀＀_x0001_＀＀_x0001_＀＀鳠ꔑ䂡찀䶓-低幃䅃偟协剔呅啟归剔佟彂䵁剏⡔㈱㈯〰ⰴⰬ唬䑓착!＀＀ ＀＀	＀＀_x0008_＀＀_x0001_＀＀_x0001_＀＀_x0001_＀＀＀＀＀＀＀＀＀＀찀䶓'低幃䅃偟久当商䑎卟䅔啔⡓㈱㈯〰ⰶⰬ唬䑓착!＀＀ ＀＀	＀＀_x0008_＀＀_x0001_＀＀_x0001_＀＀_x0001_＀＀＀＀＀＀䀀쁓찀䶓F低幃䅃偟久当佒彁䍁⡔㈱㈯〰ⰴⰬ唬䑓䀩南偟久䥓乏䅟呃剟䅏ㄨ⼲〲㐰ⰬⰬ单⥄!＀＀ ＀＀	＀＀_x0008_＀＀_x0001_＀＀_x0001_＀＀_x0001_＀＀＀＀＀＀㠀䂠찀䶓_x0010_呁幋䝆䵟呋噟䱁䕕!＀＀ ＀＀	＀＀_x0008_＀＀_x0001_＀＀_x0001_＀＀_x0001_＀＀ꗣ쒛噠䂢찀䶓_x001C_低幃䍅彁䕍乁卟䱁卅⬨ⰲ〴㜴⤸!＀＀ ＀＀	＀＀_x0008_＀＀_x0001_＀＀_x0001_＀＀_x0001_＀＀竡긔䃡찀䶓 低幃南䕟䍘彈䅒䕔䉟䱁卟⡈㈱㈯〰⤶!＀＀ ＀＀	＀＀_x0008_＀＀_x0001_＀＀_x0001_＀＀_x0001_＀＀豀碵꼝쐕찀䶓#低幃䅃偟协剔呅䱟䅉⡂㈱㈯〰ⰸⰬ唬䑓착!＀＀ ＀＀	＀＀_x0008_＀＀_x0001_＀＀_x0001_＀＀_x0001_＀＀＀＀＀＀㠀삟찀䶓J低幃䅃偟协剔呅剟䅏䅟呃ㄨ⼲〲㜰ⰬⰬ单⥄址当䱈䡔䅃䕒䅟呃剟䅏ㄨ⼲〲㜰ⰬⰬ单⥄!＀＀ ＀＀	＀＀_x0008_＀＀_x0001_＀＀_x0001_＀＀_x0001_＀＀＀＀＀＀＀＀䁇찀䶓*低幃南䡟呌䍈剁彅塅彐呌剟䅏ㄨ⼲〲㘰ⰬⰬ单⥄!＀＀ ＀＀	＀＀_x0008_＀＀_x0001_＀＀_x0001_＀＀_x0001_＀＀＀＀＀＀＀＀䀛찀䶓(低幃䅃偟久当䅐呒䍟乏剔䉉ㄨ⼲〲㠰ⰬⰬ单⥄!＀＀ ＀＀	＀＀_x0008_＀＀_x0001_＀＀_x0001_＀＀_x0001_＀＀＀＀＀＀＀＀䀬찀䶓H低幃䅃偟久当义彔佃呓ㄨ⼲〲㜰ⰬⰬ单⥄址当䕐华佉彎义彔佃呓ㄨ⼲〲㜰ⰬⰬ单⥄!＀＀ ＀＀	＀＀_x0008_＀＀_x0001_＀＀_x0001_＀＀_x0001_＀＀＀＀＀＀蠀䂓찀䶓"低幃南偟久䥓乏偟佂ㄨ⼲〲㘰ⰬⰬ单⥄!＀＀ ＀＀	＀＀_x0008_＀＀_x0001_＀＀_x0001_＀＀_x0001_＀＀＀＀＀＀ﬀ䃔찀䶓E低幃䅃偟协剔呅䉟久佟⡂㈱㈯〰ⰵⰬ唬䑓䀩南䡟呌䍈剁彅䉐⡏㈱㈯〰ⰵⰬ唬䑓착!＀＀ ＀＀	＀＀_x0008_＀＀_x0001_＀＀_x0001_＀＀_x0001_＀＀＀＀＀＀ᨀ䂪찀䶓L低幃䅃偟协剔呅䥟呎䍟协⡔㈱㈯〰ⰸⰬ唬䑓䀩南䡟呌䍈剁彅义彔佃呓ㄨ⼲〲㠰ⰬⰬ单⥄!＀＀ ＀＀	＀＀_x0008_＀＀_x0001_＀＀_x0001_＀＀_x0001_＀＀＀＀＀＀쀀䁤찀䶓_x001A_低幃南䕟䍘彈䅒䕔䥟䍎䍟⡆⤰!＀＀ ＀＀	＀＀_x0008_＀＀_x0001_＀＀_x0001_＀＀_x0001_＀＀豀碵꼝쐕찀䶓 低幃南䕟䍘彈䅒䕔ㄨ⼲〲㠰ⰬⰬ单⥄!＀＀ ＀＀	＀＀_x0008_＀＀_x0001_＀＀_x0001_＀＀_x0001_＀＀＀＀＀＀＀＀㿰찀䶓I低幃䅃偟久当剓彖佃呓ㄨ⼲〲〱ⰬⰬ单⥄址当䕐华佉彎䕓噒䍟协⡔㈱㈯㄰ⰰⰬ唬䑓착!＀＀ ＀＀	＀＀_x0008_＀＀_x0001_＀＀_x0001_＀＀_x0001_＀＀＀＀＀＀退䂄찀䶓(低幃䅃偟久当偐彄䕂彎佃呓ㄨ⼲〲㤰ⰬⰬ单⥄!＀＀ ＀＀	＀＀_x0008_＀＀_x0001_＀＀_x0001_＀＀_x0001_＀＀豀碵꼝쐕찀䶓Q低幃䅃偟久当䍁啃彍佃偍䥒䍎ㄨ⼲〲㐰ⰬⰬ单⥄址当佃偍归义彃䕐华䱟䅉⡂㈱㈯〰ⰴⰬ唬䑓착!＀＀ ＀＀	＀＀_x0008_＀＀_x0001_＀＀_x0001_＀＀_x0001_＀＀＀＀＀＀䀀䁭찀䶓%低幃南䥟呎剟呁彅夵噁⡇㈱㈯〰ⰳⰬ唬䑓착!＀＀ ＀＀	＀＀_x0008_＀＀_x0001_＀＀_x0001_＀＀_x0001_＀＀讂㔕Ꚙ䀟찀䶓P低幃䅃偟协剔呅偟䅌彎十彔久⡄㈱㈯㄰ⰰⰬ唬䑓䀩南䡟呌䍈剁彅噆䅟卓呅ㄨ⼲〲〱ⰬⰬ单⥄!＀＀ ＀＀	＀＀_x0008_＀＀_x0001_＀＀_x0001_＀＀_x0001_＀＀＀＀＀＀⠀䂍찀䞌丯!低幃䍅彁䕍乁䕟䥂䑔⬨ⰱ㜰㈯⼶〲ㄱ착!＀＀ ＀＀	＀＀_x0008_＀＀_x0001_＀＀_x0001_＀＀_x0001_＀＀뀡桲䅑䂬찀䶓Q低幃䅃偟久当䍁啃彍佃偍䥒䍎ㄨ⼲〲㤰ⰬⰬ单⥄址当佃偍归义彃䕐华䱟䅉⡂㈱㈯〰ⰹⰬ唬䑓착!＀＀ ＀＀	＀＀_x0008_＀＀_x0001_＀＀_x0001_＀＀_x0001_＀＀＀＀＀＀삧찀䶓-低幃䅃偟协剔呅啟归剔佟彂䵁剏⡔㈱㈯㄰ⰰⰬ唬䑓착!＀＀ ＀＀	＀＀_x0008_＀＀_x0001_＀＀_x0001_＀＀_x0001_＀＀＀＀＀＀＀＀＀＀찀⪽产_x0017_低幃䝆偟䥒䕃㄁⼰㔲㈯㄰찱!＀＀ ＀＀	＀＀_x0008_＀＀_x0001_＀＀_x0001_＀＀_x0001_＀＀尩슏䣵䁌찀䶓$低幃䅃偟久当呌䱟䅉卂ㄨ⼲〲㘰ⰬⰬ单⥄!＀＀ ＀＀	＀＀_x0008_＀＀_x0001_＀＀_x0001_＀＀_x0001_＀＀豀碵꼝쐕찀䶓G低幃䅃偟久当䕎彔佃呓ㄨ⼲〲㜰ⰬⰬ单⥄址当䕐华佉彎偎彐塅⡐㈱㈯〰ⰷⰬ唬䑓착!＀＀ ＀＀	＀＀_x0008_＀＀_x0001_＀＀_x0001_＀＀_x0001_＀＀＀＀＀＀＀＀䁶찀⒡产_x001B_低幃䝆䵟䅅彎偅当兆⠲ⰰⰬ〹착!＀＀ ＀＀	＀＀_x0008_＀＀_x0001_＀＀_x0001_＀＀_x0001_＀＀慀㎚臬㿻찀䞌丯!低幃䍅彁䕍乁卟䱁卅⬨ⰳ㜰㈯⼶〲ㄱ착!＀＀ ＀＀	＀＀_x0008_＀＀_x0001_＀＀_x0001_＀＀_x0001_＀＀凬Ẹ묕䃛찀䶜!低幃䍅彁䕍乁䕟䥂䑔⬨ⰱ㐰〯⼶〲ㄱ착!＀＀ ＀＀	＀＀_x0008_＀＀_x0001_＀＀_x0001_＀＀_x0001_＀＀嘄ⴎ䂬찀⪽产 低幃䍅彁䕍乁䕟䥂⡔㌫ㄬ⼰㔲㈯㄰⤱!＀＀ ＀＀	＀＀_x0008_＀＀_x0001_＀＀_x0001_＀＀_x0001_＀＀㝌䆉盠䂧찀䶓'低幃南偟久偟协彔䕒彔䕂⡎㈱㈯〰ⰹⰬ唬䑓착!＀＀ ＀＀	＀＀_x0008_＀＀_x0001_＀＀_x0001_＀＀_x0001_＀＀＀＀＀＀਀䂳찀䶓_x001C_低幃䍅彁䕍乁䕟䥂䑔⬨ⰳ〴㜴⤸!＀＀ ＀＀	＀＀_x0008_＀＀_x0001_＀＀_x0001_＀＀_x0001_＀＀＀＀＀＀眀䂰찀䶓)低幃䅃偟久当䵅彐佃呎䥒彂⡃㈱㈯〰ⰶⰬ唬䑓착!＀＀ ＀＀	＀＀_x0008_＀＀_x0001_＀＀_x0001_＀＀_x0001_＀＀＀＀＀＀᐀䂒찀䶓%低幃南䥟呎剟呁彅夵噁⡇㈱㈯〰ⰹⰬ唬䑓착!＀＀ ＀＀	＀＀_x0008_＀＀_x0001_＀＀_x0001_＀＀_x0001_＀＀߈鬽ὕ䀝찀䶓&lt;低幃南偟久䥓乏䅟卓呅当佂䑎⡓㈱㈯㄰⤰䍀彁䕐华偟呃䙟⡉㈱㈯㄰⤰!＀＀ ＀＀	＀＀_x0008_＀＀_x0001_＀＀_x0001_＀＀_x0001_＀＀㌳㌳䁄찀䞌丯_x001F_低幃䍅䵟䑅偟䥒䕃呟呇、⼷㘲㈯㄰찱!＀＀ ＀＀	＀＀_x0008_＀＀_x0001_＀＀_x0001_＀＀_x0001_＀＀＀＀＀＀耀䁑찀⨹产9低幃䕆䕟呓䵉呁⡅匧䱁卅Ⱗ䴧䅅❎✬啑剁䕔䱒❙✬ㄫⰧ低ⱗⰬ✧착!＀＀ ＀＀	＀＀_x0008_＀＀_x0001_＀＀_x0001_＀＀_x0001_＀＀尨ꀯ䂺찀䶜!低幃䍅彁䕍乁卟䱁卅⬨ⰳ㐰〯⼶〲ㄱ착!＀＀ ＀＀	＀＀_x0008_＀＀_x0001_＀＀_x0001_＀＀_x0001_＀＀竡긔䃝찀䶓I低幃䅃偟久当剓彖佃呓ㄨ⼲〲㔰ⰬⰬ单⥄址当䕐华佉彎䕓噒䍟协⡔㈱㈯〰ⰵⰬ唬䑓착!＀＀ ＀＀	＀＀_x0008_＀＀_x0001_＀＀_x0001_＀＀_x0001_＀＀＀＀＀＀᠀䂅찀䶓,低幃䅃偟协剔呅䕟偍䍟乏剔䉉䍟ㄨ⼲〲㐰ⰬⰬ单⥄!＀＀ ＀＀	＀＀_x0008_＀＀_x0001_＀＀_x0001_＀＀_x0001_＀＀＀＀＀＀쀀䁦찀䶓M低幃䅃偟协剔呅卟噒䍟协⡔㈱㈯〰ⰵⰬ唬䑓䀩南䡟呌䍈剁彅䕓噒䍟协⡔㈱㈯〰ⰵⰬ唬䑓착!＀＀ ＀＀	＀＀_x0008_＀＀_x0001_＀＀_x0001_＀＀_x0001_＀＀＀＀＀＀耀䁐찀濱两_x001F_低幃䍅彁䕍乁䕟卐⬨ⰳ㜰ㄯ⼸〲ㄱ착!＀＀ ＀＀	＀＀_x0008_＀＀_x0001_＀＀_x0001_＀＀_x0001_＀＀⚮奏蝍䀞찀䶓P低幃䅃偟协剔呅偟䅌彎十彔久⡄㈱㈯〰ⰵⰬ唬䑓䀩南䡟呌䍈剁彅噆䅟卓呅ㄨ⼲〲㔰ⰬⰬ单⥄!＀＀ ＀＀	＀＀_x0008_＀＀_x0001_＀＀_x0001_＀＀_x0001_＀＀＀＀＀＀怀䂈찀䶓J低幃䅃偟久当䥄䍓剟呁⡅㈱㈯〰ⰷⰬ唬䑓䀩南偟久䥓乏䑟卉彃䅒䕔ㄨ⼲〲㜰ⰬⰬ单⥄!＀＀ ＀＀	＀＀_x0008_＀＀_x0001_＀＀_x0001_＀＀_x0001_＀＀竡긔䀘찀䶓 低幃南䕟䍘彈䅒䕔䉟䱁卟⡈㈱㈯〰⤷!＀＀ ＀＀	＀＀_x0008_＀＀_x0001_＀＀_x0001_＀＀_x0001_＀＀豀碵꼝쐕찀䶓F低幃䅃偟久当佒彁䍁⡔㈱㈯〰ⰷⰬ唬䑓䀩南偟久䥓乏䅟呃剟䅏ㄨ⼲〲㜰ⰬⰬ单⥄!＀＀ ＀＀	＀＀_x0008_＀＀_x0001_＀＀_x0001_＀＀_x0001_＀＀＀＀＀＀였䂡찀䶓%低幃䅃偟久当呌䅟卓呅⡓㈱㈯〰ⰹⰬ唬䑓착!＀＀ ＀＀	＀＀_x0008_＀＀_x0001_＀＀_x0001_＀＀_x0001_＀＀＀＀＀＀耀䁰찀䶓J低幃䅃偟协剔呅剟䅏䅟呃ㄨ⼲〲㘰ⰬⰬ单⥄址当䱈䡔䅃䕒䅟呃剟䅏ㄨ⼲〲㘰ⰬⰬ单⥄!＀＀ ＀＀	＀＀_x0008_＀＀_x0001_＀＀_x0001_＀＀_x0001_＀＀＀＀＀＀쀀䁗찀䶓+低幃䅃偟协剔呅偟剁彔佃呎䥒⡂㈱㈯〰ⰴⰬ唬䑓착!＀＀ ＀＀	＀＀_x0008_＀＀_x0001_＀＀_x0001_＀＀_x0001_＀＀＀＀＀＀＀＀䁒찀䶓(低幃南偟久䥓乏䅟卓呅当呌ㄨ⼲〲㠰ⰬⰬ单⥄!＀＀ ＀＀	＀＀_x0008_＀＀_x0001_＀＀_x0001_＀＀_x0001_＀＀＀＀＀＀ 䁲찀䶓%低幃䅃偟久当啃归䥌䉁⡓㈱㈯〰ⰵⰬ唬䑓착!＀＀ ＀＀	＀＀_x0008_＀＀_x0001_＀＀_x0001_＀＀_x0001_＀＀豀碵꼝쐕찀䶓H低幃䅃偟久当义彔佃呓ㄨ⼲〲㘰ⰬⰬ单⥄址当䕐华佉彎义彔佃呓ㄨ⼲〲㘰ⰬⰬ单⥄!＀＀ ＀＀	＀＀_x0008_＀＀_x0001_＀＀_x0001_＀＀_x0001_＀＀＀＀＀＀ᰀ䂒찀䶓%低幃䅃偟久当佃偍剟呁⡅㈱㈯〰ⰸⰬ唬䑓착!＀＀ ＀＀	＀＀_x0008_＀＀_x0001_＀＀_x0001_＀＀_x0001_＀＀＀＀＀＀＀＀䀐찀䶓$低幃䅃偟久当䕂彎䅐䑉ㄨ⼲〲㐰ⰬⰬ单⥄!＀＀ ＀＀	＀＀_x0008_＀＀_x0001_＀＀_x0001_＀＀_x0001_＀＀＀＀＀＀᐀䂐찀䶓B低幃䅃偟久当佒⡁㈱㈯〰ⰴⰬ唬䑓䀩南偟久䥓乏䕟偘剟䅏ㄨ⼲〲㐰ⰬⰬ单⥄!＀＀ ＀＀	＀＀_x0008_＀＀_x0001_＀＀_x0001_＀＀_x0001_＀＀＀＀＀＀蠀삕찀䶓,低幃䅃偟协剔呅䕟偍䍟乏剔䉉䍟ㄨ⼲〲〱ⰬⰬ单⥄!＀＀ ＀＀	＀＀_x0008_＀＀_x0001_＀＀_x0001_＀＀_x0001_＀＀＀＀＀＀䀀䁡찀䶓J低幃䅃偟久当佒彁䅒䕔ㄨ⼲〲㔰ⰬⰬ单⥄址当䕐华佉彎塅彐呌剟䅏ㄨ⼲〲㔰ⰬⰬ单⥄!＀＀ ＀＀	＀＀_x0008_＀＀_x0001_＀＀_x0001_＀＀_x0001_＀＀＀＀＀＀＀＀䀡찀䶓'低幃䅃偟协剔呅䉟久偟䥁⡄㈱㈯〰ⰷⰬ唬䑓착!＀＀ ＀＀	＀＀_x0008_＀＀_x0001_＀＀_x0001_＀＀_x0001_＀＀＀＀＀＀䀀䁯찀䶓)低幃南䡟呌䍈剁彅䥄䍓剟呁⡅㈱㈯〰ⰹⰬ唬䑓착!＀＀ ＀＀	＀＀_x0008_＀＀_x0001_＀＀_x0001_＀＀_x0001_＀＀㌳㌳㌳䀗찀䶓F低幃䅃偟协剔呅剟䅏ㄨ⼲〲㤰ⰬⰬ单⥄址当䱈䡔䅃䕒䕟偘剟䅏ㄨ⼲〲㤰ⰬⰬ单⥄!＀＀ ＀＀	＀＀_x0008_＀＀_x0001_＀＀_x0001_＀＀_x0001_＀＀＀＀＀＀＀＀쁈찀䞌丯 低幃䍅彁䕍乁䕟䥂⡔㌫〬⼷㘲㈯㄰⤱!＀＀ ＀＀	＀＀_x0008_＀＀_x0001_＀＀_x0001_＀＀_x0001_＀＀茓쫀㩡䂨찀䶓)低幃䅃偟协剔呅佟䡔䑁彊䉎⡁㈱㈯〰ⰴⰬ唬䑓착!＀＀ ＀＀	＀＀_x0008_＀＀_x0001_＀＀_x0001_＀＀_x0001_＀＀＀＀＀＀退䂁찀䶓T低幃䅃偟协剔呅偟䥒剏卟噒ㄨ⼲〲㐰ⰬⰬ单⥄址当䱈䡔䅃䕒啟剎䍅卟剅彖佃呓ㄨ⼲〲㐰ⰬⰬ单⥄!＀＀ ＀＀	＀＀_x0008_＀＀_x0001_＀＀_x0001_＀＀_x0001_＀＀＀＀＀＀＀＀쀤찀䶓'低幃南䥟呎剟呁⡅㈱㈯〰ⰳ㈱㈯〰ⰳⰬ唬䑓착!＀＀ ＀＀	＀＀_x0008_＀＀_x0001_＀＀_x0001_＀＀_x0001_＀＀ᑺ䀟찀䶓)低幃南偟久䥓乏噟䱁䅟卓呅⡓㈱㈯〰ⰶⰬ唬䑓착!＀＀ ＀＀	＀＀_x0008_＀＀_x0001_＀＀_x0001_＀＀_x0001_＀＀＀＀＀＀䃔찀䶓[低幃南剟久䅔彌偏䱟䕓䕟偘ㄨ⼲〲㌰ㄬ⼲〲㌰ⰬⰬ单⥄䍀彁呒剟久彔䥍彎塅⡐㈱㈯〰ⰳ㈱㈯〰ⰳⰬ唬䑓착!＀＀ ＀＀	＀＀_x0008_＀＀_x0001_＀＀_x0001_＀＀_x0001_＀＀＀＀＀＀䁼찀䶓'低幃南䥟呎剟呁⡅㈱㈯〰ⰴ㈱㈯〰ⰴⰬ唬䑓착!＀＀ ＀＀	＀＀_x0008_＀＀_x0001_＀＀_x0001_＀＀_x0001_＀＀檔躟䳇䀟찀䶓J低幃䅃偟久当䱐乁䅟呓ㄨ⼲〲〱ⰬⰬ单⥄址当䕐华佉彎䅖彌十䕓協ㄨ⼲〲〱ⰬⰬ单⥄!＀＀ ＀＀	＀＀_x0008_＀＀_x0001_＀＀_x0001_＀＀_x0001_＀＀＀＀＀＀례䃖찀䶓+低幃䅃偟协剔呅偟剁彔佃呎䥒⡂㈱㈯㄰ⰰⰬ唬䑓착!＀＀ ＀＀	＀＀_x0008_＀＀_x0001_＀＀_x0001_＀＀_x0001_＀＀＀＀＀＀耀䁘찀䶓'低幃南䥟呎剟呁⡅㈱㈯〰ⰵ㈱㈯〰ⰵⰬ唬䑓착!＀＀ ＀＀	＀＀_x0008_＀＀_x0001_＀＀_x0001_＀＀_x0001_＀＀瓦䱙㹬䀜찀䶓_x001B_低幃䍅彁䕍乁䕟䥂⡔㌫㐬㐰㠷착!＀＀ ＀＀	＀＀_x0008_＀＀_x0001_＀＀_x0001_＀＀_x0001_＀＀＀＀＀＀℀䂬찀䶓'低幃南偟久䥓乏也呅䱟䅉⡂㈱㈯〰ⰹⰬ唬䑓착!＀＀ ＀＀	＀＀_x0008_＀＀_x0001_＀＀_x0001_＀＀_x0001_＀＀豀碵꼝쐕찀䶓[低幃南剟久䅔彌偏䱟䕓䕟偘ㄨ⼲〲〱ㄬ⼲〲〱ⰬⰬ单⥄䍀彁呒剟久彔䥍彎塅⡐㈱㈯㄰ⰰ㈱㈯㄰ⰰⰬ唬䑓착!＀＀ ＀＀	＀＀_x0008_＀＀_x0001_＀＀_x0001_＀＀_x0001_＀＀＀＀＀＀쀀䁾찀䶓'低幃南䥟呎剟呁⡅㈱㈯〰ⰶ㈱㈯〰ⰶⰬ唬䑓착!＀＀ ＀＀	＀＀_x0008_＀＀_x0001_＀＀_x0001_＀＀_x0001_＀＀硬ꕺ쌬䀞찀䶜 低幃䍅彁䕍乁䕟䥂⡔㌫〬⼴㘰㈯㄰⤱!＀＀ ＀＀	＀＀_x0008_＀＀_x0001_＀＀_x0001_＀＀_x0001_＀＀龿⼚῝䂩찀䶓＀Ｏ低幃南䡟呌䍈剁彅䵁剏彔䕓噒䍟协⡔㈱㈯㄰ⰰⰬ唬䑓착!＀＀ ＀＀	＀＀_x0008_＀＀_x0001_＀＀_x0001_＀＀_x0001_＀＀＀＀＀＀＀＀쁎찀䶓'低幃南䥟呎剟呁⡅㈱㈯〰ⰷ㈱㈯〰ⰷⰬ唬䑓착!＀＀ ＀＀	＀＀_x0008_＀＀_x0001_＀＀_x0001_＀＀_x0001_＀＀쯻짮苃䀞찀䶓$低幃䅃偟久当䕂彎䅐䑉ㄨ⼲〲〱ⰬⰬ单⥄!＀＀ ＀＀	＀＀_x0008_＀＀_x0001_＀＀_x0001_＀＀_x0001_＀＀＀＀＀＀ࠀ䂔찀䶓&lt;低幃䅃偟久当佒彁䅒䕔ㄨ⼲〲〱䀩南偟久䥓乏䕟偘䱟彔佒⡁㈱㈯㄰⤰!＀＀ ＀＀	＀＀_x0008_＀＀_x0001_＀＀_x0001_＀＀_x0001_＀＀＀＀＀＀＀＀䀡찀䶓;低幃南偟久䥓乏䅟卓呅当呏⡈㈱㈯〰⤷䍀彁䕐华偟呃佟䡔ㄨ⼲〲㜰착!＀＀ ＀＀	＀＀_x0008_＀＀_x0001_＀＀_x0001_＀＀_x0001_＀＀＀＀＀＀＀＀䀨찀䶓M低幃䅃偟协剔呅卟噒䍟协⡔㈱㈯〰ⰸⰬ唬䑓䀩南䡟呌䍈剁彅䕓噒䍟协⡔㈱㈯〰ⰸⰬ唬䑓착!＀＀ ＀＀	＀＀_x0008_＀＀_x0001_＀＀_x0001_＀＀_x0001_＀＀＀＀＀＀耀䁋찀䶓'低幃南䥟呎剟呁⡅㈱㈯〰ⰸ㈱㈯〰ⰸⰬ唬䑓착!＀＀ ＀＀	＀＀_x0008_＀＀_x0001_＀＀_x0001_＀＀_x0001_＀＀렼䀝찀䶓'低幃南䥟呎剟呁⡅㈱㈯〰ⰹ㈱㈯〰ⰹⰬ唬䑓착!＀＀ ＀＀	＀＀_x0008_＀＀_x0001_＀＀_x0001_＀＀_x0001_＀＀즰ⴐ䀚찀䶓&amp;低幃䅃偟久当十彔义䅔䝎ㄨ⼲〲㠰ⰬⰬ单⥄!＀＀ ＀＀	＀＀_x0008_＀＀_x0001_＀＀_x0001_＀＀_x0001_＀＀豀碵꼝쐕찀䶓)低幃䅃偟协剔呅佟䡔䑁彊䉎⡁㈱㈯㄰ⰰⰬ唬䑓착!＀＀ ＀＀	＀＀_x0008_＀＀_x0001_＀＀_x0001_＀＀_x0001_＀＀＀＀＀＀쀀䁞찀䶓_x001C_低幃䍅彁䕍乁䕟䥂䑔⬨ⰱ〴㜴⤸!＀＀ ＀＀	＀＀_x0008_＀＀_x0001_＀＀_x0001_＀＀_x0001_＀＀퓾䂭찀䶓 低幃南䕟䍘彈䅒䕔䉟䱁卟⡈㈱㈯〰⤸!＀＀ ＀＀	＀＀_x0008_＀＀_x0001_＀＀_x0001_＀＀_x0001_＀＀豀碵꼝쐕찀䶓(低幃䅃偟久当偐彄䕂彎佃呓ㄨ⼲〲㐰ⰬⰬ单⥄!＀＀ ＀＀	＀＀_x0008_＀＀_x0001_＀＀_x0001_＀＀_x0001_＀＀＀＀＀＀栀䂦찀䶓;低幃南偟久䥓乏䅟卓呅当剐偏ㄨ⼲〲㘰䀩䅃偟久当䍐彔䕒ㄨ⼲〲㘰착!＀＀ ＀＀	＀＀_x0008_＀＀_x0001_＀＀_x0001_＀＀_x0001_＀＀＀＀＀＀＀＀䀐찀⪽产!低幃䍅彁䕍乁卟䱁卅⬨ⰱ〱㈯⼵〲ㄱ착!＀＀ ＀＀	＀＀_x0008_＀＀_x0001_＀＀_x0001_＀＀_x0001_＀＀尩슏幵䃚찀䶓'低幃䅃偟久当商䑎卟䅔啔⡓㈱㈯〰ⰷⰬ唬䑓착!＀＀ ＀＀	＀＀_x0008_＀＀_x0001_＀＀_x0001_＀＀_x0001_＀＀＀＀＀＀뀀䂉찀濱两!低幃䍅彁䕍乁䕟䥂䑔⬨ⰲ㜰ㄯ⼸〲ㄱ착!＀＀ ＀＀	＀＀_x0008_＀＀_x0001_＀＀_x0001_＀＀_x0001_＀＀晧晦遦䂭찀䶓;低幃南偟久䥓乏䅟卓呅当充䥕ㄨ⼲〲㜰䀩䅃偟久当䍐彔充ㄨ⼲〲㜰착!＀＀ ＀＀	＀＀_x0008_＀＀_x0001_＀＀_x0001_＀＀_x0001_＀＀＀＀＀＀＀＀䁈찀䶓＀Ｏ低幃南䡟呌䍈剁彅䵁剏彔䕓噒䍟协⡔㈱㈯〰ⰴⰬ唬䑓착!＀＀ ＀＀	＀＀_x0008_＀＀_x0001_＀＀_x0001_＀＀_x0001_＀＀豀碵꼝쐕찀䶓"低幃南偟久䥓乏偟佂ㄨ⼲〲㜰ⰬⰬ单⥄!＀＀ ＀＀	＀＀_x0008_＀＀_x0001_＀＀_x0001_＀＀_x0001_＀＀＀＀＀＀赀䃕찀䶓J低幃䅃偟久当佒彁䅒䕔ㄨ⼲〲㠰ⰬⰬ单⥄址当䕐华佉彎塅彐呌剟䅏ㄨ⼲〲㠰ⰬⰬ单⥄!＀＀ ＀＀	＀＀_x0008_＀＀_x0001_＀＀_x0001_＀＀_x0001_＀＀＀＀＀＀＀＀䀡찀䶓 低幃南䕟䍘彈䅒䕔ㄨ⼲〲㤰ⰬⰬ单⥄!＀＀ ＀＀	＀＀_x0008_＀＀_x0001_＀＀_x0001_＀＀_x0001_＀＀＀＀＀＀＀＀㿰찀䶓'低幃南䥟呎剟呁⡅㈱㈯㄰ⰰ㈱㈯㄰ⰰⰬ唬䑓착!＀＀ ＀＀	＀＀_x0008_＀＀_x0001_＀＀_x0001_＀＀_x0001_＀＀捉躴䚪䀗찀䶓B低幃䅃偟久当佒⡁㈱㈯〰ⰷⰬ唬䑓䀩南偟久䥓乏䕟偘剟䅏ㄨ⼲〲㜰ⰬⰬ单⥄!＀＀ ＀＀	＀＀_x0008_＀＀_x0001_＀＀_x0001_＀＀_x0001_＀＀＀＀＀＀렀삛찀濱两_x001F_低幃䍅彁䕍乁䕟卐⬨ⰱ㜰ㄯ⼸〲ㄱ착!＀＀ ＀＀	＀＀_x0008_＀＀_x0001_＀＀_x0001_＀＀_x0001_＀＀纥䀚찀䶓'低幃南偟久偟协彔䕒彔䕂⡎㈱㈯〰ⰴⰬ唬䑓착!＀＀ ＀＀	＀＀_x0008_＀＀_x0001_＀＀_x0001_＀＀_x0001_＀＀＀＀＀＀　䂭찀䶓L低幃䅃偟协剔呅䥟呎䍟协⡔㈱㈯〰ⰷⰬ唬䑓䀩南䡟呌䍈剁彅义彔佃呓ㄨ⼲〲㜰ⰬⰬ单⥄!＀＀ ＀＀	＀＀_x0008_＀＀_x0001_＀＀_x0001_＀＀_x0001_＀＀＀＀＀＀耀䁤찀䶓F低幃䅃偟协剔呅剟䅏ㄨ⼲〲㠰ⰬⰬ单⥄址当䱈䡔䅃䕒䕟偘剟䅏ㄨ⼲〲㠰ⰬⰬ单⥄!＀＀ ＀＀	＀＀_x0008_＀＀_x0001_＀＀_x0001_＀＀_x0001_＀＀＀＀＀＀＀＀쁐찀䶓(低幃䅃偟久当偐彄䕂彎佃呓ㄨ⼲〲〱ⰬⰬ单⥄!＀＀ ＀＀	＀＀_x0008_＀＀_x0001_＀＀_x0001_＀＀_x0001_＀＀豀碵꼝쐕찀䶓M低幃䅃偟久当剐佉归剓⡖㈱㈯〰ⰸⰬ唬䑓䀩南偟久䥓乏偟归䕓噒䍟协⡔㈱㈯〰ⰸⰬ唬䑓착!＀＀ ＀＀	＀＀_x0008_＀＀_x0001_＀＀_x0001_＀＀_x0001_＀＀＀＀＀＀＀＀䁄찀䶓N低幃䅃偟久当乕䕒佃⡇㈱㈯㄰ⰰⰬ唬䑓䀩南偟久䥓乏啟剎䍅卟剅彖佃呓ㄨ⼲〲〱ⰬⰬ单⥄!＀＀ ＀＀	＀＀_x0008_＀＀_x0001_＀＀_x0001_＀＀_x0001_＀＀豀碵꼝쐕찀䶓$低幃䅃偟久当呌䱟䅉卂ㄨ⼲〲㜰ⰬⰬ单⥄!＀＀ ＀＀	＀＀_x0008_＀＀_x0001_＀＀_x0001_＀＀_x0001_＀＀＀＀＀＀䀀䂒찀䶓M低幃䅃偟久当剐佉归剓⡖㈱㈯〰ⰹⰬ唬䑓䀩南偟久䥓乏偟归䕓噒䍟协⡔㈱㈯〰ⰹⰬ唬䑓착!＀＀ ＀＀	＀＀_x0008_＀＀_x0001_＀＀_x0001_＀＀_x0001_＀＀＀＀＀＀＀＀䁉찀䶓&lt;低幃南偟久䥓乏䅟卓呅当佂䑎⡓㈱㈯〰⤸䍀彁䕐华偟呃䙟⡉㈱㈯〰⤸!＀＀ ＀＀	＀＀_x0008_＀＀_x0001_＀＀_x0001_＀＀_x0001_＀＀＀＀＀＀＀＀䁋찀䶓E低幃䅃偟协剔呅䉟久佟⡂㈱㈯〰ⰶⰬ唬䑓䀩南䡟呌䍈剁彅䉐⡏㈱㈯〰ⰶⰬ唬䑓착!＀＀ ＀＀	＀＀_x0008_＀＀_x0001_＀＀_x0001_＀＀_x0001_＀＀＀＀＀＀昀䂦찀䙹丯_x001B_低幃䝆䵟䅅彎偅当兆⠳ⰰⰬ〹착!＀＀ ＀＀	＀＀_x0008_＀＀_x0001_＀＀_x0001_＀＀_x0001_＀＀㱠蚃槾㿻찀䶓_x0013_呁幋千彆䕄呂儨剔〬착ň＀＀ ＀＀İ＀＀_x0008_＀＀_x0001_＀＀_x0001_＀＀_x0001_＀＀䷓ၢ⥘䂙摦畳㩰⼯楤敲瑣潩獮䘯呁嘠敩敷㽲捡楴湯唽䑐呁♅牣慥潴㵲慦瑣敳♴奄彎剁升吽啒♅佄彃䅎䕍䘽呁䘺䱑䅟䑕呉义彇䱃䕉呎呟䵅䱐呁⹅䅆♔楤灳慬役瑳楲杮䄽摵瑩嘦剁䬺奅刽䉅䡅噑塕♃䅖㩒啑剅㵙ㅑ䝎じ䙒汑潑噕卒䑌灁圦义佄㵗䥆卒彔佐啐♐䕈䝉呈㐽〵圦䑉䡔㐽〵匦䅔呒䵟塁䵉婉䑅䘽䱁䕓嘦剁䌺䱁久䅄㵒单嘦剁区䵙佂㵌呁♋䅖㩒义䕄㵘0⨹产7低幃䕆䕟呓䵉呁⡅丧呅Ⱗ䴧䅅❎✬啑剁䕔䱒❙✬ㄫⰧ低ⱗⰬ✧착!＀＀ ＀＀	＀＀_x0008_＀＀_x0001_＀＀_x0001_＀＀_x0001_＀＀휋炣ꬽ䁽찀䶓)低幃䅃偟久当䵅彐佃呎䥒彂⡃㈱㈯〰ⰷⰬ唬䑓착!＀＀ ＀＀	＀＀_x0008_＀＀_x0001_＀＀_x0001_＀＀_x0001_＀＀＀＀＀＀怀䁵찀䶓%低幃䅃偟久当呌䅟卓呅⡓㈱㈯〰ⰴⰬ唬䑓착!＀＀ ＀＀	＀＀_x0008_＀＀_x0001_＀＀_x0001_＀＀_x0001_＀＀豀碵꼝쐕찀䶓'低幃南偟久偟协彔䕒彔䕂⡎㈱㈯㄰ⰰⰬ唬䑓착!＀＀ ＀＀	＀＀_x0008_＀＀_x0001_＀＀_x0001_＀＀_x0001_＀＀＀＀＀＀᐀䂰찀䶓%低幃南䥟呎剟呁彅夵噁⡇㈱㈯㄰ⰰⰬ唬䑓착!＀＀ ＀＀	＀＀_x0008_＀＀_x0001_＀＀_x0001_＀＀_x0001_＀＀檩ꢂ⃻䀜찀䶓_x001B_低幃䍅彁䕍乁䕟䥂⡔ㄫ㐬㐰㠷착!＀＀ ＀＀	＀＀_x0008_＀＀_x0001_＀＀_x0001_＀＀_x0001_＀＀Წ摚⏻䂩찀䞌丯!低幃䍅彁䕍乁卟䱁卅⬨ⰱ㜰㈯⼶〲ㄱ착!＀＀ ＀＀	＀＀_x0008_＀＀_x0001_＀＀_x0001_＀＀_x0001_＀＀晧晦密䃛찀䶓 低幃南䕟䍘彈䅒䕔䉟䱁卟⡈㈱㈯〰⤹!＀＀ ＀＀	＀＀_x0008_＀＀_x0001_＀＀_x0001_＀＀_x0001_＀＀豀碵꼝쐕찀⪽产 低幃䍅彁䕍乁䕟䥂⡔ㄫㄬ⼰㔲㈯㄰⤱!＀＀ ＀＀	＀＀_x0008_＀＀_x0001_＀＀_x0001_＀＀_x0001_＀＀ꧻ띱䂨찀䶓T低幃䅃偟协剔呅偟䥒剏卟噒ㄨ⼲〲〱ⰬⰬ单⥄址当䱈䡔䅃䕒啟剎䍅卟剅彖佃呓ㄨ⼲〲〱ⰬⰬ单⥄!＀＀ ＀＀	＀＀_x0008_＀＀_x0001_＀＀_x0001_＀＀_x0001_＀＀豀碵꼝쐕찀䶓-低幃䅃偟协剔呅啟归剔佟彂䵁剏⡔㈱㈯〰ⰵⰬ唬䑓착!＀＀ ＀＀	＀＀_x0008_＀＀_x0001_＀＀_x0001_＀＀_x0001_＀＀＀＀＀＀＀＀＀＀찀䶓I低幃䅃偟久当剓彖佃呓ㄨ⼲〲㐰ⰬⰬ单⥄址当䕐华佉彎䕓噒䍟协⡔㈱㈯〰ⰴⰬ唬䑓착!＀＀ ＀＀	＀＀_x0008_＀＀_x0001_＀＀_x0001_＀＀_x0001_＀＀＀＀＀＀ꀀ䂁찀䶓#低幃䅃偟协剔呅䱟䅉⡂㈱㈯〰ⰹⰬ唬䑓착!＀＀ ＀＀	＀＀_x0008_＀＀_x0001_＀＀_x0001_＀＀_x0001_＀＀＀＀＀＀䐀삞찀䶓[低幃南剟久䅔彌偏䱟䕓䕟偘ㄨ⼲〲㈰ㄬ⼲〲㈰ⰬⰬ单⥄䍀彁呒剟久彔䥍彎塅⡐㈱㈯〰ⰲ㈱㈯〰ⰲⰬ唬䑓착!＀＀ ＀＀	＀＀_x0008_＀＀_x0001_＀＀_x0001_＀＀_x0001_＀＀＀＀＀＀ 䁭찀䶓J低幃䅃偟协剔呅剟䅏䅟呃ㄨ⼲〲㔰ⰬⰬ单⥄址当䱈䡔䅃䕒䅟呃剟䅏ㄨ⼲〲㔰ⰬⰬ单⥄!＀＀ ＀＀	＀＀_x0008_＀＀_x0001_＀＀_x0001_＀＀_x0001_＀＀＀＀＀＀耀䁃찀䶓*低幃南䡟呌䍈剁彅塅彐呌剟䅏ㄨ⼲〲㜰ⰬⰬ单⥄!＀＀ ＀＀	＀＀_x0008_＀＀_x0001_＀＀_x0001_＀＀_x0001_＀＀＀＀＀＀＀＀䀛찀䶜!低幃䍅彁䕍乁卟䱁卅⬨ⰱ㐰〯⼶〲ㄱ착!＀＀ ＀＀	＀＀_x0008_＀＀_x0001_＀＀_x0001_＀＀_x0001_＀＀尩슏磥䃜찀䶓(低幃䅃偟久当䅐呒䍟乏剔䉉ㄨ⼲〲㤰ⰬⰬ单⥄!＀＀ ＀＀	＀＀_x0008_＀＀_x0001_＀＀_x0001_＀＀_x0001_＀＀＀＀＀＀＀＀䀰찀䶓)低幃南䡟呌䍈剁彅䥄䍓剟呁⡅㈱㈯〰ⰴⰬ唬䑓착!＀＀ ＀＀	＀＀_x0008_＀＀_x0001_＀＀_x0001_＀＀_x0001_＀＀＀＀＀＀＀＀䀗찀䶓H低幃䅃偟久当义彔佃呓ㄨ⼲〲㔰ⰬⰬ单⥄址当䕐华佉彎义彔佃呓ㄨ⼲〲㔰ⰬⰬ单⥄!＀＀ ＀＀	＀＀_x0008_＀＀_x0001_＀＀_x0001_＀＀_x0001_＀＀＀＀＀＀ఀ䂑찀䶓P低幃䅃偟协剔呅偟䅌彎十彔久⡄㈱㈯〰ⰴⰬ唬䑓䀩南䡟呌䍈剁彅噆䅟卓呅ㄨ⼲〲㐰ⰬⰬ单⥄!＀＀ ＀＀	＀＀_x0008_＀＀_x0001_＀＀_x0001_＀＀_x0001_＀＀＀＀＀＀退䂇찀䶓J低幃䅃偟久当䥄䍓剟呁⡅㈱㈯〰ⰶⰬ唬䑓䀩南偟久䥓乏䑟卉彃䅒䕔ㄨ⼲〲㘰ⰬⰬ单⥄!＀＀ ＀＀	＀＀_x0008_＀＀_x0001_＀＀_x0001_＀＀_x0001_＀＀＀＀＀＀＀＀䀘찀䶓+低幃䅃偟协剔呅偟剁彔佃呎䥒⡂㈱㈯〰ⰵⰬ唬䑓착!＀＀ ＀＀	＀＀_x0008_＀＀_x0001_＀＀_x0001_＀＀_x0001_＀＀＀＀＀＀耀䁕찀䶓F低幃䅃偟协剔呅剟䅏ㄨ⼲〲〱ⰬⰬ单⥄址当䱈䡔䅃䕒䕟偘剟䅏ㄨ⼲〲〱ⰬⰬ单⥄!＀＀ ＀＀	＀＀_x0008_＀＀_x0001_＀＀_x0001_＀＀_x0001_＀＀＀＀＀＀＀＀쁌찀䶓_x001A_低幃南䕟䍘彈䅒䕔〨ⰬⰬ单⥄!＀＀ ＀＀	＀＀_x0008_＀＀_x0001_＀＀_x0001_＀＀_x0001_＀＀＀＀＀＀＀＀㿰찀䶓D䵌幔䙆䕟呎偒归䅖彌䅄䱉⡙〴㘵ⰷⰬⰬ䐢䱉⤢䔯䅃䵟䅅彎䉅呉䅄㈨㄰ⰱ〴㘵⤷ƌ＀＀ ＀＀Ŵ＀＀_x0008_＀＀_x0001_＀＀_x0001_＀＀_x0001_＀＀䕤밺᠙䀚摦畳㩰⼯楤敲瑣潩獮䘯呁嘠敩敷㽲捡楴湯唽䑐呁♅牣慥潴㵲慦瑣敳♴奄彎剁升吽啒♅佄彃䅎䕍䘽呁䘺䱑䅟䑕呉义彇䱃䕉呎呟䵅䱐呁⹅䅆♔楤灳慬役瑳楲杮䄽摵瑩嘦剁䬺奅吽偕䉓䙓婓♑䅖㩒啑剅㵙歒晚啒唵汕卂ㅘ䉚䙔䔹啑䵬南で䑍㉕祎獷䍌獷お䩒䍔灣が䑖噑丹啒但じ䍖噓䕒卑祧䑍硅䑌睑呎㍙克㴽圦义佄㵗䥆卒彔佐啐♐䕈䝉呈㐽〵圦䑉䡔㐽〵匦䅔呒䵟塁䵉婉䑅䘽䱁䕓嘦剁䌺䱁久䅄㵒单嘦剁区䵙佂㵌䵌♔䅖㩒义䕄㵘0⪼产_x0013_低幃䝆䵟呋噟䱁䕕〨착!＀＀ ＀＀	＀＀_x0008_＀＀_x0001_＀＀_x0001_＀＀_x0001_＀＀䎖沋靷䃎찀䶓_x000F_低幃南䍟剕䕒䍎챙%＀＀ ＀＀_x000D_＀＀_x000C_＀＀_x0001_＀＀_x0001_＀＀_x0008_＀＀⹕⹓䐠汯慬r찀䶓%低幃䅃偟久当佃偍剟呁⡅㈱㈯〰ⰹⰬ唬䑓착!＀＀ ＀＀	＀＀_x0008_＀＀_x0001_＀＀_x0001_＀＀_x0001_＀＀＀＀＀＀＀＀䀎찀䶓%低幃䅃偟久当呌䅟卓呅⡓㈱㈯㄰ⰰⰬ唬䑓착!＀＀ ＀＀	＀＀_x0008_＀＀_x0001_＀＀_x0001_＀＀_x0001_＀＀＀＀＀＀倀䁹찀䶓J低幃䅃偟久当䱐乁䅟呓ㄨ⼲〲㌰ⰬⰬ单⥄址当䕐华佉彎䅖彌十䕓協ㄨ⼲〲㌰ⰬⰬ单⥄!＀＀ ＀＀	＀＀_x0008_＀＀_x0001_＀＀_x0001_＀＀_x0001_＀＀＀＀＀＀㢀䃏찀䶓M低幃䅃偟久当剐佉归剓⡖㈱㈯〰ⰶⰬ唬䑓䀩南偟久䥓乏偟归䕓噒䍟协⡔㈱㈯〰ⰶⰬ唬䑓착!＀＀ ＀＀	＀＀_x0008_＀＀_x0001_＀＀_x0001_＀＀_x0001_＀＀＀＀＀＀耀䁁찀䶓T低幃䅃偟协剔呅偟䥒剏卟噒ㄨ⼲〲㘰ⰬⰬ单⥄址当䱈䡔䅃䕒啟剎䍅卟剅彖佃呓ㄨ⼲〲㘰ⰬⰬ单⥄!＀＀ ＀＀	＀＀_x0008_＀＀_x0001_＀＀_x0001_＀＀_x0001_＀＀豀碵꼝쐕찀䶓%低幃南䥟呎剟呁彅夵噁⡇㈱㈯〰ⰴⰬ唬䑓착!＀＀ ＀＀	＀＀_x0008_＀＀_x0001_＀＀_x0001_＀＀_x0001_＀＀ⁱତ䂘䀞찀䶓M低幃䅃偟久当剐佉归剓⡖㈱㈯〰ⰷⰬ唬䑓䀩南偟久䥓乏偟归䕓噒䍟协⡔㈱㈯〰ⰷⰬ唬䑓착!＀＀ ＀＀	＀＀_x0008_＀＀_x0001_＀＀_x0001_＀＀_x0001_＀＀＀＀＀＀＀＀䁄찀䶓;低幃南偟久䥓乏䅟卓呅当充䥕ㄨ⼲〲〱䀩䅃偟久当䍐彔充ㄨ⼲〲〱착!＀＀ ＀＀	＀＀_x0008_＀＀_x0001_＀＀_x0001_＀＀_x0001_＀＀쳍쳌쳌䁁찀䶓'低幃南偟久䥓乏也呅䱟䅉⡂㈱㈯〰ⰴⰬ唬䑓착!＀＀ ＀＀	＀＀_x0008_＀＀_x0001_＀＀_x0001_＀＀_x0001_＀＀豀碵꼝쐕찀䶓(低幃南䡟呌䍈剁彅乕彆䕂⡎㈱㈯〰ⰶⰬ唬䑓⤩＀＀＀＀䶓'低幃䅃偟协剔呅䉟久偟䥁⡄㈱㈯〰ⰸⰬ唬䑓착!＀＀ ＀＀	＀＀_x0008_＀＀_x0001_＀＀_x0001_＀＀_x0001_＀＀＀＀＀＀퀀䁰찀䶓F低幃䅃偟协剔呅剟䅏ㄨ⼲〲㜰ⰬⰬ单⥄址当䱈䡔䅃䕒䕟偘剟䅏ㄨ⼲〲㜰ⰬⰬ单⥄!＀＀ ＀＀	＀＀_x0008_＀＀_x0001_＀＀_x0001_＀＀_x0001_＀＀＀＀＀＀＀＀쁍찀됑亩_x0018_低幃䍅彁䕍乁䕟卐㈨㄰ⰲ⤰!＀＀ ＀＀	＀＀_x0008_＀＀_x0001_＀＀_x0001_＀＀_x0001_＀＀㻐큖䀛찀䶓Q低幃䅃偟久当䍁啃彍佃偍䥒䍎ㄨ⼲〲㜰ⰬⰬ单⥄址当佃偍归义彃䕐华䱟䅉⡂㈱㈯〰ⰷⰬ唬䑓착!＀＀ ＀＀	＀＀_x0008_＀＀_x0001_＀＀_x0001_＀＀_x0001_＀＀＀＀＀＀＀＀삇찀䶓)低幃南䡟呌䍈剁彅䥄䍓剟呁⡅㈱㈯㄰ⰰⰬ唬䑓착!＀＀ ＀＀	＀＀_x0008_＀＀_x0001_＀＀_x0001_＀＀_x0001_＀＀ᑻ䞮竡䀖찀䞌丯 低幃䍅彁䕍乁䕟䥂⡔ㄫ〬⼷㘲㈯㄰⤱!＀＀ ＀＀	＀＀_x0008_＀＀_x0001_＀＀_x0001_＀＀_x0001_＀＀퓾㨦䂨찀䶓'低幃南偟久䥓乏也呅䱟䅉⡂㈱㈯㄰ⰰⰬ唬䑓착!＀＀ ＀＀	＀＀_x0008_＀＀_x0001_＀＀_x0001_＀＀_x0001_＀＀豀碵꼝쐕찀䶓,低幃䅃偟协剔呅䕟偍䍟乏剔䉉䍟ㄨ⼲〲㔰ⰬⰬ单⥄!＀＀ ＀＀	＀＀_x0008_＀＀_x0001_＀＀_x0001_＀＀_x0001_＀＀＀＀＀＀䁧찀濱两_x001F_低幃䍅䵟䑅偟䥒䕃呟呇、⼷㠱㈯㄰찱!＀＀ ＀＀	＀＀_x0008_＀＀_x0001_＀＀_x0001_＀＀_x0001_＀＀＀＀＀＀耀䁑찀䶜 低幃䍅彁䕍乁䕟䥂⡔ㄫ〬⼴㘰㈯㄰⤱!＀＀ ＀＀	＀＀_x0008_＀＀_x0001_＀＀_x0001_＀＀_x0001_＀＀㌴㌳䰳䂨찀䶓(低幃䅃偟久当偐彄䕂彎佃呓ㄨ⼲〲㔰ⰬⰬ单⥄!＀＀ ＀＀	＀＀_x0008_＀＀_x0001_＀＀_x0001_＀＀_x0001_＀＀＀＀＀＀䂥찀䶓E低幃䅃偟协剔呅䉟久佟⡂㈱㈯〰ⰷⰬ唬䑓䀩南䡟呌䍈剁彅䉐⡏㈱㈯〰ⰷⰬ唬䑓착!＀＀ ＀＀	＀＀_x0008_＀＀_x0001_＀＀_x0001_＀＀_x0001_＀＀＀＀＀＀䂥찀⪽产_x001F_低幃䍅彁䕍乁䕟卐⬨ⰳ〱㈯⼵〲ㄱ착!＀＀ ＀＀	＀＀_x0008_＀＀_x0001_＀＀_x0001_＀＀_x0001_＀＀_xDD09_焥쑖䀜찀䶓M低幃䅃偟久当剐佉归剓⡖㈱㈯〰ⰴⰬ唬䑓䀩南偟久䥓乏偟归䕓噒䍟协⡔㈱㈯〰ⰴⰬ唬䑓착!＀＀ ＀＀	＀＀_x0008_＀＀_x0001_＀＀_x0001_＀＀_x0001_＀＀＀＀＀＀耀䁉찀䶓J低幃䅃偟协剔呅剟䅏䅟呃ㄨ⼲〲㐰ⰬⰬ单⥄址当䱈䡔䅃䕒䅟呃剟䅏ㄨ⼲〲㐰ⰬⰬ单⥄!＀＀ ＀＀	＀＀_x0008_＀＀_x0001_＀＀_x0001_＀＀_x0001_＀＀＀＀＀＀쀀䁑찀䶓(低幃南偟久䥓乏䅟卓呅当呌ㄨ⼲〲㤰ⰬⰬ单⥄!＀＀ ＀＀	＀＀_x0008_＀＀_x0001_＀＀_x0001_＀＀_x0001_＀＀＀＀＀＀쀀䁲찀䶓%低幃䅃偟久当啃归䥌䉁⡓㈱㈯〰ⰶⰬ唬䑓착!＀＀ ＀＀	＀＀_x0008_＀＀_x0001_＀＀_x0001_＀＀_x0001_＀＀豀碵꼝쐕찀䶓M低幃䅃偟久当剐佉归剓⡖㈱㈯〰ⰵⰬ唬䑓䀩南偟久䥓乏偟归䕓噒䍟协⡔㈱㈯〰ⰵⰬ唬䑓착!＀＀ ＀＀	＀＀_x0008_＀＀_x0001_＀＀_x0001_＀＀_x0001_＀＀＀＀＀＀耀䁊찀䶓_x000F_䑇䙞彇䭍彔䅖啌책!＀＀ ＀＀	＀＀_x0008_＀＀_x0001_＀＀_x0001_＀＀_x0001_＀＀⛩࠱ꥤ䃛찀䶓H低幃䅃偟久当义彔佃呓ㄨ⼲〲㐰ⰬⰬ单⥄址当䕐华佉彎义彔佃呓ㄨ⼲〲㐰ⰬⰬ单⥄!＀＀ ＀＀	＀＀_x0008_＀＀_x0001_＀＀_x0001_＀＀_x0001_＀＀＀＀＀＀栀䂐찀䶓$低幃䅃偟久当䕂彎䅐䑉ㄨ⼲〲㔰ⰬⰬ单⥄!＀＀ ＀＀	＀＀_x0008_＀＀_x0001_＀＀_x0001_＀＀_x0001_＀＀＀＀＀＀簀䂐찀䶓＀Ｏ低幃南䡟呌䍈剁彅䵁剏彔䕓噒䍟协⡔㈱㈯〰ⰵⰬ唬䑓착!＀＀ ＀＀	＀＀_x0008_＀＀_x0001_＀＀_x0001_＀＀_x0001_＀＀＀＀＀＀＀＀뿰찀⪼产_x0011_偞䑟呁䍅䑟奁丨坏착$＀＀ ＀＀_x000C_＀＀_x000B_＀＀_x0001_＀＀_x0001_＀＀_x0008_＀＀〱㈯⼵〲ㄱ＀＀䶓N低幃䅃偟久当乕䕒佃⡇㈱㈯〰ⰹⰬ唬䑓䀩南偟久䥓乏啟剎䍅卟剅彖佃呓ㄨ⼲〲㤰ⰬⰬ单⥄!＀＀ ＀＀	＀＀_x0008_＀＀_x0001_＀＀_x0001_＀＀_x0001_＀＀豀碵꼝쐕찀䶓)低幃䅃偟协剔呅佟䡔䑁彊䉎⡁㈱㈯〰ⰵⰬ唬䑓착!＀＀ ＀＀	＀＀_x0008_＀＀_x0001_＀＀_x0001_＀＀_x0001_＀＀＀＀＀＀耀䂅찀䶓 低幃南䕟䍘彈䅒䕔ㄨ⼲〲〱ⰬⰬ单⥄!＀＀ ＀＀	＀＀_x0008_＀＀_x0001_＀＀_x0001_＀＀_x0001_＀＀＀＀＀＀＀＀㿰찀䶓)低幃南偟久䥓乏噟䱁䅟卓呅⡓㈱㈯〰ⰷⰬ唬䑓착!＀＀ ＀＀	＀＀_x0008_＀＀_x0001_＀＀_x0001_＀＀_x0001_＀＀＀＀＀＀嫀䃖찀䶓[低幃南剟久䅔彌偏䱟䕓䕟偘ㄨ⼲〲㤰ㄬ⼲〲㤰ⰬⰬ单⥄䍀彁呒剟久彔䥍彎塅⡐㈱㈯〰ⰹ㈱㈯〰ⰹⰬ唬䑓착!＀＀ ＀＀	＀＀_x0008_＀＀_x0001_＀＀_x0001_＀＀_x0001_＀＀＀＀＀＀⠀䂁찀䶓_x001A_低幃䍅彁䕍乁䕟卐⬨ⰳ〴㜴⤸!＀＀ ＀＀	＀＀_x0008_＀＀_x0001_＀＀_x0001_＀＀_x0001_＀＀竡긔䀠찀䶓F低幃䅃偟协剔呅剟䅏ㄨ⼲〲㘰ⰬⰬ单⥄址当䱈䡔䅃䕒䕟偘剟䅏ㄨ⼲〲㘰ⰬⰬ单⥄!＀＀ ＀＀	＀＀_x0008_＀＀_x0001_＀＀_x0001_＀＀_x0001_＀＀＀＀＀＀＀＀쁊찀䶓L低幃䅃偟协剔呅䥟呎䍟协⡔㈱㈯〰ⰶⰬ唬䑓䀩南䡟呌䍈剁彅义彔佃呓ㄨ⼲〲㘰ⰬⰬ单⥄!＀＀ ＀＀	＀＀_x0008_＀＀_x0001_＀＀_x0001_＀＀_x0001_＀＀＀＀＀＀䁦찀䶓;低幃南偟久䥓乏䅟卓呅当呏⡈㈱㈯〰⤵䍀彁䕐华偟呃佟䡔ㄨ⼲〲㔰착!＀＀ ＀＀	＀＀_x0008_＀＀_x0001_＀＀_x0001_＀＀_x0001_＀＀＀＀＀＀＀＀䀜찀䶓_x0013_䵌幔千彆䕄呂儨剔〬착ň＀＀ ＀＀İ＀＀_x0008_＀＀_x0001_＀＀_x0001_＀＀_x0001_＀＀＀＀＀＀鬀䂳摦畳㩰⼯楤敲瑣潩獮䘯呁嘠敩敷㽲捡楴湯唽䑐呁♅牣慥潴㵲慦瑣敳♴奄彎剁升吽啒♅佄彃䅎䕍䘽呁䘺䱑䅟䑕呉义彇䱃䕉呎呟䵅䱐呁⹅䅆♔楤灳慬役瑳楲杮䄽摵瑩嘦剁䬺奅刽䱍䙏噃䡙♉䅖㩒啑剅㵙ㅑ䝎じ䙒汑潑噕卒䑌灁圦义佄㵗䥆卒彔佐啐♐䕈䝉呈㐽〵圦䑉䡔㐽〵匦䅔呒䵟塁䵉婉䑅䘽䱁䕓嘦剁䌺䱁久䅄㵒单嘦剁区䵙佂㵌䵌♔䅖㩒义䕄㵘0濱两!低幃䍅彁䕍乁卟䱁卅⬨ⰲ㜰ㄯ⼸〲ㄱ착!＀＀ ＀＀	＀＀_x0008_＀＀_x0001_＀＀_x0001_＀＀_x0001_＀＀炤਽䃛찀䶓#低幃䅃偟协剔呅䱟䅉⡂㈱㈯〰ⰴⰬ唬䑓착!＀＀ ＀＀	＀＀_x0008_＀＀_x0001_＀＀_x0001_＀＀_x0001_＀＀＀＀＀＀삝찀䶓J低幃䅃偟久当䥄䍓剟呁⡅㈱㈯㄰ⰰⰬ唬䑓䀩南偟久䥓乏䑟卉彃䅒䕔ㄨ⼲〲〱ⰬⰬ单⥄!＀＀ ＀＀	＀＀_x0008_＀＀_x0001_＀＀_x0001_＀＀_x0001_＀＀휊炣਽䀗찀䶓G低幃䅃偟久当䕎彔佃呓ㄨ⼲〲㘰ⰬⰬ单⥄址当䕐华佉彎偎彐塅⡐㈱㈯〰ⰶⰬ唬䑓착!＀＀ ＀＀	＀＀_x0008_＀＀_x0001_＀＀_x0001_＀＀_x0001_＀＀＀＀＀＀䀀䁽찀䶓(低幃䅃偟久当䅐呒䍟乏剔䉉ㄨ⼲〲㐰ⰬⰬ单⥄!＀＀ ＀＀	＀＀_x0008_＀＀_x0001_＀＀_x0001_＀＀_x0001_＀＀＀＀＀＀＀＀䀵찀䶓_x0018_䵃啔㍓夰䘭卄䙞彇剐䍉⡅⤰!＀＀ ＀＀	＀＀_x0008_＀＀_x0001_＀＀_x0001_＀＀_x0001_＀＀긔ᑺ䀒찀䶓&amp;低幃䅃偟久当十彔义䅔䝎ㄨ⼲〲㤰ⰬⰬ单⥄!＀＀ ＀＀	＀＀_x0008_＀＀_x0001_＀＀_x0001_＀＀_x0001_＀＀豀碵꼝쐕찀䶓 低幃南䕟䍘彈䅒䕔ㄨ⼲〲㐰ⰬⰬ单⥄!＀＀ ＀＀	＀＀_x0008_＀＀_x0001_＀＀_x0001_＀＀_x0001_＀＀＀＀＀＀＀＀㿰찀䞌丯_x001F_低幃䍅彁䕍乁䕟卐⬨ⰳ㜰㈯⼶〲ㄱ착!＀＀ ＀＀	＀＀_x0008_＀＀_x0001_＀＀_x0001_＀＀_x0001_＀＀⚮奏蝍䀞찀䶓C低幃䅃偟久当剐䩏佟䱂ㄨ⼲〲㤰ⰬⰬ单⥄址当䕐华佉彎䉐⡏㈱㈯〰ⰹⰬ唬䑓착!＀＀ ＀＀	＀＀_x0008_＀＀_x0001_＀＀_x0001_＀＀_x0001_＀＀＀＀＀＀⫀䃗찀䶓%低幃䅃偟久当佃偍剟呁⡅㈱㈯〰ⰴⰬ唬䑓착!＀＀ ＀＀	＀＀_x0008_＀＀_x0001_＀＀_x0001_＀＀_x0001_＀＀＀＀＀＀＀＀䀐찀䶓-低幃䅃偟协剔呅啟归剔佟彂䵁剏⡔㈱㈯〰ⰶⰬ唬䑓착!＀＀ ＀＀	＀＀_x0008_＀＀_x0001_＀＀_x0001_＀＀_x0001_＀＀＀＀＀＀＀＀＀＀찀䶓'低幃䅃偟久当商䑎卟䅔啔⡓㈱㈯〰ⰸⰬ唬䑓착!＀＀ ＀＀	＀＀_x0008_＀＀_x0001_＀＀_x0001_＀＀_x0001_＀＀＀＀＀＀簀사찀䶓J低幃䅃偟久当䱐乁䅟呓ㄨ⼲〲㘰ⰬⰬ单⥄址当䕐华佉彎䅖彌十䕓協ㄨ⼲〲㘰ⰬⰬ单⥄!＀＀ ＀＀	＀＀_x0008_＀＀_x0001_＀＀_x0001_＀＀_x0001_＀＀＀＀＀＀䃔찀⨹产8低幃䕆䕟呓䵉呁⡅䔧䥂❔✬䕍乁Ⱗ儧䅕呒剅奌Ⱗ⬧✱丬坏Ⱜ✬⤧!＀＀ ＀＀	＀＀_x0008_＀＀_x0001_＀＀_x0001_＀＀_x0001_＀＀ﱑ猘쁗䂇찀䶓;低幃南偟久䥓乏䅟卓呅当剐偏ㄨ⼲〲㜰䀩䅃偟久当䍐彔䕒ㄨ⼲〲㜰착!＀＀ ＀＀	＀＀_x0008_＀＀_x0001_＀＀_x0001_＀＀_x0001_＀＀＀＀＀＀＀＀䀘찀䶓&lt;低幃南偟久䥓乏䅟卓呅当佂䑎⡓㈱㈯〰⤴䍀彁䕐华偟呃䙟⡉㈱㈯〰⤴!＀＀ ＀＀	＀＀_x0008_＀＀_x0001_＀＀_x0001_＀＀_x0001_＀＀＀＀＀＀＀＀䀽찀䶓T低幃䅃偟协剔呅偟䥒剏卟噒ㄨ⼲〲㠰ⰬⰬ单⥄址当䱈䡔䅃䕒啟剎䍅卟剅彖佃呓ㄨ⼲〲㠰ⰬⰬ单⥄!＀＀ ＀＀	＀＀_x0008_＀＀_x0001_＀＀_x0001_＀＀_x0001_＀＀豀碵꼝쐕찀䶓*低幃南䡟呌䍈剁彅塅彐呌剟䅏ㄨ⼲〲㠰ⰬⰬ单⥄!＀＀ ＀＀	＀＀_x0008_＀＀_x0001_＀＀_x0001_＀＀_x0001_＀＀晦晦晦䀛찀䶜_x001F_低幃䍅彁䕍乁䕟卐⬨ⰳ㐰〯⼶〲ㄱ착!＀＀ ＀＀	＀＀_x0008_＀＀_x0001_＀＀_x0001_＀＀_x0001_＀＀궬忘轶䀞찀䶓)低幃南䡟呌䍈剁彅䥄䍓剟呁⡅㈱㈯〰ⰵⰬ唬䑓착!＀＀ ＀＀	＀＀_x0008_＀＀_x0001_＀＀_x0001_＀＀_x0001_＀＀＀＀＀＀＀＀䀗찀䶓"低幃南偟久䥓乏偟佂ㄨ⼲〲㠰ⰬⰬ单⥄!＀＀ ＀＀	＀＀_x0008_＀＀_x0001_＀＀_x0001_＀＀_x0001_＀＀＀＀＀＀ꃀ䃕찀䶓_x0013_䱌幌千彆䕄呂儨剔〬착ň＀＀ ＀＀İ＀＀_x0008_＀＀_x0001_＀＀_x0001_＀＀_x0001_＀＀＀＀＀＀⤀䂰摦畳㩰⼯楤敲瑣潩獮䘯呁嘠敩敷㽲捡楴湯唽䑐呁♅牣慥潴㵲慦瑣敳♴奄彎剁升吽啒♅佄彃䅎䕍䘽呁䘺䱑䅟䑕呉义彇䱃䕉呎呟䵅䱐呁⹅䅆♔楤灳慬役瑳楲杮䄽摵瑩嘦剁䬺奅丽䙉呓䙁䙅♋䅖㩒啑剅㵙ㅑ䝎じ䙒汑潑噕卒䑌灁圦义佄㵗䥆卒彔佐啐♐䕈䝉呈㐽〵圦䑉䡔㐽〵匦䅔呒䵟塁䵉婉䑅䘽䱁䕓嘦剁䌺䱁久䅄㵒单嘦剁区䵙佂㵌䱌♌䅖㩒义䕄㵘0䶓;低幃南偟久䥓乏䅟卓呅当充䥕ㄨ⼲〲㠰䀩䅃偟久当䍐彔充ㄨ⼲〲㠰착!＀＀ ＀＀	＀＀_x0008_＀＀_x0001_＀＀_x0001_＀＀_x0001_＀＀＀＀＀＀＀＀䀶찀䶓#低幃䅃偟协剔呅䱟䅉⡂㈱㈯㄰ⰰⰬ唬䑓착!＀＀ ＀＀	＀＀_x0008_＀＀_x0001_＀＀_x0001_＀＀_x0001_＀＀＀＀＀＀瀀삝찀䶓M低幃䅃偟协剔呅卟噒䍟协⡔㈱㈯〰ⰴⰬ唬䑓䀩南䡟呌䍈剁彅䕓噒䍟协⡔㈱㈯〰ⰴⰬ唬䑓착!＀＀ ＀＀	＀＀_x0008_＀＀_x0001_＀＀_x0001_＀＀_x0001_＀＀＀＀＀＀＀＀䁌찀䶓F低幃䅃偟久当佒彁䍁⡔㈱㈯〰ⰶⰬ唬䑓䀩南偟久䥓乏䅟呃剟䅏ㄨ⼲〲㘰ⰬⰬ单⥄!＀＀ ＀＀	＀＀_x0008_＀＀_x0001_＀＀_x0001_＀＀_x0001_＀＀＀＀＀＀᠀䂣찀䶓(低幃䅃偟久当䅐呒䍟乏剔䉉ㄨ⼲〲〱ⰬⰬ单⥄!＀＀ ＀＀	＀＀_x0008_＀＀_x0001_＀＀_x0001_＀＀_x0001_＀＀＀＀＀＀＀＀䀴찀䶓'低幃南偟久偟协彔䕒彔䕂⡎㈱㈯〰ⰵⰬ唬䑓착!＀＀ ＀＀	＀＀_x0008_＀＀_x0001_＀＀_x0001_＀＀_x0001_＀＀＀＀＀＀䂬찀䶓P低幃䅃偟协剔呅偟䅌彎十彔久⡄㈱㈯〰ⰳⰬ唬䑓䀩南䡟呌䍈剁彅噆䅟卓呅ㄨ⼲〲㌰ⰬⰬ单⥄!＀＀ ＀＀	＀＀_x0008_＀＀_x0001_＀＀_x0001_＀＀_x0001_＀＀＀＀＀＀耀䂅찀䶓J低幃䅃偟久当䥄䍓剟呁⡅㈱㈯〰ⰵⰬ唬䑓䀩南偟久䥓乏䑟卉彃䅒䕔ㄨ⼲〲㔰ⰬⰬ单⥄!＀＀ ＀＀	＀＀_x0008_＀＀_x0001_＀＀_x0001_＀＀_x0001_＀＀＀＀＀＀＀＀䀗찀䶓%低幃南䥟呎剟呁彅夵噁⡇㈱㈯〰ⰵⰬ唬䑓착!＀＀ ＀＀	＀＀_x0008_＀＀_x0001_＀＀_x0001_＀＀_x0001_＀＀㭻䀛찀䶓C低幃䅃偟久当剐䩏佟䱂ㄨ⼲〲〱ⰬⰬ单⥄址当䕐华佉彎䉐⡏㈱㈯㄰ⰰⰬ唬䑓착!＀＀ ＀＀	＀＀_x0008_＀＀_x0001_＀＀_x0001_＀＀_x0001_＀＀＀＀＀＀ꯀ䃘찀䶓'低幃南偟久䥓乏也呅䱟䅉⡂㈱㈯〰ⰵⰬ唬䑓착!＀＀ ＀＀	＀＀_x0008_＀＀_x0001_＀＀_x0001_＀＀_x0001_＀＀豀碵꼝쐕찀䶓%低幃䅃偟久当佃偍剟呁⡅㈱㈯㄰ⰰⰬ唬䑓착!＀＀ ＀＀	＀＀_x0008_＀＀_x0001_＀＀_x0001_＀＀_x0001_＀＀＀＀＀＀＀＀䀌찀䶓(低幃南䡟呌䍈剁彅乕彆䕂⡎㈱㈯〰ⰹⰬ唬䑓⤩＀＀＀＀䶓$低幃䅃偟久当呌䱟䅉卂ㄨ⼲〲㠰ⰬⰬ单⥄!＀＀ ＀＀	＀＀_x0008_＀＀_x0001_＀＀_x0001_＀＀_x0001_＀＀＀＀＀＀㘀䂮찀濱两 低幃䍅彁䕍乁䕟䥂⡔㈫〬⼷㠱㈯㄰⤱!＀＀ ＀＀	＀＀_x0008_＀＀_x0001_＀＀_x0001_＀＀_x0001_＀＀ቯ삃ꅊ䂨찀䶓_x0010_䱌幌䝆䵟呋噟䱁䕕!＀＀ ＀＀	＀＀_x0008_＀＀_x0001_＀＀_x0001_＀＀_x0001_＀＀࠱Წꤪ䃀찀䶓&lt;低幃南偟久䥓乏䅟卓呅当佂䑎⡓㈱㈯〰⤹䍀彁䕐华偟呃䙟⡉㈱㈯〰⤹!＀＀ ＀＀	＀＀_x0008_＀＀_x0001_＀＀_x0001_＀＀_x0001_＀＀＀＀＀＀䀀䁅찀䶓Q低幃䅃偟久当䍁啃彍佃偍䥒䍎ㄨ⼲〲㔰ⰬⰬ单⥄址当佃偍归义彃䕐华䱟䅉⡂㈱㈯〰ⰵⰬ唬䑓착!＀＀ ＀＀	＀＀_x0008_＀＀_x0001_＀＀_x0001_＀＀_x0001_＀＀＀＀＀＀䀀䁭찀䶓)低幃䅃偟久当䵅彐佃呎䥒彂⡃㈱㈯〰ⰸⰬ唬䑓착!＀＀ ＀＀	＀＀_x0008_＀＀_x0001_＀＀_x0001_＀＀_x0001_＀＀＀＀＀＀＀＀䁴찀䶓J低幃䅃偟久当佒彁䅒䕔ㄨ⼲〲㐰ⰬⰬ单⥄址当䕐华佉彎塅彐呌剟䅏ㄨ⼲〲㐰ⰬⰬ单⥄!＀＀ ＀＀	＀＀_x0008_＀＀_x0001_＀＀_x0001_＀＀_x0001_＀＀＀＀＀＀耀䀡찀䶓%低幃䅃偟久当呌䅟卓呅⡓㈱㈯〰ⰵⰬ唬䑓착!＀＀ ＀＀	＀＀_x0008_＀＀_x0001_＀＀_x0001_＀＀_x0001_＀＀豀碵꼝쐕찀䶓G低幃䅃偟久当䕎彔佃呓ㄨ⼲〲㤰ⰬⰬ单⥄址当䕐华佉彎偎彐塅⡐㈱㈯〰ⰹⰬ唬䑓착!＀＀ ＀＀	＀＀_x0008_＀＀_x0001_＀＀_x0001_＀＀_x0001_＀＀＀＀＀＀쀀䂊찀䶓(低幃南偟久䥓乏䅟卓呅当呌ㄨ⼲〲㐰ⰬⰬ单⥄!＀＀ ＀＀	＀＀_x0008_＀＀_x0001_＀＀_x0001_＀＀_x0001_＀＀豀碵꼝쐕찀䶓J低幃䅃偟久当䱐乁䅟呓ㄨ⼲〲㤰ⰬⰬ单⥄址当䕐华佉彎䅖彌十䕓協ㄨ⼲〲㤰ⰬⰬ单⥄!＀＀ ＀＀	＀＀_x0008_＀＀_x0001_＀＀_x0001_＀＀_x0001_＀＀＀＀＀＀筀䃔찀䶓(低幃南䡟呌䍈剁彅乕彆䕂⡎㈱㈯㄰ⰰⰬ唬䑓⤩＀＀＀＀䶓N低幃䅃偟久当乕䕒佃⡇㈱㈯〰ⰸⰬ唬䑓䀩南偟久䥓乏啟剎䍅卟剅彖佃呓ㄨ⼲〲㠰ⰬⰬ单⥄!＀＀ ＀＀	＀＀_x0008_＀＀_x0001_＀＀_x0001_＀＀_x0001_＀＀豀碵꼝쐕찀䶓[低幃南剟久䅔彌偏䱟䕓䕟偘ㄨ⼲〲㠰ㄬ⼲〲㠰ⰬⰬ单⥄䍀彁呒剟久彔䥍彎塅⡐㈱㈯〰ⰸ㈱㈯〰ⰸⰬ唬䑓착!＀＀ ＀＀	＀＀_x0008_＀＀_x0001_＀＀_x0001_＀＀_x0001_＀＀＀＀＀＀䀀䂂찀䶓 低幃南䕟䍘彈䅒䕔䥟䍎䍟⡆㈱㈯㄰⤰!＀＀ ＀＀	＀＀_x0008_＀＀_x0001_＀＀_x0001_＀＀_x0001_＀＀豀碵꼝쐕찀䶓C低幃䅃偟久当剐䩏佟䱂ㄨ⼲〲㠰ⰬⰬ单⥄址当䕐华佉彎䉐⡏㈱㈯〰ⰸⰬ唬䑓착!＀＀ ＀＀	＀＀_x0008_＀＀_x0001_＀＀_x0001_＀＀_x0001_＀＀＀＀＀＀ꃀ䃕찀䶓M低幃䅃偟协剔呅卟噒䍟协⡔㈱㈯〰ⰷⰬ唬䑓䀩南䡟呌䍈剁彅䕓噒䍟协⡔㈱㈯〰ⰷⰬ唬䑓착!＀＀ ＀＀	＀＀_x0008_＀＀_x0001_＀＀_x0001_＀＀_x0001_＀＀＀＀＀＀＀＀䁊찀䶓_x0017_低幃南䙟䍙〨䀩䅃䙟䍙〨착!＀＀ ＀＀	＀＀_x0008_＀＀_x0001_＀＀_x0001_＀＀_x0008_＀＀㈱㈯㄰0찀䶜_x001F_低幃䍅䵟䑅偟䥒䕃呟呇、⼴㘰㈯㄰찱!＀＀ ＀＀	＀＀_x0008_＀＀_x0001_＀＀_x0001_＀＀_x0001_＀＀＀＀＀＀耀䁑찀䶓+低幃䅃偟协剔呅偟剁彔佃呎䥒⡂㈱㈯〰ⰶⰬ唬䑓착!＀＀ ＀＀	＀＀_x0008_＀＀_x0001_＀＀_x0001_＀＀_x0001_＀＀＀＀＀＀＀＀䁖찀⪽产!低幃䍅彁䕍乁䕟䥂䑔⬨ⰲ〱㈯⼵〲ㄱ착!＀＀ ＀＀	＀＀_x0008_＀＀_x0001_＀＀_x0001_＀＀_x0001_＀＀脆䎕盋䂬찀䶓%低幃䅃偟久当啃归䥌䉁⡓㈱㈯〰ⰷⰬ唬䑓착!＀＀ ＀＀	＀＀_x0008_＀＀_x0001_＀＀_x0001_＀＀_x0001_＀＀＀＀＀＀耀䁅찀䶓L低幃䅃偟协剔呅䥟呎䍟协⡔㈱㈯㄰ⰰⰬ唬䑓䀩南䡟呌䍈剁彅义彔佃呓ㄨ⼲〲〱ⰬⰬ单⥄!＀＀ ＀＀	＀＀_x0008_＀＀_x0001_＀＀_x0001_＀＀_x0001_＀＀＀＀＀＀怀䁣찀䶓C低幃䅃偟久当剐䩏佟䱂ㄨ⼲〲㜰ⰬⰬ单⥄址当䕐华佉彎䉐⡏㈱㈯〰ⰷⰬ唬䑓착!＀＀ ＀＀	＀＀_x0008_＀＀_x0001_＀＀_x0001_＀＀_x0001_＀＀＀＀＀＀赀䃕찀䶓;低幃南偟久䥓乏䅟卓呅当剐偏ㄨ⼲〲〱䀩䅃偟久当䍐彔䕒ㄨ⼲〲〱착!＀＀ ＀＀	＀＀_x0008_＀＀_x0001_＀＀_x0001_＀＀_x0001_＀＀＀＀＀＀耀䀶찀䶓_x001C_低幃䍅彁䕍乁卟䱁卅⬨ⰳ〴㜴⤸!＀＀ ＀＀	＀＀_x0008_＀＀_x0001_＀＀_x0001_＀＀_x0001_＀＀＀＀＀＀ﻐ䃢찀䶓_x001A_低幃南䕟䍘彈䅒䕔䉟䱁卟⡈⤰!＀＀ ＀＀	＀＀_x0008_＀＀_x0001_＀＀_x0001_＀＀_x0001_＀＀豀碵꼝쐕찀䶓F低幃䅃偟久当佒彁䍁⡔㈱㈯〰ⰹⰬ唬䑓䀩南偟久䥓乏䅟呃剟䅏ㄨ⼲〲㤰ⰬⰬ单⥄!＀＀ ＀＀	＀＀_x0008_＀＀_x0001_＀＀_x0001_＀＀_x0001_＀＀＀＀＀＀Ȁ䂧찀䶓(低幃南偟久䥓乏䅟卓呅当呌ㄨ⼲〲〱ⰬⰬ单⥄!＀＀ ＀＀	＀＀_x0008_＀＀_x0001_＀＀_x0001_＀＀_x0001_＀＀＀＀＀＀ 䁼찀䶓_x0017_䵌幔彆䕂䅔卟㕐〰㙟䴰〨착!＀＀ ＀＀	＀＀_x0008_＀＀_x0001_＀＀_x0001_＀＀_x0001_＀＀跙ⳣ낑㿯찀䶓＀Ｏ低幃南䱟䅅䕓䍟䵏䥍彔剙⠱㈱㈯〰ⰲ㈱㈯〰ⰲⰬ唬䑓착!＀＀ ＀＀	＀＀_x0008_＀＀_x0001_＀＀_x0001_＀＀_x0001_＀＀＀＀＀＀䁶찀䶓_x001F_低幃䍅䵟䑅偟䥒䕃呟呇㄁⼰㜲㈯㄰찰!＀＀ ＀＀	＀＀_x0008_＀＀_x0001_＀＀_x0001_＀＀_x0001_＀＀＀＀＀＀ꀀ䁐찀䶓'低幃䅃偟协剔呅䉟久偟䥁⡄㈱㈯〰ⰹⰬ唬䑓착!＀＀ ＀＀	＀＀_x0008_＀＀_x0001_＀＀_x0001_＀＀_x0001_＀＀＀＀＀＀က䁲찀⪽产_x001F_低幃䍅彁䕍乁䕟卐⬨ⰱ〱㈯⼵〲ㄱ착!＀＀ ＀＀	＀＀_x0008_＀＀_x0001_＀＀_x0001_＀＀_x0001_＀＀㡵䪺蝷䀛찀䶓＀Ｏ低幃南䱟䅅䕓䍟䵏䥍彔剙⠱㈱㈯〰ⰳ㈱㈯〰ⰳⰬ唬䑓착!＀＀ ＀＀	＀＀_x0008_＀＀_x0001_＀＀_x0001_＀＀_x0001_＀＀＀＀＀＀뀀䁵찀䶓E低幃䅃偟协剔呅䉟久佟⡂㈱㈯〰ⰸⰬ唬䑓䀩南䡟呌䍈剁彅䉐⡏㈱㈯〰ⰸⰬ唬䑓착!＀＀ ＀＀	＀＀_x0008_＀＀_x0001_＀＀_x0001_＀＀_x0001_＀＀＀＀＀＀㠀䂥찀䞌丯_x0017_低幃䝆偟䥒䕃、⼷㘲㈯㄰찱!＀＀ ＀＀	＀＀_x0008_＀＀_x0001_＀＀_x0001_＀＀_x0001_＀＀馚香妙䁐찀䶓F低幃䅃偟协剔呅剟䅏ㄨ⼲〲㔰ⰬⰬ单⥄址当䱈䡔䅃䕒䕟偘剟䅏ㄨ⼲〲㔰ⰬⰬ单⥄!＀＀ ＀＀	＀＀_x0008_＀＀_x0001_＀＀_x0001_＀＀_x0001_＀＀＀＀＀＀耀쁈찀䶓＀Ｏ低幃南䱟䅅䕓䍟䵏䥍彔剙⠱㈱㈯〰ⰴ㈱㈯〰ⰴⰬ唬䑓착!＀＀ ＀＀	＀＀_x0008_＀＀_x0001_＀＀_x0001_＀＀_x0001_＀＀＀＀＀＀ 䁸찀䶓)低幃南偟久䥓乏噟䱁䅟卓呅⡓㈱㈯〰ⰸⰬ唬䑓착!＀＀ ＀＀	＀＀_x0008_＀＀_x0001_＀＀_x0001_＀＀_x0001_＀＀＀＀＀＀ᅀ䃒찀䶓J低幃䅃偟久当佒彁䅒䕔ㄨ⼲〲㜰ⰬⰬ单⥄址当䕐华佉彎塅彐呌剟䅏ㄨ⼲〲㜰ⰬⰬ单⥄!＀＀ ＀＀	＀＀_x0008_＀＀_x0001_＀＀_x0001_＀＀_x0001_＀＀＀＀＀＀＀＀䀡찀䶓＀Ｏ低幃南䱟䅅䕓䍟䵏䥍彔剙⠱㈱㈯〰ⰵ㈱㈯〰ⰵⰬ唬䑓착!＀＀ ＀＀	＀＀_x0008_＀＀_x0001_＀＀_x0001_＀＀_x0001_＀＀＀＀＀＀䀀䁺찀䶓&amp;低幃䅃偟久当十彔义䅔䝎ㄨ⼲〲㐰ⰬⰬ单⥄!＀＀ ＀＀	＀＀_x0008_＀＀_x0001_＀＀_x0001_＀＀_x0001_＀＀＀＀＀＀＀＀䀸찀䶓B低幃䅃偟久当佒⡁㈱㈯〰ⰶⰬ唬䑓䀩南偟久䥓乏䕟偘剟䅏ㄨ⼲〲㘰ⰬⰬ单⥄!＀＀ ＀＀	＀＀_x0008_＀＀_x0001_＀＀_x0001_＀＀_x0001_＀＀＀＀＀＀退삘찀䶓＀Ｏ低幃南䱟䅅䕓䍟䵏䥍彔剙⠱㈱㈯〰ⰶ㈱㈯〰ⰶⰬ唬䑓착!＀＀ ＀＀	＀＀_x0008_＀＀_x0001_＀＀_x0001_＀＀_x0001_＀＀＀＀＀＀䀀䁺찀⪼产_x0013_低幃䝆䕟呎噟䱁䕕〨착!＀＀ ＀＀	＀＀_x0008_＀＀_x0001_＀＀_x0001_＀＀_x0001_＀＀욧潻䃐찀䶓＀Ｏ低幃南䱟䅅䕓䍟䵏䥍彔夵⡒㈱㈯〰ⰲ㈱㈯〰ⰲⰬ唬䑓착!＀＀ ＀＀	＀＀_x0008_＀＀_x0001_＀＀_x0001_＀＀_x0001_＀＀＀＀＀＀뀀䁼찀䶓＀Ｏ低幃南䱟䅅䕓䍟䵏䥍彔剙⠱㈱㈯〰ⰷ㈱㈯〰ⰷⰬ唬䑓착!＀＀ ＀＀	＀＀_x0008_＀＀_x0001_＀＀_x0001_＀＀_x0001_＀＀＀＀＀＀퀀䁻찀䶓&lt;低幃䅃偟久当䥄䍓剟呁⡅㈱㈯㄰⤰址当䕐华佉彎䥄䍓剟呁⡅㈱㈯㄰⤰!＀＀ ＀＀	＀＀_x0008_＀＀_x0001_＀＀_x0001_＀＀_x0001_＀＀휊炣਽䀗찀䶓N低幃䅃偟久当乕䕒佃⡇㈱㈯〰ⰷⰬ唬䑓䀩南偟久䥓乏啟剎䍅卟剅彖佃呓ㄨ⼲〲㜰ⰬⰬ单⥄!＀＀ ＀＀	＀＀_x0008_＀＀_x0001_＀＀_x0001_＀＀_x0001_＀＀豀碵꼝쐕찀䶓G低幃䅃偟协剔呅䍟协⡔㈱㈯〰ⰹⰬ唬䑓䀩南䡟呌䍈剁彅偎彐塅⡐㈱㈯〰ⰹⰬ唬䑓착!＀＀ ＀＀	＀＀_x0008_＀＀_x0001_＀＀_x0001_＀＀_x0001_＀＀＀＀＀＀ꀀ䁠찀䶓＀Ｏ低幃南䱟䅅䕓䍟䵏䥍彔夵⡒㈱㈯〰ⰳ㈱㈯〰ⰳⰬ唬䑓착!＀＀ ＀＀	＀＀_x0008_＀＀_x0001_＀＀_x0001_＀＀_x0001_＀＀＀＀＀＀退䂀찀䶓＀Ｏ低幃南䱟䅅䕓䍟䵏䥍彔剙⠱㈱㈯〰ⰸ㈱㈯〰ⰸⰬ唬䑓착!＀＀ ＀＀	＀＀_x0008_＀＀_x0001_＀＀_x0001_＀＀_x0001_＀＀＀＀＀＀뀀䁼찀䶓_x001A_低幃䍅彁䕍乁䕟卐⬨ⰱ〴㜴⤸!＀＀ ＀＀	＀＀_x0008_＀＀_x0001_＀＀_x0001_＀＀_x0001_＀＀轈_xDBDF_ߴ䀛찀䶓＀Ｏ低幃南䱟䅅䕓䍟䵏䥍彔夵⡒㈱㈯〰ⰴ㈱㈯〰ⰴⰬ唬䑓착!＀＀ ＀＀	＀＀_x0008_＀＀_x0001_＀＀_x0001_＀＀_x0001_＀＀＀＀＀＀　䂀찀䶓L低幃䅃偟协剔呅䥟呎䍟协⡔㈱㈯〰ⰵⰬ唬䑓䀩南䡟呌䍈剁彅义彔佃呓ㄨ⼲〲㔰ⰬⰬ单⥄!＀＀ ＀＀	＀＀_x0008_＀＀_x0001_＀＀_x0001_＀＀_x0001_＀＀＀＀＀＀䁦찀䶓＀Ｏ低幃南䱟䅅䕓䍟䵏䥍彔剙⠱㈱㈯〰ⰹ㈱㈯〰ⰹⰬ唬䑓착!＀＀ ＀＀	＀＀_x0008_＀＀_x0001_＀＀_x0001_＀＀_x0001_＀＀＀＀＀＀䁷찀䶓I低幃䅃偟久当剓彖佃呓ㄨ⼲〲㤰ⰬⰬ单⥄址当䕐华佉彎䕓噒䍟协⡔㈱㈯〰ⰹⰬ唬䑓착!＀＀ ＀＀	＀＀_x0008_＀＀_x0001_＀＀_x0001_＀＀_x0001_＀＀＀＀＀＀ꠀ䂄찀䶓＀Ｏ低幃南䱟䅅䕓䍟䵏䥍彔夵⡒㈱㈯〰ⰵ㈱㈯〰ⰵⰬ唬䑓착!＀＀ ＀＀	＀＀_x0008_＀＀_x0001_＀＀_x0001_＀＀_x0001_＀＀＀＀＀＀䁿찀䶓_x000C_低幃䝆偟䥒䕃!＀＀ ＀＀	＀＀_x0008_＀＀_x0001_＀＀_x0001_＀＀_x0001_＀＀⣶轜◂䁑찀䶓,低幃䅃偟协剔呅䕟偍䍟乏剔䉉䍟ㄨ⼲〲㘰ⰬⰬ单⥄!＀＀ ＀＀	＀＀_x0008_＀＀_x0001_＀＀_x0001_＀＀_x0001_＀＀＀＀＀＀쀀䁨찀䶓＀Ｏ低幃南䱟䅅䕓䍟䵏䥍彔夵⡒㈱㈯〰ⰶ㈱㈯〰ⰶⰬ唬䑓착!＀＀ ＀＀	＀＀_x0008_＀＀_x0001_＀＀_x0001_＀＀_x0001_＀＀＀＀＀＀䂀찀䶓＀Ｏ低幃南䱟䅅䕓䍟䵏䥍彔夵⡒㈱㈯〰ⰷ㈱㈯〰ⰷⰬ唬䑓착!＀＀ ＀＀	＀＀_x0008_＀＀_x0001_＀＀_x0001_＀＀_x0001_＀＀＀＀＀＀ꠀ䂁찀䶓 低幃南䕟䍘彈䅒䕔ㄨ⼲〲㔰ⰬⰬ单⥄!＀＀ ＀＀	＀＀_x0008_＀＀_x0001_＀＀_x0001_＀＀_x0001_＀＀＀＀＀＀＀＀㿰찀䶓＀Ｏ低幃南䱟䅅䕓䍟䵏䥍彔夵⡒㈱㈯〰ⰸ㈱㈯〰ⰸⰬ唬䑓착!＀＀ ＀＀	＀＀_x0008_＀＀_x0001_＀＀_x0001_＀＀_x0001_＀＀＀＀＀＀退䂁찀䶓;低幃南偟久䥓乏䅟卓呅当呏⡈㈱㈯㄰⤰䍀彁䕐华偟呃佟䡔ㄨ⼲〲〱착!＀＀ ＀＀	＀＀_x0008_＀＀_x0001_＀＀_x0001_＀＀_x0001_＀＀＀＀＀＀＀＀＀＀찀䶓(低幃䅃偟久当偐彄䕂彎佃呓ㄨ⼲〲㘰ⰬⰬ单⥄!＀＀ ＀＀	＀＀_x0008_＀＀_x0001_＀＀_x0001_＀＀_x0001_＀＀豀碵꼝쐕찀䶓＀Ｏ低幃南䱟䅅䕓䍟䵏䥍彔夵⡒㈱㈯〰ⰹ㈱㈯〰ⰹⰬ唬䑓착!＀＀ ＀＀	＀＀_x0008_＀＀_x0001_＀＀_x0001_＀＀_x0001_＀＀＀＀＀＀ 䁻찀䞌丯!低幃䍅彁䕍乁䕟䥂䑔⬨ⰲ㜰㈯⼶〲ㄱ착!＀＀ ＀＀	＀＀_x0008_＀＀_x0001_＀＀_x0001_＀＀_x0001_＀＀좴빶џ䂭찀䶓&amp;低幃䅃偟久当十彔义䅔䝎ㄨ⼲〲〱ⰬⰬ单⥄!＀＀ ＀＀	＀＀_x0008_＀＀_x0001_＀＀_x0001_＀＀_x0001_＀＀豀碵꼝쐕찀䶓$低幃䅃偟久当䕂彎䅐䑉ㄨ⼲〲㘰ⰬⰬ单⥄!＀＀ ＀＀	＀＀_x0008_＀＀_x0001_＀＀_x0001_＀＀_x0001_＀＀＀＀＀＀怀䂑찀䶓＀Ｏ低幃南䡟呌䍈剁彅䵁剏彔䕓噒䍟协⡔㈱㈯〰ⰶⰬ唬䑓착!＀＀ ＀＀	＀＀_x0008_＀＀_x0001_＀＀_x0001_＀＀_x0001_＀＀＀＀＀＀＀＀쀰찀䶓"低幃南偟久䥓乏偟佂ㄨ⼲〲㤰ⰬⰬ单⥄!＀＀ ＀＀	＀＀_x0008_＀＀_x0001_＀＀_x0001_＀＀_x0001_＀＀＀＀＀＀㏀䃔찀䶓＀Ｏ低幃南䱟䅅䕓䍟䵏䥍彔剙⠱㈱㈯㄰ⰰ㈱㈯㄰ⰰⰬ唬䑓착!＀＀ ＀＀	＀＀_x0008_＀＀_x0001_＀＀_x0001_＀＀_x0001_＀＀＀＀＀＀䁶찀䶜!低幃䍅彁䕍乁䕟䥂䑔⬨ⰲ㐰〯⼶〲ㄱ착!＀＀ ＀＀	＀＀_x0008_＀＀_x0001_＀＀_x0001_＀＀_x0001_＀＀⋑率䡾䂭찀䞌丯_x001F_低幃䍅彁䕍乁䕟卐⬨ⰱ㜰㈯⼶〲ㄱ착!＀＀ ＀＀	＀＀_x0008_＀＀_x0001_＀＀_x0001_＀＀_x0001_＀＀ॎ䦈䀚찀䶓C低幃䅃偟久当剐䩏佟䱂ㄨ⼲〲㘰ⰬⰬ单⥄址当䕐华佉彎䉐⡏㈱㈯〰ⰶⰬ唬䑓착!＀＀ ＀＀	＀＀_x0008_＀＀_x0001_＀＀_x0001_＀＀_x0001_＀＀＀＀＀＀ﬀ䃔찀䶓'低幃南偟久偟协彔䕒彔䕂⡎㈱㈯〰ⰶⰬ唬䑓착!＀＀ ＀＀	＀＀_x0008_＀＀_x0001_＀＀_x0001_＀＀_x0001_＀＀＀＀＀＀찀䂩찀䶓)低幃䅃偟协剔呅佟䡔䑁彊䉎⡁㈱㈯〰ⰶⰬ唬䑓착!＀＀ ＀＀	＀＀_x0008_＀＀_x0001_＀＀_x0001_＀＀_x0001_＀＀＀＀＀＀＀＀䀾찀䶓＀Ｏ低幃南䱟䅅䕓䍟䵏䥍彔剙⠲㈱㈯〰ⰲ㈱㈯〰ⰲⰬ唬䑓착!＀＀ ＀＀	＀＀_x0008_＀＀_x0001_＀＀_x0001_＀＀_x0001_＀＀＀＀＀＀退䁲찀䶜_x001F_低幃䍅彁䕍乁䕟卐⬨ⰱ㐰〯⼶〲ㄱ착!＀＀ ＀＀	＀＀_x0008_＀＀_x0001_＀＀_x0001_＀＀_x0001_＀＀呱ꉮᚖ䀛찀䶓C低幃䅃偟久当剐䩏佟䱂ㄨ⼲〲㔰ⰬⰬ单⥄址当䕐华佉彎䉐⡏㈱㈯〰ⰵⰬ唬䑓착!＀＀ ＀＀	＀＀_x0008_＀＀_x0001_＀＀_x0001_＀＀_x0001_＀＀＀＀＀＀㔀䃔찀䶓＀Ｏ低幃南䱟䅅䕓䍟䵏䥍彔夵⡒㈱㈯㄰ⰰ㈱㈯㄰ⰰⰬ唬䑓착!＀＀ ＀＀	＀＀_x0008_＀＀_x0001_＀＀_x0001_＀＀_x0001_＀＀豀碵꼝쐕찀䶓F低幃䅃偟协剔呅剟䅏ㄨ⼲〲㐰ⰬⰬ单⥄址当䱈䡔䅃䕒䕟偘剟䅏ㄨ⼲〲㐰ⰬⰬ单⥄!＀＀ ＀＀	＀＀_x0008_＀＀_x0001_＀＀_x0001_＀＀_x0001_＀＀＀＀＀＀＀＀쁇찀䶓＀Ｏ低幃南䱟䅅䕓䍟䵏䥍彔剙⠲㈱㈯〰ⰳ㈱㈯〰ⰳⰬ唬䑓착!＀＀ ＀＀	＀＀_x0008_＀＀_x0001_＀＀_x0001_＀＀_x0001_＀＀＀＀＀＀退䁲찀䶓$低幃䅃偟久当呌䱟䅉卂ㄨ⼲〲㤰ⰬⰬ单⥄!＀＀ ＀＀	＀＀_x0008_＀＀_x0001_＀＀_x0001_＀＀_x0001_＀＀＀＀＀＀⸀䂧찀䶓J低幃䅃偟久当䥄䍓剟呁⡅㈱㈯〰ⰴⰬ唬䑓䀩南偟久䥓乏䑟卉彃䅒䕔ㄨ⼲〲㐰ⰬⰬ单⥄!＀＀ ＀＀	＀＀_x0008_＀＀_x0001_＀＀_x0001_＀＀_x0001_＀＀＀＀＀＀＀＀䀗찀䶓G低幃䅃偟协剔呅䍟协⡔㈱㈯㄰ⰰⰬ唬䑓䀩南䡟呌䍈剁彅偎彐塅⡐㈱㈯㄰ⰰⰬ唬䑓착!＀＀ ＀＀	＀＀_x0008_＀＀_x0001_＀＀_x0001_＀＀_x0001_＀＀＀＀＀＀耀䁜찀䶓＀Ｏ低幃南䱟䅅䕓䍟䵏䥍彔剙⠲㈱㈯〰ⰴ㈱㈯〰ⰴⰬ唬䑓착!＀＀ ＀＀	＀＀_x0008_＀＀_x0001_＀＀_x0001_＀＀_x0001_＀＀＀＀＀＀က䁲찀䶓B低幃䅃偟久当佒⡁㈱㈯〰ⰹⰬ唬䑓䀩南偟久䥓乏䕟偘剟䅏ㄨ⼲〲㤰ⰬⰬ单⥄!＀＀ ＀＀	＀＀_x0008_＀＀_x0001_＀＀_x0001_＀＀_x0001_＀＀＀＀＀＀尀삘찀䶓＀Ｏ低幃南䱟䅅䕓䍟䵏䥍彔剙⠲㈱㈯〰ⰵ㈱㈯〰ⰵⰬ唬䑓착!＀＀ ＀＀	＀＀_x0008_＀＀_x0001_＀＀_x0001_＀＀_x0001_＀＀＀＀＀＀뀀䁴찀䶓(低幃南䡟呌䍈剁彅乕彆䕂⡎㈱㈯〰ⰵⰬ唬䑓⤩＀＀＀＀䶓;低幃南偟久䥓乏䅟卓呅当呏⡈㈱㈯〰⤸䍀彁䕐华偟呃佟䡔ㄨ⼲〲㠰착!＀＀ ＀＀	＀＀_x0008_＀＀_x0001_＀＀_x0001_＀＀_x0001_＀＀＀＀＀＀＀＀䀱찀䶓＀Ｏ低幃南䱟䅅䕓䍟䵏䥍彔剙⠲㈱㈯〰ⰶ㈱㈯〰ⰶⰬ唬䑓착!＀＀ ＀＀	＀＀_x0008_＀＀_x0001_＀＀_x0001_＀＀_x0001_＀＀＀＀＀＀က䁵찀䶓D呁幋䙆䕟呎偒归䅖彌䅄䱉⡙〴㘵ⰷⰬⰬ䐢䱉⤢䔯䅃䵟䅅彎䉅呉䅄㈨㄰ⰱ〴㘵⤷ƌ＀＀ ＀＀Ŵ＀＀_x0008_＀＀_x0001_＀＀_x0001_＀＀_x0001_＀＀嘿揽㭨䀗摦畳㩰⼯楤敲瑣潩獮䘯呁嘠敩敷㽲捡楴湯唽䑐呁♅牣慥潴㵲慦瑣敳♴奄彎剁升吽啒♅佄彃䅎䕍䘽呁䘺䱑䅟䑕呉义彇䱃䕉呎呟䵅䱐呁⹅䅆♔楤灳慬役瑳楲杮䄽摵瑩嘦剁䬺奅娽䉗䱍呕呙♃䅖㩒啑剅㵙歒晚啒唵汕卂ㅘ䉚䙔䔹啑䵬南で䑍㉕祎獷䍌獷お䩒䍔灣が䑖噑丹啒但じ䍖噓䕒卑祧䑍硅䑌睑呎㍙克㴽圦义佄㵗䥆卒彔佐啐♐䕈䝉呈㐽〵圦䑉䡔㐽〵匦䅔呒䵟塁䵉婉䑅䘽䱁䕓嘦剁䌺䱁久䅄㵒单嘦剁区䵙佂㵌呁♋䅖㩒义䕄㵘0䶓)低幃䅃偟久当䵅彐佃呎䥒彂⡃㈱㈯〰ⰹⰬ唬䑓착!＀＀ ＀＀	＀＀_x0008_＀＀_x0001_＀＀_x0001_＀＀_x0001_＀＀＀＀＀＀퀀䂊찀䶓#低幃䅃偟协剔呅䱟䅉⡂㈱㈯〰ⰵⰬ唬䑓착!＀＀ ＀＀	＀＀_x0008_＀＀_x0001_＀＀_x0001_＀＀_x0001_＀＀＀＀＀＀倀삞찀䶓G低幃䅃偟协剔呅䍟协⡔㈱㈯〰ⰸⰬ唬䑓䀩南䡟呌䍈剁彅偎彐塅⡐㈱㈯〰ⰸⰬ唬䑓착!＀＀ ＀＀	＀＀_x0008_＀＀_x0001_＀＀_x0001_＀＀_x0001_＀＀＀＀＀＀耀䁜찀䶓＀Ｏ低幃南䱟䅅䕓䍟䵏䥍彔剙⠲㈱㈯〰ⰷ㈱㈯〰ⰷⰬ唬䑓착!＀＀ ＀＀	＀＀_x0008_＀＀_x0001_＀＀_x0001_＀＀_x0001_＀＀＀＀＀＀＀＀䁷찀⪽产!低幃䍅彁䕍乁卟䱁卅⬨ⰲ〱㈯⼵〲ㄱ착!＀＀ ＀＀	＀＀_x0008_＀＀_x0001_＀＀_x0001_＀＀_x0001_＀＀竡긔鏇䃚찀䶓%低幃䅃偟久当呌䅟卓呅⡓㈱㈯〰ⰶⰬ唬䑓착!＀＀ ＀＀	＀＀_x0008_＀＀_x0001_＀＀_x0001_＀＀_x0001_＀＀豀碵꼝쐕찀䶓(低幃䅃偟久当䅐呒䍟乏剔䉉ㄨ⼲〲㔰ⰬⰬ单⥄!＀＀ ＀＀	＀＀_x0008_＀＀_x0001_＀＀_x0001_＀＀_x0001_＀＀＀＀＀＀＀＀䀲찀䶓M低幃䅃偟协剔呅卟噒䍟协⡔㈱㈯㄰ⰰⰬ唬䑓䀩南䡟呌䍈剁彅䕓噒䍟协⡔㈱㈯㄰ⰰⰬ唬䑓착!＀＀ ＀＀	＀＀_x0008_＀＀_x0001_＀＀_x0001_＀＀_x0001_＀＀＀＀＀＀耀䁈찀䶓＀Ｏ低幃南䱟䅅䕓䍟䵏䥍彔剙⠲㈱㈯〰ⰸ㈱㈯〰ⰸⰬ唬䑓착!＀＀ ＀＀	＀＀_x0008_＀＀_x0001_＀＀_x0001_＀＀_x0001_＀＀＀＀＀＀䁶찀䶓P低幃䅃偟协剔呅偟䅌彎十彔久⡄㈱㈯〰ⰹⰬ唬䑓䀩南䡟呌䍈剁彅噆䅟卓呅ㄨ⼲〲㤰ⰬⰬ单⥄!＀＀ ＀＀	＀＀_x0008_＀＀_x0001_＀＀_x0001_＀＀_x0001_＀＀＀＀＀＀堀䂊찀䶓＀Ｏ低幃南䱟䅅䕓䍟䵏䥍彔剙⠲㈱㈯〰ⰹ㈱㈯〰ⰹⰬ唬䑓착!＀＀ ＀＀	＀＀_x0008_＀＀_x0001_＀＀_x0001_＀＀_x0001_＀＀＀＀＀＀＀＀䁳찀䶓(低幃南偟久䥓乏䅟卓呅当呌ㄨ⼲〲㔰ⰬⰬ单⥄!＀＀ ＀＀	＀＀_x0008_＀＀_x0001_＀＀_x0001_＀＀_x0001_＀＀豀碵꼝쐕찀䶓 低幃南䕟䍘彈䅒䕔䥟䍎䍟⡆㈱㈯〰⤴!＀＀ ＀＀	＀＀_x0008_＀＀_x0001_＀＀_x0001_＀＀_x0001_＀＀豀碵꼝쐕찀䶓E低幃䅃偟协剔呅䉟久佟⡂㈱㈯〰ⰹⰬ唬䑓䀩南䡟呌䍈剁彅䉐⡏㈱㈯〰ⰹⰬ唬䑓착!＀＀ ＀＀	＀＀_x0008_＀＀_x0001_＀＀_x0001_＀＀_x0001_＀＀＀＀＀＀렀䂥찀䶓_x0012_䑇䍞䙓䑟䉅⡔呑ⱒ⤰Ň＀＀ ＀＀į＀＀_x0008_＀＀_x0001_＀＀_x0001_＀＀_x0001_＀＀＀＀＀＀؀䂩摦畳㩰⼯楤敲瑣潩獮䘯呁嘠敩敷㽲捡楴湯唽䑐呁♅牣慥潴㵲慦瑣敳♴奄彎剁升吽啒♅佄彃䅎䕍䘽呁䘺䱑䅟䑕呉义彇䱃䕉呎呟䵅䱐呁⹅䅆♔楤灳慬役瑳楲杮䄽摵瑩嘦剁䬺奅娽偃前䩃塉♓䅖㩒啑剅㵙ㅑ䝎じ䙒汑潑噕卒䑌灁圦义佄㵗䥆卒彔佐啐♐䕈䝉呈㐽〵圦䑉䡔㐽〵匦䅔呒䵟塁䵉婉䑅䘽䱁䕓嘦剁䌺䱁久䅄㵒单嘦剁区䵙佂㵌䑇嘦剁䤺䑎塅〽찀䶓%低幃䅃偟久当佃偍剟呁⡅㈱㈯〰ⰵⰬ唬䑓착!＀＀ ＀＀	＀＀_x0008_＀＀_x0001_＀＀_x0001_＀＀_x0001_＀＀＀＀＀＀＀＀䀐찀䶓-低幃䅃偟协剔呅啟归剔佟彂䵁剏⡔㈱㈯〰ⰷⰬ唬䑓착!＀＀ ＀＀	＀＀_x0008_＀＀_x0001_＀＀_x0001_＀＀_x0001_＀＀＀＀＀＀＀＀＀＀찀䶓'低幃䅃偟久当商䑎卟䅔啔⡓㈱㈯〰ⰹⰬ唬䑓착!＀＀ ＀＀	＀＀_x0008_＀＀_x0001_＀＀_x0001_＀＀_x0001_＀＀＀＀＀＀簀삥찀䶓)低幃䅃偟久当䵅彐佃呎䥒彂⡅㈱㈯㄰ⰱⰬ唬䑓착!＀＀ ＀＀	＀＀_x0008_＀＀_x0001_＀＀_x0001_＀＀_x0001_＀＀＀＀＀＀退䂁찀䶓_x001E_低幃䅃偟久当佃偍剟呁⡅㈱㈯㄰⤰!＀＀ ＀＀	＀＀_x0008_＀＀_x0001_＀＀_x0001_＀＀_x0001_＀＀＀＀＀＀＀＀䀌찀䶓*低幃南䡟呌䍈剁彅塅彐呌剟䅏ㄨ⼲〲㤰ⰬⰬ单⥄!＀＀ ＀＀	＀＀_x0008_＀＀_x0001_＀＀_x0001_＀＀_x0001_＀＀쳍쳌쳌䀛찀䶓;低幃南偟久䥓乏䅟卓呅当剐偏ㄨ⼲〲㠰䀩䅃偟久当䍐彔䕒ㄨ⼲〲㠰착!＀＀ ＀＀	＀＀_x0008_＀＀_x0001_＀＀_x0001_＀＀_x0001_＀＀＀＀＀＀＀＀䀜찀䶓'低幃䅃偟协剔呅䉟久偟䥁⡄㈱㈯〰ⰴⰬ唬䑓착!＀＀ ＀＀	＀＀_x0008_＀＀_x0001_＀＀_x0001_＀＀_x0001_＀＀＀＀＀＀　䁰찀䶓)低幃南䡟呌䍈剁彅䥄䍓剟呁⡅㈱㈯〰ⰶⰬ唬䑓착!＀＀ ＀＀	＀＀_x0008_＀＀_x0001_＀＀_x0001_＀＀_x0001_＀＀＀＀＀＀＀＀䀘찀䶓&lt;低幃南偟久䥓乏䅟卓呅当佂䑎⡓㈱㈯〰⤵䍀彁䕐华偟呃䙟⡉㈱㈯〰⤵!＀＀ ＀＀	＀＀_x0008_＀＀_x0001_＀＀_x0001_＀＀_x0001_＀＀＀＀＀＀＀＀䁀찀䶓+低幃䅃偟协剔呅偟剁彔佃呎䥒⡂㈱㈯〰ⰷⰬ唬䑓착!＀＀ ＀＀	＀＀_x0008_＀＀_x0001_＀＀_x0001_＀＀_x0001_＀＀＀＀＀＀＀＀䁕찀䶓;低幃南偟久䥓乏䅟卓呅当充䥕ㄨ⼲〲㤰䀩䅃偟久当䍐彔充ㄨ⼲〲㤰착!＀＀ ＀＀	＀＀_x0008_＀＀_x0001_＀＀_x0001_＀＀_x0001_＀＀＀＀＀＀耀䁁찀䶓J低幃䅃偟久当佒彁䅒䕔ㄨ⼲〲〱ⰬⰬ单⥄址当䕐华佉彎塅彐呌剟䅏ㄨ⼲〲〱ⰬⰬ单⥄!＀＀ ＀＀	＀＀_x0008_＀＀_x0001_＀＀_x0001_＀＀_x0001_＀＀＀＀＀＀＀＀䀡찀䶓N低幃䅃偟久当乕䕒佃⡇㈱㈯〰ⰶⰬ唬䑓䀩南偟久䥓乏啟剎䍅卟剅彖佃呓ㄨ⼲〲㘰ⰬⰬ单⥄!＀＀ ＀＀	＀＀_x0008_＀＀_x0001_＀＀_x0001_＀＀_x0001_＀＀豀碵꼝쐕찀됑亩_x0018_低幃䍅彁䕍乁䕟卐㈨㄰ⰳ⤰!＀＀ ＀＀	＀＀_x0008_＀＀_x0001_＀＀_x0001_＀＀_x0001_＀＀뤊콒ႂ䀜찀䶓＀Ｏ低幃南䱟䅅䕓䍟䵏䥍彔剙⠲㈱㈯㄰ⰰ㈱㈯㄰ⰰⰬ唬䑓착!＀＀ ＀＀	＀＀_x0008_＀＀_x0001_＀＀_x0001_＀＀_x0001_＀＀＀＀＀＀　䁿찀䶓%低幃南䥟呎剟呁彅夵噁⡇㈱㈯〰ⰶⰬ唬䑓착!＀＀ ＀＀	＀＀_x0008_＀＀_x0001_＀＀_x0001_＀＀_x0001_＀＀肈ꡃ䀛찀䶓+低幃南䍟問呎奒也䵁⡅⤰䍀彁佃䥟䍎剏彐呃奒〨착'＀＀ ＀＀_x000F_＀＀_x000E_＀＀_x0001_＀＀_x0001_＀＀_x0008_＀＀湕瑩摥匠慴整s찀䶓'低幃南偟久䥓乏也呅䱟䅉⡂㈱㈯〰ⰶⰬ唬䑓착!＀＀ ＀＀	＀＀_x0008_＀＀_x0001_＀＀_x0001_＀＀_x0001_＀＀豀碵꼝쐕찀䶓[低幃南剟久䅔彌偏䱟䕓䕟偘ㄨ⼲〲㜰ㄬ⼲〲㜰ⰬⰬ单⥄䍀彁呒剟久彔䥍彎塅⡐㈱㈯〰ⰷ㈱㈯〰ⰷⰬ唬䑓착!＀＀ ＀＀	＀＀_x0008_＀＀_x0001_＀＀_x0001_＀＀_x0001_＀＀＀＀＀＀䠀䂂찀䶓_x001B_䵌幔䝆䵟呋噟䱁䕕 ⼳㔱㈯㄰찱!＀＀ ＀＀	＀＀_x0008_＀＀_x0001_＀＀_x0001_＀＀_x0001_＀＀Ẹ䃚찀䶓_x001C_低幃䍅彁䕍乁卟䱁卅⬨ⰱ〴㜴⤸!＀＀ ＀＀	＀＀_x0008_＀＀_x0001_＀＀_x0001_＀＀_x0001_＀＀䞮竡萤䃡찀䶓M低幃䅃偟久当剐佉归剓⡖㈱㈯㄰ⰰⰬ唬䑓䀩南偟久䥓乏偟归䕓噒䍟协⡔㈱㈯㄰ⰰⰬ唬䑓착!＀＀ ＀＀	＀＀_x0008_＀＀_x0001_＀＀_x0001_＀＀_x0001_＀＀＀＀＀＀＀＀䁈찀䶓C低幃䅃偟久当剐䩏佟䱂ㄨ⼲〲㐰ⰬⰬ单⥄址当䕐华佉彎䉐⡏㈱㈯〰ⰴⰬ唬䑓착!＀＀ ＀＀	＀＀_x0008_＀＀_x0001_＀＀_x0001_＀＀_x0001_＀＀＀＀＀＀䃒찀䶓'低幃䅃偟协剔呅䉟久偟䥁⡄㈱㈯㄰ⰰⰬ唬䑓착!＀＀ ＀＀	＀＀_x0008_＀＀_x0001_＀＀_x0001_＀＀_x0001_＀＀＀＀＀＀ 䁱찀䞌丯!低幃䍅彁䕍乁卟䱁卅⬨ⰲ㜰㈯⼶〲ㄱ착!＀＀ ＀＀	＀＀_x0008_＀＀_x0001_＀＀_x0001_＀＀_x0001_＀＀炤਽䃛찀䶓;低幃南偟久䥓乏䅟卓呅当充䥕ㄨ⼲〲㐰䀩䅃偟久当䍐彔充ㄨ⼲〲㐰착!＀＀ ＀＀	＀＀_x0008_＀＀_x0001_＀＀_x0001_＀＀_x0001_＀＀＀＀＀＀＀＀䁐찀⪽产 低幃䍅彁䕍乁䕟䥂⡔㈫ㄬ⼰㔲㈯㄰⤱!＀＀ ＀＀	＀＀_x0008_＀＀_x0001_＀＀_x0001_＀＀_x0001_＀＀욧ŋ䂨찀䶓&lt;低幃䅃偟久当䥄䍓剟呁⡅㈱㈯〰⤹址当䕐华佉彎䥄䍓剟呁⡅㈱㈯〰⤹!＀＀ ＀＀	＀＀_x0008_＀＀_x0001_＀＀_x0001_＀＀_x0001_＀＀蔟凫Ẹ䀘찀䶓C低幃䅃偟久当剐䩏佟䱂ㄨ⼲〲㌰ⰬⰬ单⥄址当䕐华佉彎䉐⡏㈱㈯〰ⰳⰬ唬䑓착!＀＀ ＀＀	＀＀_x0008_＀＀_x0001_＀＀_x0001_＀＀_x0001_＀＀＀＀＀＀稀䃐찀䶓G低幃䅃偟协剔呅䍟协⡔㈱㈯〰ⰷⰬ唬䑓䀩南䡟呌䍈剁彅偎彐塅⡐㈱㈯〰ⰷⰬ唬䑓착!＀＀ ＀＀	＀＀_x0008_＀＀_x0001_＀＀_x0001_＀＀_x0001_＀＀＀＀＀＀耀䁝찀濱两!低幃䍅彁䕍乁䕟䥂䑔⬨ⰳ㜰ㄯ⼸〲ㄱ착!＀＀ ＀＀	＀＀_x0008_＀＀_x0001_＀＀_x0001_＀＀_x0001_＀＀㭥俟꼍䂭찀䶓＀Ｏ低幃南䱟䅅䕓䍟䵏䥍彔剙⠳㈱㈯〰ⰶ㈱㈯〰ⰶⰬ唬䑓착!＀＀ ＀＀	＀＀_x0008_＀＀_x0001_＀＀_x0001_＀＀_x0001_＀＀＀＀＀＀瀀䁰찀䶜!低幃䍅彁䕍乁卟䱁卅⬨ⰲ㐰〯⼶〲ㄱ착!＀＀ ＀＀	＀＀_x0008_＀＀_x0001_＀＀_x0001_＀＀_x0001_＀＀ꏗ㵰훺䃜찀䶓＀Ｏ低幃南䱟䅅䕓䍟䵏䥍彔剙⠳㈱㈯〰ⰷ㈱㈯〰ⰷⰬ唬䑓착!＀＀ ＀＀	＀＀_x0008_＀＀_x0001_＀＀_x0001_＀＀_x0001_＀＀＀＀＀＀倀䁲찀䶓 低幃南䕟䍘彈䅒䕔䥟䍎䍟⡆㈱㈯〰⤵!＀＀ ＀＀	＀＀_x0008_＀＀_x0001_＀＀_x0001_＀＀_x0001_＀＀豀碵꼝쐕찀䶓,低幃䅃偟协剔呅䕟偍䍟乏剔䉉䍟ㄨ⼲〲㜰ⰬⰬ单⥄!＀＀ ＀＀	＀＀_x0008_＀＀_x0001_＀＀_x0001_＀＀_x0001_＀＀＀＀＀＀䁧찀䶓＀Ｏ低幃南䱟䅅䕓䍟䵏䥍彔剙⠳㈱㈯〰ⰸ㈱㈯〰ⰸⰬ唬䑓착!＀＀ ＀＀	＀＀_x0008_＀＀_x0001_＀＀_x0001_＀＀_x0001_＀＀＀＀＀＀䁰찀䶓L低幃䅃偟协剔呅䥟呎䍟协⡔㈱㈯〰ⰴⰬ唬䑓䀩南䡟呌䍈剁彅义彔佃呓ㄨ⼲〲㐰ⰬⰬ单⥄!＀＀ ＀＀	＀＀_x0008_＀＀_x0001_＀＀_x0001_＀＀_x0001_＀＀＀＀＀＀䁥찀䶓＀Ｏ低幃南䱟䅅䕓䍟䵏䥍彔剙⠳㈱㈯〰ⰹ㈱㈯〰ⰹⰬ唬䑓착!＀＀ ＀＀	＀＀_x0008_＀＀_x0001_＀＀_x0001_＀＀_x0001_＀＀＀＀＀＀쀀䁭찀䶓I低幃䅃偟久当剓彖佃呓ㄨ⼲〲㠰ⰬⰬ单⥄址当䕐华佉彎䕓噒䍟协⡔㈱㈯〰ⰸⰬ唬䑓착!＀＀ ＀＀	＀＀_x0008_＀＀_x0001_＀＀_x0001_＀＀_x0001_＀＀＀＀＀＀蠀䂆찀濱两_x001F_低幃䍅彁䕍乁䕟卐⬨ⰲ㜰ㄯ⼸〲ㄱ착!＀＀ ＀＀	＀＀_x0008_＀＀_x0001_＀＀_x0001_＀＀_x0001_＀＀펮䭈﷥䀜찀䶓_x0017_呒幎彆䕂䅔卟㕐〰㙟䴰〨착!＀＀ ＀＀	＀＀_x0008_＀＀_x0001_＀＀_x0001_＀＀_x0001_＀＀ᆶ癏挳㿥찀䶓_x001C_低幃䍅彁䕍乁䕟䥂䑔⬨ⰲ〴㜴⤸!＀＀ ＀＀	＀＀_x0008_＀＀_x0001_＀＀_x0001_＀＀_x0001_＀＀ⴏ鶲碯䂯찀䶓%低幃䅃偟久当啃归䥌䉁⡓㈱㈯〰ⰸⰬ唬䑓착!＀＀ ＀＀	＀＀_x0008_＀＀_x0001_＀＀_x0001_＀＀_x0001_＀＀＀＀＀＀耀䁆찀䶓$低幃䅃偟久当䕂彎䅐䑉ㄨ⼲〲㜰ⰬⰬ单⥄!＀＀ ＀＀	＀＀_x0008_＀＀_x0001_＀＀_x0001_＀＀_x0001_＀＀＀＀＀＀᐀䂒찀䶓＀Ｏ低幃南䡟呌䍈剁彅䵁剏彔䕓噒䍟协⡔㈱㈯〰ⰷⰬ唬䑓착!＀＀ ＀＀	＀＀_x0008_＀＀_x0001_＀＀_x0001_＀＀_x0001_＀＀＀＀＀＀䀀쁐찀䶓_x0013_低幃千彆䕄呂儨剔〬착ň＀＀ ＀＀İ＀＀_x0008_＀＀_x0001_＀＀_x0001_＀＀_x0001_＀＀＀＀＀＀_xDD00_䂲摦畳㩰⼯楤敲瑣潩獮䘯呁嘠敩敷㽲捡楴湯唽䑐呁♅牣慥潴㵲慦瑣敳♴奄彎剁升吽啒♅佄彃䅎䕍䘽呁䘺䱑䅟䑕呉义彇䱃䕉呎呟䵅䱐呁⹅䅆♔楤灳慬役瑳楲杮䄽摵瑩嘦剁䬺奅倽䱙婇婗剑♕䅖㩒啑剅㵙ㅑ䝎じ䙒汑潑噕卒䑌灁圦义佄㵗䥆卒彔佐啐♐䕈䝉呈㐽〵圦䑉䡔㐽〵匦䅔呒䵟塁䵉婉䑅䘽䱁䕓嘦剁䌺䱁久䅄㵒单嘦剁区䵙佂㵌低♃䅖㩒义䕄㵘0䶓J低幃䅃偟久当䱐乁䅟呓ㄨ⼲〲㔰ⰬⰬ单⥄址当䕐华佉彎䅖彌十䕓協ㄨ⼲〲㔰ⰬⰬ单⥄!＀＀ ＀＀	＀＀_x0008_＀＀_x0001_＀＀_x0001_＀＀_x0001_＀＀＀＀＀＀泀䃒찀⪽产_x001F_低幃䍅䵟䑅偟䥒䕃呟呇㄁⼰㔲㈯㄰찱!＀＀ ＀＀	＀＀_x0008_＀＀_x0001_＀＀_x0001_＀＀_x0001_＀＀＀＀＀＀䀀䁐찀䶓)低幃䅃偟协剔呅佟䡔䑁彊䉎⡁㈱㈯〰ⰷⰬ唬䑓착!＀＀ ＀＀	＀＀_x0008_＀＀_x0001_＀＀_x0001_＀＀_x0001_＀＀＀＀＀＀＀＀쀷찀䶓＀Ｏ低幃南䱟䅅䕓䍟䵏䥍彔剙⠳㈱㈯〰ⰲ㈱㈯〰ⰲⰬ唬䑓착!＀＀ ＀＀	＀＀_x0008_＀＀_x0001_＀＀_x0001_＀＀_x0001_＀＀＀＀＀＀耀䁭찀䶓)低幃南偟久䥓乏噟䱁䅟卓呅⡓㈱㈯〰ⰹⰬ唬䑓착!＀＀ ＀＀	＀＀_x0008_＀＀_x0001_＀＀_x0001_＀＀_x0001_＀＀＀＀＀＀筀䃔찀䞌丯 低幃䍅彁䕍乁䕟䥂⡔㈫〬⼷㘲㈯㄰⤱!＀＀ ＀＀	＀＀_x0008_＀＀_x0001_＀＀_x0001_＀＀_x0001_＀＀司ꗣꈛ䂨찀䶓＀Ｏ低幃南䱟䅅䕓䍟䵏䥍彔剙⠳㈱㈯〰ⰳ㈱㈯〰ⰳⰬ唬䑓착!＀＀ ＀＀	＀＀_x0008_＀＀_x0001_＀＀_x0001_＀＀_x0001_＀＀＀＀＀＀＀＀䁭찀䶓&amp;低幃䅃偟久当十彔义䅔䝎ㄨ⼲〲㔰ⰬⰬ单⥄!＀＀ ＀＀	＀＀_x0008_＀＀_x0001_＀＀_x0001_＀＀_x0001_＀＀＀＀＀＀쀀䁑찀䶓＀Ｏ低幃南䱟䅅䕓䍟䵏䥍彔剙⠳㈱㈯〰ⰴ㈱㈯〰ⰴⰬ唬䑓착!＀＀ ＀＀	＀＀_x0008_＀＀_x0001_＀＀_x0001_＀＀_x0001_＀＀＀＀＀＀怀䁮찀濱两_x0017_低幃䝆偟䥒䕃、⼷㠱㈯㄰찱!＀＀ ＀＀	＀＀_x0008_＀＀_x0001_＀＀_x0001_＀＀_x0001_＀＀＀＀＀＀က䁐찀䶓_x0010_呒幎䝆䵟呋噟䱁䕕!＀＀ ＀＀	＀＀_x0008_＀＀_x0001_＀＀_x0001_＀＀_x0001_＀＀尩슏랽䃑찀䶓＀Ｏ低幃南䱟䅅䕓䍟䵏䥍彔剙⠳㈱㈯〰ⰵ㈱㈯〰ⰵⰬ唬䑓착!＀＀ ＀＀	＀＀_x0008_＀＀_x0001_＀＀_x0001_＀＀_x0001_＀＀＀＀＀＀瀀䁱찀䶓(低幃南䡟呌䍈剁彅乕彆䕂⡎㈱㈯〰ⰸⰬ唬䑓⤩＀＀＀＀䶓'低幃䅃偟久当商䑎卟䅔啔⡓㈱㈯〰ⰴⰬ唬䑓착!＀＀ ＀＀	＀＀_x0008_＀＀_x0001_＀＀_x0001_＀＀_x0001_＀＀＀＀＀＀␀䂕찀䶜 低幃䍅彁䕍乁䕟䥂⡔㈫〬⼴㘰㈯㄰⤱!＀＀ ＀＀	＀＀_x0008_＀＀_x0001_＀＀_x0001_＀＀_x0001_＀＀ㄦ꺈䂨찀䶓T低幃䅃偟协剔呅偟䥒剏卟噒ㄨ⼲〲㔰ⰬⰬ单⥄址当䱈䡔䅃䕒啟剎䍅卟剅彖佃呓ㄨ⼲〲㔰ⰬⰬ单⥄!＀＀ ＀＀	＀＀_x0008_＀＀_x0001_＀＀_x0001_＀＀_x0001_＀＀＀＀＀＀쀀쁐찀䶓$低幃䅃偟久当呌䱟䅉卂ㄨ⼲〲〱ⰬⰬ单⥄!＀＀ ＀＀	＀＀_x0008_＀＀_x0001_＀＀_x0001_＀＀_x0001_＀＀＀＀＀＀Ȁ䂢찀䶓#低幃䅃偟协剔呅䱟䅉⡂㈱㈯〰ⰶⰬ唬䑓착!＀＀ ＀＀	＀＀_x0008_＀＀_x0001_＀＀_x0001_＀＀_x0001_＀＀＀＀＀＀ఀ삟찀䶓Q低幃䅃偟久当䍁啃彍佃偍䥒䍎ㄨ⼲〲㠰ⰬⰬ单⥄址当佃偍归义彃䕐华䱟䅉⡂㈱㈯〰ⰸⰬ唬䑓착!＀＀ ＀＀	＀＀_x0008_＀＀_x0001_＀＀_x0001_＀＀_x0001_＀＀＀＀＀＀䠀사찀䶓G低幃䅃偟协剔呅䍟协⡔㈱㈯〰ⰶⰬ唬䑓䀩南䡟呌䍈剁彅偎彐塅⡐㈱㈯〰ⰶⰬ唬䑓착!＀＀ ＀＀	＀＀_x0008_＀＀_x0001_＀＀_x0001_＀＀_x0001_＀＀＀＀＀＀䁪찀䶓 低幃南䕟䍘彈䅒䕔䥟䍎䍟⡆㈱㈯〰⤶!＀＀ ＀＀	＀＀_x0008_＀＀_x0001_＀＀_x0001_＀＀_x0001_＀＀豀碵꼝쐕찀䶓*低幃南䡟呌䍈剁彅塅彐呌剟䅏ㄨ⼲〲㐰ⰬⰬ单⥄!＀＀ ＀＀	＀＀_x0008_＀＀_x0001_＀＀_x0001_＀＀_x0001_＀＀＀＀＀＀＀＀䀘찀䶓(低幃䅃偟久当䅐呒䍟乏剔䉉ㄨ⼲〲㘰ⰬⰬ单⥄!＀＀ ＀＀	＀＀_x0008_＀＀_x0001_＀＀_x0001_＀＀_x0001_＀＀＀＀＀＀＀＀䀽찀䶓"低幃南偟久䥓乏偟佂ㄨ⼲〲㐰ⰬⰬ单⥄!＀＀ ＀＀	＀＀_x0008_＀＀_x0001_＀＀_x0001_＀＀_x0001_＀＀＀＀＀＀䃒찀䶓N低幃䅃偟久当乕䕒佃⡇㈱㈯〰ⰵⰬ唬䑓䀩南偟久䥓乏啟剎䍅卟剅彖佃呓ㄨ⼲〲㔰ⰬⰬ单⥄!＀＀ ＀＀	＀＀_x0008_＀＀_x0001_＀＀_x0001_＀＀_x0001_＀＀＀＀＀＀䁰찀䶓[低幃南剟久䅔彌偏䱟䕓䕟偘ㄨ⼲〲㘰ㄬ⼲〲㘰ⰬⰬ单⥄䍀彁呒剟久彔䥍彎塅⡐㈱㈯〰ⰶ㈱㈯〰ⰶⰬ唬䑓착!＀＀ ＀＀	＀＀_x0008_＀＀_x0001_＀＀_x0001_＀＀_x0001_＀＀＀＀＀＀⠀䂁찀䶓)低幃䅃偟久当䵅彐佃呎䥒彂⡃㈱㈯㄰ⰰⰬ唬䑓착!＀＀ ＀＀	＀＀_x0008_＀＀_x0001_＀＀_x0001_＀＀_x0001_＀＀＀＀＀＀䂋찀䶓 低幃南䕟䍘彈䅒䕔ㄨ⼲〲㘰ⰬⰬ单⥄!＀＀ ＀＀	＀＀_x0008_＀＀_x0001_＀＀_x0001_＀＀_x0001_＀＀＀＀＀＀＀＀㿰찀䶓G低幃䅃偟久当䕎彔佃呓ㄨ⼲〲㔰ⰬⰬ单⥄址当䕐华佉彎偎彐塅⡐㈱㈯〰ⰵⰬ唬䑓착!＀＀ ＀＀	＀＀_x0008_＀＀_x0001_＀＀_x0001_＀＀_x0001_＀＀＀＀＀＀ꀀ䁹찀䶓(低幃䅃偟久当偐彄䕂彎佃呓ㄨ⼲〲㜰ⰬⰬ单⥄!＀＀ ＀＀	＀＀_x0008_＀＀_x0001_＀＀_x0001_＀＀_x0001_＀＀豀碵꼝쐕찀䶓%低幃䅃偟久当佃偍剟呁⡅㈱㈯〰ⰶⰬ唬䑓착!＀＀ ＀＀	＀＀_x0008_＀＀_x0001_＀＀_x0001_＀＀_x0001_＀＀＀＀＀＀＀＀䀑찀⪼产_x0018_低幃䍅彁䥆䍓䱁奟䅅⡒ㄫ⤬!＀＀ ＀＀	＀＀_x0008_＀＀_x0001_＀＀_x0001_＀＀_x0008_＀＀㈱㈯㄰1찀䶓P低幃䅃偟协剔呅偟䅌彎十彔久⡄㈱㈯〰ⰸⰬ唬䑓䀩南䡟呌䍈剁彅噆䅟卓呅ㄨ⼲〲㠰ⰬⰬ单⥄!＀＀ ＀＀	＀＀_x0008_＀＀_x0001_＀＀_x0001_＀＀_x0001_＀＀＀＀＀＀瀀䂆찀䶓G低幃䅃偟久当䕎彔佃呓ㄨ⼲〲㠰ⰬⰬ单⥄址当䕐华佉彎偎彐塅⡐㈱㈯〰ⰸⰬ唬䑓착!＀＀ ＀＀	＀＀_x0008_＀＀_x0001_＀＀_x0001_＀＀_x0001_＀＀＀＀＀＀ 䁬찀䶓_x0016_䑇䙞䉟呅彁偓〵弰〶⡍⤰!＀＀ ＀＀	＀＀_x0008_＀＀_x0001_＀＀_x0001_＀＀_x0001_＀＀ӑ墊ツ㿴찀䶓_x001B_低幃䍅彁䕍乁䕟䥂⡔㈫㐬㐰㠷착!＀＀ ＀＀	＀＀_x0008_＀＀_x0001_＀＀_x0001_＀＀_x0001_＀＀쫁䖡ᄶ䂪찀䶓E低幃䅃偟协剔呅䉟久佟⡂㈱㈯㄰ⰰⰬ唬䑓䀩南䡟呌䍈剁彅䉐⡏㈱㈯㄰ⰰⰬ唬䑓착!＀＀ ＀＀	＀＀_x0008_＀＀_x0001_＀＀_x0001_＀＀_x0001_＀＀＀＀＀＀Ȁ䂦찀䶓_x001B_低幃坍呟塁剟呁⡅低ⱗⰬ刢≐착!＀＀ ＀＀	＀＀_x0008_＀＀_x0001_＀＀_x0001_＀＀_x0001_＀＀鈑䰅盠䀵찀䶓_x0017_䱌幌彆䕂䅔卟㕐〰㙟䴰〨착!＀＀ ＀＀	＀＀_x0008_＀＀_x0001_＀＀_x0001_＀＀_x0001_＀＀朏꠴ꫬ㿭찀䶓'低幃䅃偟久当商䑎卟䅔啔⡓㈱㈯㄰ⰰⰬ唬䑓착!＀＀ ＀＀	＀＀_x0008_＀＀_x0001_＀＀_x0001_＀＀_x0001_＀＀＀＀＀＀㠀삟찀䶓G低幃䅃偟久当䕎彔佃呓ㄨ⼲〲〱ⰬⰬ单⥄址当䕐华佉彎偎彐塅⡐㈱㈯㄰ⰰⰬ唬䑓착!＀＀ ＀＀	＀＀_x0008_＀＀_x0001_＀＀_x0001_＀＀_x0001_＀＀＀＀＀＀頀䂂찀䶓_x000F_低幃南䥟体䍟䑏책_x001D_＀＀ ＀＀_x0005_＀＀_x0004_＀＀_x0001_＀＀_x0001_＀＀_x0008_＀＀单D찀濱两!低幃䍅彁䕍乁䕟䥂䑔⬨ⰱ㜰ㄯ⼸〲ㄱ착!＀＀ ＀＀	＀＀_x0008_＀＀_x0001_＀＀_x0001_＀＀_x0001_＀＀凬Ẹ譅䂬찀䶓$低幃䅃偟久当呌䱟䅉卂ㄨ⼲〲㐰ⰬⰬ单⥄!＀＀ ＀＀	＀＀_x0008_＀＀_x0001_＀＀_x0001_＀＀_x0001_＀＀豀碵꼝쐕찀䶓J低幃䅃偟久当䱐乁䅟呓ㄨ⼲〲㠰ⰬⰬ单⥄址当䕐华佉彎䅖彌十䕓協ㄨ⼲〲㠰ⰬⰬ单⥄!＀＀ ＀＀	＀＀_x0008_＀＀_x0001_＀＀_x0001_＀＀_x0001_＀＀＀＀＀＀ᅀ䃒찀䶓C䑇䙞彆久剔剐噟䱁䑟䥁奌㐨㔰㜶ⰬⰬ∬䥄≌⼩䍅彁䕍乁䕟䥂䑔⡁〲ㄱ㐬㔰㜶착Ƌ＀＀ ＀＀ų＀＀_x0008_＀＀_x0001_＀＀_x0001_＀＀_x0001_＀＀纛畴Ⴜ䀙摦畳㩰⼯楤敲瑣潩獮䘯呁嘠敩敷㽲捡楴湯唽䑐呁♅牣慥潴㵲慦瑣敳♴奄彎剁升吽啒♅佄彃䅎䕍䘽呁䘺䱑䅟䑕呉义彇䱃䕉呎呟䵅䱐呁⹅䅆♔楤灳慬役瑳楲杮䄽摵瑩嘦剁䬺奅堽之䙍䡍婇♙䅖㩒啑剅㵙歒晚啒唵汕卂ㅘ䉚䙔䔹啑䵬南で䑍㉕祎獷䍌獷お䩒䍔灣が䑖噑丹啒但じ䍖噓䕒卑祧䑍硅䑌睑呎㍙克㴽圦义佄㵗䥆卒彔佐啐♐䕈䝉呈㐽〵圦䑉䡔㐽〵匦䅔呒䵟塁䵉婉䑅䘽䱁䕓嘦剁䌺䱁久䅄㵒单嘦剁区䵙佂㵌䑇嘦剁䤺䑎塅〽찀䶓*低幃南䡟呌䍈剁彅塅彐呌剟䅏ㄨ⼲〲〱ⰬⰬ单⥄!＀＀ ＀＀	＀＀_x0008_＀＀_x0001_＀＀_x0001_＀＀_x0001_＀＀馚香香䀛찀䶓'低幃南偟久偟协彔䕒彔䕂⡎㈱㈯〰ⰷⰬ唬䑓착!＀＀ ＀＀	＀＀_x0008_＀＀_x0001_＀＀_x0001_＀＀_x0001_＀＀＀＀＀＀耀䂧찀䶓＀Ｏ低幃南䱟䅅䕓䍟䵏䥍彔剙⠳㈱㈯㄰ⰰ㈱㈯㄰ⰰⰬ唬䑓착!＀＀ ＀＀	＀＀_x0008_＀＀_x0001_＀＀_x0001_＀＀_x0001_＀＀＀＀＀＀ꀀ䁴찀䶓)低幃䅃偟久当䵅彐佃呎䥒彂⡃㈱㈯〰ⰴⰬ唬䑓착!＀＀ ＀＀	＀＀_x0008_＀＀_x0001_＀＀_x0001_＀＀_x0001_＀＀＀＀＀＀耀䂃찀䶓%低幃南䥟呎剟呁彅夵噁⡇㈱㈯〰ⰷⰬ唬䑓착!＀＀ ＀＀	＀＀_x0008_＀＀_x0001_＀＀_x0001_＀＀_x0001_＀＀챣譝䀞찀䶓M低幃䅃偟协剔呅卟噒䍟协⡔㈱㈯〰ⰶⰬ唬䑓䀩南䡟呌䍈剁彅䕓噒䍟协⡔㈱㈯〰ⰶⰬ唬䑓착!＀＀ ＀＀	＀＀_x0008_＀＀_x0001_＀＀_x0001_＀＀_x0001_＀＀＀＀＀＀䀀䁑찀䶓F低幃䅃偟久当佒彁䍁⡔㈱㈯〰ⰵⰬ唬䑓䀩南偟久䥓乏䅟呃剟䅏ㄨ⼲〲㔰ⰬⰬ单⥄!＀＀ ＀＀	＀＀_x0008_＀＀_x0001_＀＀_x0001_＀＀_x0001_＀＀＀＀＀＀砀䂛찀䶓_x001B_䱌幌䝆䵟呋噟䱁䕕 ⼳㔱㈯㄰찱!＀＀ ＀＀	＀＀_x0008_＀＀_x0001_＀＀_x0001_＀＀_x0001_＀＀ꧼ틱霭䃀찀䶓;低幃南偟久䥓乏䅟卓呅当呏⡈㈱㈯〰⤶䍀彁䕐华偟呃佟䡔ㄨ⼲〲㘰착!＀＀ ＀＀	＀＀_x0008_＀＀_x0001_＀＀_x0001_＀＀_x0001_＀＀＀＀＀＀＀＀䀠찀䶓F低幃䅃偟久当佒彁䍁⡔㈱㈯〰ⰸⰬ唬䑓䀩南偟久䥓乏䅟呃剟䅏ㄨ⼲〲㠰ⰬⰬ单⥄!＀＀ ＀＀	＀＀_x0008_＀＀_x0001_＀＀_x0001_＀＀_x0001_＀＀＀＀＀＀堀삫찀䶓＀Ｏ低幃南䱟䅅䕓䍟䵏䥍彔剙⠴㈱㈯〰ⰲ㈱㈯〰ⰲⰬ唬䑓착!＀＀ ＀＀	＀＀_x0008_＀＀_x0001_＀＀_x0001_＀＀_x0001_＀＀＀＀＀＀ꀀ䁦찀䶓N低幃䅃偟久当乕䕒佃⡇㈱㈯〰ⰴⰬ唬䑓䀩南偟久䥓乏啟剎䍅卟剅彖佃呓ㄨ⼲〲㐰ⰬⰬ单⥄!＀＀ ＀＀	＀＀_x0008_＀＀_x0001_＀＀_x0001_＀＀_x0001_＀＀＀＀＀＀ 䁴찀䶓＀Ｏ低幃南䱟䅅䕓䍟䵏䥍彔剙⠴㈱㈯〰ⰳ㈱㈯〰ⰳⰬ唬䑓착!＀＀ ＀＀	＀＀_x0008_＀＀_x0001_＀＀_x0001_＀＀_x0001_＀＀＀＀＀＀耀䁨찀䶓F低幃䅃偟久当佒彁䍁⡔㈱㈯㄰ⰰⰬ唬䑓䀩南偟久䥓乏䅟呃剟䅏ㄨ⼲〲〱ⰬⰬ单⥄!＀＀ ＀＀	＀＀_x0008_＀＀_x0001_＀＀_x0001_＀＀_x0001_＀＀＀＀＀＀혀䂤찀䶓＀Ｏ低幃南䱟䅅䕓䍟䵏䥍彔剙⠴㈱㈯〰ⰴ㈱㈯〰ⰴⰬ唬䑓착!＀＀ ＀＀	＀＀_x0008_＀＀_x0001_＀＀_x0001_＀＀_x0001_＀＀＀＀＀＀ꀀ䁩찀䶓＀Ｏ低幃南䱟䅅䕓䍟䵏䥍彔剙⠴㈱㈯〰ⰵ㈱㈯〰ⰵⰬ唬䑓착!＀＀ ＀＀	＀＀_x0008_＀＀_x0001_＀＀_x0001_＀＀_x0001_＀＀＀＀＀＀쀀䁬찀䶓 低幃南䕟䍘彈䅒䕔䥟䍎䍟⡆㈱㈯〰⤷!＀＀ ＀＀	＀＀_x0008_＀＀_x0001_＀＀_x0001_＀＀_x0001_＀＀豀碵꼝쐕찀䶓%低幃䅃偟久当呌䅟卓呅⡓㈱㈯〰ⰷⰬ唬䑓착!＀＀ ＀＀	＀＀_x0008_＀＀_x0001_＀＀_x0001_＀＀_x0001_＀＀＀＀＀＀쐀䂟찀䶓_x0014_低幃䍅䵟䑅偟䥒䕃呟呇!＀＀ ＀＀	＀＀_x0008_＀＀_x0001_＀＀_x0001_＀＀_x0001_＀＀＀＀＀＀耀䁒찀䶓＀Ｏ低幃南䱟䅅䕓䍟䵏䥍彔剙⠴㈱㈯〰ⰶ㈱㈯〰ⰶⰬ唬䑓착!＀＀ ＀＀	＀＀_x0008_＀＀_x0001_＀＀_x0001_＀＀_x0001_＀＀＀＀＀＀＀＀䁪찀䶓G低幃䅃偟协剔呅䍟协⡔㈱㈯〰ⰵⰬ唬䑓䀩南䡟呌䍈剁彅偎彐塅⡐㈱㈯〰ⰵⰬ唬䑓착!＀＀ ＀＀	＀＀_x0008_＀＀_x0001_＀＀_x0001_＀＀_x0001_＀＀＀＀＀＀ꀀ䁪찀䶓_x000E_低幃南䍟彏䅎䕍6＀＀ ＀＀_x001E_＀＀_x001D_＀＀_x0001_＀＀_x0001_＀＀_x0008_＀＀低呒剈偏䜠啒䵍乁䌠剏佐䅒䥔乏＀＀䶓(低幃南偟久䥓乏䅟卓呅当呌ㄨ⼲〲㘰ⰬⰬ单⥄!＀＀ ＀＀	＀＀_x0008_＀＀_x0001_＀＀_x0001_＀＀_x0001_＀＀豀碵꼝쐕찀䶓＀Ｏ低幃南䱟䅅䕓䍟䵏䥍彔剙⠴㈱㈯〰ⰷ㈱㈯〰ⰷⰬ唬䑓착!＀＀ ＀＀	＀＀_x0008_＀＀_x0001_＀＀_x0001_＀＀_x0001_＀＀＀＀＀＀怀䁪찀䶓-低幃䅃偟协剔呅啟归剔佟彂䵁剏⡔㈱㈯〰ⰸⰬ唬䑓착!＀＀ ＀＀	＀＀_x0008_＀＀_x0001_＀＀_x0001_＀＀_x0001_＀＀＀＀＀＀＀＀＀＀찀䶓＀Ｏ低幃南䱟䅅䕓䍟䵏䥍彔剙⠴㈱㈯〰ⰸ㈱㈯〰ⰸⰬ唬䑓착!＀＀ ＀＀	＀＀_x0008_＀＀_x0001_＀＀_x0001_＀＀_x0001_＀＀＀＀＀＀怀䁬찀䶓＀Ｏ低幃南䱟䅅䕓䍟䵏䥍彔剙⠴㈱㈯〰ⰹ㈱㈯〰ⰹⰬ唬䑓착!＀＀ ＀＀	＀＀_x0008_＀＀_x0001_＀＀_x0001_＀＀_x0001_＀＀＀＀＀＀ꀀ䁦찀䶓 低幃南䕟䍘彈䅒䕔䉟䱁卟⡈㈱㈯㄰⤰!＀＀ ＀＀	＀＀_x0008_＀＀_x0001_＀＀_x0001_＀＀_x0001_＀＀豀碵꼝쐕찀䶓E低幃䅃偟协剔呅䉟久佟⡂㈱㈯〰ⰳⰬ唬䑓䀩南䡟呌䍈剁彅䉐⡏㈱㈯〰ⰳⰬ唬䑓착!＀＀ ＀＀	＀＀_x0008_＀＀_x0001_＀＀_x0001_＀＀_x0001_＀＀＀＀＀＀吀䂧찀䶓'低幃䅃偟协剔呅䉟久偟䥁⡄㈱㈯〰ⰵⰬ唬䑓착!＀＀ ＀＀	＀＀_x0008_＀＀_x0001_＀＀_x0001_＀＀_x0001_＀＀＀＀＀＀ 䁲찀䶓)低幃南䡟呌䍈剁彅䥄䍓剟呁⡅㈱㈯〰ⰷⰬ唬䑓착!＀＀ ＀＀	＀＀_x0008_＀＀_x0001_＀＀_x0001_＀＀_x0001_＀＀ᑻ䞮竡䀘찀⨹产7低幃䕆䕟呓䵉呁⡅倧䥔Ⱗ䴧䅅❎✬啑剁䕔䱒❙✬ㄫⰧ低ⱗⰬ✧착!＀＀ ＀＀	＀＀_x0008_＀＀_x0001_＀＀_x0001_＀＀_x0001_＀＀ଏꚵ穹䂆찀䶓+低幃䅃偟协剔呅偟剁彔佃呎䥒⡂㈱㈯〰ⰸⰬ唬䑓착!＀＀ ＀＀	＀＀_x0008_＀＀_x0001_＀＀_x0001_＀＀_x0001_＀＀＀＀＀＀耀䁓찀䶓;低幃南偟久䥓乏䅟卓呅当剐偏ㄨ⼲〲㤰䀩䅃偟久当䍐彔䕒ㄨ⼲〲㤰착!＀＀ ＀＀	＀＀_x0008_＀＀_x0001_＀＀_x0001_＀＀_x0001_＀＀ᑺ䞮䀒찀䶓I低幃䅃偟久当剓彖佃呓ㄨ⼲〲㜰ⰬⰬ单⥄址当䕐华佉彎䕓噒䍟协⡔㈱㈯〰ⰷⰬ唬䑓착!＀＀ ＀＀	＀＀_x0008_＀＀_x0001_＀＀_x0001_＀＀_x0001_＀＀＀＀＀＀退䂈찀䶓&lt;低幃南偟久䥓乏䅟卓呅当佂䑎⡓㈱㈯〰⤶䍀彁䕐华偟呃䙟⡉㈱㈯〰⤶!＀＀ ＀＀	＀＀_x0008_＀＀_x0001_＀＀_x0001_＀＀_x0001_＀＀＀＀＀＀＀＀䀿찀䶓%低幃䅃偟久当啃归䥌䉁⡓㈱㈯〰ⰹⰬ唬䑓착!＀＀ ＀＀	＀＀_x0008_＀＀_x0001_＀＀_x0001_＀＀_x0001_＀＀＀＀＀＀耀䁇찀䶓)低幃南偟久䥓乏噟䱁䅟卓呅⡓㈱㈯〰ⰴⰬ唬䑓착!＀＀ ＀＀	＀＀_x0008_＀＀_x0001_＀＀_x0001_＀＀_x0001_＀＀＀＀＀＀一䃑찀濱两 低幃䍅彁䕍乁䕟䥂⡔㌫〬⼷㠱㈯㄰⤱!＀＀ ＀＀	＀＀_x0008_＀＀_x0001_＀＀_x0001_＀＀_x0001_＀＀茓쫀㩡䂨찀濱两!低幃䍅彁䕍乁卟䱁卅⬨ⰳ㜰ㄯ⼸〲ㄱ착!＀＀ ＀＀	＀＀_x0008_＀＀_x0001_＀＀_x0001_＀＀_x0001_＀＀凬Ẹ묕䃛찀䶓'低幃南偟久䥓乏也呅䱟䅉⡂㈱㈯〰ⰷⰬ唬䑓착!＀＀ ＀＀	＀＀_x0008_＀＀_x0001_＀＀_x0001_＀＀_x0001_＀＀豀碵꼝쐕찀䶓_x0010_䵌幔䝆䵟呋噟䱁䕕!＀＀ ＀＀	＀＀_x0008_＀＀_x0001_＀＀_x0001_＀＀_x0001_＀＀᪠_xDD2F_䀜䃛찀䶓＀Ｏ低幃南䱟䅅䕓䍟䵏䥍彔剙⠴㈱㈯㄰ⰰ㈱㈯㄰ⰰⰬ唬䑓착!＀＀ ＀＀	＀＀_x0008_＀＀_x0001_＀＀_x0001_＀＀_x0001_＀＀＀＀＀＀䁳찀䶓_x0012_低幃南䥟体䍟䑏⡅⤰_x001D_＀＀ ＀＀_x0005_＀＀_x0004_＀＀_x0001_＀＀_x0001_＀＀_x0008_＀＀单D찀䶓;低幃南偟久䥓乏䅟卓呅当剐偏ㄨ⼲〲㐰䀩䅃偟久当䍐彔䕒ㄨ⼲〲㐰착!＀＀ ＀＀	＀＀_x0008_＀＀_x0001_＀＀_x0001_＀＀_x0001_＀＀＀＀＀＀＀＀㿰찀䶓T低幃䅃偟协剔呅偟䥒剏卟噒ㄨ⼲〲㜰ⰬⰬ单⥄址当䱈䡔䅃䕒啟剎䍅卟剅彖佃呓ㄨ⼲〲㜰ⰬⰬ单⥄!＀＀ ＀＀	＀＀_x0008_＀＀_x0001_＀＀_x0001_＀＀_x0001_＀＀豀碵꼝쐕찀䶓&amp;低幃䅃偟久当十彔义䅔䝎ㄨ⼲〲㘰ⰬⰬ单⥄!＀＀ ＀＀	＀＀_x0008_＀＀_x0001_＀＀_x0001_＀＀_x0001_＀＀豀碵꼝쐕찀䶓＀Ｏ低幃南䱟䅅䕓䍟䵏䥍彔剙⠵㈱㈯〰ⰲ㈱㈯〰ⰲⰬ唬䑓착!＀＀ ＀＀	＀＀_x0008_＀＀_x0001_＀＀_x0001_＀＀_x0001_＀＀＀＀＀＀ꀀ䁢찀䶓;低幃南偟久䥓乏䅟卓呅当充䥕ㄨ⼲〲㔰䀩䅃偟久当䍐彔充ㄨ⼲〲㔰착!＀＀ ＀＀	＀＀_x0008_＀＀_x0001_＀＀_x0001_＀＀_x0001_＀＀＀＀＀＀耀䁍찀䶓 低幃南䕟䍘彈䅒䕔䥟䍎䍟⡆㈱㈯〰⤸!＀＀ ＀＀	＀＀_x0008_＀＀_x0001_＀＀_x0001_＀＀_x0001_＀＀豀碵꼝쐕찀䶓＀Ｏ低幃南䱟䅅䕓䍟䵏䥍彔剙⠵㈱㈯〰ⰳ㈱㈯〰ⰳⰬ唬䑓착!＀＀ ＀＀	＀＀_x0008_＀＀_x0001_＀＀_x0001_＀＀_x0001_＀＀＀＀＀＀䁣찀䶓'低幃䅃偟久当商䑎卟䅔啔⡓㈱㈯〰ⰵⰬ唬䑓착!＀＀ ＀＀	＀＀_x0008_＀＀_x0001_＀＀_x0001_＀＀_x0001_＀＀＀＀＀＀_xD800_䂕찀䶓J低幃䅃偟久当佒彁䅒䕔ㄨ⼲〲㘰ⰬⰬ单⥄址当䕐华佉彎塅彐呌剟䅏ㄨ⼲〲㘰ⰬⰬ单⥄!＀＀ ＀＀	＀＀_x0008_＀＀_x0001_＀＀_x0001_＀＀_x0001_＀＀＀＀＀＀＀＀䀡찀䶓B低幃䅃偟久当佒⡁㈱㈯〰ⰵⰬ唬䑓䀩南偟久䥓乏䕟偘剟䅏ㄨ⼲〲㔰ⰬⰬ单⥄!＀＀ ＀＀	＀＀_x0008_＀＀_x0001_＀＀_x0001_＀＀_x0001_＀＀＀＀＀＀삖찀䶓＀Ｏ低幃南䱟䅅䕓䍟䵏䥍彔剙⠵㈱㈯〰ⰴ㈱㈯〰ⰴⰬ唬䑓착!＀＀ ＀＀	＀＀_x0008_＀＀_x0001_＀＀_x0001_＀＀_x0001_＀＀＀＀＀＀䀀䁦찀䶓9低幃䅃偟久当䕎彔佃呓ㄨ⼲〲〱䀩南偟久䥓乏也偐䕟偘ㄨ⼲〲〱착!＀＀ ＀＀	＀＀_x0008_＀＀_x0001_＀＀_x0001_＀＀_x0001_＀＀＀＀＀＀頀䂂찀䶓,低幃䅃偟协剔呅䕟偍䍟乏剔䉉䍟ㄨ⼲〲㠰ⰬⰬ单⥄!＀＀ ＀＀	＀＀_x0008_＀＀_x0001_＀＀_x0001_＀＀_x0001_＀＀＀＀＀＀ꀀ䁦찀䶓＀Ｏ低幃南䱟䅅䕓䍟䵏䥍彔剙⠵㈱㈯〰ⰵ㈱㈯〰ⰵⰬ唬䑓착!＀＀ ＀＀	＀＀_x0008_＀＀_x0001_＀＀_x0001_＀＀_x0001_＀＀＀＀＀＀䁩찀䶜_x0017_低幃䝆偟䥒䕃、⼴㘰㈯㄰찱!＀＀ ＀＀	＀＀_x0008_＀＀_x0001_＀＀_x0001_＀＀_x0001_＀＀䞮竡⸔䁏찀䶓G低幃䅃偟协剔呅䍟协⡔㈱㈯〰ⰴⰬ唬䑓䀩南䡟呌䍈剁彅偎彐塅⡐㈱㈯〰ⰴⰬ唬䑓착!＀＀ ＀＀	＀＀_x0008_＀＀_x0001_＀＀_x0001_＀＀_x0001_＀＀＀＀＀＀＀＀䁩찀䶓(低幃南䡟呌䍈剁彅乕彆䕂⡎㈱㈯〰ⰴⰬ唬䑓⤩＀＀＀＀䶓＀Ｏ低幃南䱟䅅䕓䍟䵏䥍彔剙⠵㈱㈯〰ⰶ㈱㈯〰ⰶⰬ唬䑓착!＀＀ ＀＀	＀＀_x0008_＀＀_x0001_＀＀_x0001_＀＀_x0001_＀＀＀＀＀＀ꀀ䁢찀⪽产!低幃䍅彁䕍乁䕟䥂䑔⬨ⰳ〱㈯⼵〲ㄱ착!＀＀ ＀＀	＀＀_x0008_＀＀_x0001_＀＀_x0001_＀＀_x0001_＀＀鞍ቮꏃ䂬찀䶓"低幃南偟久䥓乏偟佂ㄨ⼲〲㔰ⰬⰬ单⥄!＀＀ ＀＀	＀＀_x0008_＀＀_x0001_＀＀_x0001_＀＀_x0001_＀＀＀＀＀＀㔀䃔찀⪼产_x0018_低幃䍅彁䥆䍓䱁奟䅅⡒㈫⤬!＀＀ ＀＀	＀＀_x0008_＀＀_x0001_＀＀_x0001_＀＀_x0008_＀＀㈱㈯㄰2찀䶓Q低幃䅃偟久当䍁啃彍佃偍䥒䍎ㄨ⼲〲㘰ⰬⰬ单⥄址当佃偍归义彃䕐华䱟䅉⡂㈱㈯〰ⰶⰬ唬䑓착!＀＀ ＀＀	＀＀_x0008_＀＀_x0001_＀＀_x0001_＀＀_x0001_＀＀＀＀＀＀뀀삓찀䶓＀Ｏ低幃南䱟䅅䕓䍟䵏䥍彔剙⠵㈱㈯〰ⰷ㈱㈯〰ⰷⰬ唬䑓착!＀＀ ＀＀	＀＀_x0008_＀＀_x0001_＀＀_x0001_＀＀_x0001_＀＀＀＀＀＀䁦찀䶓D呒幎䙆䕟呎偒归䅖彌䅄䱉⡙〴㘵ⰷⰬⰬ䐢䱉⤢䔯䅃䵟䅅彎䉅呉䅄㈨㄰ⰱ〴㘵⤷ƌ＀＀ ＀＀Ŵ＀＀_x0008_＀＀_x0001_＀＀_x0001_＀＀_x0001_＀＀횳僒᜗䀘摦畳㩰⼯楤敲瑣潩獮䘯呁嘠敩敷㽲捡楴湯唽䑐呁♅牣慥潴㵲慦瑣敳♴奄彎剁升吽啒♅佄彃䅎䕍䘽呁䘺䱑䅟䑕呉义彇䱃䕉呎呟䵅䱐呁⹅䅆♔楤灳慬役瑳楲杮䄽摵瑩嘦剁䬺奅娽䩃呅噇䩏♅䅖㩒啑剅㵙歒晚啒唵汕卂ㅘ䉚䙔䔹啑䵬南で䑍㉕祎獷䍌獷お䩒䍔灣が䑖噑丹啒但じ䍖噓䕒卑祧䑍硅䑌睑呎㍙克㴽圦义佄㵗䥆卒彔佐啐♐䕈䝉呈㐽〵圦䑉䡔㐽〵匦䅔呒䵟塁䵉婉䑅䘽䱁䕓嘦剁䌺䱁久䅄㵒单嘦剁区䵙佂㵌呒♎䅖㩒义䕄㵘0䶓 低幃南䕟䍘彈䅒䕔ㄨ⼲〲㜰ⰬⰬ单⥄!＀＀ ＀＀	＀＀_x0008_＀＀_x0001_＀＀_x0001_＀＀_x0001_＀＀＀＀＀＀＀＀㿰찀䶓＀Ｏ低幃南䱟䅅䕓䍟䵏䥍彔剙⠵㈱㈯〰ⰸ㈱㈯〰ⰸⰬ唬䑓착!＀＀ ＀＀	＀＀_x0008_＀＀_x0001_＀＀_x0001_＀＀_x0001_＀＀＀＀＀＀＀＀䁦찀䶓(低幃䅃偟久当偐彄䕂彎佃呓ㄨ⼲〲㠰ⰬⰬ单⥄!＀＀ ＀＀	＀＀_x0008_＀＀_x0001_＀＀_x0001_＀＀_x0001_＀＀豀碵꼝쐕찀䶓_x0010_低幃䝆䵟呋噟䱁䕕!＀＀ ＀＀	＀＀_x0008_＀＀_x0001_＀＀_x0001_＀＀_x0001_＀＀쫁䖡紮䃓찀䶓_x0017_低幃彆䕂䅔卟㕐〰㙟䴰〨착!＀＀ ＀＀	＀＀_x0008_＀＀_x0001_＀＀_x0001_＀＀_x0001_＀＀팗椺㿱찀䶓＀Ｏ低幃南䱟䅅䕓䍟䵏䥍彔剙⠵㈱㈯〰ⰹ㈱㈯〰ⰹⰬ唬䑓착!＀＀ ＀＀	＀＀_x0008_＀＀_x0001_＀＀_x0001_＀＀_x0001_＀＀＀＀＀＀ 䁤찀䶓%低幃南䥟呎剟呁彅夵噁⡇㈱㈯〰ⰲⰬ唬䑓착!＀＀ ＀＀	＀＀_x0008_＀＀_x0001_＀＀_x0001_＀＀_x0001_＀＀좴빶_xDA9F_䀟찀䶓_x0017_低幃䝆偟䥒䕃㄁⼰㜲㈯㄰찰!＀＀ ＀＀	＀＀_x0008_＀＀_x0001_＀＀_x0001_＀＀_x0001_＀＀㵱휊낣䁎찀䶓M低幃䅃偟协剔呅卟噒䍟协⡔㈱㈯〰ⰹⰬ唬䑓䀩南䡟呌䍈剁彅䕓噒䍟协⡔㈱㈯〰ⰹⰬ唬䑓착!＀＀ ＀＀	＀＀_x0008_＀＀_x0001_＀＀_x0001_＀＀_x0001_＀＀＀＀＀＀＀＀䁈찀䶓$低幃䅃偟久当䕂彎䅐䑉ㄨ⼲〲㠰ⰬⰬ单⥄!＀＀ ＀＀	＀＀_x0008_＀＀_x0001_＀＀_x0001_＀＀_x0001_＀＀＀＀＀＀氀䂒찀䶓＀Ｏ低幃南䡟呌䍈剁彅䵁剏彔䕓噒䍟协⡔㈱㈯〰ⰸⰬ唬䑓착!＀＀ ＀＀	＀＀_x0008_＀＀_x0001_＀＀_x0001_＀＀_x0001_＀＀＀＀＀＀䀀쁐찀䶓P低幃䅃偟协剔呅偟䅌彎十彔久⡄㈱㈯〰ⰷⰬ唬䑓䀩南䡟呌䍈剁彅噆䅟卓呅ㄨ⼲〲㜰ⰬⰬ单⥄!＀＀ ＀＀	＀＀_x0008_＀＀_x0001_＀＀_x0001_＀＀_x0001_＀＀＀＀＀＀렀䂍찀䶓$低幃䅃偟久当呌䱟䅉卂ㄨ⼲〲㔰ⰬⰬ单⥄!＀＀ ＀＀	＀＀_x0008_＀＀_x0001_＀＀_x0001_＀＀_x0001_＀＀豀碵꼝쐕찀䶓J低幃䅃偟久当䥄䍓剟呁⡅㈱㈯〰ⰹⰬ唬䑓䀩南偟久䥓乏䑟卉彃䅒䕔ㄨ⼲〲㤰ⰬⰬ单⥄!＀＀ ＀＀	＀＀_x0008_＀＀_x0001_＀＀_x0001_＀＀_x0001_＀＀蔟凫Ẹ䀘찀됑亩_x001B_低幃䝆䵟䅅彎偅当兆⠱ⰰⰬ〹착!＀＀ ＀＀	＀＀_x0008_＀＀_x0001_＀＀_x0001_＀＀_x0001_＀＀㫠ኾ㿻찀䶓[低幃南剟久䅔彌偏䱟䕓䕟偘ㄨ⼲〲㔰ㄬ⼲〲㔰ⰬⰬ单⥄䍀彁呒剟久彔䥍彎塅⡐㈱㈯〰ⰵ㈱㈯〰ⰵⰬ唬䑓착!＀＀ ＀＀	＀＀_x0008_＀＀_x0001_＀＀_x0001_＀＀_x0001_＀＀＀＀＀＀က䂀찀䶓'低幃南偟久偟协彔䕒彔䕂⡎㈱㈯〰ⰸⰬ唬䑓착!＀＀ ＀＀	＀＀_x0008_＀＀_x0001_＀＀_x0001_＀＀_x0001_＀＀＀＀＀＀뼀䂶찀䶓)低幃䅃偟久当䵅彐佃呎䥒彂⡃㈱㈯〰ⰵⰬ唬䑓착!＀＀ ＀＀	＀＀_x0008_＀＀_x0001_＀＀_x0001_＀＀_x0001_＀＀＀＀＀＀䁹찀䶓)低幃䅃偟协剔呅佟䡔䑁彊䉎⡁㈱㈯〰ⰸⰬ唬䑓착!＀＀ ＀＀	＀＀_x0008_＀＀_x0001_＀＀_x0001_＀＀_x0001_＀＀＀＀＀＀쀀䁦찀䶓＀Ｏ低幃南䱟䅅䕓䍟䵏䥍彔剙⠵㈱㈯㄰ⰰ㈱㈯㄰ⰰⰬ唬䑓착!＀＀ ＀＀	＀＀_x0008_＀＀_x0001_＀＀_x0001_＀＀_x0001_＀＀豀碵꼝쐕찀䶓J低幃䅃偟久当佒彁䅒䕔ㄨ⼲〲㤰ⰬⰬ单⥄址当䕐华佉彎塅彐呌剟䅏ㄨ⼲〲㤰ⰬⰬ单⥄!＀＀ ＀＀	＀＀_x0008_＀＀_x0001_＀＀_x0001_＀＀_x0001_＀＀＀＀＀＀＀＀䀡찀䶓 低幃南䕟䍘彈䅒䕔䥟䍎䍟⡆㈱㈯〰⤹!＀＀ ＀＀	＀＀_x0008_＀＀_x0001_＀＀_x0001_＀＀_x0001_＀＀豀碵꼝쐕찀濱两!低幃䍅彁䕍乁卟䱁卅⬨ⰱ㜰ㄯ⼸〲ㄱ착!＀＀ ＀＀	＀＀_x0008_＀＀_x0001_＀＀_x0001_＀＀_x0001_＀＀晧晦孶䃛찀䶓J低幃䅃偟协剔呅剟䅏䅟呃ㄨ⼲〲㤰ⰬⰬ单⥄址当䱈䡔䅃䕒䅟呃剟䅏ㄨ⼲〲㤰ⰬⰬ单⥄!＀＀ ＀＀	＀＀_x0008_＀＀_x0001_＀＀_x0001_＀＀_x0001_＀＀＀＀＀＀耀䁟찀䶓_x0013_呒幎千彆䕄呂儨剔〬착ň＀＀ ＀＀İ＀＀_x0008_＀＀_x0001_＀＀_x0001_＀＀_x0001_＀＀＀＀＀＀㐀䂬摦畳㩰⼯楤敲瑣潩獮䘯呁嘠敩敷㽲捡楴湯唽䑐呁♅牣慥潴㵲慦瑣敳♴奄彎剁升吽啒♅佄彃䅎䕍䘽呁䘺䱑䅟䑕呉义彇䱃䕉呎呟䵅䱐呁⹅䅆♔楤灳慬役瑳楲杮䄽摵瑩嘦剁䬺奅吽塓䉅婇呅♉䅖㩒啑剅㵙ㅑ䝎じ䙒汑潑噕卒䑌灁圦义佄㵗䥆卒彔佐啐♐䕈䝉呈㐽〵圦䑉䡔㐽〵匦䅔呒䵟塁䵉婉䑅䘽䱁䕓嘦剁䌺䱁久䅄㵒单嘦剁区䵙佂㵌呒♎䅖㩒义䕄㵘0䶓#低幃䅃偟协剔呅䱟䅉⡂㈱㈯〰ⰷⰬ唬䑓착!＀＀ ＀＀	＀＀_x0008_＀＀_x0001_＀＀_x0001_＀＀_x0001_＀＀＀＀＀＀᐀삝찀䶓L低幃䅃偟协剔呅䥟呎䍟协⡔㈱㈯〰ⰹⰬ唬䑓䀩南䡟呌䍈剁彅义彔佃呓ㄨ⼲〲㤰ⰬⰬ单⥄!＀＀ ＀＀	＀＀_x0008_＀＀_x0001_＀＀_x0001_＀＀_x0001_＀＀＀＀＀＀耀䁤찀䶓B低幃䅃偟久当佒⡁㈱㈯〰ⰸⰬ唬䑓䀩南偟久䥓乏䕟偘剟䅏ㄨ⼲〲㠰ⰬⰬ单⥄!＀＀ ＀＀	＀＀_x0008_＀＀_x0001_＀＀_x0001_＀＀_x0001_＀＀＀＀＀＀鰀삝찀䶓H低幃䅃偟久当义彔佃呓ㄨ⼲〲㤰ⰬⰬ单⥄址当䕐华佉彎义彔佃呓ㄨ⼲〲㤰ⰬⰬ单⥄!＀＀ ＀＀	＀＀_x0008_＀＀_x0001_＀＀_x0001_＀＀_x0001_＀＀＀＀＀＀᠀䂕찀䶓*低幃南䡟呌䍈剁彅塅彐呌剟䅏ㄨ⼲〲㔰ⰬⰬ单⥄!＀＀ ＀＀	＀＀_x0008_＀＀_x0001_＀＀_x0001_＀＀_x0001_＀＀＀＀＀＀＀＀䀖찀䶓%低幃䅃偟久当呌䅟卓呅⡓㈱㈯〰ⰸⰬ唬䑓착!＀＀ ＀＀	＀＀_x0008_＀＀_x0001_＀＀_x0001_＀＀_x0001_＀＀＀＀＀＀ꀀ䁰찀䶓(低幃䅃偟久当䅐呒䍟乏剔䉉ㄨ⼲〲㜰ⰬⰬ单⥄!＀＀ ＀＀	＀＀_x0008_＀＀_x0001_＀＀_x0001_＀＀_x0001_＀＀＀＀＀＀＀＀䀸찀䶓 低幃南䕟䍘彈䅒䕔䉟䱁卟⡈㈱㈯〰⤴!＀＀ ＀＀	＀＀_x0008_＀＀_x0001_＀＀_x0001_＀＀_x0001_＀＀豀碵꼝쐕찀䶓B低幃䅃偟久当佒⡁㈱㈯㄰ⰰⰬ唬䑓䀩南偟久䥓乏䕟偘剟䅏ㄨ⼲〲〱ⰬⰬ单⥄!＀＀ ＀＀	＀＀_x0008_＀＀_x0001_＀＀_x0001_＀＀_x0001_＀＀＀＀＀＀吀삛찀䶓%低幃䅃偟久当佃偍剟呁⡅㈱㈯〰ⰷⰬ唬䑓착!＀＀ ＀＀	＀＀_x0008_＀＀_x0001_＀＀_x0001_＀＀_x0001_＀＀＀＀＀＀＀＀䀑찀䶓-低幃䅃偟协剔呅啟归剔佟彂䵁剏⡔㈱㈯〰ⰹⰬ唬䑓착!＀＀ ＀＀	＀＀_x0008_＀＀_x0001_＀＀_x0001_＀＀_x0001_＀＀＀＀＀＀＀＀＀＀찀䶓_x001A_低幃䍅彁䕍乁䕟卐⬨ⰲ〴㜴⤸!＀＀ ＀＀	＀＀_x0008_＀＀_x0001_＀＀_x0001_＀＀_x0001_＀＀ᚬ⏘䀝찀䶜!低幃䍅彁䕍乁䕟䥂䑔⬨ⰳ㐰〯⼶〲ㄱ착!＀＀ ＀＀	＀＀_x0008_＀＀_x0001_＀＀_x0001_＀＀_x0001_＀＀脆䎕孋䂭찀⪽产_x001F_低幃䍅彁䕍乁䕟卐⬨ⰲ〱㈯⼵〲ㄱ착!＀＀ ＀＀	＀＀_x0008_＀＀_x0001_＀＀_x0001_＀＀_x0001_＀＀৺띧খ䀜찀䶓'低幃䅃偟协剔呅䉟久偟䥁⡄㈱㈯〰ⰶⰬ唬䑓착!＀＀ ＀＀	＀＀_x0008_＀＀_x0001_＀＀_x0001_＀＀_x0001_＀＀＀＀＀＀退䁱찀䶓)低幃南䡟呌䍈剁彅䥄䍓剟呁⡅㈱㈯〰ⰸⰬ唬䑓착!＀＀ ＀＀	＀＀_x0008_＀＀_x0001_＀＀_x0001_＀＀_x0001_＀＀＀＀＀＀＀＀䀙찀䶓Q低幃䅃偟久当䍁啃彍佃偍䥒䍎ㄨ⼲〲〱ⰬⰬ单⥄址当佃偍归义彃䕐华䱟䅉⡂㈱㈯㄰ⰰⰬ唬䑓착!＀＀ ＀＀	＀＀_x0008_＀＀_x0001_＀＀_x0001_＀＀_x0001_＀＀＀＀＀＀鐀삥찀䶓"低幃䅃偟久当偐彄䕂彎佃呓〨ⰬⰬ单⥄!＀＀ ＀＀	＀＀_x0008_＀＀_x0001_＀＀_x0001_＀＀_x0001_＀＀豀碵꼝쐕찀䶓_x001F_低幃䅃偟久当呌䅟卓呅⡓ⰰⰬ唬䑓착!＀＀ ＀＀	＀＀_x0008_＀＀_x0001_＀＀_x0001_＀＀_x0001_＀＀＀＀＀＀倀䁹찀䶓_x001B_低幃䝆䵟呋噟䱁䕕 ⼳㔱㈯㄰찱!＀＀ ＀＀	＀＀_x0008_＀＀_x0001_＀＀_x0001_＀＀_x0001_＀＀鍵И쨾䃒찀䶓)低幃南偟久䥓乏噟䱁䅟卓呅⡓㈱㈯〰ⰵⰬ唬䑓착!＀＀ ＀＀	＀＀_x0008_＀＀_x0001_＀＀_x0001_＀＀_x0001_＀＀＀＀＀＀泀䃒찀䶓%低幃南䥟呎剟呁彅夵噁⡇㈱㈯〰ⰸⰬ唬䑓착!＀＀ ＀＀	＀＀_x0008_＀＀_x0001_＀＀_x0001_＀＀_x0001_＀＀䞄䜛▬䀞찀䶓I低幃䅃偟久当剓彖佃呓ㄨ⼲〲㘰ⰬⰬ单⥄址当䕐华佉彎䕓噒䍟协⡔㈱㈯〰ⰶⰬ唬䑓착!＀＀ ＀＀	＀＀_x0008_＀＀_x0001_＀＀_x0001_＀＀_x0001_＀＀＀＀＀＀頀䂇찀䶓T低幃䅃偟协剔呅偟䥒剏卟噒ㄨ⼲〲㤰ⰬⰬ单⥄址当䱈䡔䅃䕒啟剎䍅卟剅彖佃呓ㄨ⼲〲㤰ⰬⰬ单⥄!＀＀ ＀＀	＀＀_x0008_＀＀_x0001_＀＀_x0001_＀＀_x0001_＀＀豀碵꼝쐕찀䶓;低幃南偟久䥓乏䅟卓呅当呏⡈㈱㈯〰⤴䍀彁䕐华偟呃佟䡔ㄨ⼲〲㐰착!＀＀ ＀＀	＀＀_x0008_＀＀_x0001_＀＀_x0001_＀＀_x0001_＀＀＀＀＀＀＀＀䀘찀䶓'低幃南偟久䥓乏也呅䱟䅉⡂㈱㈯〰ⰸⰬ唬䑓착!＀＀ ＀＀	＀＀_x0008_＀＀_x0001_＀＀_x0001_＀＀_x0001_＀＀豀碵꼝쐕찀䶓_x001B_呒幎䝆䵟呋噟䱁䕕 ⼳㔱㈯㄰찱!＀＀ ＀＀	＀＀_x0008_＀＀_x0001_＀＀_x0001_＀＀_x0001_＀＀쳍쳌䃑찀됑亩_x0018_低幃䍅彁䕍乁䕟卐㈨㄰ⰱ⤰!＀＀ ＀＀	＀＀_x0008_＀＀_x0001_＀＀_x0001_＀＀_x0001_＀＀ꌫ쾑츫䀛찀䶓"低幃南偟久䥓乏䅟卓呅当呌〨ⰬⰬ单⥄!＀＀ ＀＀	＀＀_x0008_＀＀_x0001_＀＀_x0001_＀＀_x0001_＀＀＀＀＀＀ 䁼찀䶓E低幃䅃偟协剔呅䉟久佟⡂㈱㈯〰ⰴⰬ唬䑓䀩南䡟呌䍈剁彅䉐⡏㈱㈯〰ⰴⰬ唬䑓착!＀＀ ＀＀	＀＀_x0008_＀＀_x0001_＀＀_x0001_＀＀_x0001_＀＀＀＀＀＀⸀䂩찀䶓P低幃䅃偟协剔呅偟䅌彎十彔久⡄㈱㈯〰ⰶⰬ唬䑓䀩南䡟呌䍈剁彅噆䅟卓呅ㄨ⼲〲㘰ⰬⰬ单⥄!＀＀ ＀＀	＀＀_x0008_＀＀_x0001_＀＀_x0001_＀＀_x0001_＀＀＀＀＀＀耀䂋찀濱两 低幃䍅彁䕍乁䕟䥂⡔ㄫ〬⼷㠱㈯㄰⤱!＀＀ ＀＀	＀＀_x0008_＀＀_x0001_＀＀_x0001_＀＀_x0001_＀＀꟰䯆㞷䂨찀䶓_x001A_䑇䙞彇䭍彔䅖啌Ņ㌠ㄯ⼵〲ㄱ!＀＀ ＀＀	＀＀_x0008_＀＀_x0001_＀＀_x0001_＀＀_x0001_＀＀脆䎕〫䃛찀䶓;低幃南偟久䥓乏䅟卓呅当呏⡈㈱㈯〰⤹䍀彁䕐华偟呃佟䡔ㄨ⼲〲㤰착!＀＀ ＀＀	＀＀_x0008_＀＀_x0001_＀＀_x0001_＀＀_x0001_＀＀＀＀＀＀耀䀶찀䶓;低幃南偟久䥓乏䅟卓呅当剐偏ㄨ⼲〲㔰䀩䅃偟久当䍐彔䕒ㄨ⼲〲㔰착!＀＀ ＀＀	＀＀_x0008_＀＀_x0001_＀＀_x0001_＀＀_x0001_＀＀＀＀＀＀＀＀䀀찀䶓J低幃䅃偟久当䱐乁䅟呓ㄨ⼲〲㐰ⰬⰬ单⥄址当䕐华佉彎䅖彌十䕓協ㄨ⼲〲㐰ⰬⰬ单⥄</t>
        </r>
      </text>
    </comment>
    <comment ref="B1" authorId="0">
      <text>
        <r>
          <rPr>
            <b/>
            <sz val="8"/>
            <color indexed="81"/>
            <rFont val="Tahoma"/>
            <family val="2"/>
          </rPr>
          <t>33724</t>
        </r>
      </text>
    </comment>
    <comment ref="A2" authorId="0">
      <text>
        <r>
          <rPr>
            <b/>
            <sz val="8"/>
            <color indexed="81"/>
            <rFont val="Tahoma"/>
            <family val="2"/>
          </rPr>
          <t>!＀＀ ＀＀	＀＀_x0008_＀＀_x0001_＀＀_x0001_＀＀_x0001_＀＀＀＀＀＀一䃑찀䶓D䱌幌䙆䕟呎偒归䅖彌䅄䱉⡙〴㘵ⰷⰬⰬ䐢䱉⤢䔯䅃䵟䅅彎䉅呉䅄㈨㄰ⰱ〴㘵⤷ƌ＀＀ ＀＀Ŵ＀＀_x0008_＀＀_x0001_＀＀_x0001_＀＀_x0001_＀＀࿭캹⃉䀚摦畳㩰⼯楤敲瑣潩獮䘯呁嘠敩敷㽲捡楴湯唽䑐呁♅牣慥潴㵲慦瑣敳♴奄彎剁升吽啒♅佄彃䅎䕍䘽呁䘺䱑䅟䑕呉义彇䱃䕉呎呟䵅䱐呁⹅䅆♔楤灳慬役瑳楲杮䄽摵瑩嘦剁䬺奅吽剋乕䱗䉏♙䅖㩒啑剅㵙歒晚啒唵汕卂ㅘ䉚䙔䔹啑䵬南で䑍㉕祎獷䍌獷お䩒䍔灣が䑖噑丹啒但じ䍖噓䕒卑祧䑍硅䑌睑呎㍙克㴽圦义佄㵗䥆卒彔佐啐♐䕈䝉呈㐽〵圦䑉䡔㐽〵匦䅔呒䵟塁䵉婉䑅䘽䱁䕓嘦剁䌺䱁久䅄㵒单嘦剁区䵙佂㵌䱌♌䅖㩒义䕄㵘0䞌丯!低幃䍅彁䕍乁䕟䥂䑔⬨ⰳ㜰㈯⼶〲ㄱ착!＀＀ ＀＀	＀＀_x0008_＀＀_x0001_＀＀_x0001_＀＀_x0001_＀＀㭥俟꼍䂭찀䶓J低幃䅃偟协剔呅剟䅏䅟呃ㄨ⼲〲㠰ⰬⰬ单⥄址当䱈䡔䅃䕒䅟呃剟䅏ㄨ⼲〲㠰ⰬⰬ单⥄!＀＀ ＀＀	＀＀_x0008_＀＀_x0001_＀＀_x0001_＀＀_x0001_＀＀＀＀＀＀쀀쁭찀⨹产7低幃䕆䕟呓䵉呁⡅䔧卐Ⱗ䴧䅅❎✬啑剁䕔䱒❙✬ㄫⰧ低ⱗⰬ✧착!＀＀ ＀＀	＀＀_x0008_＀＀_x0001_＀＀_x0001_＀＀_x0001_＀＀䇺ꑝ홐㿺찀䶓 低幃南䕟䍘彈䅒䕔䉟䱁卟⡈㈱㈯〰⤵!＀＀ ＀＀	＀＀_x0008_＀＀_x0001_＀＀_x0001_＀＀_x0001_＀＀豀碵꼝쐕찀䶓;低幃南偟久䥓乏䅟卓呅当充䥕ㄨ⼲〲㘰䀩䅃偟久当䍐彔充ㄨ⼲〲㘰착!＀＀ ＀＀	＀＀_x0008_＀＀_x0001_＀＀_x0001_＀＀_x0001_＀＀＀＀＀＀耀䁌찀䶓(低幃南偟久䥓乏䅟卓呅当呌ㄨ⼲〲㜰ⰬⰬ单⥄!＀＀ ＀＀	＀＀_x0008_＀＀_x0001_＀＀_x0001_＀＀_x0001_＀＀＀＀＀＀䀀䂠찀䶓H低幃䅃偟久当义彔佃呓ㄨ⼲〲㠰ⰬⰬ单⥄址当䕐华佉彎义彔佃呓ㄨ⼲〲㠰ⰬⰬ单⥄!＀＀ ＀＀	＀＀_x0008_＀＀_x0001_＀＀_x0001_＀＀_x0001_＀＀＀＀＀＀_xDC00_䂔찀䶓[低幃南剟久䅔彌偏䱟䕓䕟偘ㄨ⼲〲㐰ㄬ⼲〲㐰ⰬⰬ单⥄䍀彁呒剟久彔䥍彎塅⡐㈱㈯〰ⰴ㈱㈯〰ⰴⰬ唬䑓착!＀＀ ＀＀	＀＀_x0008_＀＀_x0001_＀＀_x0001_＀＀_x0001_＀＀＀＀＀＀耀䁼찀䶓%低幃䅃偟久当啃归䥌䉁⡓㈱㈯〰ⰴⰬ唬䑓착!＀＀ ＀＀	＀＀_x0008_＀＀_x0001_＀＀_x0001_＀＀_x0001_＀＀豀碵꼝쐕찀⪼产_x0018_低幃䍅彁䥆䍓䱁奟䅅⡒㌫⤬!＀＀ ＀＀	＀＀_x0008_＀＀_x0001_＀＀_x0001_＀＀_x0008_＀＀㈱㈯㄰3찀䶓,低幃䅃偟协剔呅䕟偍䍟乏剔䉉䍟ㄨ⼲〲㤰ⰬⰬ单⥄!＀＀ ＀＀	＀＀_x0008_＀＀_x0001_＀＀_x0001_＀＀_x0001_＀＀＀＀＀＀䀀䁤찀䶓(低幃南䡟呌䍈剁彅乕彆䕂⡎㈱㈯〰ⰷⰬ唬䑓⤩＀＀＀＀䞌丯_x001F_低幃䍅彁䕍乁䕟卐⬨ⰲ㜰㈯⼶〲ㄱ착!＀＀ ＀＀	＀＀_x0008_＀＀_x0001_＀＀_x0001_＀＀_x0001_＀＀弓⣭䀜찀</t>
        </r>
      </text>
    </comment>
  </commentList>
</comments>
</file>

<file path=xl/sharedStrings.xml><?xml version="1.0" encoding="utf-8"?>
<sst xmlns="http://schemas.openxmlformats.org/spreadsheetml/2006/main" count="999" uniqueCount="785">
  <si>
    <t>Income Statement</t>
  </si>
  <si>
    <t>Balance Sheet</t>
  </si>
  <si>
    <t>Total</t>
  </si>
  <si>
    <t>Economic Income (ex. FAS/CAS)</t>
  </si>
  <si>
    <t>% of Revenue</t>
  </si>
  <si>
    <t>Consolidated Operating Revenue</t>
  </si>
  <si>
    <t>Total Operating Expenses</t>
  </si>
  <si>
    <t>COGS</t>
  </si>
  <si>
    <t>SG&amp;A</t>
  </si>
  <si>
    <t>Days AP Outstanding</t>
  </si>
  <si>
    <t>Employees</t>
  </si>
  <si>
    <t>EBITDAP</t>
  </si>
  <si>
    <t>EBITDAP  Margin</t>
  </si>
  <si>
    <t>EPS RECONCILIATION</t>
  </si>
  <si>
    <t>Avg Debt</t>
  </si>
  <si>
    <t>Implied Interest Rate and Forward Interest Rate Assumption</t>
  </si>
  <si>
    <t>Interest Expense Forecast</t>
  </si>
  <si>
    <t>Diluted EPS</t>
  </si>
  <si>
    <t>Basic EPS</t>
  </si>
  <si>
    <t>Extraordinary/One-Time Charges/Expenses</t>
  </si>
  <si>
    <t>Per Share Effect of Extra Item</t>
  </si>
  <si>
    <t>GAAP EPS</t>
  </si>
  <si>
    <t>Sharecount Calculation</t>
  </si>
  <si>
    <t>Basic Shares Outstanding - Period End (MM)</t>
  </si>
  <si>
    <t>Net Change in Sharecount</t>
  </si>
  <si>
    <t>Basic Shares Outstanding - Average (MM)</t>
  </si>
  <si>
    <t>Share Impact of Dilutive Instruments</t>
  </si>
  <si>
    <t>% Change in Shares</t>
  </si>
  <si>
    <t>Avg. Stock Price (for repurchase calculation)</t>
  </si>
  <si>
    <t>Sequential % Chg.</t>
  </si>
  <si>
    <t>Dividends</t>
  </si>
  <si>
    <t>Dividend Payout Ratio</t>
  </si>
  <si>
    <t>CASH FLOW STATEMENT</t>
  </si>
  <si>
    <t>Working Capital and Other</t>
  </si>
  <si>
    <t>Capital Expenditures</t>
  </si>
  <si>
    <t>As a % of Net Revenue</t>
  </si>
  <si>
    <t>As a % of Beginning Net PP&amp;E</t>
  </si>
  <si>
    <t>Free Cash Flow</t>
  </si>
  <si>
    <t>FCF Conversion %</t>
  </si>
  <si>
    <t>Backlog/Sales</t>
  </si>
  <si>
    <t>Other financing activities, net</t>
  </si>
  <si>
    <t>BALANCE SHEET</t>
  </si>
  <si>
    <t>Days Receivable Outstanding</t>
  </si>
  <si>
    <t>As a % of Total Revenue</t>
  </si>
  <si>
    <t>Other Assets</t>
  </si>
  <si>
    <t>Liabilities</t>
  </si>
  <si>
    <t>Days Payable Outstanding</t>
  </si>
  <si>
    <t>Shareholders' Equity</t>
  </si>
  <si>
    <t>Summary Statistics</t>
  </si>
  <si>
    <t>DuPont Analysis</t>
  </si>
  <si>
    <t>NI Margin</t>
  </si>
  <si>
    <t>Sales / Assets</t>
  </si>
  <si>
    <t>ROA</t>
  </si>
  <si>
    <t>Assets / Equity</t>
  </si>
  <si>
    <t>Debt / Equity</t>
  </si>
  <si>
    <t>ROE</t>
  </si>
  <si>
    <t>ROIC</t>
  </si>
  <si>
    <t>Capital Structure Metrics</t>
  </si>
  <si>
    <t xml:space="preserve">Debt </t>
  </si>
  <si>
    <t xml:space="preserve">Total Cash </t>
  </si>
  <si>
    <t xml:space="preserve">Net Debt </t>
  </si>
  <si>
    <t xml:space="preserve">Total Assets </t>
  </si>
  <si>
    <t>BV Total Liabilities</t>
  </si>
  <si>
    <t>BV Equity</t>
  </si>
  <si>
    <t>Total Capital</t>
  </si>
  <si>
    <t>Credit and Leverage Metrics</t>
  </si>
  <si>
    <t>Debt/EBITDAP</t>
  </si>
  <si>
    <t>EBITDAP/Net Interest Expense</t>
  </si>
  <si>
    <t>Net Debt as % of Total Capital</t>
  </si>
  <si>
    <t>Total Cash as % of Total Capital</t>
  </si>
  <si>
    <t>Total Cash / Sales</t>
  </si>
  <si>
    <t>Sources &amp; Uses of Cash</t>
  </si>
  <si>
    <t xml:space="preserve">CFO </t>
  </si>
  <si>
    <t>Capex / D&amp;A Ratio</t>
  </si>
  <si>
    <t>Capex as % of Sales</t>
  </si>
  <si>
    <t>FCF</t>
  </si>
  <si>
    <t>NOC.N,mscalc:closePriceCurrencyCalc</t>
  </si>
  <si>
    <t>NOC.N,mscalc:targetPrice,,,,USD</t>
  </si>
  <si>
    <t>NOC.N,mscalc:sedolCodeCalc</t>
  </si>
  <si>
    <t>NA</t>
  </si>
  <si>
    <t>NOC.N,mstag:revenueNet,2009FY,,FYR,,,IN-PROGRESS</t>
  </si>
  <si>
    <t>NOC.N,mscalc:targetPrice</t>
  </si>
  <si>
    <t>,mscalc:closePriceCurrencyCalc</t>
  </si>
  <si>
    <t>,mscalc:targetPrice,,,,USD</t>
  </si>
  <si>
    <t>Aero Op. Margin Ex-EACs</t>
  </si>
  <si>
    <t>Aero Op. Inc. Ex-EACs</t>
  </si>
  <si>
    <t>TS Op. Margin Ex-EACs</t>
  </si>
  <si>
    <t>TS Op. Inc. Ex-EACs</t>
  </si>
  <si>
    <t>EAC-Adjusted Seg. Op. Margin</t>
  </si>
  <si>
    <t>,mscalc:sedolCodeCalc</t>
  </si>
  <si>
    <t>$AP$2</t>
  </si>
  <si>
    <t>For Morgan Stanley Modelware Purposes</t>
  </si>
  <si>
    <t>Unrecorded goodwill for MW</t>
  </si>
  <si>
    <t>This sheet contains Factset binary data for use with this workbook's =FDS codes.  Modifying the worksheet's contents may damage the workbook's =FDS functionality.</t>
  </si>
  <si>
    <t>Statutory Tax Rate</t>
  </si>
  <si>
    <t>NOC.N,mscalc:factsetIdCalc</t>
  </si>
  <si>
    <t>NOC</t>
  </si>
  <si>
    <t>NOC.N,mstag:statutoryTaxRate,2004FY,,FYR</t>
  </si>
  <si>
    <t>NOC.N,mstag:statutoryTaxRate,2003FY,,FYR</t>
  </si>
  <si>
    <t>NOC.N,mstag:statutoryTaxRate,2013FY,,FYR</t>
  </si>
  <si>
    <t>NOC.N,mstag:statutoryTaxRate,2012FY,,FYR</t>
  </si>
  <si>
    <t>NOC.N,mstag:statutoryTaxRate,2005FY,,FYR</t>
  </si>
  <si>
    <t>NOC.N,mstag:statutoryTaxRate,2014FY,,FYR</t>
  </si>
  <si>
    <t>NOC.N,mstag:statutoryTaxRate,2009FY,,FYR</t>
  </si>
  <si>
    <t>NOC.N,mstag:statutoryTaxRate,2007FY,,FYR</t>
  </si>
  <si>
    <t>NOC.N,mstag:statutoryTaxRate,2011FY,,FYR</t>
  </si>
  <si>
    <t>NOC.N,mstag:statutoryTaxRate,2010FY,,FYR</t>
  </si>
  <si>
    <t>NOC.N,mstag:statutoryTaxRate,2006FY,,FYR</t>
  </si>
  <si>
    <t>NOC.N,mstag:statutoryTaxRate,2008FY,,FYR</t>
  </si>
  <si>
    <t>0.35</t>
  </si>
  <si>
    <t>ScaleOverride</t>
  </si>
  <si>
    <t>UnitOverride</t>
  </si>
  <si>
    <t>ReverseSign</t>
  </si>
  <si>
    <t>IsDrivingAssumption</t>
  </si>
  <si>
    <t>SegmentID</t>
  </si>
  <si>
    <t>Aerospace Systems</t>
  </si>
  <si>
    <t>Intersegment eliminations</t>
  </si>
  <si>
    <t>Total Revenue</t>
  </si>
  <si>
    <t>Unallocated expenses</t>
  </si>
  <si>
    <t>Interest expense</t>
  </si>
  <si>
    <t>Pretax Income</t>
  </si>
  <si>
    <t>Tax Expense</t>
  </si>
  <si>
    <t>Tax Rate</t>
  </si>
  <si>
    <t>Segment Operating Margin (ex. FAS/CAS)</t>
  </si>
  <si>
    <t>Segment Operating Income (ex. FAS/CAS)</t>
  </si>
  <si>
    <t xml:space="preserve">Retiree Benefits / Pension contributions in excess of expense </t>
  </si>
  <si>
    <t>Net Income - Continuing Operations</t>
  </si>
  <si>
    <t>Net Income - Reported</t>
  </si>
  <si>
    <t>Avg. Diluted Shs.</t>
  </si>
  <si>
    <t>EBITDA</t>
  </si>
  <si>
    <t>EBITDA Margin</t>
  </si>
  <si>
    <t>Capex</t>
  </si>
  <si>
    <t>Dividend Per Share</t>
  </si>
  <si>
    <t>Depreciation &amp; Amortization</t>
  </si>
  <si>
    <t>Company-funded R&amp;D (IRAD)</t>
  </si>
  <si>
    <t>Net Income</t>
  </si>
  <si>
    <t>Stock based compensation</t>
  </si>
  <si>
    <t>Excess tax benefits on stock-based compensation</t>
  </si>
  <si>
    <t>Prepaid expenses and other current assets</t>
  </si>
  <si>
    <t>Deferred income taxes</t>
  </si>
  <si>
    <t>Net Cash From Operations</t>
  </si>
  <si>
    <t>Payments for businesses purchased</t>
  </si>
  <si>
    <t>Other investing activities, net</t>
  </si>
  <si>
    <t>Net Cash From Investing</t>
  </si>
  <si>
    <t>Dividends Paid</t>
  </si>
  <si>
    <t>Common stock repurchases</t>
  </si>
  <si>
    <t>Net Cash From Financing</t>
  </si>
  <si>
    <t>Net Increase / (Decrease) In Cash</t>
  </si>
  <si>
    <t>Cash Beginning of the period</t>
  </si>
  <si>
    <t>Ending Cash</t>
  </si>
  <si>
    <t>Assets</t>
  </si>
  <si>
    <t>Cash &amp; Cash Equivalents</t>
  </si>
  <si>
    <t>Accounts Receivable - Trade, Net</t>
  </si>
  <si>
    <t>Inventories, net</t>
  </si>
  <si>
    <t xml:space="preserve">Total Current Assets </t>
  </si>
  <si>
    <t>Property plant and equipment, net</t>
  </si>
  <si>
    <t>Goodwill</t>
  </si>
  <si>
    <t>Long-term deferred tax assets</t>
  </si>
  <si>
    <t>Total Assets</t>
  </si>
  <si>
    <t>Trade accounts payable</t>
  </si>
  <si>
    <t>Total Operating Income</t>
  </si>
  <si>
    <t>FAS/CAS Pension Adj.</t>
  </si>
  <si>
    <t>Corporate &amp; Other</t>
  </si>
  <si>
    <t>Segment Operating Margin incl. Corporate &amp; Other Expenses</t>
  </si>
  <si>
    <t>Economic EPS (ex. FAS/CAS)</t>
  </si>
  <si>
    <t>Advance payments and billings in excess of cost incurred</t>
  </si>
  <si>
    <t>Other accrued liabilities</t>
  </si>
  <si>
    <t>Total Current Liabilities</t>
  </si>
  <si>
    <t>Segment Op. Income incl. Unall. &amp; Other Expenses</t>
  </si>
  <si>
    <t xml:space="preserve">Long-Term Debt, net </t>
  </si>
  <si>
    <t>Pension and post-retirement plan liabilities</t>
  </si>
  <si>
    <t>Other long-term liabilities</t>
  </si>
  <si>
    <t>Total Liabilities</t>
  </si>
  <si>
    <t>Common Stock</t>
  </si>
  <si>
    <t>Additional paid-in capital</t>
  </si>
  <si>
    <t>Retained Earnings</t>
  </si>
  <si>
    <t>Accumulated other comprehensive loss</t>
  </si>
  <si>
    <t>Total Shareholders Equity</t>
  </si>
  <si>
    <t>Share Repurchases</t>
  </si>
  <si>
    <t>New Dilutive Instruments</t>
  </si>
  <si>
    <t>Total Liabilities &amp; SE</t>
  </si>
  <si>
    <t>Check</t>
  </si>
  <si>
    <t>Proceeds from Issuance of Common Stock</t>
  </si>
  <si>
    <t>Cost of Sales</t>
  </si>
  <si>
    <t>Other</t>
  </si>
  <si>
    <t>Discontinued Operations</t>
  </si>
  <si>
    <t>Northrop Grumman Corp.</t>
  </si>
  <si>
    <t>NOC.N</t>
  </si>
  <si>
    <t>FAS/CAS as Other Operating Expense</t>
  </si>
  <si>
    <t>Total EACs</t>
  </si>
  <si>
    <t>EACs % of Operating Income</t>
  </si>
  <si>
    <t>Pre EAC-Adj Segment Op. Margins</t>
  </si>
  <si>
    <t>USD</t>
  </si>
  <si>
    <t>Ticker:</t>
  </si>
  <si>
    <t>-</t>
  </si>
  <si>
    <t>Currency</t>
  </si>
  <si>
    <t>Current Stock Price</t>
  </si>
  <si>
    <t>Count</t>
  </si>
  <si>
    <t>1QA</t>
  </si>
  <si>
    <t>2QA</t>
  </si>
  <si>
    <t>3QA</t>
  </si>
  <si>
    <t>4QA</t>
  </si>
  <si>
    <t>INCOME STATEMENT</t>
  </si>
  <si>
    <t>GROSS REVENUES</t>
  </si>
  <si>
    <t>YoY % Chg.</t>
  </si>
  <si>
    <t>% of Total Revenue</t>
  </si>
  <si>
    <t>Product</t>
  </si>
  <si>
    <t>% of Segment Revenue</t>
  </si>
  <si>
    <t>Service</t>
  </si>
  <si>
    <t>Funded Backlog ($M)</t>
  </si>
  <si>
    <t>% of Segment Backlog</t>
  </si>
  <si>
    <t>Unfunded Backlog ($M)</t>
  </si>
  <si>
    <t>Implied Net Orders</t>
  </si>
  <si>
    <t>Implied Net Book:Bill</t>
  </si>
  <si>
    <t>Cost-Type Contracts</t>
  </si>
  <si>
    <t>US Government</t>
  </si>
  <si>
    <t>Fixed-Price Contracts</t>
  </si>
  <si>
    <t>International Sales</t>
  </si>
  <si>
    <t>Total Backlog ($M)</t>
  </si>
  <si>
    <t>% of Total Backlog</t>
  </si>
  <si>
    <t>Domestic Backlog ($M)</t>
  </si>
  <si>
    <t>International Backlog ($M)</t>
  </si>
  <si>
    <t>OPERATING SEGMENTS</t>
  </si>
  <si>
    <t>Aerospace Systems Op. Margin</t>
  </si>
  <si>
    <t>YoY Pt. Chg.</t>
  </si>
  <si>
    <t>Incremental Margin</t>
  </si>
  <si>
    <t>Aerospace Systems Op. Income</t>
  </si>
  <si>
    <t>Aerospace Systems Op. Expenses</t>
  </si>
  <si>
    <t>FAS Expense</t>
  </si>
  <si>
    <t>CAS Expense</t>
  </si>
  <si>
    <t>Net Operating Income Adjustments (EAC/Catch-Up)</t>
  </si>
  <si>
    <t>As a % of Sales</t>
  </si>
  <si>
    <t>As a % of Segment Operating Income</t>
  </si>
  <si>
    <t>Favorable Adjustments</t>
  </si>
  <si>
    <t>Unfavorable Adjustments</t>
  </si>
  <si>
    <t>Total Operating Margin</t>
  </si>
  <si>
    <t>2014A</t>
  </si>
  <si>
    <t>2015A</t>
  </si>
  <si>
    <t xml:space="preserve">Mission Systems </t>
  </si>
  <si>
    <t>Mission Systems Op. Margin</t>
  </si>
  <si>
    <t>Mission Systems Op. Income</t>
  </si>
  <si>
    <t>Mission Systems Op. Expenses</t>
  </si>
  <si>
    <t>MS Op. Margin Ex-EACs</t>
  </si>
  <si>
    <t>MS Op. Inc. Ex-EACs</t>
  </si>
  <si>
    <t>Technology Services</t>
  </si>
  <si>
    <t>Technology Services Op. Margin</t>
  </si>
  <si>
    <t>Technology Services Op. Income</t>
  </si>
  <si>
    <t>Technology Services Op. Expenses</t>
  </si>
  <si>
    <t>Rating:</t>
  </si>
  <si>
    <t>Price Target:</t>
  </si>
  <si>
    <t>Date:</t>
  </si>
  <si>
    <t>Rajeev Lalwani</t>
  </si>
  <si>
    <t>(212) 761-8518</t>
  </si>
  <si>
    <t>rajeev.lalwani@morganstanley.com</t>
  </si>
  <si>
    <t xml:space="preserve">Northrop Grumman </t>
  </si>
  <si>
    <t>Valuation Summary</t>
  </si>
  <si>
    <t>$m, unless stated otherwise</t>
  </si>
  <si>
    <t>BEAR TO BULL VALUATION</t>
  </si>
  <si>
    <t>BEAR</t>
  </si>
  <si>
    <t>BASE</t>
  </si>
  <si>
    <t>BULL</t>
  </si>
  <si>
    <t>SUMMARIZED FINANCIAL DATA</t>
  </si>
  <si>
    <t>Valuation Year</t>
  </si>
  <si>
    <t>Company Valuation</t>
  </si>
  <si>
    <t>Price Return Potential</t>
  </si>
  <si>
    <t>Total Revenues</t>
  </si>
  <si>
    <t>Implied Target P/E</t>
  </si>
  <si>
    <t>Implied Target EV/EBITDA</t>
  </si>
  <si>
    <t>Allocated Segment Costs</t>
  </si>
  <si>
    <t>Implied Target FCF Yield</t>
  </si>
  <si>
    <t>Assumed Multiple</t>
  </si>
  <si>
    <t>Implied Per Share Value</t>
  </si>
  <si>
    <t>Forecasted Debt</t>
  </si>
  <si>
    <t>Cash and ST Investments</t>
  </si>
  <si>
    <t>Interest Expense and Other</t>
  </si>
  <si>
    <t>Net Debt</t>
  </si>
  <si>
    <t>Taxes</t>
  </si>
  <si>
    <t>Forecasted Shares (mil)</t>
  </si>
  <si>
    <t>OPERATING STATISTICS</t>
  </si>
  <si>
    <t>Diluted Shares (mil)</t>
  </si>
  <si>
    <t>EPS (Diluted)</t>
  </si>
  <si>
    <t>Cash Flow</t>
  </si>
  <si>
    <t>Total Revenue Growth</t>
  </si>
  <si>
    <t>Operating Cash Flow</t>
  </si>
  <si>
    <t>Cash Flow from Investment</t>
  </si>
  <si>
    <t>Total Segment Operating Margin</t>
  </si>
  <si>
    <t>Net Debt Change</t>
  </si>
  <si>
    <t>Total EBITDA Margin</t>
  </si>
  <si>
    <t>Cash Flow from Financing</t>
  </si>
  <si>
    <t>P/E</t>
  </si>
  <si>
    <t>Free Cash Flow Conversion</t>
  </si>
  <si>
    <t>EV/EBITDA</t>
  </si>
  <si>
    <t>Free Cash Flow Per Share</t>
  </si>
  <si>
    <t>FCF Yield</t>
  </si>
  <si>
    <t>Debt</t>
  </si>
  <si>
    <t>Debt to EBITDA</t>
  </si>
  <si>
    <t xml:space="preserve">2018E </t>
  </si>
  <si>
    <t xml:space="preserve">2019E </t>
  </si>
  <si>
    <t>Mission Systems</t>
  </si>
  <si>
    <t>Intersegment Eliminations</t>
  </si>
  <si>
    <t>FAS/CAS Adjustment</t>
  </si>
  <si>
    <t>Net Debt to EBITDA</t>
  </si>
  <si>
    <t>Unallocated/Other Expense</t>
  </si>
  <si>
    <t xml:space="preserve">2020E </t>
  </si>
  <si>
    <t xml:space="preserve">2021E </t>
  </si>
  <si>
    <t>2QE</t>
  </si>
  <si>
    <t>Backlog ($M)</t>
  </si>
  <si>
    <t>MS Net Income</t>
  </si>
  <si>
    <t>MS Net Income Adjusted</t>
  </si>
  <si>
    <t>Equity Value</t>
  </si>
  <si>
    <t>Segment Operating Income</t>
  </si>
  <si>
    <t>Net proceeds from issuance of debt</t>
  </si>
  <si>
    <t>FCF Returned to Shareholders (%)</t>
  </si>
  <si>
    <t>Implied Target P/E - FAS/CAS Adjusted</t>
  </si>
  <si>
    <t>Revenue Change (-1% / 0% / +2%)</t>
  </si>
  <si>
    <t>Equal-Weight</t>
  </si>
  <si>
    <t>Operating Margin Change (-1% / 0% / +1.5%)</t>
  </si>
  <si>
    <t>Current Portion of Long-Term Debt</t>
  </si>
  <si>
    <t>Principal payments - CPLTD</t>
  </si>
  <si>
    <t>Principal payments - LTD</t>
  </si>
  <si>
    <t>TRADING MULTIPLES - MSe</t>
  </si>
  <si>
    <t>2648806</t>
  </si>
  <si>
    <t>Growing revenue base</t>
  </si>
  <si>
    <t>Changing mix pressures near-term margin rate</t>
  </si>
  <si>
    <t>Fixed Price</t>
  </si>
  <si>
    <t>Cost-Type</t>
  </si>
  <si>
    <t>Production</t>
  </si>
  <si>
    <t>R&amp;D</t>
  </si>
  <si>
    <t>O&amp;M</t>
  </si>
  <si>
    <t>Sub</t>
  </si>
  <si>
    <t>Prime</t>
  </si>
  <si>
    <t>T&amp;M</t>
  </si>
  <si>
    <t>Stable revenue during selective portfolio shaping</t>
  </si>
  <si>
    <t>Margin reflects portfolio shaping</t>
  </si>
  <si>
    <t>Prod. % R&amp;D</t>
  </si>
  <si>
    <t xml:space="preserve"> -  New development programs (e.g., GBSD)</t>
  </si>
  <si>
    <t xml:space="preserve">  - Production ramp-ups (e.g., F-35 electronics)</t>
  </si>
  <si>
    <t xml:space="preserve"> -  New development programs (e.g., B-21)</t>
  </si>
  <si>
    <t xml:space="preserve">  - Production ramp-ups (e.g., F-35 airframe)</t>
  </si>
  <si>
    <t>Orbital ATK</t>
  </si>
  <si>
    <t>Orbital ATK Op. Income</t>
  </si>
  <si>
    <t>Orbital ATK Op. Expenses</t>
  </si>
  <si>
    <t>OA Op. Margin Ex-EACs</t>
  </si>
  <si>
    <t>OA Op. Inc. Ex-EACs</t>
  </si>
  <si>
    <t>Orbital ATK Cost Synergy</t>
  </si>
  <si>
    <t>Orbital ATK Deal Amortization</t>
  </si>
  <si>
    <t>Assume margin consistent with 2Q17 forecast, 12.5%</t>
  </si>
  <si>
    <t>2018 Q3</t>
  </si>
  <si>
    <t>2018 Q4</t>
  </si>
  <si>
    <t>3Q17</t>
  </si>
  <si>
    <t>2Q17</t>
  </si>
  <si>
    <t>1Q17</t>
  </si>
  <si>
    <t>4Q16</t>
  </si>
  <si>
    <t>OA D&amp;A history</t>
  </si>
  <si>
    <t>OA capex $225M/yr.</t>
  </si>
  <si>
    <t>Other income (expense), net</t>
  </si>
  <si>
    <t>$9.2B 3Q18 to OA shareholders and creditors</t>
  </si>
  <si>
    <t>Orbital ATK Op. Margin (adjusted)</t>
  </si>
  <si>
    <t>Matthew Sharpe</t>
  </si>
  <si>
    <t>(212) 761-5156</t>
  </si>
  <si>
    <t>matt.sharpe@morganstanley.com</t>
  </si>
  <si>
    <t>$75M cost to achieve OA synergy</t>
  </si>
  <si>
    <t>Temporary suspension of share repurchase related to OA deal</t>
  </si>
  <si>
    <t>OA D&amp;A Forecast</t>
  </si>
  <si>
    <t>$8.25B raised in 3Q17 for OA transaction</t>
  </si>
  <si>
    <t>OA deal financing</t>
  </si>
  <si>
    <t>NOC pre-deal debt</t>
  </si>
  <si>
    <t>Re-fi $1B</t>
  </si>
  <si>
    <t>Pay down</t>
  </si>
  <si>
    <t>One-Time Charges</t>
  </si>
  <si>
    <t>2017A
Restated</t>
  </si>
  <si>
    <t>Net FAS non-service pension adj.</t>
  </si>
  <si>
    <t>Outlook: 4Q17: ~$27.0B (ex-OA)</t>
  </si>
  <si>
    <t>Outlook: 4Q17: Low to Mid 11%</t>
  </si>
  <si>
    <t>Outlook: 4Q17: $400M</t>
  </si>
  <si>
    <t>Outlook: 4Q17: $855M</t>
  </si>
  <si>
    <t>Outlook (2019): 4Q17: $380M</t>
  </si>
  <si>
    <t>Outlook (2020): 4Q17: $360M</t>
  </si>
  <si>
    <t>Outlook (2019): 4Q17: $750M</t>
  </si>
  <si>
    <t>Outlook (2020): 4Q17: $500M</t>
  </si>
  <si>
    <t>Outlook (2019): 4Q17: $530M</t>
  </si>
  <si>
    <t>Outlook (2020): 4Q17: $610M</t>
  </si>
  <si>
    <t>Outlook: 4Q17: $250M</t>
  </si>
  <si>
    <t>Outlook: 4Q17: Low to Mid 12%</t>
  </si>
  <si>
    <t>Outlook: 4Q17: $1B</t>
  </si>
  <si>
    <t>Outlook: 4Q17: $2.0-2.3B</t>
  </si>
  <si>
    <t>Outlook: 4Q17: High $12B</t>
  </si>
  <si>
    <t>Outlook: 4Q17: Mid to High $11B</t>
  </si>
  <si>
    <t>Outlook: 4Q17: Mid $4B</t>
  </si>
  <si>
    <t>Outlook: 4Q17: Low to Mid 10%</t>
  </si>
  <si>
    <t>Outlook: 4Q17: ~13%</t>
  </si>
  <si>
    <t>Outlook: 4Q17: ~10%</t>
  </si>
  <si>
    <t>Outlook: 4Q17: $3,240M</t>
  </si>
  <si>
    <t>2018 MSe Ex-OA</t>
  </si>
  <si>
    <t>B-21 R&amp;D Budget</t>
  </si>
  <si>
    <t>FY2018</t>
  </si>
  <si>
    <t>FY2019</t>
  </si>
  <si>
    <t>FY2020</t>
  </si>
  <si>
    <t>FY2021</t>
  </si>
  <si>
    <t>Change</t>
  </si>
  <si>
    <t>FY2017</t>
  </si>
  <si>
    <t>Incremental AS Growth</t>
  </si>
  <si>
    <t>Remainder of AS Portfolio</t>
  </si>
  <si>
    <t>Tax Rate Change (0% / 0% / 0%)</t>
  </si>
  <si>
    <t>1QE</t>
  </si>
  <si>
    <t>3QE</t>
  </si>
  <si>
    <t>4QE</t>
  </si>
  <si>
    <t>Orbital FAS/CAS 2018: +$50M ($50/$100)</t>
  </si>
  <si>
    <t>Orbital FAS/CAS 2019: +$100M ($100/$200)</t>
  </si>
  <si>
    <t>Orbital FAS/CAS 2020: +$50M ($100/$150)</t>
  </si>
  <si>
    <t>Orbital FAS/CAS 2021: +$50M ($100/$150)</t>
  </si>
  <si>
    <t>365</t>
  </si>
  <si>
    <t>OA D&amp;A</t>
  </si>
  <si>
    <t>Deal D&amp;A</t>
  </si>
  <si>
    <t>2018 Outlook: $15.00-15.25</t>
  </si>
  <si>
    <t>2018 Outlook: ~19.5%</t>
  </si>
  <si>
    <t>2018 Outlook: $485M</t>
  </si>
  <si>
    <t>2018 Outlook: $390B excluding 6 months of OA funding, which we adjust for</t>
  </si>
  <si>
    <t>Research</t>
  </si>
  <si>
    <t>MSA91FHR</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</si>
  <si>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</si>
  <si>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</si>
  <si>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</si>
  <si>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</si>
  <si>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</si>
  <si>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</si>
  <si>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</si>
  <si>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Rajeev Lalwani</t>
  </si>
  <si>
    <t>Date: 11 Apr 2018</t>
  </si>
  <si>
    <t>Ticker: NOC.N</t>
  </si>
  <si>
    <t>Stock Rating: Equal-Weight</t>
  </si>
  <si>
    <t>Industry: Aerospace &amp; Defense</t>
  </si>
  <si>
    <t>Industry View: In-Line</t>
  </si>
  <si>
    <t>Price as of 11 Apr 2018: 349.95</t>
  </si>
  <si>
    <t>Target Price: 378</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</si>
  <si>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</si>
  <si>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</si>
  <si>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</si>
  <si>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</si>
  <si>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Northrop Grumman Corp..</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</si>
  <si>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</si>
  <si>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</si>
  <si>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</si>
  <si>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</si>
  <si>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</si>
  <si>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</si>
  <si>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</si>
  <si>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</si>
  <si>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</si>
  <si>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</si>
  <si>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</si>
  <si>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</si>
  <si>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</si>
  <si>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</si>
  <si>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</si>
  <si>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</si>
  <si>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</si>
  <si>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</si>
  <si>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</si>
  <si>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</si>
  <si>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</si>
  <si>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</si>
  <si>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</si>
  <si>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</si>
  <si>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</si>
  <si>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</si>
  <si>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</si>
  <si>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</si>
  <si>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</si>
  <si>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</si>
  <si>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</si>
  <si>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</si>
  <si>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</si>
  <si>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</si>
  <si>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</si>
  <si>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</si>
  <si>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</si>
  <si>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</si>
  <si>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</si>
  <si>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</si>
  <si>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</si>
  <si>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</si>
  <si>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</si>
  <si>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</si>
  <si>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</si>
  <si>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</si>
  <si>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</si>
  <si>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</si>
  <si>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</si>
  <si>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</si>
  <si>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</si>
  <si>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</si>
  <si>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</si>
  <si>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</si>
  <si>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</si>
  <si>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</si>
  <si>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</si>
  <si>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</si>
  <si>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</si>
  <si>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</si>
  <si>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</si>
  <si>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</si>
  <si>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</si>
  <si>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</si>
  <si>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</si>
  <si>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</si>
  <si>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</si>
  <si>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</si>
  <si>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</si>
  <si>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</si>
  <si>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</si>
  <si>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</si>
  <si>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</si>
  <si>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</si>
  <si>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</si>
  <si>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</si>
  <si>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</si>
  <si>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</si>
  <si>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</si>
  <si>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</si>
  <si>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</si>
  <si>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</si>
  <si>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</si>
  <si>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</si>
  <si>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</si>
  <si>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</si>
  <si>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</si>
  <si>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</si>
  <si>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</si>
  <si>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</si>
  <si>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</si>
  <si>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</si>
  <si>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</si>
  <si>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</si>
  <si>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</si>
  <si>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</si>
  <si>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</si>
  <si>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</si>
  <si>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</si>
  <si>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</si>
  <si>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</si>
  <si>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</si>
  <si>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</si>
  <si>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</si>
  <si>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</si>
  <si>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</si>
  <si>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</si>
  <si>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</si>
  <si>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</si>
  <si>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</si>
  <si>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</si>
  <si>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</si>
  <si>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</si>
  <si>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</si>
  <si>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</si>
  <si>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</si>
  <si>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</si>
  <si>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</si>
  <si>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</si>
  <si>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</si>
  <si>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</si>
  <si>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</si>
  <si>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</si>
  <si>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</si>
  <si>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</si>
  <si>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</si>
  <si>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</si>
  <si>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</si>
  <si>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</si>
  <si>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</si>
  <si>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</si>
  <si>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</si>
  <si>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</si>
  <si>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</si>
  <si>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</si>
  <si>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</si>
  <si>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</si>
  <si>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</si>
  <si>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</si>
  <si>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</si>
  <si>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</si>
  <si>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</si>
  <si>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</si>
  <si>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</si>
  <si>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</si>
  <si>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</si>
  <si>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</si>
  <si>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</si>
  <si>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</si>
  <si>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</si>
  <si>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</si>
  <si>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</si>
  <si>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</si>
  <si>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</si>
  <si>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</si>
  <si>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</si>
  <si>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</si>
  <si>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</si>
  <si>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</si>
  <si>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</si>
  <si>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</si>
  <si>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</si>
  <si>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</si>
  <si>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</si>
  <si>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</si>
  <si>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</si>
  <si>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</si>
  <si>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</si>
  <si>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</si>
  <si>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</si>
  <si>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</si>
  <si>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</si>
  <si>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</si>
  <si>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</si>
  <si>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</si>
  <si>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</si>
  <si>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Northrop Grumman Corp..</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</si>
  <si>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</si>
  <si>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</si>
  <si>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</si>
  <si>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</si>
  <si>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</si>
  <si>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</si>
  <si>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</si>
  <si>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</si>
  <si>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</si>
  <si>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</si>
  <si>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</si>
  <si>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</si>
  <si>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</si>
  <si>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</si>
  <si>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</si>
  <si>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</si>
  <si>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</si>
  <si>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</si>
  <si>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</si>
  <si>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</si>
  <si>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</si>
  <si>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</si>
  <si>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</si>
  <si>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</si>
  <si>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</si>
  <si>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</si>
  <si>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</si>
  <si>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</si>
  <si>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</si>
  <si>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</si>
  <si>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</si>
  <si>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</si>
  <si>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</si>
  <si>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</si>
  <si>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</si>
  <si>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</si>
  <si>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</si>
  <si>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</si>
  <si>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</si>
  <si>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</si>
  <si>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</si>
  <si>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</si>
  <si>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</si>
  <si>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</si>
  <si>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</si>
  <si>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</si>
  <si>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</si>
  <si>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</si>
  <si>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</si>
  <si>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</si>
  <si>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</si>
  <si>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</si>
  <si>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</si>
  <si>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</si>
  <si>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</si>
  <si>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</si>
  <si>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</si>
  <si>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</si>
  <si>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</si>
  <si>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</si>
  <si>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</si>
  <si>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</si>
  <si>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</si>
  <si>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</si>
  <si>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</si>
  <si>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</si>
  <si>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</si>
  <si>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</si>
  <si>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Northrop Grumman Corp..</t>
  </si>
  <si>
    <t>Within the last 12 months, Morgan Stanley has provided or is providing investment banking services to,</t>
  </si>
  <si>
    <t>or has an investment banking client relationship with, the following company: Northrop Grumman Corp..</t>
  </si>
  <si>
    <t>Within the last 12 months, Morgan Stanley has received compensation for products and services other than</t>
  </si>
  <si>
    <t>investment banking services from Northrop Grumman Corp..</t>
  </si>
  <si>
    <t>In the next 3 months, Morgan Stanley expects to receive or intends to seek compensation for investment</t>
  </si>
  <si>
    <t>banking services from Northrop Grumman Corp..</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</si>
  <si>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</si>
  <si>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</si>
  <si>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</si>
  <si>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</si>
  <si>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</si>
  <si>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Rajeev Lalwani, CFA.</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</si>
  <si>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</si>
  <si>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</si>
  <si>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</si>
  <si>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</si>
  <si>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</si>
  <si>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</si>
  <si>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</si>
  <si>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</si>
  <si>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</si>
  <si>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</si>
  <si>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</si>
  <si>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</si>
  <si>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</si>
  <si>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</si>
  <si>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</si>
  <si>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</si>
  <si>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</si>
  <si>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</si>
  <si>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</si>
  <si>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</si>
  <si>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</si>
  <si>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</si>
  <si>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</si>
  <si>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</si>
  <si>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</si>
  <si>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</si>
  <si>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</si>
  <si>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</si>
  <si>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</si>
  <si>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</si>
  <si>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</si>
  <si>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</si>
  <si>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</si>
  <si>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</si>
  <si>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</si>
  <si>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</si>
  <si>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</si>
  <si>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</si>
  <si>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</si>
  <si>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</si>
  <si>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</si>
  <si>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</si>
  <si>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</si>
  <si>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</si>
  <si>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</si>
  <si>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 xml:space="preserve"> </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</si>
  <si>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</si>
  <si>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</si>
  <si>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</si>
  <si>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</si>
  <si>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</si>
  <si>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</si>
  <si>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</si>
  <si>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</si>
  <si>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</si>
  <si>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</si>
  <si>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</si>
  <si>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</si>
  <si>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</si>
  <si>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</si>
  <si>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</si>
  <si>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</si>
  <si>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</si>
  <si>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</si>
  <si>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</si>
  <si>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</si>
  <si>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</si>
  <si>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</si>
  <si>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</si>
  <si>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Equal-Weight / In-Line</t>
  </si>
  <si>
    <t>Regular Update</t>
  </si>
  <si>
    <t>NorthAmerica</t>
  </si>
  <si>
    <t>sharpmat</t>
  </si>
  <si>
    <t>L:\AERO\Companies\NOC\NOC.model.WIP.xlsm</t>
  </si>
  <si>
    <t>[BRO MSA]</t>
  </si>
  <si>
    <t>[PRODUCT MODEL]</t>
  </si>
  <si>
    <t>[EMAIL_ALERT YES]</t>
  </si>
  <si>
    <t>[DISCIPLINE Company]</t>
  </si>
  <si>
    <t>[SUPPRESSED NO]</t>
  </si>
  <si>
    <t>[DOCDAT 2018-04-11]</t>
  </si>
  <si>
    <t>[DOCTIME 12:42]</t>
  </si>
  <si>
    <t>[PSYM NOC.N(S&amp;P) (None)]</t>
  </si>
  <si>
    <t>[COU 1]</t>
  </si>
  <si>
    <t>[ANA ]</t>
  </si>
  <si>
    <t>[HL NOC.N Model]</t>
  </si>
  <si>
    <t>[IND AERODF DEFENS]</t>
  </si>
  <si>
    <t>[PANA MSA91FHR]</t>
  </si>
</sst>
</file>

<file path=xl/styles.xml><?xml version="1.0" encoding="utf-8"?>
<styleSheet xmlns="http://schemas.openxmlformats.org/spreadsheetml/2006/main" xmlns:mc="http://schemas.openxmlformats.org/markup-compatibility/2006" xmlns:x14ac="http://schemas.microsoft.com/office/spreadsheetml/2009/9/ac" mc:Ignorable="x14ac">
  <numFmts count="31">
    <numFmt numFmtId="5" formatCode="&quot;$&quot;#,##0_);\(&quot;$&quot;#,##0\)"/>
    <numFmt numFmtId="6" formatCode="&quot;$&quot;#,##0_);[Red]\(&quot;$&quot;#,##0\)"/>
    <numFmt numFmtId="7" formatCode="&quot;$&quot;#,##0.00_);\(&quot;$&quot;#,##0.00\)"/>
    <numFmt numFmtId="8" formatCode="&quot;$&quot;#,##0.00_);[Red]\(&quot;$&quot;#,##0.00\)"/>
    <numFmt numFmtId="41" formatCode="_(* #,##0_);_(* \(#,##0\);_(* &quot;-&quot;_);_(@_)"/>
    <numFmt numFmtId="44" formatCode="_(&quot;$&quot;* #,##0.00_);_(&quot;$&quot;* \(#,##0.00\);_(&quot;$&quot;* &quot;-&quot;??_);_(@_)"/>
    <numFmt numFmtId="43" formatCode="_(* #,##0.00_);_(* \(#,##0.00\);_(* &quot;-&quot;??_);_(@_)"/>
    <numFmt numFmtId="164" formatCode="#,##0.0%_);\(#,##0.0%\)"/>
    <numFmt numFmtId="165" formatCode="_(* #,##0_);_(* \(#,##0\);_(* &quot;-&quot;??_);_(@_)"/>
    <numFmt numFmtId="166" formatCode="0.0%"/>
    <numFmt numFmtId="167" formatCode="&quot;$&quot;#,##0.0_);\(&quot;$&quot;#,##0.0\)"/>
    <numFmt numFmtId="168" formatCode="0.0\x"/>
    <numFmt numFmtId="169" formatCode="#,##0.0_);\(#,##0.0\)"/>
    <numFmt numFmtId="170" formatCode="_(* #,##0.0_);_(* \(#,##0.0\);_(* &quot;-&quot;?_);_(@_)"/>
    <numFmt numFmtId="172" formatCode="0.0"/>
    <numFmt numFmtId="173" formatCode="&quot;$&quot;#,##0.00"/>
    <numFmt numFmtId="174" formatCode="_ * #,##0_ ;_ * \-#,##0_ ;_ * &quot;-&quot;_ ;_ @_ "/>
    <numFmt numFmtId="175" formatCode="&quot;$&quot;#,##0"/>
    <numFmt numFmtId="176" formatCode="#,##0.0"/>
    <numFmt numFmtId="177" formatCode="#,##0.000"/>
    <numFmt numFmtId="178" formatCode="&quot;$&quot;#,##0.0"/>
    <numFmt numFmtId="180" formatCode="0.00\x"/>
    <numFmt numFmtId="181" formatCode="[$-F400]h:mm:ss\ AM/PM"/>
    <numFmt numFmtId="182" formatCode="0&quot;E&quot;"/>
    <numFmt numFmtId="183" formatCode="0&quot;e&quot;"/>
    <numFmt numFmtId="184" formatCode="_(&quot;$&quot;* #,##0_);_(&quot;$&quot;* \(#,##0\);_(&quot;$&quot;* &quot;-&quot;??_);_(@_)"/>
    <numFmt numFmtId="185" formatCode="0.0&quot;x&quot;"/>
    <numFmt numFmtId="186" formatCode="0&quot;A&quot;"/>
    <numFmt numFmtId="187" formatCode="0.0000000000000000%"/>
    <numFmt numFmtId="188" formatCode="#,##0.00%_);\(#,##0.00%\)"/>
    <numFmt numFmtId="189" formatCode="mm/dd/yy\ hh:mm"/>
  </numFmts>
  <fonts count="71">
    <font>
      <sz val="10"/>
      <name val="Arial"/>
    </font>
    <font>
      <sz val="10"/>
      <name val="Arial"/>
      <family val="2"/>
    </font>
    <font>
      <sz val="10"/>
      <color indexed="8"/>
      <name val="MS Sans Serif"/>
      <family val="2"/>
    </font>
    <font>
      <sz val="10"/>
      <name val="Arial"/>
      <family val="2"/>
    </font>
    <font>
      <b/>
      <sz val="10"/>
      <name val="Arial"/>
      <family val="2"/>
    </font>
    <font>
      <b/>
      <sz val="10"/>
      <color indexed="8"/>
      <name val="Arial"/>
      <family val="2"/>
    </font>
    <font>
      <sz val="10"/>
      <color indexed="9"/>
      <name val="Arial"/>
      <family val="2"/>
    </font>
    <font>
      <b/>
      <sz val="8"/>
      <color indexed="81"/>
      <name val="Tahoma"/>
      <family val="2"/>
    </font>
    <font>
      <sz val="8"/>
      <name val="Arial"/>
      <family val="2"/>
    </font>
    <font>
      <b/>
      <sz val="8"/>
      <name val="Arial"/>
      <family val="2"/>
    </font>
    <font>
      <sz val="8"/>
      <name val="Arial"/>
      <family val="2"/>
    </font>
    <font>
      <sz val="8"/>
      <color indexed="12"/>
      <name val="Arial"/>
      <family val="2"/>
    </font>
    <font>
      <sz val="11"/>
      <name val="Arial"/>
      <family val="2"/>
    </font>
    <font>
      <sz val="10"/>
      <name val="MS Sans Serif"/>
      <family val="2"/>
    </font>
    <font>
      <b/>
      <sz val="10"/>
      <color indexed="8"/>
      <name val="Times New Roman"/>
      <family val="1"/>
    </font>
    <font>
      <u/>
      <sz val="10"/>
      <color indexed="12"/>
      <name val="Arial"/>
      <family val="2"/>
    </font>
    <font>
      <sz val="9"/>
      <name val="Times New Roman"/>
      <family val="1"/>
    </font>
    <font>
      <sz val="10"/>
      <color indexed="8"/>
      <name val="Times New Roman"/>
      <family val="1"/>
    </font>
    <font>
      <i/>
      <sz val="8"/>
      <name val="Times New Roman"/>
      <family val="1"/>
    </font>
    <font>
      <sz val="8"/>
      <color indexed="9"/>
      <name val="Arial"/>
      <family val="2"/>
    </font>
    <font>
      <b/>
      <sz val="8"/>
      <color indexed="9"/>
      <name val="Arial"/>
      <family val="2"/>
    </font>
    <font>
      <i/>
      <sz val="8"/>
      <name val="Arial"/>
      <family val="2"/>
    </font>
    <font>
      <b/>
      <i/>
      <sz val="8"/>
      <name val="Arial"/>
      <family val="2"/>
    </font>
    <font>
      <sz val="12"/>
      <name val="바탕체"/>
      <family val="1"/>
      <charset val="129"/>
    </font>
    <font>
      <sz val="8"/>
      <color indexed="12"/>
      <name val="Arial"/>
      <family val="2"/>
    </font>
    <font>
      <sz val="10"/>
      <name val="Courier"/>
      <family val="3"/>
    </font>
    <font>
      <sz val="8"/>
      <color indexed="8"/>
      <name val="Arial"/>
      <family val="2"/>
    </font>
    <font>
      <b/>
      <sz val="8"/>
      <color indexed="12"/>
      <name val="Arial"/>
      <family val="2"/>
    </font>
    <font>
      <i/>
      <sz val="8"/>
      <color indexed="8"/>
      <name val="Arial"/>
      <family val="2"/>
    </font>
    <font>
      <i/>
      <sz val="8"/>
      <color indexed="12"/>
      <name val="Arial"/>
      <family val="2"/>
    </font>
    <font>
      <i/>
      <sz val="8"/>
      <color indexed="9"/>
      <name val="Arial"/>
      <family val="2"/>
    </font>
    <font>
      <sz val="10"/>
      <name val="Times New Roman"/>
      <family val="1"/>
    </font>
    <font>
      <b/>
      <sz val="8"/>
      <color indexed="10"/>
      <name val="Arial"/>
      <family val="2"/>
    </font>
    <font>
      <b/>
      <sz val="8"/>
      <color indexed="8"/>
      <name val="Arial"/>
      <family val="2"/>
    </font>
    <font>
      <b/>
      <sz val="8"/>
      <name val="Arial"/>
      <family val="2"/>
    </font>
    <font>
      <sz val="10"/>
      <name val="Helv"/>
    </font>
    <font>
      <b/>
      <sz val="8"/>
      <color indexed="22"/>
      <name val="Arial"/>
      <family val="2"/>
    </font>
    <font>
      <b/>
      <i/>
      <sz val="8"/>
      <color indexed="8"/>
      <name val="Arial"/>
      <family val="2"/>
    </font>
    <font>
      <sz val="8"/>
      <color indexed="63"/>
      <name val="Arial"/>
      <family val="2"/>
    </font>
    <font>
      <u/>
      <sz val="10"/>
      <name val="Arial"/>
      <family val="2"/>
    </font>
    <font>
      <b/>
      <sz val="18"/>
      <color indexed="9"/>
      <name val="Arial"/>
      <family val="2"/>
    </font>
    <font>
      <b/>
      <sz val="12"/>
      <color indexed="9"/>
      <name val="Arial"/>
      <family val="2"/>
    </font>
    <font>
      <sz val="10"/>
      <color indexed="16"/>
      <name val="Arial"/>
      <family val="2"/>
    </font>
    <font>
      <b/>
      <sz val="10"/>
      <color indexed="16"/>
      <name val="Arial"/>
      <family val="2"/>
    </font>
    <font>
      <b/>
      <sz val="11"/>
      <color indexed="16"/>
      <name val="Arial"/>
      <family val="2"/>
    </font>
    <font>
      <b/>
      <sz val="14"/>
      <color indexed="9"/>
      <name val="Arial"/>
      <family val="2"/>
    </font>
    <font>
      <sz val="12"/>
      <color indexed="16"/>
      <name val="Arial"/>
      <family val="2"/>
    </font>
    <font>
      <b/>
      <sz val="12"/>
      <color indexed="12"/>
      <name val="Arial"/>
      <family val="2"/>
    </font>
    <font>
      <i/>
      <sz val="10"/>
      <color indexed="9"/>
      <name val="Arial"/>
      <family val="2"/>
    </font>
    <font>
      <i/>
      <sz val="10"/>
      <name val="Arial"/>
      <family val="2"/>
    </font>
    <font>
      <sz val="8"/>
      <color rgb="FF0000FF"/>
      <name val="Arial"/>
      <family val="2"/>
    </font>
    <font>
      <sz val="10"/>
      <color rgb="FF002060"/>
      <name val="Times New Roman"/>
      <family val="1"/>
    </font>
    <font>
      <b/>
      <sz val="11"/>
      <color rgb="FF002060"/>
      <name val="Arial"/>
      <family val="2"/>
    </font>
    <font>
      <sz val="10"/>
      <color rgb="FF002060"/>
      <name val="Arial"/>
      <family val="2"/>
    </font>
    <font>
      <b/>
      <sz val="10"/>
      <color rgb="FF002060"/>
      <name val="Arial"/>
      <family val="2"/>
    </font>
    <font>
      <b/>
      <sz val="10"/>
      <color theme="0"/>
      <name val="Arial"/>
      <family val="2"/>
    </font>
    <font>
      <sz val="10"/>
      <color theme="0"/>
      <name val="Arial"/>
      <family val="2"/>
    </font>
    <font>
      <b/>
      <u/>
      <sz val="10"/>
      <color rgb="FF0070C0"/>
      <name val="Arial"/>
      <family val="2"/>
    </font>
    <font>
      <sz val="10"/>
      <color rgb="FF0070C0"/>
      <name val="Arial"/>
      <family val="2"/>
    </font>
    <font>
      <i/>
      <sz val="10"/>
      <color rgb="FF0070C0"/>
      <name val="Arial"/>
      <family val="2"/>
    </font>
    <font>
      <b/>
      <sz val="10"/>
      <color rgb="FF0070C0"/>
      <name val="Arial"/>
      <family val="2"/>
    </font>
    <font>
      <u/>
      <sz val="8"/>
      <name val="Arial"/>
      <family val="2"/>
    </font>
    <font>
      <sz val="10"/>
      <name val="Arial"/>
      <family val="2"/>
    </font>
    <font>
      <sz val="8"/>
      <color rgb="FFFF0000"/>
      <name val="Arial"/>
      <family val="2"/>
    </font>
    <font>
      <u/>
      <sz val="8"/>
      <color rgb="FFFF0000"/>
      <name val="Arial"/>
      <family val="2"/>
    </font>
    <font>
      <b/>
      <sz val="10"/>
      <color rgb="FFFF0000"/>
      <name val="Arial"/>
      <family val="2"/>
    </font>
    <font>
      <b/>
      <u/>
      <sz val="8"/>
      <name val="Arial"/>
      <family val="2"/>
    </font>
    <font>
      <b/>
      <sz val="8"/>
      <color rgb="FFFF0000"/>
      <name val="Arial"/>
      <family val="2"/>
    </font>
    <font>
      <sz val="10"/>
      <color rgb="FFFF0000"/>
      <name val="Arial"/>
      <family val="2"/>
    </font>
    <font>
      <sz val="10"/>
      <color rgb="FF000000"/>
      <name val="Arial"/>
      <family val="2"/>
    </font>
    <font>
      <b/>
      <sz val="12"/>
      <color rgb="FF000080"/>
      <name val="Arial"/>
      <family val="2"/>
    </font>
  </fonts>
  <fills count="16">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solid">
        <fgColor indexed="13"/>
        <bgColor indexed="64"/>
      </patternFill>
    </fill>
    <fill>
      <patternFill patternType="solid">
        <fgColor indexed="9"/>
        <bgColor indexed="64"/>
      </patternFill>
    </fill>
    <fill>
      <patternFill patternType="solid">
        <fgColor indexed="18"/>
        <bgColor indexed="64"/>
      </patternFill>
    </fill>
    <fill>
      <patternFill patternType="solid">
        <fgColor indexed="48"/>
        <bgColor indexed="64"/>
      </patternFill>
    </fill>
    <fill>
      <patternFill patternType="solid">
        <fgColor indexed="23"/>
        <bgColor indexed="64"/>
      </patternFill>
    </fill>
    <fill>
      <patternFill patternType="solid">
        <fgColor theme="0"/>
        <bgColor indexed="64"/>
      </patternFill>
    </fill>
    <fill>
      <patternFill patternType="solid">
        <fgColor rgb="FFFFFF00"/>
        <bgColor indexed="64"/>
      </patternFill>
    </fill>
    <fill>
      <patternFill patternType="solid">
        <fgColor rgb="FF002060"/>
        <bgColor indexed="64"/>
      </patternFill>
    </fill>
    <fill>
      <patternFill patternType="solid">
        <fgColor theme="3" tint="0.79998168889431442"/>
        <bgColor indexed="64"/>
      </patternFill>
    </fill>
    <fill>
      <patternFill patternType="solid">
        <fgColor theme="0" tint="-0.249977111117893"/>
        <bgColor indexed="64"/>
      </patternFill>
    </fill>
    <fill>
      <patternFill patternType="solid">
        <fgColor rgb="FFFFC000"/>
        <bgColor indexed="64"/>
      </patternFill>
    </fill>
    <fill>
      <patternFill patternType="solid">
        <fgColor indexed="65"/>
        <bgColor indexed="64"/>
      </patternFill>
    </fill>
  </fills>
  <borders count="34">
    <border>
      <left/>
      <right/>
      <top/>
      <bottom/>
      <diagonal/>
    </border>
    <border>
      <left/>
      <right/>
      <top/>
      <bottom style="thin">
        <color indexed="8"/>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bottom/>
      <diagonal/>
    </border>
    <border>
      <left/>
      <right/>
      <top/>
      <bottom style="hair">
        <color indexed="64"/>
      </bottom>
      <diagonal/>
    </border>
    <border>
      <left style="thin">
        <color indexed="64"/>
      </left>
      <right style="thin">
        <color indexed="64"/>
      </right>
      <top/>
      <bottom style="hair">
        <color indexed="64"/>
      </bottom>
      <diagonal/>
    </border>
    <border>
      <left/>
      <right style="thin">
        <color indexed="64"/>
      </right>
      <top/>
      <bottom style="hair">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ashed">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top style="dashed">
        <color indexed="64"/>
      </top>
      <bottom style="dashed">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style="hair">
        <color indexed="64"/>
      </bottom>
      <diagonal/>
    </border>
    <border>
      <left style="thin">
        <color indexed="64"/>
      </left>
      <right/>
      <top style="hair">
        <color indexed="64"/>
      </top>
      <bottom style="hair">
        <color indexed="64"/>
      </bottom>
      <diagonal/>
    </border>
    <border>
      <left style="thin">
        <color auto="1"/>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35">
    <xf numFmtId="0" fontId="0" fillId="0" borderId="0"/>
    <xf numFmtId="0" fontId="1" fillId="0" borderId="0"/>
    <xf numFmtId="0" fontId="1" fillId="0" borderId="0">
      <alignment vertical="top"/>
    </xf>
    <xf numFmtId="0" fontId="1" fillId="0" borderId="0">
      <alignment vertical="top"/>
    </xf>
    <xf numFmtId="0" fontId="3" fillId="0" borderId="0" applyNumberFormat="0" applyFont="0" applyFill="0" applyBorder="0" applyAlignment="0" applyProtection="0"/>
    <xf numFmtId="0" fontId="3" fillId="0" borderId="0" applyNumberFormat="0" applyFill="0" applyBorder="0" applyAlignment="0" applyProtection="0"/>
    <xf numFmtId="0" fontId="1" fillId="0" borderId="0"/>
    <xf numFmtId="0" fontId="13" fillId="0" borderId="0"/>
    <xf numFmtId="0" fontId="13" fillId="0" borderId="0"/>
    <xf numFmtId="0" fontId="14" fillId="0" borderId="0"/>
    <xf numFmtId="43" fontId="1" fillId="0" borderId="0" applyFont="0" applyFill="0" applyBorder="0" applyAlignment="0" applyProtection="0"/>
    <xf numFmtId="43" fontId="31" fillId="0" borderId="0" applyFont="0" applyFill="0" applyBorder="0" applyAlignment="0" applyProtection="0"/>
    <xf numFmtId="4" fontId="35" fillId="0" borderId="0" applyFont="0" applyFill="0" applyBorder="0" applyAlignment="0" applyProtection="0"/>
    <xf numFmtId="44" fontId="3" fillId="0" borderId="0" applyFont="0" applyFill="0" applyBorder="0" applyAlignment="0" applyProtection="0"/>
    <xf numFmtId="0" fontId="15" fillId="0" borderId="0" applyNumberFormat="0" applyFill="0" applyBorder="0" applyAlignment="0" applyProtection="0">
      <alignment vertical="top"/>
      <protection locked="0"/>
    </xf>
    <xf numFmtId="38" fontId="1" fillId="0" borderId="0" applyFont="0" applyFill="0" applyBorder="0" applyAlignment="0" applyProtection="0"/>
    <xf numFmtId="0" fontId="3" fillId="0" borderId="0"/>
    <xf numFmtId="0" fontId="31" fillId="0" borderId="0"/>
    <xf numFmtId="0" fontId="2" fillId="0" borderId="0" applyNumberFormat="0" applyFont="0" applyFill="0" applyBorder="0" applyAlignment="0" applyProtection="0"/>
    <xf numFmtId="0" fontId="31" fillId="0" borderId="0"/>
    <xf numFmtId="0" fontId="25" fillId="0" borderId="0"/>
    <xf numFmtId="0" fontId="16" fillId="0" borderId="0">
      <alignment vertical="center"/>
    </xf>
    <xf numFmtId="9" fontId="1" fillId="0" borderId="0" applyFont="0" applyFill="0" applyBorder="0" applyAlignment="0" applyProtection="0"/>
    <xf numFmtId="0" fontId="3" fillId="2" borderId="0" applyNumberFormat="0" applyFont="0" applyBorder="0" applyAlignment="0" applyProtection="0"/>
    <xf numFmtId="0" fontId="17" fillId="0" borderId="0"/>
    <xf numFmtId="0" fontId="17" fillId="0" borderId="1">
      <alignment horizontal="centerContinuous"/>
    </xf>
    <xf numFmtId="0" fontId="18" fillId="0" borderId="1"/>
    <xf numFmtId="0" fontId="1" fillId="0" borderId="0"/>
    <xf numFmtId="174" fontId="23" fillId="0" borderId="0" applyFont="0" applyFill="0" applyBorder="0" applyAlignment="0" applyProtection="0"/>
    <xf numFmtId="0" fontId="23" fillId="0" borderId="0" applyFont="0" applyFill="0" applyBorder="0" applyAlignment="0" applyProtection="0"/>
    <xf numFmtId="0" fontId="1" fillId="0" borderId="0"/>
    <xf numFmtId="0" fontId="1" fillId="2" borderId="0" applyNumberFormat="0" applyFont="0" applyBorder="0" applyAlignment="0" applyProtection="0"/>
    <xf numFmtId="44" fontId="1" fillId="0" borderId="0" applyFont="0" applyFill="0" applyBorder="0" applyAlignment="0" applyProtection="0"/>
    <xf numFmtId="44" fontId="62" fillId="0" borderId="0" applyFont="0" applyFill="0" applyBorder="0" applyAlignment="0" applyProtection="0"/>
    <xf numFmtId="0" fontId="25" fillId="0" borderId="0"/>
  </cellStyleXfs>
  <cellXfs count="1146">
    <xf numFmtId="0" fontId="0" fillId="0" borderId="0" xfId="0"/>
    <xf numFmtId="49" fontId="0" fillId="0" borderId="0" xfId="0" applyNumberFormat="1"/>
    <xf numFmtId="0" fontId="20" fillId="6" borderId="5" xfId="18" applyFont="1" applyFill="1" applyBorder="1" applyAlignment="1">
      <alignment horizontal="center"/>
    </xf>
    <xf numFmtId="0" fontId="20" fillId="6" borderId="0" xfId="18" applyFont="1" applyFill="1" applyBorder="1" applyAlignment="1">
      <alignment horizontal="center"/>
    </xf>
    <xf numFmtId="0" fontId="20" fillId="6" borderId="0" xfId="18" applyFont="1" applyFill="1"/>
    <xf numFmtId="0" fontId="19" fillId="6" borderId="6" xfId="18" applyFont="1" applyFill="1" applyBorder="1"/>
    <xf numFmtId="0" fontId="19" fillId="6" borderId="0" xfId="18" applyFont="1" applyFill="1" applyBorder="1"/>
    <xf numFmtId="0" fontId="19" fillId="6" borderId="0" xfId="18" applyFont="1" applyFill="1"/>
    <xf numFmtId="0" fontId="19" fillId="5" borderId="7" xfId="18" applyFont="1" applyFill="1" applyBorder="1"/>
    <xf numFmtId="0" fontId="19" fillId="3" borderId="0" xfId="18" applyFont="1" applyFill="1" applyBorder="1"/>
    <xf numFmtId="0" fontId="19" fillId="5" borderId="0" xfId="27" applyFont="1" applyFill="1" applyBorder="1"/>
    <xf numFmtId="0" fontId="20" fillId="7" borderId="0" xfId="18" applyFont="1" applyFill="1" applyBorder="1"/>
    <xf numFmtId="0" fontId="19" fillId="7" borderId="6" xfId="18" applyFont="1" applyFill="1" applyBorder="1"/>
    <xf numFmtId="0" fontId="19" fillId="7" borderId="0" xfId="18" applyFont="1" applyFill="1" applyBorder="1"/>
    <xf numFmtId="175" fontId="9" fillId="3" borderId="0" xfId="18" applyNumberFormat="1" applyFont="1" applyFill="1"/>
    <xf numFmtId="175" fontId="9" fillId="3" borderId="6" xfId="18" applyNumberFormat="1" applyFont="1" applyFill="1" applyBorder="1"/>
    <xf numFmtId="175" fontId="9" fillId="3" borderId="0" xfId="18" applyNumberFormat="1" applyFont="1" applyFill="1" applyBorder="1"/>
    <xf numFmtId="175" fontId="9" fillId="5" borderId="7" xfId="18" applyNumberFormat="1" applyFont="1" applyFill="1" applyBorder="1"/>
    <xf numFmtId="175" fontId="9" fillId="6" borderId="0" xfId="18" applyNumberFormat="1" applyFont="1" applyFill="1" applyBorder="1"/>
    <xf numFmtId="37" fontId="10" fillId="6" borderId="0" xfId="18" applyNumberFormat="1" applyFont="1" applyFill="1"/>
    <xf numFmtId="37" fontId="10" fillId="5" borderId="0" xfId="18" applyNumberFormat="1" applyFont="1" applyFill="1"/>
    <xf numFmtId="175" fontId="9" fillId="5" borderId="0" xfId="27" applyNumberFormat="1" applyFont="1" applyFill="1" applyBorder="1"/>
    <xf numFmtId="9" fontId="8" fillId="5" borderId="0" xfId="20" applyNumberFormat="1" applyFont="1" applyFill="1" applyBorder="1" applyAlignment="1" applyProtection="1">
      <alignment horizontal="left" indent="2"/>
      <protection locked="0"/>
    </xf>
    <xf numFmtId="164" fontId="10" fillId="5" borderId="6" xfId="18" applyNumberFormat="1" applyFont="1" applyFill="1" applyBorder="1"/>
    <xf numFmtId="164" fontId="10" fillId="5" borderId="0" xfId="18" applyNumberFormat="1" applyFont="1" applyFill="1" applyBorder="1"/>
    <xf numFmtId="164" fontId="26" fillId="5" borderId="6" xfId="18" applyNumberFormat="1" applyFont="1" applyFill="1" applyBorder="1"/>
    <xf numFmtId="164" fontId="11" fillId="5" borderId="0" xfId="18" applyNumberFormat="1" applyFont="1" applyFill="1" applyBorder="1"/>
    <xf numFmtId="164" fontId="11" fillId="5" borderId="6" xfId="18" applyNumberFormat="1" applyFont="1" applyFill="1" applyBorder="1"/>
    <xf numFmtId="164" fontId="11" fillId="5" borderId="7" xfId="18" applyNumberFormat="1" applyFont="1" applyFill="1" applyBorder="1"/>
    <xf numFmtId="0" fontId="10" fillId="5" borderId="0" xfId="18" applyFont="1" applyFill="1"/>
    <xf numFmtId="0" fontId="10" fillId="5" borderId="0" xfId="0" applyFont="1" applyFill="1"/>
    <xf numFmtId="175" fontId="8" fillId="5" borderId="0" xfId="20" applyNumberFormat="1" applyFont="1" applyFill="1" applyBorder="1" applyAlignment="1" applyProtection="1">
      <alignment horizontal="left" indent="1"/>
      <protection locked="0"/>
    </xf>
    <xf numFmtId="175" fontId="10" fillId="5" borderId="6" xfId="18" applyNumberFormat="1" applyFont="1" applyFill="1" applyBorder="1"/>
    <xf numFmtId="175" fontId="10" fillId="5" borderId="0" xfId="18" applyNumberFormat="1" applyFont="1" applyFill="1" applyBorder="1"/>
    <xf numFmtId="175" fontId="11" fillId="5" borderId="7" xfId="18" applyNumberFormat="1" applyFont="1" applyFill="1" applyBorder="1"/>
    <xf numFmtId="175" fontId="19" fillId="6" borderId="0" xfId="18" applyNumberFormat="1" applyFont="1" applyFill="1"/>
    <xf numFmtId="175" fontId="10" fillId="5" borderId="0" xfId="18" applyNumberFormat="1" applyFont="1" applyFill="1"/>
    <xf numFmtId="175" fontId="10" fillId="5" borderId="0" xfId="0" applyNumberFormat="1" applyFont="1" applyFill="1"/>
    <xf numFmtId="166" fontId="8" fillId="5" borderId="0" xfId="20" applyNumberFormat="1" applyFont="1" applyFill="1" applyBorder="1" applyAlignment="1" applyProtection="1">
      <alignment horizontal="left" indent="2"/>
      <protection locked="0"/>
    </xf>
    <xf numFmtId="166" fontId="10" fillId="5" borderId="6" xfId="18" applyNumberFormat="1" applyFont="1" applyFill="1" applyBorder="1"/>
    <xf numFmtId="166" fontId="10" fillId="5" borderId="0" xfId="18" applyNumberFormat="1" applyFont="1" applyFill="1" applyBorder="1"/>
    <xf numFmtId="166" fontId="11" fillId="5" borderId="7" xfId="18" applyNumberFormat="1" applyFont="1" applyFill="1" applyBorder="1"/>
    <xf numFmtId="166" fontId="19" fillId="6" borderId="0" xfId="18" applyNumberFormat="1" applyFont="1" applyFill="1"/>
    <xf numFmtId="166" fontId="10" fillId="5" borderId="0" xfId="18" applyNumberFormat="1" applyFont="1" applyFill="1"/>
    <xf numFmtId="166" fontId="10" fillId="5" borderId="0" xfId="0" applyNumberFormat="1" applyFont="1" applyFill="1"/>
    <xf numFmtId="175" fontId="10" fillId="6" borderId="0" xfId="18" applyNumberFormat="1" applyFont="1" applyFill="1"/>
    <xf numFmtId="166" fontId="10" fillId="6" borderId="0" xfId="18" applyNumberFormat="1" applyFont="1" applyFill="1"/>
    <xf numFmtId="166" fontId="11" fillId="5" borderId="6" xfId="18" applyNumberFormat="1" applyFont="1" applyFill="1" applyBorder="1"/>
    <xf numFmtId="166" fontId="11" fillId="5" borderId="0" xfId="18" applyNumberFormat="1" applyFont="1" applyFill="1" applyBorder="1"/>
    <xf numFmtId="5" fontId="10" fillId="5" borderId="6" xfId="18" applyNumberFormat="1" applyFont="1" applyFill="1" applyBorder="1"/>
    <xf numFmtId="5" fontId="10" fillId="5" borderId="0" xfId="18" applyNumberFormat="1" applyFont="1" applyFill="1" applyBorder="1"/>
    <xf numFmtId="5" fontId="11" fillId="5" borderId="6" xfId="18" applyNumberFormat="1" applyFont="1" applyFill="1" applyBorder="1"/>
    <xf numFmtId="5" fontId="11" fillId="5" borderId="0" xfId="18" applyNumberFormat="1" applyFont="1" applyFill="1" applyBorder="1"/>
    <xf numFmtId="5" fontId="11" fillId="5" borderId="7" xfId="18" applyNumberFormat="1" applyFont="1" applyFill="1" applyBorder="1"/>
    <xf numFmtId="5" fontId="19" fillId="6" borderId="0" xfId="18" applyNumberFormat="1" applyFont="1" applyFill="1"/>
    <xf numFmtId="5" fontId="10" fillId="6" borderId="0" xfId="18" applyNumberFormat="1" applyFont="1" applyFill="1"/>
    <xf numFmtId="5" fontId="10" fillId="5" borderId="0" xfId="18" applyNumberFormat="1" applyFont="1" applyFill="1"/>
    <xf numFmtId="5" fontId="10" fillId="5" borderId="0" xfId="0" applyNumberFormat="1" applyFont="1" applyFill="1"/>
    <xf numFmtId="37" fontId="10" fillId="5" borderId="6" xfId="18" applyNumberFormat="1" applyFont="1" applyFill="1" applyBorder="1"/>
    <xf numFmtId="37" fontId="10" fillId="5" borderId="0" xfId="18" applyNumberFormat="1" applyFont="1" applyFill="1" applyBorder="1"/>
    <xf numFmtId="37" fontId="11" fillId="5" borderId="6" xfId="18" applyNumberFormat="1" applyFont="1" applyFill="1" applyBorder="1"/>
    <xf numFmtId="9" fontId="10" fillId="5" borderId="0" xfId="18" applyNumberFormat="1" applyFont="1" applyFill="1" applyBorder="1"/>
    <xf numFmtId="9" fontId="19" fillId="6" borderId="0" xfId="18" applyNumberFormat="1" applyFont="1" applyFill="1"/>
    <xf numFmtId="9" fontId="10" fillId="6" borderId="0" xfId="18" applyNumberFormat="1" applyFont="1" applyFill="1"/>
    <xf numFmtId="9" fontId="10" fillId="5" borderId="0" xfId="18" applyNumberFormat="1" applyFont="1" applyFill="1"/>
    <xf numFmtId="9" fontId="10" fillId="5" borderId="0" xfId="0" applyNumberFormat="1" applyFont="1" applyFill="1"/>
    <xf numFmtId="175" fontId="9" fillId="0" borderId="8" xfId="18" applyNumberFormat="1" applyFont="1" applyBorder="1"/>
    <xf numFmtId="175" fontId="9" fillId="0" borderId="9" xfId="18" applyNumberFormat="1" applyFont="1" applyBorder="1"/>
    <xf numFmtId="175" fontId="9" fillId="0" borderId="10" xfId="18" applyNumberFormat="1" applyFont="1" applyBorder="1"/>
    <xf numFmtId="175" fontId="10" fillId="5" borderId="7" xfId="18" applyNumberFormat="1" applyFont="1" applyFill="1" applyBorder="1"/>
    <xf numFmtId="175" fontId="19" fillId="6" borderId="0" xfId="18" applyNumberFormat="1" applyFont="1" applyFill="1" applyBorder="1"/>
    <xf numFmtId="175" fontId="10" fillId="6" borderId="0" xfId="18" applyNumberFormat="1" applyFont="1" applyFill="1" applyBorder="1"/>
    <xf numFmtId="175" fontId="10" fillId="5" borderId="0" xfId="27" applyNumberFormat="1" applyFont="1" applyFill="1" applyBorder="1"/>
    <xf numFmtId="164" fontId="26" fillId="5" borderId="0" xfId="18" applyNumberFormat="1" applyFont="1" applyFill="1" applyBorder="1"/>
    <xf numFmtId="164" fontId="26" fillId="5" borderId="7" xfId="18" applyNumberFormat="1" applyFont="1" applyFill="1" applyBorder="1"/>
    <xf numFmtId="164" fontId="26" fillId="5" borderId="11" xfId="18" applyNumberFormat="1" applyFont="1" applyFill="1" applyBorder="1"/>
    <xf numFmtId="164" fontId="11" fillId="5" borderId="11" xfId="18" applyNumberFormat="1" applyFont="1" applyFill="1" applyBorder="1"/>
    <xf numFmtId="0" fontId="11" fillId="5" borderId="7" xfId="18" applyFont="1" applyFill="1" applyBorder="1"/>
    <xf numFmtId="0" fontId="10" fillId="3" borderId="0" xfId="18" applyFont="1" applyFill="1" applyBorder="1"/>
    <xf numFmtId="0" fontId="10" fillId="6" borderId="0" xfId="18" applyFont="1" applyFill="1" applyBorder="1"/>
    <xf numFmtId="0" fontId="10" fillId="5" borderId="0" xfId="18" applyFont="1" applyFill="1" applyBorder="1"/>
    <xf numFmtId="0" fontId="10" fillId="5" borderId="0" xfId="27" applyFont="1" applyFill="1" applyBorder="1"/>
    <xf numFmtId="175" fontId="10" fillId="5" borderId="11" xfId="20" applyNumberFormat="1" applyFont="1" applyFill="1" applyBorder="1" applyAlignment="1" applyProtection="1">
      <alignment horizontal="left" indent="4"/>
      <protection locked="0"/>
    </xf>
    <xf numFmtId="175" fontId="10" fillId="5" borderId="11" xfId="18" applyNumberFormat="1" applyFont="1" applyFill="1" applyBorder="1"/>
    <xf numFmtId="9" fontId="10" fillId="0" borderId="11" xfId="20" applyNumberFormat="1" applyFont="1" applyFill="1" applyBorder="1" applyAlignment="1" applyProtection="1">
      <alignment horizontal="left" indent="6"/>
      <protection locked="0"/>
    </xf>
    <xf numFmtId="175" fontId="26" fillId="5" borderId="6" xfId="18" applyNumberFormat="1" applyFont="1" applyFill="1" applyBorder="1"/>
    <xf numFmtId="175" fontId="26" fillId="5" borderId="0" xfId="18" applyNumberFormat="1" applyFont="1" applyFill="1" applyBorder="1"/>
    <xf numFmtId="175" fontId="11" fillId="5" borderId="0" xfId="18" applyNumberFormat="1" applyFont="1" applyFill="1" applyBorder="1"/>
    <xf numFmtId="175" fontId="26" fillId="5" borderId="7" xfId="18" applyNumberFormat="1" applyFont="1" applyFill="1" applyBorder="1"/>
    <xf numFmtId="175" fontId="11" fillId="5" borderId="6" xfId="18" applyNumberFormat="1" applyFont="1" applyFill="1" applyBorder="1"/>
    <xf numFmtId="175" fontId="11" fillId="5" borderId="11" xfId="18" applyNumberFormat="1" applyFont="1" applyFill="1" applyBorder="1"/>
    <xf numFmtId="0" fontId="10" fillId="0" borderId="0" xfId="27" applyFont="1" applyBorder="1" applyAlignment="1">
      <alignment horizontal="left" indent="3"/>
    </xf>
    <xf numFmtId="5" fontId="10" fillId="0" borderId="6" xfId="18" applyNumberFormat="1" applyFont="1" applyBorder="1"/>
    <xf numFmtId="5" fontId="10" fillId="0" borderId="0" xfId="18" applyNumberFormat="1" applyFont="1" applyBorder="1"/>
    <xf numFmtId="170" fontId="10" fillId="0" borderId="7" xfId="18" applyNumberFormat="1" applyFont="1" applyBorder="1"/>
    <xf numFmtId="170" fontId="10" fillId="0" borderId="0" xfId="18" applyNumberFormat="1" applyFont="1" applyBorder="1"/>
    <xf numFmtId="170" fontId="10" fillId="0" borderId="11" xfId="18" applyNumberFormat="1" applyFont="1" applyBorder="1"/>
    <xf numFmtId="170" fontId="10" fillId="0" borderId="6" xfId="18" applyNumberFormat="1" applyFont="1" applyBorder="1"/>
    <xf numFmtId="0" fontId="10" fillId="5" borderId="7" xfId="18" applyFont="1" applyFill="1" applyBorder="1"/>
    <xf numFmtId="5" fontId="9" fillId="0" borderId="6" xfId="18" applyNumberFormat="1" applyFont="1" applyFill="1" applyBorder="1"/>
    <xf numFmtId="167" fontId="9" fillId="0" borderId="0" xfId="18" applyNumberFormat="1" applyFont="1" applyFill="1" applyBorder="1"/>
    <xf numFmtId="167" fontId="9" fillId="0" borderId="6" xfId="18" applyNumberFormat="1" applyFont="1" applyFill="1" applyBorder="1"/>
    <xf numFmtId="167" fontId="9" fillId="0" borderId="7" xfId="18" applyNumberFormat="1" applyFont="1" applyFill="1" applyBorder="1"/>
    <xf numFmtId="167" fontId="9" fillId="0" borderId="11" xfId="18" applyNumberFormat="1" applyFont="1" applyFill="1" applyBorder="1"/>
    <xf numFmtId="175" fontId="9" fillId="3" borderId="0" xfId="10" applyNumberFormat="1" applyFont="1" applyFill="1"/>
    <xf numFmtId="0" fontId="10" fillId="6" borderId="0" xfId="18" applyFont="1" applyFill="1"/>
    <xf numFmtId="166" fontId="8" fillId="5" borderId="0" xfId="20" applyNumberFormat="1" applyFont="1" applyFill="1" applyBorder="1" applyAlignment="1" applyProtection="1">
      <alignment horizontal="left" indent="3"/>
      <protection locked="0"/>
    </xf>
    <xf numFmtId="37" fontId="26" fillId="5" borderId="7" xfId="10" applyNumberFormat="1" applyFont="1" applyFill="1" applyBorder="1"/>
    <xf numFmtId="37" fontId="26" fillId="6" borderId="0" xfId="18" applyNumberFormat="1" applyFont="1" applyFill="1"/>
    <xf numFmtId="37" fontId="26" fillId="5" borderId="0" xfId="18" applyNumberFormat="1" applyFont="1" applyFill="1"/>
    <xf numFmtId="37" fontId="26" fillId="5" borderId="0" xfId="0" applyNumberFormat="1" applyFont="1" applyFill="1"/>
    <xf numFmtId="5" fontId="8" fillId="5" borderId="0" xfId="20" applyNumberFormat="1" applyFont="1" applyFill="1" applyBorder="1" applyAlignment="1" applyProtection="1">
      <alignment horizontal="left" indent="1"/>
      <protection locked="0"/>
    </xf>
    <xf numFmtId="5" fontId="26" fillId="5" borderId="6" xfId="18" applyNumberFormat="1" applyFont="1" applyFill="1" applyBorder="1"/>
    <xf numFmtId="175" fontId="9" fillId="5" borderId="0" xfId="20" applyNumberFormat="1" applyFont="1" applyFill="1" applyBorder="1" applyAlignment="1" applyProtection="1">
      <alignment horizontal="left" indent="1"/>
      <protection locked="0"/>
    </xf>
    <xf numFmtId="175" fontId="9" fillId="5" borderId="6" xfId="18" applyNumberFormat="1" applyFont="1" applyFill="1" applyBorder="1"/>
    <xf numFmtId="175" fontId="9" fillId="5" borderId="0" xfId="18" applyNumberFormat="1" applyFont="1" applyFill="1" applyBorder="1"/>
    <xf numFmtId="175" fontId="27" fillId="5" borderId="7" xfId="18" applyNumberFormat="1" applyFont="1" applyFill="1" applyBorder="1"/>
    <xf numFmtId="175" fontId="20" fillId="6" borderId="0" xfId="18" applyNumberFormat="1" applyFont="1" applyFill="1"/>
    <xf numFmtId="175" fontId="9" fillId="6" borderId="0" xfId="18" applyNumberFormat="1" applyFont="1" applyFill="1"/>
    <xf numFmtId="175" fontId="9" fillId="5" borderId="0" xfId="18" applyNumberFormat="1" applyFont="1" applyFill="1"/>
    <xf numFmtId="175" fontId="9" fillId="5" borderId="0" xfId="0" applyNumberFormat="1" applyFont="1" applyFill="1"/>
    <xf numFmtId="166" fontId="8" fillId="5" borderId="12" xfId="20" applyNumberFormat="1" applyFont="1" applyFill="1" applyBorder="1" applyAlignment="1" applyProtection="1">
      <alignment horizontal="left" indent="3"/>
      <protection locked="0"/>
    </xf>
    <xf numFmtId="166" fontId="10" fillId="5" borderId="13" xfId="18" applyNumberFormat="1" applyFont="1" applyFill="1" applyBorder="1"/>
    <xf numFmtId="166" fontId="10" fillId="5" borderId="12" xfId="18" applyNumberFormat="1" applyFont="1" applyFill="1" applyBorder="1"/>
    <xf numFmtId="166" fontId="10" fillId="5" borderId="0" xfId="20" applyNumberFormat="1" applyFont="1" applyFill="1" applyBorder="1" applyAlignment="1" applyProtection="1">
      <alignment horizontal="left" indent="3"/>
      <protection locked="0"/>
    </xf>
    <xf numFmtId="175" fontId="8" fillId="5" borderId="0" xfId="20" applyNumberFormat="1" applyFont="1" applyFill="1" applyBorder="1" applyAlignment="1" applyProtection="1">
      <alignment horizontal="left" indent="2"/>
      <protection locked="0"/>
    </xf>
    <xf numFmtId="9" fontId="9" fillId="5" borderId="0" xfId="20" applyNumberFormat="1" applyFont="1" applyFill="1" applyBorder="1" applyAlignment="1" applyProtection="1">
      <alignment horizontal="left" indent="1"/>
      <protection locked="0"/>
    </xf>
    <xf numFmtId="37" fontId="10" fillId="5" borderId="7" xfId="18" applyNumberFormat="1" applyFont="1" applyFill="1" applyBorder="1"/>
    <xf numFmtId="37" fontId="19" fillId="6" borderId="0" xfId="18" applyNumberFormat="1" applyFont="1" applyFill="1" applyBorder="1"/>
    <xf numFmtId="37" fontId="10" fillId="6" borderId="0" xfId="18" applyNumberFormat="1" applyFont="1" applyFill="1" applyBorder="1"/>
    <xf numFmtId="37" fontId="10" fillId="5" borderId="0" xfId="27" applyNumberFormat="1" applyFont="1" applyFill="1" applyBorder="1"/>
    <xf numFmtId="9" fontId="10" fillId="0" borderId="14" xfId="20" applyNumberFormat="1" applyFont="1" applyFill="1" applyBorder="1" applyAlignment="1" applyProtection="1">
      <alignment horizontal="left" indent="6"/>
      <protection locked="0"/>
    </xf>
    <xf numFmtId="164" fontId="26" fillId="5" borderId="13" xfId="18" applyNumberFormat="1" applyFont="1" applyFill="1" applyBorder="1"/>
    <xf numFmtId="164" fontId="11" fillId="5" borderId="12" xfId="18" applyNumberFormat="1" applyFont="1" applyFill="1" applyBorder="1"/>
    <xf numFmtId="164" fontId="11" fillId="5" borderId="13" xfId="18" applyNumberFormat="1" applyFont="1" applyFill="1" applyBorder="1"/>
    <xf numFmtId="164" fontId="11" fillId="5" borderId="14" xfId="18" applyNumberFormat="1" applyFont="1" applyFill="1" applyBorder="1"/>
    <xf numFmtId="164" fontId="19" fillId="7" borderId="0" xfId="18" applyNumberFormat="1" applyFont="1" applyFill="1" applyBorder="1"/>
    <xf numFmtId="0" fontId="9" fillId="3" borderId="0" xfId="18" applyFont="1" applyFill="1" applyBorder="1"/>
    <xf numFmtId="164" fontId="9" fillId="3" borderId="6" xfId="18" applyNumberFormat="1" applyFont="1" applyFill="1" applyBorder="1"/>
    <xf numFmtId="164" fontId="9" fillId="3" borderId="0" xfId="18" applyNumberFormat="1" applyFont="1" applyFill="1" applyBorder="1"/>
    <xf numFmtId="164" fontId="27" fillId="3" borderId="0" xfId="18" applyNumberFormat="1" applyFont="1" applyFill="1" applyBorder="1"/>
    <xf numFmtId="164" fontId="9" fillId="3" borderId="11" xfId="18" applyNumberFormat="1" applyFont="1" applyFill="1" applyBorder="1"/>
    <xf numFmtId="164" fontId="27" fillId="3" borderId="6" xfId="18" applyNumberFormat="1" applyFont="1" applyFill="1" applyBorder="1"/>
    <xf numFmtId="164" fontId="27" fillId="3" borderId="11" xfId="18" applyNumberFormat="1" applyFont="1" applyFill="1" applyBorder="1"/>
    <xf numFmtId="0" fontId="9" fillId="5" borderId="7" xfId="18" applyFont="1" applyFill="1" applyBorder="1"/>
    <xf numFmtId="0" fontId="9" fillId="6" borderId="0" xfId="18" applyFont="1" applyFill="1" applyBorder="1"/>
    <xf numFmtId="0" fontId="9" fillId="5" borderId="0" xfId="27" applyFont="1" applyFill="1" applyBorder="1"/>
    <xf numFmtId="169" fontId="10" fillId="5" borderId="0" xfId="20" applyNumberFormat="1" applyFont="1" applyFill="1" applyBorder="1" applyAlignment="1" applyProtection="1">
      <alignment horizontal="left" indent="2"/>
      <protection locked="0"/>
    </xf>
    <xf numFmtId="176" fontId="10" fillId="0" borderId="0" xfId="18" applyNumberFormat="1" applyFont="1" applyBorder="1"/>
    <xf numFmtId="176" fontId="10" fillId="0" borderId="6" xfId="18" applyNumberFormat="1" applyFont="1" applyFill="1" applyBorder="1"/>
    <xf numFmtId="164" fontId="11" fillId="0" borderId="0" xfId="18" applyNumberFormat="1" applyFont="1" applyFill="1" applyBorder="1"/>
    <xf numFmtId="164" fontId="11" fillId="0" borderId="11" xfId="18" applyNumberFormat="1" applyFont="1" applyFill="1" applyBorder="1"/>
    <xf numFmtId="166" fontId="21" fillId="5" borderId="0" xfId="27" applyNumberFormat="1" applyFont="1" applyFill="1" applyBorder="1" applyAlignment="1">
      <alignment horizontal="left" indent="1"/>
    </xf>
    <xf numFmtId="164" fontId="21" fillId="0" borderId="0" xfId="18" applyNumberFormat="1" applyFont="1" applyBorder="1"/>
    <xf numFmtId="164" fontId="21" fillId="0" borderId="6" xfId="18" applyNumberFormat="1" applyFont="1" applyFill="1" applyBorder="1"/>
    <xf numFmtId="164" fontId="29" fillId="0" borderId="0" xfId="18" applyNumberFormat="1" applyFont="1" applyFill="1" applyBorder="1"/>
    <xf numFmtId="164" fontId="29" fillId="0" borderId="11" xfId="18" applyNumberFormat="1" applyFont="1" applyFill="1" applyBorder="1"/>
    <xf numFmtId="0" fontId="21" fillId="5" borderId="7" xfId="18" applyFont="1" applyFill="1" applyBorder="1"/>
    <xf numFmtId="0" fontId="30" fillId="6" borderId="0" xfId="18" applyFont="1" applyFill="1" applyBorder="1"/>
    <xf numFmtId="0" fontId="21" fillId="3" borderId="0" xfId="18" applyFont="1" applyFill="1" applyBorder="1"/>
    <xf numFmtId="0" fontId="21" fillId="6" borderId="0" xfId="18" applyFont="1" applyFill="1" applyBorder="1"/>
    <xf numFmtId="0" fontId="21" fillId="5" borderId="0" xfId="27" applyFont="1" applyFill="1" applyBorder="1"/>
    <xf numFmtId="0" fontId="9" fillId="0" borderId="0" xfId="18" applyFont="1" applyBorder="1"/>
    <xf numFmtId="5" fontId="9" fillId="0" borderId="0" xfId="18" applyNumberFormat="1" applyFont="1" applyFill="1" applyBorder="1"/>
    <xf numFmtId="5" fontId="9" fillId="0" borderId="0" xfId="18" applyNumberFormat="1" applyFont="1" applyFill="1"/>
    <xf numFmtId="5" fontId="9" fillId="0" borderId="6" xfId="18" applyNumberFormat="1" applyFont="1" applyBorder="1"/>
    <xf numFmtId="5" fontId="9" fillId="0" borderId="0" xfId="18" applyNumberFormat="1" applyFont="1" applyBorder="1"/>
    <xf numFmtId="5" fontId="9" fillId="0" borderId="11" xfId="18" applyNumberFormat="1" applyFont="1" applyBorder="1"/>
    <xf numFmtId="166" fontId="10" fillId="5" borderId="7" xfId="18" applyNumberFormat="1" applyFont="1" applyFill="1" applyBorder="1"/>
    <xf numFmtId="175" fontId="10" fillId="0" borderId="0" xfId="18" applyNumberFormat="1" applyFont="1" applyBorder="1" applyAlignment="1">
      <alignment horizontal="left" indent="1"/>
    </xf>
    <xf numFmtId="175" fontId="10" fillId="0" borderId="0" xfId="10" applyNumberFormat="1" applyFont="1" applyFill="1" applyBorder="1"/>
    <xf numFmtId="175" fontId="10" fillId="0" borderId="0" xfId="10" applyNumberFormat="1" applyFont="1" applyFill="1"/>
    <xf numFmtId="175" fontId="10" fillId="0" borderId="6" xfId="10" applyNumberFormat="1" applyFont="1" applyFill="1" applyBorder="1"/>
    <xf numFmtId="175" fontId="11" fillId="0" borderId="0" xfId="10" applyNumberFormat="1" applyFont="1" applyFill="1" applyBorder="1"/>
    <xf numFmtId="175" fontId="11" fillId="0" borderId="6" xfId="10" applyNumberFormat="1" applyFont="1" applyFill="1" applyBorder="1"/>
    <xf numFmtId="175" fontId="11" fillId="0" borderId="0" xfId="10" applyNumberFormat="1" applyFont="1" applyFill="1"/>
    <xf numFmtId="175" fontId="10" fillId="5" borderId="7" xfId="10" applyNumberFormat="1" applyFont="1" applyFill="1" applyBorder="1"/>
    <xf numFmtId="175" fontId="11" fillId="5" borderId="7" xfId="10" applyNumberFormat="1" applyFont="1" applyFill="1" applyBorder="1"/>
    <xf numFmtId="0" fontId="9" fillId="5" borderId="0" xfId="18" applyFont="1" applyFill="1" applyBorder="1"/>
    <xf numFmtId="166" fontId="10" fillId="0" borderId="6" xfId="18" applyNumberFormat="1" applyFont="1" applyFill="1" applyBorder="1"/>
    <xf numFmtId="166" fontId="10" fillId="0" borderId="0" xfId="18" applyNumberFormat="1" applyFont="1" applyFill="1" applyBorder="1"/>
    <xf numFmtId="166" fontId="10" fillId="0" borderId="0" xfId="18" applyNumberFormat="1" applyFont="1" applyFill="1"/>
    <xf numFmtId="166" fontId="10" fillId="0" borderId="6" xfId="18" applyNumberFormat="1" applyFont="1" applyBorder="1"/>
    <xf numFmtId="166" fontId="10" fillId="0" borderId="7" xfId="18" applyNumberFormat="1" applyFont="1" applyBorder="1"/>
    <xf numFmtId="166" fontId="10" fillId="0" borderId="0" xfId="18" applyNumberFormat="1" applyFont="1" applyBorder="1"/>
    <xf numFmtId="9" fontId="9" fillId="5" borderId="7" xfId="18" applyNumberFormat="1" applyFont="1" applyFill="1" applyBorder="1"/>
    <xf numFmtId="9" fontId="9" fillId="6" borderId="0" xfId="18" applyNumberFormat="1" applyFont="1" applyFill="1" applyBorder="1"/>
    <xf numFmtId="9" fontId="9" fillId="5" borderId="0" xfId="27" applyNumberFormat="1" applyFont="1" applyFill="1" applyBorder="1"/>
    <xf numFmtId="9" fontId="10" fillId="0" borderId="6" xfId="18" applyNumberFormat="1" applyFont="1" applyFill="1" applyBorder="1"/>
    <xf numFmtId="9" fontId="10" fillId="6" borderId="0" xfId="18" applyNumberFormat="1" applyFont="1" applyFill="1" applyBorder="1"/>
    <xf numFmtId="9" fontId="10" fillId="5" borderId="0" xfId="20" applyNumberFormat="1" applyFont="1" applyFill="1" applyBorder="1" applyAlignment="1" applyProtection="1">
      <alignment horizontal="left" indent="2"/>
      <protection locked="0"/>
    </xf>
    <xf numFmtId="5" fontId="10" fillId="0" borderId="6" xfId="18" applyNumberFormat="1" applyFont="1" applyFill="1" applyBorder="1"/>
    <xf numFmtId="5" fontId="10" fillId="0" borderId="11" xfId="18" applyNumberFormat="1" applyFont="1" applyBorder="1"/>
    <xf numFmtId="5" fontId="9" fillId="5" borderId="0" xfId="27" applyNumberFormat="1" applyFont="1" applyFill="1" applyAlignment="1">
      <alignment horizontal="left" indent="1"/>
    </xf>
    <xf numFmtId="9" fontId="10" fillId="5" borderId="0" xfId="20" applyNumberFormat="1" applyFont="1" applyFill="1" applyBorder="1" applyAlignment="1" applyProtection="1">
      <alignment horizontal="left" indent="4"/>
      <protection locked="0"/>
    </xf>
    <xf numFmtId="164" fontId="9" fillId="5" borderId="7" xfId="18" applyNumberFormat="1" applyFont="1" applyFill="1" applyBorder="1"/>
    <xf numFmtId="5" fontId="9" fillId="5" borderId="0" xfId="27" applyNumberFormat="1" applyFont="1" applyFill="1" applyAlignment="1">
      <alignment horizontal="left" indent="2"/>
    </xf>
    <xf numFmtId="175" fontId="10" fillId="5" borderId="0" xfId="27" applyNumberFormat="1" applyFont="1" applyFill="1" applyBorder="1" applyAlignment="1">
      <alignment horizontal="left" indent="3"/>
    </xf>
    <xf numFmtId="175" fontId="10" fillId="0" borderId="0" xfId="18" applyNumberFormat="1" applyFont="1" applyBorder="1"/>
    <xf numFmtId="175" fontId="10" fillId="0" borderId="6" xfId="18" applyNumberFormat="1" applyFont="1" applyBorder="1"/>
    <xf numFmtId="175" fontId="26" fillId="0" borderId="0" xfId="18" applyNumberFormat="1" applyFont="1"/>
    <xf numFmtId="175" fontId="26" fillId="5" borderId="0" xfId="18" applyNumberFormat="1" applyFont="1" applyFill="1"/>
    <xf numFmtId="175" fontId="10" fillId="0" borderId="11" xfId="18" applyNumberFormat="1" applyFont="1" applyBorder="1"/>
    <xf numFmtId="5" fontId="10" fillId="5" borderId="7" xfId="18" applyNumberFormat="1" applyFont="1" applyFill="1" applyBorder="1"/>
    <xf numFmtId="3" fontId="10" fillId="5" borderId="0" xfId="18" applyNumberFormat="1" applyFont="1" applyFill="1" applyBorder="1"/>
    <xf numFmtId="3" fontId="10" fillId="5" borderId="7" xfId="18" applyNumberFormat="1" applyFont="1" applyFill="1" applyBorder="1"/>
    <xf numFmtId="3" fontId="10" fillId="6" borderId="0" xfId="18" applyNumberFormat="1" applyFont="1" applyFill="1" applyBorder="1"/>
    <xf numFmtId="3" fontId="10" fillId="5" borderId="0" xfId="27" applyNumberFormat="1" applyFont="1" applyFill="1" applyBorder="1"/>
    <xf numFmtId="175" fontId="10" fillId="5" borderId="0" xfId="27" applyNumberFormat="1" applyFont="1" applyFill="1" applyAlignment="1">
      <alignment horizontal="left" indent="3"/>
    </xf>
    <xf numFmtId="175" fontId="26" fillId="0" borderId="6" xfId="10" applyNumberFormat="1" applyFont="1" applyBorder="1"/>
    <xf numFmtId="175" fontId="26" fillId="0" borderId="0" xfId="10" applyNumberFormat="1" applyFont="1" applyBorder="1"/>
    <xf numFmtId="175" fontId="26" fillId="0" borderId="0" xfId="10" applyNumberFormat="1" applyFont="1" applyFill="1" applyBorder="1"/>
    <xf numFmtId="175" fontId="26" fillId="5" borderId="7" xfId="10" applyNumberFormat="1" applyFont="1" applyFill="1" applyBorder="1"/>
    <xf numFmtId="175" fontId="26" fillId="6" borderId="0" xfId="18" applyNumberFormat="1" applyFont="1" applyFill="1"/>
    <xf numFmtId="175" fontId="26" fillId="3" borderId="0" xfId="18" applyNumberFormat="1" applyFont="1" applyFill="1"/>
    <xf numFmtId="175" fontId="26" fillId="5" borderId="0" xfId="0" applyNumberFormat="1" applyFont="1" applyFill="1"/>
    <xf numFmtId="2" fontId="26" fillId="5" borderId="0" xfId="18" applyNumberFormat="1" applyFont="1" applyFill="1" applyBorder="1"/>
    <xf numFmtId="39" fontId="26" fillId="5" borderId="0" xfId="18" applyNumberFormat="1" applyFont="1" applyFill="1" applyBorder="1"/>
    <xf numFmtId="3" fontId="10" fillId="0" borderId="0" xfId="18" applyNumberFormat="1" applyFont="1" applyBorder="1"/>
    <xf numFmtId="3" fontId="10" fillId="0" borderId="6" xfId="18" applyNumberFormat="1" applyFont="1" applyBorder="1"/>
    <xf numFmtId="3" fontId="26" fillId="0" borderId="0" xfId="18" applyNumberFormat="1" applyFont="1" applyBorder="1"/>
    <xf numFmtId="4" fontId="26" fillId="0" borderId="0" xfId="18" applyNumberFormat="1" applyFont="1"/>
    <xf numFmtId="177" fontId="10" fillId="0" borderId="0" xfId="18" applyNumberFormat="1" applyFont="1" applyBorder="1"/>
    <xf numFmtId="3" fontId="10" fillId="0" borderId="7" xfId="18" applyNumberFormat="1" applyFont="1" applyBorder="1"/>
    <xf numFmtId="3" fontId="10" fillId="0" borderId="11" xfId="18" applyNumberFormat="1" applyFont="1" applyBorder="1"/>
    <xf numFmtId="175" fontId="10" fillId="0" borderId="0" xfId="18" applyNumberFormat="1" applyFont="1" applyFill="1" applyBorder="1"/>
    <xf numFmtId="175" fontId="9" fillId="5" borderId="0" xfId="27" applyNumberFormat="1" applyFont="1" applyFill="1" applyBorder="1" applyAlignment="1">
      <alignment horizontal="left" indent="1"/>
    </xf>
    <xf numFmtId="5" fontId="9" fillId="0" borderId="6" xfId="10" applyNumberFormat="1" applyFont="1" applyBorder="1"/>
    <xf numFmtId="5" fontId="9" fillId="0" borderId="0" xfId="10" applyNumberFormat="1" applyFont="1" applyBorder="1"/>
    <xf numFmtId="5" fontId="9" fillId="0" borderId="0" xfId="10" applyNumberFormat="1" applyFont="1"/>
    <xf numFmtId="5" fontId="9" fillId="0" borderId="0" xfId="10" applyNumberFormat="1" applyFont="1" applyFill="1"/>
    <xf numFmtId="5" fontId="9" fillId="5" borderId="7" xfId="10" applyNumberFormat="1" applyFont="1" applyFill="1" applyBorder="1"/>
    <xf numFmtId="9" fontId="10" fillId="5" borderId="0" xfId="20" applyNumberFormat="1" applyFont="1" applyFill="1" applyBorder="1" applyAlignment="1" applyProtection="1">
      <alignment horizontal="left" indent="3"/>
      <protection locked="0"/>
    </xf>
    <xf numFmtId="9" fontId="10" fillId="0" borderId="0" xfId="27" applyNumberFormat="1" applyFont="1" applyBorder="1" applyAlignment="1">
      <alignment horizontal="left" indent="2"/>
    </xf>
    <xf numFmtId="164" fontId="10" fillId="0" borderId="6" xfId="18" applyNumberFormat="1" applyFont="1" applyBorder="1"/>
    <xf numFmtId="164" fontId="10" fillId="0" borderId="0" xfId="18" applyNumberFormat="1" applyFont="1"/>
    <xf numFmtId="164" fontId="10" fillId="0" borderId="0" xfId="18" applyNumberFormat="1" applyFont="1" applyFill="1" applyBorder="1"/>
    <xf numFmtId="164" fontId="10" fillId="0" borderId="0" xfId="18" applyNumberFormat="1" applyFont="1" applyFill="1"/>
    <xf numFmtId="164" fontId="10" fillId="5" borderId="7" xfId="18" applyNumberFormat="1" applyFont="1" applyFill="1" applyBorder="1"/>
    <xf numFmtId="175" fontId="26" fillId="0" borderId="8" xfId="18" applyNumberFormat="1" applyFont="1" applyBorder="1"/>
    <xf numFmtId="175" fontId="26" fillId="0" borderId="8" xfId="10" applyNumberFormat="1" applyFont="1" applyFill="1" applyBorder="1"/>
    <xf numFmtId="175" fontId="10" fillId="0" borderId="8" xfId="10" applyNumberFormat="1" applyFont="1" applyFill="1" applyBorder="1"/>
    <xf numFmtId="175" fontId="11" fillId="0" borderId="8" xfId="10" applyNumberFormat="1" applyFont="1" applyFill="1" applyBorder="1"/>
    <xf numFmtId="175" fontId="11" fillId="0" borderId="10" xfId="10" applyNumberFormat="1" applyFont="1" applyFill="1" applyBorder="1"/>
    <xf numFmtId="175" fontId="11" fillId="0" borderId="9" xfId="10" applyNumberFormat="1" applyFont="1" applyFill="1" applyBorder="1"/>
    <xf numFmtId="175" fontId="26" fillId="6" borderId="0" xfId="18" applyNumberFormat="1" applyFont="1" applyFill="1" applyBorder="1"/>
    <xf numFmtId="175" fontId="26" fillId="3" borderId="0" xfId="18" applyNumberFormat="1" applyFont="1" applyFill="1" applyBorder="1"/>
    <xf numFmtId="175" fontId="26" fillId="5" borderId="0" xfId="27" applyNumberFormat="1" applyFont="1" applyFill="1" applyBorder="1"/>
    <xf numFmtId="5" fontId="10" fillId="5" borderId="0" xfId="27" applyNumberFormat="1" applyFont="1" applyFill="1" applyBorder="1" applyAlignment="1">
      <alignment horizontal="left" vertical="center" indent="1"/>
    </xf>
    <xf numFmtId="165" fontId="11" fillId="0" borderId="6" xfId="10" applyNumberFormat="1" applyFont="1" applyBorder="1"/>
    <xf numFmtId="165" fontId="10" fillId="0" borderId="0" xfId="10" applyNumberFormat="1" applyFont="1" applyBorder="1"/>
    <xf numFmtId="165" fontId="11" fillId="0" borderId="0" xfId="10" applyNumberFormat="1" applyFont="1" applyFill="1"/>
    <xf numFmtId="165" fontId="10" fillId="0" borderId="6" xfId="10" applyNumberFormat="1" applyFont="1" applyFill="1" applyBorder="1"/>
    <xf numFmtId="165" fontId="11" fillId="0" borderId="0" xfId="10" applyNumberFormat="1" applyFont="1" applyFill="1" applyBorder="1"/>
    <xf numFmtId="165" fontId="10" fillId="0" borderId="6" xfId="10" applyNumberFormat="1" applyFont="1" applyBorder="1"/>
    <xf numFmtId="165" fontId="11" fillId="0" borderId="0" xfId="10" applyNumberFormat="1" applyFont="1"/>
    <xf numFmtId="165" fontId="10" fillId="0" borderId="0" xfId="10" applyNumberFormat="1" applyFont="1" applyFill="1"/>
    <xf numFmtId="165" fontId="10" fillId="0" borderId="0" xfId="10" applyNumberFormat="1" applyFont="1" applyFill="1" applyBorder="1"/>
    <xf numFmtId="165" fontId="10" fillId="0" borderId="11" xfId="10" applyNumberFormat="1" applyFont="1" applyFill="1" applyBorder="1"/>
    <xf numFmtId="41" fontId="10" fillId="5" borderId="7" xfId="18" applyNumberFormat="1" applyFont="1" applyFill="1" applyBorder="1"/>
    <xf numFmtId="166" fontId="26" fillId="5" borderId="0" xfId="19" applyNumberFormat="1" applyFont="1" applyFill="1" applyBorder="1" applyAlignment="1">
      <alignment horizontal="left" vertical="center" indent="1"/>
    </xf>
    <xf numFmtId="165" fontId="26" fillId="0" borderId="0" xfId="10" applyNumberFormat="1" applyFont="1" applyFill="1"/>
    <xf numFmtId="166" fontId="26" fillId="0" borderId="6" xfId="22" applyNumberFormat="1" applyFont="1" applyFill="1" applyBorder="1"/>
    <xf numFmtId="165" fontId="11" fillId="0" borderId="11" xfId="10" applyNumberFormat="1" applyFont="1" applyFill="1" applyBorder="1"/>
    <xf numFmtId="41" fontId="26" fillId="5" borderId="7" xfId="18" applyNumberFormat="1" applyFont="1" applyFill="1" applyBorder="1"/>
    <xf numFmtId="0" fontId="26" fillId="6" borderId="0" xfId="18" applyFont="1" applyFill="1" applyBorder="1"/>
    <xf numFmtId="0" fontId="26" fillId="5" borderId="0" xfId="27" applyFont="1" applyFill="1" applyBorder="1"/>
    <xf numFmtId="175" fontId="32" fillId="5" borderId="0" xfId="19" applyNumberFormat="1" applyFont="1" applyFill="1" applyBorder="1" applyAlignment="1">
      <alignment horizontal="left" vertical="center" indent="1"/>
    </xf>
    <xf numFmtId="175" fontId="32" fillId="0" borderId="6" xfId="10" applyNumberFormat="1" applyFont="1" applyFill="1" applyBorder="1"/>
    <xf numFmtId="175" fontId="32" fillId="0" borderId="0" xfId="10" applyNumberFormat="1" applyFont="1" applyFill="1"/>
    <xf numFmtId="175" fontId="32" fillId="0" borderId="0" xfId="10" applyNumberFormat="1" applyFont="1" applyFill="1" applyBorder="1"/>
    <xf numFmtId="175" fontId="32" fillId="0" borderId="11" xfId="10" applyNumberFormat="1" applyFont="1" applyFill="1" applyBorder="1"/>
    <xf numFmtId="175" fontId="32" fillId="5" borderId="7" xfId="18" applyNumberFormat="1" applyFont="1" applyFill="1" applyBorder="1"/>
    <xf numFmtId="175" fontId="32" fillId="6" borderId="0" xfId="18" applyNumberFormat="1" applyFont="1" applyFill="1" applyBorder="1"/>
    <xf numFmtId="175" fontId="32" fillId="5" borderId="0" xfId="27" applyNumberFormat="1" applyFont="1" applyFill="1" applyBorder="1"/>
    <xf numFmtId="175" fontId="33" fillId="5" borderId="6" xfId="18" applyNumberFormat="1" applyFont="1" applyFill="1" applyBorder="1"/>
    <xf numFmtId="175" fontId="33" fillId="5" borderId="0" xfId="18" applyNumberFormat="1" applyFont="1" applyFill="1" applyBorder="1"/>
    <xf numFmtId="175" fontId="9" fillId="5" borderId="11" xfId="18" applyNumberFormat="1" applyFont="1" applyFill="1" applyBorder="1"/>
    <xf numFmtId="164" fontId="11" fillId="5" borderId="7" xfId="10" applyNumberFormat="1" applyFont="1" applyFill="1" applyBorder="1"/>
    <xf numFmtId="0" fontId="4" fillId="5" borderId="15" xfId="18" applyFont="1" applyFill="1" applyBorder="1"/>
    <xf numFmtId="7" fontId="4" fillId="5" borderId="15" xfId="18" applyNumberFormat="1" applyFont="1" applyFill="1" applyBorder="1"/>
    <xf numFmtId="7" fontId="5" fillId="5" borderId="15" xfId="18" applyNumberFormat="1" applyFont="1" applyFill="1" applyBorder="1"/>
    <xf numFmtId="7" fontId="4" fillId="5" borderId="4" xfId="18" applyNumberFormat="1" applyFont="1" applyFill="1" applyBorder="1"/>
    <xf numFmtId="0" fontId="3" fillId="5" borderId="7" xfId="18" applyFont="1" applyFill="1" applyBorder="1"/>
    <xf numFmtId="0" fontId="3" fillId="6" borderId="0" xfId="18" applyFont="1" applyFill="1" applyBorder="1"/>
    <xf numFmtId="0" fontId="3" fillId="5" borderId="0" xfId="27" applyFont="1" applyFill="1" applyBorder="1"/>
    <xf numFmtId="0" fontId="9" fillId="5" borderId="15" xfId="18" applyFont="1" applyFill="1" applyBorder="1"/>
    <xf numFmtId="7" fontId="9" fillId="5" borderId="4" xfId="18" applyNumberFormat="1" applyFont="1" applyFill="1" applyBorder="1"/>
    <xf numFmtId="7" fontId="33" fillId="5" borderId="15" xfId="18" applyNumberFormat="1" applyFont="1" applyFill="1" applyBorder="1"/>
    <xf numFmtId="7" fontId="9" fillId="5" borderId="0" xfId="18" applyNumberFormat="1" applyFont="1" applyFill="1" applyBorder="1"/>
    <xf numFmtId="7" fontId="9" fillId="5" borderId="11" xfId="18" applyNumberFormat="1" applyFont="1" applyFill="1" applyBorder="1"/>
    <xf numFmtId="0" fontId="9" fillId="5" borderId="16" xfId="18" applyFont="1" applyFill="1" applyBorder="1" applyAlignment="1">
      <alignment horizontal="left" vertical="center"/>
    </xf>
    <xf numFmtId="178" fontId="9" fillId="3" borderId="0" xfId="27" applyNumberFormat="1" applyFont="1" applyFill="1" applyAlignment="1"/>
    <xf numFmtId="175" fontId="26" fillId="3" borderId="6" xfId="18" applyNumberFormat="1" applyFont="1" applyFill="1" applyBorder="1"/>
    <xf numFmtId="175" fontId="26" fillId="3" borderId="7" xfId="18" applyNumberFormat="1" applyFont="1" applyFill="1" applyBorder="1"/>
    <xf numFmtId="175" fontId="26" fillId="3" borderId="11" xfId="18" applyNumberFormat="1" applyFont="1" applyFill="1" applyBorder="1"/>
    <xf numFmtId="175" fontId="8" fillId="5" borderId="0" xfId="18" applyNumberFormat="1" applyFont="1" applyFill="1" applyBorder="1"/>
    <xf numFmtId="175" fontId="8" fillId="5" borderId="6" xfId="10" applyNumberFormat="1" applyFont="1" applyFill="1" applyBorder="1"/>
    <xf numFmtId="175" fontId="8" fillId="5" borderId="0" xfId="10" applyNumberFormat="1" applyFont="1" applyFill="1" applyBorder="1"/>
    <xf numFmtId="175" fontId="24" fillId="5" borderId="0" xfId="10" applyNumberFormat="1" applyFont="1" applyFill="1" applyBorder="1"/>
    <xf numFmtId="175" fontId="24" fillId="5" borderId="6" xfId="10" applyNumberFormat="1" applyFont="1" applyFill="1" applyBorder="1"/>
    <xf numFmtId="175" fontId="24" fillId="5" borderId="11" xfId="10" applyNumberFormat="1" applyFont="1" applyFill="1" applyBorder="1"/>
    <xf numFmtId="175" fontId="8" fillId="5" borderId="7" xfId="18" applyNumberFormat="1" applyFont="1" applyFill="1" applyBorder="1"/>
    <xf numFmtId="175" fontId="8" fillId="6" borderId="0" xfId="18" applyNumberFormat="1" applyFont="1" applyFill="1" applyBorder="1"/>
    <xf numFmtId="175" fontId="8" fillId="3" borderId="0" xfId="18" applyNumberFormat="1" applyFont="1" applyFill="1" applyBorder="1"/>
    <xf numFmtId="175" fontId="8" fillId="5" borderId="0" xfId="27" applyNumberFormat="1" applyFont="1" applyFill="1" applyBorder="1"/>
    <xf numFmtId="175" fontId="34" fillId="5" borderId="0" xfId="18" applyNumberFormat="1" applyFont="1" applyFill="1" applyBorder="1"/>
    <xf numFmtId="173" fontId="26" fillId="5" borderId="0" xfId="27" applyNumberFormat="1" applyFont="1" applyFill="1" applyBorder="1"/>
    <xf numFmtId="173" fontId="10" fillId="5" borderId="6" xfId="18" applyNumberFormat="1" applyFont="1" applyFill="1" applyBorder="1"/>
    <xf numFmtId="173" fontId="10" fillId="5" borderId="0" xfId="18" applyNumberFormat="1" applyFont="1" applyFill="1" applyBorder="1"/>
    <xf numFmtId="173" fontId="10" fillId="5" borderId="7" xfId="18" applyNumberFormat="1" applyFont="1" applyFill="1" applyBorder="1"/>
    <xf numFmtId="173" fontId="10" fillId="5" borderId="11" xfId="18" applyNumberFormat="1" applyFont="1" applyFill="1" applyBorder="1"/>
    <xf numFmtId="173" fontId="10" fillId="6" borderId="0" xfId="18" applyNumberFormat="1" applyFont="1" applyFill="1" applyBorder="1"/>
    <xf numFmtId="173" fontId="10" fillId="5" borderId="0" xfId="27" applyNumberFormat="1" applyFont="1" applyFill="1" applyBorder="1"/>
    <xf numFmtId="173" fontId="33" fillId="5" borderId="15" xfId="27" applyNumberFormat="1" applyFont="1" applyFill="1" applyBorder="1"/>
    <xf numFmtId="169" fontId="10" fillId="5" borderId="0" xfId="18" applyNumberFormat="1" applyFont="1" applyFill="1"/>
    <xf numFmtId="169" fontId="10" fillId="0" borderId="6" xfId="10" applyNumberFormat="1" applyFont="1" applyBorder="1"/>
    <xf numFmtId="169" fontId="10" fillId="0" borderId="6" xfId="10" applyNumberFormat="1" applyFont="1" applyFill="1" applyBorder="1"/>
    <xf numFmtId="169" fontId="10" fillId="0" borderId="0" xfId="10" applyNumberFormat="1" applyFont="1" applyFill="1" applyBorder="1"/>
    <xf numFmtId="169" fontId="10" fillId="0" borderId="11" xfId="10" applyNumberFormat="1" applyFont="1" applyFill="1" applyBorder="1"/>
    <xf numFmtId="169" fontId="10" fillId="5" borderId="7" xfId="18" applyNumberFormat="1" applyFont="1" applyFill="1" applyBorder="1"/>
    <xf numFmtId="169" fontId="10" fillId="6" borderId="0" xfId="18" applyNumberFormat="1" applyFont="1" applyFill="1" applyBorder="1"/>
    <xf numFmtId="169" fontId="10" fillId="5" borderId="0" xfId="27" applyNumberFormat="1" applyFont="1" applyFill="1" applyBorder="1"/>
    <xf numFmtId="176" fontId="10" fillId="5" borderId="0" xfId="27" applyNumberFormat="1" applyFont="1" applyFill="1" applyBorder="1"/>
    <xf numFmtId="176" fontId="26" fillId="5" borderId="6" xfId="18" applyNumberFormat="1" applyFont="1" applyFill="1" applyBorder="1"/>
    <xf numFmtId="176" fontId="26" fillId="5" borderId="0" xfId="18" applyNumberFormat="1" applyFont="1" applyFill="1" applyBorder="1"/>
    <xf numFmtId="176" fontId="26" fillId="5" borderId="11" xfId="18" applyNumberFormat="1" applyFont="1" applyFill="1" applyBorder="1"/>
    <xf numFmtId="176" fontId="10" fillId="5" borderId="7" xfId="18" applyNumberFormat="1" applyFont="1" applyFill="1" applyBorder="1"/>
    <xf numFmtId="176" fontId="19" fillId="6" borderId="0" xfId="18" applyNumberFormat="1" applyFont="1" applyFill="1" applyBorder="1"/>
    <xf numFmtId="176" fontId="10" fillId="6" borderId="0" xfId="18" applyNumberFormat="1" applyFont="1" applyFill="1" applyBorder="1"/>
    <xf numFmtId="176" fontId="10" fillId="5" borderId="0" xfId="12" applyNumberFormat="1" applyFont="1" applyFill="1" applyBorder="1" applyAlignment="1" applyProtection="1">
      <alignment horizontal="left" indent="1"/>
      <protection locked="0"/>
    </xf>
    <xf numFmtId="176" fontId="10" fillId="5" borderId="0" xfId="18" applyNumberFormat="1" applyFont="1" applyFill="1" applyBorder="1"/>
    <xf numFmtId="176" fontId="11" fillId="5" borderId="0" xfId="18" applyNumberFormat="1" applyFont="1" applyFill="1" applyBorder="1"/>
    <xf numFmtId="176" fontId="11" fillId="5" borderId="6" xfId="18" applyNumberFormat="1" applyFont="1" applyFill="1" applyBorder="1"/>
    <xf numFmtId="176" fontId="11" fillId="5" borderId="11" xfId="18" applyNumberFormat="1" applyFont="1" applyFill="1" applyBorder="1"/>
    <xf numFmtId="169" fontId="9" fillId="0" borderId="0" xfId="18" applyNumberFormat="1" applyFont="1"/>
    <xf numFmtId="169" fontId="9" fillId="0" borderId="0" xfId="10" applyNumberFormat="1" applyFont="1" applyFill="1"/>
    <xf numFmtId="169" fontId="9" fillId="0" borderId="6" xfId="10" applyNumberFormat="1" applyFont="1" applyFill="1" applyBorder="1"/>
    <xf numFmtId="169" fontId="9" fillId="0" borderId="0" xfId="10" applyNumberFormat="1" applyFont="1" applyFill="1" applyBorder="1"/>
    <xf numFmtId="169" fontId="9" fillId="0" borderId="7" xfId="10" applyNumberFormat="1" applyFont="1" applyFill="1" applyBorder="1"/>
    <xf numFmtId="169" fontId="9" fillId="0" borderId="11" xfId="10" applyNumberFormat="1" applyFont="1" applyFill="1" applyBorder="1"/>
    <xf numFmtId="169" fontId="9" fillId="5" borderId="7" xfId="18" applyNumberFormat="1" applyFont="1" applyFill="1" applyBorder="1"/>
    <xf numFmtId="169" fontId="9" fillId="6" borderId="0" xfId="18" applyNumberFormat="1" applyFont="1" applyFill="1" applyBorder="1"/>
    <xf numFmtId="169" fontId="9" fillId="5" borderId="0" xfId="27" applyNumberFormat="1" applyFont="1" applyFill="1" applyBorder="1"/>
    <xf numFmtId="166" fontId="10" fillId="5" borderId="0" xfId="22" applyNumberFormat="1" applyFont="1" applyFill="1" applyBorder="1" applyAlignment="1">
      <alignment horizontal="left" indent="1"/>
    </xf>
    <xf numFmtId="166" fontId="26" fillId="0" borderId="0" xfId="18" applyNumberFormat="1" applyFont="1"/>
    <xf numFmtId="166" fontId="11" fillId="0" borderId="0" xfId="18" applyNumberFormat="1" applyFont="1" applyBorder="1"/>
    <xf numFmtId="166" fontId="11" fillId="0" borderId="6" xfId="18" applyNumberFormat="1" applyFont="1" applyFill="1" applyBorder="1"/>
    <xf numFmtId="166" fontId="11" fillId="0" borderId="0" xfId="18" applyNumberFormat="1" applyFont="1" applyFill="1" applyBorder="1"/>
    <xf numFmtId="166" fontId="11" fillId="0" borderId="11" xfId="18" applyNumberFormat="1" applyFont="1" applyFill="1" applyBorder="1"/>
    <xf numFmtId="166" fontId="10" fillId="6" borderId="0" xfId="18" applyNumberFormat="1" applyFont="1" applyFill="1" applyBorder="1"/>
    <xf numFmtId="166" fontId="10" fillId="5" borderId="0" xfId="27" applyNumberFormat="1" applyFont="1" applyFill="1" applyBorder="1"/>
    <xf numFmtId="173" fontId="10" fillId="5" borderId="0" xfId="27" applyNumberFormat="1" applyFont="1" applyFill="1" applyBorder="1" applyAlignment="1"/>
    <xf numFmtId="173" fontId="10" fillId="0" borderId="6" xfId="18" applyNumberFormat="1" applyFont="1" applyBorder="1"/>
    <xf numFmtId="173" fontId="10" fillId="0" borderId="0" xfId="18" applyNumberFormat="1" applyFont="1" applyFill="1"/>
    <xf numFmtId="173" fontId="10" fillId="0" borderId="0" xfId="18" applyNumberFormat="1" applyFont="1"/>
    <xf numFmtId="173" fontId="19" fillId="6" borderId="0" xfId="18" applyNumberFormat="1" applyFont="1" applyFill="1"/>
    <xf numFmtId="173" fontId="10" fillId="6" borderId="0" xfId="18" applyNumberFormat="1" applyFont="1" applyFill="1"/>
    <xf numFmtId="173" fontId="10" fillId="5" borderId="0" xfId="18" applyNumberFormat="1" applyFont="1" applyFill="1"/>
    <xf numFmtId="173" fontId="10" fillId="5" borderId="0" xfId="0" applyNumberFormat="1" applyFont="1" applyFill="1"/>
    <xf numFmtId="166" fontId="10" fillId="5" borderId="0" xfId="22" applyNumberFormat="1" applyFont="1" applyFill="1" applyBorder="1" applyAlignment="1" applyProtection="1">
      <alignment horizontal="left" indent="2"/>
      <protection locked="0"/>
    </xf>
    <xf numFmtId="166" fontId="10" fillId="0" borderId="6" xfId="22" applyNumberFormat="1" applyFont="1" applyBorder="1"/>
    <xf numFmtId="166" fontId="10" fillId="0" borderId="0" xfId="22" applyNumberFormat="1" applyFont="1" applyFill="1"/>
    <xf numFmtId="166" fontId="11" fillId="0" borderId="6" xfId="22" applyNumberFormat="1" applyFont="1" applyBorder="1"/>
    <xf numFmtId="166" fontId="11" fillId="0" borderId="0" xfId="22" applyNumberFormat="1" applyFont="1"/>
    <xf numFmtId="166" fontId="10" fillId="5" borderId="7" xfId="22" applyNumberFormat="1" applyFont="1" applyFill="1" applyBorder="1"/>
    <xf numFmtId="166" fontId="19" fillId="6" borderId="0" xfId="22" applyNumberFormat="1" applyFont="1" applyFill="1"/>
    <xf numFmtId="166" fontId="10" fillId="6" borderId="0" xfId="22" applyNumberFormat="1" applyFont="1" applyFill="1"/>
    <xf numFmtId="166" fontId="10" fillId="5" borderId="0" xfId="22" applyNumberFormat="1" applyFont="1" applyFill="1"/>
    <xf numFmtId="173" fontId="33" fillId="0" borderId="0" xfId="18" applyNumberFormat="1" applyFont="1" applyBorder="1"/>
    <xf numFmtId="173" fontId="9" fillId="0" borderId="6" xfId="18" applyNumberFormat="1" applyFont="1" applyFill="1" applyBorder="1"/>
    <xf numFmtId="164" fontId="33" fillId="0" borderId="0" xfId="18" applyNumberFormat="1" applyFont="1"/>
    <xf numFmtId="164" fontId="33" fillId="0" borderId="0" xfId="18" applyNumberFormat="1" applyFont="1" applyBorder="1"/>
    <xf numFmtId="164" fontId="9" fillId="0" borderId="6" xfId="18" applyNumberFormat="1" applyFont="1" applyFill="1" applyBorder="1"/>
    <xf numFmtId="164" fontId="10" fillId="0" borderId="11" xfId="18" applyNumberFormat="1" applyFont="1" applyFill="1" applyBorder="1"/>
    <xf numFmtId="0" fontId="10" fillId="0" borderId="6" xfId="18" applyFont="1" applyBorder="1"/>
    <xf numFmtId="0" fontId="10" fillId="0" borderId="0" xfId="18" applyFont="1" applyBorder="1"/>
    <xf numFmtId="0" fontId="10" fillId="0" borderId="0" xfId="18" applyFont="1"/>
    <xf numFmtId="0" fontId="19" fillId="6" borderId="11" xfId="18" applyFont="1" applyFill="1" applyBorder="1"/>
    <xf numFmtId="175" fontId="10" fillId="0" borderId="0" xfId="18" applyNumberFormat="1" applyFont="1" applyAlignment="1">
      <alignment horizontal="left" indent="1"/>
    </xf>
    <xf numFmtId="175" fontId="10" fillId="5" borderId="6" xfId="10" applyNumberFormat="1" applyFont="1" applyFill="1" applyBorder="1"/>
    <xf numFmtId="175" fontId="10" fillId="5" borderId="0" xfId="10" applyNumberFormat="1" applyFont="1" applyFill="1" applyBorder="1"/>
    <xf numFmtId="175" fontId="10" fillId="0" borderId="0" xfId="18" applyNumberFormat="1" applyFont="1" applyFill="1" applyAlignment="1">
      <alignment horizontal="left" indent="1"/>
    </xf>
    <xf numFmtId="175" fontId="10" fillId="5" borderId="0" xfId="18" applyNumberFormat="1" applyFont="1" applyFill="1" applyAlignment="1">
      <alignment horizontal="left" indent="1"/>
    </xf>
    <xf numFmtId="175" fontId="10" fillId="0" borderId="7" xfId="10" applyNumberFormat="1" applyFont="1" applyFill="1" applyBorder="1"/>
    <xf numFmtId="175" fontId="10" fillId="0" borderId="0" xfId="18" applyNumberFormat="1" applyFont="1" applyFill="1" applyBorder="1" applyAlignment="1">
      <alignment horizontal="left" indent="1"/>
    </xf>
    <xf numFmtId="175" fontId="9" fillId="3" borderId="15" xfId="18" applyNumberFormat="1" applyFont="1" applyFill="1" applyBorder="1"/>
    <xf numFmtId="175" fontId="9" fillId="3" borderId="15" xfId="10" applyNumberFormat="1" applyFont="1" applyFill="1" applyBorder="1"/>
    <xf numFmtId="175" fontId="9" fillId="5" borderId="7" xfId="10" applyNumberFormat="1" applyFont="1" applyFill="1" applyBorder="1"/>
    <xf numFmtId="175" fontId="10" fillId="5" borderId="0" xfId="0" applyNumberFormat="1" applyFont="1" applyFill="1" applyBorder="1"/>
    <xf numFmtId="9" fontId="10" fillId="5" borderId="0" xfId="22" applyFont="1" applyFill="1" applyBorder="1" applyAlignment="1" applyProtection="1">
      <alignment horizontal="left" indent="3"/>
      <protection locked="0"/>
    </xf>
    <xf numFmtId="9" fontId="10" fillId="0" borderId="6" xfId="22" applyFont="1" applyBorder="1"/>
    <xf numFmtId="9" fontId="10" fillId="0" borderId="0" xfId="22" applyFont="1"/>
    <xf numFmtId="9" fontId="10" fillId="0" borderId="0" xfId="22" applyFont="1" applyBorder="1"/>
    <xf numFmtId="9" fontId="10" fillId="6" borderId="0" xfId="22" applyFont="1" applyFill="1" applyBorder="1"/>
    <xf numFmtId="9" fontId="10" fillId="5" borderId="0" xfId="22" applyFont="1" applyFill="1" applyBorder="1"/>
    <xf numFmtId="9" fontId="10" fillId="5" borderId="0" xfId="22" applyFont="1" applyFill="1"/>
    <xf numFmtId="9" fontId="10" fillId="0" borderId="6" xfId="22" applyFont="1" applyFill="1" applyBorder="1"/>
    <xf numFmtId="9" fontId="10" fillId="0" borderId="0" xfId="22" applyFont="1" applyFill="1" applyAlignment="1">
      <alignment horizontal="right"/>
    </xf>
    <xf numFmtId="5" fontId="9" fillId="0" borderId="17" xfId="27" applyNumberFormat="1" applyFont="1" applyBorder="1"/>
    <xf numFmtId="175" fontId="9" fillId="0" borderId="17" xfId="10" applyNumberFormat="1" applyFont="1" applyFill="1" applyBorder="1" applyAlignment="1">
      <alignment horizontal="right"/>
    </xf>
    <xf numFmtId="175" fontId="9" fillId="0" borderId="18" xfId="10" applyNumberFormat="1" applyFont="1" applyFill="1" applyBorder="1" applyAlignment="1">
      <alignment horizontal="right"/>
    </xf>
    <xf numFmtId="175" fontId="22" fillId="0" borderId="0" xfId="18" applyNumberFormat="1" applyFont="1" applyFill="1" applyAlignment="1">
      <alignment horizontal="left" indent="1"/>
    </xf>
    <xf numFmtId="9" fontId="22" fillId="0" borderId="0" xfId="22" applyFont="1" applyFill="1" applyBorder="1" applyAlignment="1">
      <alignment horizontal="right"/>
    </xf>
    <xf numFmtId="9" fontId="22" fillId="0" borderId="6" xfId="22" applyFont="1" applyFill="1" applyBorder="1" applyAlignment="1">
      <alignment horizontal="right"/>
    </xf>
    <xf numFmtId="9" fontId="22" fillId="0" borderId="0" xfId="22" applyFont="1" applyFill="1" applyAlignment="1">
      <alignment horizontal="right"/>
    </xf>
    <xf numFmtId="175" fontId="11" fillId="0" borderId="6" xfId="10" applyNumberFormat="1" applyFont="1" applyFill="1" applyBorder="1" applyAlignment="1">
      <alignment horizontal="right"/>
    </xf>
    <xf numFmtId="5" fontId="9" fillId="3" borderId="15" xfId="18" applyNumberFormat="1" applyFont="1" applyFill="1" applyBorder="1"/>
    <xf numFmtId="5" fontId="9" fillId="3" borderId="15" xfId="10" applyNumberFormat="1" applyFont="1" applyFill="1" applyBorder="1"/>
    <xf numFmtId="5" fontId="10" fillId="6" borderId="0" xfId="18" applyNumberFormat="1" applyFont="1" applyFill="1" applyBorder="1"/>
    <xf numFmtId="5" fontId="10" fillId="5" borderId="0" xfId="0" applyNumberFormat="1" applyFont="1" applyFill="1" applyBorder="1"/>
    <xf numFmtId="175" fontId="10" fillId="0" borderId="0" xfId="27" applyNumberFormat="1" applyFont="1" applyFill="1" applyAlignment="1">
      <alignment horizontal="left" indent="1"/>
    </xf>
    <xf numFmtId="5" fontId="19" fillId="6" borderId="0" xfId="18" applyNumberFormat="1" applyFont="1" applyFill="1" applyBorder="1"/>
    <xf numFmtId="175" fontId="26" fillId="5" borderId="0" xfId="18" applyNumberFormat="1" applyFont="1" applyFill="1" applyAlignment="1">
      <alignment horizontal="left" indent="1"/>
    </xf>
    <xf numFmtId="175" fontId="33" fillId="5" borderId="6" xfId="10" applyNumberFormat="1" applyFont="1" applyFill="1" applyBorder="1"/>
    <xf numFmtId="175" fontId="33" fillId="5" borderId="0" xfId="10" applyNumberFormat="1" applyFont="1" applyFill="1" applyBorder="1"/>
    <xf numFmtId="175" fontId="33" fillId="6" borderId="0" xfId="18" applyNumberFormat="1" applyFont="1" applyFill="1" applyBorder="1"/>
    <xf numFmtId="175" fontId="33" fillId="3" borderId="0" xfId="18" applyNumberFormat="1" applyFont="1" applyFill="1" applyBorder="1"/>
    <xf numFmtId="175" fontId="33" fillId="5" borderId="0" xfId="27" applyNumberFormat="1" applyFont="1" applyFill="1" applyBorder="1"/>
    <xf numFmtId="175" fontId="33" fillId="3" borderId="0" xfId="18" applyNumberFormat="1" applyFont="1" applyFill="1"/>
    <xf numFmtId="3" fontId="10" fillId="5" borderId="0" xfId="18" applyNumberFormat="1" applyFont="1" applyFill="1" applyBorder="1" applyAlignment="1">
      <alignment horizontal="left" indent="1"/>
    </xf>
    <xf numFmtId="3" fontId="10" fillId="5" borderId="6" xfId="10" applyNumberFormat="1" applyFont="1" applyFill="1" applyBorder="1"/>
    <xf numFmtId="3" fontId="10" fillId="5" borderId="0" xfId="10" applyNumberFormat="1" applyFont="1" applyFill="1" applyBorder="1"/>
    <xf numFmtId="3" fontId="11" fillId="5" borderId="0" xfId="10" applyNumberFormat="1" applyFont="1" applyFill="1" applyBorder="1"/>
    <xf numFmtId="3" fontId="11" fillId="5" borderId="6" xfId="10" applyNumberFormat="1" applyFont="1" applyFill="1" applyBorder="1"/>
    <xf numFmtId="3" fontId="10" fillId="5" borderId="7" xfId="10" applyNumberFormat="1" applyFont="1" applyFill="1" applyBorder="1"/>
    <xf numFmtId="3" fontId="10" fillId="5" borderId="0" xfId="0" applyNumberFormat="1" applyFont="1" applyFill="1" applyBorder="1"/>
    <xf numFmtId="175" fontId="9" fillId="5" borderId="6" xfId="10" applyNumberFormat="1" applyFont="1" applyFill="1" applyBorder="1"/>
    <xf numFmtId="175" fontId="9" fillId="5" borderId="0" xfId="10" applyNumberFormat="1" applyFont="1" applyFill="1" applyBorder="1"/>
    <xf numFmtId="175" fontId="10" fillId="5" borderId="11" xfId="10" applyNumberFormat="1" applyFont="1" applyFill="1" applyBorder="1"/>
    <xf numFmtId="173" fontId="36" fillId="0" borderId="0" xfId="18" applyNumberFormat="1" applyFont="1" applyFill="1" applyBorder="1"/>
    <xf numFmtId="173" fontId="36" fillId="0" borderId="6" xfId="10" applyNumberFormat="1" applyFont="1" applyBorder="1"/>
    <xf numFmtId="173" fontId="36" fillId="0" borderId="0" xfId="10" applyNumberFormat="1" applyFont="1" applyBorder="1"/>
    <xf numFmtId="43" fontId="21" fillId="5" borderId="7" xfId="10" applyFont="1" applyFill="1" applyBorder="1"/>
    <xf numFmtId="0" fontId="21" fillId="0" borderId="0" xfId="18" applyFont="1" applyFill="1" applyBorder="1"/>
    <xf numFmtId="43" fontId="21" fillId="0" borderId="6" xfId="10" applyFont="1" applyBorder="1"/>
    <xf numFmtId="43" fontId="21" fillId="0" borderId="0" xfId="10" applyFont="1" applyBorder="1"/>
    <xf numFmtId="175" fontId="26" fillId="6" borderId="6" xfId="18" applyNumberFormat="1" applyFont="1" applyFill="1" applyBorder="1"/>
    <xf numFmtId="175" fontId="26" fillId="6" borderId="11" xfId="18" applyNumberFormat="1" applyFont="1" applyFill="1" applyBorder="1"/>
    <xf numFmtId="165" fontId="21" fillId="3" borderId="6" xfId="10" applyNumberFormat="1" applyFont="1" applyFill="1" applyBorder="1"/>
    <xf numFmtId="165" fontId="21" fillId="3" borderId="0" xfId="10" applyNumberFormat="1" applyFont="1" applyFill="1" applyBorder="1"/>
    <xf numFmtId="165" fontId="21" fillId="3" borderId="11" xfId="10" applyNumberFormat="1" applyFont="1" applyFill="1" applyBorder="1"/>
    <xf numFmtId="165" fontId="21" fillId="0" borderId="0" xfId="10" applyNumberFormat="1" applyFont="1" applyBorder="1"/>
    <xf numFmtId="165" fontId="21" fillId="0" borderId="11" xfId="10" applyNumberFormat="1" applyFont="1" applyBorder="1"/>
    <xf numFmtId="175" fontId="8" fillId="3" borderId="6" xfId="18" applyNumberFormat="1" applyFont="1" applyFill="1" applyBorder="1"/>
    <xf numFmtId="0" fontId="10" fillId="3" borderId="6" xfId="18" applyFont="1" applyFill="1" applyBorder="1"/>
    <xf numFmtId="168" fontId="10" fillId="0" borderId="6" xfId="18" applyNumberFormat="1" applyFont="1" applyFill="1" applyBorder="1"/>
    <xf numFmtId="0" fontId="37" fillId="8" borderId="0" xfId="18" applyFont="1" applyFill="1"/>
    <xf numFmtId="0" fontId="28" fillId="8" borderId="6" xfId="18" applyFont="1" applyFill="1" applyBorder="1"/>
    <xf numFmtId="0" fontId="28" fillId="8" borderId="0" xfId="18" applyFont="1" applyFill="1" applyBorder="1"/>
    <xf numFmtId="0" fontId="28" fillId="8" borderId="0" xfId="18" applyFont="1" applyFill="1"/>
    <xf numFmtId="9" fontId="11" fillId="0" borderId="0" xfId="22" applyFont="1"/>
    <xf numFmtId="9" fontId="11" fillId="0" borderId="6" xfId="22" applyFont="1" applyBorder="1"/>
    <xf numFmtId="9" fontId="11" fillId="0" borderId="0" xfId="22" applyFont="1" applyFill="1"/>
    <xf numFmtId="9" fontId="11" fillId="0" borderId="0" xfId="22" applyFont="1" applyFill="1" applyBorder="1"/>
    <xf numFmtId="9" fontId="11" fillId="5" borderId="7" xfId="22" applyFont="1" applyFill="1" applyBorder="1"/>
    <xf numFmtId="165" fontId="10" fillId="0" borderId="0" xfId="10" applyNumberFormat="1" applyFont="1"/>
    <xf numFmtId="165" fontId="10" fillId="5" borderId="7" xfId="10" applyNumberFormat="1" applyFont="1" applyFill="1" applyBorder="1"/>
    <xf numFmtId="5" fontId="10" fillId="0" borderId="6" xfId="10" applyNumberFormat="1" applyFont="1" applyBorder="1"/>
    <xf numFmtId="5" fontId="10" fillId="0" borderId="0" xfId="10" applyNumberFormat="1" applyFont="1" applyBorder="1"/>
    <xf numFmtId="5" fontId="10" fillId="0" borderId="0" xfId="10" applyNumberFormat="1" applyFont="1" applyFill="1" applyBorder="1"/>
    <xf numFmtId="5" fontId="10" fillId="5" borderId="7" xfId="10" applyNumberFormat="1" applyFont="1" applyFill="1" applyBorder="1"/>
    <xf numFmtId="165" fontId="11" fillId="5" borderId="7" xfId="10" applyNumberFormat="1" applyFont="1" applyFill="1" applyBorder="1"/>
    <xf numFmtId="0" fontId="19" fillId="6" borderId="0" xfId="18" applyFont="1" applyFill="1" applyBorder="1" applyAlignment="1">
      <alignment horizontal="center"/>
    </xf>
    <xf numFmtId="0" fontId="20" fillId="6" borderId="0" xfId="18" applyFont="1" applyFill="1" applyBorder="1" applyAlignment="1">
      <alignment horizontal="left"/>
    </xf>
    <xf numFmtId="0" fontId="19" fillId="6" borderId="0" xfId="27" applyFont="1" applyFill="1" applyBorder="1" applyAlignment="1">
      <alignment horizontal="center"/>
    </xf>
    <xf numFmtId="0" fontId="10" fillId="0" borderId="0" xfId="0" applyFont="1"/>
    <xf numFmtId="0" fontId="10" fillId="0" borderId="6" xfId="0" applyFont="1" applyBorder="1"/>
    <xf numFmtId="0" fontId="10" fillId="0" borderId="0" xfId="0" applyFont="1" applyBorder="1"/>
    <xf numFmtId="0" fontId="10" fillId="5" borderId="7" xfId="0" applyFont="1" applyFill="1" applyBorder="1"/>
    <xf numFmtId="0" fontId="10" fillId="6" borderId="0" xfId="0" applyFont="1" applyFill="1"/>
    <xf numFmtId="0" fontId="10" fillId="3" borderId="0" xfId="0" applyFont="1" applyFill="1"/>
    <xf numFmtId="5" fontId="9" fillId="5" borderId="0" xfId="10" applyNumberFormat="1" applyFont="1" applyFill="1" applyBorder="1"/>
    <xf numFmtId="9" fontId="10" fillId="0" borderId="7" xfId="22" applyFont="1" applyBorder="1"/>
    <xf numFmtId="175" fontId="9" fillId="0" borderId="19" xfId="10" applyNumberFormat="1" applyFont="1" applyFill="1" applyBorder="1" applyAlignment="1">
      <alignment horizontal="right"/>
    </xf>
    <xf numFmtId="9" fontId="22" fillId="0" borderId="7" xfId="22" applyFont="1" applyFill="1" applyBorder="1" applyAlignment="1">
      <alignment horizontal="right"/>
    </xf>
    <xf numFmtId="9" fontId="10" fillId="5" borderId="0" xfId="22" applyFont="1" applyFill="1" applyBorder="1" applyAlignment="1">
      <alignment horizontal="right"/>
    </xf>
    <xf numFmtId="175" fontId="10" fillId="5" borderId="0" xfId="10" applyNumberFormat="1" applyFont="1" applyFill="1" applyBorder="1" applyAlignment="1">
      <alignment horizontal="right"/>
    </xf>
    <xf numFmtId="175" fontId="26" fillId="5" borderId="0" xfId="10" applyNumberFormat="1" applyFont="1" applyFill="1" applyBorder="1"/>
    <xf numFmtId="0" fontId="19" fillId="5" borderId="0" xfId="18" applyFont="1" applyFill="1" applyBorder="1"/>
    <xf numFmtId="175" fontId="9" fillId="3" borderId="4" xfId="10" applyNumberFormat="1" applyFont="1" applyFill="1" applyBorder="1"/>
    <xf numFmtId="175" fontId="9" fillId="3" borderId="20" xfId="10" applyNumberFormat="1" applyFont="1" applyFill="1" applyBorder="1"/>
    <xf numFmtId="5" fontId="9" fillId="3" borderId="4" xfId="10" applyNumberFormat="1" applyFont="1" applyFill="1" applyBorder="1"/>
    <xf numFmtId="0" fontId="0" fillId="0" borderId="0" xfId="0" applyFill="1"/>
    <xf numFmtId="5" fontId="10" fillId="5" borderId="0" xfId="27" applyNumberFormat="1" applyFont="1" applyFill="1" applyBorder="1"/>
    <xf numFmtId="10" fontId="32" fillId="0" borderId="0" xfId="10" applyNumberFormat="1" applyFont="1" applyFill="1"/>
    <xf numFmtId="175" fontId="26" fillId="0" borderId="0" xfId="27" applyNumberFormat="1" applyFont="1" applyAlignment="1">
      <alignment horizontal="left" indent="3"/>
    </xf>
    <xf numFmtId="3" fontId="10" fillId="0" borderId="0" xfId="27" applyNumberFormat="1" applyFont="1" applyAlignment="1">
      <alignment horizontal="left" indent="3"/>
    </xf>
    <xf numFmtId="5" fontId="10" fillId="5" borderId="0" xfId="20" applyNumberFormat="1" applyFont="1" applyFill="1" applyBorder="1" applyAlignment="1" applyProtection="1">
      <alignment horizontal="left" indent="4"/>
      <protection locked="0"/>
    </xf>
    <xf numFmtId="5" fontId="26" fillId="5" borderId="0" xfId="18" applyNumberFormat="1" applyFont="1" applyFill="1" applyBorder="1"/>
    <xf numFmtId="165" fontId="10" fillId="0" borderId="7" xfId="10" applyNumberFormat="1" applyFont="1" applyBorder="1"/>
    <xf numFmtId="165" fontId="10" fillId="0" borderId="11" xfId="10" applyNumberFormat="1" applyFont="1" applyBorder="1"/>
    <xf numFmtId="5" fontId="11" fillId="0" borderId="0" xfId="22" applyNumberFormat="1" applyFont="1"/>
    <xf numFmtId="5" fontId="11" fillId="0" borderId="6" xfId="22" applyNumberFormat="1" applyFont="1" applyBorder="1"/>
    <xf numFmtId="5" fontId="11" fillId="0" borderId="0" xfId="22" applyNumberFormat="1" applyFont="1" applyFill="1"/>
    <xf numFmtId="5" fontId="11" fillId="0" borderId="0" xfId="22" applyNumberFormat="1" applyFont="1" applyFill="1" applyBorder="1"/>
    <xf numFmtId="166" fontId="9" fillId="5" borderId="0" xfId="20" applyNumberFormat="1" applyFont="1" applyFill="1" applyBorder="1" applyAlignment="1" applyProtection="1">
      <alignment horizontal="left"/>
      <protection locked="0"/>
    </xf>
    <xf numFmtId="166" fontId="10" fillId="5" borderId="0" xfId="18" applyNumberFormat="1" applyFont="1" applyFill="1" applyBorder="1" applyAlignment="1">
      <alignment horizontal="left" indent="2"/>
    </xf>
    <xf numFmtId="166" fontId="9" fillId="0" borderId="6" xfId="18" applyNumberFormat="1" applyFont="1" applyFill="1" applyBorder="1"/>
    <xf numFmtId="166" fontId="9" fillId="0" borderId="0" xfId="18" applyNumberFormat="1" applyFont="1" applyFill="1"/>
    <xf numFmtId="166" fontId="9" fillId="0" borderId="0" xfId="18" applyNumberFormat="1" applyFont="1" applyBorder="1"/>
    <xf numFmtId="166" fontId="9" fillId="0" borderId="11" xfId="18" applyNumberFormat="1" applyFont="1" applyBorder="1"/>
    <xf numFmtId="166" fontId="9" fillId="5" borderId="7" xfId="18" applyNumberFormat="1" applyFont="1" applyFill="1" applyBorder="1"/>
    <xf numFmtId="166" fontId="9" fillId="6" borderId="0" xfId="18" applyNumberFormat="1" applyFont="1" applyFill="1" applyBorder="1"/>
    <xf numFmtId="166" fontId="9" fillId="5" borderId="0" xfId="27" applyNumberFormat="1" applyFont="1" applyFill="1" applyBorder="1"/>
    <xf numFmtId="166" fontId="11" fillId="0" borderId="6" xfId="18" applyNumberFormat="1" applyFont="1" applyBorder="1"/>
    <xf numFmtId="166" fontId="11" fillId="0" borderId="11" xfId="18" applyNumberFormat="1" applyFont="1" applyBorder="1"/>
    <xf numFmtId="176" fontId="10" fillId="5" borderId="0" xfId="27" applyNumberFormat="1" applyFont="1" applyFill="1" applyBorder="1" applyAlignment="1">
      <alignment horizontal="left" indent="1"/>
    </xf>
    <xf numFmtId="10" fontId="26" fillId="3" borderId="6" xfId="18" applyNumberFormat="1" applyFont="1" applyFill="1" applyBorder="1"/>
    <xf numFmtId="166" fontId="26" fillId="0" borderId="0" xfId="10" applyNumberFormat="1" applyFont="1" applyFill="1" applyBorder="1"/>
    <xf numFmtId="166" fontId="11" fillId="5" borderId="0" xfId="10" applyNumberFormat="1" applyFont="1" applyFill="1" applyBorder="1"/>
    <xf numFmtId="166" fontId="10" fillId="5" borderId="0" xfId="18" applyNumberFormat="1" applyFont="1" applyFill="1" applyBorder="1" applyAlignment="1">
      <alignment horizontal="left" indent="1"/>
    </xf>
    <xf numFmtId="166" fontId="10" fillId="5" borderId="6" xfId="22" applyNumberFormat="1" applyFont="1" applyFill="1" applyBorder="1"/>
    <xf numFmtId="166" fontId="10" fillId="5" borderId="0" xfId="22" applyNumberFormat="1" applyFont="1" applyFill="1" applyBorder="1"/>
    <xf numFmtId="166" fontId="11" fillId="5" borderId="6" xfId="22" applyNumberFormat="1" applyFont="1" applyFill="1" applyBorder="1"/>
    <xf numFmtId="166" fontId="10" fillId="5" borderId="7" xfId="10" applyNumberFormat="1" applyFont="1" applyFill="1" applyBorder="1"/>
    <xf numFmtId="166" fontId="10" fillId="5" borderId="0" xfId="0" applyNumberFormat="1" applyFont="1" applyFill="1" applyBorder="1"/>
    <xf numFmtId="169" fontId="10" fillId="5" borderId="0" xfId="18" applyNumberFormat="1" applyFont="1" applyFill="1" applyBorder="1" applyAlignment="1">
      <alignment horizontal="left" indent="1"/>
    </xf>
    <xf numFmtId="169" fontId="10" fillId="5" borderId="6" xfId="10" applyNumberFormat="1" applyFont="1" applyFill="1" applyBorder="1"/>
    <xf numFmtId="169" fontId="10" fillId="5" borderId="0" xfId="10" applyNumberFormat="1" applyFont="1" applyFill="1" applyBorder="1"/>
    <xf numFmtId="169" fontId="11" fillId="5" borderId="6" xfId="10" applyNumberFormat="1" applyFont="1" applyFill="1" applyBorder="1"/>
    <xf numFmtId="169" fontId="11" fillId="5" borderId="0" xfId="10" applyNumberFormat="1" applyFont="1" applyFill="1" applyBorder="1"/>
    <xf numFmtId="169" fontId="10" fillId="5" borderId="7" xfId="10" applyNumberFormat="1" applyFont="1" applyFill="1" applyBorder="1"/>
    <xf numFmtId="169" fontId="10" fillId="5" borderId="0" xfId="18" applyNumberFormat="1" applyFont="1" applyFill="1" applyBorder="1"/>
    <xf numFmtId="169" fontId="10" fillId="5" borderId="0" xfId="0" applyNumberFormat="1" applyFont="1" applyFill="1" applyBorder="1"/>
    <xf numFmtId="37" fontId="10" fillId="5" borderId="0" xfId="27" applyNumberFormat="1" applyFont="1" applyFill="1" applyBorder="1" applyAlignment="1">
      <alignment horizontal="left" indent="1"/>
    </xf>
    <xf numFmtId="5" fontId="9" fillId="5" borderId="7" xfId="18" applyNumberFormat="1" applyFont="1" applyFill="1" applyBorder="1"/>
    <xf numFmtId="5" fontId="9" fillId="6" borderId="0" xfId="18" applyNumberFormat="1" applyFont="1" applyFill="1" applyBorder="1"/>
    <xf numFmtId="5" fontId="9" fillId="5" borderId="0" xfId="27" applyNumberFormat="1" applyFont="1" applyFill="1" applyBorder="1"/>
    <xf numFmtId="175" fontId="26" fillId="4" borderId="0" xfId="27" applyNumberFormat="1" applyFont="1" applyFill="1" applyBorder="1"/>
    <xf numFmtId="175" fontId="10" fillId="4" borderId="0" xfId="0" applyNumberFormat="1" applyFont="1" applyFill="1"/>
    <xf numFmtId="175" fontId="9" fillId="4" borderId="0" xfId="27" applyNumberFormat="1" applyFont="1" applyFill="1" applyBorder="1"/>
    <xf numFmtId="175" fontId="26" fillId="5" borderId="8" xfId="18" applyNumberFormat="1" applyFont="1" applyFill="1" applyBorder="1"/>
    <xf numFmtId="175" fontId="26" fillId="5" borderId="9" xfId="10" applyNumberFormat="1" applyFont="1" applyFill="1" applyBorder="1"/>
    <xf numFmtId="175" fontId="26" fillId="5" borderId="8" xfId="10" applyNumberFormat="1" applyFont="1" applyFill="1" applyBorder="1"/>
    <xf numFmtId="175" fontId="10" fillId="5" borderId="8" xfId="10" applyNumberFormat="1" applyFont="1" applyFill="1" applyBorder="1"/>
    <xf numFmtId="175" fontId="11" fillId="5" borderId="8" xfId="10" applyNumberFormat="1" applyFont="1" applyFill="1" applyBorder="1"/>
    <xf numFmtId="175" fontId="11" fillId="5" borderId="10" xfId="10" applyNumberFormat="1" applyFont="1" applyFill="1" applyBorder="1"/>
    <xf numFmtId="175" fontId="11" fillId="5" borderId="9" xfId="10" applyNumberFormat="1" applyFont="1" applyFill="1" applyBorder="1"/>
    <xf numFmtId="175" fontId="8" fillId="5" borderId="0" xfId="18" applyNumberFormat="1" applyFont="1" applyFill="1" applyAlignment="1">
      <alignment horizontal="left" indent="1"/>
    </xf>
    <xf numFmtId="175" fontId="10" fillId="5" borderId="0" xfId="10" applyNumberFormat="1" applyFont="1" applyFill="1"/>
    <xf numFmtId="166" fontId="26" fillId="5" borderId="0" xfId="22" applyNumberFormat="1" applyFont="1" applyFill="1"/>
    <xf numFmtId="175" fontId="32" fillId="5" borderId="0" xfId="10" applyNumberFormat="1" applyFont="1" applyFill="1"/>
    <xf numFmtId="9" fontId="10" fillId="5" borderId="7" xfId="10" applyNumberFormat="1" applyFont="1" applyFill="1" applyBorder="1"/>
    <xf numFmtId="9" fontId="10" fillId="5" borderId="0" xfId="0" applyNumberFormat="1" applyFont="1" applyFill="1" applyBorder="1"/>
    <xf numFmtId="9" fontId="11" fillId="5" borderId="7" xfId="10" applyNumberFormat="1" applyFont="1" applyFill="1" applyBorder="1"/>
    <xf numFmtId="175" fontId="11" fillId="0" borderId="7" xfId="10" applyNumberFormat="1" applyFont="1" applyFill="1" applyBorder="1"/>
    <xf numFmtId="175" fontId="11" fillId="0" borderId="7" xfId="10" applyNumberFormat="1" applyFont="1" applyFill="1" applyBorder="1" applyAlignment="1">
      <alignment horizontal="right"/>
    </xf>
    <xf numFmtId="9" fontId="10" fillId="0" borderId="7" xfId="22" applyFont="1" applyFill="1" applyBorder="1" applyAlignment="1">
      <alignment horizontal="right"/>
    </xf>
    <xf numFmtId="9" fontId="10" fillId="0" borderId="0" xfId="22" applyFont="1" applyFill="1" applyBorder="1" applyAlignment="1">
      <alignment horizontal="right"/>
    </xf>
    <xf numFmtId="175" fontId="11" fillId="0" borderId="0" xfId="10" applyNumberFormat="1" applyFont="1" applyFill="1" applyBorder="1" applyAlignment="1">
      <alignment horizontal="right"/>
    </xf>
    <xf numFmtId="166" fontId="9" fillId="0" borderId="7" xfId="18" applyNumberFormat="1" applyFont="1" applyBorder="1"/>
    <xf numFmtId="169" fontId="10" fillId="0" borderId="0" xfId="18" applyNumberFormat="1" applyFont="1" applyBorder="1"/>
    <xf numFmtId="169" fontId="10" fillId="0" borderId="6" xfId="18" applyNumberFormat="1" applyFont="1" applyFill="1" applyBorder="1"/>
    <xf numFmtId="169" fontId="10" fillId="0" borderId="7" xfId="18" applyNumberFormat="1" applyFont="1" applyFill="1" applyBorder="1"/>
    <xf numFmtId="169" fontId="11" fillId="0" borderId="0" xfId="18" applyNumberFormat="1" applyFont="1" applyFill="1" applyBorder="1"/>
    <xf numFmtId="169" fontId="11" fillId="0" borderId="11" xfId="18" applyNumberFormat="1" applyFont="1" applyFill="1" applyBorder="1"/>
    <xf numFmtId="9" fontId="22" fillId="5" borderId="8" xfId="18" applyNumberFormat="1" applyFont="1" applyFill="1" applyBorder="1" applyAlignment="1">
      <alignment horizontal="left"/>
    </xf>
    <xf numFmtId="166" fontId="22" fillId="0" borderId="8" xfId="18" applyNumberFormat="1" applyFont="1" applyFill="1" applyBorder="1"/>
    <xf numFmtId="166" fontId="22" fillId="0" borderId="9" xfId="18" applyNumberFormat="1" applyFont="1" applyBorder="1"/>
    <xf numFmtId="166" fontId="22" fillId="0" borderId="8" xfId="18" applyNumberFormat="1" applyFont="1" applyBorder="1"/>
    <xf numFmtId="166" fontId="22" fillId="0" borderId="10" xfId="18" applyNumberFormat="1" applyFont="1" applyBorder="1"/>
    <xf numFmtId="9" fontId="9" fillId="5" borderId="11" xfId="18" applyNumberFormat="1" applyFont="1" applyFill="1" applyBorder="1" applyAlignment="1">
      <alignment horizontal="left"/>
    </xf>
    <xf numFmtId="175" fontId="9" fillId="3" borderId="7" xfId="18" applyNumberFormat="1" applyFont="1" applyFill="1" applyBorder="1"/>
    <xf numFmtId="166" fontId="10" fillId="5" borderId="25" xfId="18" applyNumberFormat="1" applyFont="1" applyFill="1" applyBorder="1"/>
    <xf numFmtId="164" fontId="11" fillId="5" borderId="25" xfId="18" applyNumberFormat="1" applyFont="1" applyFill="1" applyBorder="1"/>
    <xf numFmtId="166" fontId="39" fillId="3" borderId="0" xfId="14" applyNumberFormat="1" applyFont="1" applyFill="1" applyAlignment="1" applyProtection="1">
      <alignment wrapText="1"/>
    </xf>
    <xf numFmtId="9" fontId="8" fillId="5" borderId="0" xfId="18" applyNumberFormat="1" applyFont="1" applyFill="1" applyAlignment="1">
      <alignment horizontal="left" indent="1"/>
    </xf>
    <xf numFmtId="9" fontId="26" fillId="0" borderId="0" xfId="10" applyNumberFormat="1" applyFont="1" applyFill="1"/>
    <xf numFmtId="9" fontId="26" fillId="0" borderId="6" xfId="10" applyNumberFormat="1" applyFont="1" applyBorder="1"/>
    <xf numFmtId="5" fontId="8" fillId="5" borderId="0" xfId="20" applyNumberFormat="1" applyFont="1" applyFill="1" applyBorder="1" applyAlignment="1" applyProtection="1">
      <alignment horizontal="left" indent="2"/>
      <protection locked="0"/>
    </xf>
    <xf numFmtId="5" fontId="8" fillId="5" borderId="0" xfId="20" applyNumberFormat="1" applyFont="1" applyFill="1" applyBorder="1" applyAlignment="1" applyProtection="1">
      <alignment horizontal="left"/>
      <protection locked="0"/>
    </xf>
    <xf numFmtId="173" fontId="27" fillId="5" borderId="0" xfId="18" applyNumberFormat="1" applyFont="1" applyFill="1" applyBorder="1"/>
    <xf numFmtId="176" fontId="10" fillId="5" borderId="6" xfId="27" applyNumberFormat="1" applyFont="1" applyFill="1" applyBorder="1"/>
    <xf numFmtId="169" fontId="10" fillId="5" borderId="11" xfId="10" applyNumberFormat="1" applyFont="1" applyFill="1" applyBorder="1"/>
    <xf numFmtId="164" fontId="10" fillId="0" borderId="7" xfId="18" applyNumberFormat="1" applyFont="1" applyFill="1" applyBorder="1"/>
    <xf numFmtId="166" fontId="26" fillId="5" borderId="0" xfId="18" applyNumberFormat="1" applyFont="1" applyFill="1" applyBorder="1"/>
    <xf numFmtId="166" fontId="26" fillId="5" borderId="6" xfId="18" applyNumberFormat="1" applyFont="1" applyFill="1" applyBorder="1"/>
    <xf numFmtId="172" fontId="10" fillId="5" borderId="0" xfId="20" applyNumberFormat="1" applyFont="1" applyFill="1" applyBorder="1" applyAlignment="1" applyProtection="1">
      <alignment horizontal="left" indent="2"/>
      <protection locked="0"/>
    </xf>
    <xf numFmtId="172" fontId="10" fillId="0" borderId="0" xfId="18" applyNumberFormat="1" applyFont="1" applyBorder="1"/>
    <xf numFmtId="172" fontId="10" fillId="0" borderId="6" xfId="18" applyNumberFormat="1" applyFont="1" applyFill="1" applyBorder="1"/>
    <xf numFmtId="172" fontId="11" fillId="0" borderId="0" xfId="18" applyNumberFormat="1" applyFont="1" applyFill="1" applyBorder="1"/>
    <xf numFmtId="172" fontId="11" fillId="0" borderId="11" xfId="18" applyNumberFormat="1" applyFont="1" applyFill="1" applyBorder="1"/>
    <xf numFmtId="172" fontId="10" fillId="5" borderId="7" xfId="18" applyNumberFormat="1" applyFont="1" applyFill="1" applyBorder="1"/>
    <xf numFmtId="172" fontId="19" fillId="6" borderId="0" xfId="18" applyNumberFormat="1" applyFont="1" applyFill="1" applyBorder="1"/>
    <xf numFmtId="172" fontId="10" fillId="6" borderId="0" xfId="18" applyNumberFormat="1" applyFont="1" applyFill="1" applyBorder="1"/>
    <xf numFmtId="172" fontId="10" fillId="5" borderId="0" xfId="27" applyNumberFormat="1" applyFont="1" applyFill="1" applyBorder="1"/>
    <xf numFmtId="37" fontId="9" fillId="5" borderId="8" xfId="18" applyNumberFormat="1" applyFont="1" applyFill="1" applyBorder="1"/>
    <xf numFmtId="37" fontId="9" fillId="5" borderId="9" xfId="18" applyNumberFormat="1" applyFont="1" applyFill="1" applyBorder="1"/>
    <xf numFmtId="37" fontId="9" fillId="5" borderId="10" xfId="18" applyNumberFormat="1" applyFont="1" applyFill="1" applyBorder="1"/>
    <xf numFmtId="37" fontId="9" fillId="5" borderId="26" xfId="18" applyNumberFormat="1" applyFont="1" applyFill="1" applyBorder="1"/>
    <xf numFmtId="180" fontId="10" fillId="0" borderId="0" xfId="27" applyNumberFormat="1" applyFont="1" applyBorder="1" applyAlignment="1">
      <alignment horizontal="left" indent="3"/>
    </xf>
    <xf numFmtId="180" fontId="9" fillId="0" borderId="6" xfId="18" applyNumberFormat="1" applyFont="1" applyFill="1" applyBorder="1"/>
    <xf numFmtId="180" fontId="10" fillId="0" borderId="6" xfId="18" applyNumberFormat="1" applyFont="1" applyBorder="1"/>
    <xf numFmtId="180" fontId="10" fillId="0" borderId="0" xfId="18" applyNumberFormat="1" applyFont="1" applyBorder="1"/>
    <xf numFmtId="180" fontId="9" fillId="0" borderId="0" xfId="18" applyNumberFormat="1" applyFont="1" applyFill="1" applyBorder="1"/>
    <xf numFmtId="180" fontId="9" fillId="0" borderId="11" xfId="18" applyNumberFormat="1" applyFont="1" applyFill="1" applyBorder="1"/>
    <xf numFmtId="180" fontId="9" fillId="0" borderId="7" xfId="18" applyNumberFormat="1" applyFont="1" applyFill="1" applyBorder="1"/>
    <xf numFmtId="180" fontId="10" fillId="5" borderId="7" xfId="18" applyNumberFormat="1" applyFont="1" applyFill="1" applyBorder="1"/>
    <xf numFmtId="180" fontId="19" fillId="6" borderId="0" xfId="18" applyNumberFormat="1" applyFont="1" applyFill="1" applyBorder="1"/>
    <xf numFmtId="180" fontId="10" fillId="6" borderId="0" xfId="18" applyNumberFormat="1" applyFont="1" applyFill="1" applyBorder="1"/>
    <xf numFmtId="180" fontId="10" fillId="5" borderId="0" xfId="18" applyNumberFormat="1" applyFont="1" applyFill="1" applyBorder="1"/>
    <xf numFmtId="180" fontId="10" fillId="5" borderId="0" xfId="27" applyNumberFormat="1" applyFont="1" applyFill="1" applyBorder="1"/>
    <xf numFmtId="166" fontId="9" fillId="5" borderId="8" xfId="20" applyNumberFormat="1" applyFont="1" applyFill="1" applyBorder="1" applyAlignment="1" applyProtection="1">
      <alignment horizontal="left"/>
      <protection locked="0"/>
    </xf>
    <xf numFmtId="166" fontId="26" fillId="5" borderId="9" xfId="18" applyNumberFormat="1" applyFont="1" applyFill="1" applyBorder="1"/>
    <xf numFmtId="166" fontId="26" fillId="5" borderId="8" xfId="18" applyNumberFormat="1" applyFont="1" applyFill="1" applyBorder="1"/>
    <xf numFmtId="166" fontId="11" fillId="5" borderId="8" xfId="18" applyNumberFormat="1" applyFont="1" applyFill="1" applyBorder="1"/>
    <xf numFmtId="166" fontId="11" fillId="5" borderId="10" xfId="18" applyNumberFormat="1" applyFont="1" applyFill="1" applyBorder="1"/>
    <xf numFmtId="166" fontId="19" fillId="6" borderId="0" xfId="18" applyNumberFormat="1" applyFont="1" applyFill="1" applyBorder="1"/>
    <xf numFmtId="5" fontId="9" fillId="5" borderId="0" xfId="20" applyNumberFormat="1" applyFont="1" applyFill="1" applyBorder="1" applyAlignment="1" applyProtection="1">
      <alignment horizontal="left"/>
      <protection locked="0"/>
    </xf>
    <xf numFmtId="5" fontId="11" fillId="5" borderId="11" xfId="18" applyNumberFormat="1" applyFont="1" applyFill="1" applyBorder="1"/>
    <xf numFmtId="166" fontId="8" fillId="5" borderId="0" xfId="20" applyNumberFormat="1" applyFont="1" applyFill="1" applyBorder="1" applyAlignment="1" applyProtection="1">
      <alignment horizontal="left" indent="1"/>
      <protection locked="0"/>
    </xf>
    <xf numFmtId="166" fontId="11" fillId="5" borderId="11" xfId="18" applyNumberFormat="1" applyFont="1" applyFill="1" applyBorder="1"/>
    <xf numFmtId="175" fontId="8" fillId="0" borderId="0" xfId="18" applyNumberFormat="1" applyFont="1" applyFill="1" applyBorder="1"/>
    <xf numFmtId="176" fontId="26" fillId="0" borderId="0" xfId="18" applyNumberFormat="1" applyFont="1" applyFill="1" applyBorder="1"/>
    <xf numFmtId="175" fontId="8" fillId="0" borderId="0" xfId="10" applyNumberFormat="1" applyFont="1" applyFill="1" applyBorder="1"/>
    <xf numFmtId="175" fontId="8" fillId="0" borderId="0" xfId="10" applyNumberFormat="1" applyFont="1" applyFill="1" applyAlignment="1">
      <alignment horizontal="right"/>
    </xf>
    <xf numFmtId="164" fontId="26" fillId="0" borderId="0" xfId="18" applyNumberFormat="1" applyFont="1" applyFill="1" applyBorder="1"/>
    <xf numFmtId="175" fontId="8" fillId="0" borderId="0" xfId="10" applyNumberFormat="1" applyFont="1" applyFill="1"/>
    <xf numFmtId="0" fontId="8" fillId="3" borderId="0" xfId="18" applyFont="1" applyFill="1" applyBorder="1"/>
    <xf numFmtId="169" fontId="8" fillId="3" borderId="0" xfId="18" applyNumberFormat="1" applyFont="1" applyFill="1" applyBorder="1"/>
    <xf numFmtId="5" fontId="8" fillId="3" borderId="0" xfId="18" applyNumberFormat="1" applyFont="1" applyFill="1" applyBorder="1"/>
    <xf numFmtId="173" fontId="8" fillId="3" borderId="0" xfId="18" applyNumberFormat="1" applyFont="1" applyFill="1" applyBorder="1"/>
    <xf numFmtId="175" fontId="8" fillId="0" borderId="6" xfId="10" applyNumberFormat="1" applyFont="1" applyFill="1" applyBorder="1"/>
    <xf numFmtId="175" fontId="50" fillId="5" borderId="0" xfId="10" applyNumberFormat="1" applyFont="1" applyFill="1" applyBorder="1"/>
    <xf numFmtId="37" fontId="50" fillId="5" borderId="0" xfId="18" applyNumberFormat="1" applyFont="1" applyFill="1" applyBorder="1"/>
    <xf numFmtId="175" fontId="8" fillId="3" borderId="0" xfId="18" applyNumberFormat="1" applyFont="1" applyFill="1"/>
    <xf numFmtId="175" fontId="8" fillId="0" borderId="11" xfId="18" applyNumberFormat="1" applyFont="1" applyFill="1" applyBorder="1"/>
    <xf numFmtId="175" fontId="8" fillId="0" borderId="6" xfId="18" applyNumberFormat="1" applyFont="1" applyBorder="1"/>
    <xf numFmtId="172" fontId="8" fillId="3" borderId="0" xfId="18" applyNumberFormat="1" applyFont="1" applyFill="1" applyBorder="1"/>
    <xf numFmtId="0" fontId="20" fillId="6" borderId="0" xfId="18" applyFont="1" applyFill="1" applyAlignment="1">
      <alignment horizontal="center"/>
    </xf>
    <xf numFmtId="5" fontId="10" fillId="9" borderId="6" xfId="18" applyNumberFormat="1" applyFont="1" applyFill="1" applyBorder="1"/>
    <xf numFmtId="175" fontId="10" fillId="9" borderId="0" xfId="10" applyNumberFormat="1" applyFont="1" applyFill="1"/>
    <xf numFmtId="175" fontId="9" fillId="9" borderId="8" xfId="18" applyNumberFormat="1" applyFont="1" applyFill="1" applyBorder="1"/>
    <xf numFmtId="173" fontId="8" fillId="9" borderId="0" xfId="18" applyNumberFormat="1" applyFont="1" applyFill="1"/>
    <xf numFmtId="173" fontId="9" fillId="9" borderId="0" xfId="18" applyNumberFormat="1" applyFont="1" applyFill="1" applyBorder="1"/>
    <xf numFmtId="176" fontId="8" fillId="3" borderId="0" xfId="18" applyNumberFormat="1" applyFont="1" applyFill="1" applyBorder="1"/>
    <xf numFmtId="3" fontId="8" fillId="9" borderId="6" xfId="18" applyNumberFormat="1" applyFont="1" applyFill="1" applyBorder="1"/>
    <xf numFmtId="5" fontId="26" fillId="9" borderId="0" xfId="18" applyNumberFormat="1" applyFont="1" applyFill="1" applyBorder="1"/>
    <xf numFmtId="5" fontId="26" fillId="9" borderId="6" xfId="18" applyNumberFormat="1" applyFont="1" applyFill="1" applyBorder="1"/>
    <xf numFmtId="175" fontId="10" fillId="9" borderId="0" xfId="18" applyNumberFormat="1" applyFont="1" applyFill="1" applyBorder="1"/>
    <xf numFmtId="175" fontId="26" fillId="9" borderId="0" xfId="18" applyNumberFormat="1" applyFont="1" applyFill="1" applyBorder="1"/>
    <xf numFmtId="164" fontId="10" fillId="9" borderId="6" xfId="18" applyNumberFormat="1" applyFont="1" applyFill="1" applyBorder="1"/>
    <xf numFmtId="175" fontId="10" fillId="9" borderId="6" xfId="10" applyNumberFormat="1" applyFont="1" applyFill="1" applyBorder="1"/>
    <xf numFmtId="176" fontId="26" fillId="9" borderId="0" xfId="18" applyNumberFormat="1" applyFont="1" applyFill="1" applyBorder="1"/>
    <xf numFmtId="175" fontId="26" fillId="9" borderId="0" xfId="18" applyNumberFormat="1" applyFont="1" applyFill="1"/>
    <xf numFmtId="5" fontId="10" fillId="9" borderId="0" xfId="18" applyNumberFormat="1" applyFont="1" applyFill="1" applyBorder="1"/>
    <xf numFmtId="164" fontId="10" fillId="9" borderId="0" xfId="18" applyNumberFormat="1" applyFont="1" applyFill="1" applyBorder="1"/>
    <xf numFmtId="175" fontId="10" fillId="9" borderId="6" xfId="18" applyNumberFormat="1" applyFont="1" applyFill="1" applyBorder="1"/>
    <xf numFmtId="175" fontId="8" fillId="9" borderId="0" xfId="10" applyNumberFormat="1" applyFont="1" applyFill="1" applyBorder="1"/>
    <xf numFmtId="175" fontId="8" fillId="9" borderId="6" xfId="10" applyNumberFormat="1" applyFont="1" applyFill="1" applyBorder="1"/>
    <xf numFmtId="169" fontId="10" fillId="9" borderId="0" xfId="10" applyNumberFormat="1" applyFont="1" applyFill="1"/>
    <xf numFmtId="176" fontId="10" fillId="9" borderId="0" xfId="27" applyNumberFormat="1" applyFont="1" applyFill="1" applyBorder="1"/>
    <xf numFmtId="175" fontId="10" fillId="9" borderId="7" xfId="18" applyNumberFormat="1" applyFont="1" applyFill="1" applyBorder="1"/>
    <xf numFmtId="175" fontId="26" fillId="9" borderId="7" xfId="18" applyNumberFormat="1" applyFont="1" applyFill="1" applyBorder="1"/>
    <xf numFmtId="5" fontId="10" fillId="9" borderId="7" xfId="18" applyNumberFormat="1" applyFont="1" applyFill="1" applyBorder="1"/>
    <xf numFmtId="169" fontId="10" fillId="9" borderId="7" xfId="10" applyNumberFormat="1" applyFont="1" applyFill="1" applyBorder="1"/>
    <xf numFmtId="175" fontId="10" fillId="0" borderId="23" xfId="10" applyNumberFormat="1" applyFont="1" applyFill="1" applyBorder="1"/>
    <xf numFmtId="175" fontId="8" fillId="9" borderId="0" xfId="18" applyNumberFormat="1" applyFont="1" applyFill="1" applyBorder="1"/>
    <xf numFmtId="166" fontId="10" fillId="9" borderId="0" xfId="18" applyNumberFormat="1" applyFont="1" applyFill="1" applyBorder="1"/>
    <xf numFmtId="5" fontId="10" fillId="9" borderId="0" xfId="18" applyNumberFormat="1" applyFont="1" applyFill="1"/>
    <xf numFmtId="9" fontId="8" fillId="0" borderId="0" xfId="22" applyFont="1" applyBorder="1"/>
    <xf numFmtId="9" fontId="8" fillId="0" borderId="0" xfId="22" applyFont="1" applyFill="1" applyBorder="1" applyAlignment="1">
      <alignment horizontal="right"/>
    </xf>
    <xf numFmtId="175" fontId="8" fillId="9" borderId="0" xfId="10" applyNumberFormat="1" applyFont="1" applyFill="1" applyBorder="1" applyAlignment="1">
      <alignment horizontal="right"/>
    </xf>
    <xf numFmtId="0" fontId="8" fillId="3" borderId="0" xfId="18" applyFont="1" applyFill="1"/>
    <xf numFmtId="9" fontId="8" fillId="3" borderId="0" xfId="22" applyFont="1" applyFill="1" applyBorder="1"/>
    <xf numFmtId="166" fontId="8" fillId="3" borderId="0" xfId="18" applyNumberFormat="1" applyFont="1" applyFill="1"/>
    <xf numFmtId="37" fontId="8" fillId="3" borderId="0" xfId="18" applyNumberFormat="1" applyFont="1" applyFill="1" applyBorder="1"/>
    <xf numFmtId="175" fontId="8" fillId="3" borderId="0" xfId="18" applyNumberFormat="1" applyFont="1" applyFill="1" applyAlignment="1"/>
    <xf numFmtId="175" fontId="26" fillId="10" borderId="0" xfId="18" applyNumberFormat="1" applyFont="1" applyFill="1"/>
    <xf numFmtId="3" fontId="8" fillId="10" borderId="6" xfId="18" applyNumberFormat="1" applyFont="1" applyFill="1" applyBorder="1"/>
    <xf numFmtId="175" fontId="26" fillId="10" borderId="6" xfId="10" applyNumberFormat="1" applyFont="1" applyFill="1" applyBorder="1"/>
    <xf numFmtId="175" fontId="10" fillId="10" borderId="6" xfId="18" applyNumberFormat="1" applyFont="1" applyFill="1" applyBorder="1"/>
    <xf numFmtId="175" fontId="8" fillId="5" borderId="9" xfId="10" applyNumberFormat="1" applyFont="1" applyFill="1" applyBorder="1"/>
    <xf numFmtId="175" fontId="8" fillId="0" borderId="9" xfId="10" applyNumberFormat="1" applyFont="1" applyFill="1" applyBorder="1"/>
    <xf numFmtId="164" fontId="26" fillId="10" borderId="6" xfId="18" applyNumberFormat="1" applyFont="1" applyFill="1" applyBorder="1"/>
    <xf numFmtId="164" fontId="11" fillId="10" borderId="6" xfId="18" applyNumberFormat="1" applyFont="1" applyFill="1" applyBorder="1"/>
    <xf numFmtId="175" fontId="8" fillId="5" borderId="10" xfId="10" applyNumberFormat="1" applyFont="1" applyFill="1" applyBorder="1"/>
    <xf numFmtId="9" fontId="8" fillId="0" borderId="0" xfId="10" applyNumberFormat="1" applyFont="1"/>
    <xf numFmtId="175" fontId="8" fillId="0" borderId="10" xfId="10" applyNumberFormat="1" applyFont="1" applyFill="1" applyBorder="1"/>
    <xf numFmtId="175" fontId="8" fillId="9" borderId="7" xfId="18" applyNumberFormat="1" applyFont="1" applyFill="1" applyBorder="1"/>
    <xf numFmtId="175" fontId="8" fillId="5" borderId="8" xfId="10" applyNumberFormat="1" applyFont="1" applyFill="1" applyBorder="1"/>
    <xf numFmtId="175" fontId="8" fillId="0" borderId="8" xfId="10" applyNumberFormat="1" applyFont="1" applyFill="1" applyBorder="1"/>
    <xf numFmtId="169" fontId="9" fillId="9" borderId="6" xfId="10" applyNumberFormat="1" applyFont="1" applyFill="1" applyBorder="1"/>
    <xf numFmtId="175" fontId="8" fillId="0" borderId="7" xfId="10" applyNumberFormat="1" applyFont="1" applyFill="1" applyBorder="1"/>
    <xf numFmtId="175" fontId="8" fillId="0" borderId="0" xfId="18" applyNumberFormat="1" applyFont="1" applyFill="1" applyAlignment="1">
      <alignment horizontal="left" indent="1"/>
    </xf>
    <xf numFmtId="0" fontId="6" fillId="11" borderId="0" xfId="4" applyFont="1" applyFill="1"/>
    <xf numFmtId="0" fontId="31" fillId="11" borderId="0" xfId="17" applyFill="1"/>
    <xf numFmtId="0" fontId="40" fillId="11" borderId="0" xfId="4" applyFont="1" applyFill="1"/>
    <xf numFmtId="0" fontId="41" fillId="11" borderId="0" xfId="4" applyFont="1" applyFill="1"/>
    <xf numFmtId="14" fontId="41" fillId="11" borderId="0" xfId="4" applyNumberFormat="1" applyFont="1" applyFill="1" applyAlignment="1">
      <alignment horizontal="left"/>
    </xf>
    <xf numFmtId="0" fontId="0" fillId="5" borderId="0" xfId="4" applyFont="1" applyFill="1"/>
    <xf numFmtId="0" fontId="42" fillId="5" borderId="0" xfId="4" applyFont="1" applyFill="1"/>
    <xf numFmtId="0" fontId="31" fillId="0" borderId="0" xfId="17"/>
    <xf numFmtId="0" fontId="51" fillId="5" borderId="0" xfId="4" applyFont="1" applyFill="1"/>
    <xf numFmtId="0" fontId="52" fillId="5" borderId="0" xfId="4" applyFont="1" applyFill="1"/>
    <xf numFmtId="0" fontId="53" fillId="5" borderId="0" xfId="4" applyFont="1" applyFill="1"/>
    <xf numFmtId="0" fontId="54" fillId="5" borderId="0" xfId="4" applyFont="1" applyFill="1"/>
    <xf numFmtId="0" fontId="51" fillId="0" borderId="0" xfId="17" applyFont="1"/>
    <xf numFmtId="0" fontId="43" fillId="5" borderId="0" xfId="4" applyFont="1" applyFill="1"/>
    <xf numFmtId="0" fontId="4" fillId="5" borderId="0" xfId="4" applyFont="1" applyFill="1"/>
    <xf numFmtId="0" fontId="44" fillId="5" borderId="0" xfId="4" applyFont="1" applyFill="1"/>
    <xf numFmtId="181" fontId="45" fillId="11" borderId="0" xfId="4" applyNumberFormat="1" applyFont="1" applyFill="1"/>
    <xf numFmtId="181" fontId="46" fillId="11" borderId="0" xfId="4" applyNumberFormat="1" applyFont="1" applyFill="1"/>
    <xf numFmtId="0" fontId="46" fillId="11" borderId="0" xfId="4" applyNumberFormat="1" applyFont="1" applyFill="1"/>
    <xf numFmtId="0" fontId="3" fillId="11" borderId="0" xfId="17" applyFont="1" applyFill="1"/>
    <xf numFmtId="0" fontId="3" fillId="11" borderId="0" xfId="4" applyFont="1" applyFill="1"/>
    <xf numFmtId="181" fontId="47" fillId="11" borderId="0" xfId="4" applyNumberFormat="1" applyFont="1" applyFill="1"/>
    <xf numFmtId="181" fontId="41" fillId="11" borderId="0" xfId="4" applyNumberFormat="1" applyFont="1" applyFill="1"/>
    <xf numFmtId="181" fontId="43" fillId="11" borderId="0" xfId="4" applyNumberFormat="1" applyFont="1" applyFill="1"/>
    <xf numFmtId="181" fontId="48" fillId="11" borderId="0" xfId="4" applyNumberFormat="1" applyFont="1" applyFill="1"/>
    <xf numFmtId="181" fontId="42" fillId="11" borderId="0" xfId="4" applyNumberFormat="1" applyFont="1" applyFill="1"/>
    <xf numFmtId="0" fontId="42" fillId="11" borderId="0" xfId="4" applyNumberFormat="1" applyFont="1" applyFill="1"/>
    <xf numFmtId="0" fontId="3" fillId="0" borderId="0" xfId="17" applyFont="1" applyFill="1"/>
    <xf numFmtId="0" fontId="3" fillId="0" borderId="0" xfId="17" applyNumberFormat="1" applyFont="1" applyFill="1"/>
    <xf numFmtId="0" fontId="3" fillId="0" borderId="0" xfId="17" applyFont="1"/>
    <xf numFmtId="0" fontId="55" fillId="11" borderId="0" xfId="17" applyFont="1" applyFill="1"/>
    <xf numFmtId="0" fontId="56" fillId="11" borderId="0" xfId="17" applyFont="1" applyFill="1"/>
    <xf numFmtId="0" fontId="54" fillId="0" borderId="0" xfId="4" applyFont="1" applyAlignment="1">
      <alignment horizontal="right"/>
    </xf>
    <xf numFmtId="0" fontId="54" fillId="0" borderId="0" xfId="4" applyNumberFormat="1" applyFont="1" applyAlignment="1">
      <alignment horizontal="right"/>
    </xf>
    <xf numFmtId="182" fontId="54" fillId="0" borderId="0" xfId="17" applyNumberFormat="1" applyFont="1"/>
    <xf numFmtId="183" fontId="3" fillId="0" borderId="0" xfId="17" applyNumberFormat="1" applyFont="1"/>
    <xf numFmtId="0" fontId="3" fillId="0" borderId="0" xfId="17" applyNumberFormat="1" applyFont="1"/>
    <xf numFmtId="0" fontId="57" fillId="0" borderId="0" xfId="17" applyFont="1"/>
    <xf numFmtId="0" fontId="4" fillId="12" borderId="20" xfId="17" applyFont="1" applyFill="1" applyBorder="1"/>
    <xf numFmtId="0" fontId="3" fillId="12" borderId="15" xfId="17" applyFont="1" applyFill="1" applyBorder="1"/>
    <xf numFmtId="0" fontId="0" fillId="0" borderId="0" xfId="17" applyFont="1"/>
    <xf numFmtId="165" fontId="3" fillId="0" borderId="0" xfId="11" applyNumberFormat="1" applyFont="1"/>
    <xf numFmtId="8" fontId="3" fillId="0" borderId="0" xfId="17" applyNumberFormat="1" applyFont="1"/>
    <xf numFmtId="0" fontId="49" fillId="0" borderId="0" xfId="17" applyFont="1"/>
    <xf numFmtId="9" fontId="49" fillId="0" borderId="0" xfId="17" applyNumberFormat="1" applyFont="1"/>
    <xf numFmtId="0" fontId="4" fillId="0" borderId="0" xfId="17" applyFont="1"/>
    <xf numFmtId="165" fontId="4" fillId="0" borderId="0" xfId="11" applyNumberFormat="1" applyFont="1" applyFill="1"/>
    <xf numFmtId="0" fontId="49" fillId="0" borderId="21" xfId="17" applyFont="1" applyBorder="1"/>
    <xf numFmtId="0" fontId="49" fillId="0" borderId="2" xfId="17" applyFont="1" applyBorder="1"/>
    <xf numFmtId="168" fontId="49" fillId="0" borderId="2" xfId="17" applyNumberFormat="1" applyFont="1" applyBorder="1" applyAlignment="1">
      <alignment horizontal="right"/>
    </xf>
    <xf numFmtId="168" fontId="49" fillId="0" borderId="22" xfId="17" applyNumberFormat="1" applyFont="1" applyBorder="1" applyAlignment="1">
      <alignment horizontal="right"/>
    </xf>
    <xf numFmtId="9" fontId="3" fillId="0" borderId="0" xfId="11" applyNumberFormat="1" applyFont="1"/>
    <xf numFmtId="0" fontId="49" fillId="0" borderId="7" xfId="17" applyFont="1" applyFill="1" applyBorder="1"/>
    <xf numFmtId="0" fontId="49" fillId="0" borderId="0" xfId="17" applyFont="1" applyFill="1" applyBorder="1"/>
    <xf numFmtId="168" fontId="49" fillId="0" borderId="0" xfId="17" applyNumberFormat="1" applyFont="1" applyFill="1" applyBorder="1" applyAlignment="1">
      <alignment horizontal="right"/>
    </xf>
    <xf numFmtId="168" fontId="49" fillId="0" borderId="11" xfId="17" applyNumberFormat="1" applyFont="1" applyFill="1" applyBorder="1" applyAlignment="1">
      <alignment horizontal="right"/>
    </xf>
    <xf numFmtId="165" fontId="4" fillId="0" borderId="0" xfId="11" applyNumberFormat="1" applyFont="1"/>
    <xf numFmtId="0" fontId="49" fillId="0" borderId="23" xfId="17" applyFont="1" applyBorder="1"/>
    <xf numFmtId="0" fontId="49" fillId="0" borderId="3" xfId="17" applyFont="1" applyBorder="1"/>
    <xf numFmtId="166" fontId="49" fillId="0" borderId="3" xfId="17" applyNumberFormat="1" applyFont="1" applyBorder="1"/>
    <xf numFmtId="166" fontId="49" fillId="0" borderId="3" xfId="17" applyNumberFormat="1" applyFont="1" applyBorder="1" applyAlignment="1">
      <alignment horizontal="right"/>
    </xf>
    <xf numFmtId="166" fontId="49" fillId="0" borderId="24" xfId="17" applyNumberFormat="1" applyFont="1" applyBorder="1" applyAlignment="1">
      <alignment horizontal="right"/>
    </xf>
    <xf numFmtId="0" fontId="49" fillId="0" borderId="0" xfId="17" applyFont="1" applyFill="1"/>
    <xf numFmtId="0" fontId="4" fillId="0" borderId="0" xfId="17" applyFont="1" applyFill="1"/>
    <xf numFmtId="168" fontId="58" fillId="0" borderId="0" xfId="17" applyNumberFormat="1" applyFont="1" applyFill="1" applyAlignment="1">
      <alignment horizontal="right"/>
    </xf>
    <xf numFmtId="165" fontId="60" fillId="0" borderId="0" xfId="11" applyNumberFormat="1" applyFont="1" applyFill="1"/>
    <xf numFmtId="0" fontId="4" fillId="0" borderId="20" xfId="17" applyFont="1" applyFill="1" applyBorder="1"/>
    <xf numFmtId="0" fontId="3" fillId="0" borderId="15" xfId="17" applyFont="1" applyFill="1" applyBorder="1"/>
    <xf numFmtId="165" fontId="3" fillId="0" borderId="0" xfId="17" applyNumberFormat="1" applyFont="1"/>
    <xf numFmtId="165" fontId="3" fillId="0" borderId="0" xfId="11" applyNumberFormat="1" applyFont="1" applyFill="1"/>
    <xf numFmtId="43" fontId="3" fillId="0" borderId="0" xfId="17" applyNumberFormat="1" applyFont="1"/>
    <xf numFmtId="9" fontId="3" fillId="0" borderId="0" xfId="17" applyNumberFormat="1" applyFont="1"/>
    <xf numFmtId="9" fontId="58" fillId="0" borderId="0" xfId="17" applyNumberFormat="1" applyFont="1" applyFill="1"/>
    <xf numFmtId="9" fontId="3" fillId="0" borderId="0" xfId="17" applyNumberFormat="1" applyFont="1" applyFill="1"/>
    <xf numFmtId="165" fontId="4" fillId="0" borderId="0" xfId="17" applyNumberFormat="1" applyFont="1"/>
    <xf numFmtId="165" fontId="49" fillId="0" borderId="0" xfId="17" applyNumberFormat="1" applyFont="1" applyFill="1"/>
    <xf numFmtId="165" fontId="49" fillId="0" borderId="0" xfId="11" applyNumberFormat="1" applyFont="1" applyFill="1"/>
    <xf numFmtId="166" fontId="3" fillId="0" borderId="0" xfId="17" applyNumberFormat="1" applyFont="1"/>
    <xf numFmtId="8" fontId="4" fillId="0" borderId="0" xfId="11" applyNumberFormat="1" applyFont="1" applyFill="1"/>
    <xf numFmtId="9" fontId="4" fillId="0" borderId="0" xfId="17" applyNumberFormat="1" applyFont="1" applyFill="1"/>
    <xf numFmtId="166" fontId="3" fillId="0" borderId="0" xfId="17" applyNumberFormat="1" applyFont="1" applyFill="1"/>
    <xf numFmtId="166" fontId="4" fillId="0" borderId="0" xfId="17" applyNumberFormat="1" applyFont="1" applyFill="1"/>
    <xf numFmtId="0" fontId="0" fillId="0" borderId="0" xfId="17" applyFont="1" applyFill="1"/>
    <xf numFmtId="0" fontId="49" fillId="0" borderId="20" xfId="17" applyFont="1" applyBorder="1"/>
    <xf numFmtId="0" fontId="49" fillId="0" borderId="15" xfId="17" applyFont="1" applyBorder="1"/>
    <xf numFmtId="165" fontId="49" fillId="0" borderId="15" xfId="17" applyNumberFormat="1" applyFont="1" applyBorder="1"/>
    <xf numFmtId="165" fontId="49" fillId="0" borderId="16" xfId="17" applyNumberFormat="1" applyFont="1" applyBorder="1"/>
    <xf numFmtId="168" fontId="3" fillId="0" borderId="0" xfId="17" applyNumberFormat="1" applyFont="1" applyFill="1" applyAlignment="1">
      <alignment horizontal="right"/>
    </xf>
    <xf numFmtId="0" fontId="49" fillId="0" borderId="0" xfId="17" applyFont="1" applyBorder="1"/>
    <xf numFmtId="9" fontId="49" fillId="0" borderId="0" xfId="17" applyNumberFormat="1" applyFont="1" applyBorder="1"/>
    <xf numFmtId="8" fontId="49" fillId="0" borderId="0" xfId="17" applyNumberFormat="1" applyFont="1"/>
    <xf numFmtId="0" fontId="56" fillId="0" borderId="0" xfId="17" applyFont="1"/>
    <xf numFmtId="168" fontId="3" fillId="0" borderId="0" xfId="17" applyNumberFormat="1" applyFont="1" applyAlignment="1">
      <alignment horizontal="right"/>
    </xf>
    <xf numFmtId="8" fontId="58" fillId="0" borderId="0" xfId="17" applyNumberFormat="1" applyFont="1" applyAlignment="1">
      <alignment horizontal="right"/>
    </xf>
    <xf numFmtId="175" fontId="8" fillId="5" borderId="6" xfId="18" applyNumberFormat="1" applyFont="1" applyFill="1" applyBorder="1"/>
    <xf numFmtId="175" fontId="50" fillId="5" borderId="6" xfId="18" applyNumberFormat="1" applyFont="1" applyFill="1" applyBorder="1"/>
    <xf numFmtId="175" fontId="50" fillId="5" borderId="0" xfId="18" applyNumberFormat="1" applyFont="1" applyFill="1" applyBorder="1"/>
    <xf numFmtId="175" fontId="8" fillId="0" borderId="6" xfId="10" applyNumberFormat="1" applyFont="1" applyFill="1" applyBorder="1" applyAlignment="1">
      <alignment horizontal="right"/>
    </xf>
    <xf numFmtId="173" fontId="9" fillId="9" borderId="6" xfId="18" applyNumberFormat="1" applyFont="1" applyFill="1" applyBorder="1"/>
    <xf numFmtId="173" fontId="9" fillId="5" borderId="6" xfId="18" applyNumberFormat="1" applyFont="1" applyFill="1" applyBorder="1"/>
    <xf numFmtId="169" fontId="8" fillId="0" borderId="6" xfId="18" applyNumberFormat="1" applyFont="1" applyFill="1" applyBorder="1"/>
    <xf numFmtId="169" fontId="8" fillId="0" borderId="0" xfId="18" applyNumberFormat="1" applyFont="1" applyFill="1" applyBorder="1"/>
    <xf numFmtId="169" fontId="8" fillId="0" borderId="11" xfId="18" applyNumberFormat="1" applyFont="1" applyFill="1" applyBorder="1"/>
    <xf numFmtId="164" fontId="8" fillId="5" borderId="0" xfId="18" applyNumberFormat="1" applyFont="1" applyFill="1" applyBorder="1"/>
    <xf numFmtId="164" fontId="8" fillId="5" borderId="11" xfId="18" applyNumberFormat="1" applyFont="1" applyFill="1" applyBorder="1"/>
    <xf numFmtId="166" fontId="8" fillId="5" borderId="12" xfId="20" applyNumberFormat="1" applyFont="1" applyFill="1" applyBorder="1" applyAlignment="1" applyProtection="1">
      <alignment horizontal="left" indent="2"/>
      <protection locked="0"/>
    </xf>
    <xf numFmtId="175" fontId="10" fillId="5" borderId="13" xfId="18" applyNumberFormat="1" applyFont="1" applyFill="1" applyBorder="1"/>
    <xf numFmtId="175" fontId="10" fillId="5" borderId="12" xfId="18" applyNumberFormat="1" applyFont="1" applyFill="1" applyBorder="1"/>
    <xf numFmtId="175" fontId="10" fillId="5" borderId="25" xfId="18" applyNumberFormat="1" applyFont="1" applyFill="1" applyBorder="1"/>
    <xf numFmtId="5" fontId="8" fillId="5" borderId="0" xfId="18" applyNumberFormat="1" applyFont="1" applyFill="1" applyBorder="1"/>
    <xf numFmtId="173" fontId="9" fillId="9" borderId="7" xfId="18" applyNumberFormat="1" applyFont="1" applyFill="1" applyBorder="1"/>
    <xf numFmtId="173" fontId="33" fillId="9" borderId="0" xfId="18" applyNumberFormat="1" applyFont="1" applyFill="1"/>
    <xf numFmtId="173" fontId="9" fillId="9" borderId="0" xfId="18" applyNumberFormat="1" applyFont="1" applyFill="1"/>
    <xf numFmtId="173" fontId="9" fillId="9" borderId="11" xfId="18" applyNumberFormat="1" applyFont="1" applyFill="1" applyBorder="1"/>
    <xf numFmtId="5" fontId="8" fillId="9" borderId="0" xfId="18" applyNumberFormat="1" applyFont="1" applyFill="1" applyBorder="1"/>
    <xf numFmtId="164" fontId="26" fillId="9" borderId="6" xfId="18" applyNumberFormat="1" applyFont="1" applyFill="1" applyBorder="1"/>
    <xf numFmtId="164" fontId="26" fillId="9" borderId="0" xfId="18" applyNumberFormat="1" applyFont="1" applyFill="1" applyBorder="1"/>
    <xf numFmtId="175" fontId="26" fillId="9" borderId="6" xfId="18" applyNumberFormat="1" applyFont="1" applyFill="1" applyBorder="1"/>
    <xf numFmtId="180" fontId="10" fillId="9" borderId="6" xfId="18" applyNumberFormat="1" applyFont="1" applyFill="1" applyBorder="1"/>
    <xf numFmtId="180" fontId="10" fillId="9" borderId="0" xfId="18" applyNumberFormat="1" applyFont="1" applyFill="1" applyBorder="1"/>
    <xf numFmtId="175" fontId="9" fillId="9" borderId="9" xfId="18" applyNumberFormat="1" applyFont="1" applyFill="1" applyBorder="1"/>
    <xf numFmtId="164" fontId="26" fillId="9" borderId="13" xfId="18" applyNumberFormat="1" applyFont="1" applyFill="1" applyBorder="1"/>
    <xf numFmtId="164" fontId="26" fillId="9" borderId="12" xfId="18" applyNumberFormat="1" applyFont="1" applyFill="1" applyBorder="1"/>
    <xf numFmtId="164" fontId="26" fillId="9" borderId="7" xfId="18" applyNumberFormat="1" applyFont="1" applyFill="1" applyBorder="1"/>
    <xf numFmtId="166" fontId="10" fillId="9" borderId="6" xfId="18" applyNumberFormat="1" applyFont="1" applyFill="1" applyBorder="1"/>
    <xf numFmtId="166" fontId="8" fillId="0" borderId="6" xfId="22" applyNumberFormat="1" applyFont="1" applyFill="1" applyBorder="1"/>
    <xf numFmtId="175" fontId="50" fillId="9" borderId="0" xfId="10" applyNumberFormat="1" applyFont="1" applyFill="1" applyBorder="1"/>
    <xf numFmtId="175" fontId="50" fillId="5" borderId="6" xfId="10" applyNumberFormat="1" applyFont="1" applyFill="1" applyBorder="1"/>
    <xf numFmtId="5" fontId="8" fillId="9" borderId="6" xfId="18" applyNumberFormat="1" applyFont="1" applyFill="1" applyBorder="1"/>
    <xf numFmtId="176" fontId="8" fillId="5" borderId="6" xfId="18" applyNumberFormat="1" applyFont="1" applyFill="1" applyBorder="1"/>
    <xf numFmtId="176" fontId="50" fillId="5" borderId="0" xfId="18" applyNumberFormat="1" applyFont="1" applyFill="1" applyBorder="1"/>
    <xf numFmtId="165" fontId="58" fillId="0" borderId="0" xfId="11" applyNumberFormat="1" applyFont="1"/>
    <xf numFmtId="5" fontId="49" fillId="0" borderId="0" xfId="11" applyNumberFormat="1" applyFont="1"/>
    <xf numFmtId="5" fontId="59" fillId="0" borderId="0" xfId="11" applyNumberFormat="1" applyFont="1"/>
    <xf numFmtId="6" fontId="59" fillId="0" borderId="0" xfId="11" applyNumberFormat="1" applyFont="1"/>
    <xf numFmtId="6" fontId="4" fillId="0" borderId="0" xfId="11" applyNumberFormat="1" applyFont="1"/>
    <xf numFmtId="6" fontId="4" fillId="0" borderId="15" xfId="17" applyNumberFormat="1" applyFont="1" applyFill="1" applyBorder="1"/>
    <xf numFmtId="6" fontId="4" fillId="0" borderId="16" xfId="17" applyNumberFormat="1" applyFont="1" applyFill="1" applyBorder="1"/>
    <xf numFmtId="166" fontId="21" fillId="0" borderId="0" xfId="22" applyNumberFormat="1" applyFont="1" applyBorder="1"/>
    <xf numFmtId="6" fontId="4" fillId="12" borderId="15" xfId="17" applyNumberFormat="1" applyFont="1" applyFill="1" applyBorder="1" applyAlignment="1"/>
    <xf numFmtId="6" fontId="4" fillId="12" borderId="16" xfId="17" applyNumberFormat="1" applyFont="1" applyFill="1" applyBorder="1" applyAlignment="1"/>
    <xf numFmtId="6" fontId="3" fillId="0" borderId="0" xfId="17" applyNumberFormat="1" applyFont="1" applyAlignment="1"/>
    <xf numFmtId="6" fontId="58" fillId="0" borderId="0" xfId="17" applyNumberFormat="1" applyFont="1" applyAlignment="1"/>
    <xf numFmtId="166" fontId="19" fillId="7" borderId="6" xfId="18" applyNumberFormat="1" applyFont="1" applyFill="1" applyBorder="1"/>
    <xf numFmtId="0" fontId="1" fillId="0" borderId="0" xfId="17" applyFont="1"/>
    <xf numFmtId="8" fontId="58" fillId="0" borderId="0" xfId="11" applyNumberFormat="1" applyFont="1"/>
    <xf numFmtId="8" fontId="58" fillId="0" borderId="0" xfId="17" applyNumberFormat="1" applyFont="1"/>
    <xf numFmtId="173" fontId="21" fillId="0" borderId="6" xfId="10" applyNumberFormat="1" applyFont="1" applyBorder="1"/>
    <xf numFmtId="175" fontId="11" fillId="0" borderId="27" xfId="10" applyNumberFormat="1" applyFont="1" applyFill="1" applyBorder="1"/>
    <xf numFmtId="165" fontId="58" fillId="0" borderId="0" xfId="10" applyNumberFormat="1" applyFont="1" applyFill="1"/>
    <xf numFmtId="168" fontId="49" fillId="0" borderId="0" xfId="17" applyNumberFormat="1" applyFont="1" applyBorder="1" applyAlignment="1">
      <alignment horizontal="right"/>
    </xf>
    <xf numFmtId="168" fontId="49" fillId="0" borderId="11" xfId="17" applyNumberFormat="1" applyFont="1" applyBorder="1" applyAlignment="1">
      <alignment horizontal="right"/>
    </xf>
    <xf numFmtId="0" fontId="49" fillId="0" borderId="27" xfId="17" applyFont="1" applyFill="1" applyBorder="1"/>
    <xf numFmtId="6" fontId="41" fillId="11" borderId="0" xfId="4" applyNumberFormat="1" applyFont="1" applyFill="1" applyAlignment="1">
      <alignment horizontal="left"/>
    </xf>
    <xf numFmtId="166" fontId="8" fillId="0" borderId="0" xfId="18" applyNumberFormat="1" applyFont="1" applyBorder="1"/>
    <xf numFmtId="176" fontId="8" fillId="5" borderId="0" xfId="18" applyNumberFormat="1" applyFont="1" applyFill="1" applyBorder="1"/>
    <xf numFmtId="173" fontId="10" fillId="0" borderId="0" xfId="18" applyNumberFormat="1" applyFont="1" applyFill="1" applyAlignment="1">
      <alignment horizontal="right"/>
    </xf>
    <xf numFmtId="169" fontId="8" fillId="5" borderId="0" xfId="10" applyNumberFormat="1" applyFont="1" applyFill="1" applyBorder="1"/>
    <xf numFmtId="166" fontId="8" fillId="5" borderId="0" xfId="22" applyNumberFormat="1" applyFont="1" applyFill="1" applyBorder="1"/>
    <xf numFmtId="3" fontId="8" fillId="5" borderId="0" xfId="10" applyNumberFormat="1" applyFont="1" applyFill="1" applyBorder="1"/>
    <xf numFmtId="175" fontId="10" fillId="0" borderId="11" xfId="10" applyNumberFormat="1" applyFont="1" applyFill="1" applyBorder="1"/>
    <xf numFmtId="0" fontId="1" fillId="0" borderId="0" xfId="30"/>
    <xf numFmtId="175" fontId="10" fillId="5" borderId="27" xfId="10" applyNumberFormat="1" applyFont="1" applyFill="1" applyBorder="1"/>
    <xf numFmtId="166" fontId="11" fillId="0" borderId="0" xfId="10" applyNumberFormat="1" applyFont="1" applyFill="1" applyBorder="1"/>
    <xf numFmtId="175" fontId="9" fillId="0" borderId="0" xfId="10" applyNumberFormat="1" applyFont="1" applyFill="1" applyBorder="1"/>
    <xf numFmtId="9" fontId="10" fillId="0" borderId="0" xfId="18" applyNumberFormat="1" applyFont="1" applyFill="1" applyBorder="1" applyAlignment="1">
      <alignment horizontal="left" indent="1"/>
    </xf>
    <xf numFmtId="9" fontId="10" fillId="0" borderId="6" xfId="10" applyNumberFormat="1" applyFont="1" applyFill="1" applyBorder="1"/>
    <xf numFmtId="9" fontId="10" fillId="0" borderId="0" xfId="10" applyNumberFormat="1" applyFont="1" applyFill="1" applyBorder="1"/>
    <xf numFmtId="166" fontId="8" fillId="0" borderId="0" xfId="22" applyNumberFormat="1" applyFont="1" applyFill="1" applyBorder="1"/>
    <xf numFmtId="166" fontId="50" fillId="0" borderId="0" xfId="22" applyNumberFormat="1" applyFont="1" applyFill="1" applyBorder="1"/>
    <xf numFmtId="166" fontId="10" fillId="0" borderId="6" xfId="22" applyNumberFormat="1" applyFont="1" applyFill="1" applyBorder="1"/>
    <xf numFmtId="175" fontId="9" fillId="0" borderId="0" xfId="18" applyNumberFormat="1" applyFont="1" applyFill="1" applyBorder="1"/>
    <xf numFmtId="175" fontId="9" fillId="0" borderId="6" xfId="10" applyNumberFormat="1" applyFont="1" applyFill="1" applyBorder="1"/>
    <xf numFmtId="175" fontId="9" fillId="0" borderId="7" xfId="10" applyNumberFormat="1" applyFont="1" applyFill="1" applyBorder="1"/>
    <xf numFmtId="175" fontId="9" fillId="0" borderId="11" xfId="10" applyNumberFormat="1" applyFont="1" applyFill="1" applyBorder="1"/>
    <xf numFmtId="175" fontId="8" fillId="0" borderId="11" xfId="10" applyNumberFormat="1" applyFont="1" applyFill="1" applyBorder="1"/>
    <xf numFmtId="166" fontId="58" fillId="0" borderId="0" xfId="22" applyNumberFormat="1" applyFont="1" applyAlignment="1">
      <alignment horizontal="right"/>
    </xf>
    <xf numFmtId="166" fontId="4" fillId="0" borderId="0" xfId="22" applyNumberFormat="1" applyFont="1"/>
    <xf numFmtId="166" fontId="3" fillId="0" borderId="0" xfId="22" applyNumberFormat="1" applyFont="1" applyFill="1"/>
    <xf numFmtId="166" fontId="4" fillId="0" borderId="0" xfId="11" applyNumberFormat="1" applyFont="1"/>
    <xf numFmtId="166" fontId="3" fillId="0" borderId="0" xfId="11" applyNumberFormat="1" applyFont="1"/>
    <xf numFmtId="166" fontId="4" fillId="0" borderId="0" xfId="11" applyNumberFormat="1" applyFont="1" applyFill="1"/>
    <xf numFmtId="166" fontId="3" fillId="0" borderId="0" xfId="11" applyNumberFormat="1" applyFont="1" applyFill="1"/>
    <xf numFmtId="0" fontId="3" fillId="9" borderId="0" xfId="17" applyNumberFormat="1" applyFont="1" applyFill="1"/>
    <xf numFmtId="9" fontId="3" fillId="0" borderId="0" xfId="22" applyFont="1"/>
    <xf numFmtId="37" fontId="8" fillId="3" borderId="0" xfId="18" applyNumberFormat="1" applyFont="1" applyFill="1"/>
    <xf numFmtId="175" fontId="8" fillId="3" borderId="0" xfId="18" applyNumberFormat="1" applyFont="1" applyFill="1" applyBorder="1" applyAlignment="1">
      <alignment horizontal="left"/>
    </xf>
    <xf numFmtId="0" fontId="8" fillId="3" borderId="0" xfId="18" applyFont="1" applyFill="1" applyAlignment="1"/>
    <xf numFmtId="9" fontId="8" fillId="3" borderId="0" xfId="18" applyNumberFormat="1" applyFont="1" applyFill="1"/>
    <xf numFmtId="6" fontId="8" fillId="3" borderId="0" xfId="10" applyNumberFormat="1" applyFont="1" applyFill="1" applyBorder="1"/>
    <xf numFmtId="10" fontId="8" fillId="3" borderId="0" xfId="18" applyNumberFormat="1" applyFont="1" applyFill="1" applyBorder="1"/>
    <xf numFmtId="180" fontId="8" fillId="3" borderId="0" xfId="18" applyNumberFormat="1" applyFont="1" applyFill="1" applyBorder="1"/>
    <xf numFmtId="165" fontId="8" fillId="3" borderId="0" xfId="10" applyNumberFormat="1" applyFont="1" applyFill="1" applyBorder="1"/>
    <xf numFmtId="164" fontId="8" fillId="3" borderId="0" xfId="18" applyNumberFormat="1" applyFont="1" applyFill="1" applyBorder="1"/>
    <xf numFmtId="9" fontId="8" fillId="3" borderId="0" xfId="10" applyNumberFormat="1" applyFont="1" applyFill="1" applyBorder="1"/>
    <xf numFmtId="5" fontId="8" fillId="3" borderId="0" xfId="18" applyNumberFormat="1" applyFont="1" applyFill="1"/>
    <xf numFmtId="166" fontId="8" fillId="3" borderId="0" xfId="18" applyNumberFormat="1" applyFont="1" applyFill="1" applyBorder="1"/>
    <xf numFmtId="9" fontId="8" fillId="3" borderId="0" xfId="18" applyNumberFormat="1" applyFont="1" applyFill="1" applyBorder="1"/>
    <xf numFmtId="166" fontId="8" fillId="3" borderId="0" xfId="22" applyNumberFormat="1" applyFont="1" applyFill="1" applyBorder="1"/>
    <xf numFmtId="166" fontId="8" fillId="3" borderId="0" xfId="22" applyNumberFormat="1" applyFont="1" applyFill="1"/>
    <xf numFmtId="166" fontId="8" fillId="3" borderId="0" xfId="27" applyNumberFormat="1" applyFont="1" applyFill="1" applyBorder="1"/>
    <xf numFmtId="5" fontId="8" fillId="3" borderId="0" xfId="27" applyNumberFormat="1" applyFont="1" applyFill="1" applyBorder="1"/>
    <xf numFmtId="0" fontId="8" fillId="3" borderId="0" xfId="18" quotePrefix="1" applyFont="1" applyFill="1" applyBorder="1"/>
    <xf numFmtId="7" fontId="8" fillId="3" borderId="0" xfId="18" applyNumberFormat="1" applyFont="1" applyFill="1"/>
    <xf numFmtId="3" fontId="8" fillId="3" borderId="0" xfId="18" applyNumberFormat="1" applyFont="1" applyFill="1" applyBorder="1"/>
    <xf numFmtId="178" fontId="8" fillId="3" borderId="0" xfId="18" applyNumberFormat="1" applyFont="1" applyFill="1" applyBorder="1"/>
    <xf numFmtId="0" fontId="1" fillId="3" borderId="0" xfId="18" applyFont="1" applyFill="1" applyBorder="1"/>
    <xf numFmtId="173" fontId="8" fillId="3" borderId="0" xfId="18" applyNumberFormat="1" applyFont="1" applyFill="1"/>
    <xf numFmtId="175" fontId="8" fillId="3" borderId="0" xfId="10" applyNumberFormat="1" applyFont="1" applyFill="1" applyBorder="1"/>
    <xf numFmtId="9" fontId="8" fillId="3" borderId="0" xfId="22" applyFont="1" applyFill="1" applyBorder="1" applyAlignment="1">
      <alignment horizontal="right"/>
    </xf>
    <xf numFmtId="175" fontId="8" fillId="3" borderId="0" xfId="10" applyNumberFormat="1" applyFont="1" applyFill="1" applyBorder="1" applyAlignment="1">
      <alignment horizontal="right"/>
    </xf>
    <xf numFmtId="173" fontId="8" fillId="3" borderId="0" xfId="10" applyNumberFormat="1" applyFont="1" applyFill="1" applyBorder="1"/>
    <xf numFmtId="166" fontId="8" fillId="3" borderId="0" xfId="10" applyNumberFormat="1" applyFont="1" applyFill="1" applyBorder="1"/>
    <xf numFmtId="3" fontId="8" fillId="3" borderId="0" xfId="10" applyNumberFormat="1" applyFont="1" applyFill="1" applyBorder="1"/>
    <xf numFmtId="175" fontId="8" fillId="3" borderId="0" xfId="18" applyNumberFormat="1" applyFont="1" applyFill="1" applyBorder="1" applyAlignment="1"/>
    <xf numFmtId="0" fontId="8" fillId="3" borderId="0" xfId="0" applyFont="1" applyFill="1"/>
    <xf numFmtId="5" fontId="8" fillId="3" borderId="0" xfId="10" applyNumberFormat="1" applyFont="1" applyFill="1" applyBorder="1"/>
    <xf numFmtId="175" fontId="8" fillId="3" borderId="0" xfId="10" applyNumberFormat="1" applyFont="1" applyFill="1" applyBorder="1" applyAlignment="1"/>
    <xf numFmtId="5" fontId="26" fillId="0" borderId="0" xfId="18" applyNumberFormat="1" applyFont="1" applyFill="1" applyBorder="1"/>
    <xf numFmtId="5" fontId="8" fillId="0" borderId="0" xfId="18" applyNumberFormat="1" applyFont="1" applyFill="1" applyBorder="1"/>
    <xf numFmtId="5" fontId="10" fillId="0" borderId="0" xfId="18" applyNumberFormat="1" applyFont="1" applyFill="1"/>
    <xf numFmtId="173" fontId="9" fillId="0" borderId="0" xfId="18" applyNumberFormat="1" applyFont="1" applyFill="1" applyBorder="1"/>
    <xf numFmtId="0" fontId="8" fillId="3" borderId="0" xfId="18" applyFont="1" applyFill="1" applyBorder="1" applyAlignment="1">
      <alignment horizontal="right"/>
    </xf>
    <xf numFmtId="0" fontId="8" fillId="3" borderId="0" xfId="18" applyFont="1" applyFill="1" applyAlignment="1">
      <alignment horizontal="right"/>
    </xf>
    <xf numFmtId="9" fontId="8" fillId="3" borderId="0" xfId="18" applyNumberFormat="1" applyFont="1" applyFill="1" applyBorder="1" applyAlignment="1">
      <alignment horizontal="center"/>
    </xf>
    <xf numFmtId="9" fontId="8" fillId="3" borderId="0" xfId="18" applyNumberFormat="1" applyFont="1" applyFill="1" applyAlignment="1">
      <alignment horizontal="center"/>
    </xf>
    <xf numFmtId="0" fontId="61" fillId="3" borderId="0" xfId="18" applyFont="1" applyFill="1" applyAlignment="1">
      <alignment horizontal="center"/>
    </xf>
    <xf numFmtId="166" fontId="8" fillId="3" borderId="0" xfId="18" applyNumberFormat="1" applyFont="1" applyFill="1" applyBorder="1" applyAlignment="1">
      <alignment horizontal="right"/>
    </xf>
    <xf numFmtId="172" fontId="8" fillId="0" borderId="0" xfId="18" applyNumberFormat="1" applyFont="1" applyFill="1" applyBorder="1"/>
    <xf numFmtId="172" fontId="8" fillId="0" borderId="11" xfId="18" applyNumberFormat="1" applyFont="1" applyFill="1" applyBorder="1"/>
    <xf numFmtId="164" fontId="21" fillId="0" borderId="0" xfId="18" applyNumberFormat="1" applyFont="1" applyFill="1" applyBorder="1"/>
    <xf numFmtId="164" fontId="21" fillId="0" borderId="11" xfId="18" applyNumberFormat="1" applyFont="1" applyFill="1" applyBorder="1"/>
    <xf numFmtId="166" fontId="8" fillId="5" borderId="8" xfId="18" applyNumberFormat="1" applyFont="1" applyFill="1" applyBorder="1"/>
    <xf numFmtId="166" fontId="8" fillId="5" borderId="10" xfId="18" applyNumberFormat="1" applyFont="1" applyFill="1" applyBorder="1"/>
    <xf numFmtId="164" fontId="8" fillId="0" borderId="0" xfId="18" applyNumberFormat="1" applyFont="1" applyFill="1" applyBorder="1"/>
    <xf numFmtId="164" fontId="8" fillId="0" borderId="11" xfId="18" applyNumberFormat="1" applyFont="1" applyFill="1" applyBorder="1"/>
    <xf numFmtId="5" fontId="8" fillId="5" borderId="11" xfId="18" applyNumberFormat="1" applyFont="1" applyFill="1" applyBorder="1"/>
    <xf numFmtId="166" fontId="8" fillId="5" borderId="0" xfId="18" applyNumberFormat="1" applyFont="1" applyFill="1" applyBorder="1"/>
    <xf numFmtId="166" fontId="8" fillId="5" borderId="11" xfId="18" applyNumberFormat="1" applyFont="1" applyFill="1" applyBorder="1"/>
    <xf numFmtId="5" fontId="50" fillId="5" borderId="0" xfId="18" applyNumberFormat="1" applyFont="1" applyFill="1" applyBorder="1"/>
    <xf numFmtId="5" fontId="50" fillId="5" borderId="11" xfId="18" applyNumberFormat="1" applyFont="1" applyFill="1" applyBorder="1"/>
    <xf numFmtId="164" fontId="9" fillId="3" borderId="27" xfId="18" applyNumberFormat="1" applyFont="1" applyFill="1" applyBorder="1"/>
    <xf numFmtId="176" fontId="10" fillId="0" borderId="27" xfId="18" applyNumberFormat="1" applyFont="1" applyBorder="1"/>
    <xf numFmtId="176" fontId="10" fillId="0" borderId="11" xfId="18" applyNumberFormat="1" applyFont="1" applyBorder="1"/>
    <xf numFmtId="164" fontId="21" fillId="0" borderId="27" xfId="18" applyNumberFormat="1" applyFont="1" applyBorder="1"/>
    <xf numFmtId="164" fontId="21" fillId="0" borderId="11" xfId="18" applyNumberFormat="1" applyFont="1" applyBorder="1"/>
    <xf numFmtId="5" fontId="9" fillId="0" borderId="27" xfId="18" applyNumberFormat="1" applyFont="1" applyBorder="1"/>
    <xf numFmtId="164" fontId="26" fillId="5" borderId="27" xfId="18" applyNumberFormat="1" applyFont="1" applyFill="1" applyBorder="1"/>
    <xf numFmtId="5" fontId="9" fillId="0" borderId="27" xfId="18" applyNumberFormat="1" applyFont="1" applyFill="1" applyBorder="1"/>
    <xf numFmtId="5" fontId="9" fillId="0" borderId="11" xfId="18" applyNumberFormat="1" applyFont="1" applyFill="1" applyBorder="1"/>
    <xf numFmtId="166" fontId="10" fillId="0" borderId="27" xfId="18" applyNumberFormat="1" applyFont="1" applyFill="1" applyBorder="1"/>
    <xf numFmtId="166" fontId="10" fillId="0" borderId="11" xfId="18" applyNumberFormat="1" applyFont="1" applyFill="1" applyBorder="1"/>
    <xf numFmtId="166" fontId="11" fillId="0" borderId="27" xfId="18" applyNumberFormat="1" applyFont="1" applyBorder="1"/>
    <xf numFmtId="5" fontId="38" fillId="9" borderId="27" xfId="18" applyNumberFormat="1" applyFont="1" applyFill="1" applyBorder="1"/>
    <xf numFmtId="5" fontId="38" fillId="9" borderId="0" xfId="18" applyNumberFormat="1" applyFont="1" applyFill="1" applyBorder="1"/>
    <xf numFmtId="5" fontId="38" fillId="9" borderId="11" xfId="18" applyNumberFormat="1" applyFont="1" applyFill="1" applyBorder="1"/>
    <xf numFmtId="166" fontId="9" fillId="0" borderId="27" xfId="18" applyNumberFormat="1" applyFont="1" applyFill="1" applyBorder="1"/>
    <xf numFmtId="166" fontId="9" fillId="0" borderId="0" xfId="18" applyNumberFormat="1" applyFont="1" applyFill="1" applyBorder="1"/>
    <xf numFmtId="166" fontId="9" fillId="0" borderId="11" xfId="18" applyNumberFormat="1" applyFont="1" applyFill="1" applyBorder="1"/>
    <xf numFmtId="169" fontId="11" fillId="0" borderId="27" xfId="18" applyNumberFormat="1" applyFont="1" applyFill="1" applyBorder="1"/>
    <xf numFmtId="166" fontId="22" fillId="0" borderId="26" xfId="18" applyNumberFormat="1" applyFont="1" applyBorder="1"/>
    <xf numFmtId="164" fontId="11" fillId="0" borderId="27" xfId="18" applyNumberFormat="1" applyFont="1" applyFill="1" applyBorder="1"/>
    <xf numFmtId="164" fontId="29" fillId="0" borderId="27" xfId="18" applyNumberFormat="1" applyFont="1" applyFill="1" applyBorder="1"/>
    <xf numFmtId="164" fontId="8" fillId="5" borderId="27" xfId="18" applyNumberFormat="1" applyFont="1" applyFill="1" applyBorder="1"/>
    <xf numFmtId="166" fontId="9" fillId="0" borderId="27" xfId="18" applyNumberFormat="1" applyFont="1" applyBorder="1"/>
    <xf numFmtId="169" fontId="8" fillId="0" borderId="27" xfId="18" applyNumberFormat="1" applyFont="1" applyFill="1" applyBorder="1"/>
    <xf numFmtId="175" fontId="10" fillId="0" borderId="27" xfId="18" applyNumberFormat="1" applyFont="1" applyBorder="1"/>
    <xf numFmtId="164" fontId="11" fillId="5" borderId="27" xfId="18" applyNumberFormat="1" applyFont="1" applyFill="1" applyBorder="1"/>
    <xf numFmtId="3" fontId="10" fillId="0" borderId="27" xfId="18" applyNumberFormat="1" applyFont="1" applyBorder="1"/>
    <xf numFmtId="175" fontId="26" fillId="0" borderId="27" xfId="10" applyNumberFormat="1" applyFont="1" applyBorder="1"/>
    <xf numFmtId="175" fontId="26" fillId="0" borderId="11" xfId="10" applyNumberFormat="1" applyFont="1" applyBorder="1"/>
    <xf numFmtId="175" fontId="8" fillId="0" borderId="27" xfId="18" applyNumberFormat="1" applyFont="1" applyFill="1" applyBorder="1"/>
    <xf numFmtId="5" fontId="9" fillId="5" borderId="27" xfId="10" applyNumberFormat="1" applyFont="1" applyFill="1" applyBorder="1"/>
    <xf numFmtId="5" fontId="9" fillId="5" borderId="11" xfId="10" applyNumberFormat="1" applyFont="1" applyFill="1" applyBorder="1"/>
    <xf numFmtId="164" fontId="10" fillId="0" borderId="27" xfId="18" applyNumberFormat="1" applyFont="1" applyFill="1" applyBorder="1"/>
    <xf numFmtId="164" fontId="10" fillId="5" borderId="27" xfId="18" applyNumberFormat="1" applyFont="1" applyFill="1" applyBorder="1"/>
    <xf numFmtId="164" fontId="10" fillId="5" borderId="11" xfId="18" applyNumberFormat="1" applyFont="1" applyFill="1" applyBorder="1"/>
    <xf numFmtId="7" fontId="33" fillId="5" borderId="20" xfId="18" applyNumberFormat="1" applyFont="1" applyFill="1" applyBorder="1"/>
    <xf numFmtId="7" fontId="33" fillId="5" borderId="16" xfId="18" applyNumberFormat="1" applyFont="1" applyFill="1" applyBorder="1"/>
    <xf numFmtId="5" fontId="10" fillId="5" borderId="27" xfId="18" applyNumberFormat="1" applyFont="1" applyFill="1" applyBorder="1"/>
    <xf numFmtId="5" fontId="10" fillId="5" borderId="11" xfId="18" applyNumberFormat="1" applyFont="1" applyFill="1" applyBorder="1"/>
    <xf numFmtId="175" fontId="50" fillId="9" borderId="27" xfId="10" applyNumberFormat="1" applyFont="1" applyFill="1" applyBorder="1"/>
    <xf numFmtId="175" fontId="50" fillId="9" borderId="11" xfId="10" applyNumberFormat="1" applyFont="1" applyFill="1" applyBorder="1"/>
    <xf numFmtId="175" fontId="33" fillId="5" borderId="27" xfId="18" applyNumberFormat="1" applyFont="1" applyFill="1" applyBorder="1"/>
    <xf numFmtId="175" fontId="33" fillId="5" borderId="11" xfId="18" applyNumberFormat="1" applyFont="1" applyFill="1" applyBorder="1"/>
    <xf numFmtId="173" fontId="10" fillId="5" borderId="27" xfId="18" applyNumberFormat="1" applyFont="1" applyFill="1" applyBorder="1"/>
    <xf numFmtId="175" fontId="26" fillId="3" borderId="27" xfId="18" applyNumberFormat="1" applyFont="1" applyFill="1" applyBorder="1"/>
    <xf numFmtId="176" fontId="26" fillId="5" borderId="27" xfId="18" applyNumberFormat="1" applyFont="1" applyFill="1" applyBorder="1"/>
    <xf numFmtId="176" fontId="50" fillId="5" borderId="27" xfId="18" applyNumberFormat="1" applyFont="1" applyFill="1" applyBorder="1"/>
    <xf numFmtId="176" fontId="50" fillId="5" borderId="11" xfId="18" applyNumberFormat="1" applyFont="1" applyFill="1" applyBorder="1"/>
    <xf numFmtId="169" fontId="10" fillId="0" borderId="27" xfId="10" applyNumberFormat="1" applyFont="1" applyFill="1" applyBorder="1"/>
    <xf numFmtId="169" fontId="9" fillId="0" borderId="27" xfId="10" applyNumberFormat="1" applyFont="1" applyFill="1" applyBorder="1"/>
    <xf numFmtId="166" fontId="11" fillId="0" borderId="27" xfId="18" applyNumberFormat="1" applyFont="1" applyFill="1" applyBorder="1"/>
    <xf numFmtId="173" fontId="8" fillId="9" borderId="27" xfId="18" applyNumberFormat="1" applyFont="1" applyFill="1" applyBorder="1"/>
    <xf numFmtId="173" fontId="8" fillId="9" borderId="0" xfId="18" applyNumberFormat="1" applyFont="1" applyFill="1" applyBorder="1"/>
    <xf numFmtId="173" fontId="8" fillId="9" borderId="11" xfId="18" applyNumberFormat="1" applyFont="1" applyFill="1" applyBorder="1"/>
    <xf numFmtId="166" fontId="50" fillId="0" borderId="27" xfId="22" applyNumberFormat="1" applyFont="1" applyFill="1" applyBorder="1"/>
    <xf numFmtId="166" fontId="50" fillId="0" borderId="11" xfId="22" applyNumberFormat="1" applyFont="1" applyFill="1" applyBorder="1"/>
    <xf numFmtId="166" fontId="8" fillId="0" borderId="0" xfId="10" applyNumberFormat="1" applyFont="1"/>
    <xf numFmtId="10" fontId="8" fillId="3" borderId="0" xfId="22" applyNumberFormat="1" applyFont="1" applyFill="1" applyBorder="1"/>
    <xf numFmtId="164" fontId="21" fillId="0" borderId="27" xfId="18" applyNumberFormat="1" applyFont="1" applyFill="1" applyBorder="1"/>
    <xf numFmtId="175" fontId="8" fillId="3" borderId="0" xfId="18" applyNumberFormat="1" applyFont="1" applyFill="1" applyBorder="1" applyAlignment="1">
      <alignment horizontal="center"/>
    </xf>
    <xf numFmtId="0" fontId="61" fillId="3" borderId="0" xfId="18" applyNumberFormat="1" applyFont="1" applyFill="1" applyBorder="1" applyAlignment="1">
      <alignment horizontal="center"/>
    </xf>
    <xf numFmtId="10" fontId="8" fillId="3" borderId="0" xfId="22" applyNumberFormat="1" applyFont="1" applyFill="1" applyBorder="1" applyAlignment="1">
      <alignment horizontal="center"/>
    </xf>
    <xf numFmtId="5" fontId="8" fillId="3" borderId="0" xfId="18" applyNumberFormat="1" applyFont="1" applyFill="1" applyBorder="1" applyAlignment="1">
      <alignment horizontal="center"/>
    </xf>
    <xf numFmtId="0" fontId="11" fillId="5" borderId="27" xfId="18" applyFont="1" applyFill="1" applyBorder="1"/>
    <xf numFmtId="173" fontId="61" fillId="3" borderId="0" xfId="18" applyNumberFormat="1" applyFont="1" applyFill="1" applyBorder="1" applyAlignment="1">
      <alignment horizontal="center"/>
    </xf>
    <xf numFmtId="0" fontId="63" fillId="3" borderId="0" xfId="18" applyFont="1" applyFill="1"/>
    <xf numFmtId="0" fontId="64" fillId="3" borderId="0" xfId="18" applyNumberFormat="1" applyFont="1" applyFill="1" applyBorder="1" applyAlignment="1">
      <alignment horizontal="center"/>
    </xf>
    <xf numFmtId="0" fontId="63" fillId="3" borderId="0" xfId="18" applyFont="1" applyFill="1" applyBorder="1"/>
    <xf numFmtId="5" fontId="63" fillId="3" borderId="0" xfId="18" applyNumberFormat="1" applyFont="1" applyFill="1"/>
    <xf numFmtId="175" fontId="63" fillId="3" borderId="0" xfId="18" applyNumberFormat="1" applyFont="1" applyFill="1" applyBorder="1" applyAlignment="1">
      <alignment horizontal="center"/>
    </xf>
    <xf numFmtId="175" fontId="63" fillId="3" borderId="0" xfId="18" applyNumberFormat="1" applyFont="1" applyFill="1" applyBorder="1"/>
    <xf numFmtId="176" fontId="63" fillId="3" borderId="0" xfId="18" applyNumberFormat="1" applyFont="1" applyFill="1" applyBorder="1"/>
    <xf numFmtId="175" fontId="63" fillId="3" borderId="0" xfId="10" applyNumberFormat="1" applyFont="1" applyFill="1" applyBorder="1"/>
    <xf numFmtId="5" fontId="63" fillId="3" borderId="0" xfId="18" applyNumberFormat="1" applyFont="1" applyFill="1" applyBorder="1"/>
    <xf numFmtId="5" fontId="63" fillId="3" borderId="0" xfId="18" applyNumberFormat="1" applyFont="1" applyFill="1" applyBorder="1" applyAlignment="1">
      <alignment horizontal="center"/>
    </xf>
    <xf numFmtId="165" fontId="27" fillId="3" borderId="6" xfId="10" applyNumberFormat="1" applyFont="1" applyFill="1" applyBorder="1"/>
    <xf numFmtId="166" fontId="19" fillId="6" borderId="6" xfId="18" applyNumberFormat="1" applyFont="1" applyFill="1" applyBorder="1"/>
    <xf numFmtId="165" fontId="19" fillId="6" borderId="6" xfId="10" applyNumberFormat="1" applyFont="1" applyFill="1" applyBorder="1"/>
    <xf numFmtId="9" fontId="1" fillId="0" borderId="0" xfId="17" quotePrefix="1" applyNumberFormat="1" applyFont="1" applyFill="1" applyAlignment="1">
      <alignment horizontal="right"/>
    </xf>
    <xf numFmtId="175" fontId="8" fillId="3" borderId="0" xfId="18" quotePrefix="1" applyNumberFormat="1" applyFont="1" applyFill="1" applyBorder="1" applyAlignment="1">
      <alignment horizontal="center"/>
    </xf>
    <xf numFmtId="175" fontId="8" fillId="3" borderId="0" xfId="10" applyNumberFormat="1" applyFont="1" applyFill="1"/>
    <xf numFmtId="175" fontId="63" fillId="3" borderId="0" xfId="18" applyNumberFormat="1" applyFont="1" applyFill="1" applyBorder="1" applyAlignment="1">
      <alignment horizontal="right"/>
    </xf>
    <xf numFmtId="175" fontId="8" fillId="3" borderId="0" xfId="18" applyNumberFormat="1" applyFont="1" applyFill="1" applyBorder="1" applyAlignment="1">
      <alignment horizontal="right"/>
    </xf>
    <xf numFmtId="5" fontId="8" fillId="3" borderId="0" xfId="10" applyNumberFormat="1" applyFont="1" applyFill="1" applyBorder="1" applyAlignment="1">
      <alignment horizontal="right"/>
    </xf>
    <xf numFmtId="0" fontId="65" fillId="0" borderId="0" xfId="17" applyFont="1" applyAlignment="1">
      <alignment horizontal="center"/>
    </xf>
    <xf numFmtId="9" fontId="65" fillId="0" borderId="0" xfId="22" applyFont="1" applyAlignment="1">
      <alignment horizontal="center"/>
    </xf>
    <xf numFmtId="0" fontId="66" fillId="3" borderId="0" xfId="10" applyNumberFormat="1" applyFont="1" applyFill="1" applyAlignment="1">
      <alignment horizontal="center"/>
    </xf>
    <xf numFmtId="0" fontId="66" fillId="3" borderId="0" xfId="10" applyNumberFormat="1" applyFont="1" applyFill="1" applyBorder="1" applyAlignment="1">
      <alignment horizontal="center"/>
    </xf>
    <xf numFmtId="185" fontId="8" fillId="3" borderId="0" xfId="18" applyNumberFormat="1" applyFont="1" applyFill="1" applyAlignment="1">
      <alignment horizontal="center"/>
    </xf>
    <xf numFmtId="184" fontId="8" fillId="3" borderId="0" xfId="33" applyNumberFormat="1" applyFont="1" applyFill="1" applyAlignment="1">
      <alignment horizontal="center"/>
    </xf>
    <xf numFmtId="184" fontId="8" fillId="3" borderId="0" xfId="33" applyNumberFormat="1" applyFont="1" applyFill="1" applyBorder="1"/>
    <xf numFmtId="166" fontId="9" fillId="3" borderId="0" xfId="22" applyNumberFormat="1" applyFont="1" applyFill="1" applyBorder="1"/>
    <xf numFmtId="186" fontId="20" fillId="6" borderId="5" xfId="18" applyNumberFormat="1" applyFont="1" applyFill="1" applyBorder="1" applyAlignment="1">
      <alignment horizontal="center"/>
    </xf>
    <xf numFmtId="175" fontId="10" fillId="0" borderId="6" xfId="18" applyNumberFormat="1" applyFont="1" applyFill="1" applyBorder="1"/>
    <xf numFmtId="175" fontId="9" fillId="13" borderId="6" xfId="18" applyNumberFormat="1" applyFont="1" applyFill="1" applyBorder="1"/>
    <xf numFmtId="5" fontId="26" fillId="0" borderId="6" xfId="18" applyNumberFormat="1" applyFont="1" applyFill="1" applyBorder="1"/>
    <xf numFmtId="5" fontId="8" fillId="0" borderId="6" xfId="18" applyNumberFormat="1" applyFont="1" applyFill="1" applyBorder="1"/>
    <xf numFmtId="175" fontId="8" fillId="5" borderId="27" xfId="18" applyNumberFormat="1" applyFont="1" applyFill="1" applyBorder="1"/>
    <xf numFmtId="187" fontId="8" fillId="3" borderId="0" xfId="18" applyNumberFormat="1" applyFont="1" applyFill="1" applyBorder="1"/>
    <xf numFmtId="6" fontId="8" fillId="3" borderId="0" xfId="18" applyNumberFormat="1" applyFont="1" applyFill="1" applyBorder="1"/>
    <xf numFmtId="166" fontId="26" fillId="0" borderId="0" xfId="18" applyNumberFormat="1" applyFont="1" applyFill="1"/>
    <xf numFmtId="173" fontId="9" fillId="0" borderId="11" xfId="18" applyNumberFormat="1" applyFont="1" applyFill="1" applyBorder="1"/>
    <xf numFmtId="175" fontId="9" fillId="0" borderId="9" xfId="18" applyNumberFormat="1" applyFont="1" applyFill="1" applyBorder="1"/>
    <xf numFmtId="164" fontId="11" fillId="0" borderId="6" xfId="18" applyNumberFormat="1" applyFont="1" applyFill="1" applyBorder="1"/>
    <xf numFmtId="164" fontId="26" fillId="0" borderId="6" xfId="18" applyNumberFormat="1" applyFont="1" applyFill="1" applyBorder="1"/>
    <xf numFmtId="175" fontId="8" fillId="0" borderId="6" xfId="18" applyNumberFormat="1" applyFont="1" applyFill="1" applyBorder="1"/>
    <xf numFmtId="175" fontId="10" fillId="0" borderId="25" xfId="18" applyNumberFormat="1" applyFont="1" applyFill="1" applyBorder="1"/>
    <xf numFmtId="175" fontId="26" fillId="5" borderId="27" xfId="18" applyNumberFormat="1" applyFont="1" applyFill="1" applyBorder="1"/>
    <xf numFmtId="186" fontId="9" fillId="14" borderId="5" xfId="18" applyNumberFormat="1" applyFont="1" applyFill="1" applyBorder="1" applyAlignment="1">
      <alignment horizontal="center" wrapText="1"/>
    </xf>
    <xf numFmtId="184" fontId="10" fillId="0" borderId="0" xfId="33" applyNumberFormat="1" applyFont="1"/>
    <xf numFmtId="0" fontId="8" fillId="5" borderId="0" xfId="27" applyFont="1" applyFill="1" applyBorder="1"/>
    <xf numFmtId="175" fontId="9" fillId="0" borderId="11" xfId="18" applyNumberFormat="1" applyFont="1" applyFill="1" applyBorder="1"/>
    <xf numFmtId="175" fontId="9" fillId="0" borderId="6" xfId="18" applyNumberFormat="1" applyFont="1" applyFill="1" applyBorder="1"/>
    <xf numFmtId="175" fontId="9" fillId="0" borderId="27" xfId="18" applyNumberFormat="1" applyFont="1" applyFill="1" applyBorder="1"/>
    <xf numFmtId="166" fontId="8" fillId="0" borderId="0" xfId="10" applyNumberFormat="1" applyFont="1" applyFill="1"/>
    <xf numFmtId="9" fontId="8" fillId="0" borderId="0" xfId="10" applyNumberFormat="1" applyFont="1" applyFill="1"/>
    <xf numFmtId="9" fontId="26" fillId="0" borderId="6" xfId="10" applyNumberFormat="1" applyFont="1" applyFill="1" applyBorder="1"/>
    <xf numFmtId="9" fontId="50" fillId="0" borderId="27" xfId="10" applyNumberFormat="1" applyFont="1" applyFill="1" applyBorder="1"/>
    <xf numFmtId="9" fontId="50" fillId="0" borderId="0" xfId="10" applyNumberFormat="1" applyFont="1" applyFill="1" applyBorder="1"/>
    <xf numFmtId="9" fontId="50" fillId="0" borderId="11" xfId="10" applyNumberFormat="1" applyFont="1" applyFill="1" applyBorder="1"/>
    <xf numFmtId="9" fontId="11" fillId="0" borderId="7" xfId="10" applyNumberFormat="1" applyFont="1" applyFill="1" applyBorder="1"/>
    <xf numFmtId="9" fontId="11" fillId="0" borderId="0" xfId="10" applyNumberFormat="1" applyFont="1" applyFill="1" applyBorder="1"/>
    <xf numFmtId="9" fontId="11" fillId="0" borderId="0" xfId="10" applyNumberFormat="1" applyFont="1" applyFill="1"/>
    <xf numFmtId="9" fontId="11" fillId="0" borderId="6" xfId="10" applyNumberFormat="1" applyFont="1" applyFill="1" applyBorder="1"/>
    <xf numFmtId="175" fontId="10" fillId="0" borderId="27" xfId="10" applyNumberFormat="1" applyFont="1" applyFill="1" applyBorder="1"/>
    <xf numFmtId="7" fontId="5" fillId="0" borderId="15" xfId="18" applyNumberFormat="1" applyFont="1" applyFill="1" applyBorder="1"/>
    <xf numFmtId="7" fontId="4" fillId="0" borderId="15" xfId="18" applyNumberFormat="1" applyFont="1" applyFill="1" applyBorder="1"/>
    <xf numFmtId="7" fontId="4" fillId="0" borderId="4" xfId="18" applyNumberFormat="1" applyFont="1" applyFill="1" applyBorder="1"/>
    <xf numFmtId="7" fontId="5" fillId="0" borderId="20" xfId="18" applyNumberFormat="1" applyFont="1" applyFill="1" applyBorder="1"/>
    <xf numFmtId="7" fontId="5" fillId="0" borderId="16" xfId="18" applyNumberFormat="1" applyFont="1" applyFill="1" applyBorder="1"/>
    <xf numFmtId="7" fontId="4" fillId="0" borderId="0" xfId="18" applyNumberFormat="1" applyFont="1" applyFill="1" applyBorder="1"/>
    <xf numFmtId="7" fontId="4" fillId="0" borderId="11" xfId="18" applyNumberFormat="1" applyFont="1" applyFill="1" applyBorder="1"/>
    <xf numFmtId="164" fontId="10" fillId="0" borderId="6" xfId="18" applyNumberFormat="1" applyFont="1" applyFill="1" applyBorder="1"/>
    <xf numFmtId="7" fontId="33" fillId="0" borderId="15" xfId="18" applyNumberFormat="1" applyFont="1" applyFill="1" applyBorder="1"/>
    <xf numFmtId="7" fontId="9" fillId="0" borderId="4" xfId="18" applyNumberFormat="1" applyFont="1" applyFill="1" applyBorder="1"/>
    <xf numFmtId="7" fontId="33" fillId="0" borderId="20" xfId="18" applyNumberFormat="1" applyFont="1" applyFill="1" applyBorder="1"/>
    <xf numFmtId="7" fontId="33" fillId="0" borderId="16" xfId="18" applyNumberFormat="1" applyFont="1" applyFill="1" applyBorder="1"/>
    <xf numFmtId="7" fontId="9" fillId="0" borderId="0" xfId="18" applyNumberFormat="1" applyFont="1" applyFill="1" applyBorder="1"/>
    <xf numFmtId="7" fontId="9" fillId="0" borderId="11" xfId="18" applyNumberFormat="1" applyFont="1" applyFill="1" applyBorder="1"/>
    <xf numFmtId="175" fontId="33" fillId="0" borderId="0" xfId="18" applyNumberFormat="1" applyFont="1" applyFill="1" applyBorder="1"/>
    <xf numFmtId="44" fontId="8" fillId="3" borderId="0" xfId="33" applyFont="1" applyFill="1"/>
    <xf numFmtId="37" fontId="9" fillId="3" borderId="0" xfId="18" applyNumberFormat="1" applyFont="1" applyFill="1"/>
    <xf numFmtId="37" fontId="9" fillId="3" borderId="0" xfId="18" applyNumberFormat="1" applyFont="1" applyFill="1" applyAlignment="1">
      <alignment horizontal="right"/>
    </xf>
    <xf numFmtId="188" fontId="9" fillId="3" borderId="6" xfId="18" applyNumberFormat="1" applyFont="1" applyFill="1" applyBorder="1"/>
    <xf numFmtId="173" fontId="9" fillId="3" borderId="0" xfId="18" applyNumberFormat="1" applyFont="1" applyFill="1" applyBorder="1"/>
    <xf numFmtId="37" fontId="67" fillId="3" borderId="0" xfId="18" applyNumberFormat="1" applyFont="1" applyFill="1"/>
    <xf numFmtId="37" fontId="67" fillId="3" borderId="0" xfId="18" applyNumberFormat="1" applyFont="1" applyFill="1" applyAlignment="1">
      <alignment horizontal="right"/>
    </xf>
    <xf numFmtId="175" fontId="67" fillId="3" borderId="0" xfId="18" applyNumberFormat="1" applyFont="1" applyFill="1" applyBorder="1"/>
    <xf numFmtId="166" fontId="10" fillId="0" borderId="0" xfId="10" applyNumberFormat="1" applyFont="1" applyFill="1" applyBorder="1"/>
    <xf numFmtId="5" fontId="3" fillId="0" borderId="0" xfId="17" applyNumberFormat="1" applyFont="1"/>
    <xf numFmtId="0" fontId="68" fillId="0" borderId="0" xfId="17" applyNumberFormat="1" applyFont="1" applyFill="1"/>
    <xf numFmtId="7" fontId="3" fillId="0" borderId="0" xfId="17" applyNumberFormat="1" applyFont="1"/>
    <xf numFmtId="175" fontId="9" fillId="3" borderId="0" xfId="18" applyNumberFormat="1" applyFont="1" applyFill="1" applyBorder="1" applyAlignment="1">
      <alignment horizontal="left" indent="1"/>
    </xf>
    <xf numFmtId="178" fontId="9" fillId="3" borderId="0" xfId="18" applyNumberFormat="1" applyFont="1" applyFill="1" applyBorder="1" applyAlignment="1">
      <alignment horizontal="left" indent="1"/>
    </xf>
    <xf numFmtId="180" fontId="8" fillId="3" borderId="0" xfId="18" applyNumberFormat="1" applyFont="1" applyFill="1" applyBorder="1" applyAlignment="1">
      <alignment horizontal="center"/>
    </xf>
    <xf numFmtId="5" fontId="8" fillId="3" borderId="0" xfId="33" applyNumberFormat="1" applyFont="1" applyFill="1" applyAlignment="1">
      <alignment horizontal="center"/>
    </xf>
    <xf numFmtId="166" fontId="8" fillId="3" borderId="0" xfId="22" applyNumberFormat="1" applyFont="1" applyFill="1" applyAlignment="1">
      <alignment horizontal="center"/>
    </xf>
    <xf numFmtId="0" fontId="66" fillId="3" borderId="0" xfId="18" applyNumberFormat="1" applyFont="1" applyFill="1" applyBorder="1" applyAlignment="1">
      <alignment horizontal="right"/>
    </xf>
    <xf numFmtId="173" fontId="8" fillId="3" borderId="0" xfId="18" applyNumberFormat="1" applyFont="1" applyFill="1" applyBorder="1" applyAlignment="1">
      <alignment horizontal="center"/>
    </xf>
    <xf numFmtId="0" fontId="8" fillId="3" borderId="0" xfId="0" applyFont="1" applyFill="1" applyAlignment="1">
      <alignment horizontal="right"/>
    </xf>
    <xf numFmtId="166" fontId="66" fillId="3" borderId="0" xfId="18" applyNumberFormat="1" applyFont="1" applyFill="1" applyAlignment="1">
      <alignment horizontal="center"/>
    </xf>
    <xf numFmtId="37" fontId="66" fillId="3" borderId="0" xfId="18" applyNumberFormat="1" applyFont="1" applyFill="1" applyAlignment="1">
      <alignment horizontal="center"/>
    </xf>
    <xf numFmtId="0" fontId="9" fillId="3" borderId="0" xfId="0" applyFont="1" applyFill="1" applyAlignment="1">
      <alignment horizontal="right"/>
    </xf>
    <xf numFmtId="175" fontId="8" fillId="3" borderId="0" xfId="18" applyNumberFormat="1" applyFont="1" applyFill="1" applyAlignment="1">
      <alignment horizontal="center"/>
    </xf>
    <xf numFmtId="175" fontId="9" fillId="3" borderId="0" xfId="18" applyNumberFormat="1" applyFont="1" applyFill="1" applyBorder="1" applyAlignment="1">
      <alignment horizontal="right"/>
    </xf>
    <xf numFmtId="0" fontId="9" fillId="3" borderId="0" xfId="18" applyFont="1" applyFill="1" applyBorder="1" applyAlignment="1">
      <alignment horizontal="right"/>
    </xf>
    <xf numFmtId="9" fontId="1" fillId="0" borderId="0" xfId="17" applyNumberFormat="1" applyFont="1" applyFill="1"/>
    <xf numFmtId="8" fontId="63" fillId="3" borderId="0" xfId="18" applyNumberFormat="1" applyFont="1" applyFill="1"/>
    <xf numFmtId="0" fontId="3" fillId="0" borderId="0" xfId="22" applyNumberFormat="1" applyFont="1" applyFill="1"/>
    <xf numFmtId="165" fontId="8" fillId="0" borderId="0" xfId="10" applyNumberFormat="1" applyFont="1" applyFill="1" applyBorder="1"/>
    <xf numFmtId="165" fontId="8" fillId="0" borderId="11" xfId="10" applyNumberFormat="1" applyFont="1" applyFill="1" applyBorder="1"/>
    <xf numFmtId="169" fontId="8" fillId="5" borderId="6" xfId="10" applyNumberFormat="1" applyFont="1" applyFill="1" applyBorder="1"/>
    <xf numFmtId="5" fontId="8" fillId="5" borderId="6" xfId="18" applyNumberFormat="1" applyFont="1" applyFill="1" applyBorder="1"/>
    <xf numFmtId="175" fontId="8" fillId="3" borderId="0" xfId="10" applyNumberFormat="1" applyFont="1" applyFill="1" applyAlignment="1">
      <alignment horizontal="right"/>
    </xf>
    <xf numFmtId="175" fontId="8" fillId="3" borderId="3" xfId="10" applyNumberFormat="1" applyFont="1" applyFill="1" applyBorder="1" applyAlignment="1">
      <alignment horizontal="right"/>
    </xf>
    <xf numFmtId="5" fontId="8" fillId="3" borderId="3" xfId="18" applyNumberFormat="1" applyFont="1" applyFill="1" applyBorder="1" applyAlignment="1">
      <alignment horizontal="center"/>
    </xf>
    <xf numFmtId="9" fontId="8" fillId="3" borderId="0" xfId="22" applyFont="1" applyFill="1" applyAlignment="1">
      <alignment horizontal="center"/>
    </xf>
    <xf numFmtId="9" fontId="8" fillId="3" borderId="0" xfId="18" applyNumberFormat="1" applyFont="1" applyFill="1" applyBorder="1" applyAlignment="1">
      <alignment horizontal="right"/>
    </xf>
    <xf numFmtId="184" fontId="8" fillId="3" borderId="0" xfId="33" applyNumberFormat="1" applyFont="1" applyFill="1" applyBorder="1" applyAlignment="1">
      <alignment horizontal="center"/>
    </xf>
    <xf numFmtId="9" fontId="8" fillId="3" borderId="0" xfId="22" applyFont="1" applyFill="1" applyBorder="1" applyAlignment="1">
      <alignment horizontal="center"/>
    </xf>
    <xf numFmtId="39" fontId="9" fillId="3" borderId="0" xfId="18" applyNumberFormat="1" applyFont="1" applyFill="1"/>
    <xf numFmtId="39" fontId="66" fillId="3" borderId="0" xfId="18" applyNumberFormat="1" applyFont="1" applyFill="1" applyBorder="1" applyAlignment="1">
      <alignment horizontal="right"/>
    </xf>
    <xf numFmtId="0" fontId="8" fillId="0" borderId="0" xfId="18" applyFont="1" applyBorder="1"/>
    <xf numFmtId="5" fontId="8" fillId="0" borderId="6" xfId="18" applyNumberFormat="1" applyFont="1" applyBorder="1"/>
    <xf numFmtId="5" fontId="8" fillId="0" borderId="0" xfId="18" applyNumberFormat="1" applyFont="1" applyFill="1"/>
    <xf numFmtId="5" fontId="8" fillId="0" borderId="0" xfId="18" applyNumberFormat="1" applyFont="1" applyBorder="1"/>
    <xf numFmtId="5" fontId="8" fillId="0" borderId="11" xfId="18" applyNumberFormat="1" applyFont="1" applyBorder="1"/>
    <xf numFmtId="5" fontId="50" fillId="0" borderId="0" xfId="18" applyNumberFormat="1" applyFont="1" applyBorder="1"/>
    <xf numFmtId="5" fontId="50" fillId="0" borderId="11" xfId="18" applyNumberFormat="1" applyFont="1" applyBorder="1"/>
    <xf numFmtId="5" fontId="50" fillId="0" borderId="6" xfId="18" applyNumberFormat="1" applyFont="1" applyBorder="1"/>
    <xf numFmtId="0" fontId="8" fillId="6" borderId="0" xfId="18" applyFont="1" applyFill="1" applyBorder="1"/>
    <xf numFmtId="0" fontId="8" fillId="5" borderId="7" xfId="18" applyFont="1" applyFill="1" applyBorder="1"/>
    <xf numFmtId="0" fontId="1" fillId="15" borderId="0" xfId="34" applyFont="1" applyFill="1" applyAlignment="1">
      <alignment vertical="top"/>
    </xf>
    <xf numFmtId="0" fontId="1" fillId="15" borderId="0" xfId="30" applyFill="1" applyAlignment="1">
      <alignment vertical="top"/>
    </xf>
    <xf numFmtId="0" fontId="1" fillId="15" borderId="0" xfId="30" applyFill="1"/>
    <xf numFmtId="0" fontId="12" fillId="15" borderId="0" xfId="34" applyFont="1" applyFill="1" applyAlignment="1">
      <alignment horizontal="left" vertical="top"/>
    </xf>
    <xf numFmtId="0" fontId="1" fillId="15" borderId="0" xfId="30" applyFont="1" applyFill="1" applyAlignment="1">
      <alignment vertical="top"/>
    </xf>
    <xf numFmtId="0" fontId="49" fillId="15" borderId="0" xfId="34" applyFont="1" applyFill="1" applyAlignment="1">
      <alignment vertical="top"/>
    </xf>
    <xf numFmtId="0" fontId="0" fillId="15" borderId="0" xfId="0" applyFill="1" applyAlignment="1">
      <alignment vertical="top"/>
    </xf>
    <xf numFmtId="0" fontId="69" fillId="15" borderId="0" xfId="0" applyFont="1" applyFill="1" applyAlignment="1">
      <alignment vertical="top"/>
    </xf>
    <xf numFmtId="0" fontId="70" fillId="15" borderId="0" xfId="0" applyFont="1" applyFill="1" applyAlignment="1">
      <alignment vertical="top"/>
    </xf>
    <xf numFmtId="0" fontId="69" fillId="15" borderId="28" xfId="0" applyFont="1" applyFill="1" applyBorder="1" applyAlignment="1">
      <alignment vertical="top"/>
    </xf>
    <xf numFmtId="9" fontId="69" fillId="15" borderId="28" xfId="0" applyNumberFormat="1" applyFont="1" applyFill="1" applyBorder="1" applyAlignment="1">
      <alignment vertical="top"/>
    </xf>
    <xf numFmtId="3" fontId="69" fillId="15" borderId="28" xfId="0" applyNumberFormat="1" applyFont="1" applyFill="1" applyBorder="1" applyAlignment="1">
      <alignment vertical="top"/>
    </xf>
    <xf numFmtId="2" fontId="1" fillId="0" borderId="0" xfId="30" applyNumberFormat="1" applyAlignment="1">
      <alignment horizontal="left"/>
    </xf>
    <xf numFmtId="0" fontId="1" fillId="0" borderId="0" xfId="30" applyNumberFormat="1" applyAlignment="1">
      <alignment horizontal="left"/>
    </xf>
    <xf numFmtId="1" fontId="1" fillId="0" borderId="0" xfId="30" applyNumberFormat="1" applyAlignment="1">
      <alignment horizontal="left"/>
    </xf>
    <xf numFmtId="0" fontId="1" fillId="0" borderId="0" xfId="30" applyFont="1"/>
    <xf numFmtId="189" fontId="1" fillId="0" borderId="0" xfId="30" applyNumberFormat="1" applyAlignment="1">
      <alignment horizontal="left"/>
    </xf>
    <xf numFmtId="49" fontId="1" fillId="0" borderId="0" xfId="30" applyNumberFormat="1"/>
    <xf numFmtId="0" fontId="0" fillId="15" borderId="33" xfId="0" applyFill="1" applyBorder="1" applyAlignment="1">
      <alignment vertical="top"/>
    </xf>
    <xf numFmtId="0" fontId="69" fillId="15" borderId="0" xfId="0" applyFont="1" applyFill="1" applyAlignment="1">
      <alignment vertical="top"/>
    </xf>
    <xf numFmtId="0" fontId="69" fillId="15" borderId="29" xfId="0" applyFont="1" applyFill="1" applyBorder="1" applyAlignment="1">
      <alignment vertical="top"/>
    </xf>
    <xf numFmtId="0" fontId="69" fillId="15" borderId="30" xfId="0" applyFont="1" applyFill="1" applyBorder="1" applyAlignment="1">
      <alignment vertical="top"/>
    </xf>
    <xf numFmtId="0" fontId="69" fillId="15" borderId="31" xfId="0" applyFont="1" applyFill="1" applyBorder="1" applyAlignment="1">
      <alignment vertical="top"/>
    </xf>
    <xf numFmtId="0" fontId="70" fillId="15" borderId="0" xfId="0" applyFont="1" applyFill="1" applyAlignment="1">
      <alignment vertical="top"/>
    </xf>
    <xf numFmtId="0" fontId="0" fillId="15" borderId="0" xfId="0" applyFill="1" applyAlignment="1">
      <alignment vertical="top"/>
    </xf>
    <xf numFmtId="0" fontId="0" fillId="15" borderId="32" xfId="0" applyFill="1" applyBorder="1" applyAlignment="1">
      <alignment vertical="top"/>
    </xf>
  </cellXfs>
  <cellStyles count="35">
    <cellStyle name=" 1" xfId="1"/>
    <cellStyle name=" 2" xfId="2"/>
    <cellStyle name=" 3" xfId="3"/>
    <cellStyle name="****************************************** 2" xfId="4"/>
    <cellStyle name="_Pension+Analyzer_US_NEW" xfId="5"/>
    <cellStyle name="_SUMMARY " xfId="6"/>
    <cellStyle name="0_Capex &amp; Depreciation " xfId="7"/>
    <cellStyle name="0_Valuing BP " xfId="8"/>
    <cellStyle name="c_HardInc " xfId="9"/>
    <cellStyle name="Comma" xfId="10" builtinId="3"/>
    <cellStyle name="Comma 2 2" xfId="11"/>
    <cellStyle name="Comma_JBHTqq" xfId="12"/>
    <cellStyle name="Currency" xfId="33" builtinId="4"/>
    <cellStyle name="Currency 2" xfId="13"/>
    <cellStyle name="Currency 3" xfId="32"/>
    <cellStyle name="Hyperlink" xfId="14" builtinId="8"/>
    <cellStyle name="Normal" xfId="0" builtinId="0"/>
    <cellStyle name="Normal 2" xfId="15"/>
    <cellStyle name="Normal 3" xfId="16"/>
    <cellStyle name="Normal 3 2" xfId="17"/>
    <cellStyle name="Normal 4" xfId="30"/>
    <cellStyle name="Normal_DisclaimerSheet Samples" xfId="34"/>
    <cellStyle name="Normal_GRx" xfId="18"/>
    <cellStyle name="Normal_Inc Statement" xfId="19"/>
    <cellStyle name="Normal_JBHTqq" xfId="20"/>
    <cellStyle name="p " xfId="21"/>
    <cellStyle name="Percent" xfId="22" builtinId="5"/>
    <cellStyle name="RRSInstruction" xfId="23"/>
    <cellStyle name="RRSInstruction 2" xfId="31"/>
    <cellStyle name="s_HardInc " xfId="24"/>
    <cellStyle name="s_Valuation " xfId="25"/>
    <cellStyle name="ssp " xfId="26"/>
    <cellStyle name="Style 1" xfId="27"/>
    <cellStyle name="콤마 [0]_#3이설 견적_준공내역총괄표 " xfId="28"/>
    <cellStyle name="콤마_#3이설 견적_준공내역총괄표 " xfId="29"/>
  </cellStyles>
  <dxfs count="13">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s>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externalLinks/externalLink1.xml" Type="http://schemas.openxmlformats.org/officeDocument/2006/relationships/externalLink"/>
<Relationship Id="rId11" Target="externalLinks/externalLink2.xml" Type="http://schemas.openxmlformats.org/officeDocument/2006/relationships/externalLink"/>
<Relationship Id="rId12" Target="externalLinks/externalLink3.xml" Type="http://schemas.openxmlformats.org/officeDocument/2006/relationships/externalLink"/>
<Relationship Id="rId13" Target="externalLinks/externalLink4.xml" Type="http://schemas.openxmlformats.org/officeDocument/2006/relationships/externalLink"/>
<Relationship Id="rId14" Target="externalLinks/externalLink5.xml" Type="http://schemas.openxmlformats.org/officeDocument/2006/relationships/externalLink"/>
<Relationship Id="rId15" Target="externalLinks/externalLink6.xml" Type="http://schemas.openxmlformats.org/officeDocument/2006/relationships/externalLink"/>
<Relationship Id="rId16" Target="externalLinks/externalLink7.xml" Type="http://schemas.openxmlformats.org/officeDocument/2006/relationships/externalLink"/>
<Relationship Id="rId17" Target="externalLinks/externalLink8.xml" Type="http://schemas.openxmlformats.org/officeDocument/2006/relationships/externalLink"/>
<Relationship Id="rId18" Target="externalLinks/externalLink9.xml" Type="http://schemas.openxmlformats.org/officeDocument/2006/relationships/externalLink"/>
<Relationship Id="rId19" Target="externalLinks/externalLink10.xml" Type="http://schemas.openxmlformats.org/officeDocument/2006/relationships/externalLink"/>
<Relationship Id="rId2" Target="worksheets/sheet2.xml" Type="http://schemas.openxmlformats.org/officeDocument/2006/relationships/worksheet"/>
<Relationship Id="rId20" Target="externalLinks/externalLink11.xml" Type="http://schemas.openxmlformats.org/officeDocument/2006/relationships/externalLink"/>
<Relationship Id="rId21" Target="externalLinks/externalLink12.xml" Type="http://schemas.openxmlformats.org/officeDocument/2006/relationships/externalLink"/>
<Relationship Id="rId22" Target="externalLinks/externalLink13.xml" Type="http://schemas.openxmlformats.org/officeDocument/2006/relationships/externalLink"/>
<Relationship Id="rId23" Target="externalLinks/externalLink14.xml" Type="http://schemas.openxmlformats.org/officeDocument/2006/relationships/externalLink"/>
<Relationship Id="rId24" Target="externalLinks/externalLink15.xml" Type="http://schemas.openxmlformats.org/officeDocument/2006/relationships/externalLink"/>
<Relationship Id="rId25" Target="externalLinks/externalLink16.xml" Type="http://schemas.openxmlformats.org/officeDocument/2006/relationships/externalLink"/>
<Relationship Id="rId26" Target="externalLinks/externalLink17.xml" Type="http://schemas.openxmlformats.org/officeDocument/2006/relationships/externalLink"/>
<Relationship Id="rId27" Target="externalLinks/externalLink18.xml" Type="http://schemas.openxmlformats.org/officeDocument/2006/relationships/externalLink"/>
<Relationship Id="rId28" Target="externalLinks/externalLink19.xml" Type="http://schemas.openxmlformats.org/officeDocument/2006/relationships/externalLink"/>
<Relationship Id="rId29" Target="externalLinks/externalLink20.xml" Type="http://schemas.openxmlformats.org/officeDocument/2006/relationships/externalLink"/>
<Relationship Id="rId3" Target="worksheets/sheet3.xml" Type="http://schemas.openxmlformats.org/officeDocument/2006/relationships/worksheet"/>
<Relationship Id="rId30" Target="externalLinks/externalLink21.xml" Type="http://schemas.openxmlformats.org/officeDocument/2006/relationships/externalLink"/>
<Relationship Id="rId31" Target="externalLinks/externalLink22.xml" Type="http://schemas.openxmlformats.org/officeDocument/2006/relationships/externalLink"/>
<Relationship Id="rId32" Target="externalLinks/externalLink23.xml" Type="http://schemas.openxmlformats.org/officeDocument/2006/relationships/externalLink"/>
<Relationship Id="rId33" Target="externalLinks/externalLink24.xml" Type="http://schemas.openxmlformats.org/officeDocument/2006/relationships/externalLink"/>
<Relationship Id="rId34" Target="externalLinks/externalLink25.xml" Type="http://schemas.openxmlformats.org/officeDocument/2006/relationships/externalLink"/>
<Relationship Id="rId35" Target="externalLinks/externalLink26.xml" Type="http://schemas.openxmlformats.org/officeDocument/2006/relationships/externalLink"/>
<Relationship Id="rId36" Target="externalLinks/externalLink27.xml" Type="http://schemas.openxmlformats.org/officeDocument/2006/relationships/externalLink"/>
<Relationship Id="rId37" Target="externalLinks/externalLink28.xml" Type="http://schemas.openxmlformats.org/officeDocument/2006/relationships/externalLink"/>
<Relationship Id="rId38" Target="externalLinks/externalLink29.xml" Type="http://schemas.openxmlformats.org/officeDocument/2006/relationships/externalLink"/>
<Relationship Id="rId39" Target="externalLinks/externalLink30.xml" Type="http://schemas.openxmlformats.org/officeDocument/2006/relationships/externalLink"/>
<Relationship Id="rId4" Target="worksheets/sheet4.xml" Type="http://schemas.openxmlformats.org/officeDocument/2006/relationships/worksheet"/>
<Relationship Id="rId40" Target="externalLinks/externalLink31.xml" Type="http://schemas.openxmlformats.org/officeDocument/2006/relationships/externalLink"/>
<Relationship Id="rId41" Target="externalLinks/externalLink32.xml" Type="http://schemas.openxmlformats.org/officeDocument/2006/relationships/externalLink"/>
<Relationship Id="rId42" Target="externalLinks/externalLink33.xml" Type="http://schemas.openxmlformats.org/officeDocument/2006/relationships/externalLink"/>
<Relationship Id="rId43" Target="externalLinks/externalLink34.xml" Type="http://schemas.openxmlformats.org/officeDocument/2006/relationships/externalLink"/>
<Relationship Id="rId44" Target="externalLinks/externalLink35.xml" Type="http://schemas.openxmlformats.org/officeDocument/2006/relationships/externalLink"/>
<Relationship Id="rId45" Target="theme/theme1.xml" Type="http://schemas.openxmlformats.org/officeDocument/2006/relationships/theme"/>
<Relationship Id="rId46" Target="styles.xml" Type="http://schemas.openxmlformats.org/officeDocument/2006/relationships/styles"/>
<Relationship Id="rId47" Target="sharedStrings.xml" Type="http://schemas.openxmlformats.org/officeDocument/2006/relationships/sharedStrings"/>
<Relationship Id="rId48" Target="calcChain.xml" Type="http://schemas.openxmlformats.org/officeDocument/2006/relationships/calcChain"/>
<Relationship Id="rId49" Target="../customXml/item1.xml" Type="http://schemas.openxmlformats.org/officeDocument/2006/relationships/customXml"/>
<Relationship Id="rId5" Target="worksheets/sheet5.xml" Type="http://schemas.openxmlformats.org/officeDocument/2006/relationships/worksheet"/>
<Relationship Id="rId50" Target="../customXml/item2.xml" Type="http://schemas.openxmlformats.org/officeDocument/2006/relationships/customXml"/>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174</xdr:row>
      <xdr:rowOff>0</xdr:rowOff>
    </xdr:from>
    <xdr:to>
      <xdr:col>7</xdr:col>
      <xdr:colOff>390525</xdr:colOff>
      <xdr:row>197</xdr:row>
      <xdr:rowOff>104775</xdr:rowOff>
    </xdr:to>
    <xdr:pic>
      <xdr:nvPicPr>
        <xdr:cNvPr id="1105921" name="Picture 1" descr="C:\Users\sharpmat\AppData\Local\Temp\MercuryPriceRatingHistoryChart\NOC.N_2018_04_11_12_20_49.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680335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
<Relationship Id="rId1" Target="AERO/Wood/Models/GD.xls" TargetMode="External" Type="http://schemas.microsoft.com/office/2006/relationships/xlExternalLinkPath/xlStartup"/>
</Relationships>

</file>

<file path=xl/externalLinks/_rels/externalLink2.xml.rels><?xml version="1.0" encoding="UTF-8" standalone="yes"?>
<Relationships xmlns="http://schemas.openxmlformats.org/package/2006/relationships">
<Relationship Id="rId1" Target="file://///Sony/c/business/&#38750;&#37444;/&#38750;&#37444;&#20250;~1/&#21516;&#21644;&#37489;&#26989;/5714work.wk4" TargetMode="External" Type="http://schemas.openxmlformats.org/officeDocument/2006/relationships/externalLinkPath"/>
</Relationships>

</file>

<file path=xl/externalLinks/_rels/externalLink3.xml.rels><?xml version="1.0" encoding="UTF-8" standalone="yes"?>
<Relationships xmlns="http://schemas.openxmlformats.org/package/2006/relationships">
<Relationship Id="rId1" Target="mberler/SPREADS/COS/WYbackup.xls" TargetMode="External" Type="http://schemas.microsoft.com/office/2006/relationships/xlExternalLinkPath/xlStartup"/>
</Relationships>

</file>

<file path=xl/externalLinks/_rels/externalLink4.xml.rels><?xml version="1.0" encoding="UTF-8" standalone="yes"?>
<Relationships xmlns="http://schemas.openxmlformats.org/package/2006/relationships">
<Relationship Id="rId1" Target="AERO/Companies/NOC/NOC.model.QC1.Marco.xls" TargetMode="External" Type="http://schemas.microsoft.com/office/2006/relationships/xlExternalLinkPath/xlStartup"/>
</Relationships>

</file>

<file path=xl/externalLinks/_rels/externalLink5.xml.rels><?xml version="1.0" encoding="UTF-8" standalone="yes"?>
<Relationships xmlns="http://schemas.openxmlformats.org/package/2006/relationships">
<Relationship Id="rId1" Target="file://///msad/root/Documents%20and%20Settings/warjohn/Local%20Settings/Temporary%20Internet%20Files/OLK1DA/Funded%20status%20Chart.xls" TargetMode="External" Type="http://schemas.openxmlformats.org/officeDocument/2006/relationships/externalLinkPath"/>
</Relationships>

</file>

<file path=xl/externalLinks/_rels/externalLink6.xml.rels><?xml version="1.0" encoding="UTF-8" standalone="yes"?>
<Relationships xmlns="http://schemas.openxmlformats.org/package/2006/relationships">
<Relationship Id="rId1" Target="/Documents%20and%20Settings/sanclaur/Local%20Settings/Temporary%20Internet%20Files/OLK8A2/MS_Rolls-Royce_PUBLIC_WIP%20(2).xls" TargetMode="External" Type="http://schemas.openxmlformats.org/officeDocument/2006/relationships/externalLinkPath"/>
</Relationships>

</file>

<file path=xl/externalLinks/_rels/externalLink7.xml.rels><?xml version="1.0" encoding="UTF-8" standalone="yes"?>
<Relationships xmlns="http://schemas.openxmlformats.org/package/2006/relationships">
<Relationship Id="rId1" Target="AERO/Companies/BEAV/BEAV.jdg.xls" TargetMode="External" Type="http://schemas.microsoft.com/office/2006/relationships/xlExternalLinkPath/xlStartup"/>
</Relationships>

</file>

<file path=xl/externalLinks/_rels/externalLink8.xml.rels><?xml version="1.0" encoding="UTF-8" standalone="yes"?>
<Relationships xmlns="http://schemas.openxmlformats.org/package/2006/relationships">
<Relationship Id="rId1" Target="AERO/AD/Models/LMT/LMTx.xls" TargetMode="External" Type="http://schemas.microsoft.com/office/2006/relationships/xlExternalLinkPath/xlStartup"/>
</Relationships>

</file>

<file path=xl/externalLinks/_rels/externalLink9.xml.rels><?xml version="1.0" encoding="UTF-8" standalone="yes"?>
<Relationships xmlns="http://schemas.openxmlformats.org/package/2006/relationships">
<Relationship Id="rId1" Target="AERO/Wood/Industry/Aerospace/Global%20Fleet%20Boeing%20&amp;%20Airbus/World%20Fleet.xls" TargetMode="External" Type="http://schemas.microsoft.com/office/2006/relationships/xlExternalLinkPath/xlStartup"/>
</Relationships>

</file>

<file path=xl/externalLinks/_rels/externalLink10.xml.rels><?xml version="1.0" encoding="UTF-8" standalone="yes"?>
<Relationships xmlns="http://schemas.openxmlformats.org/package/2006/relationships">
<Relationship Id="rId1" Target="AERO/AD/Industry/Aero/Storage/ACSTORx.xls" TargetMode="External" Type="http://schemas.microsoft.com/office/2006/relationships/xlExternalLinkPath/xlStartup"/>
</Relationships>

</file>

<file path=xl/externalLinks/_rels/externalLink11.xml.rels><?xml version="1.0" encoding="UTF-8" standalone="yes"?>
<Relationships xmlns="http://schemas.openxmlformats.org/package/2006/relationships">
<Relationship Id="rId1" Target="Documents%20and%20Settings/boonekev/Desktop/Bespoke/SPR%20787%20Cash%20Flow%20Analysis.xls" TargetMode="External" Type="http://schemas.microsoft.com/office/2006/relationships/xlExternalLinkPath/xlStartup"/>
</Relationships>

</file>

<file path=xl/externalLinks/_rels/externalLink12.xml.rels><?xml version="1.0" encoding="UTF-8" standalone="yes"?>
<Relationships xmlns="http://schemas.openxmlformats.org/package/2006/relationships">
<Relationship Id="rId1" Target="file://///msad/root/NA/NY/LIB/ER/AERO/AD/Models/COL/COLx.xls" TargetMode="External" Type="http://schemas.openxmlformats.org/officeDocument/2006/relationships/externalLinkPath"/>
</Relationships>

</file>

<file path=xl/externalLinks/_rels/externalLink13.xml.rels><?xml version="1.0" encoding="UTF-8" standalone="yes"?>
<Relationships xmlns="http://schemas.openxmlformats.org/package/2006/relationships">
<Relationship Id="rId1" Target="AERO/AD/Models/LMT/F-35%20Model.xls" TargetMode="External" Type="http://schemas.microsoft.com/office/2006/relationships/xlExternalLinkPath/xlStartup"/>
</Relationships>

</file>

<file path=xl/externalLinks/_rels/externalLink14.xml.rels><?xml version="1.0" encoding="UTF-8" standalone="yes"?>
<Relationships xmlns="http://schemas.openxmlformats.org/package/2006/relationships">
<Relationship Id="rId1" Target="AERO/Industry/Aero/Aero%20Data%20Pack.xls" TargetMode="External" Type="http://schemas.microsoft.com/office/2006/relationships/xlExternalLinkPath/xlStartup"/>
</Relationships>

</file>

<file path=xl/externalLinks/_rels/externalLink15.xml.rels><?xml version="1.0" encoding="UTF-8" standalone="yes"?>
<Relationships xmlns="http://schemas.openxmlformats.org/package/2006/relationships">
<Relationship Id="rId1" Target="AERO/AD/Models/VSAT/VSAT.xls" TargetMode="External" Type="http://schemas.microsoft.com/office/2006/relationships/xlExternalLinkPath/xlStartup"/>
</Relationships>

</file>

<file path=xl/externalLinks/_rels/externalLink16.xml.rels><?xml version="1.0" encoding="UTF-8" standalone="yes"?>
<Relationships xmlns="http://schemas.openxmlformats.org/package/2006/relationships">
<Relationship Id="rId1" Target="AERO/AD/Models/GR/Archive/GRx1Q10.xls" TargetMode="External" Type="http://schemas.microsoft.com/office/2006/relationships/xlExternalLinkPath/xlStartup"/>
</Relationships>

</file>

<file path=xl/externalLinks/_rels/externalLink17.xml.rels><?xml version="1.0" encoding="UTF-8" standalone="yes"?>
<Relationships xmlns="http://schemas.openxmlformats.org/package/2006/relationships">
<Relationship Id="rId1" Target="AERO/AD/Models/UTX/UTXx.xls" TargetMode="External" Type="http://schemas.microsoft.com/office/2006/relationships/xlExternalLinkPath/xlStartup"/>
</Relationships>

</file>

<file path=xl/externalLinks/_rels/externalLink18.xml.rels><?xml version="1.0" encoding="UTF-8" standalone="yes"?>
<Relationships xmlns="http://schemas.openxmlformats.org/package/2006/relationships">
<Relationship Id="rId1" Target="AERO/AD/Industry/Aero/Commercial%20Traffic.xls" TargetMode="External" Type="http://schemas.microsoft.com/office/2006/relationships/xlExternalLinkPath/xlStartup"/>
</Relationships>

</file>

<file path=xl/externalLinks/_rels/externalLink19.xml.rels><?xml version="1.0" encoding="UTF-8" standalone="yes"?>
<Relationships xmlns="http://schemas.openxmlformats.org/package/2006/relationships">
<Relationship Id="rId1" Target="AERO/AD/Industry/Aero/Biz%20Jets%20Data.xls" TargetMode="External" Type="http://schemas.microsoft.com/office/2006/relationships/xlExternalLinkPath/xlStartup"/>
</Relationships>

</file>

<file path=xl/externalLinks/_rels/externalLink20.xml.rels><?xml version="1.0" encoding="UTF-8" standalone="yes"?>
<Relationships xmlns="http://schemas.openxmlformats.org/package/2006/relationships">
<Relationship Id="rId1" Target="TEMPLATE/Excel/LINKTAB.XLS" TargetMode="External" Type="http://schemas.microsoft.com/office/2006/relationships/xlExternalLinkPath/xlStartup"/>
</Relationships>

</file>

<file path=xl/externalLinks/_rels/externalLink21.xml.rels><?xml version="1.0" encoding="UTF-8" standalone="yes"?>
<Relationships xmlns="http://schemas.openxmlformats.org/package/2006/relationships">
<Relationship Id="rId1" Target="AERO/Wood/Industry/Aerospace/Airord.xls" TargetMode="External" Type="http://schemas.microsoft.com/office/2006/relationships/xlExternalLinkPath/xlStartup"/>
</Relationships>

</file>

<file path=xl/externalLinks/_rels/externalLink22.xml.rels><?xml version="1.0" encoding="UTF-8" standalone="yes"?>
<Relationships xmlns="http://schemas.openxmlformats.org/package/2006/relationships">
<Relationship Id="rId1" Target="Documents%20and%20Settings/wileyk/Desktop/BOWnew1.xls" TargetMode="External" Type="http://schemas.microsoft.com/office/2006/relationships/xlExternalLinkPath/xlStartup"/>
</Relationships>

</file>

<file path=xl/externalLinks/_rels/externalLink23.xml.rels><?xml version="1.0" encoding="UTF-8" standalone="yes"?>
<Relationships xmlns="http://schemas.openxmlformats.org/package/2006/relationships">
<Relationship Id="rId1" Target="mberler/SPREADS/COS/TINNew.XLS" TargetMode="External" Type="http://schemas.microsoft.com/office/2006/relationships/xlExternalLinkPath/xlStartup"/>
</Relationships>

</file>

<file path=xl/externalLinks/_rels/externalLink24.xml.rels><?xml version="1.0" encoding="UTF-8" standalone="yes"?>
<Relationships xmlns="http://schemas.openxmlformats.org/package/2006/relationships">
<Relationship Id="rId1" Target="consumer/Cosmetic/EXCEL/Models/Estee%20Lauder/EL_model.xls" TargetMode="External" Type="http://schemas.microsoft.com/office/2006/relationships/xlExternalLinkPath/xlStartup"/>
</Relationships>

</file>

<file path=xl/externalLinks/_rels/externalLink25.xml.rels><?xml version="1.0" encoding="UTF-8" standalone="yes"?>
<Relationships xmlns="http://schemas.openxmlformats.org/package/2006/relationships">
<Relationship Id="rId1" Target="AERO/Wood/Models/txt.xls" TargetMode="External" Type="http://schemas.microsoft.com/office/2006/relationships/xlExternalLinkPath/xlStartup"/>
</Relationships>

</file>

<file path=xl/externalLinks/_rels/externalLink26.xml.rels><?xml version="1.0" encoding="UTF-8" standalone="yes"?>
<Relationships xmlns="http://schemas.openxmlformats.org/package/2006/relationships">
<Relationship Id="rId1" Target="AERO/Industry/Aero/Biz%20Jets%20Data.xls" TargetMode="External" Type="http://schemas.microsoft.com/office/2006/relationships/xlExternalLinkPath/xlStartup"/>
</Relationships>

</file>

<file path=xl/externalLinks/_rels/externalLink27.xml.rels><?xml version="1.0" encoding="UTF-8" standalone="yes"?>
<Relationships xmlns="http://schemas.openxmlformats.org/package/2006/relationships">
<Relationship Id="rId1" Target="AERO/Wood/Models/DRS.xls" TargetMode="External" Type="http://schemas.microsoft.com/office/2006/relationships/xlExternalLinkPath/xlStartup"/>
</Relationships>

</file>

<file path=xl/externalLinks/_rels/externalLink28.xml.rels><?xml version="1.0" encoding="UTF-8" standalone="yes"?>
<Relationships xmlns="http://schemas.openxmlformats.org/package/2006/relationships">
<Relationship Id="rId1" Target="mberler/SPREADS/COS/WYnew.xls" TargetMode="External" Type="http://schemas.microsoft.com/office/2006/relationships/xlExternalLinkPath/xlStartup"/>
</Relationships>

</file>

<file path=xl/externalLinks/_rels/externalLink29.xml.rels><?xml version="1.0" encoding="UTF-8" standalone="yes"?>
<Relationships xmlns="http://schemas.openxmlformats.org/package/2006/relationships">
<Relationship Id="rId1" Target="consumer/Cosmetic/EXCEL/Models/Procter&amp;%20Gamble/pg_model4.xls" TargetMode="External" Type="http://schemas.microsoft.com/office/2006/relationships/xlExternalLinkPath/xlStartup"/>
</Relationships>

</file>

<file path=xl/externalLinks/_rels/externalLink30.xml.rels><?xml version="1.0" encoding="UTF-8" standalone="yes"?>
<Relationships xmlns="http://schemas.openxmlformats.org/package/2006/relationships">
<Relationship Id="rId1" Target="consumer/Cosmetic/EXCEL/Models/IFF/IFF_model.XLS" TargetMode="External" Type="http://schemas.microsoft.com/office/2006/relationships/xlExternalLinkPath/xlStartup"/>
</Relationships>

</file>

<file path=xl/externalLinks/_rels/externalLink31.xml.rels><?xml version="1.0" encoding="UTF-8" standalone="yes"?>
<Relationships xmlns="http://schemas.openxmlformats.org/package/2006/relationships">
<Relationship Id="rId1" Target="file://///192.168.20.12/tsr$/Documents%20and%20Settings/catheloh/Local%20Settings/Temporary%20Internet%20Files/OLK30/Deferred%20tax%20analysis4.xls" TargetMode="External" Type="http://schemas.openxmlformats.org/officeDocument/2006/relationships/externalLinkPath"/>
</Relationships>

</file>

<file path=xl/externalLinks/_rels/externalLink32.xml.rels><?xml version="1.0" encoding="UTF-8" standalone="yes"?>
<Relationships xmlns="http://schemas.openxmlformats.org/package/2006/relationships">
<Relationship Id="rId1" Target="MultipleSecurities" TargetMode="External" Type="http://schemas.microsoft.com/office/2006/relationships/xlExternalLinkPath/xlPathMissing"/>
</Relationships>

</file>

<file path=xl/externalLinks/_rels/externalLink33.xml.rels><?xml version="1.0" encoding="UTF-8" standalone="yes"?>
<Relationships xmlns="http://schemas.openxmlformats.org/package/2006/relationships">
<Relationship Id="rId1" Target="DOCUME~1/wileyk/LOCALS~1/Temp/TEMP/TEMP/G_model.xls" TargetMode="External" Type="http://schemas.microsoft.com/office/2006/relationships/xlExternalLinkPath/xlStartup"/>
</Relationships>

</file>

<file path=xl/externalLinks/_rels/externalLink34.xml.rels><?xml version="1.0" encoding="UTF-8" standalone="yes"?>
<Relationships xmlns="http://schemas.openxmlformats.org/package/2006/relationships">
<Relationship Id="rId1" Target="Documents%20and%20Settings/pscavo/Local%20Settings/Temporary%20Internet%20Files/OLK33/OIT%20Screening.xls" TargetMode="External" Type="http://schemas.microsoft.com/office/2006/relationships/xlExternalLinkPath/xlStartup"/>
</Relationships>

</file>

<file path=xl/externalLinks/_rels/externalLink35.xml.rels><?xml version="1.0" encoding="UTF-8" standalone="yes"?>
<Relationships xmlns="http://schemas.openxmlformats.org/package/2006/relationships">
<Relationship Id="rId1" Target="TEMP/TOS.XLS" TargetMode="External" Type="http://schemas.microsoft.com/office/2006/relationships/xlExternalLinkPath/xl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Main"/>
      <sheetName val="Quarterly"/>
      <sheetName val="Variance Analysis"/>
      <sheetName val="Sum of Parts"/>
      <sheetName val="Aerospace"/>
      <sheetName val="Aerospacemodel"/>
      <sheetName val="Marine"/>
      <sheetName val="Combatmodel"/>
      <sheetName val="ISTmodel"/>
      <sheetName val="Tables"/>
      <sheetName val="DCF"/>
      <sheetName val="Scenario Analysis Assumptions"/>
      <sheetName val="MWA RR"/>
      <sheetName val="Acquisitions"/>
      <sheetName val="Historical"/>
      <sheetName val="Resources"/>
      <sheetName val="Gulf Backlog"/>
      <sheetName val="Gulf Del By Cust"/>
      <sheetName val="DCF Old"/>
      <sheetName val="Gulf AC In Oper"/>
      <sheetName val="MW-Cache"/>
      <sheetName val="MWA Pension"/>
      <sheetName val="MWA OPEB"/>
      <sheetName val="Combat Sys"/>
      <sheetName val="Pension (old)"/>
      <sheetName val="OPEB (old)"/>
      <sheetName val="mwareDates"/>
      <sheetName val="mwareSettings"/>
      <sheetName val="MainCode"/>
      <sheetName val="Valuation"/>
      <sheetName val="Pension"/>
      <sheetName val="OPEB"/>
      <sheetName val="Model_Template"/>
      <sheetName val="PensionOld"/>
      <sheetName val="OPEBOld"/>
      <sheetName val="ImportantDisclosures"/>
      <sheetName val="Menu"/>
      <sheetName val="DCF New"/>
      <sheetName val="mwareTaxoPres"/>
      <sheetName val="mwareValPrintout"/>
      <sheetName val="NY UPLOAD"/>
      <sheetName val="NY UPLOAD shadow"/>
      <sheetName val="ValuationParts"/>
      <sheetName val="ValuationDCF"/>
      <sheetName val="Parts"/>
      <sheetName val="Scenario"/>
    </sheetNames>
    <sheetDataSet>
      <sheetData sheetId="0" refreshError="1"/>
      <sheetData sheetId="1">
        <row r="1">
          <cell r="A1" t="str">
            <v>last updated 10/09</v>
          </cell>
          <cell r="AV1" t="str">
            <v>Current Price</v>
          </cell>
          <cell r="AW1">
            <v>55</v>
          </cell>
          <cell r="BQ1" t="str">
            <v>ElementName</v>
          </cell>
          <cell r="BR1" t="str">
            <v>ScaleOverride</v>
          </cell>
          <cell r="BS1" t="str">
            <v>UnitOverride</v>
          </cell>
          <cell r="BT1" t="str">
            <v>ReverseSign</v>
          </cell>
          <cell r="BU1" t="str">
            <v>IsDrivingAssumption</v>
          </cell>
          <cell r="BV1" t="str">
            <v>SegmentID</v>
          </cell>
        </row>
        <row r="2">
          <cell r="A2" t="str">
            <v>General Dynamics</v>
          </cell>
          <cell r="AC2" t="str">
            <v>% Ch Y/Y</v>
          </cell>
          <cell r="AI2" t="str">
            <v>General Dynamics</v>
          </cell>
        </row>
        <row r="3">
          <cell r="A3" t="str">
            <v>P&amp;L Model</v>
          </cell>
          <cell r="B3">
            <v>2007</v>
          </cell>
          <cell r="F3" t="str">
            <v>2008A</v>
          </cell>
          <cell r="J3" t="str">
            <v>2009E</v>
          </cell>
          <cell r="AI3" t="str">
            <v>Valuation Trends</v>
          </cell>
        </row>
        <row r="4">
          <cell r="A4" t="str">
            <v>($USD in Millions, Except EPS)</v>
          </cell>
          <cell r="B4" t="str">
            <v>Q1</v>
          </cell>
          <cell r="C4" t="str">
            <v>Q2</v>
          </cell>
          <cell r="D4" t="str">
            <v>Q3</v>
          </cell>
          <cell r="E4" t="str">
            <v>Q4</v>
          </cell>
          <cell r="F4" t="str">
            <v>Q1</v>
          </cell>
          <cell r="G4" t="str">
            <v>Q2</v>
          </cell>
          <cell r="H4" t="str">
            <v>Q3</v>
          </cell>
          <cell r="I4" t="str">
            <v>Q4</v>
          </cell>
          <cell r="J4" t="str">
            <v>Q1</v>
          </cell>
          <cell r="K4" t="str">
            <v>Q2A</v>
          </cell>
          <cell r="L4" t="str">
            <v>Q3E</v>
          </cell>
          <cell r="M4" t="str">
            <v>Q4E</v>
          </cell>
          <cell r="N4">
            <v>2000</v>
          </cell>
          <cell r="O4">
            <v>2001</v>
          </cell>
          <cell r="P4">
            <v>2002</v>
          </cell>
          <cell r="Q4">
            <v>2003</v>
          </cell>
          <cell r="R4">
            <v>2004</v>
          </cell>
          <cell r="S4">
            <v>2005</v>
          </cell>
          <cell r="T4">
            <v>2006</v>
          </cell>
          <cell r="U4">
            <v>2007</v>
          </cell>
          <cell r="V4" t="str">
            <v>2008A</v>
          </cell>
          <cell r="W4" t="str">
            <v>2009E</v>
          </cell>
          <cell r="X4" t="str">
            <v>2010E</v>
          </cell>
          <cell r="Y4" t="str">
            <v>2011E</v>
          </cell>
          <cell r="Z4" t="str">
            <v>2012E</v>
          </cell>
          <cell r="AA4" t="str">
            <v>Comments</v>
          </cell>
          <cell r="AB4">
            <v>2007</v>
          </cell>
          <cell r="AC4" t="str">
            <v>2008A</v>
          </cell>
          <cell r="AD4" t="str">
            <v>2009E</v>
          </cell>
          <cell r="AE4" t="str">
            <v>2010E</v>
          </cell>
          <cell r="AF4" t="str">
            <v>2011E</v>
          </cell>
          <cell r="AG4" t="str">
            <v>2012E</v>
          </cell>
          <cell r="AI4" t="str">
            <v>($USD in Millions, Except EPS)</v>
          </cell>
          <cell r="AJ4">
            <v>1993</v>
          </cell>
          <cell r="AK4">
            <v>1994</v>
          </cell>
          <cell r="AL4">
            <v>1995</v>
          </cell>
          <cell r="AM4">
            <v>1996</v>
          </cell>
          <cell r="AN4">
            <v>1997</v>
          </cell>
          <cell r="AO4" t="str">
            <v>1998</v>
          </cell>
          <cell r="AP4">
            <v>1999</v>
          </cell>
          <cell r="AQ4">
            <v>2000</v>
          </cell>
          <cell r="AR4">
            <v>2001</v>
          </cell>
          <cell r="AS4">
            <v>2002</v>
          </cell>
          <cell r="AT4">
            <v>2003</v>
          </cell>
          <cell r="AU4">
            <v>2004</v>
          </cell>
          <cell r="AV4">
            <v>2005</v>
          </cell>
          <cell r="AW4">
            <v>2006</v>
          </cell>
          <cell r="AX4">
            <v>2007</v>
          </cell>
          <cell r="AY4" t="str">
            <v>2008A</v>
          </cell>
          <cell r="AZ4" t="str">
            <v>2009E</v>
          </cell>
          <cell r="BA4" t="str">
            <v>2010E</v>
          </cell>
          <cell r="BB4" t="str">
            <v>Comments</v>
          </cell>
        </row>
        <row r="5">
          <cell r="A5" t="str">
            <v>Revenues</v>
          </cell>
          <cell r="AI5" t="str">
            <v>EBITDA</v>
          </cell>
        </row>
        <row r="6">
          <cell r="A6" t="str">
            <v>Marine Systems</v>
          </cell>
          <cell r="B6">
            <v>1257</v>
          </cell>
          <cell r="C6">
            <v>1272</v>
          </cell>
          <cell r="D6">
            <v>1246</v>
          </cell>
          <cell r="E6">
            <v>1218</v>
          </cell>
          <cell r="F6">
            <v>1378</v>
          </cell>
          <cell r="G6">
            <v>1394</v>
          </cell>
          <cell r="H6">
            <v>1404</v>
          </cell>
          <cell r="I6">
            <v>1380</v>
          </cell>
          <cell r="J6">
            <v>1669</v>
          </cell>
          <cell r="K6">
            <v>1625</v>
          </cell>
          <cell r="L6">
            <v>1550</v>
          </cell>
          <cell r="M6">
            <v>1606</v>
          </cell>
          <cell r="N6">
            <v>3413</v>
          </cell>
          <cell r="O6">
            <v>3612</v>
          </cell>
          <cell r="P6">
            <v>3650</v>
          </cell>
          <cell r="Q6">
            <v>4271</v>
          </cell>
          <cell r="R6">
            <v>4726</v>
          </cell>
          <cell r="S6">
            <v>4695</v>
          </cell>
          <cell r="T6">
            <v>4940</v>
          </cell>
          <cell r="U6">
            <v>4993</v>
          </cell>
          <cell r="V6">
            <v>5556</v>
          </cell>
          <cell r="W6">
            <v>6450</v>
          </cell>
          <cell r="X6">
            <v>6630</v>
          </cell>
          <cell r="Y6">
            <v>7070</v>
          </cell>
          <cell r="Z6">
            <v>7950</v>
          </cell>
          <cell r="AA6" t="str">
            <v>- ramp to 2 subs/yr</v>
          </cell>
          <cell r="AB6">
            <v>1.0728744939271229E-2</v>
          </cell>
          <cell r="AC6">
            <v>0.11275786100540763</v>
          </cell>
          <cell r="AD6">
            <v>0.16090712742980551</v>
          </cell>
          <cell r="AE6">
            <v>2.7906976744185963E-2</v>
          </cell>
          <cell r="AF6">
            <v>6.6365007541478116E-2</v>
          </cell>
          <cell r="AG6">
            <v>0.12446958981612455</v>
          </cell>
          <cell r="AI6" t="str">
            <v>EBIT</v>
          </cell>
          <cell r="AJ6">
            <v>517</v>
          </cell>
          <cell r="AK6">
            <v>321</v>
          </cell>
          <cell r="AL6">
            <v>320</v>
          </cell>
          <cell r="AM6">
            <v>354</v>
          </cell>
          <cell r="AN6">
            <v>679</v>
          </cell>
          <cell r="AO6">
            <v>783.4</v>
          </cell>
          <cell r="AP6">
            <v>1160</v>
          </cell>
          <cell r="AQ6">
            <v>1318</v>
          </cell>
          <cell r="AR6">
            <v>1481</v>
          </cell>
          <cell r="AS6">
            <v>1614</v>
          </cell>
          <cell r="AT6">
            <v>1445</v>
          </cell>
          <cell r="AU6">
            <v>1922</v>
          </cell>
          <cell r="AV6">
            <v>2187</v>
          </cell>
          <cell r="AW6">
            <v>2628</v>
          </cell>
          <cell r="AX6">
            <v>3117</v>
          </cell>
          <cell r="AY6">
            <v>3670</v>
          </cell>
          <cell r="AZ6">
            <v>3588.0249999999996</v>
          </cell>
          <cell r="BA6">
            <v>3652.41</v>
          </cell>
        </row>
        <row r="7">
          <cell r="A7" t="str">
            <v>Combat Systems</v>
          </cell>
          <cell r="B7">
            <v>1568</v>
          </cell>
          <cell r="C7">
            <v>1712</v>
          </cell>
          <cell r="D7">
            <v>1872</v>
          </cell>
          <cell r="E7">
            <v>2645</v>
          </cell>
          <cell r="F7">
            <v>1997</v>
          </cell>
          <cell r="G7">
            <v>2015</v>
          </cell>
          <cell r="H7">
            <v>1850</v>
          </cell>
          <cell r="I7">
            <v>2332</v>
          </cell>
          <cell r="J7">
            <v>2407</v>
          </cell>
          <cell r="K7">
            <v>2405</v>
          </cell>
          <cell r="L7">
            <v>2500</v>
          </cell>
          <cell r="M7">
            <v>2688</v>
          </cell>
          <cell r="N7">
            <v>1273</v>
          </cell>
          <cell r="O7">
            <v>2210</v>
          </cell>
          <cell r="P7">
            <v>2786</v>
          </cell>
          <cell r="Q7">
            <v>4007</v>
          </cell>
          <cell r="R7">
            <v>4407</v>
          </cell>
          <cell r="S7">
            <v>5021</v>
          </cell>
          <cell r="T7">
            <v>5983</v>
          </cell>
          <cell r="U7">
            <v>7797</v>
          </cell>
          <cell r="V7">
            <v>8194</v>
          </cell>
          <cell r="W7">
            <v>10000</v>
          </cell>
          <cell r="X7">
            <v>9950</v>
          </cell>
          <cell r="Y7">
            <v>10100</v>
          </cell>
          <cell r="Z7">
            <v>10150</v>
          </cell>
          <cell r="AB7">
            <v>0.30319237840548219</v>
          </cell>
          <cell r="AC7">
            <v>5.0917019366423011E-2</v>
          </cell>
          <cell r="AD7">
            <v>0.22040517451794006</v>
          </cell>
          <cell r="AE7">
            <v>-5.0000000000000044E-3</v>
          </cell>
          <cell r="AF7">
            <v>1.5075376884422065E-2</v>
          </cell>
          <cell r="AG7">
            <v>4.9504950495049549E-3</v>
          </cell>
          <cell r="AI7" t="str">
            <v>D&amp;A</v>
          </cell>
          <cell r="AJ7">
            <v>50</v>
          </cell>
          <cell r="AK7">
            <v>45</v>
          </cell>
          <cell r="AL7">
            <v>40</v>
          </cell>
          <cell r="AM7">
            <v>63</v>
          </cell>
          <cell r="AN7">
            <v>91</v>
          </cell>
          <cell r="AO7">
            <v>161</v>
          </cell>
          <cell r="AP7">
            <v>193</v>
          </cell>
          <cell r="AQ7">
            <v>226</v>
          </cell>
          <cell r="AR7">
            <v>264</v>
          </cell>
          <cell r="AS7">
            <v>208</v>
          </cell>
          <cell r="AT7">
            <v>270</v>
          </cell>
          <cell r="AU7">
            <v>306</v>
          </cell>
          <cell r="AV7">
            <v>327</v>
          </cell>
          <cell r="AW7">
            <v>384</v>
          </cell>
          <cell r="AX7">
            <v>423</v>
          </cell>
          <cell r="AY7">
            <v>447</v>
          </cell>
          <cell r="AZ7">
            <v>498.125</v>
          </cell>
          <cell r="BA7">
            <v>532.5</v>
          </cell>
        </row>
        <row r="8">
          <cell r="A8" t="str">
            <v>Info. Systems &amp; Tech.</v>
          </cell>
          <cell r="B8">
            <v>2381</v>
          </cell>
          <cell r="C8">
            <v>2399</v>
          </cell>
          <cell r="D8">
            <v>2401</v>
          </cell>
          <cell r="E8">
            <v>2441</v>
          </cell>
          <cell r="F8">
            <v>2351</v>
          </cell>
          <cell r="G8">
            <v>2565</v>
          </cell>
          <cell r="H8">
            <v>2514</v>
          </cell>
          <cell r="I8">
            <v>2608</v>
          </cell>
          <cell r="J8">
            <v>2733</v>
          </cell>
          <cell r="K8">
            <v>2655</v>
          </cell>
          <cell r="L8">
            <v>2650</v>
          </cell>
          <cell r="M8">
            <v>2762</v>
          </cell>
          <cell r="N8">
            <v>2337</v>
          </cell>
          <cell r="O8">
            <v>2691</v>
          </cell>
          <cell r="P8">
            <v>3669</v>
          </cell>
          <cell r="Q8">
            <v>4848</v>
          </cell>
          <cell r="R8">
            <v>6722</v>
          </cell>
          <cell r="S8">
            <v>7826</v>
          </cell>
          <cell r="T8">
            <v>9024</v>
          </cell>
          <cell r="U8">
            <v>9622</v>
          </cell>
          <cell r="V8">
            <v>10038</v>
          </cell>
          <cell r="W8">
            <v>10800</v>
          </cell>
          <cell r="X8">
            <v>11100</v>
          </cell>
          <cell r="Y8">
            <v>11200</v>
          </cell>
          <cell r="Z8">
            <v>11250</v>
          </cell>
          <cell r="AB8">
            <v>6.6267730496453847E-2</v>
          </cell>
          <cell r="AC8">
            <v>4.3234254832675179E-2</v>
          </cell>
          <cell r="AD8">
            <v>7.5911536162582172E-2</v>
          </cell>
          <cell r="AE8">
            <v>2.7777777777777679E-2</v>
          </cell>
          <cell r="AF8">
            <v>9.009009009008917E-3</v>
          </cell>
          <cell r="AG8">
            <v>4.4642857142858094E-3</v>
          </cell>
          <cell r="AI8" t="str">
            <v>Total</v>
          </cell>
          <cell r="AJ8">
            <v>427</v>
          </cell>
          <cell r="AK8">
            <v>366</v>
          </cell>
          <cell r="AL8">
            <v>360</v>
          </cell>
          <cell r="AM8">
            <v>417</v>
          </cell>
          <cell r="AN8">
            <v>770</v>
          </cell>
          <cell r="AO8">
            <v>944.4</v>
          </cell>
          <cell r="AP8">
            <v>1353</v>
          </cell>
          <cell r="AQ8">
            <v>1544</v>
          </cell>
          <cell r="AR8">
            <v>1745</v>
          </cell>
          <cell r="AS8">
            <v>1822</v>
          </cell>
          <cell r="AT8">
            <v>1715</v>
          </cell>
          <cell r="AU8">
            <v>2228</v>
          </cell>
          <cell r="AV8">
            <v>2514</v>
          </cell>
          <cell r="AW8">
            <v>3012</v>
          </cell>
          <cell r="AX8">
            <v>3540</v>
          </cell>
          <cell r="AY8">
            <v>4117</v>
          </cell>
          <cell r="AZ8">
            <v>4086.1499999999996</v>
          </cell>
          <cell r="BA8">
            <v>4184.91</v>
          </cell>
          <cell r="BJ8" t="str">
            <v xml:space="preserve"> </v>
          </cell>
        </row>
        <row r="9">
          <cell r="A9" t="str">
            <v>Aerospace</v>
          </cell>
          <cell r="B9">
            <v>1094</v>
          </cell>
          <cell r="C9">
            <v>1208</v>
          </cell>
          <cell r="D9">
            <v>1315</v>
          </cell>
          <cell r="E9">
            <v>1211</v>
          </cell>
          <cell r="F9">
            <v>1279</v>
          </cell>
          <cell r="G9">
            <v>1329</v>
          </cell>
          <cell r="H9">
            <v>1372</v>
          </cell>
          <cell r="I9">
            <v>1532</v>
          </cell>
          <cell r="J9">
            <v>1455</v>
          </cell>
          <cell r="K9">
            <v>1415</v>
          </cell>
          <cell r="L9">
            <v>1000</v>
          </cell>
          <cell r="M9">
            <v>1380</v>
          </cell>
          <cell r="N9">
            <v>3029</v>
          </cell>
          <cell r="O9">
            <v>3265</v>
          </cell>
          <cell r="P9">
            <v>3289</v>
          </cell>
          <cell r="Q9">
            <v>2946</v>
          </cell>
          <cell r="R9">
            <v>3012</v>
          </cell>
          <cell r="S9">
            <v>3433</v>
          </cell>
          <cell r="T9">
            <v>4116</v>
          </cell>
          <cell r="U9">
            <v>4828</v>
          </cell>
          <cell r="V9">
            <v>5512</v>
          </cell>
          <cell r="W9">
            <v>5250</v>
          </cell>
          <cell r="X9">
            <v>5300</v>
          </cell>
          <cell r="Y9">
            <v>6100</v>
          </cell>
          <cell r="Z9">
            <v>7400</v>
          </cell>
          <cell r="AB9">
            <v>0.17298347910592815</v>
          </cell>
          <cell r="AC9">
            <v>0.14167357083678533</v>
          </cell>
          <cell r="AD9">
            <v>-4.7532656023222097E-2</v>
          </cell>
          <cell r="AE9">
            <v>9.52380952380949E-3</v>
          </cell>
          <cell r="AF9">
            <v>0.15094339622641506</v>
          </cell>
          <cell r="AG9">
            <v>0.21311475409836067</v>
          </cell>
          <cell r="AI9" t="str">
            <v>Enterprise Value</v>
          </cell>
          <cell r="BJ9" t="str">
            <v xml:space="preserve"> </v>
          </cell>
        </row>
        <row r="10">
          <cell r="A10" t="str">
            <v>Resources/Corporate</v>
          </cell>
          <cell r="N10">
            <v>253</v>
          </cell>
          <cell r="O10">
            <v>276</v>
          </cell>
          <cell r="P10">
            <v>286</v>
          </cell>
          <cell r="Q10">
            <v>256</v>
          </cell>
          <cell r="R10">
            <v>1</v>
          </cell>
          <cell r="AI10" t="str">
            <v>Net Debt/(Cash), Avg.</v>
          </cell>
          <cell r="AJ10">
            <v>-547</v>
          </cell>
          <cell r="AK10">
            <v>-783.47500000000002</v>
          </cell>
          <cell r="AL10">
            <v>-1038.3477499999999</v>
          </cell>
          <cell r="AM10">
            <v>-956.21550000000002</v>
          </cell>
          <cell r="AN10">
            <v>-492.58024999999992</v>
          </cell>
          <cell r="AO10">
            <v>95.094600000000128</v>
          </cell>
          <cell r="AP10">
            <v>582.65920000000017</v>
          </cell>
          <cell r="AQ10">
            <v>638.70720000000017</v>
          </cell>
          <cell r="AR10">
            <v>963.88010000000008</v>
          </cell>
          <cell r="AS10">
            <v>1320</v>
          </cell>
          <cell r="AT10">
            <v>2163</v>
          </cell>
          <cell r="AU10">
            <v>2751.5</v>
          </cell>
          <cell r="AV10">
            <v>1638.5</v>
          </cell>
          <cell r="AW10">
            <v>1066.5</v>
          </cell>
          <cell r="AX10">
            <v>538.5</v>
          </cell>
          <cell r="AY10">
            <v>1151.5</v>
          </cell>
          <cell r="AZ10">
            <v>1396.3983658635225</v>
          </cell>
          <cell r="BA10">
            <v>-529.13307991461079</v>
          </cell>
          <cell r="BJ10" t="str">
            <v xml:space="preserve"> </v>
          </cell>
        </row>
        <row r="11">
          <cell r="A11" t="str">
            <v>Total Revenues</v>
          </cell>
          <cell r="B11">
            <v>6300</v>
          </cell>
          <cell r="C11">
            <v>6591</v>
          </cell>
          <cell r="D11">
            <v>6834</v>
          </cell>
          <cell r="E11">
            <v>7515</v>
          </cell>
          <cell r="F11">
            <v>7005</v>
          </cell>
          <cell r="G11">
            <v>7303</v>
          </cell>
          <cell r="H11">
            <v>7140</v>
          </cell>
          <cell r="I11">
            <v>7852</v>
          </cell>
          <cell r="J11">
            <v>8264</v>
          </cell>
          <cell r="K11">
            <v>8100</v>
          </cell>
          <cell r="L11">
            <v>7700</v>
          </cell>
          <cell r="M11">
            <v>8436</v>
          </cell>
          <cell r="N11">
            <v>10305</v>
          </cell>
          <cell r="O11">
            <v>12054</v>
          </cell>
          <cell r="P11">
            <v>13680</v>
          </cell>
          <cell r="Q11">
            <v>16328</v>
          </cell>
          <cell r="R11">
            <v>18868</v>
          </cell>
          <cell r="S11">
            <v>20975</v>
          </cell>
          <cell r="T11">
            <v>24063</v>
          </cell>
          <cell r="U11">
            <v>27240</v>
          </cell>
          <cell r="V11">
            <v>29300</v>
          </cell>
          <cell r="W11">
            <v>32500</v>
          </cell>
          <cell r="X11">
            <v>32980</v>
          </cell>
          <cell r="Y11">
            <v>34470</v>
          </cell>
          <cell r="Z11">
            <v>36750</v>
          </cell>
          <cell r="AB11">
            <v>0.13202842538336856</v>
          </cell>
          <cell r="AC11">
            <v>7.562408223201178E-2</v>
          </cell>
          <cell r="AD11">
            <v>0.10921501706484649</v>
          </cell>
          <cell r="AE11">
            <v>1.4769230769230868E-2</v>
          </cell>
          <cell r="AF11">
            <v>4.5178896300788418E-2</v>
          </cell>
          <cell r="AG11">
            <v>6.6144473455178376E-2</v>
          </cell>
          <cell r="AI11" t="str">
            <v>Other assets</v>
          </cell>
          <cell r="AK11" t="str">
            <v xml:space="preserve"> </v>
          </cell>
          <cell r="AM11">
            <v>-934</v>
          </cell>
          <cell r="AN11">
            <v>-934</v>
          </cell>
          <cell r="AO11">
            <v>-934</v>
          </cell>
          <cell r="AP11">
            <v>-133.5</v>
          </cell>
          <cell r="BJ11" t="str">
            <v xml:space="preserve"> </v>
          </cell>
          <cell r="BQ11" t="str">
            <v>mstag:revenueNet</v>
          </cell>
          <cell r="BR11">
            <v>6</v>
          </cell>
          <cell r="BS11" t="str">
            <v>ISO4217:USD</v>
          </cell>
          <cell r="BT11" t="b">
            <v>0</v>
          </cell>
        </row>
        <row r="12">
          <cell r="A12" t="str">
            <v>% Ch Y/Y</v>
          </cell>
          <cell r="B12">
            <v>0.13595384060584204</v>
          </cell>
          <cell r="C12">
            <v>0.11071789686552073</v>
          </cell>
          <cell r="D12">
            <v>0.12605042016806722</v>
          </cell>
          <cell r="E12">
            <v>0.15366902057107767</v>
          </cell>
          <cell r="F12">
            <v>0.11190476190476195</v>
          </cell>
          <cell r="G12">
            <v>0.10802609619177672</v>
          </cell>
          <cell r="H12">
            <v>4.4776119402984982E-2</v>
          </cell>
          <cell r="I12">
            <v>4.4843646041250906E-2</v>
          </cell>
          <cell r="J12">
            <v>0.17972876516773728</v>
          </cell>
          <cell r="K12">
            <v>0.10913323291797883</v>
          </cell>
          <cell r="L12">
            <v>7.8431372549019551E-2</v>
          </cell>
          <cell r="M12">
            <v>7.4375955170657093E-2</v>
          </cell>
          <cell r="N12">
            <v>0.15023998214086398</v>
          </cell>
          <cell r="O12">
            <v>0.16972343522561872</v>
          </cell>
          <cell r="P12">
            <v>0.13489298158287699</v>
          </cell>
          <cell r="Q12">
            <v>0.19356725146198839</v>
          </cell>
          <cell r="R12">
            <v>0.15556099951004421</v>
          </cell>
          <cell r="S12">
            <v>0.11167055331778664</v>
          </cell>
          <cell r="T12">
            <v>0.14722288438617404</v>
          </cell>
          <cell r="U12">
            <v>0.13202842538336856</v>
          </cell>
          <cell r="V12">
            <v>7.562408223201178E-2</v>
          </cell>
          <cell r="W12">
            <v>0.10921501706484649</v>
          </cell>
          <cell r="X12">
            <v>1.4769230769230868E-2</v>
          </cell>
          <cell r="Y12">
            <v>4.5178896300788418E-2</v>
          </cell>
          <cell r="Z12">
            <v>6.6144473455178376E-2</v>
          </cell>
          <cell r="AI12" t="str">
            <v>Equity Mkt Cap, Avg.</v>
          </cell>
          <cell r="AJ12">
            <v>1582.9625000000001</v>
          </cell>
          <cell r="AK12">
            <v>2714.3125</v>
          </cell>
          <cell r="AL12">
            <v>3319.3125</v>
          </cell>
          <cell r="AM12">
            <v>4206.875</v>
          </cell>
          <cell r="AN12">
            <v>7912.9343749999998</v>
          </cell>
          <cell r="AO12">
            <v>10337.474999999999</v>
          </cell>
          <cell r="AP12">
            <v>12290.206249999999</v>
          </cell>
          <cell r="AQ12">
            <v>11599.9125</v>
          </cell>
          <cell r="AR12">
            <v>15876.925000000001</v>
          </cell>
          <cell r="AS12">
            <v>18705.997180000002</v>
          </cell>
          <cell r="AT12">
            <v>14020.300800000001</v>
          </cell>
          <cell r="AU12">
            <v>19636.98849</v>
          </cell>
          <cell r="AV12">
            <v>22252.47032</v>
          </cell>
          <cell r="AW12">
            <v>27388.827000000001</v>
          </cell>
          <cell r="AX12">
            <v>33704.614099999999</v>
          </cell>
          <cell r="AY12">
            <v>28495.089</v>
          </cell>
          <cell r="AZ12">
            <v>21176.248218950001</v>
          </cell>
          <cell r="BA12">
            <v>20731.848218950003</v>
          </cell>
          <cell r="BJ12" t="str">
            <v xml:space="preserve"> </v>
          </cell>
        </row>
        <row r="13">
          <cell r="A13" t="str">
            <v>Operating Profit</v>
          </cell>
          <cell r="AI13" t="str">
            <v>Total</v>
          </cell>
          <cell r="AJ13">
            <v>1035.9625000000001</v>
          </cell>
          <cell r="AK13">
            <v>1930.8375000000001</v>
          </cell>
          <cell r="AL13">
            <v>2280.9647500000001</v>
          </cell>
          <cell r="AM13">
            <v>2316.6594999999998</v>
          </cell>
          <cell r="AN13">
            <v>6486.3541249999998</v>
          </cell>
          <cell r="AO13">
            <v>9498.5695999999989</v>
          </cell>
          <cell r="AP13">
            <v>12739.365449999999</v>
          </cell>
          <cell r="AQ13">
            <v>12238.619700000001</v>
          </cell>
          <cell r="AR13">
            <v>16840.805100000001</v>
          </cell>
          <cell r="AS13">
            <v>20025.997180000002</v>
          </cell>
          <cell r="AT13">
            <v>16183.300800000001</v>
          </cell>
          <cell r="AU13">
            <v>22388.48849</v>
          </cell>
          <cell r="AV13">
            <v>23890.97032</v>
          </cell>
          <cell r="AW13">
            <v>28455.327000000001</v>
          </cell>
          <cell r="AX13">
            <v>34243.114099999999</v>
          </cell>
          <cell r="AY13">
            <v>29646.589</v>
          </cell>
          <cell r="AZ13">
            <v>22572.646584813523</v>
          </cell>
          <cell r="BA13">
            <v>20202.71513903539</v>
          </cell>
          <cell r="BJ13" t="str">
            <v xml:space="preserve">  </v>
          </cell>
        </row>
        <row r="14">
          <cell r="A14" t="str">
            <v>Marine Systems</v>
          </cell>
          <cell r="B14">
            <v>98</v>
          </cell>
          <cell r="C14">
            <v>112</v>
          </cell>
          <cell r="D14">
            <v>110</v>
          </cell>
          <cell r="E14">
            <v>101</v>
          </cell>
          <cell r="F14">
            <v>122</v>
          </cell>
          <cell r="G14">
            <v>127</v>
          </cell>
          <cell r="H14">
            <v>140</v>
          </cell>
          <cell r="I14">
            <v>132</v>
          </cell>
          <cell r="J14">
            <v>163</v>
          </cell>
          <cell r="K14">
            <v>168</v>
          </cell>
          <cell r="L14">
            <v>144.15</v>
          </cell>
          <cell r="M14">
            <v>153.72500000000002</v>
          </cell>
          <cell r="N14">
            <v>324</v>
          </cell>
          <cell r="O14">
            <v>310</v>
          </cell>
          <cell r="P14">
            <v>287</v>
          </cell>
          <cell r="Q14">
            <v>216</v>
          </cell>
          <cell r="R14">
            <v>292</v>
          </cell>
          <cell r="S14">
            <v>249</v>
          </cell>
          <cell r="T14">
            <v>375</v>
          </cell>
          <cell r="U14">
            <v>421</v>
          </cell>
          <cell r="V14">
            <v>521</v>
          </cell>
          <cell r="W14">
            <v>628.875</v>
          </cell>
          <cell r="X14">
            <v>643.11</v>
          </cell>
          <cell r="Y14">
            <v>692.86</v>
          </cell>
          <cell r="Z14">
            <v>755.25</v>
          </cell>
          <cell r="AB14">
            <v>0.1226666666666667</v>
          </cell>
          <cell r="AC14">
            <v>0.23752969121140133</v>
          </cell>
          <cell r="AD14">
            <v>0.20705374280230315</v>
          </cell>
          <cell r="AE14">
            <v>2.263565891472874E-2</v>
          </cell>
          <cell r="AF14">
            <v>7.7358461227472697E-2</v>
          </cell>
          <cell r="AG14">
            <v>9.0047051352365459E-2</v>
          </cell>
          <cell r="AI14" t="str">
            <v>EV/EBITDA</v>
          </cell>
          <cell r="AJ14">
            <v>2.4261416861826701</v>
          </cell>
          <cell r="AK14">
            <v>5.2755122950819677</v>
          </cell>
          <cell r="AL14">
            <v>6.3360131944444449</v>
          </cell>
          <cell r="AM14">
            <v>5.5555383693045561</v>
          </cell>
          <cell r="AN14">
            <v>8.4238365259740249</v>
          </cell>
          <cell r="AO14">
            <v>10.057782295637441</v>
          </cell>
          <cell r="AP14">
            <v>9.4156433481152995</v>
          </cell>
          <cell r="AQ14">
            <v>7.9265671632124359</v>
          </cell>
          <cell r="AR14">
            <v>9.6508911747851016</v>
          </cell>
          <cell r="AS14">
            <v>10.991216893523601</v>
          </cell>
          <cell r="AT14">
            <v>9.4363269970845494</v>
          </cell>
          <cell r="AU14">
            <v>10.048693218132854</v>
          </cell>
          <cell r="AV14">
            <v>9.5031703739061264</v>
          </cell>
          <cell r="AW14">
            <v>9.4473197211155391</v>
          </cell>
          <cell r="AX14">
            <v>9.6731960734463271</v>
          </cell>
          <cell r="AY14">
            <v>7.2010174884624725</v>
          </cell>
          <cell r="AZ14">
            <v>5.5241845220595245</v>
          </cell>
          <cell r="BA14">
            <v>4.8275148423826062</v>
          </cell>
          <cell r="BJ14" t="str">
            <v xml:space="preserve"> </v>
          </cell>
        </row>
        <row r="15">
          <cell r="A15" t="str">
            <v>Combat Systems</v>
          </cell>
          <cell r="B15">
            <v>174</v>
          </cell>
          <cell r="C15">
            <v>191</v>
          </cell>
          <cell r="D15">
            <v>228</v>
          </cell>
          <cell r="E15">
            <v>323</v>
          </cell>
          <cell r="F15">
            <v>259</v>
          </cell>
          <cell r="G15">
            <v>282</v>
          </cell>
          <cell r="H15">
            <v>262</v>
          </cell>
          <cell r="I15">
            <v>308</v>
          </cell>
          <cell r="J15">
            <v>279</v>
          </cell>
          <cell r="K15">
            <v>300</v>
          </cell>
          <cell r="L15">
            <v>310</v>
          </cell>
          <cell r="M15">
            <v>336</v>
          </cell>
          <cell r="N15">
            <v>156</v>
          </cell>
          <cell r="O15">
            <v>238</v>
          </cell>
          <cell r="P15">
            <v>309</v>
          </cell>
          <cell r="Q15">
            <v>443</v>
          </cell>
          <cell r="R15">
            <v>522</v>
          </cell>
          <cell r="S15">
            <v>576</v>
          </cell>
          <cell r="T15">
            <v>677</v>
          </cell>
          <cell r="U15">
            <v>916</v>
          </cell>
          <cell r="V15">
            <v>1111</v>
          </cell>
          <cell r="W15">
            <v>1225</v>
          </cell>
          <cell r="X15">
            <v>1194</v>
          </cell>
          <cell r="Y15">
            <v>1161.5</v>
          </cell>
          <cell r="Z15">
            <v>1116.5</v>
          </cell>
          <cell r="AB15">
            <v>0.35302806499261452</v>
          </cell>
          <cell r="AC15">
            <v>0.21288209606986896</v>
          </cell>
          <cell r="AD15">
            <v>0.1026102610261026</v>
          </cell>
          <cell r="AE15">
            <v>-2.5306122448979562E-2</v>
          </cell>
          <cell r="AF15">
            <v>-2.7219430485762142E-2</v>
          </cell>
          <cell r="AG15">
            <v>-3.8743004735256159E-2</v>
          </cell>
          <cell r="BJ15" t="str">
            <v xml:space="preserve"> </v>
          </cell>
        </row>
        <row r="16">
          <cell r="A16" t="str">
            <v>Info. Systems &amp; Tech.</v>
          </cell>
          <cell r="B16">
            <v>250</v>
          </cell>
          <cell r="C16">
            <v>269</v>
          </cell>
          <cell r="D16">
            <v>254</v>
          </cell>
          <cell r="E16">
            <v>254</v>
          </cell>
          <cell r="F16">
            <v>260</v>
          </cell>
          <cell r="G16">
            <v>292</v>
          </cell>
          <cell r="H16">
            <v>270</v>
          </cell>
          <cell r="I16">
            <v>253</v>
          </cell>
          <cell r="J16">
            <v>289</v>
          </cell>
          <cell r="K16">
            <v>284</v>
          </cell>
          <cell r="L16">
            <v>265</v>
          </cell>
          <cell r="M16">
            <v>274.39999999999986</v>
          </cell>
          <cell r="N16">
            <v>217</v>
          </cell>
          <cell r="O16">
            <v>261</v>
          </cell>
          <cell r="P16">
            <v>435</v>
          </cell>
          <cell r="Q16">
            <v>533</v>
          </cell>
          <cell r="R16">
            <v>718</v>
          </cell>
          <cell r="S16">
            <v>865</v>
          </cell>
          <cell r="T16">
            <v>976</v>
          </cell>
          <cell r="U16">
            <v>1027</v>
          </cell>
          <cell r="V16">
            <v>1075</v>
          </cell>
          <cell r="W16">
            <v>1112.3999999999999</v>
          </cell>
          <cell r="X16">
            <v>1143.3</v>
          </cell>
          <cell r="Y16">
            <v>1108.8</v>
          </cell>
          <cell r="Z16">
            <v>1091.25</v>
          </cell>
          <cell r="AB16">
            <v>5.2254098360655643E-2</v>
          </cell>
          <cell r="AC16">
            <v>4.6738072054527846E-2</v>
          </cell>
          <cell r="AD16">
            <v>3.4790697674418558E-2</v>
          </cell>
          <cell r="AE16">
            <v>2.7777777777777901E-2</v>
          </cell>
          <cell r="AF16">
            <v>-3.0175806874836009E-2</v>
          </cell>
          <cell r="AG16">
            <v>-1.5827922077922052E-2</v>
          </cell>
          <cell r="AI16" t="str">
            <v>Cash Flow/NINC</v>
          </cell>
          <cell r="AO16" t="str">
            <v>NMF</v>
          </cell>
          <cell r="AP16">
            <v>1.1580397476958364</v>
          </cell>
          <cell r="AQ16">
            <v>0.96538483410681741</v>
          </cell>
          <cell r="AR16">
            <v>0.79003181336161199</v>
          </cell>
          <cell r="AS16">
            <v>0.82692307692307687</v>
          </cell>
          <cell r="AT16">
            <v>1.4950199203187251</v>
          </cell>
          <cell r="AU16">
            <v>1.263243683781581</v>
          </cell>
          <cell r="AV16">
            <v>1.2279260780287475</v>
          </cell>
          <cell r="AW16">
            <v>0.96659482758620685</v>
          </cell>
          <cell r="AX16">
            <v>1.1783653846153845</v>
          </cell>
          <cell r="AY16">
            <v>1.0654737698251322</v>
          </cell>
          <cell r="AZ16">
            <v>1.4330381683905913</v>
          </cell>
          <cell r="BA16">
            <v>1.179662633222621</v>
          </cell>
          <cell r="BJ16" t="str">
            <v xml:space="preserve"> </v>
          </cell>
        </row>
        <row r="17">
          <cell r="A17" t="str">
            <v>Aerospace</v>
          </cell>
          <cell r="B17">
            <v>173</v>
          </cell>
          <cell r="C17">
            <v>199</v>
          </cell>
          <cell r="D17">
            <v>226</v>
          </cell>
          <cell r="E17">
            <v>212</v>
          </cell>
          <cell r="F17">
            <v>236</v>
          </cell>
          <cell r="G17">
            <v>240</v>
          </cell>
          <cell r="H17">
            <v>281</v>
          </cell>
          <cell r="I17">
            <v>264</v>
          </cell>
          <cell r="J17">
            <v>200</v>
          </cell>
          <cell r="K17">
            <v>215</v>
          </cell>
          <cell r="L17">
            <v>100</v>
          </cell>
          <cell r="M17">
            <v>193.75</v>
          </cell>
          <cell r="N17">
            <v>592</v>
          </cell>
          <cell r="O17">
            <v>625</v>
          </cell>
          <cell r="P17">
            <v>447</v>
          </cell>
          <cell r="Q17">
            <v>218</v>
          </cell>
          <cell r="R17">
            <v>393</v>
          </cell>
          <cell r="S17">
            <v>495</v>
          </cell>
          <cell r="T17">
            <v>644</v>
          </cell>
          <cell r="U17">
            <v>810</v>
          </cell>
          <cell r="V17">
            <v>1021</v>
          </cell>
          <cell r="W17">
            <v>708.75</v>
          </cell>
          <cell r="X17">
            <v>742.00000000000011</v>
          </cell>
          <cell r="Y17">
            <v>915</v>
          </cell>
          <cell r="Z17">
            <v>1243.2</v>
          </cell>
          <cell r="AB17">
            <v>0.2577639751552796</v>
          </cell>
          <cell r="AC17">
            <v>0.26049382716049374</v>
          </cell>
          <cell r="AD17">
            <v>-0.30582761998041141</v>
          </cell>
          <cell r="AE17">
            <v>4.6913580246913833E-2</v>
          </cell>
          <cell r="AF17">
            <v>0.23315363881401607</v>
          </cell>
          <cell r="AG17">
            <v>0.35868852459016409</v>
          </cell>
          <cell r="AI17" t="str">
            <v>Economic P/E</v>
          </cell>
          <cell r="BJ17" t="str">
            <v xml:space="preserve"> </v>
          </cell>
        </row>
        <row r="18">
          <cell r="A18" t="str">
            <v>Resources/Corporate</v>
          </cell>
          <cell r="B18">
            <v>-14</v>
          </cell>
          <cell r="C18">
            <v>-11</v>
          </cell>
          <cell r="D18">
            <v>-17</v>
          </cell>
          <cell r="E18">
            <v>-19</v>
          </cell>
          <cell r="F18">
            <v>-16</v>
          </cell>
          <cell r="G18">
            <v>-20</v>
          </cell>
          <cell r="H18">
            <v>-20</v>
          </cell>
          <cell r="I18">
            <v>-19</v>
          </cell>
          <cell r="J18">
            <v>-26</v>
          </cell>
          <cell r="K18">
            <v>-22</v>
          </cell>
          <cell r="L18">
            <v>-21</v>
          </cell>
          <cell r="M18">
            <v>-21</v>
          </cell>
          <cell r="N18">
            <v>36</v>
          </cell>
          <cell r="O18">
            <v>52</v>
          </cell>
          <cell r="P18">
            <v>89</v>
          </cell>
          <cell r="Q18">
            <v>32</v>
          </cell>
          <cell r="R18">
            <v>6</v>
          </cell>
          <cell r="S18">
            <v>-6</v>
          </cell>
          <cell r="T18">
            <v>-47</v>
          </cell>
          <cell r="U18">
            <v>-61</v>
          </cell>
          <cell r="V18">
            <v>-75</v>
          </cell>
          <cell r="W18">
            <v>-90</v>
          </cell>
          <cell r="X18">
            <v>-70</v>
          </cell>
          <cell r="Y18">
            <v>-70</v>
          </cell>
          <cell r="Z18">
            <v>-70</v>
          </cell>
          <cell r="AB18">
            <v>0.2978723404255319</v>
          </cell>
          <cell r="AC18">
            <v>0.22950819672131151</v>
          </cell>
          <cell r="AD18">
            <v>0.19999999999999996</v>
          </cell>
          <cell r="AE18">
            <v>-0.22222222222222221</v>
          </cell>
          <cell r="AF18">
            <v>0</v>
          </cell>
          <cell r="AG18">
            <v>0</v>
          </cell>
          <cell r="AI18" t="str">
            <v>P/E</v>
          </cell>
          <cell r="AK18">
            <v>12.174534649024443</v>
          </cell>
          <cell r="AL18">
            <v>13.449647582715244</v>
          </cell>
          <cell r="AM18">
            <v>15.58448173668223</v>
          </cell>
          <cell r="AN18">
            <v>14.143499486125387</v>
          </cell>
          <cell r="AO18">
            <v>20.847534227347676</v>
          </cell>
          <cell r="AP18">
            <v>17.188859246723823</v>
          </cell>
          <cell r="AQ18">
            <v>14.34046055478221</v>
          </cell>
          <cell r="AR18">
            <v>16.836611876988339</v>
          </cell>
          <cell r="AS18">
            <v>17.986535750000002</v>
          </cell>
          <cell r="AT18">
            <v>14.321042696629215</v>
          </cell>
          <cell r="AU18">
            <v>16.446389020100504</v>
          </cell>
          <cell r="AV18">
            <v>15.367728121546964</v>
          </cell>
          <cell r="AW18">
            <v>16.016857894736841</v>
          </cell>
          <cell r="AX18">
            <v>16.204141394230767</v>
          </cell>
          <cell r="AY18">
            <v>11.663974212034383</v>
          </cell>
          <cell r="AZ18">
            <v>8.9884862520285829</v>
          </cell>
          <cell r="BA18">
            <v>8.5996631193962738</v>
          </cell>
          <cell r="BJ18" t="str">
            <v xml:space="preserve"> </v>
          </cell>
        </row>
        <row r="19">
          <cell r="A19" t="str">
            <v>Total Operating Profit</v>
          </cell>
          <cell r="B19">
            <v>681</v>
          </cell>
          <cell r="C19">
            <v>760</v>
          </cell>
          <cell r="D19">
            <v>801</v>
          </cell>
          <cell r="E19">
            <v>871</v>
          </cell>
          <cell r="F19">
            <v>861</v>
          </cell>
          <cell r="G19">
            <v>921</v>
          </cell>
          <cell r="H19">
            <v>933</v>
          </cell>
          <cell r="I19">
            <v>938</v>
          </cell>
          <cell r="J19">
            <v>905</v>
          </cell>
          <cell r="K19">
            <v>945</v>
          </cell>
          <cell r="L19">
            <v>798.15</v>
          </cell>
          <cell r="M19">
            <v>936.87499999999989</v>
          </cell>
          <cell r="N19">
            <v>1325</v>
          </cell>
          <cell r="O19">
            <v>1486</v>
          </cell>
          <cell r="P19">
            <v>1567</v>
          </cell>
          <cell r="Q19">
            <v>1442</v>
          </cell>
          <cell r="R19">
            <v>1931</v>
          </cell>
          <cell r="S19">
            <v>2179</v>
          </cell>
          <cell r="T19">
            <v>2625</v>
          </cell>
          <cell r="U19">
            <v>3113</v>
          </cell>
          <cell r="V19">
            <v>3653</v>
          </cell>
          <cell r="W19">
            <v>3585.0249999999996</v>
          </cell>
          <cell r="X19">
            <v>3652.41</v>
          </cell>
          <cell r="Y19">
            <v>3808.16</v>
          </cell>
          <cell r="Z19">
            <v>4136.2</v>
          </cell>
          <cell r="AB19">
            <v>0.18590476190476179</v>
          </cell>
          <cell r="AC19">
            <v>0.1734661098618695</v>
          </cell>
          <cell r="AD19">
            <v>-1.860799343005759E-2</v>
          </cell>
          <cell r="AE19">
            <v>1.8796242704025801E-2</v>
          </cell>
          <cell r="AF19">
            <v>4.2643076763013932E-2</v>
          </cell>
          <cell r="AG19">
            <v>8.6141338599218464E-2</v>
          </cell>
          <cell r="AI19" t="str">
            <v>EV/Sls</v>
          </cell>
          <cell r="AL19">
            <v>0.74371201499836981</v>
          </cell>
          <cell r="AM19">
            <v>0.64693088522759001</v>
          </cell>
          <cell r="AN19">
            <v>1.075859035495107</v>
          </cell>
          <cell r="AO19">
            <v>1.2605931785003317</v>
          </cell>
          <cell r="AP19">
            <v>1.4219628809018863</v>
          </cell>
          <cell r="AQ19">
            <v>1.187638981077147</v>
          </cell>
          <cell r="AR19">
            <v>1.3971134146341464</v>
          </cell>
          <cell r="AS19">
            <v>1.4638886827485382</v>
          </cell>
          <cell r="AT19">
            <v>0.99113797158255768</v>
          </cell>
          <cell r="AU19">
            <v>1.1865851436294255</v>
          </cell>
          <cell r="AV19">
            <v>1.1390212309892729</v>
          </cell>
          <cell r="AW19">
            <v>1.1825344720109712</v>
          </cell>
          <cell r="AX19">
            <v>1.2570893575624082</v>
          </cell>
          <cell r="AY19">
            <v>1.011828976109215</v>
          </cell>
          <cell r="AZ19">
            <v>0.69454297184041613</v>
          </cell>
          <cell r="BA19">
            <v>0.61257474648378984</v>
          </cell>
          <cell r="BJ19" t="str">
            <v xml:space="preserve"> </v>
          </cell>
        </row>
        <row r="20">
          <cell r="A20" t="str">
            <v>Operating Profit Margin</v>
          </cell>
          <cell r="AI20" t="str">
            <v>Current Price/Mean</v>
          </cell>
          <cell r="AJ20">
            <v>12.5234375</v>
          </cell>
          <cell r="AK20">
            <v>10.703125</v>
          </cell>
          <cell r="AL20">
            <v>13.171875</v>
          </cell>
          <cell r="AM20">
            <v>16.5625</v>
          </cell>
          <cell r="AN20">
            <v>19.328125</v>
          </cell>
          <cell r="AO20">
            <v>25.5625</v>
          </cell>
          <cell r="AP20">
            <v>30.40625</v>
          </cell>
          <cell r="AQ20">
            <v>28.8125</v>
          </cell>
          <cell r="AR20">
            <v>39.125</v>
          </cell>
          <cell r="AS20">
            <v>46.107500000000002</v>
          </cell>
          <cell r="AT20">
            <v>35.200000000000003</v>
          </cell>
          <cell r="AU20">
            <v>48.734999999999999</v>
          </cell>
          <cell r="AV20">
            <v>54.965000000000003</v>
          </cell>
          <cell r="AW20">
            <v>67.327500000000001</v>
          </cell>
          <cell r="AX20">
            <v>82.58</v>
          </cell>
          <cell r="AY20">
            <v>71.47</v>
          </cell>
          <cell r="AZ20">
            <v>55</v>
          </cell>
          <cell r="BA20">
            <v>55</v>
          </cell>
        </row>
        <row r="21">
          <cell r="A21" t="str">
            <v>Marine Systems</v>
          </cell>
          <cell r="B21">
            <v>7.7963404932378674E-2</v>
          </cell>
          <cell r="C21">
            <v>8.8050314465408799E-2</v>
          </cell>
          <cell r="D21">
            <v>8.8282504012841087E-2</v>
          </cell>
          <cell r="E21">
            <v>8.2922824302134643E-2</v>
          </cell>
          <cell r="F21">
            <v>8.8534107402031936E-2</v>
          </cell>
          <cell r="G21">
            <v>9.1104734576757537E-2</v>
          </cell>
          <cell r="H21">
            <v>9.9715099715099717E-2</v>
          </cell>
          <cell r="I21">
            <v>9.5652173913043481E-2</v>
          </cell>
          <cell r="J21">
            <v>9.7663271420011979E-2</v>
          </cell>
          <cell r="K21">
            <v>0.10338461538461538</v>
          </cell>
          <cell r="L21">
            <v>9.2999999999999999E-2</v>
          </cell>
          <cell r="M21">
            <v>9.5719178082191797E-2</v>
          </cell>
          <cell r="N21">
            <v>9.4931145619689419E-2</v>
          </cell>
          <cell r="O21">
            <v>8.58250276854928E-2</v>
          </cell>
          <cell r="P21">
            <v>7.8630136986301363E-2</v>
          </cell>
          <cell r="Q21">
            <v>5.0573636150784362E-2</v>
          </cell>
          <cell r="R21">
            <v>6.1785865425306813E-2</v>
          </cell>
          <cell r="S21">
            <v>5.3035143769968054E-2</v>
          </cell>
          <cell r="T21">
            <v>7.5910931174089064E-2</v>
          </cell>
          <cell r="U21">
            <v>8.431804526336871E-2</v>
          </cell>
          <cell r="V21">
            <v>9.3772498200143994E-2</v>
          </cell>
          <cell r="W21">
            <v>9.7500000000000003E-2</v>
          </cell>
          <cell r="X21">
            <v>9.7000000000000003E-2</v>
          </cell>
          <cell r="Y21">
            <v>9.8000000000000004E-2</v>
          </cell>
          <cell r="Z21">
            <v>9.5000000000000001E-2</v>
          </cell>
          <cell r="AA21" t="str">
            <v>- 10% goal by 2010</v>
          </cell>
        </row>
        <row r="22">
          <cell r="A22" t="str">
            <v>Combat Systems</v>
          </cell>
          <cell r="B22">
            <v>0.11096938775510204</v>
          </cell>
          <cell r="C22">
            <v>0.11156542056074767</v>
          </cell>
          <cell r="D22">
            <v>0.12179487179487179</v>
          </cell>
          <cell r="E22">
            <v>0.12211720226843101</v>
          </cell>
          <cell r="F22">
            <v>0.12969454181271908</v>
          </cell>
          <cell r="G22">
            <v>0.13995037220843673</v>
          </cell>
          <cell r="H22">
            <v>0.14162162162162162</v>
          </cell>
          <cell r="I22">
            <v>0.13207547169811321</v>
          </cell>
          <cell r="J22">
            <v>0.11591192355629414</v>
          </cell>
          <cell r="K22">
            <v>0.12474012474012475</v>
          </cell>
          <cell r="L22">
            <v>0.124</v>
          </cell>
          <cell r="M22">
            <v>0.125</v>
          </cell>
          <cell r="N22">
            <v>0.12254516889238021</v>
          </cell>
          <cell r="O22">
            <v>0.1076923076923077</v>
          </cell>
          <cell r="P22">
            <v>0.11091170136396267</v>
          </cell>
          <cell r="Q22">
            <v>0.11055652607936112</v>
          </cell>
          <cell r="R22">
            <v>0.11844792375765827</v>
          </cell>
          <cell r="S22">
            <v>0.11471818362875921</v>
          </cell>
          <cell r="T22">
            <v>0.1131539361524319</v>
          </cell>
          <cell r="U22">
            <v>0.11748108246761575</v>
          </cell>
          <cell r="V22">
            <v>0.13558701488894312</v>
          </cell>
          <cell r="W22">
            <v>0.1225</v>
          </cell>
          <cell r="X22">
            <v>0.12</v>
          </cell>
          <cell r="Y22">
            <v>0.115</v>
          </cell>
          <cell r="Z22">
            <v>0.11</v>
          </cell>
          <cell r="AA22" t="str">
            <v>- 08 boosted by MRAP; not sustainable</v>
          </cell>
          <cell r="AI22" t="str">
            <v>Date</v>
          </cell>
          <cell r="AJ22">
            <v>34334</v>
          </cell>
          <cell r="AK22">
            <v>34699</v>
          </cell>
          <cell r="AL22">
            <v>35064</v>
          </cell>
          <cell r="AM22">
            <v>35430</v>
          </cell>
          <cell r="AN22">
            <v>35795</v>
          </cell>
          <cell r="AO22">
            <v>36160</v>
          </cell>
          <cell r="AP22">
            <v>36525</v>
          </cell>
          <cell r="AQ22">
            <v>36891</v>
          </cell>
          <cell r="AR22">
            <v>37256</v>
          </cell>
          <cell r="AS22">
            <v>37621</v>
          </cell>
          <cell r="AT22">
            <v>37986</v>
          </cell>
          <cell r="AU22">
            <v>38352</v>
          </cell>
          <cell r="AV22">
            <v>38717</v>
          </cell>
          <cell r="AW22">
            <v>39082</v>
          </cell>
          <cell r="AX22">
            <v>39447</v>
          </cell>
          <cell r="AY22">
            <v>39813</v>
          </cell>
          <cell r="AZ22">
            <v>40178</v>
          </cell>
          <cell r="BA22">
            <v>40543</v>
          </cell>
        </row>
        <row r="23">
          <cell r="A23" t="str">
            <v>Info. Systems &amp; Tech.</v>
          </cell>
          <cell r="B23">
            <v>0.10499790004199916</v>
          </cell>
          <cell r="C23">
            <v>0.11213005418924551</v>
          </cell>
          <cell r="D23">
            <v>0.10578925447730113</v>
          </cell>
          <cell r="E23">
            <v>0.10405571487095452</v>
          </cell>
          <cell r="F23">
            <v>0.11059123777116121</v>
          </cell>
          <cell r="G23">
            <v>0.1138401559454191</v>
          </cell>
          <cell r="H23">
            <v>0.10739856801909307</v>
          </cell>
          <cell r="I23">
            <v>9.7009202453987725E-2</v>
          </cell>
          <cell r="J23">
            <v>0.10574460300036589</v>
          </cell>
          <cell r="K23">
            <v>0.10696798493408663</v>
          </cell>
          <cell r="L23">
            <v>0.1</v>
          </cell>
          <cell r="M23">
            <v>9.9348298334540133E-2</v>
          </cell>
          <cell r="N23">
            <v>9.2854086435601196E-2</v>
          </cell>
          <cell r="O23">
            <v>9.6989966555183951E-2</v>
          </cell>
          <cell r="P23">
            <v>0.11856091578086672</v>
          </cell>
          <cell r="Q23">
            <v>0.10994224422442245</v>
          </cell>
          <cell r="R23">
            <v>0.1068134483784588</v>
          </cell>
          <cell r="S23">
            <v>0.11052900587784309</v>
          </cell>
          <cell r="T23">
            <v>0.10815602836879433</v>
          </cell>
          <cell r="U23">
            <v>0.1067345666181667</v>
          </cell>
          <cell r="V23">
            <v>0.10709304642359035</v>
          </cell>
          <cell r="W23">
            <v>0.10299999999999999</v>
          </cell>
          <cell r="X23">
            <v>0.10299999999999999</v>
          </cell>
          <cell r="Y23">
            <v>9.9000000000000005E-2</v>
          </cell>
          <cell r="Z23">
            <v>9.7000000000000003E-2</v>
          </cell>
          <cell r="AA23" t="str">
            <v>- low 10% biz going forward</v>
          </cell>
          <cell r="AI23" t="str">
            <v>High Stock Price</v>
          </cell>
          <cell r="AJ23">
            <v>15</v>
          </cell>
          <cell r="AK23">
            <v>11.906250000000002</v>
          </cell>
          <cell r="AL23">
            <v>15.75</v>
          </cell>
          <cell r="AM23">
            <v>18.875</v>
          </cell>
          <cell r="AN23">
            <v>22.875</v>
          </cell>
          <cell r="AO23">
            <v>31</v>
          </cell>
          <cell r="AP23">
            <v>37.71875</v>
          </cell>
          <cell r="AQ23">
            <v>39.5</v>
          </cell>
          <cell r="AR23">
            <v>48</v>
          </cell>
          <cell r="AS23">
            <v>55.59</v>
          </cell>
          <cell r="AT23">
            <v>45.400000000000006</v>
          </cell>
          <cell r="AU23">
            <v>54.99</v>
          </cell>
          <cell r="AV23">
            <v>61.134999999999998</v>
          </cell>
          <cell r="AW23">
            <v>77.98</v>
          </cell>
          <cell r="AX23">
            <v>94.55</v>
          </cell>
          <cell r="AY23">
            <v>95.13</v>
          </cell>
          <cell r="AZ23">
            <v>55</v>
          </cell>
          <cell r="BA23">
            <v>55</v>
          </cell>
        </row>
        <row r="24">
          <cell r="A24" t="str">
            <v>Aerospace</v>
          </cell>
          <cell r="B24">
            <v>0.15813528336380256</v>
          </cell>
          <cell r="C24">
            <v>0.16473509933774835</v>
          </cell>
          <cell r="D24">
            <v>0.17186311787072242</v>
          </cell>
          <cell r="E24">
            <v>0.1750619322873658</v>
          </cell>
          <cell r="F24">
            <v>0.18451915559030493</v>
          </cell>
          <cell r="G24">
            <v>0.18058690744920994</v>
          </cell>
          <cell r="H24">
            <v>0.20481049562682216</v>
          </cell>
          <cell r="I24">
            <v>0.17232375979112272</v>
          </cell>
          <cell r="J24">
            <v>0.13745704467353953</v>
          </cell>
          <cell r="K24">
            <v>0.1519434628975265</v>
          </cell>
          <cell r="L24">
            <v>0.1</v>
          </cell>
          <cell r="M24">
            <v>0.14039855072463769</v>
          </cell>
          <cell r="N24">
            <v>0.19544404093760318</v>
          </cell>
          <cell r="O24">
            <v>0.19142419601837674</v>
          </cell>
          <cell r="P24">
            <v>0.13590757069017939</v>
          </cell>
          <cell r="Q24">
            <v>7.3998642226748138E-2</v>
          </cell>
          <cell r="R24">
            <v>0.13047808764940239</v>
          </cell>
          <cell r="S24">
            <v>0.14418875618992136</v>
          </cell>
          <cell r="T24">
            <v>0.15646258503401361</v>
          </cell>
          <cell r="U24">
            <v>0.16777133388566695</v>
          </cell>
          <cell r="V24">
            <v>0.18523222060957911</v>
          </cell>
          <cell r="W24">
            <v>0.13500000000000001</v>
          </cell>
          <cell r="X24">
            <v>0.14000000000000001</v>
          </cell>
          <cell r="Y24">
            <v>0.15</v>
          </cell>
          <cell r="Z24">
            <v>0.16800000000000001</v>
          </cell>
          <cell r="AI24" t="str">
            <v>Low Stock Price</v>
          </cell>
          <cell r="AJ24">
            <v>10.046875</v>
          </cell>
          <cell r="AK24">
            <v>9.5</v>
          </cell>
          <cell r="AL24">
            <v>10.59375</v>
          </cell>
          <cell r="AM24">
            <v>14.25</v>
          </cell>
          <cell r="AN24">
            <v>15.781250000000002</v>
          </cell>
          <cell r="AO24">
            <v>20.125</v>
          </cell>
          <cell r="AP24">
            <v>23.093750000000004</v>
          </cell>
          <cell r="AQ24">
            <v>18.125</v>
          </cell>
          <cell r="AR24">
            <v>30.25</v>
          </cell>
          <cell r="AS24">
            <v>36.625</v>
          </cell>
          <cell r="AT24">
            <v>25</v>
          </cell>
          <cell r="AU24">
            <v>42.480000000000004</v>
          </cell>
          <cell r="AV24">
            <v>48.795000000000002</v>
          </cell>
          <cell r="AW24">
            <v>56.675000000000004</v>
          </cell>
          <cell r="AX24">
            <v>70.61</v>
          </cell>
          <cell r="AY24">
            <v>47.81</v>
          </cell>
          <cell r="AZ24">
            <v>55</v>
          </cell>
          <cell r="BA24">
            <v>55</v>
          </cell>
        </row>
        <row r="25">
          <cell r="A25" t="str">
            <v>Resources/Corporate</v>
          </cell>
        </row>
        <row r="26">
          <cell r="A26" t="str">
            <v>Total Op Profit Margin</v>
          </cell>
          <cell r="B26">
            <v>0.10809523809523809</v>
          </cell>
          <cell r="C26">
            <v>0.1153087543620088</v>
          </cell>
          <cell r="D26">
            <v>0.11720807726075505</v>
          </cell>
          <cell r="E26">
            <v>0.11590153027278775</v>
          </cell>
          <cell r="F26">
            <v>0.12291220556745182</v>
          </cell>
          <cell r="G26">
            <v>0.12611255648363687</v>
          </cell>
          <cell r="H26">
            <v>0.13067226890756303</v>
          </cell>
          <cell r="I26">
            <v>0.11946001018848701</v>
          </cell>
          <cell r="J26">
            <v>0.10951113262342692</v>
          </cell>
          <cell r="K26">
            <v>0.11666666666666667</v>
          </cell>
          <cell r="L26">
            <v>0.10365584415584415</v>
          </cell>
          <cell r="M26">
            <v>0.11105678046467519</v>
          </cell>
          <cell r="N26">
            <v>0.12857836001940806</v>
          </cell>
          <cell r="O26">
            <v>0.12327857972457276</v>
          </cell>
          <cell r="P26">
            <v>0.11454678362573099</v>
          </cell>
          <cell r="Q26">
            <v>8.8314551690347867E-2</v>
          </cell>
          <cell r="R26">
            <v>0.10234259062963748</v>
          </cell>
          <cell r="S26">
            <v>0.10388557806912992</v>
          </cell>
          <cell r="T26">
            <v>0.10908864231392594</v>
          </cell>
          <cell r="U26">
            <v>0.11428046989720998</v>
          </cell>
          <cell r="V26">
            <v>0.12467576791808874</v>
          </cell>
          <cell r="W26">
            <v>0.11030846153846152</v>
          </cell>
          <cell r="X26">
            <v>0.11074620982413584</v>
          </cell>
          <cell r="Y26">
            <v>0.11047751668117203</v>
          </cell>
          <cell r="Z26">
            <v>0.11254965986394558</v>
          </cell>
          <cell r="AI26" t="str">
            <v>General Dynamics</v>
          </cell>
        </row>
        <row r="27">
          <cell r="A27" t="str">
            <v>Interest, net</v>
          </cell>
          <cell r="B27">
            <v>-26</v>
          </cell>
          <cell r="C27">
            <v>-21</v>
          </cell>
          <cell r="D27">
            <v>-12</v>
          </cell>
          <cell r="E27">
            <v>-11</v>
          </cell>
          <cell r="F27">
            <v>-19</v>
          </cell>
          <cell r="G27">
            <v>-12</v>
          </cell>
          <cell r="H27">
            <v>-11</v>
          </cell>
          <cell r="I27">
            <v>-24</v>
          </cell>
          <cell r="J27">
            <v>-39</v>
          </cell>
          <cell r="K27">
            <v>-38</v>
          </cell>
          <cell r="L27">
            <v>-37</v>
          </cell>
          <cell r="M27">
            <v>-35.714400000000012</v>
          </cell>
          <cell r="N27">
            <v>-60</v>
          </cell>
          <cell r="O27">
            <v>-56</v>
          </cell>
          <cell r="P27">
            <v>-45</v>
          </cell>
          <cell r="Q27">
            <v>-98</v>
          </cell>
          <cell r="R27">
            <v>-148</v>
          </cell>
          <cell r="S27">
            <v>-118</v>
          </cell>
          <cell r="T27">
            <v>-101</v>
          </cell>
          <cell r="U27">
            <v>-70</v>
          </cell>
          <cell r="V27">
            <v>-66</v>
          </cell>
          <cell r="W27">
            <v>-149.71440000000001</v>
          </cell>
          <cell r="X27">
            <v>-127.88593463454089</v>
          </cell>
          <cell r="Y27">
            <v>-93.130242168874673</v>
          </cell>
          <cell r="Z27">
            <v>-71.430517660267554</v>
          </cell>
          <cell r="AB27">
            <v>-0.30693069306930698</v>
          </cell>
          <cell r="AC27">
            <v>-5.7142857142857162E-2</v>
          </cell>
          <cell r="AD27">
            <v>1.2684000000000002</v>
          </cell>
          <cell r="AE27">
            <v>-0.14580070698248881</v>
          </cell>
          <cell r="AF27">
            <v>-0.27177103224828758</v>
          </cell>
          <cell r="AG27">
            <v>-0.23300405972593341</v>
          </cell>
          <cell r="AI27" t="str">
            <v>Key Ratios</v>
          </cell>
        </row>
        <row r="28">
          <cell r="A28" t="str">
            <v>Other, net</v>
          </cell>
          <cell r="B28">
            <v>1</v>
          </cell>
          <cell r="C28">
            <v>1</v>
          </cell>
          <cell r="D28">
            <v>2</v>
          </cell>
          <cell r="E28">
            <v>0</v>
          </cell>
          <cell r="F28">
            <v>3</v>
          </cell>
          <cell r="G28">
            <v>0</v>
          </cell>
          <cell r="H28">
            <v>0</v>
          </cell>
          <cell r="I28">
            <v>14</v>
          </cell>
          <cell r="J28">
            <v>3</v>
          </cell>
          <cell r="K28">
            <v>0</v>
          </cell>
          <cell r="L28">
            <v>0</v>
          </cell>
          <cell r="M28">
            <v>0</v>
          </cell>
          <cell r="N28">
            <v>-7</v>
          </cell>
          <cell r="O28">
            <v>-5</v>
          </cell>
          <cell r="P28">
            <v>47</v>
          </cell>
          <cell r="Q28">
            <v>3</v>
          </cell>
          <cell r="R28">
            <v>-9</v>
          </cell>
          <cell r="S28">
            <v>8</v>
          </cell>
          <cell r="T28">
            <v>3</v>
          </cell>
          <cell r="U28">
            <v>4</v>
          </cell>
          <cell r="V28">
            <v>17</v>
          </cell>
          <cell r="W28">
            <v>3</v>
          </cell>
          <cell r="X28">
            <v>0</v>
          </cell>
          <cell r="Y28">
            <v>0</v>
          </cell>
          <cell r="Z28">
            <v>0</v>
          </cell>
          <cell r="BQ28" t="str">
            <v>mstag:otherNonOperatingIncomeExpense</v>
          </cell>
          <cell r="BR28">
            <v>6</v>
          </cell>
          <cell r="BS28" t="str">
            <v>ISO4217:USD</v>
          </cell>
          <cell r="BT28" t="b">
            <v>0</v>
          </cell>
          <cell r="BU28" t="b">
            <v>0</v>
          </cell>
        </row>
        <row r="29">
          <cell r="A29" t="str">
            <v>Pretax Income</v>
          </cell>
          <cell r="B29">
            <v>656</v>
          </cell>
          <cell r="C29">
            <v>740</v>
          </cell>
          <cell r="D29">
            <v>791</v>
          </cell>
          <cell r="E29">
            <v>860</v>
          </cell>
          <cell r="F29">
            <v>845</v>
          </cell>
          <cell r="G29">
            <v>909</v>
          </cell>
          <cell r="H29">
            <v>922</v>
          </cell>
          <cell r="I29">
            <v>928</v>
          </cell>
          <cell r="J29">
            <v>869</v>
          </cell>
          <cell r="K29">
            <v>907</v>
          </cell>
          <cell r="L29">
            <v>761.15</v>
          </cell>
          <cell r="M29">
            <v>901.16059999999993</v>
          </cell>
          <cell r="N29">
            <v>1258</v>
          </cell>
          <cell r="O29">
            <v>1425</v>
          </cell>
          <cell r="P29">
            <v>1569</v>
          </cell>
          <cell r="Q29">
            <v>1347</v>
          </cell>
          <cell r="R29">
            <v>1774</v>
          </cell>
          <cell r="S29">
            <v>2069</v>
          </cell>
          <cell r="T29">
            <v>2527</v>
          </cell>
          <cell r="U29">
            <v>3047</v>
          </cell>
          <cell r="V29">
            <v>3604</v>
          </cell>
          <cell r="W29">
            <v>3438.3105999999998</v>
          </cell>
          <cell r="X29">
            <v>3524.5240653654591</v>
          </cell>
          <cell r="Y29">
            <v>3715.0297578311252</v>
          </cell>
          <cell r="Z29">
            <v>4064.7694823397323</v>
          </cell>
          <cell r="AB29">
            <v>0.20577760189948546</v>
          </cell>
          <cell r="AC29">
            <v>0.18280275680997704</v>
          </cell>
          <cell r="AD29">
            <v>-4.5973751387347495E-2</v>
          </cell>
          <cell r="AE29">
            <v>2.5074368024069482E-2</v>
          </cell>
          <cell r="AF29">
            <v>5.4051465937688947E-2</v>
          </cell>
          <cell r="AG29">
            <v>9.4141836622269492E-2</v>
          </cell>
          <cell r="AI29" t="str">
            <v>($USD in Millions)</v>
          </cell>
          <cell r="AO29" t="str">
            <v>1998</v>
          </cell>
          <cell r="AP29">
            <v>1999</v>
          </cell>
          <cell r="AQ29">
            <v>2000</v>
          </cell>
          <cell r="AR29">
            <v>2001</v>
          </cell>
          <cell r="AS29">
            <v>2002</v>
          </cell>
          <cell r="AT29">
            <v>2003</v>
          </cell>
          <cell r="AU29">
            <v>2004</v>
          </cell>
          <cell r="AV29">
            <v>2005</v>
          </cell>
          <cell r="AW29">
            <v>2006</v>
          </cell>
          <cell r="AX29">
            <v>2007</v>
          </cell>
          <cell r="AY29" t="str">
            <v>2008A</v>
          </cell>
          <cell r="AZ29" t="str">
            <v>2009E</v>
          </cell>
          <cell r="BA29" t="str">
            <v>2010E</v>
          </cell>
        </row>
        <row r="30">
          <cell r="A30" t="str">
            <v>Effective Tax Rate</v>
          </cell>
          <cell r="B30">
            <v>0.32926829268292684</v>
          </cell>
          <cell r="C30">
            <v>0.3</v>
          </cell>
          <cell r="D30">
            <v>0.31226300000000001</v>
          </cell>
          <cell r="E30">
            <v>0.32790693837209323</v>
          </cell>
          <cell r="F30">
            <v>0.32189349112426036</v>
          </cell>
          <cell r="G30">
            <v>0.33333333333333331</v>
          </cell>
          <cell r="H30">
            <v>0.31236442516268981</v>
          </cell>
          <cell r="I30">
            <v>0.32112068965517238</v>
          </cell>
          <cell r="J30">
            <v>0.31726121979286537</v>
          </cell>
          <cell r="K30">
            <v>0.31477398015435504</v>
          </cell>
          <cell r="L30">
            <v>0.316</v>
          </cell>
          <cell r="M30">
            <v>0.31143924499140313</v>
          </cell>
          <cell r="N30">
            <v>0.35699999999999998</v>
          </cell>
          <cell r="O30">
            <v>0.33824561403508774</v>
          </cell>
          <cell r="P30">
            <v>0.33715742511153601</v>
          </cell>
          <cell r="Q30">
            <v>0.27319970304380103</v>
          </cell>
          <cell r="R30">
            <v>0.32694475760992109</v>
          </cell>
          <cell r="S30">
            <v>0.3001449975833736</v>
          </cell>
          <cell r="T30">
            <v>0.32330827067669171</v>
          </cell>
          <cell r="U30">
            <v>0.31736133902198882</v>
          </cell>
          <cell r="V30">
            <v>0.32214206437291898</v>
          </cell>
          <cell r="W30">
            <v>0.31480000000000002</v>
          </cell>
          <cell r="X30">
            <v>0.316</v>
          </cell>
          <cell r="Y30">
            <v>0.31900000000000001</v>
          </cell>
          <cell r="Z30">
            <v>0.34499999999999997</v>
          </cell>
          <cell r="AI30" t="str">
            <v>Operating Profit Margin</v>
          </cell>
          <cell r="AO30">
            <v>0.10357000663570007</v>
          </cell>
          <cell r="AP30">
            <v>0.12702310525728319</v>
          </cell>
          <cell r="AQ30">
            <v>0.12857836001940806</v>
          </cell>
          <cell r="AR30">
            <v>0.12327857972457276</v>
          </cell>
          <cell r="AS30">
            <v>0.11454678362573099</v>
          </cell>
          <cell r="AT30">
            <v>8.8314551690347867E-2</v>
          </cell>
          <cell r="AU30">
            <v>0.10234259062963748</v>
          </cell>
          <cell r="AV30">
            <v>0.10388557806912992</v>
          </cell>
          <cell r="AW30">
            <v>0.10908864231392594</v>
          </cell>
          <cell r="AX30">
            <v>0.11428046989720998</v>
          </cell>
          <cell r="AY30">
            <v>0.12467576791808874</v>
          </cell>
          <cell r="AZ30">
            <v>0.11030846153846152</v>
          </cell>
          <cell r="BA30">
            <v>0.11074620982413584</v>
          </cell>
        </row>
        <row r="31">
          <cell r="A31" t="str">
            <v>Pretax Margin</v>
          </cell>
          <cell r="B31">
            <v>0.10412698412698412</v>
          </cell>
          <cell r="C31">
            <v>0.11227431345774541</v>
          </cell>
          <cell r="D31">
            <v>0.1157448053848405</v>
          </cell>
          <cell r="E31">
            <v>0.11443779108449767</v>
          </cell>
          <cell r="F31">
            <v>0.1206281227694504</v>
          </cell>
          <cell r="G31">
            <v>0.12446939613857319</v>
          </cell>
          <cell r="H31">
            <v>0.12913165266106444</v>
          </cell>
          <cell r="I31">
            <v>0.11818644931227713</v>
          </cell>
          <cell r="J31">
            <v>0.10515488867376573</v>
          </cell>
          <cell r="K31">
            <v>0.1119753086419753</v>
          </cell>
          <cell r="L31">
            <v>9.8850649350649342E-2</v>
          </cell>
          <cell r="M31">
            <v>0.10682321005215742</v>
          </cell>
          <cell r="N31">
            <v>0.12207666181465308</v>
          </cell>
          <cell r="O31">
            <v>0.11821801891488302</v>
          </cell>
          <cell r="P31">
            <v>0.11469298245614035</v>
          </cell>
          <cell r="Q31">
            <v>8.2496325330720238E-2</v>
          </cell>
          <cell r="R31">
            <v>9.402162391350434E-2</v>
          </cell>
          <cell r="S31">
            <v>9.8641239570917763E-2</v>
          </cell>
          <cell r="T31">
            <v>0.10501599966753937</v>
          </cell>
          <cell r="U31">
            <v>0.1118575624082232</v>
          </cell>
          <cell r="V31">
            <v>0.12300341296928327</v>
          </cell>
          <cell r="W31">
            <v>0.10579417230769231</v>
          </cell>
          <cell r="X31">
            <v>0.1068685283615967</v>
          </cell>
          <cell r="Y31">
            <v>0.10777574000090297</v>
          </cell>
          <cell r="Z31">
            <v>0.11060597230856414</v>
          </cell>
          <cell r="AB31">
            <v>6.5147813307904645E-2</v>
          </cell>
          <cell r="AC31">
            <v>9.964324558033355E-2</v>
          </cell>
          <cell r="AD31">
            <v>-0.13990864355843935</v>
          </cell>
          <cell r="AE31">
            <v>1.0155153450038146E-2</v>
          </cell>
          <cell r="AF31">
            <v>8.489043998403778E-3</v>
          </cell>
          <cell r="AG31">
            <v>2.6260383901214324E-2</v>
          </cell>
          <cell r="AI31" t="str">
            <v>NINC Profit Margin</v>
          </cell>
          <cell r="AO31">
            <v>6.5807670869276705E-2</v>
          </cell>
          <cell r="AP31">
            <v>7.9809130483312868E-2</v>
          </cell>
          <cell r="AQ31">
            <v>7.8495293546821929E-2</v>
          </cell>
          <cell r="AR31">
            <v>7.8231292517006792E-2</v>
          </cell>
          <cell r="AS31">
            <v>7.6023391812865493E-2</v>
          </cell>
          <cell r="AT31">
            <v>5.9958353748162663E-2</v>
          </cell>
          <cell r="AU31">
            <v>6.3281746873012509E-2</v>
          </cell>
          <cell r="AV31">
            <v>6.9034564958283667E-2</v>
          </cell>
          <cell r="AW31">
            <v>7.1063458421643202E-2</v>
          </cell>
          <cell r="AX31">
            <v>7.63582966226138E-2</v>
          </cell>
          <cell r="AY31">
            <v>8.337883959044369E-2</v>
          </cell>
          <cell r="AZ31">
            <v>7.2490166865230771E-2</v>
          </cell>
          <cell r="BA31">
            <v>7.3098073399332136E-2</v>
          </cell>
        </row>
        <row r="32">
          <cell r="AI32" t="str">
            <v>Asset turnover</v>
          </cell>
          <cell r="AO32">
            <v>1.2894878044915385</v>
          </cell>
          <cell r="AP32">
            <v>1.2999429702438861</v>
          </cell>
          <cell r="AQ32">
            <v>1.2902216101164392</v>
          </cell>
          <cell r="AR32">
            <v>1.2651133501259446</v>
          </cell>
          <cell r="AS32">
            <v>1.2</v>
          </cell>
          <cell r="AT32">
            <v>1.1698789138066921</v>
          </cell>
          <cell r="AU32">
            <v>1.1188661902926438</v>
          </cell>
          <cell r="AV32">
            <v>1.1263559231017077</v>
          </cell>
          <cell r="AW32">
            <v>1.1437874322654245</v>
          </cell>
          <cell r="AX32">
            <v>1.1324284437423351</v>
          </cell>
          <cell r="AY32">
            <v>1.083059180127897</v>
          </cell>
          <cell r="AZ32">
            <v>1.0893479400566479</v>
          </cell>
          <cell r="BA32">
            <v>1.0193773497897507</v>
          </cell>
        </row>
        <row r="33">
          <cell r="A33" t="str">
            <v>Net Income</v>
          </cell>
          <cell r="B33">
            <v>439.99999999999994</v>
          </cell>
          <cell r="C33">
            <v>518</v>
          </cell>
          <cell r="D33">
            <v>543.99996700000008</v>
          </cell>
          <cell r="E33">
            <v>578.0000329999998</v>
          </cell>
          <cell r="F33">
            <v>573</v>
          </cell>
          <cell r="G33">
            <v>606.00000000000011</v>
          </cell>
          <cell r="H33">
            <v>634</v>
          </cell>
          <cell r="I33">
            <v>630</v>
          </cell>
          <cell r="J33">
            <v>593.29999999999995</v>
          </cell>
          <cell r="K33">
            <v>621.5</v>
          </cell>
          <cell r="L33">
            <v>520.62659999999994</v>
          </cell>
          <cell r="M33">
            <v>620.50382312000011</v>
          </cell>
          <cell r="N33">
            <v>808.89400000000001</v>
          </cell>
          <cell r="O33">
            <v>942.99999999999989</v>
          </cell>
          <cell r="P33">
            <v>1040</v>
          </cell>
          <cell r="Q33">
            <v>979</v>
          </cell>
          <cell r="R33">
            <v>1194</v>
          </cell>
          <cell r="S33">
            <v>1448</v>
          </cell>
          <cell r="T33">
            <v>1710.0000000000002</v>
          </cell>
          <cell r="U33">
            <v>2080</v>
          </cell>
          <cell r="V33">
            <v>2443</v>
          </cell>
          <cell r="W33">
            <v>2355.9304231199999</v>
          </cell>
          <cell r="X33">
            <v>2410.7744607099739</v>
          </cell>
          <cell r="Y33">
            <v>2529.9352650829965</v>
          </cell>
          <cell r="Z33">
            <v>2662.4240109325247</v>
          </cell>
          <cell r="AB33">
            <v>0.21637426900584789</v>
          </cell>
          <cell r="AC33">
            <v>0.1745192307692307</v>
          </cell>
          <cell r="AD33">
            <v>-3.5640432615636541E-2</v>
          </cell>
          <cell r="AE33">
            <v>2.3279141460104347E-2</v>
          </cell>
          <cell r="AF33">
            <v>4.9428433192348242E-2</v>
          </cell>
          <cell r="AG33">
            <v>5.2368433168262118E-2</v>
          </cell>
          <cell r="AI33" t="str">
            <v>Asset leverage</v>
          </cell>
          <cell r="AO33">
            <v>2.5272612008281574</v>
          </cell>
          <cell r="AP33">
            <v>2.4225163386323492</v>
          </cell>
          <cell r="AQ33">
            <v>2.0908376963350785</v>
          </cell>
          <cell r="AR33">
            <v>2.4445671378091873</v>
          </cell>
          <cell r="AS33">
            <v>2.2563954606655128</v>
          </cell>
          <cell r="AT33">
            <v>2.7331531835838541</v>
          </cell>
          <cell r="AU33">
            <v>2.4403950479899845</v>
          </cell>
          <cell r="AV33">
            <v>2.4186617556783303</v>
          </cell>
          <cell r="AW33">
            <v>2.276991960923985</v>
          </cell>
          <cell r="AX33">
            <v>2.1866927260367097</v>
          </cell>
          <cell r="AY33">
            <v>2.8223415895752511</v>
          </cell>
          <cell r="AZ33">
            <v>2.8332188466414219</v>
          </cell>
          <cell r="BA33">
            <v>2.6834126267744729</v>
          </cell>
        </row>
        <row r="34">
          <cell r="A34" t="str">
            <v>Net Margin</v>
          </cell>
          <cell r="B34">
            <v>6.9841269841269829E-2</v>
          </cell>
          <cell r="C34">
            <v>7.8592019420421794E-2</v>
          </cell>
          <cell r="D34">
            <v>7.9601985220954061E-2</v>
          </cell>
          <cell r="E34">
            <v>7.6912845375914807E-2</v>
          </cell>
          <cell r="F34">
            <v>8.1798715203426131E-2</v>
          </cell>
          <cell r="G34">
            <v>8.2979597425715479E-2</v>
          </cell>
          <cell r="H34">
            <v>8.8795518207282917E-2</v>
          </cell>
          <cell r="I34">
            <v>8.0234335201222612E-2</v>
          </cell>
          <cell r="J34">
            <v>7.1793320425943843E-2</v>
          </cell>
          <cell r="K34">
            <v>7.6728395061728391E-2</v>
          </cell>
          <cell r="L34">
            <v>6.7613844155844149E-2</v>
          </cell>
          <cell r="M34">
            <v>7.3554270165955435E-2</v>
          </cell>
          <cell r="N34">
            <v>7.8495293546821929E-2</v>
          </cell>
          <cell r="O34">
            <v>7.8231292517006792E-2</v>
          </cell>
          <cell r="P34">
            <v>7.6023391812865493E-2</v>
          </cell>
          <cell r="Q34">
            <v>5.9958353748162663E-2</v>
          </cell>
          <cell r="R34">
            <v>6.3281746873012509E-2</v>
          </cell>
          <cell r="S34">
            <v>6.9034564958283667E-2</v>
          </cell>
          <cell r="T34">
            <v>7.1063458421643202E-2</v>
          </cell>
          <cell r="U34">
            <v>7.63582966226138E-2</v>
          </cell>
          <cell r="V34">
            <v>8.337883959044369E-2</v>
          </cell>
          <cell r="W34">
            <v>7.2490166865230771E-2</v>
          </cell>
          <cell r="X34">
            <v>7.3098073399332136E-2</v>
          </cell>
          <cell r="Y34">
            <v>7.3395278940614928E-2</v>
          </cell>
          <cell r="Z34">
            <v>7.2446911862109512E-2</v>
          </cell>
          <cell r="AI34" t="str">
            <v>ROA</v>
          </cell>
          <cell r="AO34">
            <v>0.13355226046784294</v>
          </cell>
          <cell r="AP34">
            <v>0.16512279273775449</v>
          </cell>
          <cell r="AQ34">
            <v>0.16589457869037186</v>
          </cell>
          <cell r="AR34">
            <v>0.15596137699412257</v>
          </cell>
          <cell r="AS34">
            <v>0.13745614035087719</v>
          </cell>
          <cell r="AT34">
            <v>0.10331733180482912</v>
          </cell>
          <cell r="AU34">
            <v>0.11450766448246212</v>
          </cell>
          <cell r="AV34">
            <v>0.11701213618300935</v>
          </cell>
          <cell r="AW34">
            <v>0.12477421808156669</v>
          </cell>
          <cell r="AX34">
            <v>0.12941445467584028</v>
          </cell>
          <cell r="AY34">
            <v>0.13503123498318118</v>
          </cell>
          <cell r="AZ34">
            <v>0.12016429534774103</v>
          </cell>
          <cell r="BA34">
            <v>0.11289217786978724</v>
          </cell>
        </row>
        <row r="35">
          <cell r="A35" t="str">
            <v>% Ch Y/Y</v>
          </cell>
          <cell r="B35">
            <v>0.13695090439276489</v>
          </cell>
          <cell r="C35">
            <v>0.23333333333333317</v>
          </cell>
          <cell r="D35">
            <v>0.23636356136363657</v>
          </cell>
          <cell r="E35">
            <v>0.24838020086393045</v>
          </cell>
          <cell r="F35">
            <v>0.30227272727272747</v>
          </cell>
          <cell r="G35">
            <v>0.16988416988417021</v>
          </cell>
          <cell r="H35">
            <v>0.16544124716831088</v>
          </cell>
          <cell r="I35">
            <v>8.9965335694021098E-2</v>
          </cell>
          <cell r="J35">
            <v>3.5427574171029486E-2</v>
          </cell>
          <cell r="K35">
            <v>2.5577557755775304E-2</v>
          </cell>
          <cell r="L35">
            <v>-0.17882239747634077</v>
          </cell>
          <cell r="M35">
            <v>-1.5073296634920519E-2</v>
          </cell>
          <cell r="N35">
            <v>0.13130445728031778</v>
          </cell>
          <cell r="O35">
            <v>0.16578933704539764</v>
          </cell>
          <cell r="P35">
            <v>0.10286320254506906</v>
          </cell>
          <cell r="Q35">
            <v>-5.8653846153846154E-2</v>
          </cell>
          <cell r="R35">
            <v>0.21961184882533197</v>
          </cell>
          <cell r="S35">
            <v>0.21273031825795644</v>
          </cell>
          <cell r="T35">
            <v>0.18093922651933717</v>
          </cell>
          <cell r="U35">
            <v>0.2163742690058478</v>
          </cell>
          <cell r="V35">
            <v>0.17451923076923076</v>
          </cell>
          <cell r="W35">
            <v>-3.5640432615636562E-2</v>
          </cell>
          <cell r="X35">
            <v>2.3279141460104381E-2</v>
          </cell>
          <cell r="Y35">
            <v>4.9428433192348332E-2</v>
          </cell>
          <cell r="Z35">
            <v>5.2368433168262028E-2</v>
          </cell>
          <cell r="AI35" t="str">
            <v>ROE</v>
          </cell>
          <cell r="AO35">
            <v>0.22421921772552567</v>
          </cell>
          <cell r="AP35">
            <v>0.25600071607590402</v>
          </cell>
          <cell r="AQ35">
            <v>0.23141009869832643</v>
          </cell>
          <cell r="AR35">
            <v>0.22592237661715378</v>
          </cell>
          <cell r="AS35">
            <v>0.21383777115246222</v>
          </cell>
          <cell r="AT35">
            <v>0.18057553956834532</v>
          </cell>
          <cell r="AU35">
            <v>0.18718535469107553</v>
          </cell>
          <cell r="AV35">
            <v>0.19055693230729098</v>
          </cell>
          <cell r="AW35">
            <v>0.20654351212997996</v>
          </cell>
          <cell r="AX35">
            <v>0.19263718453345682</v>
          </cell>
          <cell r="AY35">
            <v>0.22537922185051099</v>
          </cell>
          <cell r="AZ35">
            <v>0.22332157245457723</v>
          </cell>
          <cell r="BA35">
            <v>0.20520089620180493</v>
          </cell>
        </row>
        <row r="36">
          <cell r="AI36" t="str">
            <v>ROIC (net debt)</v>
          </cell>
          <cell r="AO36">
            <v>0.21070042308874484</v>
          </cell>
          <cell r="AP36">
            <v>0.21526309440201399</v>
          </cell>
          <cell r="AQ36">
            <v>0.20740782654133647</v>
          </cell>
          <cell r="AR36">
            <v>0.19254582428566502</v>
          </cell>
          <cell r="AS36">
            <v>0.17302731940319924</v>
          </cell>
          <cell r="AT36">
            <v>0.1359956528458022</v>
          </cell>
          <cell r="AU36">
            <v>0.1390009322380843</v>
          </cell>
          <cell r="AV36">
            <v>0.16448153138307042</v>
          </cell>
          <cell r="AW36">
            <v>0.17690583085418099</v>
          </cell>
          <cell r="AX36">
            <v>0.18770154430738012</v>
          </cell>
          <cell r="AY36">
            <v>0.20624594791505452</v>
          </cell>
          <cell r="AZ36">
            <v>0.20580412795609931</v>
          </cell>
          <cell r="BA36">
            <v>0.22267558708186294</v>
          </cell>
        </row>
        <row r="37">
          <cell r="A37" t="str">
            <v>EPS, Cont. Ops</v>
          </cell>
          <cell r="B37">
            <v>1.074743527112848</v>
          </cell>
          <cell r="C37">
            <v>1.2668134018097335</v>
          </cell>
          <cell r="D37">
            <v>1.3356247655290943</v>
          </cell>
          <cell r="E37">
            <v>1.4204965175718847</v>
          </cell>
          <cell r="F37">
            <v>1.4186679871255261</v>
          </cell>
          <cell r="G37">
            <v>1.5082130413140868</v>
          </cell>
          <cell r="H37">
            <v>1.585792896448224</v>
          </cell>
          <cell r="I37">
            <v>1.6170431211498972</v>
          </cell>
          <cell r="J37">
            <v>1.5350582147477361</v>
          </cell>
          <cell r="K37">
            <v>1.6059431524547803</v>
          </cell>
          <cell r="L37">
            <v>1.352276883116883</v>
          </cell>
          <cell r="M37">
            <v>1.6260975273969744</v>
          </cell>
          <cell r="N37">
            <v>2.0091753601589666</v>
          </cell>
          <cell r="O37">
            <v>2.3238048299654999</v>
          </cell>
          <cell r="P37">
            <v>2.5634452704434758</v>
          </cell>
          <cell r="Q37">
            <v>2.457921587531132</v>
          </cell>
          <cell r="R37">
            <v>2.9632644552209539</v>
          </cell>
          <cell r="S37">
            <v>3.5766509900011854</v>
          </cell>
          <cell r="T37">
            <v>4.2035398230088497</v>
          </cell>
          <cell r="U37">
            <v>5.0962280562055158</v>
          </cell>
          <cell r="V37">
            <v>6.1274140958113872</v>
          </cell>
          <cell r="W37">
            <v>6.1189391025198736</v>
          </cell>
          <cell r="X37">
            <v>6.3955993666716093</v>
          </cell>
          <cell r="Y37">
            <v>6.7478850962203394</v>
          </cell>
          <cell r="Z37">
            <v>7.0518691945372236</v>
          </cell>
          <cell r="AB37">
            <v>0.21236583231836481</v>
          </cell>
          <cell r="AC37">
            <v>0.20234299333410499</v>
          </cell>
          <cell r="AD37">
            <v>-1.3831272309973164E-3</v>
          </cell>
          <cell r="AE37">
            <v>4.5213763287463182E-2</v>
          </cell>
          <cell r="AF37">
            <v>5.508251992526958E-2</v>
          </cell>
          <cell r="AG37">
            <v>4.5048795879341963E-2</v>
          </cell>
          <cell r="AI37" t="str">
            <v>ROIC (total debt)</v>
          </cell>
          <cell r="AO37">
            <v>0.18108603072525903</v>
          </cell>
          <cell r="AP37">
            <v>0.20640569395017797</v>
          </cell>
          <cell r="AQ37">
            <v>0.19881155136415887</v>
          </cell>
          <cell r="AR37">
            <v>0.18155951196999537</v>
          </cell>
          <cell r="AS37">
            <v>0.16292209180994149</v>
          </cell>
          <cell r="AT37">
            <v>0.1262746698451013</v>
          </cell>
          <cell r="AU37">
            <v>0.12651463822725981</v>
          </cell>
          <cell r="AV37">
            <v>0.1396644666744376</v>
          </cell>
          <cell r="AW37">
            <v>0.14794890720978821</v>
          </cell>
          <cell r="AX37">
            <v>0.15664480481970486</v>
          </cell>
          <cell r="AY37">
            <v>0.17374903085286963</v>
          </cell>
          <cell r="AZ37">
            <v>0.16881927570715685</v>
          </cell>
          <cell r="BA37">
            <v>0.15860523057067782</v>
          </cell>
          <cell r="BQ37" t="str">
            <v>mstag:adjEpsForConsensus</v>
          </cell>
          <cell r="BR37">
            <v>0</v>
          </cell>
          <cell r="BS37" t="str">
            <v>ISO4217:USD</v>
          </cell>
          <cell r="BT37" t="b">
            <v>0</v>
          </cell>
          <cell r="BU37" t="b">
            <v>0</v>
          </cell>
        </row>
        <row r="38">
          <cell r="A38" t="str">
            <v>EPS, Disc. &amp; 1-time</v>
          </cell>
          <cell r="B38">
            <v>-1.4655593551538839E-2</v>
          </cell>
          <cell r="C38">
            <v>-0.01</v>
          </cell>
          <cell r="E38">
            <v>2.4576062914721062E-3</v>
          </cell>
          <cell r="F38">
            <v>2.4758603614756128E-3</v>
          </cell>
          <cell r="G38">
            <v>8.7108013937282222E-2</v>
          </cell>
          <cell r="I38">
            <v>-4.8767967145790549E-2</v>
          </cell>
          <cell r="J38">
            <v>-7.7619663648124193E-3</v>
          </cell>
          <cell r="K38">
            <v>-7.7519379844961239E-3</v>
          </cell>
          <cell r="N38">
            <v>0.22500000000000001</v>
          </cell>
          <cell r="O38">
            <v>0</v>
          </cell>
          <cell r="P38">
            <v>-0.30317670025437266</v>
          </cell>
          <cell r="Q38">
            <v>5.5234192978227688E-2</v>
          </cell>
          <cell r="R38">
            <v>5.459951257526046E-2</v>
          </cell>
          <cell r="S38">
            <v>3.2110816899181917E-2</v>
          </cell>
          <cell r="T38">
            <v>0.35889872173058013</v>
          </cell>
          <cell r="U38">
            <v>-1.9600877139251984E-2</v>
          </cell>
          <cell r="V38">
            <v>4.0130423877602212E-2</v>
          </cell>
          <cell r="W38">
            <v>-1.5513904349308542E-2</v>
          </cell>
        </row>
        <row r="39">
          <cell r="A39" t="str">
            <v>EPS, Reported</v>
          </cell>
          <cell r="B39">
            <v>1.0600879335613091</v>
          </cell>
          <cell r="C39">
            <v>1.2568134018097334</v>
          </cell>
          <cell r="D39">
            <v>1.3356247655290943</v>
          </cell>
          <cell r="E39">
            <v>1.4229541238633567</v>
          </cell>
          <cell r="F39">
            <v>1.4211438474870017</v>
          </cell>
          <cell r="G39">
            <v>1.595321055251369</v>
          </cell>
          <cell r="H39">
            <v>1.585792896448224</v>
          </cell>
          <cell r="I39">
            <v>1.5682751540041067</v>
          </cell>
          <cell r="J39">
            <v>1.5272962483829235</v>
          </cell>
          <cell r="K39">
            <v>1.5981912144702841</v>
          </cell>
          <cell r="L39">
            <v>1.352276883116883</v>
          </cell>
          <cell r="M39">
            <v>1.6260975273969744</v>
          </cell>
          <cell r="N39">
            <v>2.2341753601589667</v>
          </cell>
          <cell r="O39">
            <v>2.3238048299654999</v>
          </cell>
          <cell r="P39">
            <v>2.260268570189103</v>
          </cell>
          <cell r="Q39">
            <v>2.5131557805093596</v>
          </cell>
          <cell r="R39">
            <v>3.0178639677962145</v>
          </cell>
          <cell r="S39">
            <v>3.6087618069003673</v>
          </cell>
          <cell r="T39">
            <v>4.5624385447394298</v>
          </cell>
          <cell r="U39">
            <v>5.0766271790662634</v>
          </cell>
          <cell r="V39">
            <v>6.1675445196889891</v>
          </cell>
          <cell r="W39">
            <v>6.1034251981705649</v>
          </cell>
          <cell r="X39">
            <v>6.3955993666716093</v>
          </cell>
          <cell r="Y39">
            <v>6.7478850962203394</v>
          </cell>
          <cell r="Z39">
            <v>7.0518691945372236</v>
          </cell>
          <cell r="AB39">
            <v>0.11270039679103228</v>
          </cell>
          <cell r="AC39">
            <v>0.21489018242686408</v>
          </cell>
          <cell r="AD39">
            <v>-1.039624786067328E-2</v>
          </cell>
          <cell r="AE39">
            <v>4.7870524994493291E-2</v>
          </cell>
          <cell r="AF39">
            <v>5.508251992526958E-2</v>
          </cell>
          <cell r="AG39">
            <v>4.5048795879341963E-2</v>
          </cell>
          <cell r="AI39" t="str">
            <v>ROIC Analysis in Detail</v>
          </cell>
        </row>
        <row r="40">
          <cell r="A40" t="str">
            <v>% Ch Y/Y</v>
          </cell>
          <cell r="B40">
            <v>0.12334304061278317</v>
          </cell>
          <cell r="C40">
            <v>0.22747465011820325</v>
          </cell>
          <cell r="D40">
            <v>0.23599042726578853</v>
          </cell>
          <cell r="E40">
            <v>0.25390264952835695</v>
          </cell>
          <cell r="F40">
            <v>0.34059053262944361</v>
          </cell>
          <cell r="G40">
            <v>0.26933803614299912</v>
          </cell>
          <cell r="H40">
            <v>0.18730420203014742</v>
          </cell>
          <cell r="I40">
            <v>0.10212629325406475</v>
          </cell>
          <cell r="N40">
            <v>0.13580045114929051</v>
          </cell>
          <cell r="O40">
            <v>0.15659632108052524</v>
          </cell>
          <cell r="P40">
            <v>0.10312416834142391</v>
          </cell>
          <cell r="Q40">
            <v>-4.1164788704105337E-2</v>
          </cell>
          <cell r="R40">
            <v>0.20559763592678948</v>
          </cell>
          <cell r="S40">
            <v>0.20699689280162303</v>
          </cell>
          <cell r="T40">
            <v>0.17527257615019809</v>
          </cell>
          <cell r="U40">
            <v>0.21236583231836481</v>
          </cell>
          <cell r="V40">
            <v>0.20234299333410499</v>
          </cell>
          <cell r="W40">
            <v>-1.3831272309973164E-3</v>
          </cell>
          <cell r="X40">
            <v>4.5213763287463182E-2</v>
          </cell>
          <cell r="Y40">
            <v>5.508251992526958E-2</v>
          </cell>
          <cell r="Z40">
            <v>4.5048795879341963E-2</v>
          </cell>
          <cell r="AO40" t="str">
            <v>1998</v>
          </cell>
          <cell r="AP40">
            <v>1999</v>
          </cell>
          <cell r="AQ40">
            <v>2000</v>
          </cell>
          <cell r="AR40">
            <v>2001</v>
          </cell>
          <cell r="AS40">
            <v>2002</v>
          </cell>
          <cell r="AT40">
            <v>2003</v>
          </cell>
          <cell r="AU40">
            <v>2004</v>
          </cell>
          <cell r="AV40">
            <v>2005</v>
          </cell>
          <cell r="AW40">
            <v>2006</v>
          </cell>
          <cell r="AX40">
            <v>2007</v>
          </cell>
          <cell r="AY40" t="str">
            <v>2008A</v>
          </cell>
          <cell r="AZ40" t="str">
            <v>2009E</v>
          </cell>
          <cell r="BA40" t="str">
            <v>2010E</v>
          </cell>
        </row>
        <row r="41">
          <cell r="AI41" t="str">
            <v>Pretax Income</v>
          </cell>
          <cell r="AO41">
            <v>766.4</v>
          </cell>
          <cell r="AP41">
            <v>1126</v>
          </cell>
          <cell r="AQ41">
            <v>1258</v>
          </cell>
          <cell r="AR41">
            <v>1425</v>
          </cell>
          <cell r="AS41">
            <v>1569</v>
          </cell>
          <cell r="AT41">
            <v>1347</v>
          </cell>
          <cell r="AU41">
            <v>1774</v>
          </cell>
          <cell r="AV41">
            <v>2069</v>
          </cell>
          <cell r="AW41">
            <v>2527</v>
          </cell>
          <cell r="AX41">
            <v>3047</v>
          </cell>
          <cell r="AY41">
            <v>3604</v>
          </cell>
          <cell r="AZ41">
            <v>3438.3105999999998</v>
          </cell>
          <cell r="BA41">
            <v>3524.5240653654591</v>
          </cell>
        </row>
        <row r="42">
          <cell r="A42" t="str">
            <v>Avg. Diluted Shares</v>
          </cell>
          <cell r="B42">
            <v>409.4</v>
          </cell>
          <cell r="C42">
            <v>408.9</v>
          </cell>
          <cell r="D42">
            <v>407.3</v>
          </cell>
          <cell r="E42">
            <v>406.9</v>
          </cell>
          <cell r="F42">
            <v>403.9</v>
          </cell>
          <cell r="G42">
            <v>401.8</v>
          </cell>
          <cell r="H42">
            <v>399.8</v>
          </cell>
          <cell r="I42">
            <v>389.6</v>
          </cell>
          <cell r="J42">
            <v>386.5</v>
          </cell>
          <cell r="K42">
            <v>387</v>
          </cell>
          <cell r="L42">
            <v>385</v>
          </cell>
          <cell r="M42">
            <v>381.5907795600001</v>
          </cell>
          <cell r="N42">
            <v>402.6</v>
          </cell>
          <cell r="O42">
            <v>405.8</v>
          </cell>
          <cell r="P42">
            <v>405.70400000000001</v>
          </cell>
          <cell r="Q42">
            <v>398.30399999999997</v>
          </cell>
          <cell r="R42">
            <v>402.93400000000003</v>
          </cell>
          <cell r="S42">
            <v>404.84800000000001</v>
          </cell>
          <cell r="T42">
            <v>406.8</v>
          </cell>
          <cell r="U42">
            <v>408.14499999999998</v>
          </cell>
          <cell r="V42">
            <v>398.7</v>
          </cell>
          <cell r="W42">
            <v>385.02269489000003</v>
          </cell>
          <cell r="X42">
            <v>376.94269489000004</v>
          </cell>
          <cell r="Y42">
            <v>374.92269489</v>
          </cell>
          <cell r="Z42">
            <v>377.54869489000004</v>
          </cell>
          <cell r="AI42" t="str">
            <v>Interest Expense, net</v>
          </cell>
          <cell r="AO42">
            <v>-17</v>
          </cell>
          <cell r="AP42">
            <v>-34</v>
          </cell>
          <cell r="AQ42">
            <v>-60</v>
          </cell>
          <cell r="AR42">
            <v>-56</v>
          </cell>
          <cell r="AS42">
            <v>-45</v>
          </cell>
          <cell r="AT42">
            <v>-98</v>
          </cell>
          <cell r="AU42">
            <v>-148</v>
          </cell>
          <cell r="AV42">
            <v>-118</v>
          </cell>
          <cell r="AW42">
            <v>-101</v>
          </cell>
          <cell r="AX42">
            <v>-70</v>
          </cell>
          <cell r="AY42">
            <v>-66</v>
          </cell>
          <cell r="AZ42">
            <v>-149.71440000000001</v>
          </cell>
          <cell r="BA42">
            <v>-127.88593463454089</v>
          </cell>
        </row>
        <row r="43">
          <cell r="A43" t="str">
            <v>Previous EPS</v>
          </cell>
          <cell r="W43">
            <v>6.1189391025198736</v>
          </cell>
          <cell r="X43">
            <v>6.3955993666716093</v>
          </cell>
          <cell r="Y43">
            <v>6.7478850962203394</v>
          </cell>
          <cell r="Z43">
            <v>7.0518691945372236</v>
          </cell>
          <cell r="AA43" t="str">
            <v>MS published forecast (8/09)</v>
          </cell>
          <cell r="AI43" t="str">
            <v>Tax Rate</v>
          </cell>
          <cell r="AO43">
            <v>0.35299999999999998</v>
          </cell>
          <cell r="AP43">
            <v>0.36499999999999999</v>
          </cell>
          <cell r="AQ43">
            <v>0.35699999999999998</v>
          </cell>
          <cell r="AR43">
            <v>0.33824561403508774</v>
          </cell>
          <cell r="AS43">
            <v>0.33715742511153601</v>
          </cell>
          <cell r="AT43">
            <v>0.27319970304380103</v>
          </cell>
          <cell r="AU43">
            <v>0.32694475760992109</v>
          </cell>
          <cell r="AV43">
            <v>0.3001449975833736</v>
          </cell>
          <cell r="AW43">
            <v>0.32330827067669171</v>
          </cell>
          <cell r="AX43">
            <v>0.31736133902198882</v>
          </cell>
          <cell r="AY43">
            <v>0.32214206437291898</v>
          </cell>
          <cell r="AZ43">
            <v>0.31480000000000002</v>
          </cell>
          <cell r="BA43">
            <v>0.316</v>
          </cell>
        </row>
        <row r="44">
          <cell r="A44" t="str">
            <v>Balance Sheet Highlights</v>
          </cell>
          <cell r="Q44" t="str">
            <v xml:space="preserve"> </v>
          </cell>
          <cell r="R44" t="str">
            <v xml:space="preserve"> </v>
          </cell>
          <cell r="S44" t="str">
            <v xml:space="preserve"> </v>
          </cell>
          <cell r="T44" t="str">
            <v xml:space="preserve"> </v>
          </cell>
          <cell r="U44" t="str">
            <v xml:space="preserve"> </v>
          </cell>
          <cell r="AI44" t="str">
            <v>Net Operating Earnings</v>
          </cell>
          <cell r="AO44">
            <v>506.85980000000001</v>
          </cell>
          <cell r="AP44">
            <v>736.6</v>
          </cell>
          <cell r="AQ44">
            <v>847.47400000000005</v>
          </cell>
          <cell r="AR44">
            <v>980.05824561403494</v>
          </cell>
          <cell r="AS44">
            <v>1069.8279158699809</v>
          </cell>
          <cell r="AT44">
            <v>1050.2264291017075</v>
          </cell>
          <cell r="AU44">
            <v>1293.6121758737315</v>
          </cell>
          <cell r="AV44">
            <v>1530.5828902851617</v>
          </cell>
          <cell r="AW44">
            <v>1778.3458646616543</v>
          </cell>
          <cell r="AX44">
            <v>2127.7847062684609</v>
          </cell>
          <cell r="AY44">
            <v>2487.7386237513874</v>
          </cell>
          <cell r="AZ44">
            <v>2458.5147299999999</v>
          </cell>
          <cell r="BA44">
            <v>2498.2484399999998</v>
          </cell>
        </row>
        <row r="45">
          <cell r="A45" t="str">
            <v>Total  Debt</v>
          </cell>
          <cell r="B45">
            <v>2790</v>
          </cell>
          <cell r="C45">
            <v>2789</v>
          </cell>
          <cell r="D45">
            <v>2796</v>
          </cell>
          <cell r="E45">
            <v>2791</v>
          </cell>
          <cell r="F45">
            <v>2790</v>
          </cell>
          <cell r="G45">
            <v>2289</v>
          </cell>
          <cell r="H45">
            <v>2139</v>
          </cell>
          <cell r="I45">
            <v>4024</v>
          </cell>
          <cell r="J45">
            <v>3882</v>
          </cell>
          <cell r="K45">
            <v>3915</v>
          </cell>
          <cell r="N45">
            <v>513</v>
          </cell>
          <cell r="O45">
            <v>1935</v>
          </cell>
          <cell r="P45">
            <v>1471</v>
          </cell>
          <cell r="Q45">
            <v>4043</v>
          </cell>
          <cell r="R45">
            <v>3297</v>
          </cell>
          <cell r="S45">
            <v>3287</v>
          </cell>
          <cell r="T45">
            <v>2781</v>
          </cell>
          <cell r="U45">
            <v>2791</v>
          </cell>
          <cell r="V45">
            <v>4024</v>
          </cell>
          <cell r="W45">
            <v>4003</v>
          </cell>
          <cell r="X45">
            <v>4003</v>
          </cell>
          <cell r="Y45">
            <v>4003</v>
          </cell>
          <cell r="Z45">
            <v>4003</v>
          </cell>
          <cell r="AI45" t="str">
            <v>Average Shareholders' Equity</v>
          </cell>
          <cell r="AO45">
            <v>2211.5</v>
          </cell>
          <cell r="AP45">
            <v>2792.7</v>
          </cell>
          <cell r="AQ45">
            <v>3495.2</v>
          </cell>
          <cell r="AR45">
            <v>4174</v>
          </cell>
          <cell r="AS45">
            <v>4863.5</v>
          </cell>
          <cell r="AT45">
            <v>5560</v>
          </cell>
          <cell r="AU45">
            <v>6555</v>
          </cell>
          <cell r="AV45">
            <v>7667</v>
          </cell>
          <cell r="AW45">
            <v>8986</v>
          </cell>
          <cell r="AX45">
            <v>10797.5</v>
          </cell>
          <cell r="AY45">
            <v>10910.5</v>
          </cell>
          <cell r="AZ45">
            <v>10549.497736494701</v>
          </cell>
          <cell r="BA45">
            <v>11748.362240772558</v>
          </cell>
        </row>
        <row r="46">
          <cell r="A46" t="str">
            <v>Cash</v>
          </cell>
          <cell r="B46">
            <v>1492</v>
          </cell>
          <cell r="C46">
            <v>1794</v>
          </cell>
          <cell r="D46">
            <v>2033</v>
          </cell>
          <cell r="E46">
            <v>2891</v>
          </cell>
          <cell r="F46">
            <v>2605</v>
          </cell>
          <cell r="G46">
            <v>2740</v>
          </cell>
          <cell r="H46">
            <v>2617</v>
          </cell>
          <cell r="I46">
            <v>1621</v>
          </cell>
          <cell r="J46">
            <v>1126</v>
          </cell>
          <cell r="K46">
            <v>1614</v>
          </cell>
          <cell r="N46">
            <v>177</v>
          </cell>
          <cell r="O46">
            <v>439</v>
          </cell>
          <cell r="P46">
            <v>328</v>
          </cell>
          <cell r="Q46">
            <v>861</v>
          </cell>
          <cell r="R46">
            <v>976</v>
          </cell>
          <cell r="S46">
            <v>2331</v>
          </cell>
          <cell r="T46">
            <v>1604</v>
          </cell>
          <cell r="U46">
            <v>2891</v>
          </cell>
          <cell r="V46">
            <v>1621</v>
          </cell>
          <cell r="W46">
            <v>3613.2032682729555</v>
          </cell>
          <cell r="X46">
            <v>5451.0628915562675</v>
          </cell>
          <cell r="Y46">
            <v>7469.7704194132839</v>
          </cell>
          <cell r="Z46">
            <v>9758.1478190695889</v>
          </cell>
          <cell r="AI46" t="str">
            <v>Average Debt</v>
          </cell>
          <cell r="AO46">
            <v>587.5</v>
          </cell>
          <cell r="AP46">
            <v>776</v>
          </cell>
          <cell r="AQ46">
            <v>767.5</v>
          </cell>
          <cell r="AR46">
            <v>1224</v>
          </cell>
          <cell r="AS46">
            <v>1703</v>
          </cell>
          <cell r="AT46">
            <v>2757</v>
          </cell>
          <cell r="AU46">
            <v>3670</v>
          </cell>
          <cell r="AV46">
            <v>3292</v>
          </cell>
          <cell r="AW46">
            <v>3034</v>
          </cell>
          <cell r="AX46">
            <v>2786</v>
          </cell>
          <cell r="AY46">
            <v>3407.5</v>
          </cell>
          <cell r="AZ46">
            <v>4013.5</v>
          </cell>
          <cell r="BA46">
            <v>4003</v>
          </cell>
        </row>
        <row r="47">
          <cell r="A47" t="str">
            <v>Net Debt (Cash)</v>
          </cell>
          <cell r="B47">
            <v>1298</v>
          </cell>
          <cell r="C47">
            <v>995</v>
          </cell>
          <cell r="D47">
            <v>763</v>
          </cell>
          <cell r="E47">
            <v>-100</v>
          </cell>
          <cell r="F47">
            <v>185</v>
          </cell>
          <cell r="G47">
            <v>-451</v>
          </cell>
          <cell r="H47">
            <v>-478</v>
          </cell>
          <cell r="I47">
            <v>2403</v>
          </cell>
          <cell r="J47">
            <v>2756</v>
          </cell>
          <cell r="K47">
            <v>2301</v>
          </cell>
          <cell r="N47">
            <v>336</v>
          </cell>
          <cell r="O47">
            <v>1496</v>
          </cell>
          <cell r="P47">
            <v>1143</v>
          </cell>
          <cell r="Q47">
            <v>3182</v>
          </cell>
          <cell r="R47">
            <v>2321</v>
          </cell>
          <cell r="S47">
            <v>960</v>
          </cell>
          <cell r="T47">
            <v>1177</v>
          </cell>
          <cell r="U47">
            <v>-100</v>
          </cell>
          <cell r="V47">
            <v>2403</v>
          </cell>
          <cell r="W47">
            <v>389.79673172704452</v>
          </cell>
          <cell r="X47">
            <v>-1448.0628915562675</v>
          </cell>
          <cell r="Y47">
            <v>-3466.7704194132839</v>
          </cell>
          <cell r="Z47">
            <v>-5755.1478190695889</v>
          </cell>
          <cell r="AB47">
            <v>3.3062930186822381E-3</v>
          </cell>
          <cell r="AC47">
            <v>-2.3141285572529369E-2</v>
          </cell>
          <cell r="AD47">
            <v>-3.4304753222974549E-2</v>
          </cell>
          <cell r="AE47">
            <v>-2.0985775922399585E-2</v>
          </cell>
          <cell r="AF47">
            <v>-5.3589047549774671E-3</v>
          </cell>
          <cell r="AI47" t="str">
            <v>Average Cash</v>
          </cell>
          <cell r="AO47">
            <v>393.40539999999987</v>
          </cell>
          <cell r="AP47">
            <v>146.84079999999983</v>
          </cell>
          <cell r="AQ47">
            <v>176.67289999999991</v>
          </cell>
          <cell r="AR47">
            <v>308</v>
          </cell>
          <cell r="AS47">
            <v>383.5</v>
          </cell>
          <cell r="AT47">
            <v>594.5</v>
          </cell>
          <cell r="AU47">
            <v>918.5</v>
          </cell>
          <cell r="AV47">
            <v>1653.5</v>
          </cell>
          <cell r="AW47">
            <v>1967.5</v>
          </cell>
          <cell r="AX47">
            <v>2247.5</v>
          </cell>
          <cell r="AY47">
            <v>2256</v>
          </cell>
          <cell r="AZ47">
            <v>2617.1016341364775</v>
          </cell>
          <cell r="BA47">
            <v>4532.1330799146117</v>
          </cell>
        </row>
        <row r="48">
          <cell r="A48" t="str">
            <v>Net Cash/Share</v>
          </cell>
          <cell r="W48">
            <v>-1.0123993647657794</v>
          </cell>
          <cell r="X48">
            <v>3.8415995619144265</v>
          </cell>
          <cell r="Y48">
            <v>9.246627282539972</v>
          </cell>
          <cell r="Z48">
            <v>15.243458385537179</v>
          </cell>
        </row>
        <row r="49">
          <cell r="A49" t="str">
            <v>Equity</v>
          </cell>
          <cell r="B49">
            <v>10075</v>
          </cell>
          <cell r="C49">
            <v>10622</v>
          </cell>
          <cell r="D49">
            <v>10910</v>
          </cell>
          <cell r="E49">
            <v>11768</v>
          </cell>
          <cell r="F49">
            <v>11777</v>
          </cell>
          <cell r="G49">
            <v>12184</v>
          </cell>
          <cell r="H49">
            <v>12134</v>
          </cell>
          <cell r="I49">
            <v>10053</v>
          </cell>
          <cell r="J49">
            <v>10271</v>
          </cell>
          <cell r="K49">
            <v>11001</v>
          </cell>
          <cell r="N49">
            <v>3820</v>
          </cell>
          <cell r="O49">
            <v>4528</v>
          </cell>
          <cell r="P49">
            <v>5199</v>
          </cell>
          <cell r="Q49">
            <v>5921</v>
          </cell>
          <cell r="R49">
            <v>7189</v>
          </cell>
          <cell r="S49">
            <v>8145</v>
          </cell>
          <cell r="T49">
            <v>9827</v>
          </cell>
          <cell r="U49">
            <v>11768</v>
          </cell>
          <cell r="V49">
            <v>10053</v>
          </cell>
          <cell r="W49">
            <v>11045.995472989402</v>
          </cell>
          <cell r="X49">
            <v>12450.729008555714</v>
          </cell>
          <cell r="Y49">
            <v>14359.208323980685</v>
          </cell>
          <cell r="Z49">
            <v>16588.097423049381</v>
          </cell>
          <cell r="AI49" t="str">
            <v>Average Minority Interests</v>
          </cell>
          <cell r="AO49">
            <v>0</v>
          </cell>
          <cell r="AP49">
            <v>0</v>
          </cell>
          <cell r="AQ49">
            <v>0</v>
          </cell>
          <cell r="AR49">
            <v>0</v>
          </cell>
          <cell r="AS49">
            <v>0</v>
          </cell>
          <cell r="AT49">
            <v>0</v>
          </cell>
          <cell r="AU49">
            <v>0</v>
          </cell>
          <cell r="AV49">
            <v>0</v>
          </cell>
          <cell r="AW49">
            <v>0</v>
          </cell>
          <cell r="AX49">
            <v>0</v>
          </cell>
          <cell r="AY49">
            <v>0</v>
          </cell>
          <cell r="AZ49">
            <v>0</v>
          </cell>
          <cell r="BA49">
            <v>0</v>
          </cell>
        </row>
        <row r="50">
          <cell r="A50" t="str">
            <v>Net Debt(Cash)/Cap</v>
          </cell>
          <cell r="B50">
            <v>0.11412995691550162</v>
          </cell>
          <cell r="C50">
            <v>8.565034001893776E-2</v>
          </cell>
          <cell r="D50">
            <v>6.5364516405379935E-2</v>
          </cell>
          <cell r="E50">
            <v>-8.5704490915323971E-3</v>
          </cell>
          <cell r="F50">
            <v>1.5465641197124227E-2</v>
          </cell>
          <cell r="G50">
            <v>-3.84385920054547E-2</v>
          </cell>
          <cell r="H50">
            <v>-4.1008922443376804E-2</v>
          </cell>
          <cell r="I50">
            <v>0.19291907514450868</v>
          </cell>
          <cell r="J50">
            <v>0.21156060489752054</v>
          </cell>
          <cell r="K50">
            <v>0.17298150654036987</v>
          </cell>
          <cell r="N50">
            <v>8.0846968238691044E-2</v>
          </cell>
          <cell r="O50">
            <v>0.24833997343957503</v>
          </cell>
          <cell r="P50">
            <v>0.18022705771050143</v>
          </cell>
          <cell r="Q50">
            <v>0.34955509172800175</v>
          </cell>
          <cell r="R50">
            <v>0.24405888538380652</v>
          </cell>
          <cell r="S50">
            <v>0.10543657331136738</v>
          </cell>
          <cell r="T50">
            <v>0.1069611050527081</v>
          </cell>
          <cell r="U50">
            <v>-8.5704490915323971E-3</v>
          </cell>
          <cell r="V50">
            <v>0.19291907514450868</v>
          </cell>
          <cell r="W50">
            <v>3.4085678084136685E-2</v>
          </cell>
          <cell r="X50">
            <v>-0.13161018212839951</v>
          </cell>
          <cell r="Y50">
            <v>-0.31827314048396849</v>
          </cell>
          <cell r="Z50">
            <v>-0.53126323203380099</v>
          </cell>
          <cell r="AI50" t="str">
            <v>Average "Invested Capital" (net debt)</v>
          </cell>
          <cell r="AO50">
            <v>2405.5946000000004</v>
          </cell>
          <cell r="AP50">
            <v>3421.8591999999999</v>
          </cell>
          <cell r="AQ50">
            <v>4086.0270999999998</v>
          </cell>
          <cell r="AR50">
            <v>5090</v>
          </cell>
          <cell r="AS50">
            <v>6183</v>
          </cell>
          <cell r="AT50">
            <v>7722.5</v>
          </cell>
          <cell r="AU50">
            <v>9306.5</v>
          </cell>
          <cell r="AV50">
            <v>9305.5</v>
          </cell>
          <cell r="AW50">
            <v>10052.5</v>
          </cell>
          <cell r="AX50">
            <v>11336</v>
          </cell>
          <cell r="AY50">
            <v>12062</v>
          </cell>
          <cell r="AZ50">
            <v>11945.896102358223</v>
          </cell>
          <cell r="BA50">
            <v>11219.229160857947</v>
          </cell>
        </row>
        <row r="51">
          <cell r="AB51">
            <v>3.5958288385473658E-3</v>
          </cell>
          <cell r="AC51">
            <v>0.44177714080974551</v>
          </cell>
          <cell r="AD51">
            <v>-5.2186878727634722E-3</v>
          </cell>
          <cell r="AE51">
            <v>0</v>
          </cell>
          <cell r="AF51">
            <v>0</v>
          </cell>
          <cell r="AI51" t="str">
            <v>Average "Invested Capital" (total debt)</v>
          </cell>
          <cell r="AO51">
            <v>2799</v>
          </cell>
          <cell r="AP51">
            <v>3568.7</v>
          </cell>
          <cell r="AQ51">
            <v>4262.7</v>
          </cell>
          <cell r="AR51">
            <v>5398</v>
          </cell>
          <cell r="AS51">
            <v>6566.5</v>
          </cell>
          <cell r="AT51">
            <v>8317</v>
          </cell>
          <cell r="AU51">
            <v>10225</v>
          </cell>
          <cell r="AV51">
            <v>10959</v>
          </cell>
          <cell r="AW51">
            <v>12020</v>
          </cell>
          <cell r="AX51">
            <v>13583.5</v>
          </cell>
          <cell r="AY51">
            <v>14318</v>
          </cell>
          <cell r="AZ51">
            <v>14562.997736494701</v>
          </cell>
          <cell r="BA51">
            <v>15751.362240772558</v>
          </cell>
        </row>
        <row r="52">
          <cell r="A52" t="str">
            <v>Total Debt to Equity</v>
          </cell>
          <cell r="B52">
            <v>0.21686746987951808</v>
          </cell>
          <cell r="C52">
            <v>0.20796361196033109</v>
          </cell>
          <cell r="D52">
            <v>0.20399824894206917</v>
          </cell>
          <cell r="E52">
            <v>0.1917027268356343</v>
          </cell>
          <cell r="F52">
            <v>0.1915287979680099</v>
          </cell>
          <cell r="G52">
            <v>0.15815656740136808</v>
          </cell>
          <cell r="H52">
            <v>0.14986337840678204</v>
          </cell>
          <cell r="I52">
            <v>0.28585636144064785</v>
          </cell>
          <cell r="J52">
            <v>0.2742881367907864</v>
          </cell>
          <cell r="K52">
            <v>0.26246983105390187</v>
          </cell>
          <cell r="N52">
            <v>0.11839372259404569</v>
          </cell>
          <cell r="O52">
            <v>0.29939656506266438</v>
          </cell>
          <cell r="P52">
            <v>0.22053973013493253</v>
          </cell>
          <cell r="Q52">
            <v>0.405760738659173</v>
          </cell>
          <cell r="R52">
            <v>0.3144192256341789</v>
          </cell>
          <cell r="S52">
            <v>0.28752624212736178</v>
          </cell>
          <cell r="T52">
            <v>0.22057423857868019</v>
          </cell>
          <cell r="U52">
            <v>0.1917027268356343</v>
          </cell>
          <cell r="V52">
            <v>0.28585636144064785</v>
          </cell>
          <cell r="W52">
            <v>0.26599782073061023</v>
          </cell>
          <cell r="X52">
            <v>0.24328831463788511</v>
          </cell>
          <cell r="Y52">
            <v>0.21800210134704551</v>
          </cell>
          <cell r="Z52">
            <v>0.19440440292022021</v>
          </cell>
          <cell r="AB52">
            <v>0.80236907730673312</v>
          </cell>
          <cell r="AC52">
            <v>-0.43929436181252157</v>
          </cell>
          <cell r="AD52">
            <v>1.228996464079553</v>
          </cell>
          <cell r="AE52">
            <v>0.50865104640563863</v>
          </cell>
          <cell r="AF52">
            <v>0.37033282646289178</v>
          </cell>
          <cell r="AI52" t="str">
            <v xml:space="preserve">ROIC (net debt) </v>
          </cell>
          <cell r="AO52">
            <v>0.21070042308874484</v>
          </cell>
          <cell r="AP52">
            <v>0.21526309440201399</v>
          </cell>
          <cell r="AQ52">
            <v>0.20740782654133647</v>
          </cell>
          <cell r="AR52">
            <v>0.19254582428566502</v>
          </cell>
          <cell r="AS52">
            <v>0.17302731940319924</v>
          </cell>
          <cell r="AT52">
            <v>0.1359956528458022</v>
          </cell>
          <cell r="AU52">
            <v>0.1390009322380843</v>
          </cell>
          <cell r="AV52">
            <v>0.16448153138307042</v>
          </cell>
          <cell r="AW52">
            <v>0.17690583085418099</v>
          </cell>
          <cell r="AX52">
            <v>0.18770154430738012</v>
          </cell>
          <cell r="AY52">
            <v>0.20624594791505452</v>
          </cell>
          <cell r="AZ52">
            <v>0.20580412795609931</v>
          </cell>
          <cell r="BA52">
            <v>0.22267558708186294</v>
          </cell>
        </row>
        <row r="53">
          <cell r="A53" t="str">
            <v>Orders ($B)</v>
          </cell>
          <cell r="Q53">
            <v>25</v>
          </cell>
          <cell r="R53">
            <v>19.600000000000001</v>
          </cell>
          <cell r="S53">
            <v>22</v>
          </cell>
          <cell r="AB53">
            <v>-1.0849617672047578</v>
          </cell>
          <cell r="AC53">
            <v>-25.03</v>
          </cell>
          <cell r="AD53">
            <v>-0.8377874607877468</v>
          </cell>
          <cell r="AE53">
            <v>-4.7149179910781669</v>
          </cell>
          <cell r="AF53">
            <v>1.3940744836624215</v>
          </cell>
          <cell r="AI53" t="str">
            <v>ROIC  (total debt)</v>
          </cell>
          <cell r="AO53">
            <v>0.18108603072525903</v>
          </cell>
          <cell r="AP53">
            <v>0.20640569395017797</v>
          </cell>
          <cell r="AQ53">
            <v>0.19881155136415887</v>
          </cell>
          <cell r="AR53">
            <v>0.18155951196999537</v>
          </cell>
          <cell r="AS53">
            <v>0.16292209180994149</v>
          </cell>
          <cell r="AT53">
            <v>0.1262746698451013</v>
          </cell>
          <cell r="AU53">
            <v>0.12651463822725981</v>
          </cell>
          <cell r="AV53">
            <v>0.1396644666744376</v>
          </cell>
          <cell r="AW53">
            <v>0.14794890720978821</v>
          </cell>
          <cell r="AX53">
            <v>0.15664480481970486</v>
          </cell>
          <cell r="AY53">
            <v>0.17374903085286963</v>
          </cell>
          <cell r="AZ53">
            <v>0.16881927570715685</v>
          </cell>
          <cell r="BA53">
            <v>0.15860523057067782</v>
          </cell>
          <cell r="BN53">
            <v>2000</v>
          </cell>
          <cell r="BO53" t="str">
            <v>2005E</v>
          </cell>
        </row>
        <row r="54">
          <cell r="A54" t="str">
            <v>Book:bill</v>
          </cell>
          <cell r="Q54">
            <v>1.531112199902009</v>
          </cell>
          <cell r="R54">
            <v>1.0387958448166208</v>
          </cell>
          <cell r="S54">
            <v>1.0488676996424313</v>
          </cell>
          <cell r="AB54">
            <v>0.19751704487636101</v>
          </cell>
          <cell r="AC54">
            <v>-0.14573419442556079</v>
          </cell>
          <cell r="AD54">
            <v>9.8776034317059835E-2</v>
          </cell>
          <cell r="AE54">
            <v>0.12717129379613512</v>
          </cell>
          <cell r="AF54">
            <v>0.15328253583493212</v>
          </cell>
          <cell r="AI54" t="str">
            <v>Total Debt</v>
          </cell>
          <cell r="AN54">
            <v>645</v>
          </cell>
          <cell r="AO54">
            <v>530</v>
          </cell>
          <cell r="AP54">
            <v>1022</v>
          </cell>
          <cell r="AQ54">
            <v>513</v>
          </cell>
          <cell r="AR54">
            <v>1935</v>
          </cell>
          <cell r="AS54">
            <v>1471</v>
          </cell>
          <cell r="AT54">
            <v>4043</v>
          </cell>
          <cell r="AU54">
            <v>3297</v>
          </cell>
          <cell r="AV54">
            <v>3287</v>
          </cell>
          <cell r="AW54">
            <v>2781</v>
          </cell>
          <cell r="AX54">
            <v>2791</v>
          </cell>
          <cell r="AY54">
            <v>4024</v>
          </cell>
          <cell r="AZ54">
            <v>4003</v>
          </cell>
          <cell r="BA54">
            <v>4003</v>
          </cell>
          <cell r="BM54" t="str">
            <v>Net Margin</v>
          </cell>
          <cell r="BN54">
            <v>12.789907811741873</v>
          </cell>
          <cell r="BO54">
            <v>10.426698450536351</v>
          </cell>
        </row>
        <row r="55">
          <cell r="A55" t="str">
            <v>Funded Backlog</v>
          </cell>
          <cell r="BM55" t="str">
            <v>Asset Turnover</v>
          </cell>
          <cell r="BN55">
            <v>1.2902216101164392</v>
          </cell>
          <cell r="BO55">
            <v>1.0647208121827412</v>
          </cell>
        </row>
        <row r="56">
          <cell r="A56" t="str">
            <v>Marine Systems</v>
          </cell>
          <cell r="B56">
            <v>8.9269999999999996</v>
          </cell>
          <cell r="C56">
            <v>8.2899999999999991</v>
          </cell>
          <cell r="D56">
            <v>8.1059999999999999</v>
          </cell>
          <cell r="E56">
            <v>7.6210000000000004</v>
          </cell>
          <cell r="F56">
            <v>9.5519999999999996</v>
          </cell>
          <cell r="G56">
            <v>8.8989999999999991</v>
          </cell>
          <cell r="H56">
            <v>7.907</v>
          </cell>
          <cell r="I56">
            <v>10.481999999999999</v>
          </cell>
          <cell r="J56">
            <v>9.4309999999999992</v>
          </cell>
          <cell r="K56">
            <v>8.6449999999999996</v>
          </cell>
          <cell r="N56">
            <v>7.2469999999999999</v>
          </cell>
          <cell r="O56">
            <v>6.702</v>
          </cell>
          <cell r="P56">
            <v>7.2619999999999996</v>
          </cell>
          <cell r="Q56">
            <v>8.7750000000000004</v>
          </cell>
          <cell r="R56">
            <v>9.8989999999999991</v>
          </cell>
          <cell r="S56">
            <v>8.4190000000000005</v>
          </cell>
          <cell r="T56">
            <v>8.1739999999999995</v>
          </cell>
          <cell r="U56">
            <v>7.6210000000000004</v>
          </cell>
          <cell r="V56">
            <v>10.481999999999999</v>
          </cell>
          <cell r="BM56" t="str">
            <v>Leverage Ratio</v>
          </cell>
          <cell r="BN56">
            <v>2.0908376963350785</v>
          </cell>
          <cell r="BO56">
            <v>2.4186617556783303</v>
          </cell>
          <cell r="BQ56" t="str">
            <v>mstag:defenseBacklog</v>
          </cell>
          <cell r="BR56">
            <v>6</v>
          </cell>
          <cell r="BS56" t="str">
            <v>ISO4217:USD</v>
          </cell>
          <cell r="BT56" t="b">
            <v>0</v>
          </cell>
          <cell r="BU56" t="b">
            <v>0</v>
          </cell>
        </row>
        <row r="57">
          <cell r="A57" t="str">
            <v>Combat Systems</v>
          </cell>
          <cell r="B57">
            <v>10.55</v>
          </cell>
          <cell r="C57">
            <v>10.712</v>
          </cell>
          <cell r="D57">
            <v>11.371</v>
          </cell>
          <cell r="E57">
            <v>10.824</v>
          </cell>
          <cell r="F57">
            <v>11.116</v>
          </cell>
          <cell r="G57">
            <v>10.611000000000001</v>
          </cell>
          <cell r="H57">
            <v>12.54</v>
          </cell>
          <cell r="I57">
            <v>12.127000000000001</v>
          </cell>
          <cell r="J57">
            <v>11.746</v>
          </cell>
          <cell r="K57">
            <v>11.494</v>
          </cell>
          <cell r="N57">
            <v>1.597</v>
          </cell>
          <cell r="O57">
            <v>3.4340000000000002</v>
          </cell>
          <cell r="P57">
            <v>4.2329999999999997</v>
          </cell>
          <cell r="Q57">
            <v>5.8259999999999996</v>
          </cell>
          <cell r="R57">
            <v>6.3979999999999997</v>
          </cell>
          <cell r="S57">
            <v>6.9539999999999997</v>
          </cell>
          <cell r="T57">
            <v>10.086</v>
          </cell>
          <cell r="U57">
            <v>10.824</v>
          </cell>
          <cell r="V57">
            <v>12.127000000000001</v>
          </cell>
          <cell r="AI57" t="str">
            <v>General Dynamics</v>
          </cell>
          <cell r="BM57" t="str">
            <v>ROE</v>
          </cell>
          <cell r="BN57">
            <v>23.141009869832644</v>
          </cell>
          <cell r="BO57">
            <v>19.055693230729098</v>
          </cell>
          <cell r="BQ57" t="str">
            <v>mstag:defenseBacklog</v>
          </cell>
          <cell r="BR57">
            <v>6</v>
          </cell>
          <cell r="BS57" t="str">
            <v>ISO4217:USD</v>
          </cell>
          <cell r="BT57" t="b">
            <v>0</v>
          </cell>
          <cell r="BU57" t="b">
            <v>0</v>
          </cell>
        </row>
        <row r="58">
          <cell r="A58" t="str">
            <v>Info. Systems &amp; Tech.</v>
          </cell>
          <cell r="B58">
            <v>7.343</v>
          </cell>
          <cell r="C58">
            <v>6.98</v>
          </cell>
          <cell r="D58">
            <v>7.1840000000000002</v>
          </cell>
          <cell r="E58">
            <v>7.1580000000000004</v>
          </cell>
          <cell r="F58">
            <v>7.5819999999999999</v>
          </cell>
          <cell r="G58">
            <v>7.5309999999999997</v>
          </cell>
          <cell r="H58">
            <v>7.7610000000000001</v>
          </cell>
          <cell r="I58">
            <v>7.242</v>
          </cell>
          <cell r="J58">
            <v>7.7949999999999999</v>
          </cell>
          <cell r="K58">
            <v>8.2080000000000002</v>
          </cell>
          <cell r="N58">
            <v>1.7689999999999999</v>
          </cell>
          <cell r="O58">
            <v>4.7290000000000001</v>
          </cell>
          <cell r="P58">
            <v>5.1050000000000004</v>
          </cell>
          <cell r="Q58">
            <v>5.95</v>
          </cell>
          <cell r="R58">
            <v>7.0709999999999997</v>
          </cell>
          <cell r="S58">
            <v>6.96</v>
          </cell>
          <cell r="T58">
            <v>7.548</v>
          </cell>
          <cell r="U58">
            <v>7.1580000000000004</v>
          </cell>
          <cell r="V58">
            <v>7.242</v>
          </cell>
          <cell r="AI58" t="str">
            <v xml:space="preserve">DuPont Analysis </v>
          </cell>
          <cell r="BQ58" t="str">
            <v>mstag:defenseBacklog</v>
          </cell>
          <cell r="BR58">
            <v>6</v>
          </cell>
          <cell r="BS58" t="str">
            <v>ISO4217:USD</v>
          </cell>
          <cell r="BT58" t="b">
            <v>0</v>
          </cell>
          <cell r="BU58" t="b">
            <v>0</v>
          </cell>
        </row>
        <row r="59">
          <cell r="A59" t="str">
            <v>Aerospace</v>
          </cell>
          <cell r="B59">
            <v>7.7160000000000002</v>
          </cell>
          <cell r="C59">
            <v>9.4269999999999996</v>
          </cell>
          <cell r="D59">
            <v>10.241</v>
          </cell>
          <cell r="E59">
            <v>11.590999999999999</v>
          </cell>
          <cell r="F59">
            <v>11.802</v>
          </cell>
          <cell r="G59">
            <v>18.195</v>
          </cell>
          <cell r="H59">
            <v>21.466000000000001</v>
          </cell>
          <cell r="I59">
            <v>21.861000000000001</v>
          </cell>
          <cell r="J59">
            <v>20.178999999999998</v>
          </cell>
          <cell r="K59">
            <v>19.306000000000001</v>
          </cell>
          <cell r="N59">
            <v>3.3359999999999999</v>
          </cell>
          <cell r="O59">
            <v>4.1980000000000004</v>
          </cell>
          <cell r="P59">
            <v>4.5</v>
          </cell>
          <cell r="Q59">
            <v>4.1269999999999998</v>
          </cell>
          <cell r="R59">
            <v>4.6520000000000001</v>
          </cell>
          <cell r="S59">
            <v>5.8529999999999998</v>
          </cell>
          <cell r="T59">
            <v>6.9409999999999998</v>
          </cell>
          <cell r="U59">
            <v>11.590999999999999</v>
          </cell>
          <cell r="V59">
            <v>21.861000000000001</v>
          </cell>
          <cell r="AO59">
            <v>1998</v>
          </cell>
          <cell r="AP59">
            <v>1999</v>
          </cell>
          <cell r="AQ59">
            <v>2000</v>
          </cell>
          <cell r="AR59">
            <v>2001</v>
          </cell>
          <cell r="AS59">
            <v>2002</v>
          </cell>
          <cell r="AT59" t="str">
            <v>2003A</v>
          </cell>
          <cell r="AU59" t="str">
            <v>2004E</v>
          </cell>
          <cell r="AV59" t="str">
            <v>2005E</v>
          </cell>
          <cell r="AW59" t="str">
            <v>2006E</v>
          </cell>
          <cell r="AX59" t="str">
            <v>2006E</v>
          </cell>
          <cell r="AY59" t="str">
            <v>2006E</v>
          </cell>
          <cell r="AZ59" t="str">
            <v>2006E</v>
          </cell>
          <cell r="BA59" t="str">
            <v>2006E</v>
          </cell>
          <cell r="BQ59" t="str">
            <v>mstag:commercialBacklog</v>
          </cell>
          <cell r="BR59">
            <v>6</v>
          </cell>
          <cell r="BS59" t="str">
            <v>ISO4217:USD</v>
          </cell>
          <cell r="BT59" t="b">
            <v>0</v>
          </cell>
          <cell r="BU59" t="b">
            <v>0</v>
          </cell>
        </row>
        <row r="60">
          <cell r="A60" t="str">
            <v>Resources/Corporate</v>
          </cell>
          <cell r="B60">
            <v>0</v>
          </cell>
          <cell r="C60">
            <v>0</v>
          </cell>
          <cell r="D60">
            <v>0</v>
          </cell>
          <cell r="E60">
            <v>0</v>
          </cell>
          <cell r="F60">
            <v>0</v>
          </cell>
          <cell r="G60">
            <v>0</v>
          </cell>
          <cell r="H60">
            <v>0</v>
          </cell>
          <cell r="I60">
            <v>0</v>
          </cell>
          <cell r="J60">
            <v>0</v>
          </cell>
          <cell r="K60">
            <v>0</v>
          </cell>
          <cell r="N60">
            <v>0.41699999999999982</v>
          </cell>
          <cell r="O60">
            <v>0.30499999999999972</v>
          </cell>
          <cell r="P60">
            <v>0.19999999999999929</v>
          </cell>
          <cell r="Q60">
            <v>0.16300000000000001</v>
          </cell>
          <cell r="R60">
            <v>0.2</v>
          </cell>
          <cell r="S60">
            <v>0</v>
          </cell>
          <cell r="T60">
            <v>0</v>
          </cell>
          <cell r="U60">
            <v>0</v>
          </cell>
          <cell r="V60">
            <v>0</v>
          </cell>
          <cell r="X60">
            <v>6.0606060606060606</v>
          </cell>
          <cell r="AI60" t="str">
            <v>Net Margin</v>
          </cell>
          <cell r="AO60">
            <v>0.10396814863968148</v>
          </cell>
          <cell r="AP60">
            <v>0.12947873646612346</v>
          </cell>
          <cell r="AQ60">
            <v>0.12789907811741874</v>
          </cell>
          <cell r="AR60">
            <v>0.12286377965820475</v>
          </cell>
          <cell r="AS60">
            <v>0.11798245614035088</v>
          </cell>
          <cell r="AT60">
            <v>8.8498285154336109E-2</v>
          </cell>
          <cell r="AU60">
            <v>0.10186559253762985</v>
          </cell>
          <cell r="AV60">
            <v>0.10426698450536352</v>
          </cell>
          <cell r="AW60">
            <v>0.109213315047999</v>
          </cell>
          <cell r="AX60">
            <v>0.1144273127753304</v>
          </cell>
          <cell r="AY60">
            <v>0.12525597269624572</v>
          </cell>
          <cell r="AZ60">
            <v>0.11040076923076922</v>
          </cell>
          <cell r="BA60">
            <v>0.11074620982413584</v>
          </cell>
          <cell r="BQ60" t="str">
            <v>mstag:commercialBacklog</v>
          </cell>
          <cell r="BR60">
            <v>6</v>
          </cell>
          <cell r="BS60" t="str">
            <v>ISO4217:USD</v>
          </cell>
          <cell r="BT60" t="b">
            <v>0</v>
          </cell>
          <cell r="BU60" t="b">
            <v>0</v>
          </cell>
        </row>
        <row r="61">
          <cell r="A61" t="str">
            <v>Total</v>
          </cell>
          <cell r="B61">
            <v>34.536000000000001</v>
          </cell>
          <cell r="C61">
            <v>35.408999999999999</v>
          </cell>
          <cell r="D61">
            <v>36.902000000000001</v>
          </cell>
          <cell r="E61">
            <v>37.194000000000003</v>
          </cell>
          <cell r="F61">
            <v>40.052</v>
          </cell>
          <cell r="G61">
            <v>45.235999999999997</v>
          </cell>
          <cell r="H61">
            <v>49.673999999999999</v>
          </cell>
          <cell r="I61">
            <v>51.712000000000003</v>
          </cell>
          <cell r="J61">
            <v>49.150999999999996</v>
          </cell>
          <cell r="K61">
            <v>47.653000000000006</v>
          </cell>
          <cell r="N61">
            <v>14.366</v>
          </cell>
          <cell r="O61">
            <v>19.367999999999999</v>
          </cell>
          <cell r="P61">
            <v>21.3</v>
          </cell>
          <cell r="Q61">
            <v>24.840999999999998</v>
          </cell>
          <cell r="R61">
            <v>28.219999999999995</v>
          </cell>
          <cell r="S61">
            <v>28.186</v>
          </cell>
          <cell r="T61">
            <v>32.749000000000002</v>
          </cell>
          <cell r="U61">
            <v>37.194000000000003</v>
          </cell>
          <cell r="V61">
            <v>51.712000000000003</v>
          </cell>
          <cell r="AI61" t="str">
            <v>Asset Turnover</v>
          </cell>
          <cell r="AO61">
            <v>1.2345707735759845</v>
          </cell>
          <cell r="AP61">
            <v>1.1664839361790194</v>
          </cell>
          <cell r="AQ61">
            <v>1.2902216101164392</v>
          </cell>
          <cell r="AR61">
            <v>1.0889872617219261</v>
          </cell>
          <cell r="AS61">
            <v>1.1661409939476601</v>
          </cell>
          <cell r="AT61">
            <v>1.0089600197738366</v>
          </cell>
          <cell r="AU61">
            <v>1.0754673962608299</v>
          </cell>
          <cell r="AV61">
            <v>1.0647208121827412</v>
          </cell>
          <cell r="AW61">
            <v>1.0753932785126921</v>
          </cell>
          <cell r="AX61">
            <v>1.0585629347530408</v>
          </cell>
          <cell r="AY61">
            <v>1.0326719063898777</v>
          </cell>
          <cell r="AZ61">
            <v>1.0384805765047622</v>
          </cell>
          <cell r="BA61">
            <v>0.98711650041536958</v>
          </cell>
        </row>
        <row r="62">
          <cell r="A62" t="str">
            <v>% ch. y/y</v>
          </cell>
          <cell r="B62">
            <v>0.17573364199632313</v>
          </cell>
          <cell r="C62">
            <v>0.15958213256484144</v>
          </cell>
          <cell r="D62">
            <v>0.16421112408114324</v>
          </cell>
          <cell r="E62">
            <v>0.1357293352468778</v>
          </cell>
          <cell r="F62">
            <v>0.15971739634005089</v>
          </cell>
          <cell r="G62">
            <v>0.27752831201107053</v>
          </cell>
          <cell r="H62">
            <v>0.34610590211912617</v>
          </cell>
          <cell r="I62">
            <v>0.39033177394203356</v>
          </cell>
          <cell r="J62">
            <v>0.2271796664336363</v>
          </cell>
          <cell r="K62">
            <v>5.343089574675064E-2</v>
          </cell>
          <cell r="N62">
            <v>0.22786324786324785</v>
          </cell>
          <cell r="O62">
            <v>0.3481832103577891</v>
          </cell>
          <cell r="P62">
            <v>9.9752168525402807E-2</v>
          </cell>
          <cell r="Q62">
            <v>0.16624413145539885</v>
          </cell>
          <cell r="R62">
            <v>0.13602511976168419</v>
          </cell>
          <cell r="S62">
            <v>-1.2048192771082489E-3</v>
          </cell>
          <cell r="T62">
            <v>0.16188888100475429</v>
          </cell>
          <cell r="U62">
            <v>0.1357293352468778</v>
          </cell>
          <cell r="AI62" t="str">
            <v>Leverage Ratio</v>
          </cell>
          <cell r="AO62">
            <v>2.5272612008281574</v>
          </cell>
          <cell r="AP62">
            <v>2.4225163386323492</v>
          </cell>
          <cell r="AQ62">
            <v>2.0908376963350785</v>
          </cell>
          <cell r="AR62">
            <v>2.4445671378091873</v>
          </cell>
          <cell r="AS62">
            <v>2.2563954606655128</v>
          </cell>
          <cell r="AT62">
            <v>2.7331531835838541</v>
          </cell>
          <cell r="AU62">
            <v>2.4403950479899845</v>
          </cell>
          <cell r="AV62">
            <v>2.4186617556783303</v>
          </cell>
          <cell r="AW62">
            <v>2.276991960923985</v>
          </cell>
          <cell r="AX62">
            <v>2.1866927260367097</v>
          </cell>
          <cell r="AY62">
            <v>2.8223415895752511</v>
          </cell>
          <cell r="AZ62">
            <v>2.8332188466414219</v>
          </cell>
          <cell r="BA62">
            <v>2.6834126267744729</v>
          </cell>
        </row>
        <row r="63">
          <cell r="A63" t="str">
            <v>% ch. sequentially</v>
          </cell>
          <cell r="B63">
            <v>5.4566551650432116E-2</v>
          </cell>
          <cell r="C63">
            <v>2.5277970813064599E-2</v>
          </cell>
          <cell r="D63">
            <v>4.2164421474766289E-2</v>
          </cell>
          <cell r="E63">
            <v>7.9128502520189326E-3</v>
          </cell>
          <cell r="F63">
            <v>7.6840350594181706E-2</v>
          </cell>
          <cell r="G63">
            <v>0.12943173873963842</v>
          </cell>
          <cell r="H63">
            <v>9.8107701830400629E-2</v>
          </cell>
          <cell r="I63">
            <v>4.1027499295406056E-2</v>
          </cell>
          <cell r="J63">
            <v>-4.9524288366336822E-2</v>
          </cell>
          <cell r="K63">
            <v>-3.0477508087322525E-2</v>
          </cell>
          <cell r="N63">
            <v>0.22786324786324785</v>
          </cell>
          <cell r="O63">
            <v>0.3481832103577891</v>
          </cell>
          <cell r="P63">
            <v>9.9752168525402807E-2</v>
          </cell>
          <cell r="Q63">
            <v>0.16624413145539885</v>
          </cell>
          <cell r="R63">
            <v>0.13602511976168419</v>
          </cell>
          <cell r="S63">
            <v>-1.2048192771082489E-3</v>
          </cell>
          <cell r="T63">
            <v>0.16188888100475429</v>
          </cell>
          <cell r="U63">
            <v>0.1357293352468778</v>
          </cell>
          <cell r="AI63" t="str">
            <v>ROE</v>
          </cell>
          <cell r="AO63">
            <v>0.22421921772552567</v>
          </cell>
          <cell r="AP63">
            <v>0.25600071607590402</v>
          </cell>
          <cell r="AQ63">
            <v>0.23141009869832643</v>
          </cell>
          <cell r="AR63">
            <v>0.22592237661715378</v>
          </cell>
          <cell r="AS63">
            <v>0.21383777115246222</v>
          </cell>
          <cell r="AT63">
            <v>0.18057553956834532</v>
          </cell>
          <cell r="AU63">
            <v>0.18718535469107553</v>
          </cell>
          <cell r="AV63">
            <v>0.19055693230729098</v>
          </cell>
          <cell r="AW63">
            <v>0.20654351212997996</v>
          </cell>
          <cell r="AX63">
            <v>0.19263718453345682</v>
          </cell>
          <cell r="AY63">
            <v>0.22537922185051099</v>
          </cell>
          <cell r="AZ63">
            <v>0.22332157245457723</v>
          </cell>
          <cell r="BA63">
            <v>0.20520089620180493</v>
          </cell>
        </row>
        <row r="65">
          <cell r="A65" t="str">
            <v>Total (Funded &amp; Unfunded) Backlog</v>
          </cell>
        </row>
        <row r="66">
          <cell r="A66" t="str">
            <v>Marine Systems</v>
          </cell>
          <cell r="B66">
            <v>13.372</v>
          </cell>
          <cell r="C66">
            <v>12.666</v>
          </cell>
          <cell r="D66">
            <v>12.747</v>
          </cell>
          <cell r="E66">
            <v>12.06</v>
          </cell>
          <cell r="F66">
            <v>12.608000000000001</v>
          </cell>
          <cell r="G66">
            <v>12.138</v>
          </cell>
          <cell r="H66">
            <v>11.48</v>
          </cell>
          <cell r="I66">
            <v>26.445</v>
          </cell>
          <cell r="J66">
            <v>25.462</v>
          </cell>
          <cell r="K66">
            <v>24.369</v>
          </cell>
          <cell r="N66">
            <v>11.211</v>
          </cell>
          <cell r="O66">
            <v>10.06</v>
          </cell>
          <cell r="P66">
            <v>11.6</v>
          </cell>
          <cell r="Q66">
            <v>18.163</v>
          </cell>
          <cell r="R66">
            <v>16.841999999999999</v>
          </cell>
          <cell r="S66">
            <v>15.433</v>
          </cell>
          <cell r="T66">
            <v>14.025</v>
          </cell>
          <cell r="U66">
            <v>12.06</v>
          </cell>
          <cell r="V66">
            <v>26.445</v>
          </cell>
          <cell r="BD66" t="str">
            <v xml:space="preserve"> </v>
          </cell>
        </row>
        <row r="67">
          <cell r="A67" t="str">
            <v>Combat Systems</v>
          </cell>
          <cell r="B67">
            <v>12.359</v>
          </cell>
          <cell r="C67">
            <v>12.843</v>
          </cell>
          <cell r="D67">
            <v>13.566000000000001</v>
          </cell>
          <cell r="E67">
            <v>12.901</v>
          </cell>
          <cell r="F67">
            <v>14.287000000000001</v>
          </cell>
          <cell r="G67">
            <v>13.847</v>
          </cell>
          <cell r="H67">
            <v>15.84</v>
          </cell>
          <cell r="I67">
            <v>14.958</v>
          </cell>
          <cell r="J67">
            <v>14.47</v>
          </cell>
          <cell r="K67">
            <v>12.858000000000001</v>
          </cell>
          <cell r="N67">
            <v>1.7729999999999999</v>
          </cell>
          <cell r="O67">
            <v>5.194</v>
          </cell>
          <cell r="P67">
            <v>4.9000000000000004</v>
          </cell>
          <cell r="Q67">
            <v>8.2590000000000003</v>
          </cell>
          <cell r="R67">
            <v>8.7159999999999993</v>
          </cell>
          <cell r="S67">
            <v>9.3279999999999994</v>
          </cell>
          <cell r="T67">
            <v>11.968999999999999</v>
          </cell>
          <cell r="U67">
            <v>12.901</v>
          </cell>
          <cell r="V67">
            <v>14.958</v>
          </cell>
          <cell r="AI67" t="str">
            <v>Est. GD Bottom-Up Valuation - 2004</v>
          </cell>
        </row>
        <row r="68">
          <cell r="A68" t="str">
            <v>Info. Systems &amp; Tech.</v>
          </cell>
          <cell r="B68">
            <v>9.4540000000000006</v>
          </cell>
          <cell r="C68">
            <v>8.9510000000000005</v>
          </cell>
          <cell r="D68">
            <v>9.3070000000000004</v>
          </cell>
          <cell r="E68">
            <v>9.6150000000000002</v>
          </cell>
          <cell r="F68">
            <v>10.42</v>
          </cell>
          <cell r="G68">
            <v>10.481</v>
          </cell>
          <cell r="H68">
            <v>11.085000000000001</v>
          </cell>
          <cell r="I68">
            <v>10.244999999999999</v>
          </cell>
          <cell r="J68">
            <v>10.423999999999999</v>
          </cell>
          <cell r="K68">
            <v>10.505000000000001</v>
          </cell>
          <cell r="N68">
            <v>1.9419999999999999</v>
          </cell>
          <cell r="O68">
            <v>4.9710000000000001</v>
          </cell>
          <cell r="P68">
            <v>5.3</v>
          </cell>
          <cell r="Q68">
            <v>7.4790000000000001</v>
          </cell>
          <cell r="R68">
            <v>9.3469999999999995</v>
          </cell>
          <cell r="S68">
            <v>9.375</v>
          </cell>
          <cell r="T68">
            <v>9.98</v>
          </cell>
          <cell r="U68">
            <v>9.6150000000000002</v>
          </cell>
          <cell r="V68">
            <v>10.244999999999999</v>
          </cell>
        </row>
        <row r="69">
          <cell r="A69" t="str">
            <v>Aerospace</v>
          </cell>
          <cell r="B69">
            <v>8.4459999999999997</v>
          </cell>
          <cell r="C69">
            <v>10.135</v>
          </cell>
          <cell r="D69">
            <v>10.928000000000001</v>
          </cell>
          <cell r="E69">
            <v>12.256</v>
          </cell>
          <cell r="F69">
            <v>12.452</v>
          </cell>
          <cell r="G69">
            <v>18.829000000000001</v>
          </cell>
          <cell r="H69">
            <v>22.084</v>
          </cell>
          <cell r="I69">
            <v>22.478999999999999</v>
          </cell>
          <cell r="J69">
            <v>20.768999999999998</v>
          </cell>
          <cell r="K69">
            <v>19.876000000000001</v>
          </cell>
          <cell r="N69">
            <v>4.37</v>
          </cell>
          <cell r="O69">
            <v>6.2729999999999997</v>
          </cell>
          <cell r="P69">
            <v>6.8</v>
          </cell>
          <cell r="Q69">
            <v>6.524</v>
          </cell>
          <cell r="R69">
            <v>6.8440000000000003</v>
          </cell>
          <cell r="S69">
            <v>6.6180000000000003</v>
          </cell>
          <cell r="T69">
            <v>7.6929999999999996</v>
          </cell>
          <cell r="U69">
            <v>12.256</v>
          </cell>
          <cell r="V69">
            <v>22.478999999999999</v>
          </cell>
        </row>
        <row r="70">
          <cell r="A70" t="str">
            <v>Resources/Corporate</v>
          </cell>
          <cell r="B70">
            <v>0</v>
          </cell>
          <cell r="C70">
            <v>0</v>
          </cell>
          <cell r="D70">
            <v>0</v>
          </cell>
          <cell r="E70">
            <v>0</v>
          </cell>
          <cell r="F70">
            <v>0</v>
          </cell>
          <cell r="G70">
            <v>0</v>
          </cell>
          <cell r="H70">
            <v>0</v>
          </cell>
          <cell r="I70">
            <v>0</v>
          </cell>
          <cell r="J70">
            <v>0</v>
          </cell>
          <cell r="K70">
            <v>0</v>
          </cell>
          <cell r="N70">
            <v>0.44600000000000001</v>
          </cell>
          <cell r="O70">
            <v>0.33400000000000002</v>
          </cell>
          <cell r="P70">
            <v>0.3</v>
          </cell>
          <cell r="Q70">
            <v>0.22</v>
          </cell>
          <cell r="R70">
            <v>0.25800000000000001</v>
          </cell>
          <cell r="S70">
            <v>0</v>
          </cell>
          <cell r="T70">
            <v>0</v>
          </cell>
          <cell r="U70">
            <v>0</v>
          </cell>
          <cell r="V70">
            <v>0</v>
          </cell>
        </row>
        <row r="71">
          <cell r="A71" t="str">
            <v>Total</v>
          </cell>
          <cell r="B71">
            <v>43.631</v>
          </cell>
          <cell r="C71">
            <v>44.594999999999999</v>
          </cell>
          <cell r="D71">
            <v>46.548000000000002</v>
          </cell>
          <cell r="E71">
            <v>46.832000000000001</v>
          </cell>
          <cell r="F71">
            <v>49.767000000000003</v>
          </cell>
          <cell r="G71">
            <v>55.295000000000002</v>
          </cell>
          <cell r="H71">
            <v>60.489000000000004</v>
          </cell>
          <cell r="I71">
            <v>74.126999999999995</v>
          </cell>
          <cell r="J71">
            <v>71.125</v>
          </cell>
          <cell r="K71">
            <v>67.608000000000004</v>
          </cell>
          <cell r="N71">
            <v>19.742000000000001</v>
          </cell>
          <cell r="O71">
            <v>26.832000000000001</v>
          </cell>
          <cell r="P71">
            <v>28.900000000000002</v>
          </cell>
          <cell r="Q71">
            <v>40.645000000000003</v>
          </cell>
          <cell r="R71">
            <v>42.007000000000005</v>
          </cell>
          <cell r="S71">
            <v>40.753999999999998</v>
          </cell>
          <cell r="T71">
            <v>43.667000000000002</v>
          </cell>
          <cell r="U71">
            <v>46.832000000000001</v>
          </cell>
          <cell r="V71">
            <v>74.126999999999995</v>
          </cell>
          <cell r="AI71" t="str">
            <v>Core Opns</v>
          </cell>
          <cell r="AJ71" t="str">
            <v>EPS</v>
          </cell>
          <cell r="AK71" t="str">
            <v>EPS</v>
          </cell>
          <cell r="AL71" t="str">
            <v>EPS</v>
          </cell>
          <cell r="AM71" t="str">
            <v>EPS</v>
          </cell>
          <cell r="AN71" t="str">
            <v>EPS</v>
          </cell>
          <cell r="AO71" t="str">
            <v>EPS</v>
          </cell>
        </row>
        <row r="72">
          <cell r="A72" t="str">
            <v>IDIQ contracts</v>
          </cell>
          <cell r="B72">
            <v>11.016999999999999</v>
          </cell>
          <cell r="C72">
            <v>11.016</v>
          </cell>
          <cell r="D72">
            <v>15.144</v>
          </cell>
          <cell r="E72">
            <v>14.506</v>
          </cell>
          <cell r="F72">
            <v>14.632</v>
          </cell>
          <cell r="G72">
            <v>17.434000000000001</v>
          </cell>
          <cell r="H72">
            <v>17.695</v>
          </cell>
          <cell r="I72">
            <v>16.847000000000001</v>
          </cell>
          <cell r="J72">
            <v>17.946999999999999</v>
          </cell>
          <cell r="K72">
            <v>17.696999999999999</v>
          </cell>
          <cell r="P72">
            <v>3.0030000000000001</v>
          </cell>
          <cell r="Q72">
            <v>6.6790000000000003</v>
          </cell>
          <cell r="R72">
            <v>6.3979999999999997</v>
          </cell>
          <cell r="S72">
            <v>12.919</v>
          </cell>
          <cell r="T72">
            <v>13.089</v>
          </cell>
          <cell r="U72">
            <v>14.506</v>
          </cell>
          <cell r="V72">
            <v>16.847000000000001</v>
          </cell>
          <cell r="AI72" t="str">
            <v>Defense</v>
          </cell>
          <cell r="AJ72">
            <v>2.3922800217563136</v>
          </cell>
          <cell r="AK72">
            <v>2.3922800217563136</v>
          </cell>
          <cell r="AL72">
            <v>2.8071051451860196</v>
          </cell>
          <cell r="AM72">
            <v>3.2750123834660396</v>
          </cell>
          <cell r="AN72">
            <v>3.8880879171065916</v>
          </cell>
          <cell r="AO72">
            <v>4.562092783789268</v>
          </cell>
          <cell r="AP72">
            <v>38.276480348101018</v>
          </cell>
        </row>
        <row r="73">
          <cell r="A73" t="str">
            <v>Total Backlog (incl IDIQ)</v>
          </cell>
          <cell r="B73">
            <v>54.647999999999996</v>
          </cell>
          <cell r="C73">
            <v>55.610999999999997</v>
          </cell>
          <cell r="D73">
            <v>61.692</v>
          </cell>
          <cell r="E73">
            <v>61.338000000000001</v>
          </cell>
          <cell r="F73">
            <v>64.399000000000001</v>
          </cell>
          <cell r="G73">
            <v>72.728999999999999</v>
          </cell>
          <cell r="H73">
            <v>78.183999999999997</v>
          </cell>
          <cell r="I73">
            <v>90.97399999999999</v>
          </cell>
          <cell r="J73">
            <v>89.072000000000003</v>
          </cell>
          <cell r="K73">
            <v>85.305000000000007</v>
          </cell>
          <cell r="P73">
            <v>31.903000000000002</v>
          </cell>
          <cell r="Q73">
            <v>47.324000000000005</v>
          </cell>
          <cell r="R73">
            <v>48.405000000000001</v>
          </cell>
          <cell r="S73">
            <v>53.673000000000002</v>
          </cell>
          <cell r="T73">
            <v>56.756</v>
          </cell>
          <cell r="U73">
            <v>61.338000000000001</v>
          </cell>
          <cell r="V73">
            <v>90.97399999999999</v>
          </cell>
          <cell r="AI73" t="str">
            <v>Comml Aero</v>
          </cell>
          <cell r="AJ73">
            <v>0.5683082347463877</v>
          </cell>
          <cell r="AK73">
            <v>0.5683082347463877</v>
          </cell>
          <cell r="AL73">
            <v>0.78574730811620674</v>
          </cell>
          <cell r="AM73">
            <v>1.0116752057133986</v>
          </cell>
          <cell r="AN73">
            <v>1.3135952060963361</v>
          </cell>
          <cell r="AO73">
            <v>1.6961448514553545</v>
          </cell>
          <cell r="AP73">
            <v>10.797856460181366</v>
          </cell>
        </row>
        <row r="74">
          <cell r="U74">
            <v>8.0731552611177593E-2</v>
          </cell>
          <cell r="V74">
            <v>0.4831588900844499</v>
          </cell>
          <cell r="AI74" t="str">
            <v>Other</v>
          </cell>
          <cell r="AJ74">
            <v>2.6761987182527987E-3</v>
          </cell>
          <cell r="AK74">
            <v>2.6761987182527987E-3</v>
          </cell>
          <cell r="AL74">
            <v>-1.6201463301040782E-2</v>
          </cell>
          <cell r="AM74">
            <v>-8.3147766170588708E-2</v>
          </cell>
          <cell r="AN74">
            <v>-0.1054550669974119</v>
          </cell>
          <cell r="AO74">
            <v>-0.13082353943323571</v>
          </cell>
          <cell r="AP74">
            <v>4.2819179492044779E-2</v>
          </cell>
        </row>
        <row r="75">
          <cell r="A75" t="str">
            <v>GAC backlog ($B), Netjets, firm</v>
          </cell>
          <cell r="C75">
            <v>0.48100000000000009</v>
          </cell>
          <cell r="D75">
            <v>-0.52199999999999891</v>
          </cell>
          <cell r="E75">
            <v>0.11699999999999933</v>
          </cell>
          <cell r="F75">
            <v>-1.0830000000000002</v>
          </cell>
          <cell r="G75">
            <v>5.0480000000000009</v>
          </cell>
          <cell r="H75">
            <v>1.8829999999999989</v>
          </cell>
          <cell r="I75">
            <v>-1.1370000000000005</v>
          </cell>
          <cell r="J75">
            <v>-3.1650000000000009</v>
          </cell>
          <cell r="K75">
            <v>-2.3079999999999972</v>
          </cell>
          <cell r="O75">
            <v>1.8051400000000002</v>
          </cell>
          <cell r="P75">
            <v>2.3850000000000002</v>
          </cell>
          <cell r="Q75">
            <v>2.1</v>
          </cell>
          <cell r="R75">
            <v>1.9</v>
          </cell>
          <cell r="S75">
            <v>1.6</v>
          </cell>
          <cell r="AI75" t="str">
            <v>Total</v>
          </cell>
          <cell r="AJ75">
            <v>2.9632644552209539</v>
          </cell>
          <cell r="AK75">
            <v>2.9632644552209539</v>
          </cell>
          <cell r="AL75">
            <v>3.5766509900011858</v>
          </cell>
          <cell r="AM75">
            <v>4.2035398230088497</v>
          </cell>
          <cell r="AN75">
            <v>5.0962280562055158</v>
          </cell>
          <cell r="AO75">
            <v>6.1274140958113872</v>
          </cell>
          <cell r="AP75">
            <v>49.117155987774424</v>
          </cell>
          <cell r="BM75" t="str">
            <v xml:space="preserve"> </v>
          </cell>
          <cell r="BN75" t="str">
            <v xml:space="preserve"> </v>
          </cell>
          <cell r="BO75" t="str">
            <v xml:space="preserve"> </v>
          </cell>
        </row>
        <row r="76">
          <cell r="BM76" t="str">
            <v xml:space="preserve"> </v>
          </cell>
          <cell r="BN76" t="str">
            <v xml:space="preserve"> </v>
          </cell>
          <cell r="BO76" t="str">
            <v xml:space="preserve"> </v>
          </cell>
        </row>
        <row r="77">
          <cell r="BM77" t="str">
            <v xml:space="preserve"> </v>
          </cell>
          <cell r="BN77" t="str">
            <v xml:space="preserve"> </v>
          </cell>
          <cell r="BO77" t="str">
            <v xml:space="preserve"> </v>
          </cell>
        </row>
        <row r="78">
          <cell r="B78">
            <v>2007</v>
          </cell>
          <cell r="F78" t="str">
            <v>2008A</v>
          </cell>
          <cell r="J78" t="str">
            <v>2009E</v>
          </cell>
          <cell r="AI78" t="str">
            <v xml:space="preserve">GD Risks/Watchlist </v>
          </cell>
          <cell r="BM78" t="str">
            <v xml:space="preserve"> </v>
          </cell>
          <cell r="BN78" t="str">
            <v xml:space="preserve"> </v>
          </cell>
          <cell r="BO78" t="str">
            <v xml:space="preserve"> </v>
          </cell>
        </row>
        <row r="79">
          <cell r="B79" t="str">
            <v>Q1</v>
          </cell>
          <cell r="C79" t="str">
            <v>Q2</v>
          </cell>
          <cell r="D79" t="str">
            <v>Q3</v>
          </cell>
          <cell r="E79" t="str">
            <v>Q4</v>
          </cell>
          <cell r="F79" t="str">
            <v>Q1</v>
          </cell>
          <cell r="G79" t="str">
            <v>Q2</v>
          </cell>
          <cell r="H79" t="str">
            <v>Q3</v>
          </cell>
          <cell r="I79" t="str">
            <v>Q4</v>
          </cell>
          <cell r="J79" t="str">
            <v>Q1</v>
          </cell>
          <cell r="K79" t="str">
            <v>Q2A</v>
          </cell>
          <cell r="L79" t="str">
            <v>Q3E</v>
          </cell>
          <cell r="M79" t="str">
            <v>Q4E</v>
          </cell>
          <cell r="N79">
            <v>2000</v>
          </cell>
          <cell r="O79">
            <v>2001</v>
          </cell>
          <cell r="P79">
            <v>2002</v>
          </cell>
          <cell r="Q79">
            <v>2003</v>
          </cell>
          <cell r="R79">
            <v>2004</v>
          </cell>
          <cell r="S79">
            <v>2005</v>
          </cell>
          <cell r="T79">
            <v>2006</v>
          </cell>
          <cell r="U79">
            <v>2007</v>
          </cell>
          <cell r="V79" t="str">
            <v>2008A</v>
          </cell>
          <cell r="W79" t="str">
            <v>2009E</v>
          </cell>
          <cell r="X79" t="str">
            <v>2010E</v>
          </cell>
          <cell r="Y79" t="str">
            <v>2011E</v>
          </cell>
          <cell r="Z79" t="str">
            <v>2012E</v>
          </cell>
          <cell r="BM79" t="str">
            <v xml:space="preserve"> </v>
          </cell>
          <cell r="BN79" t="str">
            <v xml:space="preserve"> </v>
          </cell>
          <cell r="BO79" t="str">
            <v xml:space="preserve"> </v>
          </cell>
        </row>
        <row r="80">
          <cell r="A80" t="str">
            <v>Gulfstream Deliveries (Green)</v>
          </cell>
          <cell r="AI80" t="str">
            <v>Item</v>
          </cell>
          <cell r="AJ80" t="str">
            <v>Since</v>
          </cell>
          <cell r="AK80" t="str">
            <v>Risk/Opportunity</v>
          </cell>
          <cell r="AL80" t="str">
            <v>Next deadline to watch</v>
          </cell>
        </row>
        <row r="81">
          <cell r="A81" t="str">
            <v>Large Cabin Aircraft</v>
          </cell>
          <cell r="B81">
            <v>19</v>
          </cell>
          <cell r="C81">
            <v>20</v>
          </cell>
          <cell r="D81">
            <v>21</v>
          </cell>
          <cell r="E81">
            <v>19</v>
          </cell>
          <cell r="F81">
            <v>22</v>
          </cell>
          <cell r="G81">
            <v>22</v>
          </cell>
          <cell r="H81">
            <v>23</v>
          </cell>
          <cell r="I81">
            <v>20</v>
          </cell>
          <cell r="J81">
            <v>22</v>
          </cell>
          <cell r="K81">
            <v>20</v>
          </cell>
          <cell r="L81">
            <v>42</v>
          </cell>
          <cell r="N81">
            <v>71</v>
          </cell>
          <cell r="O81">
            <v>71</v>
          </cell>
          <cell r="P81">
            <v>61</v>
          </cell>
          <cell r="Q81">
            <v>50</v>
          </cell>
          <cell r="R81">
            <v>56</v>
          </cell>
          <cell r="S81">
            <v>63</v>
          </cell>
          <cell r="T81">
            <v>71</v>
          </cell>
          <cell r="U81">
            <v>79</v>
          </cell>
          <cell r="V81">
            <v>87</v>
          </cell>
          <cell r="W81">
            <v>72</v>
          </cell>
          <cell r="X81">
            <v>70</v>
          </cell>
          <cell r="Y81">
            <v>70</v>
          </cell>
          <cell r="Z81">
            <v>111</v>
          </cell>
          <cell r="AI81" t="str">
            <v>A-12</v>
          </cell>
          <cell r="AJ81">
            <v>1991</v>
          </cell>
          <cell r="AK81" t="str">
            <v>lawsuit</v>
          </cell>
          <cell r="AM81" t="str">
            <v xml:space="preserve">- $1.4B (progress payments) + $1.1B (interest) split between BA = $1.2B (pretax), $700MM a.t. -- </v>
          </cell>
          <cell r="BQ81" t="str">
            <v>mstag:businessJetDeliveriesLongRange</v>
          </cell>
          <cell r="BR81">
            <v>0</v>
          </cell>
          <cell r="BS81" t="str">
            <v>ms_eqr_gcim_Decimal:ms_eqr_gcim_decimal</v>
          </cell>
          <cell r="BT81" t="b">
            <v>0</v>
          </cell>
          <cell r="BU81" t="b">
            <v>0</v>
          </cell>
        </row>
        <row r="82">
          <cell r="A82" t="str">
            <v>Midsize Aircraft</v>
          </cell>
          <cell r="B82">
            <v>11</v>
          </cell>
          <cell r="C82">
            <v>16</v>
          </cell>
          <cell r="D82">
            <v>16</v>
          </cell>
          <cell r="E82">
            <v>16</v>
          </cell>
          <cell r="F82">
            <v>15</v>
          </cell>
          <cell r="G82">
            <v>17</v>
          </cell>
          <cell r="H82">
            <v>16</v>
          </cell>
          <cell r="I82">
            <v>21</v>
          </cell>
          <cell r="J82">
            <v>9</v>
          </cell>
          <cell r="K82">
            <v>6</v>
          </cell>
          <cell r="L82">
            <v>15</v>
          </cell>
          <cell r="N82">
            <v>0</v>
          </cell>
          <cell r="O82">
            <v>13</v>
          </cell>
          <cell r="P82">
            <v>24</v>
          </cell>
          <cell r="Q82">
            <v>24</v>
          </cell>
          <cell r="R82">
            <v>22</v>
          </cell>
          <cell r="S82">
            <v>26</v>
          </cell>
          <cell r="T82">
            <v>42</v>
          </cell>
          <cell r="U82">
            <v>59</v>
          </cell>
          <cell r="V82">
            <v>69</v>
          </cell>
          <cell r="W82">
            <v>20</v>
          </cell>
          <cell r="X82">
            <v>22</v>
          </cell>
          <cell r="Y82">
            <v>0</v>
          </cell>
          <cell r="Z82">
            <v>0.58571428571428563</v>
          </cell>
          <cell r="AI82" t="str">
            <v>Galaxy</v>
          </cell>
          <cell r="AJ82" t="str">
            <v>2001</v>
          </cell>
          <cell r="AK82" t="str">
            <v>payments</v>
          </cell>
          <cell r="AL82" t="str">
            <v>2006</v>
          </cell>
          <cell r="AM82" t="str">
            <v>- $300MM thru 2006 contingent on specific rev targets (which are highly unlikely to be achieved thx to 2001 downturn)</v>
          </cell>
          <cell r="BQ82" t="str">
            <v>mstag:businessJetDeliveriesMidRange</v>
          </cell>
          <cell r="BR82">
            <v>0</v>
          </cell>
          <cell r="BS82" t="str">
            <v>ms_eqr_gcim_Decimal:ms_eqr_gcim_decimal</v>
          </cell>
          <cell r="BT82" t="b">
            <v>0</v>
          </cell>
          <cell r="BU82" t="b">
            <v>0</v>
          </cell>
        </row>
        <row r="83">
          <cell r="A83" t="str">
            <v>Total</v>
          </cell>
          <cell r="B83">
            <v>30</v>
          </cell>
          <cell r="C83">
            <v>36</v>
          </cell>
          <cell r="D83">
            <v>37</v>
          </cell>
          <cell r="E83">
            <v>35</v>
          </cell>
          <cell r="F83">
            <v>37</v>
          </cell>
          <cell r="G83">
            <v>39</v>
          </cell>
          <cell r="H83">
            <v>39</v>
          </cell>
          <cell r="I83">
            <v>41</v>
          </cell>
          <cell r="J83">
            <v>31</v>
          </cell>
          <cell r="K83">
            <v>26</v>
          </cell>
          <cell r="L83">
            <v>57</v>
          </cell>
          <cell r="N83">
            <v>71</v>
          </cell>
          <cell r="O83">
            <v>84</v>
          </cell>
          <cell r="P83">
            <v>85</v>
          </cell>
          <cell r="Q83">
            <v>74</v>
          </cell>
          <cell r="R83">
            <v>78</v>
          </cell>
          <cell r="S83">
            <v>89</v>
          </cell>
          <cell r="T83">
            <v>113</v>
          </cell>
          <cell r="U83">
            <v>138</v>
          </cell>
          <cell r="V83">
            <v>156</v>
          </cell>
          <cell r="W83">
            <v>92</v>
          </cell>
          <cell r="X83">
            <v>92</v>
          </cell>
          <cell r="Y83">
            <v>70</v>
          </cell>
          <cell r="Z83">
            <v>111.58571428571429</v>
          </cell>
          <cell r="AI83" t="str">
            <v>tax benefit</v>
          </cell>
          <cell r="AK83" t="str">
            <v>refund</v>
          </cell>
          <cell r="AM83" t="str">
            <v>- $100MM seeking recovery</v>
          </cell>
        </row>
        <row r="84">
          <cell r="A84" t="str">
            <v>Gulfstream Deliveries (Completions)</v>
          </cell>
        </row>
        <row r="85">
          <cell r="A85" t="str">
            <v>Large Cabin Aircraft</v>
          </cell>
          <cell r="B85">
            <v>20</v>
          </cell>
          <cell r="C85">
            <v>20</v>
          </cell>
          <cell r="D85">
            <v>22</v>
          </cell>
          <cell r="E85">
            <v>20</v>
          </cell>
          <cell r="F85">
            <v>20</v>
          </cell>
          <cell r="G85">
            <v>24</v>
          </cell>
          <cell r="H85">
            <v>22</v>
          </cell>
          <cell r="I85">
            <v>21</v>
          </cell>
          <cell r="J85">
            <v>18</v>
          </cell>
          <cell r="K85">
            <v>22</v>
          </cell>
          <cell r="N85">
            <v>77</v>
          </cell>
          <cell r="O85">
            <v>71</v>
          </cell>
          <cell r="P85">
            <v>68</v>
          </cell>
          <cell r="Q85">
            <v>49</v>
          </cell>
          <cell r="R85">
            <v>52</v>
          </cell>
          <cell r="S85">
            <v>60</v>
          </cell>
          <cell r="T85">
            <v>71</v>
          </cell>
          <cell r="U85">
            <v>82</v>
          </cell>
          <cell r="V85">
            <v>87</v>
          </cell>
          <cell r="W85">
            <v>72</v>
          </cell>
          <cell r="X85">
            <v>70</v>
          </cell>
          <cell r="Y85">
            <v>70</v>
          </cell>
          <cell r="Z85">
            <v>111</v>
          </cell>
        </row>
        <row r="86">
          <cell r="A86" t="str">
            <v>Midsize Aircraft</v>
          </cell>
          <cell r="B86">
            <v>10</v>
          </cell>
          <cell r="C86">
            <v>16</v>
          </cell>
          <cell r="D86">
            <v>13</v>
          </cell>
          <cell r="E86">
            <v>17</v>
          </cell>
          <cell r="F86">
            <v>16</v>
          </cell>
          <cell r="G86">
            <v>16</v>
          </cell>
          <cell r="H86">
            <v>16</v>
          </cell>
          <cell r="I86">
            <v>17</v>
          </cell>
          <cell r="J86">
            <v>16</v>
          </cell>
          <cell r="K86">
            <v>9</v>
          </cell>
          <cell r="N86">
            <v>0</v>
          </cell>
          <cell r="O86">
            <v>0</v>
          </cell>
          <cell r="P86">
            <v>26</v>
          </cell>
          <cell r="Q86">
            <v>25</v>
          </cell>
          <cell r="R86">
            <v>25</v>
          </cell>
          <cell r="S86">
            <v>24</v>
          </cell>
          <cell r="T86">
            <v>33</v>
          </cell>
          <cell r="U86">
            <v>56</v>
          </cell>
          <cell r="V86">
            <v>65</v>
          </cell>
          <cell r="W86">
            <v>20</v>
          </cell>
          <cell r="X86">
            <v>22</v>
          </cell>
          <cell r="Y86">
            <v>25</v>
          </cell>
          <cell r="Z86">
            <v>52</v>
          </cell>
          <cell r="AI86" t="str">
            <v>EPS Possibilities Next Year</v>
          </cell>
        </row>
        <row r="87">
          <cell r="A87" t="str">
            <v>Total</v>
          </cell>
          <cell r="B87">
            <v>30</v>
          </cell>
          <cell r="C87">
            <v>36</v>
          </cell>
          <cell r="D87">
            <v>35</v>
          </cell>
          <cell r="E87">
            <v>37</v>
          </cell>
          <cell r="F87">
            <v>36</v>
          </cell>
          <cell r="G87">
            <v>40</v>
          </cell>
          <cell r="H87">
            <v>38</v>
          </cell>
          <cell r="I87">
            <v>38</v>
          </cell>
          <cell r="J87">
            <v>34</v>
          </cell>
          <cell r="K87">
            <v>31</v>
          </cell>
          <cell r="N87">
            <v>77</v>
          </cell>
          <cell r="O87">
            <v>71</v>
          </cell>
          <cell r="P87">
            <v>94</v>
          </cell>
          <cell r="Q87">
            <v>74</v>
          </cell>
          <cell r="R87">
            <v>77</v>
          </cell>
          <cell r="S87">
            <v>84</v>
          </cell>
          <cell r="T87">
            <v>104</v>
          </cell>
          <cell r="U87">
            <v>138</v>
          </cell>
          <cell r="V87">
            <v>152</v>
          </cell>
          <cell r="W87">
            <v>92</v>
          </cell>
          <cell r="X87">
            <v>92</v>
          </cell>
          <cell r="Y87">
            <v>95</v>
          </cell>
          <cell r="Z87">
            <v>163</v>
          </cell>
        </row>
        <row r="88">
          <cell r="AV88" t="str">
            <v>Low</v>
          </cell>
          <cell r="AW88" t="str">
            <v>High</v>
          </cell>
        </row>
        <row r="89">
          <cell r="A89" t="str">
            <v>Preowned Units</v>
          </cell>
          <cell r="B89">
            <v>2</v>
          </cell>
          <cell r="C89">
            <v>3</v>
          </cell>
          <cell r="D89">
            <v>3</v>
          </cell>
          <cell r="E89">
            <v>0</v>
          </cell>
          <cell r="F89">
            <v>1</v>
          </cell>
          <cell r="G89">
            <v>1</v>
          </cell>
          <cell r="H89">
            <v>0</v>
          </cell>
          <cell r="I89">
            <v>0</v>
          </cell>
          <cell r="J89">
            <v>0</v>
          </cell>
          <cell r="K89">
            <v>2</v>
          </cell>
          <cell r="N89">
            <v>16</v>
          </cell>
          <cell r="O89">
            <v>13</v>
          </cell>
          <cell r="P89">
            <v>36</v>
          </cell>
          <cell r="Q89">
            <v>31</v>
          </cell>
          <cell r="R89">
            <v>15</v>
          </cell>
          <cell r="S89">
            <v>12</v>
          </cell>
          <cell r="T89">
            <v>11</v>
          </cell>
          <cell r="U89">
            <v>8</v>
          </cell>
          <cell r="V89">
            <v>2</v>
          </cell>
          <cell r="AI89" t="str">
            <v>2009 EPS</v>
          </cell>
          <cell r="AV89">
            <v>6.1189391025198736</v>
          </cell>
          <cell r="AW89">
            <v>6.55</v>
          </cell>
        </row>
        <row r="90">
          <cell r="AI90" t="str">
            <v>Jet Aviation</v>
          </cell>
          <cell r="AV90">
            <v>0.15</v>
          </cell>
          <cell r="AW90">
            <v>0.2</v>
          </cell>
        </row>
        <row r="91">
          <cell r="A91" t="str">
            <v>Revenue Growth, Total</v>
          </cell>
          <cell r="AI91" t="str">
            <v>Additional deployment</v>
          </cell>
          <cell r="AV91">
            <v>7.0000000000000007E-2</v>
          </cell>
          <cell r="AW91">
            <v>0.15</v>
          </cell>
        </row>
        <row r="92">
          <cell r="A92" t="str">
            <v>Marine Systems</v>
          </cell>
          <cell r="B92">
            <v>-1.4117647058823568E-2</v>
          </cell>
          <cell r="C92">
            <v>4.7393364928909332E-3</v>
          </cell>
          <cell r="D92">
            <v>2.0475020475020367E-2</v>
          </cell>
          <cell r="E92">
            <v>3.395585738539908E-2</v>
          </cell>
          <cell r="F92">
            <v>9.6260938743038871E-2</v>
          </cell>
          <cell r="G92">
            <v>9.5911949685534514E-2</v>
          </cell>
          <cell r="H92">
            <v>0.12680577849117181</v>
          </cell>
          <cell r="I92">
            <v>0.13300492610837433</v>
          </cell>
          <cell r="J92">
            <v>0.21117561683599417</v>
          </cell>
          <cell r="K92">
            <v>0.1657101865136299</v>
          </cell>
          <cell r="N92">
            <v>0.10524611398963724</v>
          </cell>
          <cell r="O92">
            <v>5.8306475241722833E-2</v>
          </cell>
          <cell r="P92">
            <v>1.0520487264673362E-2</v>
          </cell>
          <cell r="Q92">
            <v>0.17013698630136975</v>
          </cell>
          <cell r="R92">
            <v>0.10653242800280971</v>
          </cell>
          <cell r="S92">
            <v>-6.5594583157003727E-3</v>
          </cell>
          <cell r="T92">
            <v>5.2183173588924436E-2</v>
          </cell>
          <cell r="U92">
            <v>1.0728744939271229E-2</v>
          </cell>
          <cell r="V92">
            <v>0.11275786100540763</v>
          </cell>
          <cell r="W92">
            <v>0.16090712742980551</v>
          </cell>
          <cell r="X92">
            <v>2.7906976744185963E-2</v>
          </cell>
          <cell r="Y92">
            <v>6.6365007541478116E-2</v>
          </cell>
          <cell r="Z92">
            <v>0.12446958981612455</v>
          </cell>
          <cell r="AI92" t="str">
            <v>total EPS</v>
          </cell>
          <cell r="AV92">
            <v>6.3389391025198734</v>
          </cell>
          <cell r="AW92">
            <v>6.8999999999999995</v>
          </cell>
        </row>
        <row r="93">
          <cell r="A93" t="str">
            <v>Combat Systems</v>
          </cell>
          <cell r="B93">
            <v>0.14536157779401027</v>
          </cell>
          <cell r="C93">
            <v>0.18559556786703602</v>
          </cell>
          <cell r="D93">
            <v>0.37142857142857144</v>
          </cell>
          <cell r="E93">
            <v>0.46537396121883656</v>
          </cell>
          <cell r="F93">
            <v>0.27359693877551017</v>
          </cell>
          <cell r="G93">
            <v>0.17698598130841114</v>
          </cell>
          <cell r="H93">
            <v>-1.175213675213671E-2</v>
          </cell>
          <cell r="I93">
            <v>-0.11833648393194707</v>
          </cell>
          <cell r="J93">
            <v>0.20530796194291434</v>
          </cell>
          <cell r="K93">
            <v>0.19354838709677424</v>
          </cell>
          <cell r="N93">
            <v>-1.317829457364339E-2</v>
          </cell>
          <cell r="O93">
            <v>0.7360565593087196</v>
          </cell>
          <cell r="P93">
            <v>0.26063348416289589</v>
          </cell>
          <cell r="Q93">
            <v>0.43826274228284268</v>
          </cell>
          <cell r="R93">
            <v>9.9825305714998702E-2</v>
          </cell>
          <cell r="S93">
            <v>0.1393238030406172</v>
          </cell>
          <cell r="T93">
            <v>0.19159529974108747</v>
          </cell>
          <cell r="U93">
            <v>0.30319237840548219</v>
          </cell>
          <cell r="V93">
            <v>5.0917019366423011E-2</v>
          </cell>
          <cell r="W93">
            <v>0.22040517451794006</v>
          </cell>
          <cell r="X93">
            <v>-5.0000000000000044E-3</v>
          </cell>
          <cell r="Y93">
            <v>1.5075376884422065E-2</v>
          </cell>
          <cell r="Z93">
            <v>4.9504950495049549E-3</v>
          </cell>
        </row>
        <row r="94">
          <cell r="A94" t="str">
            <v>Info. Systems &amp; Tech.</v>
          </cell>
          <cell r="B94">
            <v>0.20679168778509882</v>
          </cell>
          <cell r="C94">
            <v>0.11219286045433474</v>
          </cell>
          <cell r="D94">
            <v>2.0868113522538589E-3</v>
          </cell>
          <cell r="E94">
            <v>-2.2818254603682919E-2</v>
          </cell>
          <cell r="F94">
            <v>-1.2599748005039935E-2</v>
          </cell>
          <cell r="G94">
            <v>6.9195498124218435E-2</v>
          </cell>
          <cell r="H94">
            <v>4.7063723448563133E-2</v>
          </cell>
          <cell r="I94">
            <v>6.841458418680868E-2</v>
          </cell>
          <cell r="J94">
            <v>0.16248404934070604</v>
          </cell>
          <cell r="K94">
            <v>3.5087719298245723E-2</v>
          </cell>
          <cell r="N94">
            <v>0.64345991561181437</v>
          </cell>
          <cell r="O94">
            <v>0.1514762516046213</v>
          </cell>
          <cell r="P94">
            <v>0.36343366778149377</v>
          </cell>
          <cell r="Q94">
            <v>0.32134096484055608</v>
          </cell>
          <cell r="R94">
            <v>0.38655115511551164</v>
          </cell>
          <cell r="S94">
            <v>0.16423683427551317</v>
          </cell>
          <cell r="T94">
            <v>0.15307947866087401</v>
          </cell>
          <cell r="U94">
            <v>6.6267730496453847E-2</v>
          </cell>
          <cell r="V94">
            <v>4.3234254832675179E-2</v>
          </cell>
          <cell r="W94">
            <v>7.5911536162582172E-2</v>
          </cell>
          <cell r="X94">
            <v>2.7777777777777679E-2</v>
          </cell>
          <cell r="Y94">
            <v>9.009009009008917E-3</v>
          </cell>
          <cell r="Z94">
            <v>4.4642857142858094E-3</v>
          </cell>
          <cell r="AI94" t="str">
            <v>Growth y/y 2009</v>
          </cell>
          <cell r="AV94">
            <v>3.4521088896714458E-2</v>
          </cell>
          <cell r="AW94">
            <v>0.12608677855096184</v>
          </cell>
        </row>
        <row r="95">
          <cell r="A95" t="str">
            <v>Aerospace</v>
          </cell>
          <cell r="B95">
            <v>0.17761033369214219</v>
          </cell>
          <cell r="C95">
            <v>0.13214620431115276</v>
          </cell>
          <cell r="D95">
            <v>0.20975160993560249</v>
          </cell>
          <cell r="E95">
            <v>0.17231364956437556</v>
          </cell>
          <cell r="F95">
            <v>0.16910420475319921</v>
          </cell>
          <cell r="G95">
            <v>0.10016556291390732</v>
          </cell>
          <cell r="H95">
            <v>4.3346007604562642E-2</v>
          </cell>
          <cell r="I95">
            <v>0.26507018992568132</v>
          </cell>
          <cell r="J95">
            <v>0.13760750586395631</v>
          </cell>
          <cell r="K95">
            <v>6.4710308502633485E-2</v>
          </cell>
          <cell r="N95">
            <v>4.1251289102784527E-2</v>
          </cell>
          <cell r="O95">
            <v>7.7913502806206569E-2</v>
          </cell>
          <cell r="P95">
            <v>7.3506891271055697E-3</v>
          </cell>
          <cell r="Q95">
            <v>-0.10428701733049561</v>
          </cell>
          <cell r="R95">
            <v>2.2403258655804503E-2</v>
          </cell>
          <cell r="S95">
            <v>0.1397742363877823</v>
          </cell>
          <cell r="T95">
            <v>0.19895135450043688</v>
          </cell>
          <cell r="U95">
            <v>0.17298347910592815</v>
          </cell>
          <cell r="V95">
            <v>0.14167357083678533</v>
          </cell>
          <cell r="W95">
            <v>-4.7532656023222097E-2</v>
          </cell>
          <cell r="X95">
            <v>9.52380952380949E-3</v>
          </cell>
          <cell r="Y95">
            <v>0.15094339622641506</v>
          </cell>
          <cell r="Z95">
            <v>0.21311475409836067</v>
          </cell>
        </row>
        <row r="96">
          <cell r="A96" t="str">
            <v>Resources/Corporate</v>
          </cell>
          <cell r="B96" t="str">
            <v>NM</v>
          </cell>
          <cell r="C96" t="str">
            <v>NM</v>
          </cell>
          <cell r="D96" t="str">
            <v>NM</v>
          </cell>
          <cell r="E96" t="str">
            <v>NM</v>
          </cell>
          <cell r="F96" t="str">
            <v>NM</v>
          </cell>
          <cell r="G96" t="str">
            <v>NM</v>
          </cell>
          <cell r="H96" t="str">
            <v>NM</v>
          </cell>
          <cell r="I96" t="str">
            <v>NM</v>
          </cell>
          <cell r="J96" t="str">
            <v>NM</v>
          </cell>
          <cell r="K96" t="str">
            <v>NM</v>
          </cell>
          <cell r="N96">
            <v>1.2000000000000011E-2</v>
          </cell>
          <cell r="O96">
            <v>9.0909090909090828E-2</v>
          </cell>
          <cell r="P96">
            <v>3.6231884057970953E-2</v>
          </cell>
          <cell r="Q96">
            <v>-0.1048951048951049</v>
          </cell>
          <cell r="R96">
            <v>-0.99609375</v>
          </cell>
          <cell r="S96">
            <v>-1</v>
          </cell>
          <cell r="T96" t="str">
            <v>NM</v>
          </cell>
          <cell r="U96" t="str">
            <v>NM</v>
          </cell>
          <cell r="V96" t="str">
            <v>NM</v>
          </cell>
          <cell r="W96" t="str">
            <v>NM</v>
          </cell>
          <cell r="X96" t="str">
            <v>NM</v>
          </cell>
          <cell r="Y96" t="str">
            <v>NM</v>
          </cell>
          <cell r="Z96" t="str">
            <v>NM</v>
          </cell>
        </row>
        <row r="97">
          <cell r="A97" t="str">
            <v>Total</v>
          </cell>
          <cell r="B97">
            <v>0.13595384060584204</v>
          </cell>
          <cell r="C97">
            <v>0.11071789686552069</v>
          </cell>
          <cell r="D97">
            <v>0.12605042016806722</v>
          </cell>
          <cell r="E97">
            <v>0.15366902057107779</v>
          </cell>
          <cell r="F97">
            <v>0.11190476190476195</v>
          </cell>
          <cell r="G97">
            <v>0.10802609619177672</v>
          </cell>
          <cell r="H97">
            <v>4.4776119402984982E-2</v>
          </cell>
          <cell r="I97">
            <v>4.4843646041250906E-2</v>
          </cell>
          <cell r="J97">
            <v>0.17972876516773728</v>
          </cell>
          <cell r="K97">
            <v>0.10913323291797883</v>
          </cell>
          <cell r="N97">
            <v>0.15023998214086398</v>
          </cell>
          <cell r="O97">
            <v>0.16972343522561872</v>
          </cell>
          <cell r="P97">
            <v>0.13489298158287699</v>
          </cell>
          <cell r="Q97">
            <v>0.19356725146198839</v>
          </cell>
          <cell r="R97">
            <v>0.15556099951004421</v>
          </cell>
          <cell r="S97">
            <v>0.11167055331778664</v>
          </cell>
          <cell r="T97">
            <v>0.14722288438617404</v>
          </cell>
          <cell r="U97">
            <v>0.13202842538336856</v>
          </cell>
          <cell r="V97">
            <v>7.562408223201178E-2</v>
          </cell>
          <cell r="W97">
            <v>0.10921501706484649</v>
          </cell>
          <cell r="X97">
            <v>1.4769230769230868E-2</v>
          </cell>
          <cell r="Y97">
            <v>4.5178896300788418E-2</v>
          </cell>
          <cell r="Z97">
            <v>6.6144473455178376E-2</v>
          </cell>
        </row>
        <row r="98">
          <cell r="A98" t="str">
            <v>Revenue Growth, Organic</v>
          </cell>
        </row>
        <row r="99">
          <cell r="A99" t="str">
            <v>Marine Systems</v>
          </cell>
          <cell r="N99">
            <v>0.10524611398963724</v>
          </cell>
          <cell r="O99">
            <v>5.8306475241722833E-2</v>
          </cell>
          <cell r="P99">
            <v>1.0520487264673362E-2</v>
          </cell>
          <cell r="Q99">
            <v>0.17013698630136975</v>
          </cell>
        </row>
        <row r="100">
          <cell r="A100" t="str">
            <v>Combat Systems</v>
          </cell>
          <cell r="N100">
            <v>-1.317829457364339E-2</v>
          </cell>
          <cell r="P100">
            <v>0.25</v>
          </cell>
          <cell r="Q100">
            <v>0.06</v>
          </cell>
        </row>
        <row r="101">
          <cell r="A101" t="str">
            <v>Info. Systems &amp; Tech.</v>
          </cell>
          <cell r="O101">
            <v>7.0000000000000007E-2</v>
          </cell>
          <cell r="P101">
            <v>0.16</v>
          </cell>
          <cell r="Q101">
            <v>0.2</v>
          </cell>
        </row>
        <row r="102">
          <cell r="A102" t="str">
            <v>Aerospace</v>
          </cell>
          <cell r="N102">
            <v>4.1251289102784527E-2</v>
          </cell>
          <cell r="P102">
            <v>7.3506891271055697E-3</v>
          </cell>
          <cell r="Q102">
            <v>-0.10428701733049561</v>
          </cell>
        </row>
        <row r="103">
          <cell r="A103" t="str">
            <v>Resources/Corporate</v>
          </cell>
          <cell r="N103">
            <v>1.2000000000000011E-2</v>
          </cell>
          <cell r="O103">
            <v>9.0909090909090828E-2</v>
          </cell>
          <cell r="P103">
            <v>3.6231884057970953E-2</v>
          </cell>
          <cell r="Q103">
            <v>-0.1048951048951049</v>
          </cell>
        </row>
        <row r="104">
          <cell r="A104" t="str">
            <v>Total</v>
          </cell>
          <cell r="O104">
            <v>7.0000000000000007E-2</v>
          </cell>
          <cell r="P104">
            <v>0.06</v>
          </cell>
          <cell r="Q104">
            <v>0.08</v>
          </cell>
        </row>
        <row r="105">
          <cell r="A105" t="str">
            <v>EPS, Qtrly as % of Total</v>
          </cell>
          <cell r="B105">
            <v>0.21088999849686216</v>
          </cell>
          <cell r="C105">
            <v>0.24857863263540078</v>
          </cell>
          <cell r="D105">
            <v>0.26208104323407311</v>
          </cell>
          <cell r="E105">
            <v>0.27873488036748884</v>
          </cell>
          <cell r="F105">
            <v>0.23152800919645813</v>
          </cell>
          <cell r="G105">
            <v>0.2461418500089752</v>
          </cell>
          <cell r="H105">
            <v>0.25880295858121444</v>
          </cell>
          <cell r="I105">
            <v>0.26390302595270732</v>
          </cell>
          <cell r="J105">
            <v>0.25086999380588304</v>
          </cell>
          <cell r="K105">
            <v>0.26245450813416793</v>
          </cell>
          <cell r="L105">
            <v>0.22099858496058483</v>
          </cell>
          <cell r="M105">
            <v>0.26574827762664321</v>
          </cell>
        </row>
        <row r="107">
          <cell r="A107" t="str">
            <v>Working Capital</v>
          </cell>
        </row>
        <row r="108">
          <cell r="A108" t="str">
            <v>Inventory</v>
          </cell>
          <cell r="B108">
            <v>1604</v>
          </cell>
          <cell r="C108">
            <v>1595</v>
          </cell>
          <cell r="D108">
            <v>1556</v>
          </cell>
          <cell r="E108">
            <v>1621</v>
          </cell>
          <cell r="F108">
            <v>1663</v>
          </cell>
          <cell r="G108">
            <v>1672</v>
          </cell>
          <cell r="H108">
            <v>1725</v>
          </cell>
          <cell r="I108">
            <v>2029</v>
          </cell>
          <cell r="J108">
            <v>2083</v>
          </cell>
          <cell r="K108">
            <v>2138</v>
          </cell>
          <cell r="N108">
            <v>953</v>
          </cell>
          <cell r="O108">
            <v>1289</v>
          </cell>
          <cell r="P108">
            <v>1405</v>
          </cell>
          <cell r="Q108">
            <v>1159</v>
          </cell>
          <cell r="R108">
            <v>1195</v>
          </cell>
          <cell r="S108">
            <v>1293</v>
          </cell>
          <cell r="T108">
            <v>1484</v>
          </cell>
          <cell r="U108">
            <v>1621</v>
          </cell>
          <cell r="V108">
            <v>2029</v>
          </cell>
          <cell r="W108">
            <v>2100</v>
          </cell>
          <cell r="X108">
            <v>2120</v>
          </cell>
          <cell r="Y108">
            <v>2440</v>
          </cell>
          <cell r="Z108">
            <v>2960</v>
          </cell>
        </row>
        <row r="109">
          <cell r="A109" t="str">
            <v>Accounts Receivables</v>
          </cell>
          <cell r="B109">
            <v>2304</v>
          </cell>
          <cell r="C109">
            <v>2539</v>
          </cell>
          <cell r="D109">
            <v>2432</v>
          </cell>
          <cell r="E109">
            <v>2874</v>
          </cell>
          <cell r="F109">
            <v>2976</v>
          </cell>
          <cell r="G109">
            <v>2962</v>
          </cell>
          <cell r="H109">
            <v>3103</v>
          </cell>
          <cell r="I109">
            <v>3469</v>
          </cell>
          <cell r="J109">
            <v>3795</v>
          </cell>
          <cell r="K109">
            <v>3649</v>
          </cell>
          <cell r="N109">
            <v>798</v>
          </cell>
          <cell r="O109">
            <v>968</v>
          </cell>
          <cell r="P109">
            <v>1074</v>
          </cell>
          <cell r="Q109">
            <v>1344</v>
          </cell>
          <cell r="R109">
            <v>1450</v>
          </cell>
          <cell r="S109">
            <v>2004</v>
          </cell>
          <cell r="T109">
            <v>2341</v>
          </cell>
          <cell r="U109">
            <v>2874</v>
          </cell>
          <cell r="V109">
            <v>3469</v>
          </cell>
          <cell r="W109">
            <v>3069.4444444444443</v>
          </cell>
          <cell r="X109">
            <v>3114.7777777777778</v>
          </cell>
          <cell r="Y109">
            <v>3255.5</v>
          </cell>
          <cell r="Z109">
            <v>3470.833333333333</v>
          </cell>
        </row>
        <row r="110">
          <cell r="A110" t="str">
            <v>Accounts Payable</v>
          </cell>
          <cell r="B110">
            <v>-1924</v>
          </cell>
          <cell r="C110">
            <v>-1819</v>
          </cell>
          <cell r="D110">
            <v>-1926</v>
          </cell>
          <cell r="E110">
            <v>-2318</v>
          </cell>
          <cell r="F110">
            <v>-2091</v>
          </cell>
          <cell r="G110">
            <v>-2115</v>
          </cell>
          <cell r="H110">
            <v>-2064</v>
          </cell>
          <cell r="I110">
            <v>-2443</v>
          </cell>
          <cell r="J110">
            <v>-2596</v>
          </cell>
          <cell r="K110">
            <v>-2427</v>
          </cell>
          <cell r="N110">
            <v>-717</v>
          </cell>
          <cell r="O110">
            <v>-890</v>
          </cell>
          <cell r="P110">
            <v>-1056</v>
          </cell>
          <cell r="Q110">
            <v>-1288</v>
          </cell>
          <cell r="R110">
            <v>-1505</v>
          </cell>
          <cell r="S110">
            <v>-1686</v>
          </cell>
          <cell r="T110">
            <v>-1956</v>
          </cell>
          <cell r="U110">
            <v>-2318</v>
          </cell>
          <cell r="V110">
            <v>-2443</v>
          </cell>
          <cell r="W110">
            <v>-2827.5</v>
          </cell>
          <cell r="X110">
            <v>-2869.2599999999998</v>
          </cell>
          <cell r="Y110">
            <v>-2998.89</v>
          </cell>
          <cell r="Z110">
            <v>-3197.25</v>
          </cell>
        </row>
        <row r="111">
          <cell r="A111" t="str">
            <v>Working Capital</v>
          </cell>
          <cell r="B111">
            <v>1984</v>
          </cell>
          <cell r="C111">
            <v>2315</v>
          </cell>
          <cell r="D111">
            <v>2062</v>
          </cell>
          <cell r="E111">
            <v>2177</v>
          </cell>
          <cell r="F111">
            <v>2548</v>
          </cell>
          <cell r="G111">
            <v>2519</v>
          </cell>
          <cell r="H111">
            <v>2764</v>
          </cell>
          <cell r="I111">
            <v>3055</v>
          </cell>
          <cell r="J111">
            <v>3282</v>
          </cell>
          <cell r="K111">
            <v>3360</v>
          </cell>
          <cell r="N111">
            <v>1034</v>
          </cell>
          <cell r="O111">
            <v>1367</v>
          </cell>
          <cell r="P111">
            <v>1423</v>
          </cell>
          <cell r="Q111">
            <v>1215</v>
          </cell>
          <cell r="R111">
            <v>1140</v>
          </cell>
          <cell r="S111">
            <v>1611</v>
          </cell>
          <cell r="T111">
            <v>1869</v>
          </cell>
          <cell r="U111">
            <v>2177</v>
          </cell>
          <cell r="V111">
            <v>3055</v>
          </cell>
          <cell r="W111">
            <v>2341.9444444444443</v>
          </cell>
          <cell r="X111">
            <v>2365.5177777777776</v>
          </cell>
          <cell r="Y111">
            <v>2696.61</v>
          </cell>
          <cell r="Z111">
            <v>3233.583333333333</v>
          </cell>
        </row>
        <row r="112">
          <cell r="A112" t="str">
            <v>Inventory Turns</v>
          </cell>
          <cell r="B112">
            <v>13.032418952618453</v>
          </cell>
          <cell r="C112">
            <v>14.62319749216301</v>
          </cell>
          <cell r="D112">
            <v>15.508997429305913</v>
          </cell>
          <cell r="E112">
            <v>16.394818013571868</v>
          </cell>
          <cell r="F112">
            <v>14.778111846061336</v>
          </cell>
          <cell r="G112">
            <v>15.267942583732058</v>
          </cell>
          <cell r="H112">
            <v>14.39304347826087</v>
          </cell>
          <cell r="I112">
            <v>13.630359783144407</v>
          </cell>
          <cell r="J112">
            <v>14.131541046567451</v>
          </cell>
          <cell r="K112">
            <v>13.386342376052385</v>
          </cell>
          <cell r="N112">
            <v>8.7932843651626449</v>
          </cell>
          <cell r="O112">
            <v>7.5717610550814589</v>
          </cell>
          <cell r="P112">
            <v>7.9864768683274026</v>
          </cell>
          <cell r="Q112">
            <v>11.920621225194132</v>
          </cell>
          <cell r="R112">
            <v>13.205857740585774</v>
          </cell>
          <cell r="S112">
            <v>13.527455529775715</v>
          </cell>
          <cell r="T112">
            <v>13.434636118598382</v>
          </cell>
          <cell r="U112">
            <v>14.884022208513263</v>
          </cell>
          <cell r="V112">
            <v>12.640216855593888</v>
          </cell>
          <cell r="W112">
            <v>13.769035714285714</v>
          </cell>
          <cell r="X112">
            <v>13.833768867924528</v>
          </cell>
          <cell r="Y112">
            <v>12.56632786885246</v>
          </cell>
          <cell r="Z112">
            <v>11.018175675675675</v>
          </cell>
        </row>
        <row r="113">
          <cell r="A113" t="str">
            <v>Receivables Turnover</v>
          </cell>
          <cell r="B113">
            <v>10.9375</v>
          </cell>
          <cell r="C113">
            <v>10.383615596691611</v>
          </cell>
          <cell r="D113">
            <v>11.240131578947368</v>
          </cell>
          <cell r="E113">
            <v>10.45929018789144</v>
          </cell>
          <cell r="F113">
            <v>9.4153225806451619</v>
          </cell>
          <cell r="G113">
            <v>9.8622552329507087</v>
          </cell>
          <cell r="H113">
            <v>9.2039961327747335</v>
          </cell>
          <cell r="I113">
            <v>9.0539060247910061</v>
          </cell>
          <cell r="J113">
            <v>8.7104084321475632</v>
          </cell>
          <cell r="K113">
            <v>8.8791449712249939</v>
          </cell>
          <cell r="N113">
            <v>12.913533834586467</v>
          </cell>
          <cell r="O113">
            <v>12.452479338842975</v>
          </cell>
          <cell r="P113">
            <v>12.737430167597765</v>
          </cell>
          <cell r="Q113">
            <v>12.148809523809524</v>
          </cell>
          <cell r="R113">
            <v>13.012413793103448</v>
          </cell>
          <cell r="S113">
            <v>10.466566866267465</v>
          </cell>
          <cell r="T113">
            <v>10.2789406236651</v>
          </cell>
          <cell r="U113">
            <v>9.4780793319415455</v>
          </cell>
          <cell r="V113">
            <v>8.4462381089651188</v>
          </cell>
          <cell r="W113">
            <v>10.588235294117647</v>
          </cell>
          <cell r="X113">
            <v>10.588235294117647</v>
          </cell>
          <cell r="Y113">
            <v>10.588235294117647</v>
          </cell>
          <cell r="Z113">
            <v>10.588235294117649</v>
          </cell>
        </row>
        <row r="114">
          <cell r="A114" t="str">
            <v>Days Sales Outstanding</v>
          </cell>
          <cell r="B114">
            <v>32.914285714285711</v>
          </cell>
          <cell r="C114">
            <v>34.670004551661357</v>
          </cell>
          <cell r="D114">
            <v>32.028094820017557</v>
          </cell>
          <cell r="E114">
            <v>34.419161676646709</v>
          </cell>
          <cell r="F114">
            <v>38.235546038543902</v>
          </cell>
          <cell r="G114">
            <v>36.502807065589487</v>
          </cell>
          <cell r="H114">
            <v>39.113445378151262</v>
          </cell>
          <cell r="I114">
            <v>39.761844116148751</v>
          </cell>
          <cell r="J114">
            <v>41.329864472410456</v>
          </cell>
          <cell r="K114">
            <v>40.544444444444444</v>
          </cell>
          <cell r="N114">
            <v>27.877729257641921</v>
          </cell>
          <cell r="O114">
            <v>28.909905425584867</v>
          </cell>
          <cell r="P114">
            <v>28.263157894736842</v>
          </cell>
          <cell r="Q114">
            <v>29.63253307202352</v>
          </cell>
          <cell r="R114">
            <v>27.665889336442653</v>
          </cell>
          <cell r="S114">
            <v>34.395232419547085</v>
          </cell>
          <cell r="T114">
            <v>35.023064455803514</v>
          </cell>
          <cell r="U114">
            <v>37.982378854625551</v>
          </cell>
          <cell r="V114">
            <v>42.622525597269629</v>
          </cell>
          <cell r="W114">
            <v>34</v>
          </cell>
          <cell r="X114">
            <v>34</v>
          </cell>
          <cell r="Y114">
            <v>34</v>
          </cell>
          <cell r="Z114">
            <v>34</v>
          </cell>
        </row>
        <row r="115">
          <cell r="A115" t="str">
            <v>Working Capital Turnover</v>
          </cell>
          <cell r="B115">
            <v>12.701612903225806</v>
          </cell>
          <cell r="C115">
            <v>11.388336933045357</v>
          </cell>
          <cell r="D115">
            <v>13.257032007759458</v>
          </cell>
          <cell r="E115">
            <v>13.807992650436381</v>
          </cell>
          <cell r="F115">
            <v>10.996860282574568</v>
          </cell>
          <cell r="G115">
            <v>11.596665343390233</v>
          </cell>
          <cell r="H115">
            <v>10.332850940665702</v>
          </cell>
          <cell r="I115">
            <v>10.280851063829788</v>
          </cell>
          <cell r="J115">
            <v>10.071907373552712</v>
          </cell>
          <cell r="K115">
            <v>9.6428571428571423</v>
          </cell>
          <cell r="N115">
            <v>9.9661508704061887</v>
          </cell>
          <cell r="O115">
            <v>8.8178493050475488</v>
          </cell>
          <cell r="P115">
            <v>9.6134926212227683</v>
          </cell>
          <cell r="Q115">
            <v>13.438683127572016</v>
          </cell>
          <cell r="R115">
            <v>16.550877192982455</v>
          </cell>
          <cell r="S115">
            <v>13.019863438857852</v>
          </cell>
          <cell r="T115">
            <v>12.874799357945426</v>
          </cell>
          <cell r="U115">
            <v>12.51263206247129</v>
          </cell>
          <cell r="V115">
            <v>9.5908346972176766</v>
          </cell>
          <cell r="W115">
            <v>13.877357371604793</v>
          </cell>
          <cell r="X115">
            <v>13.941979345842068</v>
          </cell>
          <cell r="Y115">
            <v>12.782716076852047</v>
          </cell>
          <cell r="Z115">
            <v>11.365100636548721</v>
          </cell>
        </row>
        <row r="117">
          <cell r="A117" t="str">
            <v>COGS</v>
          </cell>
          <cell r="B117">
            <v>5226</v>
          </cell>
          <cell r="C117">
            <v>5831</v>
          </cell>
          <cell r="D117">
            <v>6033</v>
          </cell>
          <cell r="E117">
            <v>6644</v>
          </cell>
          <cell r="F117">
            <v>6144</v>
          </cell>
          <cell r="G117">
            <v>6382</v>
          </cell>
          <cell r="H117">
            <v>6207</v>
          </cell>
          <cell r="I117">
            <v>6914</v>
          </cell>
          <cell r="J117">
            <v>7359</v>
          </cell>
          <cell r="K117">
            <v>7155</v>
          </cell>
          <cell r="L117">
            <v>6901.85</v>
          </cell>
          <cell r="M117">
            <v>7499.125</v>
          </cell>
          <cell r="N117">
            <v>8380</v>
          </cell>
          <cell r="O117">
            <v>9760</v>
          </cell>
          <cell r="P117">
            <v>11221</v>
          </cell>
          <cell r="Q117">
            <v>13816</v>
          </cell>
          <cell r="R117">
            <v>15781</v>
          </cell>
          <cell r="S117">
            <v>17491</v>
          </cell>
          <cell r="T117">
            <v>19937</v>
          </cell>
          <cell r="U117">
            <v>24127</v>
          </cell>
          <cell r="V117">
            <v>25647</v>
          </cell>
          <cell r="W117">
            <v>28914.974999999999</v>
          </cell>
          <cell r="X117">
            <v>29327.59</v>
          </cell>
          <cell r="Y117">
            <v>30661.84</v>
          </cell>
          <cell r="Z117">
            <v>32613.8</v>
          </cell>
          <cell r="BQ117" t="str">
            <v>mstag:costOfSalesWithoutDepreciation</v>
          </cell>
          <cell r="BR117">
            <v>6</v>
          </cell>
          <cell r="BS117" t="str">
            <v>ISO4217:USD</v>
          </cell>
          <cell r="BT117" t="b">
            <v>0</v>
          </cell>
          <cell r="BU117" t="b">
            <v>0</v>
          </cell>
        </row>
        <row r="118">
          <cell r="A118" t="str">
            <v>COGS/Sales</v>
          </cell>
          <cell r="B118">
            <v>0.82952380952380955</v>
          </cell>
          <cell r="C118">
            <v>0.88469124563799117</v>
          </cell>
          <cell r="D118">
            <v>0.88279192273924501</v>
          </cell>
          <cell r="E118">
            <v>0.88409846972721229</v>
          </cell>
          <cell r="F118">
            <v>0.87708779443254814</v>
          </cell>
          <cell r="G118">
            <v>0.87388744351636316</v>
          </cell>
          <cell r="H118">
            <v>0.86932773109243699</v>
          </cell>
          <cell r="I118">
            <v>0.88053998981151294</v>
          </cell>
          <cell r="J118">
            <v>0.89048886737657307</v>
          </cell>
          <cell r="K118">
            <v>0.8833333333333333</v>
          </cell>
          <cell r="L118">
            <v>0.89634415584415594</v>
          </cell>
          <cell r="M118">
            <v>0.88894321953532485</v>
          </cell>
          <cell r="N118">
            <v>0.81319747695293543</v>
          </cell>
          <cell r="O118">
            <v>0.80968972955035667</v>
          </cell>
          <cell r="P118">
            <v>0.82024853801169595</v>
          </cell>
          <cell r="Q118">
            <v>0.84615384615384615</v>
          </cell>
          <cell r="R118">
            <v>0.83638965444138225</v>
          </cell>
          <cell r="S118">
            <v>0.83389749702026217</v>
          </cell>
          <cell r="T118">
            <v>0.82853343307152061</v>
          </cell>
          <cell r="U118">
            <v>0.88571953010279003</v>
          </cell>
          <cell r="V118">
            <v>0.87532423208191124</v>
          </cell>
          <cell r="W118">
            <v>0.88969153846153837</v>
          </cell>
          <cell r="X118">
            <v>0.88925379017586414</v>
          </cell>
          <cell r="Y118">
            <v>0.88952248331882799</v>
          </cell>
          <cell r="Z118">
            <v>0.88745034013605439</v>
          </cell>
        </row>
        <row r="119">
          <cell r="A119" t="str">
            <v>G&amp;A</v>
          </cell>
          <cell r="B119">
            <v>393</v>
          </cell>
          <cell r="N119">
            <v>647</v>
          </cell>
          <cell r="O119">
            <v>808</v>
          </cell>
          <cell r="P119">
            <v>892</v>
          </cell>
          <cell r="Q119">
            <v>1070</v>
          </cell>
          <cell r="R119">
            <v>1156</v>
          </cell>
          <cell r="S119">
            <v>1305</v>
          </cell>
          <cell r="T119">
            <v>1501</v>
          </cell>
          <cell r="U119">
            <v>0</v>
          </cell>
          <cell r="V119">
            <v>0</v>
          </cell>
          <cell r="W119">
            <v>0</v>
          </cell>
          <cell r="X119">
            <v>0</v>
          </cell>
          <cell r="Y119">
            <v>0</v>
          </cell>
          <cell r="Z119">
            <v>0</v>
          </cell>
          <cell r="BQ119" t="str">
            <v>mstag:sellingGeneralAndAdministrativeExpenses</v>
          </cell>
          <cell r="BR119">
            <v>6</v>
          </cell>
          <cell r="BS119" t="str">
            <v>ISO4217:USD</v>
          </cell>
          <cell r="BT119" t="b">
            <v>0</v>
          </cell>
          <cell r="BU119" t="b">
            <v>0</v>
          </cell>
        </row>
        <row r="120">
          <cell r="A120" t="str">
            <v>G&amp;A/Sales</v>
          </cell>
          <cell r="B120">
            <v>6.2380952380952384E-2</v>
          </cell>
          <cell r="N120">
            <v>6.2785055798156228E-2</v>
          </cell>
          <cell r="O120">
            <v>6.7031690725070522E-2</v>
          </cell>
          <cell r="P120">
            <v>6.5204678362573099E-2</v>
          </cell>
          <cell r="Q120">
            <v>6.5531602155805974E-2</v>
          </cell>
          <cell r="R120">
            <v>6.1267754928980282E-2</v>
          </cell>
          <cell r="S120">
            <v>6.2216924910607867E-2</v>
          </cell>
          <cell r="T120">
            <v>6.2377924614553465E-2</v>
          </cell>
          <cell r="U120">
            <v>0</v>
          </cell>
          <cell r="V120">
            <v>0</v>
          </cell>
          <cell r="W120">
            <v>0</v>
          </cell>
          <cell r="X120">
            <v>0</v>
          </cell>
          <cell r="Y120">
            <v>0</v>
          </cell>
          <cell r="Z120">
            <v>0</v>
          </cell>
        </row>
        <row r="121">
          <cell r="A121" t="str">
            <v>Employees</v>
          </cell>
          <cell r="B121">
            <v>82600</v>
          </cell>
          <cell r="C121">
            <v>82900</v>
          </cell>
          <cell r="D121">
            <v>83000</v>
          </cell>
          <cell r="E121">
            <v>83500</v>
          </cell>
          <cell r="F121">
            <v>84000</v>
          </cell>
          <cell r="G121">
            <v>84600</v>
          </cell>
          <cell r="H121">
            <v>85600</v>
          </cell>
          <cell r="I121">
            <v>92300</v>
          </cell>
          <cell r="J121">
            <v>92900</v>
          </cell>
          <cell r="K121">
            <v>92000</v>
          </cell>
          <cell r="N121">
            <v>42900</v>
          </cell>
          <cell r="O121">
            <v>51000</v>
          </cell>
          <cell r="P121">
            <v>53400</v>
          </cell>
          <cell r="Q121">
            <v>65600</v>
          </cell>
          <cell r="R121">
            <v>70000</v>
          </cell>
          <cell r="S121">
            <v>70900</v>
          </cell>
          <cell r="T121">
            <v>81000</v>
          </cell>
          <cell r="U121">
            <v>83500</v>
          </cell>
          <cell r="V121">
            <v>92300</v>
          </cell>
          <cell r="BQ121" t="str">
            <v>mstag:totalNumberOfEmployees</v>
          </cell>
          <cell r="BR121">
            <v>0</v>
          </cell>
          <cell r="BS121" t="str">
            <v>ms_eqr_gcim_Decimal:ms_eqr_gcim_decimal</v>
          </cell>
          <cell r="BT121" t="b">
            <v>0</v>
          </cell>
          <cell r="BU121" t="b">
            <v>0</v>
          </cell>
        </row>
        <row r="122">
          <cell r="A122" t="str">
            <v>Sales/Employee ($K)</v>
          </cell>
          <cell r="B122">
            <v>305.08474576271186</v>
          </cell>
          <cell r="C122">
            <v>318.02171290711698</v>
          </cell>
          <cell r="D122">
            <v>329.34939759036143</v>
          </cell>
          <cell r="E122">
            <v>360</v>
          </cell>
          <cell r="F122">
            <v>333.57142857142856</v>
          </cell>
          <cell r="G122">
            <v>345.29550827423168</v>
          </cell>
          <cell r="H122">
            <v>333.64485981308411</v>
          </cell>
          <cell r="I122">
            <v>340.28169014084506</v>
          </cell>
          <cell r="J122">
            <v>355.82346609257263</v>
          </cell>
          <cell r="K122">
            <v>352.17391304347825</v>
          </cell>
          <cell r="N122">
            <v>240.20979020979021</v>
          </cell>
          <cell r="O122">
            <v>236.35294117647058</v>
          </cell>
          <cell r="P122">
            <v>256.17977528089887</v>
          </cell>
          <cell r="Q122">
            <v>248.90243902439028</v>
          </cell>
          <cell r="R122">
            <v>269.54285714285714</v>
          </cell>
          <cell r="S122">
            <v>295.83921015514807</v>
          </cell>
          <cell r="T122">
            <v>297.07407407407408</v>
          </cell>
          <cell r="U122">
            <v>326.22754491017963</v>
          </cell>
          <cell r="V122">
            <v>317.44312026002166</v>
          </cell>
        </row>
        <row r="123">
          <cell r="A123" t="str">
            <v>R&amp;D (included in Overhead)</v>
          </cell>
          <cell r="B123">
            <v>95</v>
          </cell>
          <cell r="C123">
            <v>98</v>
          </cell>
          <cell r="D123">
            <v>113</v>
          </cell>
          <cell r="E123">
            <v>124</v>
          </cell>
          <cell r="F123">
            <v>110</v>
          </cell>
          <cell r="G123">
            <v>124</v>
          </cell>
          <cell r="H123">
            <v>115</v>
          </cell>
          <cell r="I123">
            <v>125</v>
          </cell>
          <cell r="J123">
            <v>138</v>
          </cell>
          <cell r="K123">
            <v>119</v>
          </cell>
          <cell r="N123">
            <v>143</v>
          </cell>
          <cell r="O123">
            <v>203</v>
          </cell>
          <cell r="P123">
            <v>251</v>
          </cell>
          <cell r="Q123">
            <v>276</v>
          </cell>
          <cell r="R123">
            <v>326</v>
          </cell>
          <cell r="S123">
            <v>344</v>
          </cell>
          <cell r="T123">
            <v>377</v>
          </cell>
          <cell r="U123">
            <v>430</v>
          </cell>
          <cell r="V123">
            <v>474</v>
          </cell>
        </row>
        <row r="124">
          <cell r="A124" t="str">
            <v>R&amp;D/Sales</v>
          </cell>
          <cell r="B124">
            <v>1.507936507936508E-2</v>
          </cell>
          <cell r="C124">
            <v>1.4868760430890608E-2</v>
          </cell>
          <cell r="D124">
            <v>1.6534972197834358E-2</v>
          </cell>
          <cell r="E124">
            <v>1.6500332667997337E-2</v>
          </cell>
          <cell r="F124">
            <v>1.5703069236259814E-2</v>
          </cell>
          <cell r="G124">
            <v>1.6979323565657949E-2</v>
          </cell>
          <cell r="H124">
            <v>1.6106442577030811E-2</v>
          </cell>
          <cell r="I124">
            <v>1.5919510952623537E-2</v>
          </cell>
          <cell r="J124">
            <v>1.6698935140367861E-2</v>
          </cell>
          <cell r="K124">
            <v>1.4691358024691358E-2</v>
          </cell>
          <cell r="N124">
            <v>1.3876758854924794E-2</v>
          </cell>
          <cell r="O124">
            <v>1.6840882694541232E-2</v>
          </cell>
          <cell r="P124">
            <v>1.8347953216374269E-2</v>
          </cell>
          <cell r="Q124">
            <v>1.6903478686918178E-2</v>
          </cell>
          <cell r="R124">
            <v>1.7277930888276446E-2</v>
          </cell>
          <cell r="S124">
            <v>1.640047675804529E-2</v>
          </cell>
          <cell r="T124">
            <v>1.5667206915180983E-2</v>
          </cell>
          <cell r="U124">
            <v>1.5785609397944201E-2</v>
          </cell>
          <cell r="V124">
            <v>1.6177474402730374E-2</v>
          </cell>
        </row>
        <row r="126">
          <cell r="A126" t="str">
            <v>Customers by Revenues</v>
          </cell>
        </row>
        <row r="127">
          <cell r="A127" t="str">
            <v>US Government (Defense)</v>
          </cell>
        </row>
        <row r="128">
          <cell r="A128" t="str">
            <v>Direct</v>
          </cell>
          <cell r="N128">
            <v>6056</v>
          </cell>
          <cell r="O128">
            <v>7138</v>
          </cell>
          <cell r="P128">
            <v>8385</v>
          </cell>
          <cell r="Q128">
            <v>10405</v>
          </cell>
          <cell r="R128">
            <v>12473</v>
          </cell>
          <cell r="S128">
            <v>13801</v>
          </cell>
          <cell r="T128">
            <v>15957</v>
          </cell>
          <cell r="U128">
            <v>18447</v>
          </cell>
          <cell r="V128">
            <v>19864</v>
          </cell>
        </row>
        <row r="129">
          <cell r="A129" t="str">
            <v>Foreign Military Sales</v>
          </cell>
          <cell r="N129">
            <v>124</v>
          </cell>
          <cell r="O129">
            <v>181</v>
          </cell>
          <cell r="P129">
            <v>421</v>
          </cell>
          <cell r="Q129">
            <v>502</v>
          </cell>
          <cell r="R129">
            <v>382</v>
          </cell>
          <cell r="S129">
            <v>409</v>
          </cell>
          <cell r="T129">
            <v>458</v>
          </cell>
          <cell r="U129">
            <v>310</v>
          </cell>
          <cell r="V129">
            <v>282</v>
          </cell>
        </row>
        <row r="130">
          <cell r="A130" t="str">
            <v>Subtotal US Gov</v>
          </cell>
          <cell r="N130">
            <v>6180</v>
          </cell>
          <cell r="O130">
            <v>7319</v>
          </cell>
          <cell r="P130">
            <v>8806</v>
          </cell>
          <cell r="Q130">
            <v>10907</v>
          </cell>
          <cell r="R130">
            <v>12855</v>
          </cell>
          <cell r="S130">
            <v>14210</v>
          </cell>
          <cell r="T130">
            <v>16415</v>
          </cell>
          <cell r="U130">
            <v>18757</v>
          </cell>
          <cell r="V130">
            <v>20146</v>
          </cell>
        </row>
        <row r="131">
          <cell r="A131" t="str">
            <v>US Commercial</v>
          </cell>
          <cell r="N131">
            <v>3209</v>
          </cell>
          <cell r="O131">
            <v>3555</v>
          </cell>
          <cell r="P131">
            <v>3157</v>
          </cell>
          <cell r="Q131">
            <v>2910</v>
          </cell>
          <cell r="R131">
            <v>2777</v>
          </cell>
          <cell r="S131">
            <v>3396</v>
          </cell>
          <cell r="T131">
            <v>3833</v>
          </cell>
          <cell r="U131">
            <v>3813.6000000000004</v>
          </cell>
          <cell r="V131">
            <v>4102</v>
          </cell>
        </row>
        <row r="132">
          <cell r="A132" t="str">
            <v>Int'l Defense</v>
          </cell>
          <cell r="N132">
            <v>515.25</v>
          </cell>
          <cell r="O132">
            <v>482.16</v>
          </cell>
          <cell r="P132">
            <v>957.60000000000014</v>
          </cell>
          <cell r="Q132">
            <v>1796.08</v>
          </cell>
          <cell r="R132">
            <v>2264.16</v>
          </cell>
          <cell r="S132">
            <v>2307.25</v>
          </cell>
          <cell r="T132">
            <v>2406.3000000000002</v>
          </cell>
          <cell r="U132">
            <v>2724</v>
          </cell>
          <cell r="V132">
            <v>2637</v>
          </cell>
        </row>
        <row r="133">
          <cell r="A133" t="str">
            <v>Int'l Commercial</v>
          </cell>
          <cell r="N133">
            <v>400.75</v>
          </cell>
          <cell r="O133">
            <v>697.84000000000015</v>
          </cell>
          <cell r="P133">
            <v>759.39999999999964</v>
          </cell>
          <cell r="Q133">
            <v>714.92000000000007</v>
          </cell>
          <cell r="R133">
            <v>971.84000000000015</v>
          </cell>
          <cell r="S133">
            <v>1061.75</v>
          </cell>
          <cell r="T133">
            <v>1408.7000000000007</v>
          </cell>
          <cell r="U133">
            <v>1906.8000000000002</v>
          </cell>
          <cell r="V133">
            <v>2344</v>
          </cell>
        </row>
        <row r="134">
          <cell r="A134" t="str">
            <v>Total</v>
          </cell>
          <cell r="N134">
            <v>10305</v>
          </cell>
          <cell r="O134">
            <v>12054</v>
          </cell>
          <cell r="P134">
            <v>13680</v>
          </cell>
          <cell r="Q134">
            <v>16328</v>
          </cell>
          <cell r="R134">
            <v>18868</v>
          </cell>
          <cell r="S134">
            <v>20975</v>
          </cell>
          <cell r="T134">
            <v>24063</v>
          </cell>
          <cell r="U134">
            <v>27201.399999999998</v>
          </cell>
          <cell r="V134">
            <v>29229</v>
          </cell>
        </row>
        <row r="135">
          <cell r="A135" t="str">
            <v>Customers as % of Revenues</v>
          </cell>
        </row>
        <row r="136">
          <cell r="A136" t="str">
            <v>US Government (Defense)</v>
          </cell>
        </row>
        <row r="137">
          <cell r="A137" t="str">
            <v>Direct</v>
          </cell>
          <cell r="N137">
            <v>0.5876758854924794</v>
          </cell>
          <cell r="O137">
            <v>0.59216857474697193</v>
          </cell>
          <cell r="P137">
            <v>0.61293859649122806</v>
          </cell>
          <cell r="Q137">
            <v>0.6372488975992161</v>
          </cell>
          <cell r="R137">
            <v>0.66106635573457706</v>
          </cell>
          <cell r="S137">
            <v>0.65797377830750892</v>
          </cell>
          <cell r="T137">
            <v>0.66313427253459667</v>
          </cell>
          <cell r="U137">
            <v>0.67720264317180612</v>
          </cell>
          <cell r="V137">
            <v>0.67795221843003417</v>
          </cell>
        </row>
        <row r="138">
          <cell r="A138" t="str">
            <v>Foreign Military Sales</v>
          </cell>
          <cell r="N138">
            <v>1.2032993692382339E-2</v>
          </cell>
          <cell r="O138">
            <v>1.5015762402521985E-2</v>
          </cell>
          <cell r="P138">
            <v>3.077485380116959E-2</v>
          </cell>
          <cell r="Q138">
            <v>3.0744732974032338E-2</v>
          </cell>
          <cell r="R138">
            <v>2.0245919016323936E-2</v>
          </cell>
          <cell r="S138">
            <v>1.9499404052443384E-2</v>
          </cell>
          <cell r="T138">
            <v>1.9033370735153557E-2</v>
          </cell>
          <cell r="U138">
            <v>1.1380323054331865E-2</v>
          </cell>
          <cell r="V138">
            <v>9.6245733788395908E-3</v>
          </cell>
        </row>
        <row r="139">
          <cell r="A139" t="str">
            <v>Subtotal US Gov</v>
          </cell>
          <cell r="N139">
            <v>0.59970887918486171</v>
          </cell>
          <cell r="O139">
            <v>0.60718433714949394</v>
          </cell>
          <cell r="P139">
            <v>0.64371345029239768</v>
          </cell>
          <cell r="Q139">
            <v>0.66799363057324845</v>
          </cell>
          <cell r="R139">
            <v>0.68131227475090095</v>
          </cell>
          <cell r="S139">
            <v>0.67747318235995235</v>
          </cell>
          <cell r="T139">
            <v>0.68216764326975021</v>
          </cell>
          <cell r="U139">
            <v>0.68858296622613802</v>
          </cell>
          <cell r="V139">
            <v>0.68757679180887377</v>
          </cell>
        </row>
        <row r="140">
          <cell r="A140" t="str">
            <v>US Commercial</v>
          </cell>
          <cell r="N140">
            <v>0.31140223192624938</v>
          </cell>
          <cell r="O140">
            <v>0.29492284718765555</v>
          </cell>
          <cell r="P140">
            <v>0.23077485380116958</v>
          </cell>
          <cell r="Q140">
            <v>0.17822146006859382</v>
          </cell>
          <cell r="R140">
            <v>0.14718041127835488</v>
          </cell>
          <cell r="S140">
            <v>0.16190703218116806</v>
          </cell>
          <cell r="T140">
            <v>0.15929019656734406</v>
          </cell>
          <cell r="U140">
            <v>0.14000000000000001</v>
          </cell>
          <cell r="V140">
            <v>0.14000000000000001</v>
          </cell>
        </row>
        <row r="141">
          <cell r="A141" t="str">
            <v>Int'l Defense</v>
          </cell>
          <cell r="N141">
            <v>0.05</v>
          </cell>
          <cell r="O141">
            <v>0.04</v>
          </cell>
          <cell r="P141">
            <v>7.0000000000000007E-2</v>
          </cell>
          <cell r="Q141">
            <v>0.11</v>
          </cell>
          <cell r="R141">
            <v>0.12</v>
          </cell>
          <cell r="S141">
            <v>0.11</v>
          </cell>
          <cell r="T141">
            <v>0.1</v>
          </cell>
          <cell r="U141">
            <v>0.1</v>
          </cell>
          <cell r="V141">
            <v>0.09</v>
          </cell>
        </row>
        <row r="142">
          <cell r="A142" t="str">
            <v>Int'l Commercial</v>
          </cell>
          <cell r="N142">
            <v>3.888888888888889E-2</v>
          </cell>
          <cell r="O142">
            <v>5.7892815662850518E-2</v>
          </cell>
          <cell r="P142">
            <v>5.551169590643272E-2</v>
          </cell>
          <cell r="Q142">
            <v>4.3784909358157771E-2</v>
          </cell>
          <cell r="R142">
            <v>5.1507313970744123E-2</v>
          </cell>
          <cell r="S142">
            <v>5.0619785458879615E-2</v>
          </cell>
          <cell r="T142">
            <v>5.8542160162905733E-2</v>
          </cell>
          <cell r="U142">
            <v>7.0000000000000007E-2</v>
          </cell>
          <cell r="V142">
            <v>0.08</v>
          </cell>
        </row>
        <row r="143">
          <cell r="A143" t="str">
            <v>Total</v>
          </cell>
          <cell r="N143">
            <v>1</v>
          </cell>
          <cell r="O143">
            <v>1</v>
          </cell>
          <cell r="P143">
            <v>1</v>
          </cell>
          <cell r="Q143">
            <v>1</v>
          </cell>
          <cell r="R143">
            <v>1</v>
          </cell>
          <cell r="S143">
            <v>1</v>
          </cell>
          <cell r="T143">
            <v>1</v>
          </cell>
          <cell r="U143">
            <v>0.99858296622613796</v>
          </cell>
          <cell r="V143">
            <v>0.99757679180887371</v>
          </cell>
        </row>
        <row r="144">
          <cell r="A144" t="str">
            <v xml:space="preserve">Government Contracts </v>
          </cell>
        </row>
        <row r="145">
          <cell r="A145" t="str">
            <v>Cost-reimburesable</v>
          </cell>
          <cell r="O145">
            <v>0.42</v>
          </cell>
          <cell r="P145">
            <v>0.46</v>
          </cell>
          <cell r="Q145">
            <v>0.47</v>
          </cell>
          <cell r="R145">
            <v>0.47</v>
          </cell>
          <cell r="S145">
            <v>0.46</v>
          </cell>
          <cell r="T145">
            <v>0.48</v>
          </cell>
          <cell r="U145">
            <v>0.47000000000000003</v>
          </cell>
          <cell r="V145">
            <v>0.47000000000000003</v>
          </cell>
        </row>
        <row r="146">
          <cell r="A146" t="str">
            <v>Fixed-price</v>
          </cell>
          <cell r="O146">
            <v>0.57999999999999996</v>
          </cell>
          <cell r="P146">
            <v>0.54</v>
          </cell>
          <cell r="Q146">
            <v>0.53</v>
          </cell>
          <cell r="R146">
            <v>0.53</v>
          </cell>
          <cell r="S146">
            <v>0.54</v>
          </cell>
          <cell r="T146">
            <v>0.52</v>
          </cell>
          <cell r="U146">
            <v>0.53</v>
          </cell>
          <cell r="V146">
            <v>0.53</v>
          </cell>
        </row>
        <row r="150">
          <cell r="A150" t="str">
            <v>General Dynamics</v>
          </cell>
        </row>
        <row r="151">
          <cell r="A151" t="str">
            <v>Cash Flow Model</v>
          </cell>
        </row>
        <row r="152">
          <cell r="A152" t="str">
            <v>($USD in Millions, Except EPS)</v>
          </cell>
          <cell r="B152">
            <v>2007</v>
          </cell>
          <cell r="F152" t="str">
            <v>2008A</v>
          </cell>
          <cell r="J152" t="str">
            <v>2009E</v>
          </cell>
        </row>
        <row r="153">
          <cell r="B153" t="str">
            <v>Q1</v>
          </cell>
          <cell r="C153" t="str">
            <v>Q2</v>
          </cell>
          <cell r="D153" t="str">
            <v>Q3</v>
          </cell>
          <cell r="E153" t="str">
            <v>Q4</v>
          </cell>
          <cell r="F153" t="str">
            <v>Q1</v>
          </cell>
          <cell r="G153" t="str">
            <v>Q2</v>
          </cell>
          <cell r="H153" t="str">
            <v>Q3</v>
          </cell>
          <cell r="I153" t="str">
            <v>Q4</v>
          </cell>
          <cell r="J153" t="str">
            <v>Q1</v>
          </cell>
          <cell r="K153" t="str">
            <v>Q2A</v>
          </cell>
          <cell r="L153" t="str">
            <v>Q3E</v>
          </cell>
          <cell r="M153" t="str">
            <v>Q4E</v>
          </cell>
          <cell r="N153">
            <v>2000</v>
          </cell>
          <cell r="O153">
            <v>2001</v>
          </cell>
          <cell r="P153">
            <v>2002</v>
          </cell>
          <cell r="Q153">
            <v>2003</v>
          </cell>
          <cell r="R153">
            <v>2004</v>
          </cell>
          <cell r="S153">
            <v>2005</v>
          </cell>
          <cell r="T153">
            <v>2006</v>
          </cell>
          <cell r="U153">
            <v>2007</v>
          </cell>
          <cell r="V153" t="str">
            <v>2008A</v>
          </cell>
          <cell r="W153" t="str">
            <v>2009E</v>
          </cell>
          <cell r="X153" t="str">
            <v>2010E</v>
          </cell>
          <cell r="Y153" t="str">
            <v>2011E</v>
          </cell>
          <cell r="Z153" t="str">
            <v>2012E</v>
          </cell>
        </row>
        <row r="154">
          <cell r="A154" t="str">
            <v>Cash Flows from Operating Activities:</v>
          </cell>
        </row>
        <row r="155">
          <cell r="A155" t="str">
            <v>Net earnings</v>
          </cell>
          <cell r="B155">
            <v>434</v>
          </cell>
          <cell r="C155">
            <v>513</v>
          </cell>
          <cell r="D155">
            <v>546</v>
          </cell>
          <cell r="E155">
            <v>579.0000329999998</v>
          </cell>
          <cell r="F155">
            <v>572</v>
          </cell>
          <cell r="G155">
            <v>641</v>
          </cell>
          <cell r="H155">
            <v>634</v>
          </cell>
          <cell r="I155">
            <v>612</v>
          </cell>
          <cell r="J155">
            <v>590</v>
          </cell>
          <cell r="K155">
            <v>618</v>
          </cell>
          <cell r="N155">
            <v>899.47900000000004</v>
          </cell>
          <cell r="O155">
            <v>943</v>
          </cell>
          <cell r="P155">
            <v>1040</v>
          </cell>
          <cell r="Q155">
            <v>1004</v>
          </cell>
          <cell r="R155">
            <v>1227</v>
          </cell>
          <cell r="S155">
            <v>1461</v>
          </cell>
          <cell r="T155">
            <v>1856</v>
          </cell>
          <cell r="U155">
            <v>2080</v>
          </cell>
          <cell r="V155">
            <v>2459</v>
          </cell>
          <cell r="W155">
            <v>2355.9304231199999</v>
          </cell>
          <cell r="X155">
            <v>2410.7744607099739</v>
          </cell>
          <cell r="Y155">
            <v>2529.9352650829965</v>
          </cell>
          <cell r="Z155">
            <v>2662.4240109325247</v>
          </cell>
          <cell r="BQ155" t="str">
            <v>mstag:netIncomeReported</v>
          </cell>
          <cell r="BR155">
            <v>6</v>
          </cell>
          <cell r="BS155" t="str">
            <v>ISO4217:USD</v>
          </cell>
          <cell r="BT155" t="b">
            <v>0</v>
          </cell>
          <cell r="BU155" t="b">
            <v>0</v>
          </cell>
        </row>
        <row r="156">
          <cell r="A156" t="str">
            <v>Adjustments to reconcile net earnings</v>
          </cell>
        </row>
        <row r="157">
          <cell r="A157" t="str">
            <v>Depreciation, depletion and amortization - PPE</v>
          </cell>
          <cell r="B157">
            <v>62</v>
          </cell>
          <cell r="C157">
            <v>70</v>
          </cell>
          <cell r="D157">
            <v>69</v>
          </cell>
          <cell r="E157">
            <v>77</v>
          </cell>
          <cell r="F157">
            <v>69</v>
          </cell>
          <cell r="G157">
            <v>77</v>
          </cell>
          <cell r="H157">
            <v>77</v>
          </cell>
          <cell r="I157">
            <v>78</v>
          </cell>
          <cell r="J157">
            <v>85</v>
          </cell>
          <cell r="K157">
            <v>86</v>
          </cell>
          <cell r="N157">
            <v>145</v>
          </cell>
          <cell r="O157">
            <v>164</v>
          </cell>
          <cell r="P157">
            <v>177</v>
          </cell>
          <cell r="Q157">
            <v>204</v>
          </cell>
          <cell r="R157">
            <v>213</v>
          </cell>
          <cell r="S157">
            <v>226</v>
          </cell>
          <cell r="T157">
            <v>251</v>
          </cell>
          <cell r="U157">
            <v>278</v>
          </cell>
          <cell r="V157">
            <v>301</v>
          </cell>
          <cell r="W157">
            <v>368.125</v>
          </cell>
          <cell r="X157">
            <v>402.5</v>
          </cell>
          <cell r="Y157">
            <v>440</v>
          </cell>
          <cell r="Z157">
            <v>477.5</v>
          </cell>
          <cell r="BQ157" t="str">
            <v>mstag:depreciation</v>
          </cell>
          <cell r="BR157">
            <v>6</v>
          </cell>
          <cell r="BS157" t="str">
            <v>ISO4217:USD</v>
          </cell>
          <cell r="BT157" t="b">
            <v>0</v>
          </cell>
          <cell r="BU157" t="b">
            <v>0</v>
          </cell>
        </row>
        <row r="158">
          <cell r="A158" t="str">
            <v>Amortization</v>
          </cell>
          <cell r="B158">
            <v>39</v>
          </cell>
          <cell r="C158">
            <v>36</v>
          </cell>
          <cell r="D158">
            <v>36</v>
          </cell>
          <cell r="E158">
            <v>34</v>
          </cell>
          <cell r="F158">
            <v>33</v>
          </cell>
          <cell r="G158">
            <v>34</v>
          </cell>
          <cell r="H158">
            <v>36</v>
          </cell>
          <cell r="I158">
            <v>43</v>
          </cell>
          <cell r="J158">
            <v>54</v>
          </cell>
          <cell r="K158">
            <v>54</v>
          </cell>
          <cell r="N158">
            <v>81</v>
          </cell>
          <cell r="O158">
            <v>100</v>
          </cell>
          <cell r="P158">
            <v>31</v>
          </cell>
          <cell r="Q158">
            <v>66</v>
          </cell>
          <cell r="R158">
            <v>93</v>
          </cell>
          <cell r="S158">
            <v>101</v>
          </cell>
          <cell r="T158">
            <v>133</v>
          </cell>
          <cell r="U158">
            <v>145</v>
          </cell>
          <cell r="V158">
            <v>146</v>
          </cell>
          <cell r="W158">
            <v>130</v>
          </cell>
          <cell r="X158">
            <v>130</v>
          </cell>
          <cell r="Y158">
            <v>130</v>
          </cell>
          <cell r="Z158">
            <v>130</v>
          </cell>
          <cell r="BQ158" t="str">
            <v>mstag:amortizationOfOtherIntangibles</v>
          </cell>
          <cell r="BR158">
            <v>6</v>
          </cell>
          <cell r="BS158" t="str">
            <v>ISO4217:USD</v>
          </cell>
          <cell r="BT158" t="b">
            <v>0</v>
          </cell>
          <cell r="BU158" t="b">
            <v>0</v>
          </cell>
        </row>
        <row r="159">
          <cell r="A159" t="str">
            <v>Recognition of pension gains previously deferred</v>
          </cell>
          <cell r="B159">
            <v>0</v>
          </cell>
          <cell r="C159">
            <v>0</v>
          </cell>
          <cell r="D159">
            <v>0</v>
          </cell>
          <cell r="E159">
            <v>0</v>
          </cell>
          <cell r="F159">
            <v>0</v>
          </cell>
          <cell r="G159">
            <v>0</v>
          </cell>
          <cell r="H159">
            <v>0</v>
          </cell>
          <cell r="I159">
            <v>0</v>
          </cell>
          <cell r="J159">
            <v>0</v>
          </cell>
          <cell r="K159">
            <v>0</v>
          </cell>
          <cell r="N159">
            <v>0</v>
          </cell>
          <cell r="O159">
            <v>0</v>
          </cell>
          <cell r="P159">
            <v>0</v>
          </cell>
          <cell r="Q159">
            <v>0</v>
          </cell>
          <cell r="R159">
            <v>0</v>
          </cell>
          <cell r="S159">
            <v>0</v>
          </cell>
          <cell r="T159">
            <v>0</v>
          </cell>
          <cell r="U159">
            <v>0</v>
          </cell>
          <cell r="V159">
            <v>0</v>
          </cell>
          <cell r="W159">
            <v>0</v>
          </cell>
          <cell r="X159">
            <v>0</v>
          </cell>
          <cell r="Y159">
            <v>0</v>
          </cell>
          <cell r="Z159">
            <v>0</v>
          </cell>
          <cell r="BQ159" t="str">
            <v>mstag:otherCashFlow</v>
          </cell>
          <cell r="BR159">
            <v>6</v>
          </cell>
          <cell r="BS159" t="str">
            <v>ISO4217:USD</v>
          </cell>
          <cell r="BT159" t="b">
            <v>0</v>
          </cell>
          <cell r="BU159" t="b">
            <v>0</v>
          </cell>
        </row>
        <row r="160">
          <cell r="A160" t="str">
            <v>Amortization of debt issuance costs</v>
          </cell>
          <cell r="B160">
            <v>0</v>
          </cell>
          <cell r="C160">
            <v>0</v>
          </cell>
          <cell r="D160">
            <v>0</v>
          </cell>
          <cell r="E160">
            <v>0</v>
          </cell>
          <cell r="F160">
            <v>0</v>
          </cell>
          <cell r="G160">
            <v>0</v>
          </cell>
          <cell r="H160">
            <v>0</v>
          </cell>
          <cell r="I160">
            <v>0</v>
          </cell>
          <cell r="J160">
            <v>0</v>
          </cell>
          <cell r="K160">
            <v>0</v>
          </cell>
          <cell r="N160">
            <v>0</v>
          </cell>
          <cell r="O160">
            <v>0</v>
          </cell>
          <cell r="P160">
            <v>0</v>
          </cell>
          <cell r="Q160">
            <v>0</v>
          </cell>
          <cell r="R160">
            <v>0</v>
          </cell>
          <cell r="S160">
            <v>0</v>
          </cell>
          <cell r="T160">
            <v>0</v>
          </cell>
          <cell r="U160">
            <v>0</v>
          </cell>
          <cell r="V160">
            <v>0</v>
          </cell>
          <cell r="W160">
            <v>0</v>
          </cell>
          <cell r="X160">
            <v>0</v>
          </cell>
          <cell r="Y160">
            <v>0</v>
          </cell>
          <cell r="Z160">
            <v>0</v>
          </cell>
          <cell r="BQ160" t="str">
            <v>mstag:amortizationOfDiscountPremiumOnDebtCashFlowStatement</v>
          </cell>
          <cell r="BR160">
            <v>6</v>
          </cell>
          <cell r="BS160" t="str">
            <v>ISO4217:USD</v>
          </cell>
          <cell r="BT160" t="b">
            <v>0</v>
          </cell>
          <cell r="BU160" t="b">
            <v>0</v>
          </cell>
        </row>
        <row r="161">
          <cell r="A161" t="str">
            <v>Stock-based compensation expense</v>
          </cell>
          <cell r="B161">
            <v>19</v>
          </cell>
          <cell r="C161">
            <v>22</v>
          </cell>
          <cell r="D161">
            <v>23</v>
          </cell>
          <cell r="E161">
            <v>22</v>
          </cell>
          <cell r="F161">
            <v>23</v>
          </cell>
          <cell r="G161">
            <v>27</v>
          </cell>
          <cell r="H161">
            <v>28</v>
          </cell>
          <cell r="I161">
            <v>27</v>
          </cell>
          <cell r="J161">
            <v>28</v>
          </cell>
          <cell r="K161">
            <v>30</v>
          </cell>
          <cell r="R161">
            <v>51</v>
          </cell>
          <cell r="S161">
            <v>39</v>
          </cell>
          <cell r="T161">
            <v>61</v>
          </cell>
          <cell r="U161">
            <v>86</v>
          </cell>
          <cell r="V161">
            <v>105</v>
          </cell>
          <cell r="W161">
            <v>0</v>
          </cell>
          <cell r="X161">
            <v>0</v>
          </cell>
          <cell r="Y161">
            <v>0</v>
          </cell>
          <cell r="Z161">
            <v>0</v>
          </cell>
          <cell r="BQ161" t="str">
            <v>mstag:stockBasedCompensationChargePreTax</v>
          </cell>
          <cell r="BR161">
            <v>6</v>
          </cell>
          <cell r="BS161" t="str">
            <v>ISO4217:USD</v>
          </cell>
          <cell r="BT161" t="b">
            <v>0</v>
          </cell>
        </row>
        <row r="162">
          <cell r="A162" t="str">
            <v>Excess tax benefit from stock-based comp</v>
          </cell>
          <cell r="B162">
            <v>-18</v>
          </cell>
          <cell r="C162">
            <v>-8</v>
          </cell>
          <cell r="D162">
            <v>-7</v>
          </cell>
          <cell r="E162">
            <v>-34</v>
          </cell>
          <cell r="F162">
            <v>-15</v>
          </cell>
          <cell r="G162">
            <v>-9</v>
          </cell>
          <cell r="H162">
            <v>-7</v>
          </cell>
          <cell r="I162">
            <v>0</v>
          </cell>
          <cell r="J162">
            <v>-1</v>
          </cell>
          <cell r="K162">
            <v>0</v>
          </cell>
          <cell r="R162">
            <v>-2</v>
          </cell>
          <cell r="S162">
            <v>-2</v>
          </cell>
          <cell r="T162">
            <v>-47</v>
          </cell>
          <cell r="U162">
            <v>-67</v>
          </cell>
          <cell r="V162">
            <v>-31</v>
          </cell>
          <cell r="W162">
            <v>0</v>
          </cell>
          <cell r="X162">
            <v>0</v>
          </cell>
          <cell r="Y162">
            <v>0</v>
          </cell>
          <cell r="Z162">
            <v>0</v>
          </cell>
          <cell r="BQ162" t="str">
            <v>mstag:netIncreaseInIncomeTaxPayableReceivable</v>
          </cell>
          <cell r="BR162">
            <v>6</v>
          </cell>
          <cell r="BS162" t="str">
            <v>ISO4217:USD</v>
          </cell>
          <cell r="BT162" t="b">
            <v>0</v>
          </cell>
          <cell r="BU162" t="b">
            <v>0</v>
          </cell>
        </row>
        <row r="163">
          <cell r="A163" t="str">
            <v>Deferred income tax provision</v>
          </cell>
          <cell r="B163">
            <v>24</v>
          </cell>
          <cell r="C163">
            <v>29</v>
          </cell>
          <cell r="D163">
            <v>-3</v>
          </cell>
          <cell r="E163">
            <v>72</v>
          </cell>
          <cell r="F163">
            <v>-1</v>
          </cell>
          <cell r="G163">
            <v>27</v>
          </cell>
          <cell r="H163">
            <v>57</v>
          </cell>
          <cell r="I163">
            <v>113</v>
          </cell>
          <cell r="J163">
            <v>40</v>
          </cell>
          <cell r="K163">
            <v>46</v>
          </cell>
          <cell r="N163">
            <v>128</v>
          </cell>
          <cell r="O163">
            <v>114</v>
          </cell>
          <cell r="P163">
            <v>177</v>
          </cell>
          <cell r="Q163">
            <v>137</v>
          </cell>
          <cell r="R163">
            <v>279</v>
          </cell>
          <cell r="S163">
            <v>141</v>
          </cell>
          <cell r="T163">
            <v>45</v>
          </cell>
          <cell r="U163">
            <v>122</v>
          </cell>
          <cell r="V163">
            <v>196</v>
          </cell>
          <cell r="W163">
            <v>0</v>
          </cell>
          <cell r="X163">
            <v>0</v>
          </cell>
          <cell r="Y163">
            <v>0</v>
          </cell>
          <cell r="Z163">
            <v>0</v>
          </cell>
          <cell r="BQ163" t="str">
            <v>mstag:deferredTax</v>
          </cell>
          <cell r="BR163">
            <v>6</v>
          </cell>
          <cell r="BS163" t="str">
            <v>ISO4217:USD</v>
          </cell>
          <cell r="BT163" t="b">
            <v>0</v>
          </cell>
          <cell r="BU163" t="b">
            <v>0</v>
          </cell>
        </row>
        <row r="164">
          <cell r="A164" t="str">
            <v>Discontinued ops, net of tax</v>
          </cell>
          <cell r="B164">
            <v>6</v>
          </cell>
          <cell r="C164">
            <v>5</v>
          </cell>
          <cell r="D164">
            <v>-2</v>
          </cell>
          <cell r="E164">
            <v>-1</v>
          </cell>
          <cell r="F164">
            <v>1</v>
          </cell>
          <cell r="G164">
            <v>0</v>
          </cell>
          <cell r="H164">
            <v>0</v>
          </cell>
          <cell r="I164">
            <v>18</v>
          </cell>
          <cell r="J164">
            <v>3</v>
          </cell>
          <cell r="K164">
            <v>3</v>
          </cell>
          <cell r="R164">
            <v>-33</v>
          </cell>
          <cell r="S164">
            <v>-13</v>
          </cell>
          <cell r="T164">
            <v>-146</v>
          </cell>
          <cell r="U164">
            <v>0</v>
          </cell>
          <cell r="V164">
            <v>19</v>
          </cell>
          <cell r="W164">
            <v>0</v>
          </cell>
          <cell r="X164">
            <v>0</v>
          </cell>
          <cell r="Y164">
            <v>0</v>
          </cell>
          <cell r="Z164">
            <v>0</v>
          </cell>
          <cell r="BQ164" t="str">
            <v>mstag:netCashFlowFromDiscontinuedOperations</v>
          </cell>
          <cell r="BR164">
            <v>6</v>
          </cell>
          <cell r="BS164" t="str">
            <v>ISO4217:USD</v>
          </cell>
          <cell r="BT164" t="b">
            <v>0</v>
          </cell>
        </row>
        <row r="165">
          <cell r="A165" t="str">
            <v>Decrease (increase) in assets, net of effect of bus. acq.</v>
          </cell>
        </row>
        <row r="166">
          <cell r="A166" t="str">
            <v>Accounts receivable</v>
          </cell>
          <cell r="B166">
            <v>74</v>
          </cell>
          <cell r="C166">
            <v>-260</v>
          </cell>
          <cell r="D166">
            <v>107</v>
          </cell>
          <cell r="E166">
            <v>-440</v>
          </cell>
          <cell r="F166">
            <v>-97</v>
          </cell>
          <cell r="G166">
            <v>14</v>
          </cell>
          <cell r="H166">
            <v>-124</v>
          </cell>
          <cell r="I166">
            <v>-179</v>
          </cell>
          <cell r="J166">
            <v>-292</v>
          </cell>
          <cell r="K166">
            <v>143</v>
          </cell>
          <cell r="N166">
            <v>-39</v>
          </cell>
          <cell r="O166">
            <v>-25</v>
          </cell>
          <cell r="P166">
            <v>-95</v>
          </cell>
          <cell r="Q166">
            <v>61</v>
          </cell>
          <cell r="R166">
            <v>-65</v>
          </cell>
          <cell r="S166">
            <v>-555</v>
          </cell>
          <cell r="T166">
            <v>-160</v>
          </cell>
          <cell r="U166">
            <v>-519</v>
          </cell>
          <cell r="V166">
            <v>-386</v>
          </cell>
          <cell r="W166">
            <v>399.55555555555566</v>
          </cell>
          <cell r="X166">
            <v>-45.333333333333485</v>
          </cell>
          <cell r="Y166">
            <v>-140.72222222222217</v>
          </cell>
          <cell r="Z166">
            <v>-215.33333333333303</v>
          </cell>
          <cell r="BQ166" t="str">
            <v>mstag:netDecreaseInTradeReceivables</v>
          </cell>
          <cell r="BR166">
            <v>6</v>
          </cell>
          <cell r="BS166" t="str">
            <v>ISO4217:USD</v>
          </cell>
          <cell r="BT166" t="b">
            <v>0</v>
          </cell>
          <cell r="BU166" t="b">
            <v>0</v>
          </cell>
        </row>
        <row r="167">
          <cell r="A167" t="str">
            <v>Contracts in process</v>
          </cell>
          <cell r="B167">
            <v>-119</v>
          </cell>
          <cell r="C167">
            <v>-69</v>
          </cell>
          <cell r="D167">
            <v>69</v>
          </cell>
          <cell r="E167">
            <v>-316</v>
          </cell>
          <cell r="F167">
            <v>-41</v>
          </cell>
          <cell r="G167">
            <v>-122</v>
          </cell>
          <cell r="H167">
            <v>145</v>
          </cell>
          <cell r="I167">
            <v>91</v>
          </cell>
          <cell r="J167">
            <v>64</v>
          </cell>
          <cell r="K167">
            <v>-141</v>
          </cell>
          <cell r="N167">
            <v>-82</v>
          </cell>
          <cell r="O167">
            <v>-225</v>
          </cell>
          <cell r="P167">
            <v>-178</v>
          </cell>
          <cell r="Q167">
            <v>-452</v>
          </cell>
          <cell r="R167">
            <v>-281</v>
          </cell>
          <cell r="S167">
            <v>-196</v>
          </cell>
          <cell r="T167">
            <v>-390</v>
          </cell>
          <cell r="U167">
            <v>-435</v>
          </cell>
          <cell r="V167">
            <v>73</v>
          </cell>
          <cell r="W167">
            <v>-1109</v>
          </cell>
          <cell r="X167">
            <v>-86</v>
          </cell>
          <cell r="Y167">
            <v>-138</v>
          </cell>
          <cell r="Z167">
            <v>-196</v>
          </cell>
          <cell r="BQ167" t="str">
            <v>mstag:netDecreaseInOtherAssets</v>
          </cell>
          <cell r="BR167">
            <v>6</v>
          </cell>
          <cell r="BS167" t="str">
            <v>ISO4217:USD</v>
          </cell>
          <cell r="BT167" t="b">
            <v>0</v>
          </cell>
          <cell r="BU167" t="b">
            <v>0</v>
          </cell>
        </row>
        <row r="168">
          <cell r="A168" t="str">
            <v>Inventories</v>
          </cell>
          <cell r="B168">
            <v>-92</v>
          </cell>
          <cell r="C168">
            <v>-8</v>
          </cell>
          <cell r="D168">
            <v>30</v>
          </cell>
          <cell r="E168">
            <v>-65</v>
          </cell>
          <cell r="F168">
            <v>-42</v>
          </cell>
          <cell r="G168">
            <v>-31</v>
          </cell>
          <cell r="H168">
            <v>-52</v>
          </cell>
          <cell r="I168">
            <v>-58</v>
          </cell>
          <cell r="J168">
            <v>-64</v>
          </cell>
          <cell r="K168">
            <v>-51</v>
          </cell>
          <cell r="N168">
            <v>11</v>
          </cell>
          <cell r="O168">
            <v>-223</v>
          </cell>
          <cell r="P168">
            <v>-141</v>
          </cell>
          <cell r="Q168">
            <v>189</v>
          </cell>
          <cell r="R168">
            <v>-62</v>
          </cell>
          <cell r="S168">
            <v>-122</v>
          </cell>
          <cell r="T168">
            <v>-237</v>
          </cell>
          <cell r="U168">
            <v>-135</v>
          </cell>
          <cell r="V168">
            <v>-183</v>
          </cell>
          <cell r="W168">
            <v>-71</v>
          </cell>
          <cell r="X168">
            <v>-20</v>
          </cell>
          <cell r="Y168">
            <v>-320</v>
          </cell>
          <cell r="Z168">
            <v>-520</v>
          </cell>
          <cell r="BQ168" t="str">
            <v>mstag:netDecreaseInInventories</v>
          </cell>
          <cell r="BR168">
            <v>6</v>
          </cell>
          <cell r="BS168" t="str">
            <v>ISO4217:USD</v>
          </cell>
          <cell r="BT168" t="b">
            <v>0</v>
          </cell>
          <cell r="BU168" t="b">
            <v>0</v>
          </cell>
        </row>
        <row r="169">
          <cell r="A169" t="str">
            <v>Other current assets</v>
          </cell>
          <cell r="B169">
            <v>0</v>
          </cell>
          <cell r="C169">
            <v>-38</v>
          </cell>
          <cell r="D169">
            <v>38</v>
          </cell>
          <cell r="E169">
            <v>0</v>
          </cell>
          <cell r="F169">
            <v>0</v>
          </cell>
          <cell r="G169">
            <v>0</v>
          </cell>
          <cell r="H169">
            <v>0</v>
          </cell>
          <cell r="I169">
            <v>0</v>
          </cell>
          <cell r="J169">
            <v>0</v>
          </cell>
          <cell r="K169">
            <v>0</v>
          </cell>
          <cell r="O169">
            <v>0</v>
          </cell>
          <cell r="P169">
            <v>0</v>
          </cell>
          <cell r="Q169">
            <v>0</v>
          </cell>
          <cell r="R169">
            <v>0</v>
          </cell>
          <cell r="S169">
            <v>0</v>
          </cell>
          <cell r="T169">
            <v>0</v>
          </cell>
          <cell r="U169">
            <v>0</v>
          </cell>
          <cell r="V169">
            <v>0</v>
          </cell>
          <cell r="W169">
            <v>-98.199841272000072</v>
          </cell>
          <cell r="X169">
            <v>-108.02792349956826</v>
          </cell>
          <cell r="Y169">
            <v>0</v>
          </cell>
          <cell r="Z169">
            <v>0</v>
          </cell>
          <cell r="BQ169" t="str">
            <v>mstag:netDecreaseInOtherAssets</v>
          </cell>
          <cell r="BR169">
            <v>6</v>
          </cell>
          <cell r="BS169" t="str">
            <v>ISO4217:USD</v>
          </cell>
          <cell r="BT169" t="b">
            <v>0</v>
          </cell>
          <cell r="BU169" t="b">
            <v>0</v>
          </cell>
        </row>
        <row r="170">
          <cell r="A170" t="str">
            <v>Increase (decrease) in liabilities, net of effects</v>
          </cell>
        </row>
        <row r="171">
          <cell r="A171" t="str">
            <v>Accounts payable</v>
          </cell>
          <cell r="B171">
            <v>-54</v>
          </cell>
          <cell r="C171">
            <v>-105</v>
          </cell>
          <cell r="D171">
            <v>107</v>
          </cell>
          <cell r="E171">
            <v>392</v>
          </cell>
          <cell r="F171">
            <v>-231</v>
          </cell>
          <cell r="G171">
            <v>24</v>
          </cell>
          <cell r="H171">
            <v>-52</v>
          </cell>
          <cell r="I171">
            <v>221</v>
          </cell>
          <cell r="J171">
            <v>151</v>
          </cell>
          <cell r="K171">
            <v>-169</v>
          </cell>
          <cell r="N171">
            <v>76</v>
          </cell>
          <cell r="O171">
            <v>169</v>
          </cell>
          <cell r="P171">
            <v>241</v>
          </cell>
          <cell r="Q171">
            <v>324</v>
          </cell>
          <cell r="R171">
            <v>164</v>
          </cell>
          <cell r="S171">
            <v>187</v>
          </cell>
          <cell r="T171">
            <v>180</v>
          </cell>
          <cell r="U171">
            <v>340</v>
          </cell>
          <cell r="V171">
            <v>-38</v>
          </cell>
          <cell r="W171">
            <v>384.5</v>
          </cell>
          <cell r="X171">
            <v>41.759999999999764</v>
          </cell>
          <cell r="Y171">
            <v>129.63000000000011</v>
          </cell>
          <cell r="Z171">
            <v>198.36000000000013</v>
          </cell>
          <cell r="BQ171" t="str">
            <v>mstag:netIncreaseInTradeAndOtherPayables</v>
          </cell>
          <cell r="BR171">
            <v>6</v>
          </cell>
          <cell r="BS171" t="str">
            <v>ISO4217:USD</v>
          </cell>
          <cell r="BT171" t="b">
            <v>0</v>
          </cell>
          <cell r="BU171" t="b">
            <v>0</v>
          </cell>
        </row>
        <row r="172">
          <cell r="A172" t="str">
            <v>Customer deposits</v>
          </cell>
          <cell r="B172">
            <v>90</v>
          </cell>
          <cell r="C172">
            <v>327</v>
          </cell>
          <cell r="D172">
            <v>-81</v>
          </cell>
          <cell r="E172">
            <v>657</v>
          </cell>
          <cell r="F172">
            <v>52</v>
          </cell>
          <cell r="G172">
            <v>496</v>
          </cell>
          <cell r="H172">
            <v>211</v>
          </cell>
          <cell r="I172">
            <v>90</v>
          </cell>
          <cell r="J172">
            <v>-512</v>
          </cell>
          <cell r="K172">
            <v>82</v>
          </cell>
          <cell r="N172">
            <v>44</v>
          </cell>
          <cell r="O172">
            <v>0</v>
          </cell>
          <cell r="P172">
            <v>2</v>
          </cell>
          <cell r="Q172">
            <v>-10</v>
          </cell>
          <cell r="R172">
            <v>391</v>
          </cell>
          <cell r="S172">
            <v>954</v>
          </cell>
          <cell r="T172">
            <v>399</v>
          </cell>
          <cell r="U172">
            <v>993</v>
          </cell>
          <cell r="V172">
            <v>849</v>
          </cell>
          <cell r="W172">
            <v>1273.5</v>
          </cell>
          <cell r="X172">
            <v>344</v>
          </cell>
          <cell r="Y172">
            <v>260.75</v>
          </cell>
          <cell r="Z172">
            <v>399</v>
          </cell>
          <cell r="BQ172" t="str">
            <v>mstag:netIncreaseInCustomerAdvancesAndDeposits</v>
          </cell>
          <cell r="BR172">
            <v>6</v>
          </cell>
          <cell r="BS172" t="str">
            <v>ISO4217:USD</v>
          </cell>
          <cell r="BT172" t="b">
            <v>0</v>
          </cell>
          <cell r="BU172" t="b">
            <v>0</v>
          </cell>
        </row>
        <row r="173">
          <cell r="A173" t="str">
            <v>Current income taxes</v>
          </cell>
          <cell r="B173">
            <v>161</v>
          </cell>
          <cell r="C173">
            <v>-161</v>
          </cell>
          <cell r="D173">
            <v>0</v>
          </cell>
          <cell r="E173">
            <v>0</v>
          </cell>
          <cell r="F173">
            <v>230</v>
          </cell>
          <cell r="G173">
            <v>-230</v>
          </cell>
          <cell r="H173">
            <v>0</v>
          </cell>
          <cell r="I173">
            <v>0</v>
          </cell>
          <cell r="J173">
            <v>192</v>
          </cell>
          <cell r="K173">
            <v>-192</v>
          </cell>
          <cell r="N173">
            <v>0</v>
          </cell>
          <cell r="O173">
            <v>27</v>
          </cell>
          <cell r="P173">
            <v>0</v>
          </cell>
          <cell r="Q173">
            <v>0</v>
          </cell>
          <cell r="R173">
            <v>0</v>
          </cell>
          <cell r="S173">
            <v>0</v>
          </cell>
          <cell r="T173">
            <v>0</v>
          </cell>
          <cell r="U173">
            <v>0</v>
          </cell>
          <cell r="V173">
            <v>0</v>
          </cell>
          <cell r="W173">
            <v>0</v>
          </cell>
          <cell r="X173">
            <v>0</v>
          </cell>
          <cell r="Y173">
            <v>0</v>
          </cell>
          <cell r="Z173">
            <v>0</v>
          </cell>
          <cell r="BQ173" t="str">
            <v>mstag:netIncreaseInIncomeTaxPayableReceivable</v>
          </cell>
          <cell r="BR173">
            <v>6</v>
          </cell>
          <cell r="BS173" t="str">
            <v>ISO4217:USD</v>
          </cell>
          <cell r="BT173" t="b">
            <v>0</v>
          </cell>
          <cell r="BU173" t="b">
            <v>0</v>
          </cell>
        </row>
        <row r="174">
          <cell r="A174" t="str">
            <v>Other current/noncurrent liabilities</v>
          </cell>
          <cell r="B174">
            <v>-85</v>
          </cell>
          <cell r="C174">
            <v>31</v>
          </cell>
          <cell r="D174">
            <v>54</v>
          </cell>
          <cell r="E174">
            <v>66</v>
          </cell>
          <cell r="F174">
            <v>-140</v>
          </cell>
          <cell r="G174">
            <v>113</v>
          </cell>
          <cell r="H174">
            <v>-112</v>
          </cell>
          <cell r="I174">
            <v>-64</v>
          </cell>
          <cell r="J174">
            <v>-127</v>
          </cell>
          <cell r="K174">
            <v>-36</v>
          </cell>
          <cell r="N174">
            <v>0</v>
          </cell>
          <cell r="O174">
            <v>0</v>
          </cell>
          <cell r="P174">
            <v>-42</v>
          </cell>
          <cell r="Q174">
            <v>108</v>
          </cell>
          <cell r="R174">
            <v>-183</v>
          </cell>
          <cell r="S174">
            <v>-129</v>
          </cell>
          <cell r="T174">
            <v>116</v>
          </cell>
          <cell r="U174">
            <v>0</v>
          </cell>
          <cell r="V174">
            <v>-203</v>
          </cell>
          <cell r="W174">
            <v>0</v>
          </cell>
          <cell r="X174">
            <v>0</v>
          </cell>
          <cell r="Y174">
            <v>0</v>
          </cell>
          <cell r="Z174">
            <v>0</v>
          </cell>
          <cell r="BQ174" t="str">
            <v>mstag:netIncreaseInOtherLiabilitiesOperating</v>
          </cell>
          <cell r="BR174">
            <v>6</v>
          </cell>
          <cell r="BS174" t="str">
            <v>ISO4217:USD</v>
          </cell>
          <cell r="BT174" t="b">
            <v>0</v>
          </cell>
          <cell r="BU174" t="b">
            <v>0</v>
          </cell>
        </row>
        <row r="175">
          <cell r="A175" t="str">
            <v>Other, net</v>
          </cell>
          <cell r="B175">
            <v>-19</v>
          </cell>
          <cell r="C175">
            <v>21</v>
          </cell>
          <cell r="D175">
            <v>-32</v>
          </cell>
          <cell r="E175">
            <v>28</v>
          </cell>
          <cell r="F175">
            <v>18</v>
          </cell>
          <cell r="G175">
            <v>-36</v>
          </cell>
          <cell r="H175">
            <v>22</v>
          </cell>
          <cell r="I175">
            <v>-187</v>
          </cell>
          <cell r="J175">
            <v>-57</v>
          </cell>
          <cell r="K175">
            <v>136</v>
          </cell>
          <cell r="N175">
            <v>-194</v>
          </cell>
          <cell r="O175">
            <v>55</v>
          </cell>
          <cell r="P175">
            <v>-89</v>
          </cell>
          <cell r="Q175">
            <v>64</v>
          </cell>
          <cell r="R175">
            <v>-32</v>
          </cell>
          <cell r="S175">
            <v>-59</v>
          </cell>
          <cell r="T175">
            <v>95</v>
          </cell>
          <cell r="U175">
            <v>64</v>
          </cell>
          <cell r="V175">
            <v>-183</v>
          </cell>
          <cell r="W175">
            <v>292.72708099999983</v>
          </cell>
          <cell r="X175">
            <v>324.22734454990001</v>
          </cell>
          <cell r="Y175">
            <v>348.57043465426796</v>
          </cell>
          <cell r="Z175">
            <v>385.96163392094161</v>
          </cell>
          <cell r="BQ175" t="str">
            <v>mstag:otherCashFlow</v>
          </cell>
          <cell r="BR175">
            <v>6</v>
          </cell>
          <cell r="BS175" t="str">
            <v>ISO4217:USD</v>
          </cell>
          <cell r="BT175" t="b">
            <v>0</v>
          </cell>
          <cell r="BU175" t="b">
            <v>0</v>
          </cell>
        </row>
        <row r="176">
          <cell r="A176" t="str">
            <v>Net cash provided by operating activities</v>
          </cell>
          <cell r="B176">
            <v>522</v>
          </cell>
          <cell r="C176">
            <v>405</v>
          </cell>
          <cell r="D176">
            <v>954</v>
          </cell>
          <cell r="E176">
            <v>1071.0000329999998</v>
          </cell>
          <cell r="F176">
            <v>431</v>
          </cell>
          <cell r="G176">
            <v>1025</v>
          </cell>
          <cell r="H176">
            <v>863</v>
          </cell>
          <cell r="I176">
            <v>805</v>
          </cell>
          <cell r="J176">
            <v>154</v>
          </cell>
          <cell r="K176">
            <v>609</v>
          </cell>
          <cell r="N176">
            <v>1069.479</v>
          </cell>
          <cell r="O176">
            <v>1099</v>
          </cell>
          <cell r="P176">
            <v>1123</v>
          </cell>
          <cell r="Q176">
            <v>1695</v>
          </cell>
          <cell r="R176">
            <v>1760</v>
          </cell>
          <cell r="S176">
            <v>2033</v>
          </cell>
          <cell r="T176">
            <v>2156</v>
          </cell>
          <cell r="U176">
            <v>2952</v>
          </cell>
          <cell r="V176">
            <v>3124</v>
          </cell>
          <cell r="W176">
            <v>3926.1382184035556</v>
          </cell>
          <cell r="X176">
            <v>3393.9005484269719</v>
          </cell>
          <cell r="Y176">
            <v>3240.1634775150424</v>
          </cell>
          <cell r="Z176">
            <v>3321.9123115201332</v>
          </cell>
        </row>
        <row r="177">
          <cell r="A177" t="str">
            <v>Net cash used by discontinued operations</v>
          </cell>
          <cell r="B177">
            <v>-9</v>
          </cell>
          <cell r="C177">
            <v>1</v>
          </cell>
          <cell r="D177">
            <v>-15</v>
          </cell>
          <cell r="E177">
            <v>-4</v>
          </cell>
          <cell r="F177">
            <v>-1</v>
          </cell>
          <cell r="G177">
            <v>-4</v>
          </cell>
          <cell r="H177">
            <v>0</v>
          </cell>
          <cell r="I177">
            <v>-9</v>
          </cell>
          <cell r="J177">
            <v>-6</v>
          </cell>
          <cell r="K177">
            <v>-3</v>
          </cell>
          <cell r="O177">
            <v>2</v>
          </cell>
          <cell r="P177">
            <v>-1</v>
          </cell>
          <cell r="Q177">
            <v>26</v>
          </cell>
          <cell r="R177">
            <v>43</v>
          </cell>
          <cell r="S177">
            <v>23</v>
          </cell>
          <cell r="T177">
            <v>-28</v>
          </cell>
          <cell r="U177">
            <v>-27</v>
          </cell>
          <cell r="V177">
            <v>-14</v>
          </cell>
          <cell r="W177">
            <v>0</v>
          </cell>
          <cell r="X177">
            <v>0</v>
          </cell>
          <cell r="Y177">
            <v>0</v>
          </cell>
          <cell r="Z177">
            <v>0</v>
          </cell>
          <cell r="BQ177" t="str">
            <v>mstag:gainsLossesFromSaleOfOperatingAssetsOneTime</v>
          </cell>
          <cell r="BR177">
            <v>6</v>
          </cell>
          <cell r="BS177" t="str">
            <v>ISO4217:USD</v>
          </cell>
          <cell r="BT177" t="b">
            <v>1</v>
          </cell>
          <cell r="BU177" t="b">
            <v>0</v>
          </cell>
        </row>
        <row r="178">
          <cell r="A178" t="str">
            <v>Net cash provided by operating activities</v>
          </cell>
          <cell r="B178">
            <v>513</v>
          </cell>
          <cell r="C178">
            <v>406</v>
          </cell>
          <cell r="D178">
            <v>939</v>
          </cell>
          <cell r="E178">
            <v>1067.0000329999998</v>
          </cell>
          <cell r="F178">
            <v>430</v>
          </cell>
          <cell r="G178">
            <v>1021</v>
          </cell>
          <cell r="H178">
            <v>863</v>
          </cell>
          <cell r="I178">
            <v>796</v>
          </cell>
          <cell r="J178">
            <v>148</v>
          </cell>
          <cell r="K178">
            <v>606</v>
          </cell>
          <cell r="N178">
            <v>1069.479</v>
          </cell>
          <cell r="O178">
            <v>1101</v>
          </cell>
          <cell r="P178">
            <v>1122</v>
          </cell>
          <cell r="Q178">
            <v>1721</v>
          </cell>
          <cell r="R178">
            <v>1803</v>
          </cell>
          <cell r="S178">
            <v>2056</v>
          </cell>
          <cell r="T178">
            <v>2128</v>
          </cell>
          <cell r="U178">
            <v>2925</v>
          </cell>
          <cell r="V178">
            <v>3110</v>
          </cell>
          <cell r="W178">
            <v>3926.1382184035556</v>
          </cell>
          <cell r="X178">
            <v>3393.9005484269719</v>
          </cell>
          <cell r="Y178">
            <v>3240.1634775150424</v>
          </cell>
          <cell r="Z178">
            <v>3321.9123115201332</v>
          </cell>
        </row>
        <row r="180">
          <cell r="A180" t="str">
            <v>Cash Flows from Investing Activities:</v>
          </cell>
        </row>
        <row r="181">
          <cell r="A181" t="str">
            <v>Business acquisitions, net of cash acquired</v>
          </cell>
          <cell r="B181">
            <v>-298</v>
          </cell>
          <cell r="C181">
            <v>-1</v>
          </cell>
          <cell r="D181">
            <v>0</v>
          </cell>
          <cell r="E181">
            <v>-31</v>
          </cell>
          <cell r="F181">
            <v>-65</v>
          </cell>
          <cell r="G181">
            <v>-1</v>
          </cell>
          <cell r="H181">
            <v>-237</v>
          </cell>
          <cell r="I181">
            <v>-2921</v>
          </cell>
          <cell r="J181">
            <v>-168</v>
          </cell>
          <cell r="K181">
            <v>3</v>
          </cell>
          <cell r="N181">
            <v>-71</v>
          </cell>
          <cell r="O181">
            <v>-1451</v>
          </cell>
          <cell r="P181">
            <v>-275</v>
          </cell>
          <cell r="Q181">
            <v>-3044</v>
          </cell>
          <cell r="R181">
            <v>-543</v>
          </cell>
          <cell r="S181">
            <v>-277</v>
          </cell>
          <cell r="T181">
            <v>-2342</v>
          </cell>
          <cell r="U181">
            <v>-330</v>
          </cell>
          <cell r="V181">
            <v>-3224</v>
          </cell>
          <cell r="W181">
            <v>0</v>
          </cell>
          <cell r="X181">
            <v>0</v>
          </cell>
          <cell r="Y181">
            <v>0</v>
          </cell>
          <cell r="Z181">
            <v>0</v>
          </cell>
          <cell r="BQ181" t="str">
            <v>mstag:netDisposalsAcquisitions</v>
          </cell>
          <cell r="BR181">
            <v>6</v>
          </cell>
          <cell r="BS181" t="str">
            <v>ISO4217:USD</v>
          </cell>
          <cell r="BT181" t="b">
            <v>0</v>
          </cell>
          <cell r="BU181" t="b">
            <v>0</v>
          </cell>
        </row>
        <row r="182">
          <cell r="A182" t="str">
            <v>Purchases of available-for-sale securities</v>
          </cell>
          <cell r="B182">
            <v>0</v>
          </cell>
          <cell r="C182">
            <v>0</v>
          </cell>
          <cell r="D182">
            <v>-511</v>
          </cell>
          <cell r="E182">
            <v>-2287</v>
          </cell>
          <cell r="F182">
            <v>-973</v>
          </cell>
          <cell r="G182">
            <v>-274</v>
          </cell>
          <cell r="H182">
            <v>-118</v>
          </cell>
          <cell r="I182">
            <v>-41</v>
          </cell>
          <cell r="J182">
            <v>-86</v>
          </cell>
          <cell r="K182">
            <v>-21</v>
          </cell>
          <cell r="N182">
            <v>-23</v>
          </cell>
          <cell r="O182">
            <v>-45</v>
          </cell>
          <cell r="P182">
            <v>-41</v>
          </cell>
          <cell r="Q182">
            <v>-30</v>
          </cell>
          <cell r="R182">
            <v>0</v>
          </cell>
          <cell r="S182">
            <v>0</v>
          </cell>
          <cell r="T182">
            <v>0</v>
          </cell>
          <cell r="U182">
            <v>-2798</v>
          </cell>
          <cell r="V182">
            <v>-1406</v>
          </cell>
          <cell r="W182">
            <v>0</v>
          </cell>
          <cell r="X182">
            <v>0</v>
          </cell>
          <cell r="Y182">
            <v>0</v>
          </cell>
          <cell r="Z182">
            <v>0</v>
          </cell>
          <cell r="BQ182" t="str">
            <v>mstag:proceedsFromSaleOfFundsUsedTopurchaseSecuritiesAndOtherInvestments</v>
          </cell>
          <cell r="BR182">
            <v>6</v>
          </cell>
          <cell r="BS182" t="str">
            <v>ISO4217:USD</v>
          </cell>
          <cell r="BT182" t="b">
            <v>0</v>
          </cell>
          <cell r="BU182" t="b">
            <v>0</v>
          </cell>
        </row>
        <row r="183">
          <cell r="A183" t="str">
            <v>Sales/maturities of available-for-sale securities</v>
          </cell>
          <cell r="B183">
            <v>0</v>
          </cell>
          <cell r="C183">
            <v>0</v>
          </cell>
          <cell r="D183">
            <v>298</v>
          </cell>
          <cell r="E183">
            <v>2321</v>
          </cell>
          <cell r="F183">
            <v>968</v>
          </cell>
          <cell r="G183">
            <v>218</v>
          </cell>
          <cell r="H183">
            <v>155</v>
          </cell>
          <cell r="I183">
            <v>82</v>
          </cell>
          <cell r="J183">
            <v>49</v>
          </cell>
          <cell r="K183">
            <v>105</v>
          </cell>
          <cell r="N183">
            <v>29</v>
          </cell>
          <cell r="O183">
            <v>42</v>
          </cell>
          <cell r="P183">
            <v>39</v>
          </cell>
          <cell r="Q183">
            <v>31</v>
          </cell>
          <cell r="R183">
            <v>0</v>
          </cell>
          <cell r="S183">
            <v>0</v>
          </cell>
          <cell r="T183">
            <v>0</v>
          </cell>
          <cell r="U183">
            <v>2619</v>
          </cell>
          <cell r="V183">
            <v>1423</v>
          </cell>
          <cell r="W183">
            <v>0</v>
          </cell>
          <cell r="X183">
            <v>0</v>
          </cell>
          <cell r="Y183">
            <v>0</v>
          </cell>
          <cell r="Z183">
            <v>0</v>
          </cell>
          <cell r="BQ183" t="str">
            <v>mstag:proceedsFromSaleOfFundsUsedTopurchaseSecuritiesAndOtherInvestments</v>
          </cell>
          <cell r="BR183">
            <v>6</v>
          </cell>
          <cell r="BS183" t="str">
            <v>ISO4217:USD</v>
          </cell>
          <cell r="BT183" t="b">
            <v>0</v>
          </cell>
          <cell r="BU183" t="b">
            <v>0</v>
          </cell>
        </row>
        <row r="184">
          <cell r="A184" t="str">
            <v>Capital expenditures</v>
          </cell>
          <cell r="B184">
            <v>-53</v>
          </cell>
          <cell r="C184">
            <v>-113</v>
          </cell>
          <cell r="D184">
            <v>-128</v>
          </cell>
          <cell r="E184">
            <v>-180</v>
          </cell>
          <cell r="F184">
            <v>-85</v>
          </cell>
          <cell r="G184">
            <v>-115</v>
          </cell>
          <cell r="H184">
            <v>-114</v>
          </cell>
          <cell r="I184">
            <v>-176</v>
          </cell>
          <cell r="J184">
            <v>-81</v>
          </cell>
          <cell r="K184">
            <v>-89</v>
          </cell>
          <cell r="N184">
            <v>-288.39999999999998</v>
          </cell>
          <cell r="O184">
            <v>-356</v>
          </cell>
          <cell r="P184">
            <v>-262</v>
          </cell>
          <cell r="Q184">
            <v>-220</v>
          </cell>
          <cell r="R184">
            <v>-253</v>
          </cell>
          <cell r="S184">
            <v>-262</v>
          </cell>
          <cell r="T184">
            <v>-334</v>
          </cell>
          <cell r="U184">
            <v>-474</v>
          </cell>
          <cell r="V184">
            <v>-490</v>
          </cell>
          <cell r="W184">
            <v>-550</v>
          </cell>
          <cell r="X184">
            <v>-550</v>
          </cell>
          <cell r="Y184">
            <v>-600</v>
          </cell>
          <cell r="Z184">
            <v>-600</v>
          </cell>
          <cell r="BQ184" t="str">
            <v>mstag:capitalExpenditures</v>
          </cell>
          <cell r="BR184">
            <v>6</v>
          </cell>
          <cell r="BS184" t="str">
            <v>ISO4217:USD</v>
          </cell>
          <cell r="BT184" t="b">
            <v>1</v>
          </cell>
          <cell r="BU184" t="b">
            <v>0</v>
          </cell>
        </row>
        <row r="185">
          <cell r="A185" t="str">
            <v>Proceeds from sale of assets</v>
          </cell>
          <cell r="B185">
            <v>0</v>
          </cell>
          <cell r="C185">
            <v>93</v>
          </cell>
          <cell r="D185">
            <v>-93</v>
          </cell>
          <cell r="E185">
            <v>0</v>
          </cell>
          <cell r="F185">
            <v>31</v>
          </cell>
          <cell r="G185">
            <v>-1</v>
          </cell>
          <cell r="H185">
            <v>0</v>
          </cell>
          <cell r="I185">
            <v>4</v>
          </cell>
          <cell r="J185">
            <v>1</v>
          </cell>
          <cell r="K185">
            <v>-1</v>
          </cell>
          <cell r="N185">
            <v>33</v>
          </cell>
          <cell r="O185">
            <v>96</v>
          </cell>
          <cell r="P185">
            <v>133</v>
          </cell>
          <cell r="Q185">
            <v>34</v>
          </cell>
          <cell r="R185">
            <v>24</v>
          </cell>
          <cell r="S185">
            <v>361</v>
          </cell>
          <cell r="T185">
            <v>380</v>
          </cell>
          <cell r="U185">
            <v>0</v>
          </cell>
          <cell r="V185">
            <v>34</v>
          </cell>
          <cell r="W185">
            <v>0</v>
          </cell>
          <cell r="X185">
            <v>0</v>
          </cell>
          <cell r="Y185">
            <v>0</v>
          </cell>
          <cell r="Z185">
            <v>0</v>
          </cell>
          <cell r="BQ185" t="str">
            <v>mstag:proceedsFromSaleOfPpeAndIntangibleAssets</v>
          </cell>
          <cell r="BR185">
            <v>6</v>
          </cell>
          <cell r="BS185" t="str">
            <v>ISO4217:USD</v>
          </cell>
          <cell r="BT185" t="b">
            <v>0</v>
          </cell>
          <cell r="BU185" t="b">
            <v>0</v>
          </cell>
        </row>
        <row r="186">
          <cell r="A186" t="str">
            <v>Other</v>
          </cell>
          <cell r="B186">
            <v>10</v>
          </cell>
          <cell r="C186">
            <v>-17</v>
          </cell>
          <cell r="D186">
            <v>123</v>
          </cell>
          <cell r="E186">
            <v>15</v>
          </cell>
          <cell r="F186">
            <v>0</v>
          </cell>
          <cell r="G186">
            <v>1</v>
          </cell>
          <cell r="H186">
            <v>0</v>
          </cell>
          <cell r="I186">
            <v>0</v>
          </cell>
          <cell r="J186">
            <v>0</v>
          </cell>
          <cell r="K186">
            <v>1</v>
          </cell>
          <cell r="N186">
            <v>-9.4</v>
          </cell>
          <cell r="O186">
            <v>-32</v>
          </cell>
          <cell r="P186">
            <v>8</v>
          </cell>
          <cell r="Q186">
            <v>1</v>
          </cell>
          <cell r="R186">
            <v>-14</v>
          </cell>
          <cell r="S186">
            <v>-3</v>
          </cell>
          <cell r="T186">
            <v>-20</v>
          </cell>
          <cell r="U186">
            <v>131</v>
          </cell>
          <cell r="V186">
            <v>1</v>
          </cell>
          <cell r="W186">
            <v>0</v>
          </cell>
          <cell r="X186">
            <v>0</v>
          </cell>
          <cell r="Y186">
            <v>0</v>
          </cell>
          <cell r="Z186">
            <v>0</v>
          </cell>
          <cell r="BQ186" t="str">
            <v>mstag:otherCashFlow</v>
          </cell>
          <cell r="BR186">
            <v>6</v>
          </cell>
          <cell r="BS186" t="str">
            <v>ISO4217:USD</v>
          </cell>
          <cell r="BT186" t="b">
            <v>0</v>
          </cell>
          <cell r="BU186" t="b">
            <v>0</v>
          </cell>
        </row>
        <row r="187">
          <cell r="A187" t="str">
            <v>Net cash (used) provided by investing activities</v>
          </cell>
          <cell r="B187">
            <v>-341</v>
          </cell>
          <cell r="C187">
            <v>-38</v>
          </cell>
          <cell r="D187">
            <v>-311</v>
          </cell>
          <cell r="E187">
            <v>-162</v>
          </cell>
          <cell r="F187">
            <v>-124</v>
          </cell>
          <cell r="G187">
            <v>-172</v>
          </cell>
          <cell r="H187">
            <v>-314</v>
          </cell>
          <cell r="I187">
            <v>-3052</v>
          </cell>
          <cell r="J187">
            <v>-285</v>
          </cell>
          <cell r="K187">
            <v>-2</v>
          </cell>
          <cell r="N187">
            <v>-329.79999999999995</v>
          </cell>
          <cell r="O187">
            <v>-1746</v>
          </cell>
          <cell r="P187">
            <v>-398</v>
          </cell>
          <cell r="Q187">
            <v>-3228</v>
          </cell>
          <cell r="R187">
            <v>-786</v>
          </cell>
          <cell r="S187">
            <v>-181</v>
          </cell>
          <cell r="T187">
            <v>-2316</v>
          </cell>
          <cell r="U187">
            <v>-852</v>
          </cell>
          <cell r="V187">
            <v>-3662</v>
          </cell>
          <cell r="W187">
            <v>-550</v>
          </cell>
          <cell r="X187">
            <v>-550</v>
          </cell>
          <cell r="Y187">
            <v>-600</v>
          </cell>
          <cell r="Z187">
            <v>-600</v>
          </cell>
        </row>
        <row r="189">
          <cell r="A189" t="str">
            <v>Cash Flows from Financing Activities:</v>
          </cell>
        </row>
        <row r="190">
          <cell r="A190" t="str">
            <v>Net repayments from commercial paper</v>
          </cell>
          <cell r="B190">
            <v>0</v>
          </cell>
          <cell r="C190">
            <v>0</v>
          </cell>
          <cell r="D190">
            <v>0</v>
          </cell>
          <cell r="E190">
            <v>0</v>
          </cell>
          <cell r="F190">
            <v>0</v>
          </cell>
          <cell r="G190">
            <v>0</v>
          </cell>
          <cell r="H190">
            <v>0</v>
          </cell>
          <cell r="I190">
            <v>904</v>
          </cell>
          <cell r="J190">
            <v>-139</v>
          </cell>
          <cell r="K190">
            <v>-714</v>
          </cell>
          <cell r="N190">
            <v>-508</v>
          </cell>
          <cell r="O190">
            <v>825</v>
          </cell>
          <cell r="P190">
            <v>-451</v>
          </cell>
          <cell r="Q190">
            <v>-529</v>
          </cell>
          <cell r="R190">
            <v>-182</v>
          </cell>
          <cell r="S190">
            <v>0</v>
          </cell>
          <cell r="T190">
            <v>0</v>
          </cell>
          <cell r="U190">
            <v>0</v>
          </cell>
          <cell r="V190">
            <v>904</v>
          </cell>
          <cell r="W190">
            <v>0</v>
          </cell>
          <cell r="X190">
            <v>0</v>
          </cell>
          <cell r="Y190">
            <v>0</v>
          </cell>
          <cell r="Z190">
            <v>0</v>
          </cell>
          <cell r="BQ190" t="str">
            <v>mstag:proceedsFromIssuanceAndCashUsedToRepayShortTermBorrowings</v>
          </cell>
          <cell r="BR190">
            <v>6</v>
          </cell>
          <cell r="BS190" t="str">
            <v>ISO4217:USD</v>
          </cell>
          <cell r="BT190" t="b">
            <v>0</v>
          </cell>
          <cell r="BU190" t="b">
            <v>0</v>
          </cell>
        </row>
        <row r="191">
          <cell r="A191" t="str">
            <v>Proceeds from issuance of fixed-rate notes</v>
          </cell>
          <cell r="B191">
            <v>0</v>
          </cell>
          <cell r="C191">
            <v>0</v>
          </cell>
          <cell r="D191">
            <v>0</v>
          </cell>
          <cell r="E191">
            <v>0</v>
          </cell>
          <cell r="F191">
            <v>0</v>
          </cell>
          <cell r="G191">
            <v>0</v>
          </cell>
          <cell r="H191">
            <v>0</v>
          </cell>
          <cell r="I191">
            <v>495</v>
          </cell>
          <cell r="J191">
            <v>0</v>
          </cell>
          <cell r="K191">
            <v>747</v>
          </cell>
          <cell r="O191">
            <v>0</v>
          </cell>
          <cell r="P191">
            <v>0</v>
          </cell>
          <cell r="Q191">
            <v>3094</v>
          </cell>
          <cell r="R191">
            <v>0</v>
          </cell>
          <cell r="S191">
            <v>0</v>
          </cell>
          <cell r="T191">
            <v>0</v>
          </cell>
          <cell r="U191">
            <v>0</v>
          </cell>
          <cell r="V191">
            <v>495</v>
          </cell>
          <cell r="W191">
            <v>0</v>
          </cell>
          <cell r="X191">
            <v>0</v>
          </cell>
          <cell r="Y191">
            <v>0</v>
          </cell>
          <cell r="Z191">
            <v>0</v>
          </cell>
          <cell r="BQ191" t="str">
            <v>mstag:proceedsFromIssuanceAndCashUsedToRepayLongTermDebt</v>
          </cell>
          <cell r="BR191">
            <v>6</v>
          </cell>
          <cell r="BS191" t="str">
            <v>ISO4217:USD</v>
          </cell>
          <cell r="BT191" t="b">
            <v>0</v>
          </cell>
          <cell r="BU191" t="b">
            <v>0</v>
          </cell>
        </row>
        <row r="192">
          <cell r="A192" t="str">
            <v>Repayment of finance operations debt</v>
          </cell>
          <cell r="B192">
            <v>0</v>
          </cell>
          <cell r="C192">
            <v>0</v>
          </cell>
          <cell r="D192">
            <v>0</v>
          </cell>
          <cell r="E192">
            <v>0</v>
          </cell>
          <cell r="F192">
            <v>0</v>
          </cell>
          <cell r="G192">
            <v>-500</v>
          </cell>
          <cell r="H192">
            <v>0</v>
          </cell>
          <cell r="I192">
            <v>350</v>
          </cell>
          <cell r="J192">
            <v>0</v>
          </cell>
          <cell r="K192">
            <v>0</v>
          </cell>
          <cell r="N192">
            <v>-18</v>
          </cell>
          <cell r="O192">
            <v>-20</v>
          </cell>
          <cell r="P192">
            <v>0</v>
          </cell>
          <cell r="Q192">
            <v>0</v>
          </cell>
          <cell r="R192">
            <v>-500</v>
          </cell>
          <cell r="S192">
            <v>0</v>
          </cell>
          <cell r="T192">
            <v>-500</v>
          </cell>
          <cell r="U192">
            <v>0</v>
          </cell>
          <cell r="V192">
            <v>-150</v>
          </cell>
          <cell r="W192">
            <v>-21</v>
          </cell>
          <cell r="X192">
            <v>0</v>
          </cell>
          <cell r="Y192">
            <v>0</v>
          </cell>
          <cell r="Z192">
            <v>0</v>
          </cell>
          <cell r="BQ192" t="str">
            <v>mstag:proceedsFromIssuanceAndCashUsedToRepayLongTermDebt</v>
          </cell>
          <cell r="BR192">
            <v>6</v>
          </cell>
          <cell r="BS192" t="str">
            <v>ISO4217:USD</v>
          </cell>
          <cell r="BT192" t="b">
            <v>0</v>
          </cell>
          <cell r="BU192" t="b">
            <v>0</v>
          </cell>
        </row>
        <row r="193">
          <cell r="A193" t="str">
            <v>Net repayments of other debt</v>
          </cell>
          <cell r="B193">
            <v>0</v>
          </cell>
          <cell r="C193">
            <v>0</v>
          </cell>
          <cell r="D193">
            <v>0</v>
          </cell>
          <cell r="E193">
            <v>0</v>
          </cell>
          <cell r="F193">
            <v>0</v>
          </cell>
          <cell r="G193">
            <v>0</v>
          </cell>
          <cell r="H193">
            <v>-150</v>
          </cell>
          <cell r="I193">
            <v>150</v>
          </cell>
          <cell r="J193">
            <v>0</v>
          </cell>
          <cell r="K193">
            <v>0</v>
          </cell>
          <cell r="N193">
            <v>-10</v>
          </cell>
          <cell r="O193">
            <v>-133</v>
          </cell>
          <cell r="P193">
            <v>-98</v>
          </cell>
          <cell r="Q193">
            <v>-40</v>
          </cell>
          <cell r="R193">
            <v>-65</v>
          </cell>
          <cell r="S193">
            <v>0</v>
          </cell>
          <cell r="T193">
            <v>0</v>
          </cell>
          <cell r="U193">
            <v>0</v>
          </cell>
          <cell r="V193">
            <v>0</v>
          </cell>
          <cell r="W193">
            <v>0</v>
          </cell>
          <cell r="X193">
            <v>0</v>
          </cell>
          <cell r="Y193">
            <v>0</v>
          </cell>
          <cell r="Z193">
            <v>0</v>
          </cell>
          <cell r="BQ193" t="str">
            <v>mstag:proceedsFromIssuanceAndCashUsedToRepayShortTermBorrowings</v>
          </cell>
          <cell r="BR193">
            <v>6</v>
          </cell>
          <cell r="BS193" t="str">
            <v>ISO4217:USD</v>
          </cell>
          <cell r="BT193" t="b">
            <v>0</v>
          </cell>
          <cell r="BU193" t="b">
            <v>0</v>
          </cell>
        </row>
        <row r="194">
          <cell r="A194" t="str">
            <v>Dividends paid</v>
          </cell>
          <cell r="B194">
            <v>-93</v>
          </cell>
          <cell r="C194">
            <v>-117</v>
          </cell>
          <cell r="D194">
            <v>-118</v>
          </cell>
          <cell r="E194">
            <v>-117</v>
          </cell>
          <cell r="F194">
            <v>-117</v>
          </cell>
          <cell r="G194">
            <v>-140</v>
          </cell>
          <cell r="H194">
            <v>-140</v>
          </cell>
          <cell r="I194">
            <v>-136</v>
          </cell>
          <cell r="J194">
            <v>-136</v>
          </cell>
          <cell r="K194">
            <v>-147</v>
          </cell>
          <cell r="N194">
            <v>-202</v>
          </cell>
          <cell r="O194">
            <v>-219</v>
          </cell>
          <cell r="P194">
            <v>-236</v>
          </cell>
          <cell r="Q194">
            <v>-249</v>
          </cell>
          <cell r="R194">
            <v>-278</v>
          </cell>
          <cell r="S194">
            <v>-314</v>
          </cell>
          <cell r="T194">
            <v>-359</v>
          </cell>
          <cell r="U194">
            <v>-445</v>
          </cell>
          <cell r="V194">
            <v>-533</v>
          </cell>
          <cell r="W194">
            <v>-592.9349501306001</v>
          </cell>
          <cell r="X194">
            <v>-638.54092514366016</v>
          </cell>
          <cell r="Y194">
            <v>-698.63094965802611</v>
          </cell>
          <cell r="Z194">
            <v>-773.87666186382899</v>
          </cell>
          <cell r="BQ194" t="str">
            <v>mstag:cashDividendsPaid</v>
          </cell>
          <cell r="BR194">
            <v>6</v>
          </cell>
          <cell r="BS194" t="str">
            <v>ISO4217:USD</v>
          </cell>
          <cell r="BT194" t="b">
            <v>1</v>
          </cell>
          <cell r="BU194" t="b">
            <v>0</v>
          </cell>
        </row>
        <row r="195">
          <cell r="A195" t="str">
            <v>Purchases/Issuance of common stock</v>
          </cell>
          <cell r="B195">
            <v>-153</v>
          </cell>
          <cell r="C195">
            <v>0</v>
          </cell>
          <cell r="D195">
            <v>-313</v>
          </cell>
          <cell r="E195">
            <v>-39</v>
          </cell>
          <cell r="F195">
            <v>-519</v>
          </cell>
          <cell r="G195">
            <v>-141</v>
          </cell>
          <cell r="H195">
            <v>-387</v>
          </cell>
          <cell r="I195">
            <v>-475</v>
          </cell>
          <cell r="J195">
            <v>-109</v>
          </cell>
          <cell r="K195">
            <v>0</v>
          </cell>
          <cell r="N195">
            <v>-208</v>
          </cell>
          <cell r="O195">
            <v>-113</v>
          </cell>
          <cell r="P195">
            <v>-100</v>
          </cell>
          <cell r="Q195">
            <v>-300</v>
          </cell>
          <cell r="R195">
            <v>0</v>
          </cell>
          <cell r="S195">
            <v>-348</v>
          </cell>
          <cell r="T195">
            <v>-85</v>
          </cell>
          <cell r="U195">
            <v>-505</v>
          </cell>
          <cell r="V195">
            <v>-1522</v>
          </cell>
          <cell r="W195">
            <v>-770</v>
          </cell>
          <cell r="X195">
            <v>-367.5</v>
          </cell>
          <cell r="Y195">
            <v>77.175000000000182</v>
          </cell>
          <cell r="Z195">
            <v>340.34175000000005</v>
          </cell>
          <cell r="BQ195" t="str">
            <v>mstag:proceedsFromIssuanceFundsUsedToRepurchaseCommonStock</v>
          </cell>
          <cell r="BR195">
            <v>6</v>
          </cell>
          <cell r="BS195" t="str">
            <v>ISO4217:USD</v>
          </cell>
          <cell r="BT195" t="b">
            <v>0</v>
          </cell>
          <cell r="BU195" t="b">
            <v>0</v>
          </cell>
        </row>
        <row r="196">
          <cell r="A196" t="str">
            <v>Proceeds from option exercises</v>
          </cell>
          <cell r="B196">
            <v>58</v>
          </cell>
          <cell r="C196">
            <v>44</v>
          </cell>
          <cell r="D196">
            <v>26</v>
          </cell>
          <cell r="E196">
            <v>79</v>
          </cell>
          <cell r="F196">
            <v>30</v>
          </cell>
          <cell r="G196">
            <v>59</v>
          </cell>
          <cell r="H196">
            <v>59</v>
          </cell>
          <cell r="I196">
            <v>-4</v>
          </cell>
          <cell r="J196">
            <v>27</v>
          </cell>
          <cell r="K196">
            <v>3</v>
          </cell>
          <cell r="N196">
            <v>111</v>
          </cell>
          <cell r="O196">
            <v>68</v>
          </cell>
          <cell r="P196">
            <v>49</v>
          </cell>
          <cell r="Q196">
            <v>65</v>
          </cell>
          <cell r="R196">
            <v>169</v>
          </cell>
          <cell r="S196">
            <v>148</v>
          </cell>
          <cell r="T196">
            <v>253</v>
          </cell>
          <cell r="U196">
            <v>207</v>
          </cell>
          <cell r="V196">
            <v>144</v>
          </cell>
          <cell r="W196">
            <v>0</v>
          </cell>
          <cell r="X196">
            <v>0</v>
          </cell>
          <cell r="Y196">
            <v>0</v>
          </cell>
          <cell r="Z196">
            <v>0</v>
          </cell>
          <cell r="BQ196" t="str">
            <v>mstag:proceedsFromIssuanceFundsUsedToRepurchaseCommonStock</v>
          </cell>
          <cell r="BR196">
            <v>6</v>
          </cell>
          <cell r="BS196" t="str">
            <v>ISO4217:USD</v>
          </cell>
          <cell r="BT196" t="b">
            <v>0</v>
          </cell>
          <cell r="BU196" t="b">
            <v>0</v>
          </cell>
        </row>
        <row r="197">
          <cell r="A197" t="str">
            <v>Other</v>
          </cell>
          <cell r="B197">
            <v>-96</v>
          </cell>
          <cell r="C197">
            <v>7</v>
          </cell>
          <cell r="D197">
            <v>16</v>
          </cell>
          <cell r="E197">
            <v>30</v>
          </cell>
          <cell r="F197">
            <v>14</v>
          </cell>
          <cell r="G197">
            <v>8</v>
          </cell>
          <cell r="H197">
            <v>-54</v>
          </cell>
          <cell r="I197">
            <v>-24</v>
          </cell>
          <cell r="J197">
            <v>-1</v>
          </cell>
          <cell r="K197">
            <v>-5</v>
          </cell>
          <cell r="N197">
            <v>0</v>
          </cell>
          <cell r="O197">
            <v>500</v>
          </cell>
          <cell r="P197">
            <v>0</v>
          </cell>
          <cell r="Q197">
            <v>0</v>
          </cell>
          <cell r="R197">
            <v>-46</v>
          </cell>
          <cell r="S197">
            <v>-6</v>
          </cell>
          <cell r="T197">
            <v>152</v>
          </cell>
          <cell r="U197">
            <v>-43</v>
          </cell>
          <cell r="V197">
            <v>-56</v>
          </cell>
          <cell r="W197">
            <v>0</v>
          </cell>
          <cell r="X197">
            <v>0</v>
          </cell>
          <cell r="Y197">
            <v>0</v>
          </cell>
          <cell r="Z197">
            <v>0</v>
          </cell>
          <cell r="BQ197" t="str">
            <v>mstag:otherCashFlow</v>
          </cell>
          <cell r="BR197">
            <v>6</v>
          </cell>
          <cell r="BS197" t="str">
            <v>ISO4217:USD</v>
          </cell>
          <cell r="BT197" t="b">
            <v>0</v>
          </cell>
          <cell r="BU197" t="b">
            <v>0</v>
          </cell>
        </row>
        <row r="198">
          <cell r="A198" t="str">
            <v>Net cash (used) provided by financing activities</v>
          </cell>
          <cell r="B198">
            <v>-284</v>
          </cell>
          <cell r="C198">
            <v>-66</v>
          </cell>
          <cell r="D198">
            <v>-389</v>
          </cell>
          <cell r="E198">
            <v>-47</v>
          </cell>
          <cell r="F198">
            <v>-592</v>
          </cell>
          <cell r="G198">
            <v>-714</v>
          </cell>
          <cell r="H198">
            <v>-672</v>
          </cell>
          <cell r="I198">
            <v>1260</v>
          </cell>
          <cell r="J198">
            <v>-358</v>
          </cell>
          <cell r="K198">
            <v>-116</v>
          </cell>
          <cell r="N198">
            <v>-835</v>
          </cell>
          <cell r="O198">
            <v>908</v>
          </cell>
          <cell r="P198">
            <v>-836</v>
          </cell>
          <cell r="Q198">
            <v>2041</v>
          </cell>
          <cell r="R198">
            <v>-902</v>
          </cell>
          <cell r="S198">
            <v>-520</v>
          </cell>
          <cell r="T198">
            <v>-539</v>
          </cell>
          <cell r="U198">
            <v>-786</v>
          </cell>
          <cell r="V198">
            <v>-718</v>
          </cell>
          <cell r="W198">
            <v>-1383.9349501306001</v>
          </cell>
          <cell r="X198">
            <v>-1006.0409251436602</v>
          </cell>
          <cell r="Y198">
            <v>-621.45594965802593</v>
          </cell>
          <cell r="Z198">
            <v>-433.53491186382894</v>
          </cell>
        </row>
        <row r="200">
          <cell r="A200" t="str">
            <v>Net (decrease) increase in cash and equivalents</v>
          </cell>
          <cell r="B200">
            <v>-112</v>
          </cell>
          <cell r="C200">
            <v>302</v>
          </cell>
          <cell r="D200">
            <v>239</v>
          </cell>
          <cell r="E200">
            <v>858.0000329999998</v>
          </cell>
          <cell r="F200">
            <v>-286</v>
          </cell>
          <cell r="G200">
            <v>135</v>
          </cell>
          <cell r="H200">
            <v>-123</v>
          </cell>
          <cell r="I200">
            <v>-996</v>
          </cell>
          <cell r="J200">
            <v>-495</v>
          </cell>
          <cell r="K200">
            <v>488</v>
          </cell>
          <cell r="N200">
            <v>-95.320999999999913</v>
          </cell>
          <cell r="O200">
            <v>263</v>
          </cell>
          <cell r="P200">
            <v>-112</v>
          </cell>
          <cell r="Q200">
            <v>534</v>
          </cell>
          <cell r="R200">
            <v>115</v>
          </cell>
          <cell r="S200">
            <v>1355</v>
          </cell>
          <cell r="T200">
            <v>-727</v>
          </cell>
          <cell r="U200">
            <v>1287</v>
          </cell>
          <cell r="V200">
            <v>-1270</v>
          </cell>
          <cell r="W200">
            <v>1992.2032682729555</v>
          </cell>
          <cell r="X200">
            <v>1837.8596232833117</v>
          </cell>
          <cell r="Y200">
            <v>2018.7075278570164</v>
          </cell>
          <cell r="Z200">
            <v>2288.3773996563041</v>
          </cell>
        </row>
        <row r="201">
          <cell r="A201" t="str">
            <v>Cash and equivalents at beginning of period</v>
          </cell>
          <cell r="B201">
            <v>1604</v>
          </cell>
          <cell r="C201">
            <v>1492</v>
          </cell>
          <cell r="D201">
            <v>1794</v>
          </cell>
          <cell r="E201">
            <v>2033</v>
          </cell>
          <cell r="F201">
            <v>2891</v>
          </cell>
          <cell r="G201">
            <v>2605</v>
          </cell>
          <cell r="H201">
            <v>2740</v>
          </cell>
          <cell r="I201">
            <v>2617</v>
          </cell>
          <cell r="J201">
            <v>1621</v>
          </cell>
          <cell r="K201">
            <v>1126</v>
          </cell>
          <cell r="N201">
            <v>268.73199999999997</v>
          </cell>
          <cell r="O201">
            <v>176</v>
          </cell>
          <cell r="P201">
            <v>439</v>
          </cell>
          <cell r="Q201">
            <v>327</v>
          </cell>
          <cell r="R201">
            <v>861</v>
          </cell>
          <cell r="S201">
            <v>976</v>
          </cell>
          <cell r="T201">
            <v>2331</v>
          </cell>
          <cell r="U201">
            <v>1604</v>
          </cell>
          <cell r="V201">
            <v>2891</v>
          </cell>
          <cell r="W201">
            <v>1621</v>
          </cell>
          <cell r="X201">
            <v>3613.2032682729555</v>
          </cell>
          <cell r="Y201">
            <v>5451.0628915562675</v>
          </cell>
          <cell r="Z201">
            <v>7469.7704194132839</v>
          </cell>
        </row>
        <row r="202">
          <cell r="A202" t="str">
            <v>Cash and equivalents at end of period</v>
          </cell>
          <cell r="B202">
            <v>1492</v>
          </cell>
          <cell r="C202">
            <v>1794</v>
          </cell>
          <cell r="D202">
            <v>2033</v>
          </cell>
          <cell r="E202">
            <v>2891.0000329999998</v>
          </cell>
          <cell r="F202">
            <v>2605</v>
          </cell>
          <cell r="G202">
            <v>2740</v>
          </cell>
          <cell r="H202">
            <v>2617</v>
          </cell>
          <cell r="I202">
            <v>1621</v>
          </cell>
          <cell r="J202">
            <v>1126</v>
          </cell>
          <cell r="K202">
            <v>1614</v>
          </cell>
          <cell r="N202">
            <v>176</v>
          </cell>
          <cell r="O202">
            <v>439</v>
          </cell>
          <cell r="P202">
            <v>327</v>
          </cell>
          <cell r="Q202">
            <v>861</v>
          </cell>
          <cell r="R202">
            <v>976</v>
          </cell>
          <cell r="S202">
            <v>2331</v>
          </cell>
          <cell r="T202">
            <v>1604</v>
          </cell>
          <cell r="U202">
            <v>2891</v>
          </cell>
          <cell r="V202">
            <v>1621</v>
          </cell>
          <cell r="W202">
            <v>3613.2032682729555</v>
          </cell>
          <cell r="X202">
            <v>5451.0628915562675</v>
          </cell>
          <cell r="Y202">
            <v>7469.7704194132839</v>
          </cell>
          <cell r="Z202">
            <v>9758.1478190695889</v>
          </cell>
        </row>
        <row r="204">
          <cell r="A204" t="str">
            <v>FCF (OpCash -Capex)</v>
          </cell>
          <cell r="B204">
            <v>469</v>
          </cell>
          <cell r="C204">
            <v>292</v>
          </cell>
          <cell r="D204">
            <v>826</v>
          </cell>
          <cell r="E204">
            <v>891.0000329999998</v>
          </cell>
          <cell r="F204">
            <v>346</v>
          </cell>
          <cell r="G204">
            <v>910</v>
          </cell>
          <cell r="H204">
            <v>749</v>
          </cell>
          <cell r="I204">
            <v>629</v>
          </cell>
          <cell r="J204">
            <v>73</v>
          </cell>
          <cell r="K204">
            <v>520</v>
          </cell>
          <cell r="N204">
            <v>781.07900000000006</v>
          </cell>
          <cell r="O204">
            <v>743</v>
          </cell>
          <cell r="P204">
            <v>861</v>
          </cell>
          <cell r="Q204">
            <v>1475</v>
          </cell>
          <cell r="R204">
            <v>1507</v>
          </cell>
          <cell r="S204">
            <v>1771</v>
          </cell>
          <cell r="T204">
            <v>1822</v>
          </cell>
          <cell r="U204">
            <v>2478</v>
          </cell>
          <cell r="V204">
            <v>2634</v>
          </cell>
          <cell r="W204">
            <v>3376.1382184035556</v>
          </cell>
          <cell r="X204">
            <v>2843.9005484269719</v>
          </cell>
          <cell r="Y204">
            <v>2640.1634775150424</v>
          </cell>
          <cell r="Z204">
            <v>2721.9123115201332</v>
          </cell>
        </row>
        <row r="205">
          <cell r="A205" t="str">
            <v>FCF Conversion</v>
          </cell>
          <cell r="B205">
            <v>1.0659090909090911</v>
          </cell>
          <cell r="C205">
            <v>0.56370656370656369</v>
          </cell>
          <cell r="D205">
            <v>1.5183824450489349</v>
          </cell>
          <cell r="E205">
            <v>1.5415224604321089</v>
          </cell>
          <cell r="F205">
            <v>0.60383944153577662</v>
          </cell>
          <cell r="G205">
            <v>1.5016501650165013</v>
          </cell>
          <cell r="H205">
            <v>1.1813880126182965</v>
          </cell>
          <cell r="I205">
            <v>0.99841269841269842</v>
          </cell>
          <cell r="J205">
            <v>0.12304062025956515</v>
          </cell>
          <cell r="K205">
            <v>0.83668543845534993</v>
          </cell>
          <cell r="N205">
            <v>0.96561354145289746</v>
          </cell>
          <cell r="O205">
            <v>0.78791092258748685</v>
          </cell>
          <cell r="P205">
            <v>0.82788461538461533</v>
          </cell>
          <cell r="Q205">
            <v>1.5066394279877426</v>
          </cell>
          <cell r="R205">
            <v>1.26214405360134</v>
          </cell>
          <cell r="S205">
            <v>1.2230662983425415</v>
          </cell>
          <cell r="T205">
            <v>1.0654970760233917</v>
          </cell>
          <cell r="U205">
            <v>1.1913461538461538</v>
          </cell>
          <cell r="V205">
            <v>1.0781825624232502</v>
          </cell>
          <cell r="W205">
            <v>1.4330381683905913</v>
          </cell>
          <cell r="X205">
            <v>1.179662633222621</v>
          </cell>
          <cell r="Y205">
            <v>1.0435695782233503</v>
          </cell>
          <cell r="Z205">
            <v>1.0223436613940289</v>
          </cell>
        </row>
        <row r="207">
          <cell r="A207" t="str">
            <v>Income taxes</v>
          </cell>
          <cell r="B207">
            <v>26</v>
          </cell>
          <cell r="C207">
            <v>339</v>
          </cell>
          <cell r="D207">
            <v>238</v>
          </cell>
          <cell r="E207">
            <v>156</v>
          </cell>
          <cell r="F207">
            <v>41</v>
          </cell>
          <cell r="G207">
            <v>475</v>
          </cell>
          <cell r="H207">
            <v>212</v>
          </cell>
          <cell r="I207">
            <v>113</v>
          </cell>
          <cell r="J207">
            <v>41</v>
          </cell>
          <cell r="K207">
            <v>475</v>
          </cell>
          <cell r="Q207">
            <v>268</v>
          </cell>
          <cell r="R207">
            <v>304</v>
          </cell>
          <cell r="S207">
            <v>522</v>
          </cell>
          <cell r="T207">
            <v>743</v>
          </cell>
          <cell r="U207">
            <v>759</v>
          </cell>
          <cell r="V207">
            <v>841</v>
          </cell>
        </row>
        <row r="208">
          <cell r="A208" t="str">
            <v>Interest</v>
          </cell>
          <cell r="B208">
            <v>33</v>
          </cell>
          <cell r="C208">
            <v>33</v>
          </cell>
          <cell r="D208">
            <v>50</v>
          </cell>
          <cell r="E208">
            <v>15</v>
          </cell>
          <cell r="F208">
            <v>35</v>
          </cell>
          <cell r="G208">
            <v>31</v>
          </cell>
          <cell r="H208">
            <v>34</v>
          </cell>
          <cell r="I208">
            <v>33</v>
          </cell>
          <cell r="N208">
            <v>72</v>
          </cell>
          <cell r="O208">
            <v>68</v>
          </cell>
          <cell r="P208">
            <v>58</v>
          </cell>
          <cell r="Q208">
            <v>108</v>
          </cell>
          <cell r="R208">
            <v>157</v>
          </cell>
          <cell r="S208">
            <v>154</v>
          </cell>
          <cell r="T208">
            <v>156</v>
          </cell>
          <cell r="U208">
            <v>131</v>
          </cell>
          <cell r="V208">
            <v>133</v>
          </cell>
        </row>
        <row r="210">
          <cell r="A210" t="str">
            <v>General Dynamics</v>
          </cell>
        </row>
        <row r="211">
          <cell r="A211" t="str">
            <v>Cash Flow Model</v>
          </cell>
        </row>
        <row r="212">
          <cell r="A212" t="str">
            <v>($USD in Millions, Except EPS)</v>
          </cell>
          <cell r="B212">
            <v>2007</v>
          </cell>
          <cell r="F212" t="str">
            <v>2008A</v>
          </cell>
          <cell r="J212" t="str">
            <v>2009E</v>
          </cell>
        </row>
        <row r="213">
          <cell r="B213" t="str">
            <v>Q1</v>
          </cell>
          <cell r="C213" t="str">
            <v>Q2</v>
          </cell>
          <cell r="D213" t="str">
            <v>Q3</v>
          </cell>
          <cell r="E213" t="str">
            <v>Q4</v>
          </cell>
          <cell r="F213" t="str">
            <v>Q1</v>
          </cell>
          <cell r="G213" t="str">
            <v>Q2</v>
          </cell>
          <cell r="H213" t="str">
            <v>Q3</v>
          </cell>
          <cell r="I213" t="str">
            <v>Q4</v>
          </cell>
          <cell r="J213" t="str">
            <v>Q1</v>
          </cell>
          <cell r="K213" t="str">
            <v>Q2A</v>
          </cell>
          <cell r="L213" t="str">
            <v>Q3E</v>
          </cell>
          <cell r="M213" t="str">
            <v>Q4E</v>
          </cell>
          <cell r="N213">
            <v>2000</v>
          </cell>
          <cell r="O213">
            <v>2001</v>
          </cell>
          <cell r="P213">
            <v>2002</v>
          </cell>
          <cell r="Q213">
            <v>2003</v>
          </cell>
          <cell r="R213">
            <v>2004</v>
          </cell>
          <cell r="S213">
            <v>2005</v>
          </cell>
          <cell r="T213">
            <v>2006</v>
          </cell>
          <cell r="U213">
            <v>2007</v>
          </cell>
          <cell r="V213" t="str">
            <v>2008A</v>
          </cell>
          <cell r="W213" t="str">
            <v>2009E</v>
          </cell>
          <cell r="X213" t="str">
            <v>2010E</v>
          </cell>
          <cell r="Y213" t="str">
            <v>2011E</v>
          </cell>
          <cell r="Z213" t="str">
            <v>2012E</v>
          </cell>
          <cell r="AA213" t="str">
            <v>Comments</v>
          </cell>
        </row>
        <row r="214">
          <cell r="A214" t="str">
            <v>Operations</v>
          </cell>
        </row>
        <row r="215">
          <cell r="A215" t="str">
            <v>Net Income</v>
          </cell>
          <cell r="B215">
            <v>434</v>
          </cell>
          <cell r="C215">
            <v>513</v>
          </cell>
          <cell r="D215">
            <v>546</v>
          </cell>
          <cell r="E215">
            <v>579.0000329999998</v>
          </cell>
          <cell r="F215">
            <v>572</v>
          </cell>
          <cell r="G215">
            <v>641</v>
          </cell>
          <cell r="H215">
            <v>634</v>
          </cell>
          <cell r="I215">
            <v>612</v>
          </cell>
          <cell r="J215">
            <v>590</v>
          </cell>
          <cell r="K215">
            <v>618</v>
          </cell>
          <cell r="N215">
            <v>808.89400000000001</v>
          </cell>
          <cell r="O215">
            <v>942.99999999999989</v>
          </cell>
          <cell r="P215">
            <v>1040</v>
          </cell>
          <cell r="Q215">
            <v>1004</v>
          </cell>
          <cell r="R215">
            <v>1227</v>
          </cell>
          <cell r="S215">
            <v>1461</v>
          </cell>
          <cell r="T215">
            <v>1856</v>
          </cell>
          <cell r="U215">
            <v>2080</v>
          </cell>
          <cell r="V215">
            <v>2459</v>
          </cell>
          <cell r="W215">
            <v>2355.9304231199999</v>
          </cell>
          <cell r="X215">
            <v>2410.7744607099739</v>
          </cell>
          <cell r="Y215">
            <v>2529.9352650829965</v>
          </cell>
          <cell r="Z215">
            <v>2662.4240109325247</v>
          </cell>
        </row>
        <row r="216">
          <cell r="A216" t="str">
            <v>Depreciation/Depletion</v>
          </cell>
          <cell r="B216">
            <v>62</v>
          </cell>
          <cell r="C216">
            <v>70</v>
          </cell>
          <cell r="D216">
            <v>69</v>
          </cell>
          <cell r="E216">
            <v>77</v>
          </cell>
          <cell r="F216">
            <v>69</v>
          </cell>
          <cell r="G216">
            <v>77</v>
          </cell>
          <cell r="H216">
            <v>77</v>
          </cell>
          <cell r="I216">
            <v>78</v>
          </cell>
          <cell r="J216">
            <v>85</v>
          </cell>
          <cell r="K216">
            <v>86</v>
          </cell>
          <cell r="N216">
            <v>145</v>
          </cell>
          <cell r="O216">
            <v>164</v>
          </cell>
          <cell r="P216">
            <v>177</v>
          </cell>
          <cell r="Q216">
            <v>204</v>
          </cell>
          <cell r="R216">
            <v>213</v>
          </cell>
          <cell r="S216">
            <v>226</v>
          </cell>
          <cell r="T216">
            <v>251</v>
          </cell>
          <cell r="U216">
            <v>278</v>
          </cell>
          <cell r="V216">
            <v>301</v>
          </cell>
          <cell r="W216">
            <v>368.125</v>
          </cell>
          <cell r="X216">
            <v>402.5</v>
          </cell>
          <cell r="Y216">
            <v>440</v>
          </cell>
          <cell r="Z216">
            <v>477.5</v>
          </cell>
        </row>
        <row r="217">
          <cell r="A217" t="str">
            <v>Intang/Goodwill Amort</v>
          </cell>
          <cell r="B217">
            <v>39</v>
          </cell>
          <cell r="C217">
            <v>36</v>
          </cell>
          <cell r="D217">
            <v>36</v>
          </cell>
          <cell r="E217">
            <v>34</v>
          </cell>
          <cell r="F217">
            <v>33</v>
          </cell>
          <cell r="G217">
            <v>34</v>
          </cell>
          <cell r="H217">
            <v>36</v>
          </cell>
          <cell r="I217">
            <v>43</v>
          </cell>
          <cell r="J217">
            <v>54</v>
          </cell>
          <cell r="K217">
            <v>54</v>
          </cell>
          <cell r="N217">
            <v>81</v>
          </cell>
          <cell r="O217">
            <v>100</v>
          </cell>
          <cell r="P217">
            <v>31</v>
          </cell>
          <cell r="Q217">
            <v>66</v>
          </cell>
          <cell r="R217">
            <v>93</v>
          </cell>
          <cell r="S217">
            <v>101</v>
          </cell>
          <cell r="T217">
            <v>133</v>
          </cell>
          <cell r="U217">
            <v>145</v>
          </cell>
          <cell r="V217">
            <v>146</v>
          </cell>
          <cell r="W217">
            <v>130</v>
          </cell>
          <cell r="X217">
            <v>130</v>
          </cell>
          <cell r="Y217">
            <v>130</v>
          </cell>
          <cell r="Z217">
            <v>130</v>
          </cell>
          <cell r="AA217" t="str">
            <v>- GTE=$20-25</v>
          </cell>
        </row>
        <row r="218">
          <cell r="A218" t="str">
            <v>Pension and OPEB</v>
          </cell>
          <cell r="N218">
            <v>18</v>
          </cell>
          <cell r="O218">
            <v>25</v>
          </cell>
          <cell r="P218">
            <v>28</v>
          </cell>
          <cell r="AA218" t="str">
            <v>- 54% of plan in USG sec//26% stock/14% corp bonds//6% mortgages</v>
          </cell>
        </row>
        <row r="219">
          <cell r="A219" t="str">
            <v>Capex</v>
          </cell>
          <cell r="B219">
            <v>-53</v>
          </cell>
          <cell r="C219">
            <v>-113</v>
          </cell>
          <cell r="D219">
            <v>-128</v>
          </cell>
          <cell r="E219">
            <v>-180</v>
          </cell>
          <cell r="F219">
            <v>-85</v>
          </cell>
          <cell r="G219">
            <v>-115</v>
          </cell>
          <cell r="H219">
            <v>-114</v>
          </cell>
          <cell r="I219">
            <v>-176</v>
          </cell>
          <cell r="J219">
            <v>-81</v>
          </cell>
          <cell r="K219">
            <v>-89</v>
          </cell>
          <cell r="N219">
            <v>-288</v>
          </cell>
          <cell r="O219">
            <v>-356</v>
          </cell>
          <cell r="P219">
            <v>-262</v>
          </cell>
          <cell r="Q219">
            <v>-220</v>
          </cell>
          <cell r="R219">
            <v>-253</v>
          </cell>
          <cell r="S219">
            <v>-262</v>
          </cell>
          <cell r="T219">
            <v>-334</v>
          </cell>
          <cell r="U219">
            <v>-474</v>
          </cell>
          <cell r="V219">
            <v>-490</v>
          </cell>
          <cell r="W219">
            <v>-550</v>
          </cell>
          <cell r="X219">
            <v>-550</v>
          </cell>
          <cell r="Y219">
            <v>-600</v>
          </cell>
          <cell r="Z219">
            <v>-600</v>
          </cell>
          <cell r="AA219" t="str">
            <v>- BIW cpx total $200MM</v>
          </cell>
        </row>
        <row r="220">
          <cell r="A220" t="str">
            <v>Deferred Taxes</v>
          </cell>
          <cell r="B220">
            <v>24</v>
          </cell>
          <cell r="C220">
            <v>29</v>
          </cell>
          <cell r="D220">
            <v>-3</v>
          </cell>
          <cell r="E220">
            <v>72</v>
          </cell>
          <cell r="F220">
            <v>-1</v>
          </cell>
          <cell r="G220">
            <v>27</v>
          </cell>
          <cell r="H220">
            <v>57</v>
          </cell>
          <cell r="I220">
            <v>113</v>
          </cell>
          <cell r="J220">
            <v>40</v>
          </cell>
          <cell r="K220">
            <v>46</v>
          </cell>
          <cell r="N220">
            <v>128</v>
          </cell>
          <cell r="O220">
            <v>114</v>
          </cell>
          <cell r="P220">
            <v>177</v>
          </cell>
          <cell r="Q220">
            <v>137</v>
          </cell>
          <cell r="R220">
            <v>279</v>
          </cell>
          <cell r="S220">
            <v>141</v>
          </cell>
          <cell r="T220">
            <v>45</v>
          </cell>
          <cell r="U220">
            <v>122</v>
          </cell>
          <cell r="V220">
            <v>196</v>
          </cell>
          <cell r="W220">
            <v>0</v>
          </cell>
          <cell r="X220">
            <v>0</v>
          </cell>
          <cell r="Y220">
            <v>0</v>
          </cell>
          <cell r="Z220">
            <v>0</v>
          </cell>
        </row>
        <row r="221">
          <cell r="A221" t="str">
            <v>Dividends</v>
          </cell>
          <cell r="B221">
            <v>-93</v>
          </cell>
          <cell r="C221">
            <v>-117</v>
          </cell>
          <cell r="D221">
            <v>-118</v>
          </cell>
          <cell r="E221">
            <v>-117</v>
          </cell>
          <cell r="F221">
            <v>-117</v>
          </cell>
          <cell r="G221">
            <v>-140</v>
          </cell>
          <cell r="H221">
            <v>-140</v>
          </cell>
          <cell r="I221">
            <v>-136</v>
          </cell>
          <cell r="J221">
            <v>-136</v>
          </cell>
          <cell r="K221">
            <v>-147</v>
          </cell>
          <cell r="N221">
            <v>-202</v>
          </cell>
          <cell r="O221">
            <v>-219</v>
          </cell>
          <cell r="P221">
            <v>-236</v>
          </cell>
          <cell r="Q221">
            <v>-249</v>
          </cell>
          <cell r="R221">
            <v>-278</v>
          </cell>
          <cell r="S221">
            <v>-314</v>
          </cell>
          <cell r="T221">
            <v>-359</v>
          </cell>
          <cell r="U221">
            <v>-445</v>
          </cell>
          <cell r="V221">
            <v>-533</v>
          </cell>
          <cell r="W221">
            <v>-592.9349501306001</v>
          </cell>
          <cell r="X221">
            <v>-638.54092514366016</v>
          </cell>
          <cell r="Y221">
            <v>-698.63094965802611</v>
          </cell>
          <cell r="Z221">
            <v>-773.87666186382899</v>
          </cell>
        </row>
        <row r="222">
          <cell r="A222" t="str">
            <v>Receivables</v>
          </cell>
          <cell r="B222">
            <v>74</v>
          </cell>
          <cell r="C222">
            <v>-260</v>
          </cell>
          <cell r="D222">
            <v>107</v>
          </cell>
          <cell r="E222">
            <v>-440</v>
          </cell>
          <cell r="F222">
            <v>-97</v>
          </cell>
          <cell r="G222">
            <v>14</v>
          </cell>
          <cell r="H222">
            <v>-124</v>
          </cell>
          <cell r="I222">
            <v>-179</v>
          </cell>
          <cell r="J222">
            <v>-292</v>
          </cell>
          <cell r="K222">
            <v>143</v>
          </cell>
          <cell r="O222">
            <v>-25</v>
          </cell>
          <cell r="P222">
            <v>-95</v>
          </cell>
          <cell r="Q222">
            <v>61</v>
          </cell>
          <cell r="R222">
            <v>-65</v>
          </cell>
          <cell r="S222">
            <v>-555</v>
          </cell>
          <cell r="T222">
            <v>-160</v>
          </cell>
          <cell r="U222">
            <v>-519</v>
          </cell>
          <cell r="V222">
            <v>-386</v>
          </cell>
          <cell r="W222">
            <v>399.55555555555566</v>
          </cell>
          <cell r="X222">
            <v>-45.333333333333485</v>
          </cell>
          <cell r="Y222">
            <v>-140.72222222222217</v>
          </cell>
          <cell r="Z222">
            <v>-215.33333333333303</v>
          </cell>
        </row>
        <row r="223">
          <cell r="A223" t="str">
            <v>Contracts in Progress</v>
          </cell>
          <cell r="B223">
            <v>-119</v>
          </cell>
          <cell r="C223">
            <v>-69</v>
          </cell>
          <cell r="D223">
            <v>69</v>
          </cell>
          <cell r="E223">
            <v>-316</v>
          </cell>
          <cell r="F223">
            <v>-41</v>
          </cell>
          <cell r="G223">
            <v>-122</v>
          </cell>
          <cell r="H223">
            <v>145</v>
          </cell>
          <cell r="I223">
            <v>91</v>
          </cell>
          <cell r="J223">
            <v>64</v>
          </cell>
          <cell r="K223">
            <v>-141</v>
          </cell>
          <cell r="O223">
            <v>-225</v>
          </cell>
          <cell r="P223">
            <v>-178</v>
          </cell>
          <cell r="Q223">
            <v>-452</v>
          </cell>
          <cell r="R223">
            <v>-281</v>
          </cell>
          <cell r="S223">
            <v>-196</v>
          </cell>
          <cell r="T223">
            <v>-390</v>
          </cell>
          <cell r="U223">
            <v>-435</v>
          </cell>
          <cell r="V223">
            <v>73</v>
          </cell>
          <cell r="W223">
            <v>-1109</v>
          </cell>
          <cell r="X223">
            <v>-86</v>
          </cell>
          <cell r="Y223">
            <v>-138</v>
          </cell>
          <cell r="Z223">
            <v>-196</v>
          </cell>
        </row>
        <row r="224">
          <cell r="A224" t="str">
            <v>Inventories</v>
          </cell>
          <cell r="B224">
            <v>-92</v>
          </cell>
          <cell r="C224">
            <v>-8</v>
          </cell>
          <cell r="D224">
            <v>30</v>
          </cell>
          <cell r="E224">
            <v>-65</v>
          </cell>
          <cell r="F224">
            <v>-42</v>
          </cell>
          <cell r="G224">
            <v>-31</v>
          </cell>
          <cell r="H224">
            <v>-52</v>
          </cell>
          <cell r="I224">
            <v>-58</v>
          </cell>
          <cell r="J224">
            <v>-64</v>
          </cell>
          <cell r="K224">
            <v>-51</v>
          </cell>
          <cell r="O224">
            <v>-223</v>
          </cell>
          <cell r="P224">
            <v>-141</v>
          </cell>
          <cell r="Q224">
            <v>189</v>
          </cell>
          <cell r="R224">
            <v>-62</v>
          </cell>
          <cell r="S224">
            <v>-122</v>
          </cell>
          <cell r="T224">
            <v>-237</v>
          </cell>
          <cell r="U224">
            <v>-135</v>
          </cell>
          <cell r="V224">
            <v>-183</v>
          </cell>
          <cell r="W224">
            <v>-71</v>
          </cell>
          <cell r="X224">
            <v>-20</v>
          </cell>
          <cell r="Y224">
            <v>-320</v>
          </cell>
          <cell r="Z224">
            <v>-520</v>
          </cell>
        </row>
        <row r="225">
          <cell r="A225" t="str">
            <v>Other Current Assets</v>
          </cell>
          <cell r="B225">
            <v>0</v>
          </cell>
          <cell r="C225">
            <v>-38</v>
          </cell>
          <cell r="D225">
            <v>38</v>
          </cell>
          <cell r="E225">
            <v>0</v>
          </cell>
          <cell r="F225">
            <v>0</v>
          </cell>
          <cell r="G225">
            <v>0</v>
          </cell>
          <cell r="H225">
            <v>0</v>
          </cell>
          <cell r="I225">
            <v>0</v>
          </cell>
          <cell r="J225">
            <v>0</v>
          </cell>
          <cell r="K225">
            <v>0</v>
          </cell>
          <cell r="O225">
            <v>0</v>
          </cell>
          <cell r="P225">
            <v>0</v>
          </cell>
          <cell r="Q225">
            <v>0</v>
          </cell>
          <cell r="R225">
            <v>0</v>
          </cell>
          <cell r="S225">
            <v>0</v>
          </cell>
          <cell r="T225">
            <v>0</v>
          </cell>
          <cell r="U225">
            <v>0</v>
          </cell>
          <cell r="V225">
            <v>0</v>
          </cell>
          <cell r="W225">
            <v>-98.199841272000072</v>
          </cell>
          <cell r="X225">
            <v>-108.02792349956826</v>
          </cell>
          <cell r="Y225">
            <v>0</v>
          </cell>
          <cell r="Z225">
            <v>0</v>
          </cell>
        </row>
        <row r="226">
          <cell r="A226" t="str">
            <v>Accounts Payable</v>
          </cell>
          <cell r="B226">
            <v>-54</v>
          </cell>
          <cell r="C226">
            <v>-105</v>
          </cell>
          <cell r="D226">
            <v>107</v>
          </cell>
          <cell r="E226">
            <v>392</v>
          </cell>
          <cell r="F226">
            <v>-231</v>
          </cell>
          <cell r="G226">
            <v>24</v>
          </cell>
          <cell r="H226">
            <v>-52</v>
          </cell>
          <cell r="I226">
            <v>221</v>
          </cell>
          <cell r="J226">
            <v>151</v>
          </cell>
          <cell r="K226">
            <v>-169</v>
          </cell>
          <cell r="O226">
            <v>256</v>
          </cell>
          <cell r="P226">
            <v>132</v>
          </cell>
          <cell r="Q226">
            <v>324</v>
          </cell>
          <cell r="R226">
            <v>164</v>
          </cell>
          <cell r="S226">
            <v>187</v>
          </cell>
          <cell r="T226">
            <v>180</v>
          </cell>
          <cell r="U226">
            <v>340</v>
          </cell>
          <cell r="V226">
            <v>-38</v>
          </cell>
          <cell r="W226">
            <v>384.5</v>
          </cell>
          <cell r="X226">
            <v>41.759999999999764</v>
          </cell>
          <cell r="Y226">
            <v>129.63000000000011</v>
          </cell>
          <cell r="Z226">
            <v>198.36000000000013</v>
          </cell>
        </row>
        <row r="227">
          <cell r="A227" t="str">
            <v>Other Current Liabilities</v>
          </cell>
          <cell r="B227">
            <v>145</v>
          </cell>
          <cell r="C227">
            <v>238</v>
          </cell>
          <cell r="D227">
            <v>-60</v>
          </cell>
          <cell r="E227">
            <v>734</v>
          </cell>
          <cell r="F227">
            <v>168</v>
          </cell>
          <cell r="G227">
            <v>357</v>
          </cell>
          <cell r="H227">
            <v>142</v>
          </cell>
          <cell r="I227">
            <v>-125</v>
          </cell>
          <cell r="J227">
            <v>-480</v>
          </cell>
          <cell r="K227">
            <v>20</v>
          </cell>
          <cell r="O227">
            <v>-28</v>
          </cell>
          <cell r="P227">
            <v>-49</v>
          </cell>
          <cell r="Q227">
            <v>188</v>
          </cell>
          <cell r="R227">
            <v>235</v>
          </cell>
          <cell r="S227">
            <v>813</v>
          </cell>
          <cell r="T227">
            <v>450</v>
          </cell>
          <cell r="U227">
            <v>1049</v>
          </cell>
          <cell r="V227">
            <v>542</v>
          </cell>
          <cell r="W227">
            <v>1566.2270809999998</v>
          </cell>
          <cell r="X227">
            <v>668.22734454989995</v>
          </cell>
          <cell r="Y227">
            <v>609.32043465426796</v>
          </cell>
          <cell r="Z227">
            <v>784.96163392094161</v>
          </cell>
        </row>
        <row r="228">
          <cell r="A228" t="str">
            <v>Total W.C.</v>
          </cell>
          <cell r="B228">
            <v>-46</v>
          </cell>
          <cell r="C228">
            <v>-242</v>
          </cell>
          <cell r="D228">
            <v>291</v>
          </cell>
          <cell r="E228">
            <v>305</v>
          </cell>
          <cell r="F228">
            <v>-243</v>
          </cell>
          <cell r="G228">
            <v>242</v>
          </cell>
          <cell r="H228">
            <v>59</v>
          </cell>
          <cell r="I228">
            <v>-50</v>
          </cell>
          <cell r="J228">
            <v>-621</v>
          </cell>
          <cell r="K228">
            <v>-198</v>
          </cell>
          <cell r="N228">
            <v>-112</v>
          </cell>
          <cell r="O228">
            <v>-245</v>
          </cell>
          <cell r="P228">
            <v>-331</v>
          </cell>
          <cell r="Q228">
            <v>310</v>
          </cell>
          <cell r="R228">
            <v>-9</v>
          </cell>
          <cell r="S228">
            <v>127</v>
          </cell>
          <cell r="T228">
            <v>-157</v>
          </cell>
          <cell r="U228">
            <v>300</v>
          </cell>
          <cell r="V228">
            <v>8</v>
          </cell>
          <cell r="W228">
            <v>1072.0827952835552</v>
          </cell>
          <cell r="X228">
            <v>450.62608771699797</v>
          </cell>
          <cell r="Y228">
            <v>140.22821243204589</v>
          </cell>
          <cell r="Z228">
            <v>51.988300587608705</v>
          </cell>
        </row>
        <row r="229">
          <cell r="A229" t="str">
            <v>- subtotal</v>
          </cell>
          <cell r="B229">
            <v>367</v>
          </cell>
          <cell r="C229">
            <v>176</v>
          </cell>
          <cell r="D229">
            <v>693</v>
          </cell>
          <cell r="E229">
            <v>770.0000329999998</v>
          </cell>
          <cell r="F229">
            <v>228</v>
          </cell>
          <cell r="G229">
            <v>766</v>
          </cell>
          <cell r="H229">
            <v>609</v>
          </cell>
          <cell r="I229">
            <v>484</v>
          </cell>
          <cell r="J229">
            <v>-69</v>
          </cell>
          <cell r="K229">
            <v>370</v>
          </cell>
          <cell r="N229">
            <v>578.89400000000001</v>
          </cell>
          <cell r="O229">
            <v>526</v>
          </cell>
          <cell r="P229">
            <v>624</v>
          </cell>
          <cell r="Q229">
            <v>1252</v>
          </cell>
          <cell r="R229">
            <v>1272</v>
          </cell>
          <cell r="S229">
            <v>1480</v>
          </cell>
          <cell r="T229">
            <v>1435</v>
          </cell>
          <cell r="U229">
            <v>2006</v>
          </cell>
          <cell r="V229">
            <v>2087</v>
          </cell>
          <cell r="W229">
            <v>2783.203268272955</v>
          </cell>
          <cell r="X229">
            <v>2205.3596232833115</v>
          </cell>
          <cell r="Y229">
            <v>1941.5325278570162</v>
          </cell>
          <cell r="Z229">
            <v>1948.0356496563045</v>
          </cell>
        </row>
        <row r="230">
          <cell r="A230" t="str">
            <v>Non-Opns/Discretionary</v>
          </cell>
        </row>
        <row r="231">
          <cell r="A231" t="str">
            <v>Real Estate &amp; Asset Sales</v>
          </cell>
          <cell r="B231">
            <v>0</v>
          </cell>
          <cell r="C231">
            <v>93</v>
          </cell>
          <cell r="D231">
            <v>-93</v>
          </cell>
          <cell r="E231">
            <v>0</v>
          </cell>
          <cell r="F231">
            <v>31</v>
          </cell>
          <cell r="G231">
            <v>-1</v>
          </cell>
          <cell r="H231">
            <v>0</v>
          </cell>
          <cell r="I231">
            <v>4</v>
          </cell>
          <cell r="J231">
            <v>1</v>
          </cell>
          <cell r="K231">
            <v>-1</v>
          </cell>
          <cell r="N231">
            <v>33</v>
          </cell>
          <cell r="O231">
            <v>96</v>
          </cell>
          <cell r="P231">
            <v>133</v>
          </cell>
          <cell r="Q231">
            <v>34</v>
          </cell>
          <cell r="R231">
            <v>24</v>
          </cell>
          <cell r="S231">
            <v>361</v>
          </cell>
          <cell r="T231">
            <v>380</v>
          </cell>
          <cell r="U231">
            <v>0</v>
          </cell>
          <cell r="V231">
            <v>34</v>
          </cell>
          <cell r="W231">
            <v>0</v>
          </cell>
          <cell r="X231">
            <v>0</v>
          </cell>
          <cell r="Y231">
            <v>0</v>
          </cell>
          <cell r="Z231">
            <v>0</v>
          </cell>
        </row>
        <row r="232">
          <cell r="A232" t="str">
            <v>R&amp;D Tax refund</v>
          </cell>
          <cell r="B232">
            <v>0</v>
          </cell>
          <cell r="C232">
            <v>0</v>
          </cell>
          <cell r="N232">
            <v>0</v>
          </cell>
          <cell r="O232">
            <v>0</v>
          </cell>
          <cell r="P232">
            <v>0</v>
          </cell>
          <cell r="Q232">
            <v>0</v>
          </cell>
          <cell r="R232">
            <v>0</v>
          </cell>
          <cell r="S232">
            <v>0</v>
          </cell>
          <cell r="T232">
            <v>0</v>
          </cell>
          <cell r="U232">
            <v>0</v>
          </cell>
          <cell r="V232">
            <v>0</v>
          </cell>
          <cell r="W232">
            <v>0</v>
          </cell>
          <cell r="X232">
            <v>0</v>
          </cell>
          <cell r="Y232">
            <v>0</v>
          </cell>
          <cell r="Z232">
            <v>0</v>
          </cell>
        </row>
        <row r="233">
          <cell r="A233" t="str">
            <v>Acquis./Divests</v>
          </cell>
          <cell r="B233">
            <v>-298</v>
          </cell>
          <cell r="C233">
            <v>-1</v>
          </cell>
          <cell r="D233">
            <v>0</v>
          </cell>
          <cell r="E233">
            <v>-31</v>
          </cell>
          <cell r="F233">
            <v>-65</v>
          </cell>
          <cell r="G233">
            <v>-1</v>
          </cell>
          <cell r="H233">
            <v>-237</v>
          </cell>
          <cell r="I233">
            <v>-2921</v>
          </cell>
          <cell r="J233">
            <v>-168</v>
          </cell>
          <cell r="K233">
            <v>3</v>
          </cell>
          <cell r="N233">
            <v>-71</v>
          </cell>
          <cell r="O233">
            <v>-1451</v>
          </cell>
          <cell r="P233">
            <v>-275</v>
          </cell>
          <cell r="Q233">
            <v>-3044</v>
          </cell>
          <cell r="R233">
            <v>-543</v>
          </cell>
          <cell r="S233">
            <v>-277</v>
          </cell>
          <cell r="T233">
            <v>-2342</v>
          </cell>
          <cell r="U233">
            <v>-330</v>
          </cell>
          <cell r="V233">
            <v>-3224</v>
          </cell>
          <cell r="W233">
            <v>0</v>
          </cell>
          <cell r="X233">
            <v>0</v>
          </cell>
          <cell r="Y233">
            <v>0</v>
          </cell>
          <cell r="Z233">
            <v>0</v>
          </cell>
          <cell r="AA233" t="str">
            <v>- VNX deal @ $35/sh, GM Def</v>
          </cell>
        </row>
        <row r="234">
          <cell r="A234" t="str">
            <v>Stock Repurchase</v>
          </cell>
          <cell r="B234">
            <v>-95</v>
          </cell>
          <cell r="C234">
            <v>44</v>
          </cell>
          <cell r="D234">
            <v>-287</v>
          </cell>
          <cell r="E234">
            <v>40</v>
          </cell>
          <cell r="F234">
            <v>-489</v>
          </cell>
          <cell r="G234">
            <v>-82</v>
          </cell>
          <cell r="H234">
            <v>-328</v>
          </cell>
          <cell r="I234">
            <v>-479</v>
          </cell>
          <cell r="J234">
            <v>-82</v>
          </cell>
          <cell r="K234">
            <v>3</v>
          </cell>
          <cell r="N234">
            <v>-97</v>
          </cell>
          <cell r="O234">
            <v>-45</v>
          </cell>
          <cell r="P234">
            <v>-51</v>
          </cell>
          <cell r="Q234">
            <v>-235</v>
          </cell>
          <cell r="R234">
            <v>169</v>
          </cell>
          <cell r="S234">
            <v>-200</v>
          </cell>
          <cell r="T234">
            <v>168</v>
          </cell>
          <cell r="U234">
            <v>-298</v>
          </cell>
          <cell r="V234">
            <v>-1378</v>
          </cell>
          <cell r="W234">
            <v>-770</v>
          </cell>
          <cell r="X234">
            <v>-367.5</v>
          </cell>
          <cell r="Y234">
            <v>77.175000000000182</v>
          </cell>
          <cell r="Z234">
            <v>340.34175000000005</v>
          </cell>
        </row>
        <row r="235">
          <cell r="A235" t="str">
            <v>Securities sales (purchases)</v>
          </cell>
          <cell r="B235">
            <v>0</v>
          </cell>
          <cell r="C235">
            <v>0</v>
          </cell>
          <cell r="D235">
            <v>-213</v>
          </cell>
          <cell r="E235">
            <v>34</v>
          </cell>
          <cell r="F235">
            <v>-5</v>
          </cell>
          <cell r="G235">
            <v>-56</v>
          </cell>
          <cell r="H235">
            <v>37</v>
          </cell>
          <cell r="I235">
            <v>41</v>
          </cell>
          <cell r="J235">
            <v>-37</v>
          </cell>
          <cell r="K235">
            <v>84</v>
          </cell>
          <cell r="N235">
            <v>6</v>
          </cell>
          <cell r="O235">
            <v>-3</v>
          </cell>
          <cell r="P235">
            <v>-2</v>
          </cell>
          <cell r="Q235">
            <v>1</v>
          </cell>
          <cell r="R235">
            <v>0</v>
          </cell>
          <cell r="S235">
            <v>0</v>
          </cell>
          <cell r="T235">
            <v>0</v>
          </cell>
          <cell r="U235">
            <v>-179</v>
          </cell>
          <cell r="V235">
            <v>17</v>
          </cell>
          <cell r="W235">
            <v>0</v>
          </cell>
          <cell r="X235">
            <v>0</v>
          </cell>
          <cell r="Y235">
            <v>0</v>
          </cell>
          <cell r="Z235">
            <v>0</v>
          </cell>
        </row>
        <row r="236">
          <cell r="A236" t="str">
            <v>A-12/Restruct.</v>
          </cell>
          <cell r="B236">
            <v>0</v>
          </cell>
          <cell r="C236">
            <v>0</v>
          </cell>
          <cell r="D236">
            <v>0</v>
          </cell>
          <cell r="E236">
            <v>0</v>
          </cell>
          <cell r="F236">
            <v>0</v>
          </cell>
          <cell r="G236">
            <v>0</v>
          </cell>
          <cell r="H236">
            <v>0</v>
          </cell>
          <cell r="I236">
            <v>0</v>
          </cell>
          <cell r="J236">
            <v>0</v>
          </cell>
          <cell r="K236">
            <v>0</v>
          </cell>
          <cell r="N236">
            <v>-6</v>
          </cell>
          <cell r="O236">
            <v>-6</v>
          </cell>
          <cell r="P236">
            <v>-6.4</v>
          </cell>
          <cell r="Q236">
            <v>0</v>
          </cell>
          <cell r="R236">
            <v>0</v>
          </cell>
          <cell r="S236">
            <v>0</v>
          </cell>
          <cell r="T236">
            <v>0</v>
          </cell>
          <cell r="U236">
            <v>0</v>
          </cell>
          <cell r="V236">
            <v>0</v>
          </cell>
          <cell r="W236">
            <v>0</v>
          </cell>
          <cell r="X236">
            <v>0</v>
          </cell>
          <cell r="Y236">
            <v>0</v>
          </cell>
          <cell r="Z236">
            <v>0</v>
          </cell>
          <cell r="AA236" t="str">
            <v>- Assumes no payment but expenses end</v>
          </cell>
        </row>
        <row r="237">
          <cell r="A237" t="str">
            <v>Finance operations leases</v>
          </cell>
          <cell r="B237">
            <v>0</v>
          </cell>
          <cell r="C237">
            <v>0</v>
          </cell>
          <cell r="D237">
            <v>0</v>
          </cell>
          <cell r="E237">
            <v>0</v>
          </cell>
          <cell r="F237">
            <v>0</v>
          </cell>
          <cell r="G237">
            <v>0</v>
          </cell>
          <cell r="H237">
            <v>0</v>
          </cell>
          <cell r="I237">
            <v>0</v>
          </cell>
          <cell r="J237">
            <v>0</v>
          </cell>
          <cell r="K237">
            <v>0</v>
          </cell>
          <cell r="N237">
            <v>5</v>
          </cell>
          <cell r="O237">
            <v>7</v>
          </cell>
          <cell r="P237">
            <v>8.5</v>
          </cell>
          <cell r="Q237">
            <v>0</v>
          </cell>
          <cell r="R237">
            <v>0</v>
          </cell>
          <cell r="S237">
            <v>0</v>
          </cell>
          <cell r="T237">
            <v>0</v>
          </cell>
          <cell r="U237">
            <v>0</v>
          </cell>
          <cell r="V237">
            <v>0</v>
          </cell>
          <cell r="W237">
            <v>0</v>
          </cell>
          <cell r="X237">
            <v>0</v>
          </cell>
          <cell r="Y237">
            <v>0</v>
          </cell>
          <cell r="Z237">
            <v>0</v>
          </cell>
        </row>
        <row r="238">
          <cell r="A238" t="str">
            <v>Other</v>
          </cell>
          <cell r="B238">
            <v>-86</v>
          </cell>
          <cell r="C238">
            <v>-10</v>
          </cell>
          <cell r="D238">
            <v>139</v>
          </cell>
          <cell r="E238">
            <v>45</v>
          </cell>
          <cell r="F238">
            <v>14</v>
          </cell>
          <cell r="G238">
            <v>9</v>
          </cell>
          <cell r="H238">
            <v>-54</v>
          </cell>
          <cell r="I238">
            <v>-24</v>
          </cell>
          <cell r="J238">
            <v>-1</v>
          </cell>
          <cell r="K238">
            <v>-4</v>
          </cell>
          <cell r="N238">
            <v>-8</v>
          </cell>
          <cell r="O238">
            <v>-33</v>
          </cell>
          <cell r="P238">
            <v>5.9</v>
          </cell>
          <cell r="Q238">
            <v>1</v>
          </cell>
          <cell r="R238">
            <v>-60</v>
          </cell>
          <cell r="S238">
            <v>-9</v>
          </cell>
          <cell r="T238">
            <v>132</v>
          </cell>
          <cell r="U238">
            <v>88</v>
          </cell>
          <cell r="V238">
            <v>-55</v>
          </cell>
          <cell r="W238">
            <v>0</v>
          </cell>
          <cell r="X238">
            <v>0</v>
          </cell>
          <cell r="Y238">
            <v>0</v>
          </cell>
          <cell r="Z238">
            <v>0</v>
          </cell>
        </row>
        <row r="239">
          <cell r="A239" t="str">
            <v>- subtotal</v>
          </cell>
          <cell r="B239">
            <v>-479</v>
          </cell>
          <cell r="C239">
            <v>126</v>
          </cell>
          <cell r="D239">
            <v>-454</v>
          </cell>
          <cell r="E239">
            <v>88</v>
          </cell>
          <cell r="F239">
            <v>-514</v>
          </cell>
          <cell r="G239">
            <v>-131</v>
          </cell>
          <cell r="H239">
            <v>-582</v>
          </cell>
          <cell r="I239">
            <v>-3379</v>
          </cell>
          <cell r="J239">
            <v>-287</v>
          </cell>
          <cell r="K239">
            <v>85</v>
          </cell>
          <cell r="N239">
            <v>-138</v>
          </cell>
          <cell r="O239">
            <v>-1435</v>
          </cell>
          <cell r="P239">
            <v>-187</v>
          </cell>
          <cell r="Q239">
            <v>-3243</v>
          </cell>
          <cell r="R239">
            <v>-410</v>
          </cell>
          <cell r="S239">
            <v>-125</v>
          </cell>
          <cell r="T239">
            <v>-1662</v>
          </cell>
          <cell r="U239">
            <v>-719</v>
          </cell>
          <cell r="V239">
            <v>-4606</v>
          </cell>
          <cell r="W239">
            <v>-770</v>
          </cell>
          <cell r="X239">
            <v>-367.5</v>
          </cell>
          <cell r="Y239">
            <v>77.175000000000182</v>
          </cell>
          <cell r="Z239">
            <v>340.34175000000005</v>
          </cell>
        </row>
        <row r="240">
          <cell r="A240" t="str">
            <v>Cash Throwoff</v>
          </cell>
          <cell r="B240">
            <v>-112</v>
          </cell>
          <cell r="C240">
            <v>302</v>
          </cell>
          <cell r="D240">
            <v>239</v>
          </cell>
          <cell r="E240">
            <v>858.0000329999998</v>
          </cell>
          <cell r="F240">
            <v>-286</v>
          </cell>
          <cell r="G240">
            <v>635</v>
          </cell>
          <cell r="H240">
            <v>27</v>
          </cell>
          <cell r="I240">
            <v>-2895</v>
          </cell>
          <cell r="J240">
            <v>-356</v>
          </cell>
          <cell r="K240">
            <v>455</v>
          </cell>
          <cell r="N240">
            <v>440.89400000000001</v>
          </cell>
          <cell r="O240">
            <v>-909</v>
          </cell>
          <cell r="P240">
            <v>437</v>
          </cell>
          <cell r="Q240">
            <v>-1991</v>
          </cell>
          <cell r="R240">
            <v>862</v>
          </cell>
          <cell r="S240">
            <v>1355</v>
          </cell>
          <cell r="T240">
            <v>-227</v>
          </cell>
          <cell r="U240">
            <v>1287</v>
          </cell>
          <cell r="V240">
            <v>-2519</v>
          </cell>
          <cell r="W240">
            <v>2013.203268272955</v>
          </cell>
          <cell r="X240">
            <v>1837.8596232833115</v>
          </cell>
          <cell r="Y240">
            <v>2018.7075278570164</v>
          </cell>
          <cell r="Z240">
            <v>2288.3773996563045</v>
          </cell>
        </row>
        <row r="242">
          <cell r="A242" t="str">
            <v>Debt issuance (repayment)</v>
          </cell>
          <cell r="B242">
            <v>0</v>
          </cell>
          <cell r="C242">
            <v>0</v>
          </cell>
          <cell r="D242">
            <v>0</v>
          </cell>
          <cell r="E242">
            <v>0</v>
          </cell>
          <cell r="F242">
            <v>0</v>
          </cell>
          <cell r="G242">
            <v>-500</v>
          </cell>
          <cell r="H242">
            <v>0</v>
          </cell>
          <cell r="I242">
            <v>1749</v>
          </cell>
          <cell r="J242">
            <v>-139</v>
          </cell>
          <cell r="K242">
            <v>33</v>
          </cell>
          <cell r="N242">
            <v>-518</v>
          </cell>
          <cell r="O242">
            <v>1325</v>
          </cell>
          <cell r="P242">
            <v>-451</v>
          </cell>
          <cell r="Q242">
            <v>2565</v>
          </cell>
          <cell r="R242">
            <v>-682</v>
          </cell>
          <cell r="S242">
            <v>0</v>
          </cell>
          <cell r="T242">
            <v>-500</v>
          </cell>
          <cell r="U242">
            <v>0</v>
          </cell>
          <cell r="V242">
            <v>1249</v>
          </cell>
          <cell r="W242">
            <v>-21</v>
          </cell>
          <cell r="X242">
            <v>0</v>
          </cell>
          <cell r="Y242">
            <v>0</v>
          </cell>
          <cell r="Z242">
            <v>0</v>
          </cell>
          <cell r="AA242" t="str">
            <v>- Buyback of Commercial Paper</v>
          </cell>
        </row>
        <row r="243">
          <cell r="A243" t="str">
            <v>Finance operations debt</v>
          </cell>
          <cell r="B243">
            <v>0</v>
          </cell>
          <cell r="C243">
            <v>0</v>
          </cell>
          <cell r="D243">
            <v>0</v>
          </cell>
          <cell r="E243">
            <v>0</v>
          </cell>
          <cell r="F243">
            <v>0</v>
          </cell>
          <cell r="G243">
            <v>0</v>
          </cell>
          <cell r="H243">
            <v>-150</v>
          </cell>
          <cell r="I243">
            <v>150</v>
          </cell>
          <cell r="J243">
            <v>0</v>
          </cell>
          <cell r="K243">
            <v>0</v>
          </cell>
          <cell r="N243">
            <v>-18</v>
          </cell>
          <cell r="O243">
            <v>-153</v>
          </cell>
          <cell r="P243">
            <v>-98</v>
          </cell>
          <cell r="Q243">
            <v>-40</v>
          </cell>
          <cell r="R243">
            <v>-65</v>
          </cell>
          <cell r="S243">
            <v>0</v>
          </cell>
          <cell r="T243">
            <v>0</v>
          </cell>
          <cell r="U243">
            <v>0</v>
          </cell>
          <cell r="V243">
            <v>0</v>
          </cell>
          <cell r="W243">
            <v>0</v>
          </cell>
          <cell r="X243">
            <v>0</v>
          </cell>
          <cell r="Y243">
            <v>0</v>
          </cell>
          <cell r="Z243">
            <v>0</v>
          </cell>
        </row>
        <row r="245">
          <cell r="A245" t="str">
            <v>Increase in Cash and Equiv.</v>
          </cell>
          <cell r="B245">
            <v>-112</v>
          </cell>
          <cell r="C245">
            <v>302</v>
          </cell>
          <cell r="D245">
            <v>239</v>
          </cell>
          <cell r="E245">
            <v>858.0000329999998</v>
          </cell>
          <cell r="F245">
            <v>-286</v>
          </cell>
          <cell r="G245">
            <v>135</v>
          </cell>
          <cell r="H245">
            <v>-123</v>
          </cell>
          <cell r="I245">
            <v>-996</v>
          </cell>
          <cell r="J245">
            <v>-495</v>
          </cell>
          <cell r="K245">
            <v>488</v>
          </cell>
          <cell r="N245">
            <v>-95.105999999999995</v>
          </cell>
          <cell r="O245">
            <v>263</v>
          </cell>
          <cell r="P245">
            <v>-112</v>
          </cell>
          <cell r="Q245">
            <v>534</v>
          </cell>
          <cell r="R245">
            <v>115</v>
          </cell>
          <cell r="S245">
            <v>1355</v>
          </cell>
          <cell r="T245">
            <v>-727</v>
          </cell>
          <cell r="U245">
            <v>1287</v>
          </cell>
          <cell r="V245">
            <v>-1270</v>
          </cell>
          <cell r="W245">
            <v>1992.203268272955</v>
          </cell>
          <cell r="X245">
            <v>1837.8596232833115</v>
          </cell>
          <cell r="Y245">
            <v>2018.7075278570164</v>
          </cell>
          <cell r="Z245">
            <v>2288.3773996563045</v>
          </cell>
        </row>
        <row r="247">
          <cell r="A247" t="str">
            <v>CASH FLOW/NINC</v>
          </cell>
          <cell r="B247">
            <v>1.0599078341013826</v>
          </cell>
          <cell r="C247">
            <v>0.57115009746588696</v>
          </cell>
          <cell r="D247">
            <v>1.4853479853479854</v>
          </cell>
          <cell r="E247">
            <v>1.5319516104414455</v>
          </cell>
          <cell r="F247">
            <v>0.60314685314685312</v>
          </cell>
          <cell r="G247">
            <v>1.4134165366614664</v>
          </cell>
          <cell r="H247">
            <v>1.1813880126182965</v>
          </cell>
          <cell r="I247">
            <v>1.0130718954248366</v>
          </cell>
          <cell r="J247">
            <v>0.11355932203389831</v>
          </cell>
          <cell r="K247">
            <v>0.83656957928802589</v>
          </cell>
          <cell r="N247">
            <v>0.96538483410681741</v>
          </cell>
          <cell r="O247">
            <v>0.79003181336161199</v>
          </cell>
          <cell r="P247">
            <v>0.82692307692307687</v>
          </cell>
          <cell r="Q247">
            <v>1.4950199203187251</v>
          </cell>
          <cell r="R247">
            <v>1.263243683781581</v>
          </cell>
          <cell r="S247">
            <v>1.2279260780287475</v>
          </cell>
          <cell r="T247">
            <v>0.96659482758620685</v>
          </cell>
          <cell r="U247">
            <v>1.1783653846153845</v>
          </cell>
          <cell r="V247">
            <v>1.0654737698251322</v>
          </cell>
          <cell r="W247">
            <v>1.4330381683905913</v>
          </cell>
          <cell r="X247">
            <v>1.179662633222621</v>
          </cell>
          <cell r="Y247">
            <v>1.0435695782233503</v>
          </cell>
          <cell r="Z247">
            <v>1.0223436613940291</v>
          </cell>
        </row>
        <row r="249">
          <cell r="A249" t="str">
            <v>Cash at Beginning of Period</v>
          </cell>
          <cell r="B249">
            <v>1604</v>
          </cell>
          <cell r="C249">
            <v>1492</v>
          </cell>
          <cell r="D249">
            <v>1794</v>
          </cell>
          <cell r="E249">
            <v>2033</v>
          </cell>
          <cell r="F249">
            <v>2891.0000329999998</v>
          </cell>
          <cell r="G249">
            <v>2605.0000329999998</v>
          </cell>
          <cell r="H249">
            <v>2740.0000329999998</v>
          </cell>
          <cell r="I249">
            <v>2617.0000329999998</v>
          </cell>
          <cell r="J249">
            <v>1621.0000329999998</v>
          </cell>
          <cell r="K249">
            <v>1126.0000329999998</v>
          </cell>
          <cell r="N249">
            <v>176.34579999999983</v>
          </cell>
          <cell r="O249">
            <v>176</v>
          </cell>
          <cell r="P249">
            <v>439</v>
          </cell>
          <cell r="Q249">
            <v>327</v>
          </cell>
          <cell r="R249">
            <v>861</v>
          </cell>
          <cell r="S249">
            <v>976</v>
          </cell>
          <cell r="T249">
            <v>2331</v>
          </cell>
          <cell r="U249">
            <v>1604</v>
          </cell>
          <cell r="V249">
            <v>2891</v>
          </cell>
          <cell r="W249">
            <v>1621</v>
          </cell>
          <cell r="X249">
            <v>3613.203268272955</v>
          </cell>
          <cell r="Y249">
            <v>5451.0628915562665</v>
          </cell>
          <cell r="Z249">
            <v>7469.770419413283</v>
          </cell>
        </row>
        <row r="250">
          <cell r="A250" t="str">
            <v>Cash at End of Period</v>
          </cell>
          <cell r="B250">
            <v>1492</v>
          </cell>
          <cell r="C250">
            <v>1794</v>
          </cell>
          <cell r="D250">
            <v>2033</v>
          </cell>
          <cell r="E250">
            <v>2891.0000329999998</v>
          </cell>
          <cell r="F250">
            <v>2605.0000329999998</v>
          </cell>
          <cell r="G250">
            <v>2740.0000329999998</v>
          </cell>
          <cell r="H250">
            <v>2617.0000329999998</v>
          </cell>
          <cell r="I250">
            <v>1621.0000329999998</v>
          </cell>
          <cell r="J250">
            <v>1126.0000329999998</v>
          </cell>
          <cell r="K250">
            <v>1614.0000329999998</v>
          </cell>
          <cell r="N250">
            <v>81.239799999999832</v>
          </cell>
          <cell r="O250">
            <v>439</v>
          </cell>
          <cell r="P250">
            <v>327</v>
          </cell>
          <cell r="Q250">
            <v>861</v>
          </cell>
          <cell r="R250">
            <v>976</v>
          </cell>
          <cell r="S250">
            <v>2331</v>
          </cell>
          <cell r="T250">
            <v>1604</v>
          </cell>
          <cell r="U250">
            <v>2891</v>
          </cell>
          <cell r="V250">
            <v>1621</v>
          </cell>
          <cell r="W250">
            <v>3613.203268272955</v>
          </cell>
          <cell r="X250">
            <v>5451.0628915562665</v>
          </cell>
          <cell r="Y250">
            <v>7469.770419413283</v>
          </cell>
          <cell r="Z250">
            <v>9758.1478190695871</v>
          </cell>
        </row>
        <row r="251">
          <cell r="A251" t="str">
            <v>Ending Marketable Securities</v>
          </cell>
          <cell r="B251">
            <v>0</v>
          </cell>
          <cell r="C251">
            <v>0</v>
          </cell>
          <cell r="D251">
            <v>0</v>
          </cell>
          <cell r="E251">
            <v>0</v>
          </cell>
          <cell r="F251">
            <v>0</v>
          </cell>
          <cell r="G251">
            <v>0</v>
          </cell>
          <cell r="H251">
            <v>0</v>
          </cell>
          <cell r="I251">
            <v>0</v>
          </cell>
          <cell r="J251">
            <v>0</v>
          </cell>
          <cell r="K251">
            <v>0</v>
          </cell>
          <cell r="N251">
            <v>0</v>
          </cell>
          <cell r="O251">
            <v>0</v>
          </cell>
          <cell r="P251">
            <v>0</v>
          </cell>
          <cell r="Q251">
            <v>0</v>
          </cell>
          <cell r="R251">
            <v>0</v>
          </cell>
          <cell r="S251">
            <v>0</v>
          </cell>
          <cell r="T251">
            <v>0</v>
          </cell>
          <cell r="U251">
            <v>0</v>
          </cell>
          <cell r="V251">
            <v>0</v>
          </cell>
          <cell r="W251">
            <v>0</v>
          </cell>
          <cell r="X251">
            <v>0</v>
          </cell>
          <cell r="Y251">
            <v>0</v>
          </cell>
          <cell r="Z251">
            <v>0</v>
          </cell>
        </row>
        <row r="252">
          <cell r="A252" t="str">
            <v>Ending Cash &amp; Marketable Securities</v>
          </cell>
          <cell r="B252">
            <v>1492</v>
          </cell>
          <cell r="C252">
            <v>1794</v>
          </cell>
          <cell r="D252">
            <v>2033</v>
          </cell>
          <cell r="E252">
            <v>2891.0000329999998</v>
          </cell>
          <cell r="F252">
            <v>2605.0000329999998</v>
          </cell>
          <cell r="G252">
            <v>2740.0000329999998</v>
          </cell>
          <cell r="H252">
            <v>2617.0000329999998</v>
          </cell>
          <cell r="I252">
            <v>1621.0000329999998</v>
          </cell>
          <cell r="J252">
            <v>1126.0000329999998</v>
          </cell>
          <cell r="K252">
            <v>1614.0000329999998</v>
          </cell>
          <cell r="N252">
            <v>81.239799999999832</v>
          </cell>
          <cell r="O252">
            <v>439</v>
          </cell>
          <cell r="P252">
            <v>327</v>
          </cell>
          <cell r="Q252">
            <v>861</v>
          </cell>
          <cell r="R252">
            <v>976</v>
          </cell>
          <cell r="S252">
            <v>2331</v>
          </cell>
          <cell r="T252">
            <v>1604</v>
          </cell>
          <cell r="U252">
            <v>2891</v>
          </cell>
          <cell r="V252">
            <v>1621</v>
          </cell>
          <cell r="W252">
            <v>3613.203268272955</v>
          </cell>
          <cell r="X252">
            <v>5451.0628915562665</v>
          </cell>
          <cell r="Y252">
            <v>7469.770419413283</v>
          </cell>
          <cell r="Z252">
            <v>9758.1478190695871</v>
          </cell>
        </row>
        <row r="254">
          <cell r="A254" t="str">
            <v>Debt</v>
          </cell>
          <cell r="B254">
            <v>2790</v>
          </cell>
          <cell r="C254">
            <v>2789</v>
          </cell>
          <cell r="D254">
            <v>2796</v>
          </cell>
          <cell r="E254">
            <v>2791</v>
          </cell>
          <cell r="F254">
            <v>2790</v>
          </cell>
          <cell r="G254">
            <v>2289</v>
          </cell>
          <cell r="H254">
            <v>2139</v>
          </cell>
          <cell r="I254">
            <v>4024</v>
          </cell>
          <cell r="J254">
            <v>3882</v>
          </cell>
          <cell r="K254">
            <v>3915</v>
          </cell>
          <cell r="N254">
            <v>513</v>
          </cell>
          <cell r="O254">
            <v>1935</v>
          </cell>
          <cell r="P254">
            <v>1471</v>
          </cell>
          <cell r="Q254">
            <v>4043</v>
          </cell>
          <cell r="R254">
            <v>3297</v>
          </cell>
          <cell r="S254">
            <v>3287</v>
          </cell>
          <cell r="T254">
            <v>2781</v>
          </cell>
          <cell r="U254">
            <v>2791</v>
          </cell>
          <cell r="V254">
            <v>4024</v>
          </cell>
          <cell r="W254">
            <v>4003</v>
          </cell>
          <cell r="X254">
            <v>4003</v>
          </cell>
          <cell r="Y254">
            <v>4003</v>
          </cell>
          <cell r="Z254">
            <v>4003</v>
          </cell>
        </row>
        <row r="255">
          <cell r="A255" t="str">
            <v>Net Cash (Debt)</v>
          </cell>
          <cell r="B255">
            <v>-1298</v>
          </cell>
          <cell r="C255">
            <v>-995</v>
          </cell>
          <cell r="D255">
            <v>-763</v>
          </cell>
          <cell r="E255">
            <v>100.0000329999998</v>
          </cell>
          <cell r="F255">
            <v>-184.9999670000002</v>
          </cell>
          <cell r="G255">
            <v>451.0000329999998</v>
          </cell>
          <cell r="H255">
            <v>478.0000329999998</v>
          </cell>
          <cell r="I255">
            <v>-2402.9999670000002</v>
          </cell>
          <cell r="J255">
            <v>-2755.9999670000002</v>
          </cell>
          <cell r="K255">
            <v>-2300.9999670000002</v>
          </cell>
          <cell r="N255">
            <v>-431.76020000000017</v>
          </cell>
          <cell r="O255">
            <v>-1496</v>
          </cell>
          <cell r="P255">
            <v>-1144</v>
          </cell>
          <cell r="Q255">
            <v>-3182</v>
          </cell>
          <cell r="R255">
            <v>-2321</v>
          </cell>
          <cell r="S255">
            <v>-956</v>
          </cell>
          <cell r="T255">
            <v>-1177</v>
          </cell>
          <cell r="U255">
            <v>100</v>
          </cell>
          <cell r="V255">
            <v>-2403</v>
          </cell>
          <cell r="W255">
            <v>-389.79673172704497</v>
          </cell>
          <cell r="X255">
            <v>1448.0628915562665</v>
          </cell>
          <cell r="Y255">
            <v>3466.770419413283</v>
          </cell>
          <cell r="Z255">
            <v>5755.1478190695871</v>
          </cell>
        </row>
        <row r="256">
          <cell r="A256" t="str">
            <v>Net Cash (Debt) per Share</v>
          </cell>
          <cell r="B256">
            <v>-3.1704934049829019</v>
          </cell>
          <cell r="C256">
            <v>-2.4333577891905112</v>
          </cell>
          <cell r="D256">
            <v>-1.8733120549963171</v>
          </cell>
          <cell r="E256">
            <v>0.24576071024821777</v>
          </cell>
          <cell r="F256">
            <v>-0.45803408516959693</v>
          </cell>
          <cell r="G256">
            <v>1.1224490617222493</v>
          </cell>
          <cell r="H256">
            <v>1.1955978814407198</v>
          </cell>
          <cell r="I256">
            <v>-6.1678643916837785</v>
          </cell>
          <cell r="J256">
            <v>-7.1306596817593793</v>
          </cell>
          <cell r="K256">
            <v>-5.9457363488372099</v>
          </cell>
          <cell r="N256">
            <v>-1.0724297069051172</v>
          </cell>
          <cell r="O256">
            <v>-3.6865450961064563</v>
          </cell>
          <cell r="P256">
            <v>-2.8197897974878234</v>
          </cell>
          <cell r="Q256">
            <v>-7.9888728207600233</v>
          </cell>
          <cell r="R256">
            <v>-5.7602485766899783</v>
          </cell>
          <cell r="S256">
            <v>-2.36138007350907</v>
          </cell>
          <cell r="T256">
            <v>-2.8933136676499509</v>
          </cell>
          <cell r="U256">
            <v>0.24501096424064978</v>
          </cell>
          <cell r="V256">
            <v>-6.027088036117382</v>
          </cell>
          <cell r="W256">
            <v>-1.0123993647657805</v>
          </cell>
          <cell r="X256">
            <v>3.8415995619144239</v>
          </cell>
          <cell r="Y256">
            <v>9.2466272825399702</v>
          </cell>
          <cell r="Z256">
            <v>15.243458385537174</v>
          </cell>
        </row>
        <row r="257">
          <cell r="A257" t="str">
            <v>Avg Net Cash (Debt)</v>
          </cell>
          <cell r="B257">
            <v>-1237.5</v>
          </cell>
          <cell r="C257">
            <v>-1146.5</v>
          </cell>
          <cell r="D257">
            <v>-879</v>
          </cell>
          <cell r="E257">
            <v>-331.4999835000001</v>
          </cell>
          <cell r="F257">
            <v>-42.499967000000197</v>
          </cell>
          <cell r="G257">
            <v>133.0000329999998</v>
          </cell>
          <cell r="H257">
            <v>464.5000329999998</v>
          </cell>
          <cell r="I257">
            <v>-962.4999670000002</v>
          </cell>
          <cell r="J257">
            <v>-2579.4999670000002</v>
          </cell>
          <cell r="K257">
            <v>-2528.4999670000002</v>
          </cell>
          <cell r="N257">
            <v>-638.70720000000017</v>
          </cell>
          <cell r="O257">
            <v>-963.88010000000008</v>
          </cell>
          <cell r="P257">
            <v>-1320</v>
          </cell>
          <cell r="Q257">
            <v>-2163</v>
          </cell>
          <cell r="R257">
            <v>-2751.5</v>
          </cell>
          <cell r="S257">
            <v>-1638.5</v>
          </cell>
          <cell r="T257">
            <v>-1066.5</v>
          </cell>
          <cell r="U257">
            <v>-538.5</v>
          </cell>
          <cell r="V257">
            <v>-1151.5</v>
          </cell>
          <cell r="W257">
            <v>-1396.3983658635225</v>
          </cell>
          <cell r="X257">
            <v>529.13307991461079</v>
          </cell>
          <cell r="Y257">
            <v>2457.4166554847748</v>
          </cell>
          <cell r="Z257">
            <v>4610.9591192414355</v>
          </cell>
        </row>
        <row r="260">
          <cell r="A260" t="str">
            <v>Int. rate assump</v>
          </cell>
          <cell r="B260">
            <v>4.8000000000000001E-2</v>
          </cell>
          <cell r="C260">
            <v>4.8000000000000001E-2</v>
          </cell>
          <cell r="D260">
            <v>4.8000000000000001E-2</v>
          </cell>
          <cell r="E260">
            <v>4.8000000000000001E-2</v>
          </cell>
          <cell r="F260">
            <v>4.8000000000000001E-2</v>
          </cell>
          <cell r="G260">
            <v>4.8000000000000001E-2</v>
          </cell>
          <cell r="H260">
            <v>4.8000000000000001E-2</v>
          </cell>
          <cell r="I260">
            <v>4.8000000000000001E-2</v>
          </cell>
          <cell r="J260">
            <v>4.8000000000000001E-2</v>
          </cell>
          <cell r="K260">
            <v>4.8000000000000001E-2</v>
          </cell>
          <cell r="N260">
            <v>0.11</v>
          </cell>
          <cell r="O260">
            <v>6.0999999999999999E-2</v>
          </cell>
          <cell r="P260">
            <v>3.4500000000000003E-2</v>
          </cell>
          <cell r="Q260">
            <v>4.3799999999999999E-2</v>
          </cell>
          <cell r="R260">
            <v>0.05</v>
          </cell>
          <cell r="S260">
            <v>6.4000000000000001E-2</v>
          </cell>
          <cell r="T260">
            <v>0.1</v>
          </cell>
          <cell r="U260">
            <v>0.1</v>
          </cell>
          <cell r="V260">
            <v>0.1</v>
          </cell>
          <cell r="W260">
            <v>0.1</v>
          </cell>
          <cell r="X260">
            <v>0.1</v>
          </cell>
          <cell r="Y260">
            <v>0.1</v>
          </cell>
          <cell r="Z260">
            <v>0.1</v>
          </cell>
        </row>
        <row r="261">
          <cell r="A261" t="str">
            <v>Int. income est. ($ X int. rate)</v>
          </cell>
          <cell r="B261">
            <v>-14.85</v>
          </cell>
          <cell r="C261">
            <v>-14.304</v>
          </cell>
          <cell r="D261">
            <v>-12.153</v>
          </cell>
          <cell r="E261">
            <v>-7.2629999010000006</v>
          </cell>
          <cell r="F261">
            <v>-2.2439997030000018</v>
          </cell>
          <cell r="G261">
            <v>0.54300039599999761</v>
          </cell>
          <cell r="H261">
            <v>3.5850003959999976</v>
          </cell>
          <cell r="I261">
            <v>-2.9879996040000023</v>
          </cell>
          <cell r="J261">
            <v>-21.251999604000002</v>
          </cell>
          <cell r="K261">
            <v>-30.647999604000002</v>
          </cell>
          <cell r="N261">
            <v>-70.257792000000023</v>
          </cell>
          <cell r="O261">
            <v>-58.796686100000002</v>
          </cell>
          <cell r="P261">
            <v>-45.540000000000006</v>
          </cell>
          <cell r="Q261">
            <v>-94.739400000000003</v>
          </cell>
          <cell r="R261">
            <v>-137.57500000000002</v>
          </cell>
          <cell r="S261">
            <v>-104.864</v>
          </cell>
          <cell r="T261">
            <v>-106.65</v>
          </cell>
          <cell r="U261">
            <v>-53.85</v>
          </cell>
          <cell r="V261">
            <v>-115.15</v>
          </cell>
          <cell r="W261">
            <v>-139.63983658635226</v>
          </cell>
          <cell r="X261">
            <v>52.913307991461082</v>
          </cell>
          <cell r="Y261">
            <v>245.7416655484775</v>
          </cell>
          <cell r="Z261">
            <v>461.09591192414359</v>
          </cell>
        </row>
        <row r="262">
          <cell r="A262" t="str">
            <v>Int. inc actual/per P&amp;L</v>
          </cell>
          <cell r="B262">
            <v>-26</v>
          </cell>
          <cell r="C262">
            <v>-21</v>
          </cell>
          <cell r="D262">
            <v>-12</v>
          </cell>
          <cell r="E262">
            <v>-11</v>
          </cell>
          <cell r="F262">
            <v>-19</v>
          </cell>
          <cell r="G262">
            <v>-12</v>
          </cell>
          <cell r="H262">
            <v>-11</v>
          </cell>
          <cell r="I262">
            <v>-24</v>
          </cell>
          <cell r="J262">
            <v>-39</v>
          </cell>
          <cell r="K262">
            <v>-38</v>
          </cell>
          <cell r="N262">
            <v>-60</v>
          </cell>
          <cell r="O262">
            <v>-56</v>
          </cell>
          <cell r="P262">
            <v>-45</v>
          </cell>
          <cell r="Q262">
            <v>-98</v>
          </cell>
          <cell r="R262">
            <v>-148</v>
          </cell>
          <cell r="S262">
            <v>-118</v>
          </cell>
          <cell r="T262">
            <v>-101</v>
          </cell>
          <cell r="U262">
            <v>-70</v>
          </cell>
          <cell r="V262">
            <v>-66</v>
          </cell>
          <cell r="W262">
            <v>-149.71440000000001</v>
          </cell>
          <cell r="X262">
            <v>-127.88593463454089</v>
          </cell>
          <cell r="Y262">
            <v>-93.130242168874673</v>
          </cell>
          <cell r="Z262">
            <v>-71.430517660267554</v>
          </cell>
        </row>
        <row r="263">
          <cell r="A263" t="str">
            <v>Equity</v>
          </cell>
          <cell r="B263">
            <v>10075</v>
          </cell>
          <cell r="C263">
            <v>10622</v>
          </cell>
          <cell r="D263">
            <v>10910</v>
          </cell>
          <cell r="E263">
            <v>11768</v>
          </cell>
          <cell r="F263">
            <v>11777</v>
          </cell>
          <cell r="G263">
            <v>12184</v>
          </cell>
          <cell r="H263">
            <v>12134</v>
          </cell>
          <cell r="I263">
            <v>10053</v>
          </cell>
          <cell r="J263">
            <v>10271</v>
          </cell>
          <cell r="K263">
            <v>11001</v>
          </cell>
          <cell r="N263">
            <v>3820</v>
          </cell>
          <cell r="O263">
            <v>4528</v>
          </cell>
          <cell r="P263">
            <v>5199</v>
          </cell>
          <cell r="Q263">
            <v>5921</v>
          </cell>
          <cell r="R263">
            <v>7189</v>
          </cell>
          <cell r="S263">
            <v>8145</v>
          </cell>
          <cell r="T263">
            <v>9827</v>
          </cell>
          <cell r="U263">
            <v>11768</v>
          </cell>
          <cell r="V263">
            <v>10053</v>
          </cell>
          <cell r="W263">
            <v>11045.995472989402</v>
          </cell>
          <cell r="X263">
            <v>12450.729008555714</v>
          </cell>
          <cell r="Y263">
            <v>14359.208323980685</v>
          </cell>
          <cell r="Z263">
            <v>16588.097423049381</v>
          </cell>
        </row>
        <row r="264">
          <cell r="A264" t="str">
            <v>Shares out</v>
          </cell>
          <cell r="B264">
            <v>409.4</v>
          </cell>
          <cell r="C264">
            <v>408.9</v>
          </cell>
          <cell r="D264">
            <v>407.3</v>
          </cell>
          <cell r="E264">
            <v>406.9</v>
          </cell>
          <cell r="F264">
            <v>403.9</v>
          </cell>
          <cell r="G264">
            <v>401.8</v>
          </cell>
          <cell r="H264">
            <v>399.8</v>
          </cell>
          <cell r="I264">
            <v>389.6</v>
          </cell>
          <cell r="J264">
            <v>386.5</v>
          </cell>
          <cell r="K264">
            <v>387</v>
          </cell>
          <cell r="N264">
            <v>402.6</v>
          </cell>
          <cell r="O264">
            <v>405.8</v>
          </cell>
          <cell r="P264">
            <v>405.70400000000001</v>
          </cell>
          <cell r="Q264">
            <v>398.30399999999997</v>
          </cell>
          <cell r="R264">
            <v>402.93400000000003</v>
          </cell>
          <cell r="S264">
            <v>404.84800000000001</v>
          </cell>
          <cell r="T264">
            <v>406.8</v>
          </cell>
          <cell r="U264">
            <v>408.14499999999998</v>
          </cell>
          <cell r="V264">
            <v>398.7</v>
          </cell>
          <cell r="W264">
            <v>385.02269489000003</v>
          </cell>
          <cell r="X264">
            <v>376.94269489000004</v>
          </cell>
          <cell r="Y264">
            <v>374.92269489</v>
          </cell>
          <cell r="Z264">
            <v>377.54869489000004</v>
          </cell>
        </row>
        <row r="265">
          <cell r="A265" t="str">
            <v>Book Value per Share</v>
          </cell>
          <cell r="B265">
            <v>24.609184171958965</v>
          </cell>
          <cell r="C265">
            <v>25.977011494252874</v>
          </cell>
          <cell r="D265">
            <v>26.78615271298797</v>
          </cell>
          <cell r="E265">
            <v>28.921110838043749</v>
          </cell>
          <cell r="F265">
            <v>29.158207477098294</v>
          </cell>
          <cell r="G265">
            <v>30.323544051767048</v>
          </cell>
          <cell r="H265">
            <v>30.350175087543771</v>
          </cell>
          <cell r="I265">
            <v>25.803388090349074</v>
          </cell>
          <cell r="J265">
            <v>26.57438551099612</v>
          </cell>
          <cell r="K265">
            <v>28.426356589147286</v>
          </cell>
          <cell r="N265">
            <v>9.488325881768505</v>
          </cell>
          <cell r="O265">
            <v>11.158206012814194</v>
          </cell>
          <cell r="P265">
            <v>12.8147615009958</v>
          </cell>
          <cell r="Q265">
            <v>14.86552984654937</v>
          </cell>
          <cell r="R265">
            <v>17.841631631979428</v>
          </cell>
          <cell r="S265">
            <v>20.118661818756667</v>
          </cell>
          <cell r="T265">
            <v>24.156833824975418</v>
          </cell>
          <cell r="U265">
            <v>28.832890271839666</v>
          </cell>
          <cell r="V265">
            <v>25.214446952595939</v>
          </cell>
          <cell r="W265">
            <v>28.689206167821389</v>
          </cell>
          <cell r="X265">
            <v>33.030827171724617</v>
          </cell>
          <cell r="Y265">
            <v>38.299117443913573</v>
          </cell>
          <cell r="Z265">
            <v>43.936312448073416</v>
          </cell>
        </row>
        <row r="266">
          <cell r="A266" t="str">
            <v>Net debt/cap</v>
          </cell>
          <cell r="B266">
            <v>0.11412995691550162</v>
          </cell>
          <cell r="C266">
            <v>8.565034001893776E-2</v>
          </cell>
          <cell r="D266">
            <v>6.5364516405379935E-2</v>
          </cell>
          <cell r="E266">
            <v>-8.5704519440199453E-3</v>
          </cell>
          <cell r="F266">
            <v>1.546563848105386E-2</v>
          </cell>
          <cell r="G266">
            <v>-3.8438594926146208E-2</v>
          </cell>
          <cell r="H266">
            <v>-4.1008925390639529E-2</v>
          </cell>
          <cell r="I266">
            <v>0.19291907300628852</v>
          </cell>
          <cell r="J266">
            <v>0.21156060290024564</v>
          </cell>
          <cell r="K266">
            <v>0.17298150448867763</v>
          </cell>
          <cell r="N266">
            <v>0.10154857745740226</v>
          </cell>
          <cell r="O266">
            <v>0.24833997343957503</v>
          </cell>
          <cell r="P266">
            <v>0.18035629828157024</v>
          </cell>
          <cell r="Q266">
            <v>0.34955509172800175</v>
          </cell>
          <cell r="R266">
            <v>0.24405888538380652</v>
          </cell>
          <cell r="S266">
            <v>0.10504340182397538</v>
          </cell>
          <cell r="T266">
            <v>0.1069611050527081</v>
          </cell>
          <cell r="U266">
            <v>-8.5704490915323971E-3</v>
          </cell>
          <cell r="V266">
            <v>0.19291907514450868</v>
          </cell>
          <cell r="W266">
            <v>3.4085678084136727E-2</v>
          </cell>
          <cell r="X266">
            <v>-0.13161018212839942</v>
          </cell>
          <cell r="Y266">
            <v>-0.31827314048396838</v>
          </cell>
          <cell r="Z266">
            <v>-0.53126323203380077</v>
          </cell>
        </row>
        <row r="267">
          <cell r="A267" t="str">
            <v xml:space="preserve">   vs. peer avg (need to update)</v>
          </cell>
          <cell r="N267">
            <v>0.37333333333333335</v>
          </cell>
        </row>
        <row r="269">
          <cell r="A269" t="str">
            <v>Cash EPS ((NI+Dep+Amort)/Shares)</v>
          </cell>
          <cell r="B269">
            <v>1.3067904250122131</v>
          </cell>
          <cell r="C269">
            <v>1.5138175593054537</v>
          </cell>
          <cell r="D269">
            <v>1.5983304689418119</v>
          </cell>
          <cell r="E269">
            <v>1.6957484222167605</v>
          </cell>
          <cell r="F269">
            <v>1.6687298836345632</v>
          </cell>
          <cell r="G269">
            <v>1.8715778994524639</v>
          </cell>
          <cell r="H269">
            <v>1.8684342171085542</v>
          </cell>
          <cell r="I269">
            <v>1.8814168377823408</v>
          </cell>
          <cell r="J269">
            <v>1.8861578266494179</v>
          </cell>
          <cell r="K269">
            <v>1.9586563307493541</v>
          </cell>
          <cell r="N269">
            <v>2.5705265772478887</v>
          </cell>
          <cell r="O269">
            <v>2.9743716116313452</v>
          </cell>
          <cell r="P269">
            <v>3.0761343245321711</v>
          </cell>
          <cell r="Q269">
            <v>3.1985619024664578</v>
          </cell>
          <cell r="R269">
            <v>3.8045933080851948</v>
          </cell>
          <cell r="S269">
            <v>4.4164723550567127</v>
          </cell>
          <cell r="T269">
            <v>5.5063913470993118</v>
          </cell>
          <cell r="U269">
            <v>6.1326244349434642</v>
          </cell>
          <cell r="V269">
            <v>7.2886882367695014</v>
          </cell>
          <cell r="W269">
            <v>7.4126940073893461</v>
          </cell>
          <cell r="X269">
            <v>7.8082809419317289</v>
          </cell>
          <cell r="Y269">
            <v>8.2681985042076427</v>
          </cell>
          <cell r="Z269">
            <v>8.6609331595894599</v>
          </cell>
        </row>
        <row r="270">
          <cell r="A270" t="str">
            <v>Dividends Per Share</v>
          </cell>
          <cell r="B270">
            <v>0.227161700048852</v>
          </cell>
          <cell r="C270">
            <v>0.28613352898019079</v>
          </cell>
          <cell r="D270">
            <v>0.28971274245028233</v>
          </cell>
          <cell r="E270">
            <v>0.28753993610223644</v>
          </cell>
          <cell r="F270">
            <v>0.28967566229264669</v>
          </cell>
          <cell r="G270">
            <v>0.34843205574912889</v>
          </cell>
          <cell r="H270">
            <v>0.35017508754377186</v>
          </cell>
          <cell r="I270">
            <v>0.34907597535934287</v>
          </cell>
          <cell r="J270">
            <v>0.35187580853816303</v>
          </cell>
          <cell r="K270">
            <v>0.37984496124031009</v>
          </cell>
          <cell r="N270">
            <v>0.50173869846000996</v>
          </cell>
          <cell r="O270">
            <v>0.5396747166091671</v>
          </cell>
          <cell r="P270">
            <v>0.58170488829294265</v>
          </cell>
          <cell r="Q270">
            <v>0.62515063870812249</v>
          </cell>
          <cell r="R270">
            <v>0.68993929526920039</v>
          </cell>
          <cell r="S270">
            <v>0.77559973125716319</v>
          </cell>
          <cell r="T270">
            <v>0.88249754178957718</v>
          </cell>
          <cell r="U270">
            <v>1.1599999999999999</v>
          </cell>
          <cell r="V270">
            <v>1.4</v>
          </cell>
          <cell r="W270">
            <v>1.54</v>
          </cell>
          <cell r="X270">
            <v>1.6940000000000002</v>
          </cell>
          <cell r="Y270">
            <v>1.8634000000000004</v>
          </cell>
          <cell r="Z270">
            <v>2.0497400000000008</v>
          </cell>
        </row>
        <row r="271">
          <cell r="A271" t="str">
            <v>Return on Average Equity</v>
          </cell>
          <cell r="B271">
            <v>0.1723076923076923</v>
          </cell>
          <cell r="C271">
            <v>0.19318395782338543</v>
          </cell>
          <cell r="D271">
            <v>0.2001833180568286</v>
          </cell>
          <cell r="E271">
            <v>0.19680490584636295</v>
          </cell>
          <cell r="F271">
            <v>0.19427698055531969</v>
          </cell>
          <cell r="G271">
            <v>0.21043992120814184</v>
          </cell>
          <cell r="H271">
            <v>0.20899950552167462</v>
          </cell>
          <cell r="I271">
            <v>0.24350940017905104</v>
          </cell>
          <cell r="J271">
            <v>0.22977314769740045</v>
          </cell>
          <cell r="K271">
            <v>0.22470684483228798</v>
          </cell>
          <cell r="N271">
            <v>0.23141009869832643</v>
          </cell>
          <cell r="O271">
            <v>0.22592237661715378</v>
          </cell>
          <cell r="P271">
            <v>0.21383777115246222</v>
          </cell>
          <cell r="Q271">
            <v>0.18057553956834532</v>
          </cell>
          <cell r="R271">
            <v>0.18718535469107553</v>
          </cell>
          <cell r="S271">
            <v>0.19055693230729098</v>
          </cell>
          <cell r="T271">
            <v>0.20654351212997996</v>
          </cell>
          <cell r="U271">
            <v>0.19263718453345682</v>
          </cell>
          <cell r="V271">
            <v>0.22537922185051099</v>
          </cell>
          <cell r="W271">
            <v>0.22332157245457723</v>
          </cell>
          <cell r="X271">
            <v>0.20520089620180493</v>
          </cell>
          <cell r="Y271">
            <v>0.18873115842853391</v>
          </cell>
          <cell r="Z271">
            <v>0.17206176412872584</v>
          </cell>
        </row>
        <row r="272">
          <cell r="A272" t="str">
            <v>ROA</v>
          </cell>
          <cell r="B272">
            <v>0.11983107513637163</v>
          </cell>
          <cell r="C272">
            <v>0.12987567821591831</v>
          </cell>
          <cell r="D272">
            <v>0.13415400075367417</v>
          </cell>
          <cell r="E272">
            <v>0.13539035479734193</v>
          </cell>
          <cell r="F272">
            <v>0.13397129186602871</v>
          </cell>
          <cell r="G272">
            <v>0.14120893863314041</v>
          </cell>
          <cell r="H272">
            <v>0.14328495738309147</v>
          </cell>
          <cell r="I272">
            <v>0.13223839565784373</v>
          </cell>
          <cell r="J272">
            <v>0.12801018423565189</v>
          </cell>
          <cell r="K272">
            <v>0.13098620833044564</v>
          </cell>
          <cell r="N272">
            <v>0.16589457869037186</v>
          </cell>
          <cell r="O272">
            <v>0.15596137699412257</v>
          </cell>
          <cell r="P272">
            <v>0.13745614035087719</v>
          </cell>
          <cell r="Q272">
            <v>0.10331733180482912</v>
          </cell>
          <cell r="R272">
            <v>0.11450766448246212</v>
          </cell>
          <cell r="S272">
            <v>0.11701213618300935</v>
          </cell>
          <cell r="T272">
            <v>0.12477421808156669</v>
          </cell>
          <cell r="U272">
            <v>0.12941445467584028</v>
          </cell>
          <cell r="V272">
            <v>0.13503123498318118</v>
          </cell>
          <cell r="W272">
            <v>0.12016429534774103</v>
          </cell>
          <cell r="X272">
            <v>0.11289217786978724</v>
          </cell>
          <cell r="Y272">
            <v>0.10963731915154371</v>
          </cell>
          <cell r="Z272">
            <v>0.10981845676325555</v>
          </cell>
        </row>
        <row r="273">
          <cell r="A273" t="str">
            <v>Asset Turnover</v>
          </cell>
          <cell r="B273">
            <v>1.1085694175611474</v>
          </cell>
          <cell r="C273">
            <v>1.1263297304225233</v>
          </cell>
          <cell r="D273">
            <v>1.144579826654943</v>
          </cell>
          <cell r="E273">
            <v>1.1681498465006024</v>
          </cell>
          <cell r="F273">
            <v>1.0899754930563659</v>
          </cell>
          <cell r="G273">
            <v>1.119705623059527</v>
          </cell>
          <cell r="H273">
            <v>1.0965215388159411</v>
          </cell>
          <cell r="I273">
            <v>1.1069678920100094</v>
          </cell>
          <cell r="J273">
            <v>1.1689239364899748</v>
          </cell>
          <cell r="K273">
            <v>1.1227389285466769</v>
          </cell>
          <cell r="N273">
            <v>1.2902216101164392</v>
          </cell>
          <cell r="O273">
            <v>1.2651133501259446</v>
          </cell>
          <cell r="P273">
            <v>1.2</v>
          </cell>
          <cell r="Q273">
            <v>1.1698789138066921</v>
          </cell>
          <cell r="R273">
            <v>1.1188661902926438</v>
          </cell>
          <cell r="S273">
            <v>1.1263559231017077</v>
          </cell>
          <cell r="T273">
            <v>1.1437874322654245</v>
          </cell>
          <cell r="U273">
            <v>1.1324284437423351</v>
          </cell>
          <cell r="V273">
            <v>1.083059180127897</v>
          </cell>
          <cell r="W273">
            <v>1.0893479400566479</v>
          </cell>
          <cell r="X273">
            <v>1.0193773497897507</v>
          </cell>
          <cell r="Y273">
            <v>0.99239485503595226</v>
          </cell>
          <cell r="Z273">
            <v>0.97573335091379576</v>
          </cell>
        </row>
        <row r="274">
          <cell r="A274" t="str">
            <v>Asset Leverage</v>
          </cell>
          <cell r="B274">
            <v>2.2562779156327544</v>
          </cell>
          <cell r="C274">
            <v>2.2036339672378085</v>
          </cell>
          <cell r="D274">
            <v>2.1890925756186985</v>
          </cell>
          <cell r="E274">
            <v>2.1866927260367097</v>
          </cell>
          <cell r="F274">
            <v>2.1828139594124139</v>
          </cell>
          <cell r="G274">
            <v>2.1412508207485228</v>
          </cell>
          <cell r="H274">
            <v>2.14653041041701</v>
          </cell>
          <cell r="I274">
            <v>2.8223415895752511</v>
          </cell>
          <cell r="J274">
            <v>2.7532859507350795</v>
          </cell>
          <cell r="K274">
            <v>2.6232160712662487</v>
          </cell>
          <cell r="N274">
            <v>2.0908376963350785</v>
          </cell>
          <cell r="O274">
            <v>2.4445671378091873</v>
          </cell>
          <cell r="P274">
            <v>2.2563954606655128</v>
          </cell>
          <cell r="Q274">
            <v>2.7331531835838541</v>
          </cell>
          <cell r="R274">
            <v>2.4403950479899845</v>
          </cell>
          <cell r="S274">
            <v>2.4186617556783303</v>
          </cell>
          <cell r="T274">
            <v>2.276991960923985</v>
          </cell>
          <cell r="U274">
            <v>2.1866927260367097</v>
          </cell>
          <cell r="V274">
            <v>2.8223415895752511</v>
          </cell>
          <cell r="W274">
            <v>2.8332188466414219</v>
          </cell>
          <cell r="X274">
            <v>2.6834126267744729</v>
          </cell>
          <cell r="Y274">
            <v>2.5111323946715207</v>
          </cell>
          <cell r="Z274">
            <v>2.3673651604317314</v>
          </cell>
        </row>
        <row r="275">
          <cell r="A275" t="str">
            <v>CF per share</v>
          </cell>
          <cell r="B275">
            <v>1.2530532486565706</v>
          </cell>
          <cell r="C275">
            <v>0.99290780141843982</v>
          </cell>
          <cell r="D275">
            <v>2.3054259759391114</v>
          </cell>
          <cell r="E275">
            <v>2.6222659941017445</v>
          </cell>
          <cell r="F275">
            <v>1.0646199554345135</v>
          </cell>
          <cell r="G275">
            <v>2.5410652065704329</v>
          </cell>
          <cell r="H275">
            <v>2.1585792896448224</v>
          </cell>
          <cell r="I275">
            <v>2.0431211498973303</v>
          </cell>
          <cell r="J275">
            <v>0.38292367399741267</v>
          </cell>
          <cell r="K275">
            <v>1.5658914728682169</v>
          </cell>
          <cell r="N275">
            <v>1.4378887232985593</v>
          </cell>
          <cell r="O275">
            <v>1.2962050271069492</v>
          </cell>
          <cell r="P275">
            <v>1.5380671622660855</v>
          </cell>
          <cell r="Q275">
            <v>3.1433277094882301</v>
          </cell>
          <cell r="R275">
            <v>3.1568445452605141</v>
          </cell>
          <cell r="S275">
            <v>3.6556930008299409</v>
          </cell>
          <cell r="T275">
            <v>3.5275319567354964</v>
          </cell>
          <cell r="U275">
            <v>4.9149199426674341</v>
          </cell>
          <cell r="V275">
            <v>5.2345121645347383</v>
          </cell>
          <cell r="W275">
            <v>7.2286732839686474</v>
          </cell>
          <cell r="X275">
            <v>5.8506495899247568</v>
          </cell>
          <cell r="Y275">
            <v>5.1784876037622896</v>
          </cell>
          <cell r="Z275">
            <v>5.1596937720149469</v>
          </cell>
        </row>
        <row r="277">
          <cell r="A277" t="str">
            <v>Capital Deployment</v>
          </cell>
        </row>
        <row r="278">
          <cell r="A278" t="str">
            <v xml:space="preserve">Cash Repo </v>
          </cell>
        </row>
        <row r="279">
          <cell r="A279" t="str">
            <v>Number shares (MM)</v>
          </cell>
          <cell r="B279">
            <v>2</v>
          </cell>
          <cell r="C279">
            <v>0</v>
          </cell>
          <cell r="D279">
            <v>4</v>
          </cell>
          <cell r="E279">
            <v>0.5</v>
          </cell>
          <cell r="F279">
            <v>6.3</v>
          </cell>
          <cell r="G279">
            <v>2.06</v>
          </cell>
          <cell r="H279">
            <v>6.0400000000000009</v>
          </cell>
          <cell r="I279">
            <v>5.6</v>
          </cell>
          <cell r="J279">
            <v>0</v>
          </cell>
          <cell r="K279">
            <v>0</v>
          </cell>
          <cell r="N279">
            <v>8.1083999999999996</v>
          </cell>
          <cell r="O279">
            <v>2.9325999999999999</v>
          </cell>
          <cell r="P279">
            <v>2.5815999999999999</v>
          </cell>
          <cell r="Q279">
            <v>9.4</v>
          </cell>
          <cell r="R279">
            <v>0</v>
          </cell>
          <cell r="S279">
            <v>6.68</v>
          </cell>
          <cell r="T279">
            <v>1000</v>
          </cell>
          <cell r="U279">
            <v>6.5</v>
          </cell>
          <cell r="V279">
            <v>20</v>
          </cell>
          <cell r="AA279" t="str">
            <v>- 2/03 board auth. 6MM sh, 4/00 board authorized 10MM shs repo</v>
          </cell>
        </row>
        <row r="280">
          <cell r="A280" t="str">
            <v>Avg purchase price</v>
          </cell>
          <cell r="B280">
            <v>76.010000000000005</v>
          </cell>
          <cell r="C280">
            <v>0</v>
          </cell>
          <cell r="D280">
            <v>77.495000000000005</v>
          </cell>
          <cell r="E280">
            <v>87.79</v>
          </cell>
          <cell r="F280">
            <v>83</v>
          </cell>
          <cell r="G280">
            <v>85.33</v>
          </cell>
          <cell r="H280">
            <v>81.84</v>
          </cell>
          <cell r="I280">
            <v>60.179749999999991</v>
          </cell>
          <cell r="J280">
            <v>0</v>
          </cell>
          <cell r="K280">
            <v>0</v>
          </cell>
          <cell r="N280">
            <v>25.652409846578859</v>
          </cell>
          <cell r="O280">
            <v>38.532360362817975</v>
          </cell>
          <cell r="P280">
            <v>38.735667802912921</v>
          </cell>
          <cell r="Q280">
            <v>31.914893617021274</v>
          </cell>
          <cell r="R280" t="str">
            <v>N/A</v>
          </cell>
          <cell r="S280">
            <v>53.592814371257489</v>
          </cell>
          <cell r="T280">
            <v>7.4813419999999992E-2</v>
          </cell>
          <cell r="U280">
            <v>78</v>
          </cell>
          <cell r="V280">
            <v>76.5</v>
          </cell>
        </row>
        <row r="281">
          <cell r="A281" t="str">
            <v>Subtotal Share Repo</v>
          </cell>
          <cell r="B281">
            <v>152.02000000000001</v>
          </cell>
          <cell r="C281">
            <v>0</v>
          </cell>
          <cell r="D281">
            <v>309.98</v>
          </cell>
          <cell r="E281">
            <v>43.895000000000003</v>
          </cell>
          <cell r="F281">
            <v>522.9</v>
          </cell>
          <cell r="G281">
            <v>175.77979999999999</v>
          </cell>
          <cell r="H281">
            <v>494.31360000000012</v>
          </cell>
          <cell r="I281">
            <v>337.00659999999993</v>
          </cell>
          <cell r="J281">
            <v>0</v>
          </cell>
          <cell r="K281">
            <v>0</v>
          </cell>
          <cell r="N281">
            <v>208</v>
          </cell>
          <cell r="O281">
            <v>113</v>
          </cell>
          <cell r="P281">
            <v>100</v>
          </cell>
          <cell r="Q281">
            <v>300</v>
          </cell>
          <cell r="R281">
            <v>0</v>
          </cell>
          <cell r="S281">
            <v>358</v>
          </cell>
          <cell r="T281">
            <v>74.813419999999994</v>
          </cell>
          <cell r="U281">
            <v>507</v>
          </cell>
          <cell r="V281">
            <v>1530</v>
          </cell>
        </row>
        <row r="282">
          <cell r="A282" t="str">
            <v>Net Acquisition spending</v>
          </cell>
          <cell r="B282">
            <v>298</v>
          </cell>
          <cell r="C282">
            <v>1</v>
          </cell>
          <cell r="D282">
            <v>0</v>
          </cell>
          <cell r="E282">
            <v>31</v>
          </cell>
          <cell r="F282">
            <v>65</v>
          </cell>
          <cell r="G282">
            <v>1</v>
          </cell>
          <cell r="H282">
            <v>237</v>
          </cell>
          <cell r="I282">
            <v>2921</v>
          </cell>
          <cell r="J282">
            <v>168</v>
          </cell>
          <cell r="K282">
            <v>-3</v>
          </cell>
          <cell r="N282">
            <v>71</v>
          </cell>
          <cell r="O282">
            <v>1451</v>
          </cell>
          <cell r="P282">
            <v>275</v>
          </cell>
          <cell r="Q282">
            <v>3044</v>
          </cell>
          <cell r="R282">
            <v>543</v>
          </cell>
          <cell r="S282">
            <v>277</v>
          </cell>
          <cell r="T282">
            <v>2342</v>
          </cell>
          <cell r="U282">
            <v>330</v>
          </cell>
          <cell r="V282">
            <v>3224</v>
          </cell>
        </row>
        <row r="283">
          <cell r="A283" t="str">
            <v>Dividends</v>
          </cell>
          <cell r="B283">
            <v>93</v>
          </cell>
          <cell r="C283">
            <v>117</v>
          </cell>
          <cell r="D283">
            <v>118</v>
          </cell>
          <cell r="E283">
            <v>117</v>
          </cell>
          <cell r="F283">
            <v>117</v>
          </cell>
          <cell r="G283">
            <v>140</v>
          </cell>
          <cell r="H283">
            <v>140</v>
          </cell>
          <cell r="I283">
            <v>136</v>
          </cell>
          <cell r="J283">
            <v>136</v>
          </cell>
          <cell r="K283">
            <v>147</v>
          </cell>
          <cell r="N283">
            <v>202</v>
          </cell>
          <cell r="O283">
            <v>219</v>
          </cell>
          <cell r="P283">
            <v>236</v>
          </cell>
          <cell r="Q283">
            <v>249</v>
          </cell>
          <cell r="R283">
            <v>278</v>
          </cell>
          <cell r="S283">
            <v>314</v>
          </cell>
          <cell r="T283">
            <v>359</v>
          </cell>
          <cell r="U283">
            <v>445</v>
          </cell>
          <cell r="V283">
            <v>533</v>
          </cell>
        </row>
        <row r="284">
          <cell r="A284" t="str">
            <v>Capex</v>
          </cell>
          <cell r="B284">
            <v>53</v>
          </cell>
          <cell r="C284">
            <v>113</v>
          </cell>
          <cell r="D284">
            <v>128</v>
          </cell>
          <cell r="E284">
            <v>180</v>
          </cell>
          <cell r="F284">
            <v>85</v>
          </cell>
          <cell r="G284">
            <v>115</v>
          </cell>
          <cell r="H284">
            <v>114</v>
          </cell>
          <cell r="I284">
            <v>176</v>
          </cell>
          <cell r="J284">
            <v>81</v>
          </cell>
          <cell r="K284">
            <v>89</v>
          </cell>
          <cell r="N284">
            <v>288</v>
          </cell>
          <cell r="O284">
            <v>356</v>
          </cell>
          <cell r="P284">
            <v>262</v>
          </cell>
          <cell r="Q284">
            <v>220</v>
          </cell>
          <cell r="R284">
            <v>253</v>
          </cell>
          <cell r="S284">
            <v>262</v>
          </cell>
          <cell r="T284">
            <v>334</v>
          </cell>
          <cell r="U284">
            <v>474</v>
          </cell>
          <cell r="V284">
            <v>490</v>
          </cell>
        </row>
        <row r="285">
          <cell r="A285" t="str">
            <v>Total Cap Deployed  ($MM)</v>
          </cell>
          <cell r="B285">
            <v>596.02</v>
          </cell>
          <cell r="C285">
            <v>231</v>
          </cell>
          <cell r="D285">
            <v>555.98</v>
          </cell>
          <cell r="E285">
            <v>371.89499999999998</v>
          </cell>
          <cell r="F285">
            <v>789.9</v>
          </cell>
          <cell r="G285">
            <v>431.77980000000002</v>
          </cell>
          <cell r="H285">
            <v>985.31360000000018</v>
          </cell>
          <cell r="I285">
            <v>3570.0065999999997</v>
          </cell>
          <cell r="J285">
            <v>385</v>
          </cell>
          <cell r="K285">
            <v>233</v>
          </cell>
          <cell r="N285">
            <v>769</v>
          </cell>
          <cell r="O285">
            <v>2139</v>
          </cell>
          <cell r="P285">
            <v>873</v>
          </cell>
          <cell r="Q285">
            <v>3813</v>
          </cell>
          <cell r="R285">
            <v>1074</v>
          </cell>
          <cell r="S285">
            <v>1211</v>
          </cell>
          <cell r="T285">
            <v>3109.81342</v>
          </cell>
          <cell r="U285">
            <v>1756</v>
          </cell>
          <cell r="V285">
            <v>5777</v>
          </cell>
        </row>
        <row r="286">
          <cell r="A286" t="str">
            <v>Share repo authorization remaining</v>
          </cell>
          <cell r="B286">
            <v>8</v>
          </cell>
          <cell r="C286">
            <v>7.7</v>
          </cell>
          <cell r="D286">
            <v>3.6</v>
          </cell>
          <cell r="E286">
            <v>9.5551999999999992</v>
          </cell>
          <cell r="F286">
            <v>3.3</v>
          </cell>
          <cell r="G286">
            <v>1.2</v>
          </cell>
          <cell r="H286">
            <v>8</v>
          </cell>
          <cell r="I286">
            <v>4.9000000000000004</v>
          </cell>
          <cell r="J286">
            <v>0</v>
          </cell>
          <cell r="K286">
            <v>0</v>
          </cell>
          <cell r="N286">
            <v>1.8916000000000004</v>
          </cell>
          <cell r="O286">
            <v>-1.0409999999999995</v>
          </cell>
          <cell r="P286">
            <v>-3.6225999999999994</v>
          </cell>
          <cell r="Q286">
            <v>9.0136000000000003</v>
          </cell>
          <cell r="R286">
            <v>9.0136000000000003</v>
          </cell>
          <cell r="S286">
            <v>2.3336000000000006</v>
          </cell>
          <cell r="T286">
            <v>10</v>
          </cell>
          <cell r="U286">
            <v>9.5551999999999992</v>
          </cell>
          <cell r="V286">
            <v>4.9000000000000004</v>
          </cell>
        </row>
        <row r="288">
          <cell r="A288" t="str">
            <v>Cash Returned to Shareholders</v>
          </cell>
          <cell r="B288">
            <v>245.02</v>
          </cell>
          <cell r="C288">
            <v>117</v>
          </cell>
          <cell r="D288">
            <v>427.98</v>
          </cell>
          <cell r="E288">
            <v>160.89500000000001</v>
          </cell>
          <cell r="F288">
            <v>639.9</v>
          </cell>
          <cell r="G288">
            <v>315.77980000000002</v>
          </cell>
          <cell r="H288">
            <v>634.31360000000018</v>
          </cell>
          <cell r="I288">
            <v>473.00659999999993</v>
          </cell>
          <cell r="J288">
            <v>136</v>
          </cell>
          <cell r="K288">
            <v>147</v>
          </cell>
          <cell r="N288">
            <v>410</v>
          </cell>
          <cell r="O288">
            <v>332</v>
          </cell>
          <cell r="P288">
            <v>336</v>
          </cell>
          <cell r="Q288">
            <v>549</v>
          </cell>
          <cell r="R288">
            <v>278</v>
          </cell>
          <cell r="S288">
            <v>672</v>
          </cell>
          <cell r="T288">
            <v>433.81342000000001</v>
          </cell>
          <cell r="U288">
            <v>952</v>
          </cell>
          <cell r="V288">
            <v>2063</v>
          </cell>
        </row>
        <row r="289">
          <cell r="A289" t="str">
            <v>% FCF</v>
          </cell>
          <cell r="B289">
            <v>0.52243070362473354</v>
          </cell>
          <cell r="C289">
            <v>0.40068493150684931</v>
          </cell>
          <cell r="D289">
            <v>0.51813559322033897</v>
          </cell>
          <cell r="E289">
            <v>0.18057799555659507</v>
          </cell>
          <cell r="F289">
            <v>1.8494219653179189</v>
          </cell>
          <cell r="G289">
            <v>0.34701076923076923</v>
          </cell>
          <cell r="H289">
            <v>0.8468806408544729</v>
          </cell>
          <cell r="I289">
            <v>0.75199777424483294</v>
          </cell>
          <cell r="J289">
            <v>1.8630136986301369</v>
          </cell>
          <cell r="K289">
            <v>0.28269230769230769</v>
          </cell>
          <cell r="N289">
            <v>0.52491489337186115</v>
          </cell>
          <cell r="O289">
            <v>0.4468371467025572</v>
          </cell>
          <cell r="P289">
            <v>0.3902439024390244</v>
          </cell>
          <cell r="Q289">
            <v>0.37220338983050849</v>
          </cell>
          <cell r="R289">
            <v>0.18447246184472463</v>
          </cell>
          <cell r="S289">
            <v>0.37944664031620551</v>
          </cell>
          <cell r="T289">
            <v>0.23809737650933041</v>
          </cell>
          <cell r="U289">
            <v>0.38418079096045199</v>
          </cell>
          <cell r="V289">
            <v>0.7832194381169324</v>
          </cell>
        </row>
        <row r="291">
          <cell r="A291" t="str">
            <v xml:space="preserve">Taxes </v>
          </cell>
        </row>
        <row r="292">
          <cell r="A292" t="str">
            <v>Current - total</v>
          </cell>
          <cell r="N292">
            <v>321</v>
          </cell>
          <cell r="O292">
            <v>396</v>
          </cell>
          <cell r="P292">
            <v>352</v>
          </cell>
          <cell r="Q292">
            <v>299</v>
          </cell>
          <cell r="R292">
            <v>297</v>
          </cell>
          <cell r="S292">
            <v>546</v>
          </cell>
          <cell r="T292">
            <v>772</v>
          </cell>
          <cell r="U292">
            <v>863</v>
          </cell>
          <cell r="V292">
            <v>965</v>
          </cell>
        </row>
        <row r="293">
          <cell r="A293" t="str">
            <v>Deferred -total</v>
          </cell>
          <cell r="N293">
            <v>128</v>
          </cell>
          <cell r="O293">
            <v>114</v>
          </cell>
          <cell r="P293">
            <v>177</v>
          </cell>
          <cell r="Q293">
            <v>137</v>
          </cell>
          <cell r="R293">
            <v>279</v>
          </cell>
          <cell r="S293">
            <v>141</v>
          </cell>
          <cell r="T293">
            <v>45</v>
          </cell>
          <cell r="U293">
            <v>122</v>
          </cell>
          <cell r="V293">
            <v>196</v>
          </cell>
        </row>
        <row r="294">
          <cell r="A294" t="str">
            <v>Adjusts</v>
          </cell>
          <cell r="N294">
            <v>-90</v>
          </cell>
          <cell r="O294">
            <v>-28</v>
          </cell>
          <cell r="P294">
            <v>0</v>
          </cell>
          <cell r="Q294">
            <v>-68</v>
          </cell>
          <cell r="R294">
            <v>4</v>
          </cell>
          <cell r="S294">
            <v>-66</v>
          </cell>
          <cell r="T294">
            <v>0</v>
          </cell>
          <cell r="U294">
            <v>-18</v>
          </cell>
          <cell r="V294">
            <v>-35</v>
          </cell>
        </row>
        <row r="295">
          <cell r="A295" t="str">
            <v>Total</v>
          </cell>
          <cell r="N295">
            <v>359</v>
          </cell>
          <cell r="O295">
            <v>482</v>
          </cell>
          <cell r="P295">
            <v>529</v>
          </cell>
          <cell r="Q295">
            <v>368</v>
          </cell>
          <cell r="R295">
            <v>580</v>
          </cell>
          <cell r="S295">
            <v>621</v>
          </cell>
          <cell r="T295">
            <v>817</v>
          </cell>
          <cell r="U295">
            <v>967</v>
          </cell>
          <cell r="V295">
            <v>1126</v>
          </cell>
        </row>
        <row r="296">
          <cell r="A296" t="str">
            <v>Deferred/Total</v>
          </cell>
          <cell r="N296">
            <v>0.35654596100278552</v>
          </cell>
          <cell r="O296">
            <v>0.23651452282157676</v>
          </cell>
          <cell r="P296">
            <v>0.33459357277882795</v>
          </cell>
          <cell r="Q296">
            <v>0.37228260869565216</v>
          </cell>
          <cell r="R296">
            <v>0.48103448275862071</v>
          </cell>
          <cell r="S296">
            <v>0.22705314009661837</v>
          </cell>
          <cell r="T296">
            <v>5.5079559363525092E-2</v>
          </cell>
          <cell r="U296">
            <v>0.12616339193381593</v>
          </cell>
          <cell r="V296">
            <v>0.17406749555950266</v>
          </cell>
        </row>
        <row r="297">
          <cell r="A297" t="str">
            <v>Income Taxes Paid</v>
          </cell>
          <cell r="N297">
            <v>280</v>
          </cell>
          <cell r="O297">
            <v>326</v>
          </cell>
          <cell r="P297">
            <v>377</v>
          </cell>
          <cell r="Q297">
            <v>268</v>
          </cell>
          <cell r="R297">
            <v>304</v>
          </cell>
          <cell r="S297">
            <v>522</v>
          </cell>
          <cell r="T297">
            <v>743</v>
          </cell>
          <cell r="U297">
            <v>759</v>
          </cell>
          <cell r="V297">
            <v>841</v>
          </cell>
        </row>
        <row r="298">
          <cell r="A298" t="str">
            <v>Taxes Paid/Total</v>
          </cell>
          <cell r="N298">
            <v>0.77994428969359331</v>
          </cell>
          <cell r="O298">
            <v>0.67634854771784236</v>
          </cell>
          <cell r="P298">
            <v>0.7126654064272212</v>
          </cell>
          <cell r="Q298">
            <v>0.72826086956521741</v>
          </cell>
          <cell r="R298">
            <v>0.52413793103448281</v>
          </cell>
          <cell r="S298">
            <v>0.84057971014492749</v>
          </cell>
          <cell r="T298">
            <v>0.90942472460220314</v>
          </cell>
          <cell r="U298">
            <v>0.78490175801447781</v>
          </cell>
          <cell r="V298">
            <v>0.74689165186500883</v>
          </cell>
        </row>
        <row r="301">
          <cell r="A301" t="str">
            <v>General Dynamics</v>
          </cell>
        </row>
        <row r="302">
          <cell r="A302" t="str">
            <v>Balance Sheet</v>
          </cell>
        </row>
        <row r="303">
          <cell r="A303" t="str">
            <v>($USD in Millions, Except EPS)</v>
          </cell>
          <cell r="B303">
            <v>2007</v>
          </cell>
          <cell r="F303" t="str">
            <v>2008A</v>
          </cell>
          <cell r="J303" t="str">
            <v>2009E</v>
          </cell>
          <cell r="P303" t="str">
            <v>Revised</v>
          </cell>
          <cell r="Q303" t="str">
            <v>Revised</v>
          </cell>
          <cell r="R303" t="str">
            <v>Revised</v>
          </cell>
        </row>
        <row r="304">
          <cell r="B304" t="str">
            <v>Q1</v>
          </cell>
          <cell r="C304" t="str">
            <v>Q2</v>
          </cell>
          <cell r="D304" t="str">
            <v>Q3</v>
          </cell>
          <cell r="E304" t="str">
            <v>Q4</v>
          </cell>
          <cell r="F304" t="str">
            <v>Q1</v>
          </cell>
          <cell r="G304" t="str">
            <v>Q2</v>
          </cell>
          <cell r="H304" t="str">
            <v>Q3</v>
          </cell>
          <cell r="I304" t="str">
            <v>Q4</v>
          </cell>
          <cell r="J304" t="str">
            <v>Q1</v>
          </cell>
          <cell r="K304" t="str">
            <v>Q2A</v>
          </cell>
          <cell r="L304" t="str">
            <v>Q3E</v>
          </cell>
          <cell r="M304" t="str">
            <v>Q4E</v>
          </cell>
          <cell r="N304">
            <v>2000</v>
          </cell>
          <cell r="O304">
            <v>2001</v>
          </cell>
          <cell r="P304">
            <v>2002</v>
          </cell>
          <cell r="Q304">
            <v>2003</v>
          </cell>
          <cell r="R304">
            <v>2004</v>
          </cell>
          <cell r="S304">
            <v>2005</v>
          </cell>
          <cell r="T304">
            <v>2006</v>
          </cell>
          <cell r="U304">
            <v>2007</v>
          </cell>
          <cell r="V304" t="str">
            <v>2008A</v>
          </cell>
          <cell r="W304" t="str">
            <v>2009E</v>
          </cell>
          <cell r="X304" t="str">
            <v>2010E</v>
          </cell>
          <cell r="Y304" t="str">
            <v>2011E</v>
          </cell>
          <cell r="Z304" t="str">
            <v>2012E</v>
          </cell>
        </row>
        <row r="305">
          <cell r="A305" t="str">
            <v>Assets</v>
          </cell>
        </row>
        <row r="306">
          <cell r="A306" t="str">
            <v>Cash and equivalents</v>
          </cell>
          <cell r="B306">
            <v>1492</v>
          </cell>
          <cell r="C306">
            <v>1794</v>
          </cell>
          <cell r="D306">
            <v>2033</v>
          </cell>
          <cell r="E306">
            <v>2891</v>
          </cell>
          <cell r="F306">
            <v>2605</v>
          </cell>
          <cell r="G306">
            <v>2740</v>
          </cell>
          <cell r="H306">
            <v>2617</v>
          </cell>
          <cell r="I306">
            <v>1621</v>
          </cell>
          <cell r="J306">
            <v>1126</v>
          </cell>
          <cell r="K306">
            <v>1614</v>
          </cell>
          <cell r="N306">
            <v>177</v>
          </cell>
          <cell r="O306">
            <v>439</v>
          </cell>
          <cell r="P306">
            <v>328</v>
          </cell>
          <cell r="Q306">
            <v>861</v>
          </cell>
          <cell r="R306">
            <v>976</v>
          </cell>
          <cell r="S306">
            <v>2331</v>
          </cell>
          <cell r="T306">
            <v>1604</v>
          </cell>
          <cell r="U306">
            <v>2891</v>
          </cell>
          <cell r="V306">
            <v>1621</v>
          </cell>
          <cell r="W306">
            <v>3613.2032682729555</v>
          </cell>
          <cell r="X306">
            <v>5451.0628915562675</v>
          </cell>
          <cell r="Y306">
            <v>7469.7704194132839</v>
          </cell>
          <cell r="Z306">
            <v>9758.1478190695889</v>
          </cell>
          <cell r="BQ306" t="str">
            <v>mstag:cashAndCashEquivalents</v>
          </cell>
          <cell r="BR306">
            <v>6</v>
          </cell>
          <cell r="BS306" t="str">
            <v>ISO4217:USD</v>
          </cell>
          <cell r="BT306" t="b">
            <v>0</v>
          </cell>
          <cell r="BU306" t="b">
            <v>0</v>
          </cell>
        </row>
        <row r="307">
          <cell r="A307" t="str">
            <v>Marketable securities</v>
          </cell>
          <cell r="B307">
            <v>0</v>
          </cell>
          <cell r="C307">
            <v>0</v>
          </cell>
          <cell r="D307">
            <v>0</v>
          </cell>
          <cell r="E307">
            <v>0</v>
          </cell>
          <cell r="F307">
            <v>0</v>
          </cell>
          <cell r="G307">
            <v>0</v>
          </cell>
          <cell r="H307">
            <v>0</v>
          </cell>
          <cell r="I307">
            <v>0</v>
          </cell>
          <cell r="J307">
            <v>0</v>
          </cell>
          <cell r="K307">
            <v>0</v>
          </cell>
          <cell r="N307">
            <v>0</v>
          </cell>
          <cell r="O307">
            <v>0</v>
          </cell>
          <cell r="P307">
            <v>0</v>
          </cell>
          <cell r="Q307">
            <v>0</v>
          </cell>
          <cell r="R307">
            <v>0</v>
          </cell>
          <cell r="S307">
            <v>0</v>
          </cell>
          <cell r="T307">
            <v>0</v>
          </cell>
          <cell r="U307">
            <v>0</v>
          </cell>
          <cell r="V307">
            <v>0</v>
          </cell>
          <cell r="W307">
            <v>0</v>
          </cell>
          <cell r="X307">
            <v>0</v>
          </cell>
          <cell r="Y307">
            <v>0</v>
          </cell>
          <cell r="Z307">
            <v>0</v>
          </cell>
          <cell r="BQ307" t="str">
            <v>mstag:investmentsUnderTheEquityMethodNonOperating</v>
          </cell>
          <cell r="BR307">
            <v>6</v>
          </cell>
          <cell r="BS307" t="str">
            <v>ISO4217:USD</v>
          </cell>
          <cell r="BT307" t="b">
            <v>0</v>
          </cell>
          <cell r="BU307" t="b">
            <v>0</v>
          </cell>
        </row>
        <row r="308">
          <cell r="A308" t="str">
            <v>Accounts receivables</v>
          </cell>
          <cell r="B308">
            <v>2304</v>
          </cell>
          <cell r="C308">
            <v>2539</v>
          </cell>
          <cell r="D308">
            <v>2432</v>
          </cell>
          <cell r="E308">
            <v>2874</v>
          </cell>
          <cell r="F308">
            <v>2976</v>
          </cell>
          <cell r="G308">
            <v>2962</v>
          </cell>
          <cell r="H308">
            <v>3103</v>
          </cell>
          <cell r="I308">
            <v>3469</v>
          </cell>
          <cell r="J308">
            <v>3795</v>
          </cell>
          <cell r="K308">
            <v>3649</v>
          </cell>
          <cell r="N308">
            <v>798</v>
          </cell>
          <cell r="O308">
            <v>968</v>
          </cell>
          <cell r="P308">
            <v>1074</v>
          </cell>
          <cell r="Q308">
            <v>1344</v>
          </cell>
          <cell r="R308">
            <v>1450</v>
          </cell>
          <cell r="S308">
            <v>2004</v>
          </cell>
          <cell r="T308">
            <v>2341</v>
          </cell>
          <cell r="U308">
            <v>2874</v>
          </cell>
          <cell r="V308">
            <v>3469</v>
          </cell>
          <cell r="W308">
            <v>3069.4444444444443</v>
          </cell>
          <cell r="X308">
            <v>3114.7777777777778</v>
          </cell>
          <cell r="Y308">
            <v>3255.5</v>
          </cell>
          <cell r="Z308">
            <v>3470.833333333333</v>
          </cell>
          <cell r="BQ308" t="str">
            <v>mstag:tradeReceivables</v>
          </cell>
          <cell r="BR308">
            <v>6</v>
          </cell>
          <cell r="BS308" t="str">
            <v>ISO4217:USD</v>
          </cell>
          <cell r="BT308" t="b">
            <v>0</v>
          </cell>
          <cell r="BU308" t="b">
            <v>0</v>
          </cell>
        </row>
        <row r="309">
          <cell r="A309" t="str">
            <v>Contracts in process</v>
          </cell>
          <cell r="B309">
            <v>4160</v>
          </cell>
          <cell r="C309">
            <v>4233</v>
          </cell>
          <cell r="D309">
            <v>4192</v>
          </cell>
          <cell r="E309">
            <v>4337</v>
          </cell>
          <cell r="F309">
            <v>4381</v>
          </cell>
          <cell r="G309">
            <v>4505</v>
          </cell>
          <cell r="H309">
            <v>4364</v>
          </cell>
          <cell r="I309">
            <v>4341</v>
          </cell>
          <cell r="J309">
            <v>4238</v>
          </cell>
          <cell r="K309">
            <v>4408</v>
          </cell>
          <cell r="N309">
            <v>1238</v>
          </cell>
          <cell r="O309">
            <v>1732</v>
          </cell>
          <cell r="P309">
            <v>1914</v>
          </cell>
          <cell r="Q309">
            <v>2473</v>
          </cell>
          <cell r="R309">
            <v>2890</v>
          </cell>
          <cell r="S309">
            <v>3152</v>
          </cell>
          <cell r="T309">
            <v>3988</v>
          </cell>
          <cell r="U309">
            <v>4337</v>
          </cell>
          <cell r="V309">
            <v>4341</v>
          </cell>
          <cell r="W309">
            <v>5450</v>
          </cell>
          <cell r="X309">
            <v>5536</v>
          </cell>
          <cell r="Y309">
            <v>5674</v>
          </cell>
          <cell r="Z309">
            <v>5870</v>
          </cell>
          <cell r="BQ309" t="str">
            <v>mstag:unbilledReceivablesCurrent</v>
          </cell>
          <cell r="BR309">
            <v>6</v>
          </cell>
          <cell r="BS309" t="str">
            <v>ISO4217:USD</v>
          </cell>
          <cell r="BT309" t="b">
            <v>0</v>
          </cell>
          <cell r="BU309" t="b">
            <v>0</v>
          </cell>
        </row>
        <row r="310">
          <cell r="A310" t="str">
            <v>Inventories</v>
          </cell>
          <cell r="B310">
            <v>1604</v>
          </cell>
          <cell r="C310">
            <v>1595</v>
          </cell>
          <cell r="D310">
            <v>1556</v>
          </cell>
          <cell r="E310">
            <v>1621</v>
          </cell>
          <cell r="F310">
            <v>1663</v>
          </cell>
          <cell r="G310">
            <v>1672</v>
          </cell>
          <cell r="H310">
            <v>1725</v>
          </cell>
          <cell r="I310">
            <v>2029</v>
          </cell>
          <cell r="J310">
            <v>2083</v>
          </cell>
          <cell r="K310">
            <v>2138</v>
          </cell>
          <cell r="N310">
            <v>953</v>
          </cell>
          <cell r="O310">
            <v>1289</v>
          </cell>
          <cell r="P310">
            <v>1405</v>
          </cell>
          <cell r="Q310">
            <v>1159</v>
          </cell>
          <cell r="R310">
            <v>1195</v>
          </cell>
          <cell r="S310">
            <v>1293</v>
          </cell>
          <cell r="T310">
            <v>1484</v>
          </cell>
          <cell r="U310">
            <v>1621</v>
          </cell>
          <cell r="V310">
            <v>2029</v>
          </cell>
          <cell r="W310">
            <v>2100</v>
          </cell>
          <cell r="X310">
            <v>2120</v>
          </cell>
          <cell r="Y310">
            <v>2440</v>
          </cell>
          <cell r="Z310">
            <v>2960</v>
          </cell>
          <cell r="BQ310" t="str">
            <v>mstag:inventories</v>
          </cell>
          <cell r="BR310">
            <v>6</v>
          </cell>
          <cell r="BS310" t="str">
            <v>ISO4217:USD</v>
          </cell>
          <cell r="BT310" t="b">
            <v>0</v>
          </cell>
          <cell r="BU310" t="b">
            <v>0</v>
          </cell>
        </row>
        <row r="311">
          <cell r="A311" t="str">
            <v>Other current assets</v>
          </cell>
          <cell r="B311">
            <v>398</v>
          </cell>
          <cell r="C311">
            <v>390</v>
          </cell>
          <cell r="D311">
            <v>674</v>
          </cell>
          <cell r="E311">
            <v>575</v>
          </cell>
          <cell r="F311">
            <v>565</v>
          </cell>
          <cell r="G311">
            <v>569</v>
          </cell>
          <cell r="H311">
            <v>450</v>
          </cell>
          <cell r="I311">
            <v>490</v>
          </cell>
          <cell r="J311">
            <v>588</v>
          </cell>
          <cell r="K311">
            <v>489</v>
          </cell>
          <cell r="N311">
            <v>385</v>
          </cell>
          <cell r="O311">
            <v>517</v>
          </cell>
          <cell r="P311">
            <v>377</v>
          </cell>
          <cell r="Q311">
            <v>787</v>
          </cell>
          <cell r="R311">
            <v>820</v>
          </cell>
          <cell r="S311">
            <v>669</v>
          </cell>
          <cell r="T311">
            <v>463</v>
          </cell>
          <cell r="U311">
            <v>575</v>
          </cell>
          <cell r="V311">
            <v>490</v>
          </cell>
          <cell r="W311">
            <v>588.19984127200007</v>
          </cell>
          <cell r="X311">
            <v>696.22776477156833</v>
          </cell>
          <cell r="Y311">
            <v>696.22776477156833</v>
          </cell>
          <cell r="Z311">
            <v>696.22776477156833</v>
          </cell>
          <cell r="BQ311" t="str">
            <v>mstag:otherAssetsOperatingCurrent</v>
          </cell>
          <cell r="BR311">
            <v>6</v>
          </cell>
          <cell r="BS311" t="str">
            <v>ISO4217:USD</v>
          </cell>
          <cell r="BT311" t="b">
            <v>0</v>
          </cell>
          <cell r="BU311" t="b">
            <v>0</v>
          </cell>
        </row>
        <row r="312">
          <cell r="A312" t="str">
            <v>Total Current Assets</v>
          </cell>
          <cell r="B312">
            <v>9958</v>
          </cell>
          <cell r="C312">
            <v>10551</v>
          </cell>
          <cell r="D312">
            <v>10887</v>
          </cell>
          <cell r="E312">
            <v>12298</v>
          </cell>
          <cell r="F312">
            <v>12190</v>
          </cell>
          <cell r="G312">
            <v>12448</v>
          </cell>
          <cell r="H312">
            <v>12259</v>
          </cell>
          <cell r="I312">
            <v>11950</v>
          </cell>
          <cell r="J312">
            <v>11830</v>
          </cell>
          <cell r="K312">
            <v>12298</v>
          </cell>
          <cell r="N312">
            <v>3551</v>
          </cell>
          <cell r="O312">
            <v>4945</v>
          </cell>
          <cell r="P312">
            <v>5098</v>
          </cell>
          <cell r="Q312">
            <v>6624</v>
          </cell>
          <cell r="R312">
            <v>7331</v>
          </cell>
          <cell r="S312">
            <v>9449</v>
          </cell>
          <cell r="T312">
            <v>9880</v>
          </cell>
          <cell r="U312">
            <v>12298</v>
          </cell>
          <cell r="V312">
            <v>11950</v>
          </cell>
          <cell r="W312">
            <v>14820.847553989401</v>
          </cell>
          <cell r="X312">
            <v>16918.068434105615</v>
          </cell>
          <cell r="Y312">
            <v>19535.498184184849</v>
          </cell>
          <cell r="Z312">
            <v>22755.208917174488</v>
          </cell>
        </row>
        <row r="314">
          <cell r="A314" t="str">
            <v>Property, plant, and equipment, net</v>
          </cell>
          <cell r="B314">
            <v>2223</v>
          </cell>
          <cell r="C314">
            <v>2233</v>
          </cell>
          <cell r="D314">
            <v>2364</v>
          </cell>
          <cell r="E314">
            <v>2472</v>
          </cell>
          <cell r="F314">
            <v>2487</v>
          </cell>
          <cell r="G314">
            <v>2546</v>
          </cell>
          <cell r="H314">
            <v>2566</v>
          </cell>
          <cell r="I314">
            <v>2872</v>
          </cell>
          <cell r="J314">
            <v>2840</v>
          </cell>
          <cell r="K314">
            <v>2857</v>
          </cell>
          <cell r="N314">
            <v>1294</v>
          </cell>
          <cell r="O314">
            <v>1718</v>
          </cell>
          <cell r="P314">
            <v>1856</v>
          </cell>
          <cell r="Q314">
            <v>2060</v>
          </cell>
          <cell r="R314">
            <v>2153</v>
          </cell>
          <cell r="S314">
            <v>2028</v>
          </cell>
          <cell r="T314">
            <v>2168</v>
          </cell>
          <cell r="U314">
            <v>2472</v>
          </cell>
          <cell r="V314">
            <v>2872</v>
          </cell>
          <cell r="W314">
            <v>3053.875</v>
          </cell>
          <cell r="X314">
            <v>3201.375</v>
          </cell>
          <cell r="Y314">
            <v>3361.375</v>
          </cell>
          <cell r="Z314">
            <v>3483.875</v>
          </cell>
          <cell r="BQ314" t="str">
            <v>mstag:propertyPlantAndEquipmentNet</v>
          </cell>
          <cell r="BR314">
            <v>6</v>
          </cell>
          <cell r="BS314" t="str">
            <v>ISO4217:USD</v>
          </cell>
          <cell r="BT314" t="b">
            <v>0</v>
          </cell>
          <cell r="BU314" t="b">
            <v>0</v>
          </cell>
        </row>
        <row r="315">
          <cell r="A315" t="str">
            <v>Goodwill</v>
          </cell>
          <cell r="B315">
            <v>8629</v>
          </cell>
          <cell r="C315">
            <v>8838</v>
          </cell>
          <cell r="D315">
            <v>8920</v>
          </cell>
          <cell r="E315">
            <v>8942</v>
          </cell>
          <cell r="F315">
            <v>8979</v>
          </cell>
          <cell r="G315">
            <v>8986</v>
          </cell>
          <cell r="H315">
            <v>9134</v>
          </cell>
          <cell r="I315">
            <v>11413</v>
          </cell>
          <cell r="J315">
            <v>1606</v>
          </cell>
          <cell r="K315">
            <v>1566</v>
          </cell>
          <cell r="N315">
            <v>2003</v>
          </cell>
          <cell r="O315">
            <v>3110</v>
          </cell>
          <cell r="P315">
            <v>3510</v>
          </cell>
          <cell r="Q315">
            <v>5955</v>
          </cell>
          <cell r="R315">
            <v>6429</v>
          </cell>
          <cell r="S315">
            <v>6686</v>
          </cell>
          <cell r="T315">
            <v>8541</v>
          </cell>
          <cell r="U315">
            <v>8942</v>
          </cell>
          <cell r="V315">
            <v>11413</v>
          </cell>
          <cell r="W315">
            <v>11413</v>
          </cell>
          <cell r="X315">
            <v>11413</v>
          </cell>
          <cell r="Y315">
            <v>11413</v>
          </cell>
          <cell r="Z315">
            <v>11413</v>
          </cell>
          <cell r="BQ315" t="str">
            <v>mstag:goodwill</v>
          </cell>
          <cell r="BR315">
            <v>6</v>
          </cell>
          <cell r="BS315" t="str">
            <v>ISO4217:USD</v>
          </cell>
          <cell r="BT315" t="b">
            <v>0</v>
          </cell>
          <cell r="BU315" t="b">
            <v>0</v>
          </cell>
        </row>
        <row r="316">
          <cell r="A316" t="str">
            <v>Intangible assets</v>
          </cell>
          <cell r="B316">
            <v>1239</v>
          </cell>
          <cell r="C316">
            <v>1093</v>
          </cell>
          <cell r="D316">
            <v>1028</v>
          </cell>
          <cell r="E316">
            <v>972</v>
          </cell>
          <cell r="F316">
            <v>954</v>
          </cell>
          <cell r="G316">
            <v>920</v>
          </cell>
          <cell r="H316">
            <v>924</v>
          </cell>
          <cell r="I316">
            <v>1617</v>
          </cell>
          <cell r="J316">
            <v>11529</v>
          </cell>
          <cell r="K316">
            <v>11739</v>
          </cell>
          <cell r="N316">
            <v>528</v>
          </cell>
          <cell r="O316">
            <v>648</v>
          </cell>
          <cell r="P316">
            <v>560</v>
          </cell>
          <cell r="Q316">
            <v>953</v>
          </cell>
          <cell r="R316">
            <v>948</v>
          </cell>
          <cell r="S316">
            <v>898</v>
          </cell>
          <cell r="T316">
            <v>1184</v>
          </cell>
          <cell r="U316">
            <v>972</v>
          </cell>
          <cell r="V316">
            <v>1617</v>
          </cell>
          <cell r="W316">
            <v>1487</v>
          </cell>
          <cell r="X316">
            <v>1357</v>
          </cell>
          <cell r="Y316">
            <v>1227</v>
          </cell>
          <cell r="Z316">
            <v>1097</v>
          </cell>
          <cell r="BQ316" t="str">
            <v>mstag:otherIntangibleAssets</v>
          </cell>
          <cell r="BR316">
            <v>6</v>
          </cell>
          <cell r="BS316" t="str">
            <v>ISO4217:USD</v>
          </cell>
          <cell r="BT316" t="b">
            <v>0</v>
          </cell>
          <cell r="BU316" t="b">
            <v>0</v>
          </cell>
        </row>
        <row r="317">
          <cell r="A317" t="str">
            <v>Other assets</v>
          </cell>
          <cell r="B317">
            <v>683</v>
          </cell>
          <cell r="C317">
            <v>692</v>
          </cell>
          <cell r="D317">
            <v>684</v>
          </cell>
          <cell r="E317">
            <v>1049</v>
          </cell>
          <cell r="F317">
            <v>1097</v>
          </cell>
          <cell r="G317">
            <v>1189</v>
          </cell>
          <cell r="H317">
            <v>1163</v>
          </cell>
          <cell r="I317">
            <v>521</v>
          </cell>
          <cell r="J317">
            <v>474</v>
          </cell>
          <cell r="K317">
            <v>398</v>
          </cell>
          <cell r="N317">
            <v>611</v>
          </cell>
          <cell r="O317">
            <v>648</v>
          </cell>
          <cell r="P317">
            <v>707</v>
          </cell>
          <cell r="Q317">
            <v>591</v>
          </cell>
          <cell r="R317">
            <v>683</v>
          </cell>
          <cell r="S317">
            <v>639</v>
          </cell>
          <cell r="T317">
            <v>603</v>
          </cell>
          <cell r="U317">
            <v>1049</v>
          </cell>
          <cell r="V317">
            <v>521</v>
          </cell>
          <cell r="W317">
            <v>521</v>
          </cell>
          <cell r="X317">
            <v>521</v>
          </cell>
          <cell r="Y317">
            <v>521</v>
          </cell>
          <cell r="Z317">
            <v>521</v>
          </cell>
          <cell r="BQ317" t="str">
            <v>mstag:otherAssetsOperatingNonCurrent</v>
          </cell>
          <cell r="BR317">
            <v>6</v>
          </cell>
          <cell r="BS317" t="str">
            <v>ISO4217:USD</v>
          </cell>
          <cell r="BT317" t="b">
            <v>0</v>
          </cell>
          <cell r="BU317" t="b">
            <v>0</v>
          </cell>
        </row>
        <row r="318">
          <cell r="A318" t="str">
            <v>Total Noncurrent assets</v>
          </cell>
          <cell r="B318">
            <v>12774</v>
          </cell>
          <cell r="C318">
            <v>12856</v>
          </cell>
          <cell r="D318">
            <v>12996</v>
          </cell>
          <cell r="E318">
            <v>13435</v>
          </cell>
          <cell r="F318">
            <v>13517</v>
          </cell>
          <cell r="G318">
            <v>13641</v>
          </cell>
          <cell r="H318">
            <v>13787</v>
          </cell>
          <cell r="I318">
            <v>16423</v>
          </cell>
          <cell r="J318">
            <v>16449</v>
          </cell>
          <cell r="K318">
            <v>16560</v>
          </cell>
          <cell r="N318">
            <v>4436</v>
          </cell>
          <cell r="O318">
            <v>6124</v>
          </cell>
          <cell r="P318">
            <v>6633</v>
          </cell>
          <cell r="Q318">
            <v>9559</v>
          </cell>
          <cell r="R318">
            <v>10213</v>
          </cell>
          <cell r="S318">
            <v>10251</v>
          </cell>
          <cell r="T318">
            <v>12496</v>
          </cell>
          <cell r="U318">
            <v>13435</v>
          </cell>
          <cell r="V318">
            <v>16423</v>
          </cell>
          <cell r="W318">
            <v>16474.875</v>
          </cell>
          <cell r="X318">
            <v>16492.375</v>
          </cell>
          <cell r="Y318">
            <v>16522.375</v>
          </cell>
          <cell r="Z318">
            <v>16514.875</v>
          </cell>
        </row>
        <row r="320">
          <cell r="A320" t="str">
            <v>Total Assets</v>
          </cell>
          <cell r="B320">
            <v>22732</v>
          </cell>
          <cell r="C320">
            <v>23407</v>
          </cell>
          <cell r="D320">
            <v>23883</v>
          </cell>
          <cell r="E320">
            <v>25733</v>
          </cell>
          <cell r="F320">
            <v>25707</v>
          </cell>
          <cell r="G320">
            <v>26089</v>
          </cell>
          <cell r="H320">
            <v>26046</v>
          </cell>
          <cell r="I320">
            <v>28373</v>
          </cell>
          <cell r="J320">
            <v>28279</v>
          </cell>
          <cell r="K320">
            <v>28858</v>
          </cell>
          <cell r="N320">
            <v>7987</v>
          </cell>
          <cell r="O320">
            <v>11069</v>
          </cell>
          <cell r="P320">
            <v>11731</v>
          </cell>
          <cell r="Q320">
            <v>16183</v>
          </cell>
          <cell r="R320">
            <v>17544</v>
          </cell>
          <cell r="S320">
            <v>19700</v>
          </cell>
          <cell r="T320">
            <v>22376</v>
          </cell>
          <cell r="U320">
            <v>25733</v>
          </cell>
          <cell r="V320">
            <v>28373</v>
          </cell>
          <cell r="W320">
            <v>31295.722553989399</v>
          </cell>
          <cell r="X320">
            <v>33410.443434105619</v>
          </cell>
          <cell r="Y320">
            <v>36057.873184184849</v>
          </cell>
          <cell r="Z320">
            <v>39270.083917174488</v>
          </cell>
        </row>
        <row r="322">
          <cell r="A322" t="str">
            <v>Liabs. and Shareholders' Equity</v>
          </cell>
        </row>
        <row r="323">
          <cell r="A323" t="str">
            <v>Short-term debt and current port of long-term debt</v>
          </cell>
          <cell r="B323">
            <v>8</v>
          </cell>
          <cell r="C323">
            <v>506</v>
          </cell>
          <cell r="D323">
            <v>656</v>
          </cell>
          <cell r="E323">
            <v>673</v>
          </cell>
          <cell r="F323">
            <v>673</v>
          </cell>
          <cell r="G323">
            <v>172</v>
          </cell>
          <cell r="H323">
            <v>22</v>
          </cell>
          <cell r="I323">
            <v>911</v>
          </cell>
          <cell r="J323">
            <v>770</v>
          </cell>
          <cell r="K323">
            <v>55</v>
          </cell>
          <cell r="N323">
            <v>340</v>
          </cell>
          <cell r="O323">
            <v>1211</v>
          </cell>
          <cell r="P323">
            <v>750</v>
          </cell>
          <cell r="Q323">
            <v>747</v>
          </cell>
          <cell r="R323">
            <v>6</v>
          </cell>
          <cell r="S323">
            <v>509</v>
          </cell>
          <cell r="T323">
            <v>7</v>
          </cell>
          <cell r="U323">
            <v>673</v>
          </cell>
          <cell r="V323">
            <v>911</v>
          </cell>
          <cell r="W323">
            <v>100</v>
          </cell>
          <cell r="X323">
            <v>100</v>
          </cell>
          <cell r="Y323">
            <v>100</v>
          </cell>
          <cell r="Z323">
            <v>100</v>
          </cell>
          <cell r="BQ323" t="str">
            <v>mstag:shortTermBorrowings</v>
          </cell>
          <cell r="BR323">
            <v>6</v>
          </cell>
          <cell r="BS323" t="str">
            <v>ISO4217:USD</v>
          </cell>
          <cell r="BT323" t="b">
            <v>0</v>
          </cell>
          <cell r="BU323" t="b">
            <v>0</v>
          </cell>
        </row>
        <row r="324">
          <cell r="A324" t="str">
            <v>Accounts payable</v>
          </cell>
          <cell r="B324">
            <v>1924</v>
          </cell>
          <cell r="C324">
            <v>1819</v>
          </cell>
          <cell r="D324">
            <v>1926</v>
          </cell>
          <cell r="E324">
            <v>2318</v>
          </cell>
          <cell r="F324">
            <v>2091</v>
          </cell>
          <cell r="G324">
            <v>2115</v>
          </cell>
          <cell r="H324">
            <v>2064</v>
          </cell>
          <cell r="I324">
            <v>2443</v>
          </cell>
          <cell r="J324">
            <v>2596</v>
          </cell>
          <cell r="K324">
            <v>2427</v>
          </cell>
          <cell r="N324">
            <v>717</v>
          </cell>
          <cell r="O324">
            <v>890</v>
          </cell>
          <cell r="P324">
            <v>1056</v>
          </cell>
          <cell r="Q324">
            <v>1288</v>
          </cell>
          <cell r="R324">
            <v>1505</v>
          </cell>
          <cell r="S324">
            <v>1686</v>
          </cell>
          <cell r="T324">
            <v>1956</v>
          </cell>
          <cell r="U324">
            <v>2318</v>
          </cell>
          <cell r="V324">
            <v>2443</v>
          </cell>
          <cell r="W324">
            <v>2827.5</v>
          </cell>
          <cell r="X324">
            <v>2869.2599999999998</v>
          </cell>
          <cell r="Y324">
            <v>2998.89</v>
          </cell>
          <cell r="Z324">
            <v>3197.25</v>
          </cell>
          <cell r="BQ324" t="str">
            <v>mstag:tradeAndOtherPayables</v>
          </cell>
          <cell r="BR324">
            <v>6</v>
          </cell>
          <cell r="BS324" t="str">
            <v>ISO4217:USD</v>
          </cell>
          <cell r="BT324" t="b">
            <v>0</v>
          </cell>
          <cell r="BU324" t="b">
            <v>0</v>
          </cell>
        </row>
        <row r="325">
          <cell r="A325" t="str">
            <v>Billings in excess of costs &amp; est profits</v>
          </cell>
          <cell r="B325">
            <v>0</v>
          </cell>
          <cell r="C325">
            <v>0</v>
          </cell>
          <cell r="D325">
            <v>0</v>
          </cell>
          <cell r="E325">
            <v>0</v>
          </cell>
          <cell r="F325">
            <v>0</v>
          </cell>
          <cell r="G325">
            <v>0</v>
          </cell>
          <cell r="H325">
            <v>0</v>
          </cell>
          <cell r="I325">
            <v>0</v>
          </cell>
          <cell r="J325">
            <v>0</v>
          </cell>
          <cell r="K325">
            <v>0</v>
          </cell>
          <cell r="N325">
            <v>43</v>
          </cell>
          <cell r="O325">
            <v>407</v>
          </cell>
          <cell r="P325">
            <v>516</v>
          </cell>
          <cell r="Q325">
            <v>791</v>
          </cell>
          <cell r="R325">
            <v>1003</v>
          </cell>
          <cell r="S325">
            <v>0</v>
          </cell>
          <cell r="T325">
            <v>0</v>
          </cell>
          <cell r="U325">
            <v>0</v>
          </cell>
          <cell r="V325">
            <v>0</v>
          </cell>
          <cell r="W325">
            <v>0</v>
          </cell>
          <cell r="X325">
            <v>0</v>
          </cell>
          <cell r="Y325">
            <v>0</v>
          </cell>
          <cell r="Z325">
            <v>0</v>
          </cell>
          <cell r="BQ325" t="str">
            <v>mstag:billingsInExcessOfCost</v>
          </cell>
          <cell r="BR325">
            <v>6</v>
          </cell>
          <cell r="BS325" t="str">
            <v>ISO4217:USD</v>
          </cell>
          <cell r="BT325" t="b">
            <v>0</v>
          </cell>
          <cell r="BU325" t="b">
            <v>0</v>
          </cell>
        </row>
        <row r="326">
          <cell r="A326" t="str">
            <v>Workers compensation</v>
          </cell>
          <cell r="B326">
            <v>518</v>
          </cell>
          <cell r="C326">
            <v>0</v>
          </cell>
          <cell r="D326">
            <v>0</v>
          </cell>
          <cell r="E326">
            <v>0</v>
          </cell>
          <cell r="F326">
            <v>0</v>
          </cell>
          <cell r="G326">
            <v>0</v>
          </cell>
          <cell r="H326">
            <v>0</v>
          </cell>
          <cell r="I326">
            <v>0</v>
          </cell>
          <cell r="J326">
            <v>0</v>
          </cell>
          <cell r="K326">
            <v>0</v>
          </cell>
          <cell r="N326">
            <v>454</v>
          </cell>
          <cell r="O326">
            <v>473</v>
          </cell>
          <cell r="P326">
            <v>509</v>
          </cell>
          <cell r="Q326">
            <v>547</v>
          </cell>
          <cell r="R326">
            <v>432</v>
          </cell>
          <cell r="S326">
            <v>412</v>
          </cell>
          <cell r="T326">
            <v>546</v>
          </cell>
          <cell r="U326">
            <v>534</v>
          </cell>
          <cell r="V326">
            <v>0</v>
          </cell>
          <cell r="W326">
            <v>0</v>
          </cell>
          <cell r="X326">
            <v>0</v>
          </cell>
          <cell r="Y326">
            <v>0</v>
          </cell>
          <cell r="Z326">
            <v>0</v>
          </cell>
          <cell r="BQ326" t="str">
            <v>mstag:payrollAndBenefitsRelatedLiabilities</v>
          </cell>
          <cell r="BR326">
            <v>6</v>
          </cell>
          <cell r="BS326" t="str">
            <v>ISO4217:USD</v>
          </cell>
          <cell r="BT326" t="b">
            <v>0</v>
          </cell>
          <cell r="BU326" t="b">
            <v>0</v>
          </cell>
        </row>
        <row r="327">
          <cell r="A327" t="str">
            <v>Customer deposits on commercial contracts</v>
          </cell>
          <cell r="B327">
            <v>2870</v>
          </cell>
          <cell r="C327">
            <v>3048</v>
          </cell>
          <cell r="D327">
            <v>2877</v>
          </cell>
          <cell r="E327">
            <v>3440</v>
          </cell>
          <cell r="F327">
            <v>3483</v>
          </cell>
          <cell r="G327">
            <v>3776</v>
          </cell>
          <cell r="H327">
            <v>3677</v>
          </cell>
          <cell r="I327">
            <v>4154</v>
          </cell>
          <cell r="J327">
            <v>3679</v>
          </cell>
          <cell r="K327">
            <v>3862</v>
          </cell>
          <cell r="N327">
            <v>518</v>
          </cell>
          <cell r="O327">
            <v>358</v>
          </cell>
          <cell r="P327">
            <v>384</v>
          </cell>
          <cell r="Q327">
            <v>465</v>
          </cell>
          <cell r="R327">
            <v>653</v>
          </cell>
          <cell r="S327">
            <v>2565</v>
          </cell>
          <cell r="T327">
            <v>2949</v>
          </cell>
          <cell r="U327">
            <v>3440</v>
          </cell>
          <cell r="V327">
            <v>4154</v>
          </cell>
          <cell r="W327">
            <v>5427.5</v>
          </cell>
          <cell r="X327">
            <v>5771.5</v>
          </cell>
          <cell r="Y327">
            <v>6032.25</v>
          </cell>
          <cell r="Z327">
            <v>6431.25</v>
          </cell>
          <cell r="BQ327" t="str">
            <v>mstag:customerAdvancesOrDepositsCurrent</v>
          </cell>
          <cell r="BR327">
            <v>6</v>
          </cell>
          <cell r="BS327" t="str">
            <v>ISO4217:USD</v>
          </cell>
          <cell r="BT327" t="b">
            <v>0</v>
          </cell>
          <cell r="BU327" t="b">
            <v>0</v>
          </cell>
        </row>
        <row r="328">
          <cell r="A328" t="str">
            <v>Salaries and wages</v>
          </cell>
          <cell r="B328">
            <v>494</v>
          </cell>
          <cell r="C328">
            <v>0</v>
          </cell>
          <cell r="D328">
            <v>0</v>
          </cell>
          <cell r="E328">
            <v>0</v>
          </cell>
          <cell r="F328">
            <v>0</v>
          </cell>
          <cell r="G328">
            <v>0</v>
          </cell>
          <cell r="H328">
            <v>0</v>
          </cell>
          <cell r="I328">
            <v>0</v>
          </cell>
          <cell r="J328">
            <v>0</v>
          </cell>
          <cell r="K328">
            <v>0</v>
          </cell>
          <cell r="N328">
            <v>182</v>
          </cell>
          <cell r="O328">
            <v>225</v>
          </cell>
          <cell r="P328">
            <v>222</v>
          </cell>
          <cell r="Q328">
            <v>355</v>
          </cell>
          <cell r="R328">
            <v>365</v>
          </cell>
          <cell r="S328">
            <v>387</v>
          </cell>
          <cell r="T328">
            <v>457</v>
          </cell>
          <cell r="U328">
            <v>571</v>
          </cell>
          <cell r="V328">
            <v>0</v>
          </cell>
          <cell r="W328">
            <v>0</v>
          </cell>
          <cell r="X328">
            <v>0</v>
          </cell>
          <cell r="Y328">
            <v>0</v>
          </cell>
          <cell r="Z328">
            <v>0</v>
          </cell>
          <cell r="BQ328" t="str">
            <v>mstag:payrollAndBenefitsRelatedLiabilities</v>
          </cell>
          <cell r="BR328">
            <v>6</v>
          </cell>
          <cell r="BS328" t="str">
            <v>ISO4217:USD</v>
          </cell>
          <cell r="BT328" t="b">
            <v>0</v>
          </cell>
          <cell r="BU328" t="b">
            <v>0</v>
          </cell>
        </row>
        <row r="329">
          <cell r="A329" t="str">
            <v>Retirement benefits</v>
          </cell>
          <cell r="B329">
            <v>760</v>
          </cell>
          <cell r="C329">
            <v>0</v>
          </cell>
          <cell r="D329">
            <v>0</v>
          </cell>
          <cell r="E329">
            <v>0</v>
          </cell>
          <cell r="F329">
            <v>0</v>
          </cell>
          <cell r="G329">
            <v>0</v>
          </cell>
          <cell r="H329">
            <v>0</v>
          </cell>
          <cell r="I329">
            <v>0</v>
          </cell>
          <cell r="J329">
            <v>0</v>
          </cell>
          <cell r="K329">
            <v>0</v>
          </cell>
          <cell r="N329">
            <v>253</v>
          </cell>
          <cell r="O329">
            <v>264</v>
          </cell>
          <cell r="P329">
            <v>274</v>
          </cell>
          <cell r="Q329">
            <v>295</v>
          </cell>
          <cell r="R329">
            <v>357</v>
          </cell>
          <cell r="S329">
            <v>369</v>
          </cell>
          <cell r="T329">
            <v>739</v>
          </cell>
          <cell r="U329">
            <v>585</v>
          </cell>
          <cell r="V329">
            <v>0</v>
          </cell>
          <cell r="W329">
            <v>0</v>
          </cell>
          <cell r="X329">
            <v>0</v>
          </cell>
          <cell r="Y329">
            <v>0</v>
          </cell>
          <cell r="Z329">
            <v>0</v>
          </cell>
          <cell r="BQ329" t="str">
            <v>mstag:pensionAndOtherPostRetirementObligations</v>
          </cell>
          <cell r="BR329">
            <v>6</v>
          </cell>
          <cell r="BS329" t="str">
            <v>ISO4217:USD</v>
          </cell>
          <cell r="BT329" t="b">
            <v>0</v>
          </cell>
          <cell r="BU329" t="b">
            <v>0</v>
          </cell>
        </row>
        <row r="330">
          <cell r="A330" t="str">
            <v>Liabilities of discontinued operations</v>
          </cell>
          <cell r="B330">
            <v>0</v>
          </cell>
          <cell r="C330">
            <v>0</v>
          </cell>
          <cell r="D330">
            <v>0</v>
          </cell>
          <cell r="E330">
            <v>0</v>
          </cell>
          <cell r="F330">
            <v>0</v>
          </cell>
          <cell r="G330">
            <v>0</v>
          </cell>
          <cell r="H330">
            <v>0</v>
          </cell>
          <cell r="I330">
            <v>0</v>
          </cell>
          <cell r="J330">
            <v>0</v>
          </cell>
          <cell r="K330">
            <v>0</v>
          </cell>
          <cell r="N330">
            <v>0</v>
          </cell>
          <cell r="O330">
            <v>14</v>
          </cell>
          <cell r="P330">
            <v>125</v>
          </cell>
          <cell r="Q330">
            <v>140</v>
          </cell>
          <cell r="R330">
            <v>101</v>
          </cell>
          <cell r="S330">
            <v>207</v>
          </cell>
          <cell r="T330">
            <v>228</v>
          </cell>
          <cell r="U330">
            <v>0</v>
          </cell>
          <cell r="V330">
            <v>0</v>
          </cell>
          <cell r="W330">
            <v>0</v>
          </cell>
          <cell r="X330">
            <v>0</v>
          </cell>
          <cell r="Y330">
            <v>0</v>
          </cell>
          <cell r="Z330">
            <v>0</v>
          </cell>
          <cell r="BQ330" t="str">
            <v>mstag:liabilitiesOfDiscontinuedOperations</v>
          </cell>
          <cell r="BR330">
            <v>6</v>
          </cell>
          <cell r="BS330" t="str">
            <v>ISO4217:USD</v>
          </cell>
          <cell r="BT330" t="b">
            <v>0</v>
          </cell>
          <cell r="BU330" t="b">
            <v>0</v>
          </cell>
        </row>
        <row r="331">
          <cell r="A331" t="str">
            <v>Other current liabilities</v>
          </cell>
          <cell r="B331">
            <v>1095</v>
          </cell>
          <cell r="C331">
            <v>2765</v>
          </cell>
          <cell r="D331">
            <v>2878</v>
          </cell>
          <cell r="E331">
            <v>2733</v>
          </cell>
          <cell r="F331">
            <v>2809</v>
          </cell>
          <cell r="G331">
            <v>2643</v>
          </cell>
          <cell r="H331">
            <v>2790</v>
          </cell>
          <cell r="I331">
            <v>2852</v>
          </cell>
          <cell r="J331">
            <v>3035</v>
          </cell>
          <cell r="K331">
            <v>2916</v>
          </cell>
          <cell r="N331">
            <v>394</v>
          </cell>
          <cell r="O331">
            <v>737</v>
          </cell>
          <cell r="P331">
            <v>746</v>
          </cell>
          <cell r="Q331">
            <v>996</v>
          </cell>
          <cell r="R331">
            <v>956</v>
          </cell>
          <cell r="S331">
            <v>975</v>
          </cell>
          <cell r="T331">
            <v>942</v>
          </cell>
          <cell r="U331">
            <v>1043</v>
          </cell>
          <cell r="V331">
            <v>2852</v>
          </cell>
          <cell r="W331">
            <v>2852</v>
          </cell>
          <cell r="X331">
            <v>2852</v>
          </cell>
          <cell r="Y331">
            <v>2852</v>
          </cell>
          <cell r="Z331">
            <v>2852</v>
          </cell>
          <cell r="BQ331" t="str">
            <v>mstag:otherLiabilitiesOperatingCurrent</v>
          </cell>
          <cell r="BR331">
            <v>6</v>
          </cell>
          <cell r="BS331" t="str">
            <v>ISO4217:USD</v>
          </cell>
          <cell r="BT331" t="b">
            <v>0</v>
          </cell>
          <cell r="BU331" t="b">
            <v>0</v>
          </cell>
        </row>
        <row r="332">
          <cell r="A332" t="str">
            <v>Total Current Liabilities</v>
          </cell>
          <cell r="B332">
            <v>7669</v>
          </cell>
          <cell r="C332">
            <v>8138</v>
          </cell>
          <cell r="D332">
            <v>8337</v>
          </cell>
          <cell r="E332">
            <v>9164</v>
          </cell>
          <cell r="F332">
            <v>9056</v>
          </cell>
          <cell r="G332">
            <v>8706</v>
          </cell>
          <cell r="H332">
            <v>8553</v>
          </cell>
          <cell r="I332">
            <v>10360</v>
          </cell>
          <cell r="J332">
            <v>10080</v>
          </cell>
          <cell r="K332">
            <v>9260</v>
          </cell>
          <cell r="N332">
            <v>2901</v>
          </cell>
          <cell r="O332">
            <v>4579</v>
          </cell>
          <cell r="P332">
            <v>4582</v>
          </cell>
          <cell r="Q332">
            <v>5624</v>
          </cell>
          <cell r="R332">
            <v>5378</v>
          </cell>
          <cell r="S332">
            <v>7110</v>
          </cell>
          <cell r="T332">
            <v>7824</v>
          </cell>
          <cell r="U332">
            <v>9164</v>
          </cell>
          <cell r="V332">
            <v>10360</v>
          </cell>
          <cell r="W332">
            <v>11207</v>
          </cell>
          <cell r="X332">
            <v>11592.76</v>
          </cell>
          <cell r="Y332">
            <v>11983.14</v>
          </cell>
          <cell r="Z332">
            <v>12580.5</v>
          </cell>
        </row>
        <row r="334">
          <cell r="A334" t="str">
            <v>Long-term debt</v>
          </cell>
          <cell r="B334">
            <v>2782</v>
          </cell>
          <cell r="C334">
            <v>2283</v>
          </cell>
          <cell r="D334">
            <v>2140</v>
          </cell>
          <cell r="E334">
            <v>2118</v>
          </cell>
          <cell r="F334">
            <v>2117</v>
          </cell>
          <cell r="G334">
            <v>2117</v>
          </cell>
          <cell r="H334">
            <v>2117</v>
          </cell>
          <cell r="I334">
            <v>3113</v>
          </cell>
          <cell r="J334">
            <v>3112</v>
          </cell>
          <cell r="K334">
            <v>3860</v>
          </cell>
          <cell r="N334">
            <v>173</v>
          </cell>
          <cell r="O334">
            <v>724</v>
          </cell>
          <cell r="P334">
            <v>721</v>
          </cell>
          <cell r="Q334">
            <v>3296</v>
          </cell>
          <cell r="R334">
            <v>3291</v>
          </cell>
          <cell r="S334">
            <v>2778</v>
          </cell>
          <cell r="T334">
            <v>2774</v>
          </cell>
          <cell r="U334">
            <v>2118</v>
          </cell>
          <cell r="V334">
            <v>3113</v>
          </cell>
          <cell r="W334">
            <v>3903</v>
          </cell>
          <cell r="X334">
            <v>3903</v>
          </cell>
          <cell r="Y334">
            <v>3903</v>
          </cell>
          <cell r="Z334">
            <v>3903</v>
          </cell>
          <cell r="BQ334" t="str">
            <v>mstag:longTermDebt</v>
          </cell>
          <cell r="BR334">
            <v>6</v>
          </cell>
          <cell r="BS334" t="str">
            <v>ISO4217:USD</v>
          </cell>
          <cell r="BT334" t="b">
            <v>0</v>
          </cell>
          <cell r="BU334" t="b">
            <v>0</v>
          </cell>
        </row>
        <row r="335">
          <cell r="A335" t="str">
            <v>Deferred income taxes</v>
          </cell>
          <cell r="B335">
            <v>824</v>
          </cell>
          <cell r="E335">
            <v>0</v>
          </cell>
          <cell r="F335">
            <v>0</v>
          </cell>
          <cell r="G335">
            <v>0</v>
          </cell>
          <cell r="H335">
            <v>0</v>
          </cell>
          <cell r="I335">
            <v>0</v>
          </cell>
          <cell r="N335">
            <v>169</v>
          </cell>
          <cell r="O335">
            <v>215</v>
          </cell>
          <cell r="P335">
            <v>197</v>
          </cell>
          <cell r="Q335">
            <v>343</v>
          </cell>
          <cell r="R335">
            <v>640</v>
          </cell>
          <cell r="S335">
            <v>806</v>
          </cell>
          <cell r="T335">
            <v>854</v>
          </cell>
          <cell r="U335">
            <v>970</v>
          </cell>
          <cell r="V335">
            <v>0</v>
          </cell>
          <cell r="W335">
            <v>0</v>
          </cell>
          <cell r="X335">
            <v>0</v>
          </cell>
          <cell r="Y335">
            <v>0</v>
          </cell>
          <cell r="Z335">
            <v>0</v>
          </cell>
          <cell r="BQ335" t="str">
            <v>mstag:deferredTaxLiabilities</v>
          </cell>
          <cell r="BR335">
            <v>6</v>
          </cell>
          <cell r="BS335" t="str">
            <v>ISO4217:USD</v>
          </cell>
          <cell r="BT335" t="b">
            <v>0</v>
          </cell>
          <cell r="BU335" t="b">
            <v>0</v>
          </cell>
        </row>
        <row r="336">
          <cell r="A336" t="str">
            <v>Retirement benefits</v>
          </cell>
          <cell r="B336">
            <v>549</v>
          </cell>
          <cell r="E336">
            <v>0</v>
          </cell>
          <cell r="F336">
            <v>0</v>
          </cell>
          <cell r="G336">
            <v>0</v>
          </cell>
          <cell r="H336">
            <v>0</v>
          </cell>
          <cell r="I336">
            <v>0</v>
          </cell>
          <cell r="N336">
            <v>324</v>
          </cell>
          <cell r="O336">
            <v>340</v>
          </cell>
          <cell r="P336">
            <v>350</v>
          </cell>
          <cell r="Q336">
            <v>340</v>
          </cell>
          <cell r="R336">
            <v>342</v>
          </cell>
          <cell r="S336">
            <v>261</v>
          </cell>
          <cell r="T336">
            <v>386</v>
          </cell>
          <cell r="U336">
            <v>499</v>
          </cell>
          <cell r="V336">
            <v>0</v>
          </cell>
          <cell r="W336">
            <v>292.72708099999983</v>
          </cell>
          <cell r="X336">
            <v>616.95442554989984</v>
          </cell>
          <cell r="Y336">
            <v>965.52486020416779</v>
          </cell>
          <cell r="Z336">
            <v>1351.4864941251094</v>
          </cell>
          <cell r="BQ336" t="str">
            <v>mstag:pensionAndOtherPostRetirementObligations</v>
          </cell>
          <cell r="BR336">
            <v>6</v>
          </cell>
          <cell r="BS336" t="str">
            <v>ISO4217:USD</v>
          </cell>
          <cell r="BT336" t="b">
            <v>0</v>
          </cell>
          <cell r="BU336" t="b">
            <v>0</v>
          </cell>
        </row>
        <row r="337">
          <cell r="A337" t="str">
            <v>Customer deposits on commercial contracts</v>
          </cell>
          <cell r="B337">
            <v>374</v>
          </cell>
          <cell r="E337">
            <v>0</v>
          </cell>
          <cell r="F337">
            <v>0</v>
          </cell>
          <cell r="G337">
            <v>0</v>
          </cell>
          <cell r="H337">
            <v>0</v>
          </cell>
          <cell r="I337">
            <v>0</v>
          </cell>
          <cell r="N337">
            <v>48</v>
          </cell>
          <cell r="O337">
            <v>100</v>
          </cell>
          <cell r="P337">
            <v>87</v>
          </cell>
          <cell r="Q337">
            <v>77</v>
          </cell>
          <cell r="R337">
            <v>100</v>
          </cell>
          <cell r="S337">
            <v>216</v>
          </cell>
          <cell r="T337">
            <v>308</v>
          </cell>
          <cell r="U337">
            <v>707</v>
          </cell>
          <cell r="V337">
            <v>0</v>
          </cell>
          <cell r="W337">
            <v>0</v>
          </cell>
          <cell r="X337">
            <v>0</v>
          </cell>
          <cell r="Y337">
            <v>0</v>
          </cell>
          <cell r="Z337">
            <v>0</v>
          </cell>
          <cell r="BQ337" t="str">
            <v>mstag:customerAdvancesOrDepositsNonCurrent</v>
          </cell>
          <cell r="BR337">
            <v>6</v>
          </cell>
          <cell r="BS337" t="str">
            <v>ISO4217:USD</v>
          </cell>
          <cell r="BT337" t="b">
            <v>0</v>
          </cell>
          <cell r="BU337" t="b">
            <v>0</v>
          </cell>
        </row>
        <row r="338">
          <cell r="A338" t="str">
            <v>Accrued costs of disposed businesses</v>
          </cell>
          <cell r="B338">
            <v>0</v>
          </cell>
          <cell r="E338">
            <v>0</v>
          </cell>
          <cell r="F338">
            <v>0</v>
          </cell>
          <cell r="G338">
            <v>0</v>
          </cell>
          <cell r="H338">
            <v>0</v>
          </cell>
          <cell r="I338">
            <v>0</v>
          </cell>
          <cell r="N338">
            <v>116</v>
          </cell>
          <cell r="O338">
            <v>85</v>
          </cell>
          <cell r="P338">
            <v>67</v>
          </cell>
          <cell r="Q338">
            <v>63</v>
          </cell>
          <cell r="R338">
            <v>48</v>
          </cell>
          <cell r="S338">
            <v>0</v>
          </cell>
          <cell r="T338">
            <v>0</v>
          </cell>
          <cell r="U338">
            <v>0</v>
          </cell>
          <cell r="V338">
            <v>0</v>
          </cell>
          <cell r="W338">
            <v>0</v>
          </cell>
          <cell r="X338">
            <v>0</v>
          </cell>
          <cell r="Y338">
            <v>0</v>
          </cell>
          <cell r="Z338">
            <v>0</v>
          </cell>
          <cell r="BQ338" t="str">
            <v>mstag:otherAccruedExpenses</v>
          </cell>
          <cell r="BR338">
            <v>6</v>
          </cell>
          <cell r="BS338" t="str">
            <v>ISO4217:USD</v>
          </cell>
          <cell r="BT338" t="b">
            <v>0</v>
          </cell>
          <cell r="BU338" t="b">
            <v>0</v>
          </cell>
        </row>
        <row r="339">
          <cell r="A339" t="str">
            <v>Other liabilities</v>
          </cell>
          <cell r="B339">
            <v>459</v>
          </cell>
          <cell r="C339">
            <v>2364</v>
          </cell>
          <cell r="D339">
            <v>2496</v>
          </cell>
          <cell r="E339">
            <v>2683</v>
          </cell>
          <cell r="F339">
            <v>2757</v>
          </cell>
          <cell r="G339">
            <v>3082</v>
          </cell>
          <cell r="H339">
            <v>3242</v>
          </cell>
          <cell r="I339">
            <v>4847</v>
          </cell>
          <cell r="J339">
            <v>4816</v>
          </cell>
          <cell r="K339">
            <v>4737</v>
          </cell>
          <cell r="N339">
            <v>436</v>
          </cell>
          <cell r="O339">
            <v>498</v>
          </cell>
          <cell r="P339">
            <v>528</v>
          </cell>
          <cell r="Q339">
            <v>519</v>
          </cell>
          <cell r="R339">
            <v>556</v>
          </cell>
          <cell r="S339">
            <v>384</v>
          </cell>
          <cell r="T339">
            <v>403</v>
          </cell>
          <cell r="U339">
            <v>507</v>
          </cell>
          <cell r="V339">
            <v>4847</v>
          </cell>
          <cell r="W339">
            <v>4847</v>
          </cell>
          <cell r="X339">
            <v>4847</v>
          </cell>
          <cell r="Y339">
            <v>4847</v>
          </cell>
          <cell r="Z339">
            <v>4847</v>
          </cell>
          <cell r="BQ339" t="str">
            <v>mstag:otherLiabilitiesOperatingNonCurrent</v>
          </cell>
          <cell r="BR339">
            <v>6</v>
          </cell>
          <cell r="BS339" t="str">
            <v>ISO4217:USD</v>
          </cell>
          <cell r="BT339" t="b">
            <v>0</v>
          </cell>
          <cell r="BU339" t="b">
            <v>0</v>
          </cell>
        </row>
        <row r="340">
          <cell r="A340" t="str">
            <v>Total Noncurrent Liabilities</v>
          </cell>
          <cell r="B340">
            <v>4988</v>
          </cell>
          <cell r="C340">
            <v>4647</v>
          </cell>
          <cell r="D340">
            <v>4636</v>
          </cell>
          <cell r="E340">
            <v>4801</v>
          </cell>
          <cell r="F340">
            <v>4874</v>
          </cell>
          <cell r="G340">
            <v>5199</v>
          </cell>
          <cell r="H340">
            <v>5359</v>
          </cell>
          <cell r="I340">
            <v>7960</v>
          </cell>
          <cell r="J340">
            <v>7928</v>
          </cell>
          <cell r="K340">
            <v>8597</v>
          </cell>
          <cell r="N340">
            <v>1266</v>
          </cell>
          <cell r="O340">
            <v>1962</v>
          </cell>
          <cell r="P340">
            <v>1950</v>
          </cell>
          <cell r="Q340">
            <v>4638</v>
          </cell>
          <cell r="R340">
            <v>4977</v>
          </cell>
          <cell r="S340">
            <v>4445</v>
          </cell>
          <cell r="T340">
            <v>4725</v>
          </cell>
          <cell r="U340">
            <v>4801</v>
          </cell>
          <cell r="V340">
            <v>7960</v>
          </cell>
          <cell r="W340">
            <v>9042.7270810000009</v>
          </cell>
          <cell r="X340">
            <v>9366.9544255498986</v>
          </cell>
          <cell r="Y340">
            <v>9715.5248602041684</v>
          </cell>
          <cell r="Z340">
            <v>10101.486494125109</v>
          </cell>
        </row>
        <row r="342">
          <cell r="A342" t="str">
            <v>Common Stock, including surplus</v>
          </cell>
          <cell r="B342">
            <v>1435</v>
          </cell>
          <cell r="C342">
            <v>1491</v>
          </cell>
          <cell r="D342">
            <v>1534</v>
          </cell>
          <cell r="E342">
            <v>1623</v>
          </cell>
          <cell r="F342">
            <v>1672</v>
          </cell>
          <cell r="G342">
            <v>1737</v>
          </cell>
          <cell r="H342">
            <v>1797</v>
          </cell>
          <cell r="I342">
            <v>1828</v>
          </cell>
          <cell r="J342">
            <v>1865</v>
          </cell>
          <cell r="K342">
            <v>1896</v>
          </cell>
          <cell r="N342">
            <v>619</v>
          </cell>
          <cell r="O342">
            <v>694</v>
          </cell>
          <cell r="P342">
            <v>757</v>
          </cell>
          <cell r="Q342">
            <v>838</v>
          </cell>
          <cell r="R342">
            <v>998</v>
          </cell>
          <cell r="S342">
            <v>1127</v>
          </cell>
          <cell r="T342">
            <v>1362</v>
          </cell>
          <cell r="U342">
            <v>1623</v>
          </cell>
          <cell r="V342">
            <v>1828</v>
          </cell>
          <cell r="W342">
            <v>2073</v>
          </cell>
          <cell r="X342">
            <v>2367</v>
          </cell>
          <cell r="Y342">
            <v>2830.05</v>
          </cell>
          <cell r="Z342">
            <v>3316.2525000000001</v>
          </cell>
          <cell r="BQ342" t="str">
            <v>mstag:totalShareCapital</v>
          </cell>
          <cell r="BR342">
            <v>6</v>
          </cell>
          <cell r="BS342" t="str">
            <v>ISO4217:USD</v>
          </cell>
          <cell r="BT342" t="b">
            <v>0</v>
          </cell>
          <cell r="BU342" t="b">
            <v>0</v>
          </cell>
        </row>
        <row r="343">
          <cell r="A343" t="str">
            <v>Retained Earnings</v>
          </cell>
          <cell r="B343">
            <v>10093</v>
          </cell>
          <cell r="C343">
            <v>10488</v>
          </cell>
          <cell r="D343">
            <v>10917</v>
          </cell>
          <cell r="E343">
            <v>11379</v>
          </cell>
          <cell r="F343">
            <v>11812</v>
          </cell>
          <cell r="G343">
            <v>12313</v>
          </cell>
          <cell r="H343">
            <v>12810</v>
          </cell>
          <cell r="I343">
            <v>13287</v>
          </cell>
          <cell r="J343">
            <v>13730</v>
          </cell>
          <cell r="K343">
            <v>14201</v>
          </cell>
          <cell r="N343">
            <v>4059</v>
          </cell>
          <cell r="O343">
            <v>4778</v>
          </cell>
          <cell r="P343">
            <v>5455</v>
          </cell>
          <cell r="Q343">
            <v>6206</v>
          </cell>
          <cell r="R343">
            <v>7146</v>
          </cell>
          <cell r="S343">
            <v>8285</v>
          </cell>
          <cell r="T343">
            <v>9769</v>
          </cell>
          <cell r="U343">
            <v>11379</v>
          </cell>
          <cell r="V343">
            <v>13287</v>
          </cell>
          <cell r="W343">
            <v>15049.9954729894</v>
          </cell>
          <cell r="X343">
            <v>16822.229008555714</v>
          </cell>
          <cell r="Y343">
            <v>18653.533323980686</v>
          </cell>
          <cell r="Z343">
            <v>20542.080673049382</v>
          </cell>
          <cell r="BQ343" t="str">
            <v>mstag:retainedEarnings</v>
          </cell>
          <cell r="BR343">
            <v>6</v>
          </cell>
          <cell r="BS343" t="str">
            <v>ISO4217:USD</v>
          </cell>
          <cell r="BT343" t="b">
            <v>0</v>
          </cell>
          <cell r="BU343" t="b">
            <v>0</v>
          </cell>
        </row>
        <row r="344">
          <cell r="A344" t="str">
            <v>Treasury Stock</v>
          </cell>
          <cell r="B344">
            <v>-1613</v>
          </cell>
          <cell r="C344">
            <v>-1594</v>
          </cell>
          <cell r="D344">
            <v>-1892</v>
          </cell>
          <cell r="E344">
            <v>-1881</v>
          </cell>
          <cell r="F344">
            <v>-2399</v>
          </cell>
          <cell r="G344">
            <v>-2545</v>
          </cell>
          <cell r="H344">
            <v>-3019</v>
          </cell>
          <cell r="I344">
            <v>-3349</v>
          </cell>
          <cell r="J344">
            <v>-3439</v>
          </cell>
          <cell r="K344">
            <v>-3437</v>
          </cell>
          <cell r="N344">
            <v>-833</v>
          </cell>
          <cell r="O344">
            <v>-930</v>
          </cell>
          <cell r="P344">
            <v>-1016</v>
          </cell>
          <cell r="Q344">
            <v>-1279</v>
          </cell>
          <cell r="R344">
            <v>-1206</v>
          </cell>
          <cell r="S344">
            <v>-1493</v>
          </cell>
          <cell r="T344">
            <v>-1455</v>
          </cell>
          <cell r="U344">
            <v>-1881</v>
          </cell>
          <cell r="V344">
            <v>-3349</v>
          </cell>
          <cell r="W344">
            <v>-4364</v>
          </cell>
          <cell r="X344">
            <v>-5025.5</v>
          </cell>
          <cell r="Y344">
            <v>-5411.375</v>
          </cell>
          <cell r="Z344">
            <v>-5557.2357499999998</v>
          </cell>
          <cell r="BQ344" t="str">
            <v>mstag:treasuryStockAndInvestmentInOwnShares</v>
          </cell>
          <cell r="BR344">
            <v>6</v>
          </cell>
          <cell r="BS344" t="str">
            <v>ISO4217:USD</v>
          </cell>
          <cell r="BT344" t="b">
            <v>1</v>
          </cell>
          <cell r="BU344" t="b">
            <v>0</v>
          </cell>
        </row>
        <row r="345">
          <cell r="A345" t="str">
            <v>Accumulated other comprehensive income</v>
          </cell>
          <cell r="B345">
            <v>160</v>
          </cell>
          <cell r="C345">
            <v>237</v>
          </cell>
          <cell r="D345">
            <v>351</v>
          </cell>
          <cell r="E345">
            <v>647</v>
          </cell>
          <cell r="F345">
            <v>692</v>
          </cell>
          <cell r="G345">
            <v>679</v>
          </cell>
          <cell r="H345">
            <v>546</v>
          </cell>
          <cell r="I345">
            <v>-1713</v>
          </cell>
          <cell r="J345">
            <v>-1885</v>
          </cell>
          <cell r="K345">
            <v>-1659</v>
          </cell>
          <cell r="N345">
            <v>-25</v>
          </cell>
          <cell r="O345">
            <v>-14</v>
          </cell>
          <cell r="P345">
            <v>3</v>
          </cell>
          <cell r="Q345">
            <v>156</v>
          </cell>
          <cell r="R345">
            <v>251</v>
          </cell>
          <cell r="S345">
            <v>226</v>
          </cell>
          <cell r="T345">
            <v>151</v>
          </cell>
          <cell r="U345">
            <v>647</v>
          </cell>
          <cell r="V345">
            <v>-1713</v>
          </cell>
          <cell r="W345">
            <v>-1713</v>
          </cell>
          <cell r="X345">
            <v>-1713</v>
          </cell>
          <cell r="Y345">
            <v>-1713</v>
          </cell>
          <cell r="Z345">
            <v>-1713</v>
          </cell>
          <cell r="BQ345" t="str">
            <v>mstag:accumulatedOtherComprehensiveIncomeLossAndReserves</v>
          </cell>
          <cell r="BR345">
            <v>6</v>
          </cell>
          <cell r="BS345" t="str">
            <v>ISO4217:USD</v>
          </cell>
          <cell r="BT345" t="b">
            <v>0</v>
          </cell>
          <cell r="BU345" t="b">
            <v>0</v>
          </cell>
        </row>
        <row r="346">
          <cell r="A346" t="str">
            <v>Total Shareholders' Equity</v>
          </cell>
          <cell r="B346">
            <v>10075</v>
          </cell>
          <cell r="C346">
            <v>10622</v>
          </cell>
          <cell r="D346">
            <v>10910</v>
          </cell>
          <cell r="E346">
            <v>11768</v>
          </cell>
          <cell r="F346">
            <v>11777</v>
          </cell>
          <cell r="G346">
            <v>12184</v>
          </cell>
          <cell r="H346">
            <v>12134</v>
          </cell>
          <cell r="I346">
            <v>10053</v>
          </cell>
          <cell r="J346">
            <v>10271</v>
          </cell>
          <cell r="K346">
            <v>11001</v>
          </cell>
          <cell r="N346">
            <v>3820</v>
          </cell>
          <cell r="O346">
            <v>4528</v>
          </cell>
          <cell r="P346">
            <v>5199</v>
          </cell>
          <cell r="Q346">
            <v>5921</v>
          </cell>
          <cell r="R346">
            <v>7189</v>
          </cell>
          <cell r="S346">
            <v>8145</v>
          </cell>
          <cell r="T346">
            <v>9827</v>
          </cell>
          <cell r="U346">
            <v>11768</v>
          </cell>
          <cell r="V346">
            <v>10053</v>
          </cell>
          <cell r="W346">
            <v>11045.995472989402</v>
          </cell>
          <cell r="X346">
            <v>12450.729008555714</v>
          </cell>
          <cell r="Y346">
            <v>14359.208323980685</v>
          </cell>
          <cell r="Z346">
            <v>16588.097423049381</v>
          </cell>
        </row>
        <row r="348">
          <cell r="A348" t="str">
            <v>Total Liabilities and Equity</v>
          </cell>
          <cell r="B348">
            <v>22732</v>
          </cell>
          <cell r="C348">
            <v>23407</v>
          </cell>
          <cell r="D348">
            <v>23883</v>
          </cell>
          <cell r="E348">
            <v>25733</v>
          </cell>
          <cell r="F348">
            <v>25707</v>
          </cell>
          <cell r="G348">
            <v>26089</v>
          </cell>
          <cell r="H348">
            <v>26046</v>
          </cell>
          <cell r="I348">
            <v>28373</v>
          </cell>
          <cell r="J348">
            <v>28279</v>
          </cell>
          <cell r="K348">
            <v>28858</v>
          </cell>
          <cell r="N348">
            <v>7987</v>
          </cell>
          <cell r="O348">
            <v>11069</v>
          </cell>
          <cell r="P348">
            <v>11731</v>
          </cell>
          <cell r="Q348">
            <v>16183</v>
          </cell>
          <cell r="R348">
            <v>17544</v>
          </cell>
          <cell r="S348">
            <v>19700</v>
          </cell>
          <cell r="T348">
            <v>22376</v>
          </cell>
          <cell r="U348">
            <v>25733</v>
          </cell>
          <cell r="V348">
            <v>28373</v>
          </cell>
          <cell r="W348">
            <v>31295.722553989403</v>
          </cell>
          <cell r="X348">
            <v>33410.443434105619</v>
          </cell>
          <cell r="Y348">
            <v>36057.873184184849</v>
          </cell>
          <cell r="Z348">
            <v>39270.083917174488</v>
          </cell>
        </row>
        <row r="349">
          <cell r="A349" t="str">
            <v>balance check</v>
          </cell>
          <cell r="B349">
            <v>0</v>
          </cell>
          <cell r="C349">
            <v>0</v>
          </cell>
          <cell r="D349">
            <v>0</v>
          </cell>
          <cell r="E349">
            <v>0</v>
          </cell>
          <cell r="F349">
            <v>0</v>
          </cell>
          <cell r="G349">
            <v>0</v>
          </cell>
          <cell r="H349">
            <v>0</v>
          </cell>
          <cell r="I349">
            <v>0</v>
          </cell>
          <cell r="J349">
            <v>0</v>
          </cell>
          <cell r="K349">
            <v>0</v>
          </cell>
          <cell r="N349">
            <v>0</v>
          </cell>
          <cell r="O349">
            <v>0</v>
          </cell>
          <cell r="P349">
            <v>0</v>
          </cell>
          <cell r="Q349">
            <v>0</v>
          </cell>
          <cell r="R349">
            <v>0</v>
          </cell>
          <cell r="S349">
            <v>0</v>
          </cell>
          <cell r="T349">
            <v>0</v>
          </cell>
          <cell r="U349">
            <v>0</v>
          </cell>
          <cell r="V349">
            <v>0</v>
          </cell>
          <cell r="W349">
            <v>0</v>
          </cell>
          <cell r="X349">
            <v>0</v>
          </cell>
          <cell r="Y349">
            <v>0</v>
          </cell>
          <cell r="Z349">
            <v>0</v>
          </cell>
        </row>
        <row r="352">
          <cell r="A352" t="str">
            <v>Working Capital Assumptions</v>
          </cell>
        </row>
        <row r="353">
          <cell r="A353" t="str">
            <v>Marketable Securities (% of Previous Cash)</v>
          </cell>
          <cell r="B353">
            <v>0</v>
          </cell>
          <cell r="C353">
            <v>0</v>
          </cell>
          <cell r="D353">
            <v>0</v>
          </cell>
          <cell r="E353">
            <v>0</v>
          </cell>
          <cell r="F353">
            <v>0</v>
          </cell>
          <cell r="G353">
            <v>0</v>
          </cell>
          <cell r="H353">
            <v>0</v>
          </cell>
          <cell r="I353">
            <v>0</v>
          </cell>
          <cell r="J353">
            <v>0</v>
          </cell>
          <cell r="K353">
            <v>0</v>
          </cell>
          <cell r="N353">
            <v>0</v>
          </cell>
          <cell r="O353">
            <v>0</v>
          </cell>
          <cell r="P353">
            <v>0</v>
          </cell>
          <cell r="Q353">
            <v>0</v>
          </cell>
          <cell r="R353">
            <v>0</v>
          </cell>
          <cell r="S353">
            <v>0</v>
          </cell>
          <cell r="T353">
            <v>0</v>
          </cell>
          <cell r="U353">
            <v>0</v>
          </cell>
          <cell r="V353">
            <v>0</v>
          </cell>
          <cell r="W353">
            <v>0</v>
          </cell>
          <cell r="X353">
            <v>0</v>
          </cell>
          <cell r="Y353">
            <v>0</v>
          </cell>
          <cell r="Z353">
            <v>0</v>
          </cell>
        </row>
        <row r="354">
          <cell r="A354" t="str">
            <v>Accounts Receivables (Days Sales Outstanding)</v>
          </cell>
          <cell r="B354">
            <v>32.914285714285711</v>
          </cell>
          <cell r="C354">
            <v>34.670004551661357</v>
          </cell>
          <cell r="D354">
            <v>32.028094820017557</v>
          </cell>
          <cell r="E354">
            <v>34.419161676646709</v>
          </cell>
          <cell r="F354">
            <v>38.235546038543902</v>
          </cell>
          <cell r="G354">
            <v>36.502807065589487</v>
          </cell>
          <cell r="H354">
            <v>39.113445378151262</v>
          </cell>
          <cell r="I354">
            <v>39.761844116148751</v>
          </cell>
          <cell r="J354">
            <v>41.329864472410456</v>
          </cell>
          <cell r="K354">
            <v>40.544444444444444</v>
          </cell>
          <cell r="N354">
            <v>27.877729257641921</v>
          </cell>
          <cell r="O354">
            <v>28.909905425584867</v>
          </cell>
          <cell r="P354">
            <v>28.263157894736842</v>
          </cell>
          <cell r="Q354">
            <v>29.63253307202352</v>
          </cell>
          <cell r="R354">
            <v>27.665889336442653</v>
          </cell>
          <cell r="S354">
            <v>34.395232419547085</v>
          </cell>
          <cell r="T354">
            <v>35.023064455803514</v>
          </cell>
          <cell r="U354">
            <v>37.982378854625551</v>
          </cell>
          <cell r="V354">
            <v>42.622525597269629</v>
          </cell>
          <cell r="W354">
            <v>34</v>
          </cell>
          <cell r="X354">
            <v>34</v>
          </cell>
          <cell r="Y354">
            <v>34</v>
          </cell>
          <cell r="Z354">
            <v>34</v>
          </cell>
        </row>
        <row r="355">
          <cell r="A355" t="str">
            <v>Contracts in Progress (Days Sales Outstanding, ex. Gulfstream)</v>
          </cell>
          <cell r="B355">
            <v>71.917018824433356</v>
          </cell>
          <cell r="C355">
            <v>70.772803269552298</v>
          </cell>
          <cell r="D355">
            <v>68.36021018300417</v>
          </cell>
          <cell r="E355">
            <v>61.917829949238573</v>
          </cell>
          <cell r="F355">
            <v>68.859587844917925</v>
          </cell>
          <cell r="G355">
            <v>67.869099430867095</v>
          </cell>
          <cell r="H355">
            <v>68.092926490984738</v>
          </cell>
          <cell r="I355">
            <v>61.818037974683541</v>
          </cell>
          <cell r="J355">
            <v>56.017036275517697</v>
          </cell>
          <cell r="K355">
            <v>59.344801795063582</v>
          </cell>
          <cell r="N355">
            <v>61.253435953820777</v>
          </cell>
          <cell r="O355">
            <v>70.943224485151902</v>
          </cell>
          <cell r="P355">
            <v>66.311230872870752</v>
          </cell>
          <cell r="Q355">
            <v>66.528172171573758</v>
          </cell>
          <cell r="R355">
            <v>65.615539858728553</v>
          </cell>
          <cell r="S355">
            <v>64.685896705050737</v>
          </cell>
          <cell r="T355">
            <v>71.974733042562789</v>
          </cell>
          <cell r="U355">
            <v>69.664465464929506</v>
          </cell>
          <cell r="V355">
            <v>65.695308558937271</v>
          </cell>
          <cell r="W355">
            <v>72</v>
          </cell>
          <cell r="X355">
            <v>72</v>
          </cell>
          <cell r="Y355">
            <v>72</v>
          </cell>
          <cell r="Z355">
            <v>72</v>
          </cell>
        </row>
        <row r="356">
          <cell r="A356" t="str">
            <v>Inventory (% of Gulfstream Sales)</v>
          </cell>
          <cell r="B356">
            <v>0.36654478976234006</v>
          </cell>
          <cell r="C356">
            <v>0.33009105960264901</v>
          </cell>
          <cell r="D356">
            <v>0.29581749049429656</v>
          </cell>
          <cell r="E356">
            <v>0.33464079273327829</v>
          </cell>
          <cell r="F356">
            <v>0.32505863956215791</v>
          </cell>
          <cell r="G356">
            <v>0.31452219714070728</v>
          </cell>
          <cell r="H356">
            <v>0.31432215743440234</v>
          </cell>
          <cell r="I356">
            <v>0.33110313315926893</v>
          </cell>
          <cell r="J356">
            <v>0.35790378006872853</v>
          </cell>
          <cell r="K356">
            <v>0.37773851590106006</v>
          </cell>
          <cell r="N356">
            <v>0.31462528887421592</v>
          </cell>
          <cell r="O356">
            <v>0.39479326186830016</v>
          </cell>
          <cell r="P356">
            <v>0.4271815141380359</v>
          </cell>
          <cell r="Q356">
            <v>0.39341479972844534</v>
          </cell>
          <cell r="R356">
            <v>0.39674634794156705</v>
          </cell>
          <cell r="S356">
            <v>0.3766385085930673</v>
          </cell>
          <cell r="T356">
            <v>0.36054421768707484</v>
          </cell>
          <cell r="U356">
            <v>0.33574979287489642</v>
          </cell>
          <cell r="V356">
            <v>0.36810595065312046</v>
          </cell>
          <cell r="W356">
            <v>0.4</v>
          </cell>
          <cell r="X356">
            <v>0.4</v>
          </cell>
          <cell r="Y356">
            <v>0.4</v>
          </cell>
          <cell r="Z356">
            <v>0.4</v>
          </cell>
        </row>
        <row r="357">
          <cell r="A357" t="str">
            <v>Other Current Assets (% of Sales)</v>
          </cell>
          <cell r="B357">
            <v>1.5793650793650794E-2</v>
          </cell>
          <cell r="C357">
            <v>1.4792899408284023E-2</v>
          </cell>
          <cell r="D357">
            <v>2.4656131109160082E-2</v>
          </cell>
          <cell r="E357">
            <v>1.912840984697272E-2</v>
          </cell>
          <cell r="F357">
            <v>2.0164168451106353E-2</v>
          </cell>
          <cell r="G357">
            <v>1.9478296590442284E-2</v>
          </cell>
          <cell r="H357">
            <v>1.5756302521008403E-2</v>
          </cell>
          <cell r="I357">
            <v>1.5601120733571065E-2</v>
          </cell>
          <cell r="J357">
            <v>1.7787996127783156E-2</v>
          </cell>
          <cell r="K357">
            <v>1.5092592592592593E-2</v>
          </cell>
          <cell r="N357">
            <v>3.7360504609412905E-2</v>
          </cell>
          <cell r="O357">
            <v>4.2890326862452297E-2</v>
          </cell>
          <cell r="P357">
            <v>2.7558479532163744E-2</v>
          </cell>
          <cell r="Q357">
            <v>4.8199412052915239E-2</v>
          </cell>
          <cell r="R357">
            <v>4.345982616069536E-2</v>
          </cell>
          <cell r="S357">
            <v>3.1895113230035757E-2</v>
          </cell>
          <cell r="T357">
            <v>1.9241158625275319E-2</v>
          </cell>
          <cell r="U357">
            <v>2.1108663729809105E-2</v>
          </cell>
          <cell r="V357">
            <v>1.6723549488054608E-2</v>
          </cell>
        </row>
        <row r="358">
          <cell r="A358" t="str">
            <v>Accounts Payable (% of Sales)</v>
          </cell>
          <cell r="B358">
            <v>7.6349206349206347E-2</v>
          </cell>
          <cell r="C358">
            <v>6.8995600060688819E-2</v>
          </cell>
          <cell r="D358">
            <v>7.0456540825285338E-2</v>
          </cell>
          <cell r="E358">
            <v>7.7112441783100463E-2</v>
          </cell>
          <cell r="F358">
            <v>7.4625267665952885E-2</v>
          </cell>
          <cell r="G358">
            <v>7.2401752704368064E-2</v>
          </cell>
          <cell r="H358">
            <v>7.2268907563025217E-2</v>
          </cell>
          <cell r="I358">
            <v>7.7782730514518589E-2</v>
          </cell>
          <cell r="J358">
            <v>7.8533397870280741E-2</v>
          </cell>
          <cell r="K358">
            <v>7.4907407407407409E-2</v>
          </cell>
          <cell r="N358">
            <v>6.9577874818049487E-2</v>
          </cell>
          <cell r="O358">
            <v>7.383441181350589E-2</v>
          </cell>
          <cell r="P358">
            <v>7.7192982456140355E-2</v>
          </cell>
          <cell r="Q358">
            <v>7.88829005389515E-2</v>
          </cell>
          <cell r="R358">
            <v>7.9764680941276228E-2</v>
          </cell>
          <cell r="S358">
            <v>8.0381406436233607E-2</v>
          </cell>
          <cell r="T358">
            <v>8.1286622615633963E-2</v>
          </cell>
          <cell r="U358">
            <v>8.5095447870778274E-2</v>
          </cell>
          <cell r="V358">
            <v>8.337883959044369E-2</v>
          </cell>
          <cell r="W358">
            <v>8.6999999999999994E-2</v>
          </cell>
          <cell r="X358">
            <v>8.6999999999999994E-2</v>
          </cell>
          <cell r="Y358">
            <v>8.6999999999999994E-2</v>
          </cell>
          <cell r="Z358">
            <v>8.6999999999999994E-2</v>
          </cell>
        </row>
        <row r="359">
          <cell r="A359" t="str">
            <v>Billings in Excess (% of Sales)</v>
          </cell>
          <cell r="B359">
            <v>0</v>
          </cell>
          <cell r="C359">
            <v>0</v>
          </cell>
          <cell r="D359">
            <v>0</v>
          </cell>
          <cell r="E359">
            <v>0</v>
          </cell>
          <cell r="F359">
            <v>0</v>
          </cell>
          <cell r="G359">
            <v>0</v>
          </cell>
          <cell r="H359">
            <v>0</v>
          </cell>
          <cell r="I359">
            <v>0</v>
          </cell>
          <cell r="J359">
            <v>0</v>
          </cell>
          <cell r="K359">
            <v>0</v>
          </cell>
          <cell r="N359">
            <v>4.1727316836487139E-3</v>
          </cell>
          <cell r="O359">
            <v>3.3764725402356068E-2</v>
          </cell>
          <cell r="P359">
            <v>3.7719298245614034E-2</v>
          </cell>
          <cell r="Q359">
            <v>4.8444390004899557E-2</v>
          </cell>
          <cell r="R359">
            <v>5.3158787364850538E-2</v>
          </cell>
          <cell r="S359">
            <v>0</v>
          </cell>
          <cell r="T359">
            <v>0</v>
          </cell>
          <cell r="U359">
            <v>0</v>
          </cell>
          <cell r="V359">
            <v>0</v>
          </cell>
          <cell r="W359">
            <v>0</v>
          </cell>
          <cell r="X359">
            <v>0</v>
          </cell>
          <cell r="Y359">
            <v>0</v>
          </cell>
          <cell r="Z359">
            <v>0</v>
          </cell>
        </row>
        <row r="360">
          <cell r="A360" t="str">
            <v>Workers Compensation (% of Sales)</v>
          </cell>
          <cell r="B360">
            <v>2.0555555555555556E-2</v>
          </cell>
          <cell r="C360">
            <v>0</v>
          </cell>
          <cell r="D360">
            <v>0</v>
          </cell>
          <cell r="E360">
            <v>0</v>
          </cell>
          <cell r="F360">
            <v>0</v>
          </cell>
          <cell r="G360">
            <v>0</v>
          </cell>
          <cell r="H360">
            <v>0</v>
          </cell>
          <cell r="I360">
            <v>0</v>
          </cell>
          <cell r="J360">
            <v>0</v>
          </cell>
          <cell r="K360">
            <v>0</v>
          </cell>
          <cell r="N360">
            <v>4.4056283357593401E-2</v>
          </cell>
          <cell r="O360">
            <v>3.9240086278413806E-2</v>
          </cell>
          <cell r="P360">
            <v>3.7207602339181287E-2</v>
          </cell>
          <cell r="Q360">
            <v>3.3500734933855955E-2</v>
          </cell>
          <cell r="R360">
            <v>2.2895908416366333E-2</v>
          </cell>
          <cell r="S360">
            <v>1.964243146603099E-2</v>
          </cell>
          <cell r="T360">
            <v>2.2690437601296597E-2</v>
          </cell>
          <cell r="U360">
            <v>1.9603524229074888E-2</v>
          </cell>
          <cell r="V360">
            <v>0</v>
          </cell>
          <cell r="W360">
            <v>0</v>
          </cell>
          <cell r="X360">
            <v>0</v>
          </cell>
          <cell r="Y360">
            <v>0</v>
          </cell>
          <cell r="Z360">
            <v>0</v>
          </cell>
        </row>
        <row r="361">
          <cell r="A361" t="str">
            <v>Customer Deposits, Current (% of Sales)</v>
          </cell>
          <cell r="B361">
            <v>0.11388888888888889</v>
          </cell>
          <cell r="C361">
            <v>0.11561219845243514</v>
          </cell>
          <cell r="D361">
            <v>0.10524582967515364</v>
          </cell>
          <cell r="E361">
            <v>0.11443779108449767</v>
          </cell>
          <cell r="F361">
            <v>0.12430406852248393</v>
          </cell>
          <cell r="G361">
            <v>0.12926194714500891</v>
          </cell>
          <cell r="H361">
            <v>0.12874649859943976</v>
          </cell>
          <cell r="I361">
            <v>0.13225929699439634</v>
          </cell>
          <cell r="J361">
            <v>0.1112959825750242</v>
          </cell>
          <cell r="K361">
            <v>0.11919753086419753</v>
          </cell>
          <cell r="N361">
            <v>5.0266860747210089E-2</v>
          </cell>
          <cell r="O361">
            <v>2.9699684751949559E-2</v>
          </cell>
          <cell r="P361">
            <v>2.8070175438596492E-2</v>
          </cell>
          <cell r="Q361">
            <v>2.8478686918177364E-2</v>
          </cell>
          <cell r="R361">
            <v>3.4608861564553742E-2</v>
          </cell>
          <cell r="S361">
            <v>0.12228843861740167</v>
          </cell>
          <cell r="T361">
            <v>0.12255329759381624</v>
          </cell>
          <cell r="U361">
            <v>0.12628487518355361</v>
          </cell>
          <cell r="V361">
            <v>0.14177474402730375</v>
          </cell>
          <cell r="W361">
            <v>0.16700000000000001</v>
          </cell>
          <cell r="X361">
            <v>0.17499999999999999</v>
          </cell>
          <cell r="Y361">
            <v>0.17499999999999999</v>
          </cell>
          <cell r="Z361">
            <v>0.17499999999999999</v>
          </cell>
        </row>
        <row r="362">
          <cell r="A362" t="str">
            <v>Salaries and Wages (% of Sales)</v>
          </cell>
          <cell r="B362">
            <v>1.9603174603174602E-2</v>
          </cell>
          <cell r="C362">
            <v>0</v>
          </cell>
          <cell r="D362">
            <v>0</v>
          </cell>
          <cell r="E362">
            <v>0</v>
          </cell>
          <cell r="F362">
            <v>0</v>
          </cell>
          <cell r="G362">
            <v>0</v>
          </cell>
          <cell r="H362">
            <v>0</v>
          </cell>
          <cell r="I362">
            <v>0</v>
          </cell>
          <cell r="J362">
            <v>0</v>
          </cell>
          <cell r="K362">
            <v>0</v>
          </cell>
          <cell r="N362">
            <v>1.7661329451722465E-2</v>
          </cell>
          <cell r="O362">
            <v>1.8666002986560477E-2</v>
          </cell>
          <cell r="P362">
            <v>1.6228070175438595E-2</v>
          </cell>
          <cell r="Q362">
            <v>2.1741793238608524E-2</v>
          </cell>
          <cell r="R362">
            <v>1.934492262030952E-2</v>
          </cell>
          <cell r="S362">
            <v>1.8450536352800955E-2</v>
          </cell>
          <cell r="T362">
            <v>1.8991813157129202E-2</v>
          </cell>
          <cell r="U362">
            <v>2.0961820851688694E-2</v>
          </cell>
          <cell r="V362">
            <v>0</v>
          </cell>
          <cell r="W362">
            <v>0</v>
          </cell>
          <cell r="X362">
            <v>0</v>
          </cell>
          <cell r="Y362">
            <v>0</v>
          </cell>
          <cell r="Z362">
            <v>0</v>
          </cell>
        </row>
        <row r="363">
          <cell r="A363" t="str">
            <v>Other Current Liabilities (% of Sales)</v>
          </cell>
          <cell r="B363">
            <v>4.3452380952380951E-2</v>
          </cell>
          <cell r="C363">
            <v>0.1048778637536034</v>
          </cell>
          <cell r="D363">
            <v>0.1052824114720515</v>
          </cell>
          <cell r="E363">
            <v>9.0918163672654692E-2</v>
          </cell>
          <cell r="F363">
            <v>0.1002498215560314</v>
          </cell>
          <cell r="G363">
            <v>9.0476516500068466E-2</v>
          </cell>
          <cell r="H363">
            <v>9.7689075630252101E-2</v>
          </cell>
          <cell r="I363">
            <v>9.0804890473764652E-2</v>
          </cell>
          <cell r="J363">
            <v>9.1813891577928367E-2</v>
          </cell>
          <cell r="K363">
            <v>0.09</v>
          </cell>
          <cell r="N363">
            <v>3.8233867054827751E-2</v>
          </cell>
          <cell r="O363">
            <v>6.1141529782644768E-2</v>
          </cell>
          <cell r="P363">
            <v>5.4532163742690057E-2</v>
          </cell>
          <cell r="Q363">
            <v>6.0999510044096032E-2</v>
          </cell>
          <cell r="R363">
            <v>5.0667797328810688E-2</v>
          </cell>
          <cell r="S363">
            <v>4.6483909415971393E-2</v>
          </cell>
          <cell r="T363">
            <v>3.9147238498940279E-2</v>
          </cell>
          <cell r="U363">
            <v>3.8289280469897213E-2</v>
          </cell>
          <cell r="V363">
            <v>9.7337883959044372E-2</v>
          </cell>
        </row>
        <row r="364">
          <cell r="A364" t="str">
            <v>Other Liabilities (% of Sales)</v>
          </cell>
          <cell r="B364">
            <v>1.8214285714285714E-2</v>
          </cell>
          <cell r="C364">
            <v>8.9667728720983164E-2</v>
          </cell>
          <cell r="D364">
            <v>9.1308165057067597E-2</v>
          </cell>
          <cell r="E364">
            <v>8.925482368596141E-2</v>
          </cell>
          <cell r="F364">
            <v>9.839400428265524E-2</v>
          </cell>
          <cell r="G364">
            <v>0.10550458715596331</v>
          </cell>
          <cell r="H364">
            <v>0.11351540616246499</v>
          </cell>
          <cell r="I364">
            <v>0.15432373917473255</v>
          </cell>
          <cell r="J364">
            <v>0.14569215876089062</v>
          </cell>
          <cell r="K364">
            <v>0.1462037037037037</v>
          </cell>
          <cell r="N364">
            <v>4.2309558466763708E-2</v>
          </cell>
          <cell r="O364">
            <v>4.1314086610253854E-2</v>
          </cell>
          <cell r="P364">
            <v>3.8596491228070177E-2</v>
          </cell>
          <cell r="Q364">
            <v>3.17858892699657E-2</v>
          </cell>
          <cell r="R364">
            <v>2.9467882128471488E-2</v>
          </cell>
          <cell r="S364">
            <v>1.830750893921335E-2</v>
          </cell>
          <cell r="T364">
            <v>1.6747703943814155E-2</v>
          </cell>
          <cell r="U364">
            <v>1.8612334801762116E-2</v>
          </cell>
          <cell r="V364">
            <v>0.16542662116040954</v>
          </cell>
          <cell r="W364">
            <v>0.03</v>
          </cell>
          <cell r="X364">
            <v>0.03</v>
          </cell>
          <cell r="Y364">
            <v>0.03</v>
          </cell>
          <cell r="Z364">
            <v>0.03</v>
          </cell>
        </row>
        <row r="366">
          <cell r="A366" t="str">
            <v>Inventory Breakdown</v>
          </cell>
        </row>
        <row r="367">
          <cell r="A367" t="str">
            <v>Work in Process (WIP)</v>
          </cell>
          <cell r="B367">
            <v>742</v>
          </cell>
          <cell r="C367">
            <v>742</v>
          </cell>
          <cell r="D367">
            <v>713</v>
          </cell>
          <cell r="E367">
            <v>774</v>
          </cell>
          <cell r="F367">
            <v>814</v>
          </cell>
          <cell r="G367">
            <v>828</v>
          </cell>
          <cell r="H367">
            <v>834</v>
          </cell>
          <cell r="I367">
            <v>876</v>
          </cell>
          <cell r="N367">
            <v>405</v>
          </cell>
          <cell r="O367">
            <v>643</v>
          </cell>
          <cell r="P367">
            <v>750</v>
          </cell>
          <cell r="Q367">
            <v>614</v>
          </cell>
          <cell r="R367">
            <v>648</v>
          </cell>
          <cell r="S367">
            <v>701</v>
          </cell>
          <cell r="T367">
            <v>715</v>
          </cell>
          <cell r="U367">
            <v>774</v>
          </cell>
          <cell r="V367">
            <v>876</v>
          </cell>
        </row>
        <row r="368">
          <cell r="A368" t="str">
            <v>Raw Materials</v>
          </cell>
          <cell r="B368">
            <v>772</v>
          </cell>
          <cell r="C368">
            <v>772</v>
          </cell>
          <cell r="D368">
            <v>798</v>
          </cell>
          <cell r="E368">
            <v>804</v>
          </cell>
          <cell r="F368">
            <v>797</v>
          </cell>
          <cell r="G368">
            <v>812</v>
          </cell>
          <cell r="H368">
            <v>835</v>
          </cell>
          <cell r="I368">
            <v>1001</v>
          </cell>
          <cell r="N368">
            <v>289</v>
          </cell>
          <cell r="O368">
            <v>361</v>
          </cell>
          <cell r="P368">
            <v>396</v>
          </cell>
          <cell r="Q368">
            <v>388</v>
          </cell>
          <cell r="R368">
            <v>392</v>
          </cell>
          <cell r="S368">
            <v>505</v>
          </cell>
          <cell r="T368">
            <v>711</v>
          </cell>
          <cell r="U368">
            <v>804</v>
          </cell>
          <cell r="V368">
            <v>1001</v>
          </cell>
        </row>
        <row r="369">
          <cell r="A369" t="str">
            <v>Preowned Aircraft</v>
          </cell>
          <cell r="B369">
            <v>58</v>
          </cell>
          <cell r="C369">
            <v>58</v>
          </cell>
          <cell r="D369">
            <v>30</v>
          </cell>
          <cell r="E369">
            <v>30</v>
          </cell>
          <cell r="F369">
            <v>22</v>
          </cell>
          <cell r="G369">
            <v>0</v>
          </cell>
          <cell r="H369">
            <v>24</v>
          </cell>
          <cell r="I369">
            <v>100</v>
          </cell>
          <cell r="N369">
            <v>236</v>
          </cell>
          <cell r="O369">
            <v>254</v>
          </cell>
          <cell r="P369">
            <v>230</v>
          </cell>
          <cell r="Q369">
            <v>103</v>
          </cell>
          <cell r="R369">
            <v>119</v>
          </cell>
          <cell r="S369">
            <v>69</v>
          </cell>
          <cell r="T369">
            <v>44</v>
          </cell>
          <cell r="U369">
            <v>30</v>
          </cell>
          <cell r="V369">
            <v>100</v>
          </cell>
        </row>
        <row r="370">
          <cell r="A370" t="str">
            <v>Other (coal/aggregates)</v>
          </cell>
          <cell r="B370">
            <v>32</v>
          </cell>
          <cell r="C370">
            <v>32</v>
          </cell>
          <cell r="D370">
            <v>15</v>
          </cell>
          <cell r="E370">
            <v>13</v>
          </cell>
          <cell r="F370">
            <v>30</v>
          </cell>
          <cell r="G370">
            <v>13</v>
          </cell>
          <cell r="H370">
            <v>32</v>
          </cell>
          <cell r="I370">
            <v>52</v>
          </cell>
          <cell r="N370">
            <v>23</v>
          </cell>
          <cell r="O370">
            <v>31</v>
          </cell>
          <cell r="P370">
            <v>29</v>
          </cell>
          <cell r="Q370">
            <v>54</v>
          </cell>
          <cell r="R370">
            <v>36</v>
          </cell>
          <cell r="S370">
            <v>18</v>
          </cell>
          <cell r="T370">
            <v>14</v>
          </cell>
          <cell r="U370">
            <v>13</v>
          </cell>
          <cell r="V370">
            <v>52</v>
          </cell>
        </row>
        <row r="371">
          <cell r="A371" t="str">
            <v>Total</v>
          </cell>
          <cell r="B371">
            <v>1604</v>
          </cell>
          <cell r="C371">
            <v>1604</v>
          </cell>
          <cell r="D371">
            <v>1556</v>
          </cell>
          <cell r="E371">
            <v>1621</v>
          </cell>
          <cell r="F371">
            <v>1663</v>
          </cell>
          <cell r="G371">
            <v>1653</v>
          </cell>
          <cell r="H371">
            <v>1725</v>
          </cell>
          <cell r="I371">
            <v>2029</v>
          </cell>
          <cell r="N371">
            <v>953</v>
          </cell>
          <cell r="O371">
            <v>1289</v>
          </cell>
          <cell r="P371">
            <v>1405</v>
          </cell>
          <cell r="Q371">
            <v>1159</v>
          </cell>
          <cell r="R371">
            <v>1195</v>
          </cell>
          <cell r="S371">
            <v>1293</v>
          </cell>
          <cell r="T371">
            <v>1484</v>
          </cell>
          <cell r="U371">
            <v>1621</v>
          </cell>
          <cell r="V371">
            <v>2029</v>
          </cell>
        </row>
        <row r="372">
          <cell r="A372" t="str">
            <v>% of Total</v>
          </cell>
        </row>
        <row r="373">
          <cell r="A373" t="str">
            <v>Work in Process (WIP)</v>
          </cell>
          <cell r="B373">
            <v>0.46259351620947631</v>
          </cell>
          <cell r="C373">
            <v>0.46259351620947631</v>
          </cell>
          <cell r="D373">
            <v>0.45822622107969152</v>
          </cell>
          <cell r="E373">
            <v>0.47748303516347934</v>
          </cell>
          <cell r="F373">
            <v>0.48947684906794947</v>
          </cell>
          <cell r="G373">
            <v>0.50090744101633389</v>
          </cell>
          <cell r="H373">
            <v>0.48347826086956519</v>
          </cell>
          <cell r="I373">
            <v>0.43173977328733365</v>
          </cell>
          <cell r="N373">
            <v>0.4249737670514166</v>
          </cell>
          <cell r="O373">
            <v>0.49883630721489525</v>
          </cell>
          <cell r="P373">
            <v>0.53380782918149461</v>
          </cell>
          <cell r="Q373">
            <v>0.52976704055220014</v>
          </cell>
          <cell r="R373">
            <v>0.54225941422594137</v>
          </cell>
          <cell r="S373">
            <v>0.54215003866976019</v>
          </cell>
          <cell r="T373">
            <v>0.48180592991913745</v>
          </cell>
          <cell r="U373">
            <v>0.47748303516347934</v>
          </cell>
          <cell r="V373">
            <v>0.43173977328733365</v>
          </cell>
        </row>
        <row r="374">
          <cell r="A374" t="str">
            <v>Raw Materials</v>
          </cell>
          <cell r="B374">
            <v>0.48129675810473815</v>
          </cell>
          <cell r="C374">
            <v>0.48129675810473815</v>
          </cell>
          <cell r="D374">
            <v>0.51285347043701801</v>
          </cell>
          <cell r="E374">
            <v>0.49599012954966071</v>
          </cell>
          <cell r="F374">
            <v>0.47925435959110041</v>
          </cell>
          <cell r="G374">
            <v>0.49122807017543857</v>
          </cell>
          <cell r="H374">
            <v>0.48405797101449277</v>
          </cell>
          <cell r="I374">
            <v>0.49334647609659932</v>
          </cell>
          <cell r="N374">
            <v>0.30325288562434416</v>
          </cell>
          <cell r="O374">
            <v>0.28006206361520558</v>
          </cell>
          <cell r="P374">
            <v>0.28185053380782921</v>
          </cell>
          <cell r="Q374">
            <v>0.33477135461604834</v>
          </cell>
          <cell r="R374">
            <v>0.32803347280334727</v>
          </cell>
          <cell r="S374">
            <v>0.39056457849961329</v>
          </cell>
          <cell r="T374">
            <v>0.47911051212938005</v>
          </cell>
          <cell r="U374">
            <v>0.49599012954966071</v>
          </cell>
          <cell r="V374">
            <v>0.49334647609659932</v>
          </cell>
        </row>
        <row r="375">
          <cell r="A375" t="str">
            <v>Preowned Aircraft</v>
          </cell>
          <cell r="B375">
            <v>3.6159600997506237E-2</v>
          </cell>
          <cell r="C375">
            <v>3.6159600997506237E-2</v>
          </cell>
          <cell r="D375">
            <v>1.9280205655526992E-2</v>
          </cell>
          <cell r="E375">
            <v>1.850709438618137E-2</v>
          </cell>
          <cell r="F375">
            <v>1.32291040288635E-2</v>
          </cell>
          <cell r="G375">
            <v>0</v>
          </cell>
          <cell r="H375">
            <v>1.391304347826087E-2</v>
          </cell>
          <cell r="I375">
            <v>4.928536224741252E-2</v>
          </cell>
          <cell r="N375">
            <v>0.24763903462749212</v>
          </cell>
          <cell r="O375">
            <v>0.19705197827773469</v>
          </cell>
          <cell r="P375">
            <v>0.16370106761565836</v>
          </cell>
          <cell r="Q375">
            <v>8.8869715271786026E-2</v>
          </cell>
          <cell r="R375">
            <v>9.9581589958158995E-2</v>
          </cell>
          <cell r="S375">
            <v>5.336426914153132E-2</v>
          </cell>
          <cell r="T375">
            <v>2.9649595687331536E-2</v>
          </cell>
          <cell r="U375">
            <v>1.850709438618137E-2</v>
          </cell>
          <cell r="V375">
            <v>4.928536224741252E-2</v>
          </cell>
        </row>
        <row r="376">
          <cell r="A376" t="str">
            <v>Other (coal/aggregates)</v>
          </cell>
          <cell r="B376">
            <v>1.9950124688279301E-2</v>
          </cell>
          <cell r="C376">
            <v>1.9950124688279301E-2</v>
          </cell>
          <cell r="D376">
            <v>9.640102827763496E-3</v>
          </cell>
          <cell r="E376">
            <v>8.0197409006785934E-3</v>
          </cell>
          <cell r="F376">
            <v>1.8039687312086591E-2</v>
          </cell>
          <cell r="G376">
            <v>7.8644888082274652E-3</v>
          </cell>
          <cell r="H376">
            <v>1.8550724637681159E-2</v>
          </cell>
          <cell r="I376">
            <v>2.5628388368654508E-2</v>
          </cell>
          <cell r="N376">
            <v>2.4134312696747113E-2</v>
          </cell>
          <cell r="O376">
            <v>2.404965089216447E-2</v>
          </cell>
          <cell r="P376">
            <v>2.0640569395017794E-2</v>
          </cell>
          <cell r="Q376">
            <v>4.6591889559965488E-2</v>
          </cell>
          <cell r="R376">
            <v>3.0125523012552301E-2</v>
          </cell>
          <cell r="S376">
            <v>1.3921113689095127E-2</v>
          </cell>
          <cell r="T376">
            <v>9.433962264150943E-3</v>
          </cell>
          <cell r="U376">
            <v>8.0197409006785934E-3</v>
          </cell>
          <cell r="V376">
            <v>2.5628388368654508E-2</v>
          </cell>
        </row>
        <row r="377">
          <cell r="A377" t="str">
            <v>% Ch Y/Y</v>
          </cell>
        </row>
        <row r="378">
          <cell r="A378" t="str">
            <v>Work in Process (WIP)</v>
          </cell>
          <cell r="B378">
            <v>-5.2362707535121289E-2</v>
          </cell>
          <cell r="C378">
            <v>-0.11031175059952036</v>
          </cell>
          <cell r="D378">
            <v>-3.6486486486486447E-2</v>
          </cell>
          <cell r="E378">
            <v>8.2517482517482588E-2</v>
          </cell>
          <cell r="F378">
            <v>9.7035040431266761E-2</v>
          </cell>
          <cell r="G378">
            <v>0.11590296495956864</v>
          </cell>
          <cell r="H378">
            <v>0.16970546984572232</v>
          </cell>
          <cell r="I378">
            <v>0.13178294573643412</v>
          </cell>
          <cell r="N378">
            <v>-7.1100917431192623E-2</v>
          </cell>
          <cell r="O378">
            <v>0.58765432098765435</v>
          </cell>
          <cell r="P378">
            <v>0.16640746500777603</v>
          </cell>
          <cell r="Q378">
            <v>-0.18133333333333335</v>
          </cell>
          <cell r="R378">
            <v>5.5374592833876246E-2</v>
          </cell>
          <cell r="S378">
            <v>8.1790123456790154E-2</v>
          </cell>
          <cell r="T378">
            <v>1.9971469329529201E-2</v>
          </cell>
          <cell r="U378">
            <v>8.2517482517482588E-2</v>
          </cell>
          <cell r="V378">
            <v>0.13178294573643412</v>
          </cell>
        </row>
        <row r="379">
          <cell r="A379" t="str">
            <v>Raw Materials</v>
          </cell>
          <cell r="B379">
            <v>0.49902912621359219</v>
          </cell>
          <cell r="C379">
            <v>0.39099099099099099</v>
          </cell>
          <cell r="D379">
            <v>0.27884615384615374</v>
          </cell>
          <cell r="E379">
            <v>0.13080168776371304</v>
          </cell>
          <cell r="F379">
            <v>3.2383419689119064E-2</v>
          </cell>
          <cell r="G379">
            <v>5.1813471502590636E-2</v>
          </cell>
          <cell r="H379">
            <v>4.6365914786967499E-2</v>
          </cell>
          <cell r="I379">
            <v>0.24502487562189046</v>
          </cell>
          <cell r="N379">
            <v>-0.37445887445887449</v>
          </cell>
          <cell r="O379">
            <v>0.24913494809688586</v>
          </cell>
          <cell r="P379">
            <v>9.695290858725758E-2</v>
          </cell>
          <cell r="Q379">
            <v>-2.0202020202020221E-2</v>
          </cell>
          <cell r="R379">
            <v>1.0309278350515427E-2</v>
          </cell>
          <cell r="S379">
            <v>0.28826530612244894</v>
          </cell>
          <cell r="T379">
            <v>0.40792079207920784</v>
          </cell>
          <cell r="U379">
            <v>0.13080168776371304</v>
          </cell>
          <cell r="V379">
            <v>0.24502487562189046</v>
          </cell>
        </row>
        <row r="380">
          <cell r="A380" t="str">
            <v>Preowned Aircraft</v>
          </cell>
          <cell r="B380">
            <v>-0.52459016393442626</v>
          </cell>
          <cell r="C380">
            <v>-0.28395061728395066</v>
          </cell>
          <cell r="D380">
            <v>-6.25E-2</v>
          </cell>
          <cell r="E380">
            <v>-0.31818181818181823</v>
          </cell>
          <cell r="F380">
            <v>-0.62068965517241381</v>
          </cell>
          <cell r="G380">
            <v>-1</v>
          </cell>
          <cell r="H380">
            <v>-0.19999999999999996</v>
          </cell>
          <cell r="I380">
            <v>2.3333333333333335</v>
          </cell>
          <cell r="N380">
            <v>-2.8806584362139898E-2</v>
          </cell>
          <cell r="O380">
            <v>7.6271186440677985E-2</v>
          </cell>
          <cell r="P380">
            <v>-9.4488188976378007E-2</v>
          </cell>
          <cell r="Q380">
            <v>-0.55217391304347818</v>
          </cell>
          <cell r="R380">
            <v>0.15533980582524265</v>
          </cell>
          <cell r="S380">
            <v>-0.42016806722689071</v>
          </cell>
          <cell r="T380">
            <v>-0.3623188405797102</v>
          </cell>
          <cell r="U380">
            <v>-0.31818181818181823</v>
          </cell>
          <cell r="V380">
            <v>2.3333333333333335</v>
          </cell>
        </row>
        <row r="381">
          <cell r="A381" t="str">
            <v>Other (coal/aggregates)</v>
          </cell>
          <cell r="B381">
            <v>0.88235294117647056</v>
          </cell>
          <cell r="C381">
            <v>0.88235294117647056</v>
          </cell>
          <cell r="D381">
            <v>0.15384615384615374</v>
          </cell>
          <cell r="E381">
            <v>-7.1428571428571397E-2</v>
          </cell>
          <cell r="F381">
            <v>-6.25E-2</v>
          </cell>
          <cell r="G381">
            <v>-0.59375</v>
          </cell>
          <cell r="H381">
            <v>1.1333333333333333</v>
          </cell>
          <cell r="I381">
            <v>3</v>
          </cell>
          <cell r="N381">
            <v>0.14999999999999991</v>
          </cell>
          <cell r="O381">
            <v>0.34782608695652173</v>
          </cell>
          <cell r="P381">
            <v>-6.4516129032258118E-2</v>
          </cell>
          <cell r="Q381">
            <v>0.86206896551724133</v>
          </cell>
          <cell r="R381">
            <v>-0.33333333333333337</v>
          </cell>
          <cell r="S381">
            <v>-0.5</v>
          </cell>
          <cell r="T381">
            <v>-0.22222222222222221</v>
          </cell>
          <cell r="U381">
            <v>-7.1428571428571397E-2</v>
          </cell>
          <cell r="V381">
            <v>3</v>
          </cell>
        </row>
        <row r="382">
          <cell r="A382" t="str">
            <v>Total</v>
          </cell>
          <cell r="B382">
            <v>0.11621433542101611</v>
          </cell>
          <cell r="C382">
            <v>7.8681909885675916E-2</v>
          </cell>
          <cell r="D382">
            <v>0.10432931156848824</v>
          </cell>
          <cell r="E382">
            <v>9.2318059299191457E-2</v>
          </cell>
          <cell r="F382">
            <v>3.6783042394014975E-2</v>
          </cell>
          <cell r="G382">
            <v>3.0548628428927582E-2</v>
          </cell>
          <cell r="H382">
            <v>0.1086118251928021</v>
          </cell>
          <cell r="I382">
            <v>0.25169648365206654</v>
          </cell>
          <cell r="N382">
            <v>-0.17915590008613269</v>
          </cell>
          <cell r="O382">
            <v>0.35257082896117531</v>
          </cell>
          <cell r="P382">
            <v>8.9992242048099191E-2</v>
          </cell>
          <cell r="Q382">
            <v>-0.17508896797153028</v>
          </cell>
          <cell r="R382">
            <v>3.1061259706643751E-2</v>
          </cell>
          <cell r="S382">
            <v>8.200836820083679E-2</v>
          </cell>
          <cell r="T382">
            <v>0.14771848414539823</v>
          </cell>
          <cell r="U382">
            <v>9.2318059299191457E-2</v>
          </cell>
          <cell r="V382">
            <v>0.25169648365206654</v>
          </cell>
        </row>
        <row r="384">
          <cell r="A384" t="str">
            <v>Gulfstream trade-in commit thru '04</v>
          </cell>
          <cell r="B384">
            <v>194</v>
          </cell>
          <cell r="C384">
            <v>0</v>
          </cell>
          <cell r="D384">
            <v>70</v>
          </cell>
          <cell r="E384">
            <v>70</v>
          </cell>
          <cell r="P384">
            <v>551</v>
          </cell>
          <cell r="Q384">
            <v>229</v>
          </cell>
          <cell r="R384">
            <v>301</v>
          </cell>
          <cell r="S384">
            <v>570</v>
          </cell>
          <cell r="T384">
            <v>302</v>
          </cell>
          <cell r="U384">
            <v>70</v>
          </cell>
          <cell r="V384">
            <v>141</v>
          </cell>
        </row>
        <row r="386">
          <cell r="A386" t="str">
            <v>Warranty Information</v>
          </cell>
        </row>
        <row r="387">
          <cell r="A387" t="str">
            <v>Expense</v>
          </cell>
          <cell r="B387">
            <v>19</v>
          </cell>
          <cell r="C387">
            <v>13</v>
          </cell>
          <cell r="D387">
            <v>24</v>
          </cell>
          <cell r="E387">
            <v>21</v>
          </cell>
          <cell r="F387">
            <v>15</v>
          </cell>
          <cell r="G387">
            <v>20</v>
          </cell>
          <cell r="H387">
            <v>19</v>
          </cell>
          <cell r="I387">
            <v>15</v>
          </cell>
          <cell r="P387">
            <v>35</v>
          </cell>
          <cell r="Q387">
            <v>73</v>
          </cell>
          <cell r="R387">
            <v>53</v>
          </cell>
          <cell r="S387">
            <v>33</v>
          </cell>
          <cell r="T387">
            <v>70</v>
          </cell>
          <cell r="U387">
            <v>77</v>
          </cell>
          <cell r="V387">
            <v>69</v>
          </cell>
        </row>
        <row r="388">
          <cell r="A388" t="str">
            <v>Payments</v>
          </cell>
          <cell r="B388">
            <v>-14</v>
          </cell>
          <cell r="C388">
            <v>-11</v>
          </cell>
          <cell r="D388">
            <v>-21</v>
          </cell>
          <cell r="E388">
            <v>-18</v>
          </cell>
          <cell r="F388">
            <v>-13</v>
          </cell>
          <cell r="G388">
            <v>-9</v>
          </cell>
          <cell r="H388">
            <v>-14</v>
          </cell>
          <cell r="I388">
            <v>-16</v>
          </cell>
          <cell r="P388">
            <v>-5</v>
          </cell>
          <cell r="Q388">
            <v>-51</v>
          </cell>
          <cell r="R388">
            <v>-37</v>
          </cell>
          <cell r="S388">
            <v>-42</v>
          </cell>
          <cell r="T388">
            <v>-59</v>
          </cell>
          <cell r="U388">
            <v>-64</v>
          </cell>
          <cell r="V388">
            <v>-52</v>
          </cell>
        </row>
        <row r="389">
          <cell r="A389" t="str">
            <v>Adjustments</v>
          </cell>
          <cell r="B389">
            <v>0</v>
          </cell>
          <cell r="C389">
            <v>0</v>
          </cell>
          <cell r="D389">
            <v>5</v>
          </cell>
          <cell r="E389">
            <v>0</v>
          </cell>
          <cell r="F389">
            <v>-33</v>
          </cell>
          <cell r="G389">
            <v>-5</v>
          </cell>
          <cell r="H389">
            <v>-2</v>
          </cell>
          <cell r="I389">
            <v>7</v>
          </cell>
          <cell r="P389">
            <v>-7</v>
          </cell>
          <cell r="Q389">
            <v>53</v>
          </cell>
          <cell r="R389">
            <v>2</v>
          </cell>
          <cell r="S389">
            <v>12</v>
          </cell>
          <cell r="T389">
            <v>6</v>
          </cell>
          <cell r="U389">
            <v>5</v>
          </cell>
          <cell r="V389">
            <v>-33</v>
          </cell>
        </row>
        <row r="390">
          <cell r="A390" t="str">
            <v>Beginning Liabilities</v>
          </cell>
          <cell r="B390">
            <v>219</v>
          </cell>
          <cell r="C390">
            <v>224</v>
          </cell>
          <cell r="D390">
            <v>226</v>
          </cell>
          <cell r="E390">
            <v>234</v>
          </cell>
          <cell r="F390">
            <v>237</v>
          </cell>
          <cell r="G390">
            <v>206</v>
          </cell>
          <cell r="H390">
            <v>212</v>
          </cell>
          <cell r="I390">
            <v>215</v>
          </cell>
          <cell r="P390">
            <v>83</v>
          </cell>
          <cell r="Q390">
            <v>106</v>
          </cell>
          <cell r="R390">
            <v>181</v>
          </cell>
          <cell r="S390">
            <v>199</v>
          </cell>
          <cell r="T390">
            <v>202</v>
          </cell>
          <cell r="U390">
            <v>219</v>
          </cell>
          <cell r="V390">
            <v>237</v>
          </cell>
        </row>
        <row r="391">
          <cell r="A391" t="str">
            <v>Ending Liabilties</v>
          </cell>
          <cell r="B391">
            <v>224</v>
          </cell>
          <cell r="C391">
            <v>226</v>
          </cell>
          <cell r="D391">
            <v>234</v>
          </cell>
          <cell r="E391">
            <v>237</v>
          </cell>
          <cell r="F391">
            <v>206</v>
          </cell>
          <cell r="G391">
            <v>212</v>
          </cell>
          <cell r="H391">
            <v>215</v>
          </cell>
          <cell r="I391">
            <v>221</v>
          </cell>
          <cell r="O391">
            <v>83</v>
          </cell>
          <cell r="P391">
            <v>106</v>
          </cell>
          <cell r="Q391">
            <v>181</v>
          </cell>
          <cell r="R391">
            <v>199</v>
          </cell>
          <cell r="S391">
            <v>202</v>
          </cell>
          <cell r="T391">
            <v>219</v>
          </cell>
          <cell r="U391">
            <v>237</v>
          </cell>
          <cell r="V391">
            <v>221</v>
          </cell>
        </row>
        <row r="393">
          <cell r="A393" t="str">
            <v>Unsold Aircraft inventory</v>
          </cell>
        </row>
        <row r="394">
          <cell r="A394" t="str">
            <v>Large</v>
          </cell>
          <cell r="O394">
            <v>3</v>
          </cell>
          <cell r="P394">
            <v>4</v>
          </cell>
        </row>
        <row r="395">
          <cell r="A395" t="str">
            <v>Midsized</v>
          </cell>
          <cell r="O395">
            <v>14</v>
          </cell>
          <cell r="P395">
            <v>15</v>
          </cell>
        </row>
        <row r="396">
          <cell r="A396" t="str">
            <v>Total</v>
          </cell>
          <cell r="O396">
            <v>17</v>
          </cell>
          <cell r="P396">
            <v>19</v>
          </cell>
          <cell r="Q396">
            <v>7</v>
          </cell>
          <cell r="R396">
            <v>8</v>
          </cell>
        </row>
        <row r="397">
          <cell r="A397" t="str">
            <v>sequential change (units)</v>
          </cell>
          <cell r="P397">
            <v>2</v>
          </cell>
          <cell r="Q397">
            <v>-12</v>
          </cell>
          <cell r="R397">
            <v>1</v>
          </cell>
        </row>
        <row r="399">
          <cell r="A399" t="str">
            <v>Revenue % Annual Total</v>
          </cell>
        </row>
        <row r="400">
          <cell r="A400" t="str">
            <v>Marine Systems</v>
          </cell>
          <cell r="B400">
            <v>0.25175245343480873</v>
          </cell>
          <cell r="C400">
            <v>0.25475665932305225</v>
          </cell>
          <cell r="D400">
            <v>0.24954936911676348</v>
          </cell>
          <cell r="E400">
            <v>0.24394151812537554</v>
          </cell>
          <cell r="F400">
            <v>0.24802015838732902</v>
          </cell>
          <cell r="G400">
            <v>0.25089992800575955</v>
          </cell>
          <cell r="H400">
            <v>0.25269978401727861</v>
          </cell>
          <cell r="I400">
            <v>0.24838012958963282</v>
          </cell>
          <cell r="J400">
            <v>0.25875968992248061</v>
          </cell>
          <cell r="K400">
            <v>0.25193798449612403</v>
          </cell>
          <cell r="L400">
            <v>0.24031007751937986</v>
          </cell>
          <cell r="M400">
            <v>0.2489922480620155</v>
          </cell>
        </row>
        <row r="401">
          <cell r="A401" t="str">
            <v>Combat Systems</v>
          </cell>
          <cell r="B401">
            <v>0.20110298832884443</v>
          </cell>
          <cell r="C401">
            <v>0.21957163011414646</v>
          </cell>
          <cell r="D401">
            <v>0.2400923432089265</v>
          </cell>
          <cell r="E401">
            <v>0.33923303834808261</v>
          </cell>
          <cell r="F401">
            <v>0.2437149133512326</v>
          </cell>
          <cell r="G401">
            <v>0.24591164266536489</v>
          </cell>
          <cell r="H401">
            <v>0.22577495728581889</v>
          </cell>
          <cell r="I401">
            <v>0.28459848669758359</v>
          </cell>
          <cell r="J401">
            <v>0.2407</v>
          </cell>
          <cell r="K401">
            <v>0.24049999999999999</v>
          </cell>
          <cell r="L401">
            <v>0.25</v>
          </cell>
          <cell r="M401">
            <v>0.26879999999999998</v>
          </cell>
        </row>
        <row r="402">
          <cell r="A402" t="str">
            <v>Info. Systems &amp; Tech.</v>
          </cell>
          <cell r="B402">
            <v>0.24745375181874871</v>
          </cell>
          <cell r="C402">
            <v>0.24932446476823944</v>
          </cell>
          <cell r="D402">
            <v>0.24953232176262732</v>
          </cell>
          <cell r="E402">
            <v>0.25368946165038453</v>
          </cell>
          <cell r="F402">
            <v>0.23421000199242878</v>
          </cell>
          <cell r="G402">
            <v>0.25552898983861327</v>
          </cell>
          <cell r="H402">
            <v>0.25044829647340106</v>
          </cell>
          <cell r="I402">
            <v>0.25981271169555686</v>
          </cell>
          <cell r="J402">
            <v>0.25305555555555553</v>
          </cell>
          <cell r="K402">
            <v>0.24583333333333332</v>
          </cell>
          <cell r="L402">
            <v>0.24537037037037038</v>
          </cell>
          <cell r="M402">
            <v>0.25574074074074077</v>
          </cell>
        </row>
        <row r="403">
          <cell r="A403" t="str">
            <v>Aerospace</v>
          </cell>
          <cell r="B403">
            <v>0.22659486329743164</v>
          </cell>
          <cell r="C403">
            <v>0.25020712510356258</v>
          </cell>
          <cell r="D403">
            <v>0.27236951118475561</v>
          </cell>
          <cell r="E403">
            <v>0.2508285004142502</v>
          </cell>
          <cell r="F403">
            <v>0.23203918722786648</v>
          </cell>
          <cell r="G403">
            <v>0.24111030478955006</v>
          </cell>
          <cell r="H403">
            <v>0.24891146589259797</v>
          </cell>
          <cell r="I403">
            <v>0.27793904208998549</v>
          </cell>
          <cell r="J403">
            <v>0.27714285714285714</v>
          </cell>
          <cell r="K403">
            <v>0.2695238095238095</v>
          </cell>
          <cell r="L403">
            <v>0.19047619047619047</v>
          </cell>
          <cell r="M403">
            <v>0.26285714285714284</v>
          </cell>
        </row>
        <row r="404">
          <cell r="A404" t="str">
            <v>Resources</v>
          </cell>
          <cell r="B404" t="str">
            <v>NM</v>
          </cell>
          <cell r="C404" t="str">
            <v>NM</v>
          </cell>
          <cell r="D404" t="str">
            <v>NM</v>
          </cell>
          <cell r="E404" t="str">
            <v>NM</v>
          </cell>
          <cell r="F404" t="str">
            <v>NM</v>
          </cell>
          <cell r="G404" t="str">
            <v>NM</v>
          </cell>
          <cell r="H404" t="str">
            <v>NM</v>
          </cell>
          <cell r="I404" t="str">
            <v>NM</v>
          </cell>
          <cell r="J404" t="str">
            <v>NM</v>
          </cell>
          <cell r="K404" t="str">
            <v>NM</v>
          </cell>
          <cell r="L404" t="str">
            <v>NM</v>
          </cell>
          <cell r="M404" t="str">
            <v>NM</v>
          </cell>
        </row>
        <row r="405">
          <cell r="A405" t="str">
            <v>Total</v>
          </cell>
          <cell r="B405">
            <v>0.23127753303964757</v>
          </cell>
          <cell r="C405">
            <v>0.24196035242290748</v>
          </cell>
          <cell r="D405">
            <v>0.25088105726872245</v>
          </cell>
          <cell r="E405">
            <v>0.27588105726872247</v>
          </cell>
          <cell r="F405">
            <v>0.23907849829351535</v>
          </cell>
          <cell r="G405">
            <v>0.24924914675767917</v>
          </cell>
          <cell r="H405">
            <v>0.24368600682593858</v>
          </cell>
          <cell r="I405">
            <v>0.26798634812286687</v>
          </cell>
          <cell r="J405">
            <v>0.25427692307692307</v>
          </cell>
          <cell r="K405">
            <v>0.24923076923076923</v>
          </cell>
          <cell r="L405">
            <v>0.23692307692307693</v>
          </cell>
          <cell r="M405">
            <v>0.25956923076923077</v>
          </cell>
        </row>
        <row r="407">
          <cell r="B407">
            <v>2007</v>
          </cell>
          <cell r="F407" t="str">
            <v>2008E</v>
          </cell>
          <cell r="J407" t="str">
            <v>2009E</v>
          </cell>
        </row>
        <row r="408">
          <cell r="A408" t="str">
            <v>Modelware Requirements</v>
          </cell>
          <cell r="B408" t="str">
            <v>Q1</v>
          </cell>
          <cell r="C408" t="str">
            <v>Q2</v>
          </cell>
          <cell r="D408" t="str">
            <v>Q3</v>
          </cell>
          <cell r="E408" t="str">
            <v>Q4</v>
          </cell>
          <cell r="F408" t="str">
            <v>Q1</v>
          </cell>
          <cell r="G408" t="str">
            <v>Q2</v>
          </cell>
          <cell r="H408" t="str">
            <v>Q3</v>
          </cell>
          <cell r="I408" t="str">
            <v>Q4</v>
          </cell>
          <cell r="J408" t="str">
            <v>Q1</v>
          </cell>
          <cell r="K408" t="str">
            <v>Q2A</v>
          </cell>
          <cell r="L408" t="str">
            <v>Q3E</v>
          </cell>
          <cell r="M408" t="str">
            <v>Q4E</v>
          </cell>
          <cell r="N408">
            <v>2000</v>
          </cell>
          <cell r="O408">
            <v>2001</v>
          </cell>
          <cell r="P408">
            <v>2002</v>
          </cell>
          <cell r="Q408">
            <v>2003</v>
          </cell>
          <cell r="R408">
            <v>2004</v>
          </cell>
          <cell r="S408">
            <v>2005</v>
          </cell>
          <cell r="T408">
            <v>2006</v>
          </cell>
          <cell r="U408">
            <v>2007</v>
          </cell>
          <cell r="V408" t="str">
            <v>2008A</v>
          </cell>
          <cell r="W408" t="str">
            <v>2009E</v>
          </cell>
          <cell r="X408" t="str">
            <v>2010E</v>
          </cell>
          <cell r="Y408" t="str">
            <v>2011E</v>
          </cell>
          <cell r="Z408" t="str">
            <v>2012E</v>
          </cell>
        </row>
        <row r="409">
          <cell r="B409" t="str">
            <v>2007-Q1</v>
          </cell>
          <cell r="C409" t="str">
            <v>2007-Q2</v>
          </cell>
          <cell r="D409" t="str">
            <v>2007-Q3</v>
          </cell>
          <cell r="E409" t="str">
            <v>2007-Q4</v>
          </cell>
          <cell r="F409" t="str">
            <v>2008-Q1</v>
          </cell>
          <cell r="G409" t="str">
            <v>2008-Q2</v>
          </cell>
          <cell r="H409" t="str">
            <v>2008-Q3</v>
          </cell>
          <cell r="I409" t="str">
            <v>2008-Q4</v>
          </cell>
          <cell r="J409" t="str">
            <v>2009-Q1</v>
          </cell>
          <cell r="K409" t="str">
            <v>2009-Q2</v>
          </cell>
          <cell r="L409" t="str">
            <v>2009-Q3</v>
          </cell>
          <cell r="M409" t="str">
            <v>2009-Q4</v>
          </cell>
          <cell r="O409" t="str">
            <v>2001-FY</v>
          </cell>
          <cell r="P409" t="str">
            <v>2002-FY</v>
          </cell>
          <cell r="Q409" t="str">
            <v>2003-FY</v>
          </cell>
          <cell r="R409" t="str">
            <v>2004-FY</v>
          </cell>
          <cell r="S409" t="str">
            <v>2005-FY</v>
          </cell>
          <cell r="T409" t="str">
            <v>2006-FY</v>
          </cell>
          <cell r="U409" t="str">
            <v>2007-FY</v>
          </cell>
          <cell r="V409" t="str">
            <v>2008-FY</v>
          </cell>
          <cell r="W409" t="str">
            <v>2009-FY</v>
          </cell>
          <cell r="X409" t="str">
            <v>2010-FY</v>
          </cell>
          <cell r="Y409" t="str">
            <v>2011-FY</v>
          </cell>
          <cell r="Z409" t="str">
            <v>2012-FY</v>
          </cell>
        </row>
        <row r="410">
          <cell r="A410" t="str">
            <v>Tax Expense</v>
          </cell>
          <cell r="F410">
            <v>-272</v>
          </cell>
          <cell r="G410">
            <v>-303</v>
          </cell>
          <cell r="H410">
            <v>-288</v>
          </cell>
          <cell r="I410">
            <v>-297.99999999999994</v>
          </cell>
          <cell r="J410">
            <v>-275.7</v>
          </cell>
          <cell r="K410">
            <v>-285.5</v>
          </cell>
          <cell r="L410">
            <v>-240.52339999999998</v>
          </cell>
          <cell r="M410">
            <v>-280.65677687999982</v>
          </cell>
          <cell r="N410">
            <v>-449.10599999999999</v>
          </cell>
          <cell r="O410">
            <v>-482.00000000000011</v>
          </cell>
          <cell r="P410">
            <v>-529</v>
          </cell>
          <cell r="Q410">
            <v>-368</v>
          </cell>
          <cell r="R410">
            <v>-580</v>
          </cell>
          <cell r="S410">
            <v>-621</v>
          </cell>
          <cell r="T410">
            <v>-816.99999999999977</v>
          </cell>
          <cell r="U410">
            <v>-967</v>
          </cell>
          <cell r="V410">
            <v>-1161</v>
          </cell>
          <cell r="W410">
            <v>-1082.3801768799999</v>
          </cell>
          <cell r="X410">
            <v>-1113.7496046554852</v>
          </cell>
          <cell r="Y410">
            <v>-1185.0944927481287</v>
          </cell>
          <cell r="Z410">
            <v>-1402.3454714072077</v>
          </cell>
          <cell r="BQ410" t="str">
            <v>mstag:taxExpenseIncome</v>
          </cell>
          <cell r="BR410">
            <v>6</v>
          </cell>
          <cell r="BS410" t="str">
            <v>ISO4217:USD</v>
          </cell>
          <cell r="BT410" t="b">
            <v>1</v>
          </cell>
          <cell r="BU410" t="b">
            <v>0</v>
          </cell>
        </row>
        <row r="411">
          <cell r="A411" t="str">
            <v>Non-recurring items (net of tax):</v>
          </cell>
        </row>
        <row r="412">
          <cell r="A412" t="str">
            <v>Discontinued Operations</v>
          </cell>
          <cell r="F412">
            <v>0</v>
          </cell>
          <cell r="G412">
            <v>35</v>
          </cell>
          <cell r="I412">
            <v>-19</v>
          </cell>
          <cell r="J412">
            <v>-3</v>
          </cell>
          <cell r="N412">
            <v>90.6</v>
          </cell>
          <cell r="O412">
            <v>0</v>
          </cell>
          <cell r="P412">
            <v>-123</v>
          </cell>
          <cell r="Q412">
            <v>25</v>
          </cell>
          <cell r="R412">
            <v>33</v>
          </cell>
          <cell r="S412">
            <v>13</v>
          </cell>
          <cell r="T412">
            <v>146</v>
          </cell>
          <cell r="U412">
            <v>-8</v>
          </cell>
          <cell r="V412">
            <v>16</v>
          </cell>
          <cell r="W412">
            <v>-3</v>
          </cell>
          <cell r="BQ412" t="str">
            <v>mstag:incomeLossFromDiscontinuedOperationsNetOfTax</v>
          </cell>
          <cell r="BR412">
            <v>6</v>
          </cell>
          <cell r="BS412" t="str">
            <v>ISO4217:USD</v>
          </cell>
          <cell r="BT412" t="b">
            <v>0</v>
          </cell>
          <cell r="BU412" t="b">
            <v>0</v>
          </cell>
        </row>
        <row r="414">
          <cell r="A414" t="str">
            <v>Debt Analysis</v>
          </cell>
        </row>
        <row r="415">
          <cell r="A415" t="str">
            <v>Fixed-rate notes</v>
          </cell>
        </row>
        <row r="416">
          <cell r="A416" t="str">
            <v>2.125% 2006 Note</v>
          </cell>
          <cell r="B416">
            <v>0</v>
          </cell>
          <cell r="C416">
            <v>0</v>
          </cell>
          <cell r="D416">
            <v>0</v>
          </cell>
          <cell r="E416">
            <v>0</v>
          </cell>
          <cell r="Q416">
            <v>500</v>
          </cell>
          <cell r="R416">
            <v>499</v>
          </cell>
          <cell r="S416">
            <v>500</v>
          </cell>
          <cell r="T416">
            <v>0</v>
          </cell>
          <cell r="U416">
            <v>0</v>
          </cell>
          <cell r="V416">
            <v>0</v>
          </cell>
          <cell r="W416">
            <v>0</v>
          </cell>
          <cell r="X416">
            <v>0</v>
          </cell>
          <cell r="Y416">
            <v>0</v>
          </cell>
          <cell r="Z416">
            <v>0</v>
          </cell>
        </row>
        <row r="417">
          <cell r="A417" t="str">
            <v>3.0% 2008 Note</v>
          </cell>
          <cell r="B417">
            <v>499</v>
          </cell>
          <cell r="C417">
            <v>499</v>
          </cell>
          <cell r="D417">
            <v>500</v>
          </cell>
          <cell r="E417">
            <v>500</v>
          </cell>
          <cell r="Q417">
            <v>500</v>
          </cell>
          <cell r="R417">
            <v>499</v>
          </cell>
          <cell r="S417">
            <v>499</v>
          </cell>
          <cell r="T417">
            <v>499</v>
          </cell>
          <cell r="U417">
            <v>500</v>
          </cell>
          <cell r="V417">
            <v>0</v>
          </cell>
          <cell r="W417">
            <v>0</v>
          </cell>
          <cell r="X417">
            <v>0</v>
          </cell>
          <cell r="Y417">
            <v>0</v>
          </cell>
          <cell r="Z417">
            <v>0</v>
          </cell>
        </row>
        <row r="418">
          <cell r="A418" t="str">
            <v>4.5% 2010 Note</v>
          </cell>
          <cell r="B418">
            <v>699</v>
          </cell>
          <cell r="C418">
            <v>699</v>
          </cell>
          <cell r="D418">
            <v>699</v>
          </cell>
          <cell r="E418">
            <v>699</v>
          </cell>
          <cell r="Q418">
            <v>700</v>
          </cell>
          <cell r="R418">
            <v>698</v>
          </cell>
          <cell r="S418">
            <v>698</v>
          </cell>
          <cell r="T418">
            <v>699</v>
          </cell>
          <cell r="U418">
            <v>699</v>
          </cell>
          <cell r="V418">
            <v>699</v>
          </cell>
          <cell r="W418">
            <v>599</v>
          </cell>
          <cell r="X418">
            <v>599</v>
          </cell>
          <cell r="Y418">
            <v>599</v>
          </cell>
          <cell r="Z418">
            <v>599</v>
          </cell>
        </row>
        <row r="419">
          <cell r="A419" t="str">
            <v>4.25% 2013 Note</v>
          </cell>
          <cell r="B419">
            <v>999</v>
          </cell>
          <cell r="C419">
            <v>999</v>
          </cell>
          <cell r="D419">
            <v>999</v>
          </cell>
          <cell r="E419">
            <v>999</v>
          </cell>
          <cell r="Q419">
            <v>1000</v>
          </cell>
          <cell r="R419">
            <v>999</v>
          </cell>
          <cell r="S419">
            <v>999</v>
          </cell>
          <cell r="T419">
            <v>999</v>
          </cell>
          <cell r="U419">
            <v>999</v>
          </cell>
          <cell r="V419">
            <v>999</v>
          </cell>
          <cell r="W419">
            <v>999</v>
          </cell>
          <cell r="X419">
            <v>999</v>
          </cell>
          <cell r="Y419">
            <v>999</v>
          </cell>
          <cell r="Z419">
            <v>999</v>
          </cell>
        </row>
        <row r="420">
          <cell r="A420" t="str">
            <v>5.375% 2015 Note</v>
          </cell>
          <cell r="B420">
            <v>400</v>
          </cell>
          <cell r="C420">
            <v>400</v>
          </cell>
          <cell r="D420">
            <v>400</v>
          </cell>
          <cell r="E420">
            <v>400</v>
          </cell>
          <cell r="Q420">
            <v>394</v>
          </cell>
          <cell r="R420">
            <v>400</v>
          </cell>
          <cell r="S420">
            <v>400</v>
          </cell>
          <cell r="T420">
            <v>400</v>
          </cell>
          <cell r="U420">
            <v>400</v>
          </cell>
          <cell r="V420">
            <v>400</v>
          </cell>
          <cell r="W420">
            <v>400</v>
          </cell>
          <cell r="X420">
            <v>400</v>
          </cell>
          <cell r="Y420">
            <v>400</v>
          </cell>
          <cell r="Z420">
            <v>400</v>
          </cell>
        </row>
        <row r="421">
          <cell r="A421" t="str">
            <v>total</v>
          </cell>
          <cell r="B421">
            <v>2597</v>
          </cell>
          <cell r="C421">
            <v>2597</v>
          </cell>
          <cell r="D421">
            <v>2598</v>
          </cell>
          <cell r="E421">
            <v>2598</v>
          </cell>
          <cell r="Q421">
            <v>3094</v>
          </cell>
          <cell r="R421">
            <v>3095</v>
          </cell>
          <cell r="S421">
            <v>3096</v>
          </cell>
          <cell r="T421">
            <v>2597</v>
          </cell>
          <cell r="U421">
            <v>2598</v>
          </cell>
          <cell r="V421">
            <v>2098</v>
          </cell>
          <cell r="W421">
            <v>1998</v>
          </cell>
          <cell r="X421">
            <v>1998</v>
          </cell>
          <cell r="Y421">
            <v>1998</v>
          </cell>
          <cell r="Z421">
            <v>1998</v>
          </cell>
        </row>
        <row r="422">
          <cell r="A422" t="str">
            <v>Floating-rate notes (LiBOR +.22%)</v>
          </cell>
          <cell r="B422">
            <v>0</v>
          </cell>
          <cell r="C422">
            <v>0</v>
          </cell>
          <cell r="D422">
            <v>0</v>
          </cell>
          <cell r="E422">
            <v>0</v>
          </cell>
          <cell r="O422">
            <v>500</v>
          </cell>
          <cell r="P422">
            <v>500</v>
          </cell>
          <cell r="Q422">
            <v>500</v>
          </cell>
          <cell r="R422">
            <v>0</v>
          </cell>
          <cell r="S422">
            <v>0</v>
          </cell>
          <cell r="T422">
            <v>0</v>
          </cell>
          <cell r="U422">
            <v>0</v>
          </cell>
          <cell r="V422">
            <v>0</v>
          </cell>
          <cell r="W422">
            <v>0</v>
          </cell>
          <cell r="X422">
            <v>0</v>
          </cell>
          <cell r="Y422">
            <v>0</v>
          </cell>
          <cell r="Z422">
            <v>0</v>
          </cell>
        </row>
        <row r="423">
          <cell r="A423" t="str">
            <v>Commercial paper, net of unamortized discount</v>
          </cell>
          <cell r="B423">
            <v>0</v>
          </cell>
          <cell r="C423">
            <v>0</v>
          </cell>
          <cell r="D423">
            <v>0</v>
          </cell>
          <cell r="E423">
            <v>0</v>
          </cell>
          <cell r="N423">
            <v>340</v>
          </cell>
          <cell r="O423">
            <v>1165</v>
          </cell>
          <cell r="P423">
            <v>714</v>
          </cell>
          <cell r="Q423">
            <v>183</v>
          </cell>
          <cell r="R423">
            <v>0</v>
          </cell>
          <cell r="S423">
            <v>0</v>
          </cell>
          <cell r="T423">
            <v>0</v>
          </cell>
          <cell r="U423">
            <v>0</v>
          </cell>
          <cell r="V423">
            <v>905</v>
          </cell>
          <cell r="W423">
            <v>905</v>
          </cell>
          <cell r="X423">
            <v>905</v>
          </cell>
          <cell r="Y423">
            <v>905</v>
          </cell>
          <cell r="Z423">
            <v>905</v>
          </cell>
        </row>
        <row r="424">
          <cell r="A424" t="str">
            <v>Senior notes 2008 (6.32%, semi-annual payment)</v>
          </cell>
          <cell r="B424">
            <v>150</v>
          </cell>
          <cell r="C424">
            <v>150</v>
          </cell>
          <cell r="D424">
            <v>150</v>
          </cell>
          <cell r="E424">
            <v>150</v>
          </cell>
          <cell r="N424">
            <v>139</v>
          </cell>
          <cell r="O424">
            <v>150</v>
          </cell>
          <cell r="P424">
            <v>150</v>
          </cell>
          <cell r="Q424">
            <v>150</v>
          </cell>
          <cell r="R424">
            <v>150</v>
          </cell>
          <cell r="S424">
            <v>150</v>
          </cell>
          <cell r="T424">
            <v>150</v>
          </cell>
          <cell r="U424">
            <v>150</v>
          </cell>
          <cell r="V424">
            <v>0</v>
          </cell>
          <cell r="W424">
            <v>0</v>
          </cell>
          <cell r="X424">
            <v>0</v>
          </cell>
          <cell r="Y424">
            <v>0</v>
          </cell>
          <cell r="Z424">
            <v>0</v>
          </cell>
        </row>
        <row r="425">
          <cell r="A425" t="str">
            <v>Term Debt</v>
          </cell>
          <cell r="B425">
            <v>25</v>
          </cell>
          <cell r="C425">
            <v>25</v>
          </cell>
          <cell r="D425">
            <v>25</v>
          </cell>
          <cell r="E425">
            <v>20</v>
          </cell>
          <cell r="O425">
            <v>50</v>
          </cell>
          <cell r="P425">
            <v>45</v>
          </cell>
          <cell r="Q425">
            <v>40</v>
          </cell>
          <cell r="R425">
            <v>35</v>
          </cell>
          <cell r="S425">
            <v>30</v>
          </cell>
          <cell r="T425">
            <v>25</v>
          </cell>
          <cell r="U425">
            <v>20</v>
          </cell>
          <cell r="V425">
            <v>0</v>
          </cell>
          <cell r="W425">
            <v>0</v>
          </cell>
          <cell r="X425">
            <v>0</v>
          </cell>
          <cell r="Y425">
            <v>0</v>
          </cell>
          <cell r="Z425">
            <v>0</v>
          </cell>
        </row>
        <row r="426">
          <cell r="A426" t="str">
            <v>Other</v>
          </cell>
          <cell r="B426">
            <v>18</v>
          </cell>
          <cell r="C426">
            <v>17</v>
          </cell>
          <cell r="D426">
            <v>23</v>
          </cell>
          <cell r="E426">
            <v>23</v>
          </cell>
          <cell r="N426">
            <v>23</v>
          </cell>
          <cell r="O426">
            <v>70</v>
          </cell>
          <cell r="P426">
            <v>62</v>
          </cell>
          <cell r="Q426">
            <v>76</v>
          </cell>
          <cell r="R426">
            <v>17</v>
          </cell>
          <cell r="S426">
            <v>11</v>
          </cell>
          <cell r="T426">
            <v>9</v>
          </cell>
          <cell r="U426">
            <v>23</v>
          </cell>
          <cell r="V426">
            <v>25</v>
          </cell>
          <cell r="W426">
            <v>1100</v>
          </cell>
          <cell r="X426">
            <v>1100</v>
          </cell>
          <cell r="Y426">
            <v>1100</v>
          </cell>
          <cell r="Z426">
            <v>1100</v>
          </cell>
        </row>
        <row r="427">
          <cell r="A427" t="str">
            <v>Issuance of New Debt</v>
          </cell>
          <cell r="B427">
            <v>0</v>
          </cell>
          <cell r="C427">
            <v>0</v>
          </cell>
          <cell r="D427">
            <v>0</v>
          </cell>
          <cell r="E427">
            <v>0</v>
          </cell>
          <cell r="P427">
            <v>0</v>
          </cell>
          <cell r="Q427">
            <v>0</v>
          </cell>
          <cell r="R427">
            <v>0</v>
          </cell>
          <cell r="S427">
            <v>0</v>
          </cell>
          <cell r="T427">
            <v>0</v>
          </cell>
          <cell r="U427">
            <v>0</v>
          </cell>
          <cell r="V427">
            <v>1100</v>
          </cell>
          <cell r="W427">
            <v>0</v>
          </cell>
          <cell r="X427">
            <v>0</v>
          </cell>
          <cell r="Y427">
            <v>0</v>
          </cell>
          <cell r="Z427">
            <v>0</v>
          </cell>
        </row>
        <row r="428">
          <cell r="A428" t="str">
            <v>Total Debt</v>
          </cell>
          <cell r="B428">
            <v>2790</v>
          </cell>
          <cell r="C428">
            <v>2789</v>
          </cell>
          <cell r="D428">
            <v>2796</v>
          </cell>
          <cell r="E428">
            <v>2791</v>
          </cell>
          <cell r="N428">
            <v>502</v>
          </cell>
          <cell r="O428">
            <v>1935</v>
          </cell>
          <cell r="P428">
            <v>1471</v>
          </cell>
          <cell r="Q428">
            <v>4043</v>
          </cell>
          <cell r="R428">
            <v>3297</v>
          </cell>
          <cell r="S428">
            <v>3287</v>
          </cell>
          <cell r="T428">
            <v>2781</v>
          </cell>
          <cell r="U428">
            <v>2791</v>
          </cell>
          <cell r="V428">
            <v>4128</v>
          </cell>
          <cell r="W428">
            <v>4003</v>
          </cell>
          <cell r="X428">
            <v>4003</v>
          </cell>
          <cell r="Y428">
            <v>4003</v>
          </cell>
          <cell r="Z428">
            <v>4003</v>
          </cell>
        </row>
        <row r="429">
          <cell r="A429" t="str">
            <v>Less current portion</v>
          </cell>
          <cell r="B429">
            <v>8</v>
          </cell>
          <cell r="C429">
            <v>506</v>
          </cell>
          <cell r="D429">
            <v>656</v>
          </cell>
          <cell r="E429">
            <v>673</v>
          </cell>
          <cell r="N429">
            <v>340</v>
          </cell>
          <cell r="O429">
            <v>1211</v>
          </cell>
          <cell r="P429">
            <v>750</v>
          </cell>
          <cell r="Q429">
            <v>747</v>
          </cell>
          <cell r="R429">
            <v>6</v>
          </cell>
          <cell r="S429">
            <v>509</v>
          </cell>
          <cell r="T429">
            <v>7</v>
          </cell>
          <cell r="U429">
            <v>673</v>
          </cell>
          <cell r="V429">
            <v>911</v>
          </cell>
          <cell r="W429">
            <v>100</v>
          </cell>
          <cell r="X429">
            <v>100</v>
          </cell>
          <cell r="Y429">
            <v>100</v>
          </cell>
          <cell r="Z429">
            <v>100</v>
          </cell>
        </row>
        <row r="430">
          <cell r="A430" t="str">
            <v>Long-Term Debt</v>
          </cell>
          <cell r="B430">
            <v>2782</v>
          </cell>
          <cell r="C430">
            <v>2283</v>
          </cell>
          <cell r="D430">
            <v>2140</v>
          </cell>
          <cell r="E430">
            <v>2118</v>
          </cell>
          <cell r="N430">
            <v>162</v>
          </cell>
          <cell r="O430">
            <v>724</v>
          </cell>
          <cell r="P430">
            <v>721</v>
          </cell>
          <cell r="Q430">
            <v>3296</v>
          </cell>
          <cell r="R430">
            <v>3291</v>
          </cell>
          <cell r="S430">
            <v>2778</v>
          </cell>
          <cell r="T430">
            <v>2774</v>
          </cell>
          <cell r="U430">
            <v>2118</v>
          </cell>
          <cell r="V430">
            <v>3217</v>
          </cell>
          <cell r="W430">
            <v>3903</v>
          </cell>
          <cell r="X430">
            <v>3903</v>
          </cell>
          <cell r="Y430">
            <v>3903</v>
          </cell>
          <cell r="Z430">
            <v>3903</v>
          </cell>
        </row>
        <row r="431">
          <cell r="V431">
            <v>3113</v>
          </cell>
        </row>
        <row r="432">
          <cell r="A432" t="str">
            <v>Mean Interest Rate for Interest Expense</v>
          </cell>
          <cell r="V432">
            <v>0.05</v>
          </cell>
          <cell r="W432">
            <v>4.48E-2</v>
          </cell>
          <cell r="X432">
            <v>0.05</v>
          </cell>
          <cell r="Y432">
            <v>5.0500000000000003E-2</v>
          </cell>
          <cell r="Z432">
            <v>5.0500000000000003E-2</v>
          </cell>
        </row>
        <row r="433">
          <cell r="A433" t="str">
            <v>Interest Expense</v>
          </cell>
          <cell r="B433">
            <v>-32</v>
          </cell>
          <cell r="C433">
            <v>-34</v>
          </cell>
          <cell r="D433">
            <v>-32</v>
          </cell>
          <cell r="E433">
            <v>-33</v>
          </cell>
          <cell r="F433">
            <v>-19</v>
          </cell>
          <cell r="G433">
            <v>-12</v>
          </cell>
          <cell r="H433">
            <v>-11</v>
          </cell>
          <cell r="I433">
            <v>-24</v>
          </cell>
          <cell r="J433">
            <v>-39</v>
          </cell>
          <cell r="K433">
            <v>-38</v>
          </cell>
          <cell r="L433">
            <v>-37</v>
          </cell>
          <cell r="M433">
            <v>-35.714400000000012</v>
          </cell>
          <cell r="N433">
            <v>-72</v>
          </cell>
          <cell r="O433">
            <v>-68</v>
          </cell>
          <cell r="P433">
            <v>-58</v>
          </cell>
          <cell r="Q433">
            <v>-108</v>
          </cell>
          <cell r="R433">
            <v>-157</v>
          </cell>
          <cell r="S433">
            <v>-154</v>
          </cell>
          <cell r="T433">
            <v>-156</v>
          </cell>
          <cell r="U433">
            <v>-131</v>
          </cell>
          <cell r="V433">
            <v>-66</v>
          </cell>
          <cell r="W433">
            <v>-182.1344</v>
          </cell>
          <cell r="X433">
            <v>-200.15</v>
          </cell>
          <cell r="Y433">
            <v>-202.15150000000003</v>
          </cell>
          <cell r="Z433">
            <v>-202.15150000000003</v>
          </cell>
          <cell r="BQ433" t="str">
            <v>mstag:interestExpense</v>
          </cell>
          <cell r="BR433">
            <v>6</v>
          </cell>
          <cell r="BS433" t="str">
            <v>ISO4217:USD</v>
          </cell>
          <cell r="BT433" t="b">
            <v>1</v>
          </cell>
          <cell r="BU433" t="b">
            <v>0</v>
          </cell>
        </row>
        <row r="434">
          <cell r="A434" t="str">
            <v>Mean Interest Rate for Interest Income</v>
          </cell>
          <cell r="V434">
            <v>2.8017986855759298E-2</v>
          </cell>
          <cell r="W434">
            <v>0.02</v>
          </cell>
          <cell r="X434">
            <v>0.02</v>
          </cell>
          <cell r="Y434">
            <v>0.02</v>
          </cell>
          <cell r="Z434">
            <v>1.7500000000000002E-2</v>
          </cell>
        </row>
        <row r="435">
          <cell r="A435" t="str">
            <v>Interest Income</v>
          </cell>
          <cell r="B435">
            <v>6</v>
          </cell>
          <cell r="C435">
            <v>13</v>
          </cell>
          <cell r="D435">
            <v>20</v>
          </cell>
          <cell r="E435">
            <v>22</v>
          </cell>
          <cell r="F435">
            <v>0</v>
          </cell>
          <cell r="G435">
            <v>0</v>
          </cell>
          <cell r="H435">
            <v>0</v>
          </cell>
          <cell r="K435">
            <v>0</v>
          </cell>
          <cell r="L435">
            <v>0</v>
          </cell>
          <cell r="M435">
            <v>0</v>
          </cell>
          <cell r="N435">
            <v>12</v>
          </cell>
          <cell r="O435">
            <v>12</v>
          </cell>
          <cell r="P435">
            <v>13</v>
          </cell>
          <cell r="Q435">
            <v>10</v>
          </cell>
          <cell r="R435">
            <v>9</v>
          </cell>
          <cell r="S435">
            <v>36</v>
          </cell>
          <cell r="T435">
            <v>55</v>
          </cell>
          <cell r="U435">
            <v>61</v>
          </cell>
          <cell r="V435">
            <v>0</v>
          </cell>
          <cell r="W435">
            <v>32.42</v>
          </cell>
          <cell r="X435">
            <v>72.264065365459118</v>
          </cell>
          <cell r="Y435">
            <v>109.02125783112535</v>
          </cell>
          <cell r="Z435">
            <v>130.72098233973247</v>
          </cell>
          <cell r="BQ435" t="str">
            <v>mstag:interestIncome</v>
          </cell>
          <cell r="BR435">
            <v>6</v>
          </cell>
          <cell r="BS435" t="str">
            <v>ISO4217:USD</v>
          </cell>
          <cell r="BT435" t="b">
            <v>0</v>
          </cell>
          <cell r="BU435" t="b">
            <v>0</v>
          </cell>
        </row>
        <row r="436">
          <cell r="A436" t="str">
            <v>Interest Expense, net</v>
          </cell>
          <cell r="B436">
            <v>-26</v>
          </cell>
          <cell r="C436">
            <v>-21</v>
          </cell>
          <cell r="D436">
            <v>-12</v>
          </cell>
          <cell r="E436">
            <v>-11</v>
          </cell>
          <cell r="F436">
            <v>-19</v>
          </cell>
          <cell r="G436">
            <v>-12</v>
          </cell>
          <cell r="H436">
            <v>-11</v>
          </cell>
          <cell r="I436">
            <v>-24</v>
          </cell>
          <cell r="J436">
            <v>-39</v>
          </cell>
          <cell r="K436">
            <v>-38</v>
          </cell>
          <cell r="L436">
            <v>-37</v>
          </cell>
          <cell r="M436">
            <v>-35.714400000000012</v>
          </cell>
          <cell r="N436">
            <v>-60</v>
          </cell>
          <cell r="O436">
            <v>-56</v>
          </cell>
          <cell r="P436">
            <v>-45</v>
          </cell>
          <cell r="Q436">
            <v>-98</v>
          </cell>
          <cell r="R436">
            <v>-148</v>
          </cell>
          <cell r="S436">
            <v>-118</v>
          </cell>
          <cell r="T436">
            <v>-101</v>
          </cell>
          <cell r="U436">
            <v>-70</v>
          </cell>
          <cell r="V436">
            <v>-66</v>
          </cell>
          <cell r="W436">
            <v>-149.71440000000001</v>
          </cell>
          <cell r="X436">
            <v>-127.88593463454089</v>
          </cell>
          <cell r="Y436">
            <v>-93.130242168874673</v>
          </cell>
          <cell r="Z436">
            <v>-71.430517660267554</v>
          </cell>
        </row>
        <row r="441">
          <cell r="A441" t="str">
            <v>Goodwill Analysis</v>
          </cell>
        </row>
        <row r="442">
          <cell r="A442" t="str">
            <v>Goodwill Amort</v>
          </cell>
          <cell r="N442">
            <v>67</v>
          </cell>
        </row>
        <row r="443">
          <cell r="A443" t="str">
            <v>Accumulated Goodwill Amort</v>
          </cell>
          <cell r="N443">
            <v>131</v>
          </cell>
          <cell r="O443">
            <v>198</v>
          </cell>
          <cell r="P443">
            <v>198</v>
          </cell>
          <cell r="Q443">
            <v>198</v>
          </cell>
          <cell r="R443">
            <v>198</v>
          </cell>
          <cell r="S443">
            <v>198</v>
          </cell>
          <cell r="T443">
            <v>198</v>
          </cell>
          <cell r="U443">
            <v>198</v>
          </cell>
          <cell r="V443">
            <v>198</v>
          </cell>
          <cell r="W443">
            <v>198</v>
          </cell>
          <cell r="X443">
            <v>198</v>
          </cell>
          <cell r="Y443">
            <v>198</v>
          </cell>
          <cell r="Z443">
            <v>198</v>
          </cell>
          <cell r="BQ443" t="str">
            <v>mstag:accumulatedAmortizationOfGoodwill</v>
          </cell>
          <cell r="BR443">
            <v>6</v>
          </cell>
          <cell r="BS443" t="str">
            <v>ISO4217:USD</v>
          </cell>
          <cell r="BT443" t="b">
            <v>0</v>
          </cell>
          <cell r="BU443" t="b">
            <v>0</v>
          </cell>
        </row>
        <row r="444">
          <cell r="A444" t="str">
            <v>Unrecorded Goodwill from Poolings</v>
          </cell>
          <cell r="N444">
            <v>4557.1081038499997</v>
          </cell>
          <cell r="O444">
            <v>4557.1081038499997</v>
          </cell>
          <cell r="P444">
            <v>4557.1081038499997</v>
          </cell>
          <cell r="Q444">
            <v>4557.1081038499997</v>
          </cell>
          <cell r="R444">
            <v>4557.1081038499997</v>
          </cell>
          <cell r="S444">
            <v>4557.1081038499997</v>
          </cell>
          <cell r="T444">
            <v>4557.1081038499997</v>
          </cell>
          <cell r="U444">
            <v>4557.1081038499997</v>
          </cell>
          <cell r="V444">
            <v>4557.1081038499997</v>
          </cell>
          <cell r="W444">
            <v>4557.1081038499997</v>
          </cell>
          <cell r="X444">
            <v>4557.1081038499997</v>
          </cell>
          <cell r="Y444">
            <v>4557.1081038499997</v>
          </cell>
          <cell r="Z444">
            <v>4557.1081038499997</v>
          </cell>
        </row>
        <row r="445">
          <cell r="A445" t="str">
            <v>Unrecorded Goodwill from Poolings, Writeoffs &amp; Accum Amort.</v>
          </cell>
          <cell r="N445">
            <v>4688.1081038499997</v>
          </cell>
          <cell r="O445">
            <v>4755.1081038499997</v>
          </cell>
          <cell r="P445">
            <v>4755.1081038499997</v>
          </cell>
          <cell r="Q445">
            <v>4755.1081038499997</v>
          </cell>
          <cell r="R445">
            <v>4755.1081038499997</v>
          </cell>
          <cell r="S445">
            <v>4755.1081038499997</v>
          </cell>
          <cell r="T445">
            <v>4755.1081038499997</v>
          </cell>
          <cell r="U445">
            <v>4755.1081038499997</v>
          </cell>
          <cell r="V445">
            <v>4755.1081038499997</v>
          </cell>
          <cell r="W445">
            <v>4755.1081038499997</v>
          </cell>
          <cell r="X445">
            <v>4755.1081038499997</v>
          </cell>
          <cell r="Y445">
            <v>4755.1081038499997</v>
          </cell>
          <cell r="Z445">
            <v>4755.1081038499997</v>
          </cell>
          <cell r="BQ445" t="str">
            <v>mstag:unrecordedGoodwillFromPoolingAndAmortizedOrWrittenOffGoodwill</v>
          </cell>
          <cell r="BR445">
            <v>6</v>
          </cell>
          <cell r="BS445" t="str">
            <v>ISO4217:USD</v>
          </cell>
          <cell r="BT445" t="b">
            <v>0</v>
          </cell>
          <cell r="BU445" t="b">
            <v>0</v>
          </cell>
        </row>
        <row r="446">
          <cell r="A446" t="str">
            <v>Common Dividends, Accrual</v>
          </cell>
          <cell r="N446">
            <v>-205</v>
          </cell>
          <cell r="O446">
            <v>-224</v>
          </cell>
          <cell r="P446">
            <v>-253</v>
          </cell>
          <cell r="Q446">
            <v>-249</v>
          </cell>
          <cell r="R446">
            <v>-287</v>
          </cell>
          <cell r="S446">
            <v>-322</v>
          </cell>
          <cell r="T446">
            <v>-372</v>
          </cell>
          <cell r="U446">
            <v>-445</v>
          </cell>
          <cell r="V446">
            <v>-533</v>
          </cell>
          <cell r="W446">
            <v>-592.9349501306001</v>
          </cell>
          <cell r="X446">
            <v>-638.54092514366016</v>
          </cell>
          <cell r="Y446">
            <v>-698.63094965802611</v>
          </cell>
          <cell r="Z446">
            <v>-773.87666186382899</v>
          </cell>
          <cell r="BQ446" t="str">
            <v>mstag:commonDividends</v>
          </cell>
          <cell r="BR446">
            <v>6</v>
          </cell>
          <cell r="BS446" t="str">
            <v>ISO4217:USD</v>
          </cell>
          <cell r="BT446" t="b">
            <v>1</v>
          </cell>
          <cell r="BU446" t="b">
            <v>0</v>
          </cell>
        </row>
        <row r="448">
          <cell r="A448" t="str">
            <v>Tax Analysis</v>
          </cell>
        </row>
        <row r="449">
          <cell r="A449" t="str">
            <v>Federal Statuatory Tax Rate</v>
          </cell>
          <cell r="N449">
            <v>0.35</v>
          </cell>
          <cell r="O449">
            <v>0.35</v>
          </cell>
          <cell r="P449">
            <v>0.35</v>
          </cell>
          <cell r="Q449">
            <v>0.35</v>
          </cell>
          <cell r="R449">
            <v>0.35</v>
          </cell>
          <cell r="S449">
            <v>0.35</v>
          </cell>
          <cell r="T449">
            <v>0.35</v>
          </cell>
          <cell r="U449">
            <v>0.35</v>
          </cell>
          <cell r="V449">
            <v>0.35</v>
          </cell>
          <cell r="W449">
            <v>0.35</v>
          </cell>
          <cell r="X449">
            <v>0.35</v>
          </cell>
          <cell r="Y449">
            <v>0.35</v>
          </cell>
          <cell r="Z449">
            <v>0.35</v>
          </cell>
        </row>
        <row r="450">
          <cell r="A450" t="str">
            <v>State Tax Adjustment</v>
          </cell>
          <cell r="N450">
            <v>0.01</v>
          </cell>
          <cell r="O450">
            <v>1.0999999999999999E-2</v>
          </cell>
          <cell r="P450">
            <v>3.0000000000000001E-3</v>
          </cell>
          <cell r="Q450">
            <v>2E-3</v>
          </cell>
          <cell r="R450">
            <v>0</v>
          </cell>
          <cell r="S450">
            <v>2E-3</v>
          </cell>
          <cell r="T450">
            <v>3.0000000000000001E-3</v>
          </cell>
          <cell r="U450">
            <v>1E-3</v>
          </cell>
          <cell r="V450">
            <v>1E-3</v>
          </cell>
          <cell r="W450">
            <v>1E-3</v>
          </cell>
          <cell r="X450">
            <v>1E-3</v>
          </cell>
          <cell r="Y450">
            <v>1E-3</v>
          </cell>
          <cell r="Z450">
            <v>1E-3</v>
          </cell>
        </row>
        <row r="451">
          <cell r="A451" t="str">
            <v>ForeignTax Adjustment</v>
          </cell>
          <cell r="N451">
            <v>-5.0000000000000001E-3</v>
          </cell>
          <cell r="O451">
            <v>-6.0000000000000001E-3</v>
          </cell>
          <cell r="P451">
            <v>-8.9999999999999993E-3</v>
          </cell>
          <cell r="Q451">
            <v>-7.0000000000000001E-3</v>
          </cell>
          <cell r="R451">
            <v>-8.0000000000000002E-3</v>
          </cell>
          <cell r="S451">
            <v>-4.0000000000000001E-3</v>
          </cell>
          <cell r="T451">
            <v>-3.0000000000000001E-3</v>
          </cell>
          <cell r="U451">
            <v>-3.9E-2</v>
          </cell>
          <cell r="V451">
            <v>-3.9E-2</v>
          </cell>
          <cell r="W451">
            <v>-3.9E-2</v>
          </cell>
          <cell r="X451">
            <v>-3.9E-2</v>
          </cell>
          <cell r="Y451">
            <v>-3.9E-2</v>
          </cell>
          <cell r="Z451">
            <v>-3.9E-2</v>
          </cell>
        </row>
        <row r="452">
          <cell r="A452" t="str">
            <v>Adjusted Statutory Tax Rate</v>
          </cell>
          <cell r="N452">
            <v>0.35499999999999998</v>
          </cell>
          <cell r="O452">
            <v>0.35499999999999998</v>
          </cell>
          <cell r="P452">
            <v>0.34399999999999997</v>
          </cell>
          <cell r="Q452">
            <v>0.34499999999999997</v>
          </cell>
          <cell r="R452">
            <v>0.34199999999999997</v>
          </cell>
          <cell r="S452">
            <v>0.34799999999999998</v>
          </cell>
          <cell r="T452">
            <v>0.35</v>
          </cell>
          <cell r="U452">
            <v>0.312</v>
          </cell>
          <cell r="V452">
            <v>0.312</v>
          </cell>
          <cell r="W452">
            <v>0.312</v>
          </cell>
          <cell r="X452">
            <v>0.312</v>
          </cell>
          <cell r="Y452">
            <v>0.312</v>
          </cell>
          <cell r="Z452">
            <v>0.312</v>
          </cell>
          <cell r="BQ452" t="str">
            <v>mstag:statutoryTaxRate</v>
          </cell>
          <cell r="BR452">
            <v>0</v>
          </cell>
          <cell r="BS452" t="str">
            <v>ms_eqr_gcim_Decimal:ms_eqr_gcim_decimal</v>
          </cell>
          <cell r="BT452" t="b">
            <v>0</v>
          </cell>
          <cell r="BU452" t="b">
            <v>0</v>
          </cell>
        </row>
        <row r="454">
          <cell r="A454" t="str">
            <v>Share Analysis</v>
          </cell>
          <cell r="V454">
            <v>398.7</v>
          </cell>
          <cell r="W454">
            <v>385.02269489000003</v>
          </cell>
          <cell r="X454">
            <v>376.94269489000004</v>
          </cell>
          <cell r="Y454">
            <v>374.92269489</v>
          </cell>
          <cell r="Z454">
            <v>377.54869489000004</v>
          </cell>
        </row>
        <row r="455">
          <cell r="A455" t="str">
            <v>Period End Basic Shares</v>
          </cell>
          <cell r="B455">
            <v>404.66574400000002</v>
          </cell>
          <cell r="C455">
            <v>405.62370199999998</v>
          </cell>
          <cell r="D455">
            <v>402.26407599999999</v>
          </cell>
          <cell r="E455">
            <v>403.97957200000002</v>
          </cell>
          <cell r="F455">
            <v>398.49098700000002</v>
          </cell>
          <cell r="G455">
            <v>397.32797900000003</v>
          </cell>
          <cell r="H455">
            <v>389.84819299999998</v>
          </cell>
          <cell r="I455">
            <v>386.71058900000003</v>
          </cell>
          <cell r="N455">
            <v>401</v>
          </cell>
          <cell r="O455">
            <v>401.4</v>
          </cell>
          <cell r="P455">
            <v>402</v>
          </cell>
          <cell r="Q455">
            <v>396</v>
          </cell>
          <cell r="R455">
            <v>402</v>
          </cell>
          <cell r="S455">
            <v>400.36305399999998</v>
          </cell>
          <cell r="T455">
            <v>405.792438</v>
          </cell>
          <cell r="U455">
            <v>403.97957200000002</v>
          </cell>
          <cell r="V455">
            <v>386.71058900000003</v>
          </cell>
          <cell r="W455">
            <v>375.71058900000003</v>
          </cell>
          <cell r="X455">
            <v>370.71058900000003</v>
          </cell>
          <cell r="Y455">
            <v>371.71058900000003</v>
          </cell>
          <cell r="Z455">
            <v>375.91058900000002</v>
          </cell>
          <cell r="BQ455" t="str">
            <v>mstag:periodEndBasicSharesOutstanding</v>
          </cell>
          <cell r="BR455">
            <v>6</v>
          </cell>
          <cell r="BS455" t="str">
            <v>ms_eqr_gcim_Decimal:ms_eqr_gcim_decimal</v>
          </cell>
          <cell r="BT455" t="b">
            <v>0</v>
          </cell>
          <cell r="BU455" t="b">
            <v>0</v>
          </cell>
        </row>
        <row r="456">
          <cell r="A456" t="str">
            <v>Average Basic Shares</v>
          </cell>
          <cell r="B456">
            <v>405.6</v>
          </cell>
          <cell r="C456">
            <v>405.1</v>
          </cell>
          <cell r="D456">
            <v>404.8</v>
          </cell>
          <cell r="E456">
            <v>403.3</v>
          </cell>
          <cell r="F456">
            <v>400.75900000000001</v>
          </cell>
          <cell r="G456">
            <v>398.49099999999999</v>
          </cell>
          <cell r="H456">
            <v>396.74799999999999</v>
          </cell>
          <cell r="I456">
            <v>396.1</v>
          </cell>
          <cell r="N456">
            <v>399.68</v>
          </cell>
          <cell r="O456">
            <v>402.28399999999999</v>
          </cell>
          <cell r="P456">
            <v>402.714</v>
          </cell>
          <cell r="Q456">
            <v>395.58</v>
          </cell>
          <cell r="R456">
            <v>399.12599999999998</v>
          </cell>
          <cell r="S456">
            <v>401.6</v>
          </cell>
          <cell r="T456">
            <v>403.4</v>
          </cell>
          <cell r="U456">
            <v>404.41699999999997</v>
          </cell>
          <cell r="V456">
            <v>396.2</v>
          </cell>
          <cell r="W456">
            <v>381.21058900000003</v>
          </cell>
          <cell r="X456">
            <v>373.21058900000003</v>
          </cell>
          <cell r="Y456">
            <v>371.21058900000003</v>
          </cell>
          <cell r="Z456">
            <v>373.81058900000005</v>
          </cell>
          <cell r="BQ456" t="str">
            <v>mstag:averageBasicSharesOutstanding</v>
          </cell>
          <cell r="BR456">
            <v>6</v>
          </cell>
          <cell r="BS456" t="str">
            <v>ms_eqr_gcim_Decimal:ms_eqr_gcim_decimal</v>
          </cell>
          <cell r="BT456" t="b">
            <v>0</v>
          </cell>
          <cell r="BU456" t="b">
            <v>0</v>
          </cell>
        </row>
        <row r="457">
          <cell r="A457" t="str">
            <v>Average Diluted Shares</v>
          </cell>
          <cell r="B457">
            <v>409.4</v>
          </cell>
          <cell r="C457">
            <v>408.9</v>
          </cell>
          <cell r="D457">
            <v>407.3</v>
          </cell>
          <cell r="E457">
            <v>406.9</v>
          </cell>
          <cell r="F457">
            <v>403.9</v>
          </cell>
          <cell r="G457">
            <v>401.8</v>
          </cell>
          <cell r="H457">
            <v>399.8</v>
          </cell>
          <cell r="I457">
            <v>389.6</v>
          </cell>
          <cell r="J457">
            <v>386.5</v>
          </cell>
          <cell r="K457">
            <v>387</v>
          </cell>
          <cell r="L457">
            <v>385</v>
          </cell>
          <cell r="M457">
            <v>381.5907795600001</v>
          </cell>
          <cell r="N457">
            <v>402.6</v>
          </cell>
          <cell r="O457">
            <v>405.8</v>
          </cell>
          <cell r="P457">
            <v>405.70400000000001</v>
          </cell>
          <cell r="Q457">
            <v>398.30399999999997</v>
          </cell>
          <cell r="R457">
            <v>402.93400000000003</v>
          </cell>
          <cell r="S457">
            <v>404.8</v>
          </cell>
          <cell r="T457">
            <v>406.8</v>
          </cell>
          <cell r="U457">
            <v>408.14499999999998</v>
          </cell>
          <cell r="V457">
            <v>398.7</v>
          </cell>
          <cell r="W457">
            <v>385.02269489000003</v>
          </cell>
          <cell r="X457">
            <v>376.94269489000004</v>
          </cell>
          <cell r="Y457">
            <v>374.92269489</v>
          </cell>
          <cell r="Z457">
            <v>377.54869489000004</v>
          </cell>
          <cell r="BQ457" t="str">
            <v>mstag:averageDilutedSharesOutstanding</v>
          </cell>
          <cell r="BR457">
            <v>6</v>
          </cell>
          <cell r="BS457" t="str">
            <v>ms_eqr_gcim_Decimal:ms_eqr_gcim_decimal</v>
          </cell>
          <cell r="BT457" t="b">
            <v>0</v>
          </cell>
          <cell r="BU457" t="b">
            <v>0</v>
          </cell>
        </row>
        <row r="458">
          <cell r="A458" t="str">
            <v>Diluted/Basic Ratio</v>
          </cell>
          <cell r="B458">
            <v>1.0093688362919131</v>
          </cell>
          <cell r="C458">
            <v>1.0093803999012589</v>
          </cell>
          <cell r="D458">
            <v>1.0061758893280632</v>
          </cell>
          <cell r="E458">
            <v>1.0089263575502108</v>
          </cell>
          <cell r="F458">
            <v>1.0078376281006789</v>
          </cell>
          <cell r="G458">
            <v>1.0083038261842803</v>
          </cell>
          <cell r="H458">
            <v>1.0076925403530705</v>
          </cell>
          <cell r="I458">
            <v>0.98359000252461504</v>
          </cell>
          <cell r="N458">
            <v>1.0073058446757406</v>
          </cell>
          <cell r="O458">
            <v>1.008740094062901</v>
          </cell>
          <cell r="P458">
            <v>1.0074246239266575</v>
          </cell>
          <cell r="Q458">
            <v>1.0068860913089641</v>
          </cell>
          <cell r="R458">
            <v>1.0095408467501492</v>
          </cell>
          <cell r="S458">
            <v>1.0079681274900398</v>
          </cell>
          <cell r="T458">
            <v>1.0084283589489342</v>
          </cell>
          <cell r="U458">
            <v>1.0092182079388354</v>
          </cell>
          <cell r="V458">
            <v>1.0063099444724886</v>
          </cell>
          <cell r="W458">
            <v>1.01</v>
          </cell>
          <cell r="X458">
            <v>1.01</v>
          </cell>
          <cell r="Y458">
            <v>1.01</v>
          </cell>
          <cell r="Z458">
            <v>1.01</v>
          </cell>
        </row>
        <row r="459">
          <cell r="A459" t="str">
            <v>Share Repurchases</v>
          </cell>
          <cell r="W459">
            <v>385.02269489000003</v>
          </cell>
        </row>
        <row r="460">
          <cell r="A460" t="str">
            <v>Number of Shares Repurchased</v>
          </cell>
          <cell r="B460">
            <v>2</v>
          </cell>
          <cell r="C460">
            <v>0</v>
          </cell>
          <cell r="D460">
            <v>4</v>
          </cell>
          <cell r="E460">
            <v>0.5</v>
          </cell>
          <cell r="F460">
            <v>6.3</v>
          </cell>
          <cell r="G460">
            <v>2.06</v>
          </cell>
          <cell r="H460">
            <v>6.0400000000000009</v>
          </cell>
          <cell r="I460">
            <v>5.6</v>
          </cell>
          <cell r="N460">
            <v>8.1083999999999996</v>
          </cell>
          <cell r="O460">
            <v>2.9325999999999999</v>
          </cell>
          <cell r="P460">
            <v>2.5960000000000001</v>
          </cell>
          <cell r="Q460">
            <v>9.4</v>
          </cell>
          <cell r="R460">
            <v>0</v>
          </cell>
          <cell r="S460">
            <v>6.68</v>
          </cell>
          <cell r="T460">
            <v>1000</v>
          </cell>
          <cell r="U460">
            <v>6.5</v>
          </cell>
          <cell r="V460">
            <v>20</v>
          </cell>
          <cell r="W460">
            <v>14.5</v>
          </cell>
          <cell r="X460">
            <v>9</v>
          </cell>
          <cell r="Y460">
            <v>5</v>
          </cell>
          <cell r="Z460">
            <v>1.8</v>
          </cell>
        </row>
        <row r="461">
          <cell r="A461" t="str">
            <v>Total Cost</v>
          </cell>
          <cell r="B461">
            <v>152.02000000000001</v>
          </cell>
          <cell r="C461">
            <v>0</v>
          </cell>
          <cell r="D461">
            <v>309.98</v>
          </cell>
          <cell r="E461">
            <v>43.895000000000003</v>
          </cell>
          <cell r="F461">
            <v>522.9</v>
          </cell>
          <cell r="G461">
            <v>175.77979999999999</v>
          </cell>
          <cell r="H461">
            <v>494.31360000000012</v>
          </cell>
          <cell r="I461">
            <v>337.00659999999993</v>
          </cell>
          <cell r="N461">
            <v>208</v>
          </cell>
          <cell r="O461">
            <v>113</v>
          </cell>
          <cell r="P461">
            <v>100</v>
          </cell>
          <cell r="Q461">
            <v>300</v>
          </cell>
          <cell r="R461">
            <v>0</v>
          </cell>
          <cell r="S461">
            <v>358</v>
          </cell>
          <cell r="T461">
            <v>74.813419999999994</v>
          </cell>
          <cell r="U461">
            <v>507</v>
          </cell>
          <cell r="V461">
            <v>1530</v>
          </cell>
          <cell r="W461">
            <v>1015</v>
          </cell>
          <cell r="X461">
            <v>661.5</v>
          </cell>
          <cell r="Y461">
            <v>385.875</v>
          </cell>
          <cell r="Z461">
            <v>145.86075</v>
          </cell>
        </row>
        <row r="462">
          <cell r="A462" t="str">
            <v>Average Share Price</v>
          </cell>
          <cell r="B462">
            <v>76.010000000000005</v>
          </cell>
          <cell r="C462">
            <v>0</v>
          </cell>
          <cell r="D462">
            <v>77.495000000000005</v>
          </cell>
          <cell r="E462">
            <v>87.79</v>
          </cell>
          <cell r="F462">
            <v>83</v>
          </cell>
          <cell r="G462">
            <v>85.33</v>
          </cell>
          <cell r="H462">
            <v>81.84</v>
          </cell>
          <cell r="I462">
            <v>60.179749999999991</v>
          </cell>
          <cell r="N462">
            <v>25.652409846578859</v>
          </cell>
          <cell r="O462">
            <v>38.532360362817975</v>
          </cell>
          <cell r="P462">
            <v>38.52080123266564</v>
          </cell>
          <cell r="Q462">
            <v>31.914893617021274</v>
          </cell>
          <cell r="R462">
            <v>26.737500000000001</v>
          </cell>
          <cell r="S462">
            <v>53.592814371257489</v>
          </cell>
          <cell r="T462">
            <v>7.4813419999999992E-2</v>
          </cell>
          <cell r="U462">
            <v>78</v>
          </cell>
          <cell r="V462">
            <v>76.5</v>
          </cell>
          <cell r="W462">
            <v>70</v>
          </cell>
          <cell r="X462">
            <v>73.5</v>
          </cell>
          <cell r="Y462">
            <v>77.174999999999997</v>
          </cell>
          <cell r="Z462">
            <v>81.033749999999998</v>
          </cell>
        </row>
        <row r="463">
          <cell r="A463" t="str">
            <v>Share Price Growth</v>
          </cell>
          <cell r="V463">
            <v>-0.15</v>
          </cell>
          <cell r="W463">
            <v>0</v>
          </cell>
          <cell r="X463">
            <v>0.05</v>
          </cell>
          <cell r="Y463">
            <v>0.05</v>
          </cell>
          <cell r="Z463">
            <v>0.05</v>
          </cell>
        </row>
        <row r="464">
          <cell r="A464" t="str">
            <v>Authorization Remaining (shares)</v>
          </cell>
          <cell r="B464">
            <v>8</v>
          </cell>
          <cell r="C464">
            <v>7.7</v>
          </cell>
          <cell r="D464">
            <v>3.6</v>
          </cell>
          <cell r="E464">
            <v>9.5551999999999992</v>
          </cell>
          <cell r="F464">
            <v>3.3</v>
          </cell>
          <cell r="G464">
            <v>1.2</v>
          </cell>
          <cell r="H464">
            <v>8</v>
          </cell>
          <cell r="I464">
            <v>4.9000000000000004</v>
          </cell>
          <cell r="Q464">
            <v>9.0136000000000003</v>
          </cell>
          <cell r="R464">
            <v>9.0136000000000003</v>
          </cell>
          <cell r="S464">
            <v>2.3336000000000006</v>
          </cell>
          <cell r="T464">
            <v>10</v>
          </cell>
          <cell r="U464">
            <v>9.5551999999999992</v>
          </cell>
          <cell r="V464">
            <v>4.9000000000000004</v>
          </cell>
        </row>
        <row r="465">
          <cell r="A465" t="str">
            <v>Share Grants</v>
          </cell>
        </row>
        <row r="466">
          <cell r="A466" t="str">
            <v>Options Outstanding</v>
          </cell>
          <cell r="N466">
            <v>13.147197999999999</v>
          </cell>
          <cell r="O466">
            <v>14.132225999999999</v>
          </cell>
          <cell r="P466">
            <v>15.325049999999999</v>
          </cell>
          <cell r="Q466">
            <v>19.337237999999999</v>
          </cell>
          <cell r="R466">
            <v>17.369892</v>
          </cell>
          <cell r="S466">
            <v>18.032228</v>
          </cell>
          <cell r="T466">
            <v>16.067983000000002</v>
          </cell>
          <cell r="U466">
            <v>15.839983</v>
          </cell>
          <cell r="V466">
            <v>19.697009000000001</v>
          </cell>
        </row>
        <row r="467">
          <cell r="A467" t="str">
            <v>Options Exercised</v>
          </cell>
          <cell r="F467">
            <v>5.4885850000000005</v>
          </cell>
          <cell r="N467">
            <v>7.3381400000000001</v>
          </cell>
          <cell r="O467">
            <v>3.5335740000000002</v>
          </cell>
          <cell r="P467">
            <v>3.0100920000000002</v>
          </cell>
          <cell r="Q467">
            <v>2.9512079999999998</v>
          </cell>
          <cell r="R467">
            <v>6.3518860000000004</v>
          </cell>
          <cell r="S467">
            <v>4.4081159999999997</v>
          </cell>
          <cell r="T467">
            <v>6.3861090000000003</v>
          </cell>
          <cell r="U467">
            <v>5.1455159999999998</v>
          </cell>
          <cell r="V467">
            <v>3.014402</v>
          </cell>
        </row>
        <row r="468">
          <cell r="A468" t="str">
            <v>Options Exercisable</v>
          </cell>
          <cell r="N468">
            <v>6.0467979999999999</v>
          </cell>
          <cell r="O468">
            <v>6.475136</v>
          </cell>
          <cell r="P468">
            <v>8.2395820000000004</v>
          </cell>
          <cell r="Q468">
            <v>9.3584239999999994</v>
          </cell>
          <cell r="R468">
            <v>8.3191279999999992</v>
          </cell>
          <cell r="S468">
            <v>9.7135040000000004</v>
          </cell>
          <cell r="T468">
            <v>8.4687819999999991</v>
          </cell>
          <cell r="U468">
            <v>8.0794650000000008</v>
          </cell>
          <cell r="V468">
            <v>7.289237</v>
          </cell>
        </row>
        <row r="469">
          <cell r="A469" t="str">
            <v>Weighted Average Price</v>
          </cell>
          <cell r="N469">
            <v>16.555</v>
          </cell>
          <cell r="O469">
            <v>21.305</v>
          </cell>
          <cell r="P469">
            <v>21.78</v>
          </cell>
          <cell r="Q469">
            <v>25.245000000000001</v>
          </cell>
          <cell r="R469">
            <v>28.5</v>
          </cell>
          <cell r="S469">
            <v>35.049999999999997</v>
          </cell>
          <cell r="T469">
            <v>42.08</v>
          </cell>
          <cell r="U469">
            <v>50.94</v>
          </cell>
          <cell r="V469">
            <v>70.28</v>
          </cell>
        </row>
        <row r="470">
          <cell r="A470" t="str">
            <v>% Exercisable Options Exercised</v>
          </cell>
          <cell r="N470">
            <v>0.67707360677555239</v>
          </cell>
          <cell r="O470">
            <v>0.58437110020873861</v>
          </cell>
          <cell r="P470">
            <v>0.46486930930871573</v>
          </cell>
          <cell r="Q470">
            <v>0.35817448021028248</v>
          </cell>
          <cell r="R470">
            <v>0.67873458180565449</v>
          </cell>
          <cell r="S470">
            <v>0.52987716981875987</v>
          </cell>
          <cell r="T470">
            <v>0.65744647863428074</v>
          </cell>
          <cell r="U470">
            <v>0.60758630934176838</v>
          </cell>
          <cell r="V470">
            <v>0.37309425809753488</v>
          </cell>
        </row>
        <row r="471">
          <cell r="A471" t="str">
            <v>Restricted Stock Awards Granted</v>
          </cell>
          <cell r="N471">
            <v>0.77004600000000001</v>
          </cell>
          <cell r="O471">
            <v>0.68177600000000005</v>
          </cell>
          <cell r="P471">
            <v>0.75008600000000003</v>
          </cell>
          <cell r="Q471">
            <v>0.81612799999999996</v>
          </cell>
          <cell r="R471">
            <v>0.52560200000000001</v>
          </cell>
          <cell r="S471">
            <v>0.86890800000000001</v>
          </cell>
          <cell r="T471">
            <v>0.58710799999999996</v>
          </cell>
          <cell r="U471">
            <v>0.42763499999999999</v>
          </cell>
          <cell r="V471">
            <v>0.44286500000000001</v>
          </cell>
        </row>
        <row r="472">
          <cell r="A472" t="str">
            <v>Average Price Restricted Stock</v>
          </cell>
          <cell r="N472">
            <v>21.614999999999998</v>
          </cell>
          <cell r="O472">
            <v>35.695</v>
          </cell>
          <cell r="P472">
            <v>44.115000000000002</v>
          </cell>
          <cell r="Q472">
            <v>29.27</v>
          </cell>
          <cell r="R472">
            <v>45.704999999999998</v>
          </cell>
          <cell r="S472">
            <v>52.27</v>
          </cell>
          <cell r="T472">
            <v>61.52</v>
          </cell>
          <cell r="U472">
            <v>76.27</v>
          </cell>
          <cell r="V472">
            <v>83.05</v>
          </cell>
        </row>
        <row r="473">
          <cell r="A473" t="str">
            <v>Shares Issued</v>
          </cell>
        </row>
        <row r="474">
          <cell r="A474" t="str">
            <v>Number of Shares Issued</v>
          </cell>
          <cell r="N474">
            <v>8.1081859999999999</v>
          </cell>
          <cell r="O474">
            <v>4.2153499999999999</v>
          </cell>
          <cell r="P474">
            <v>3.7601780000000002</v>
          </cell>
          <cell r="Q474">
            <v>3.7673359999999998</v>
          </cell>
          <cell r="R474">
            <v>6.8774880000000005</v>
          </cell>
          <cell r="S474">
            <v>5.2770239999999999</v>
          </cell>
          <cell r="T474">
            <v>6.973217</v>
          </cell>
          <cell r="U474">
            <v>5.5731509999999993</v>
          </cell>
          <cell r="V474">
            <v>3.4572669999999999</v>
          </cell>
          <cell r="W474">
            <v>3.5</v>
          </cell>
          <cell r="X474">
            <v>4</v>
          </cell>
          <cell r="Y474">
            <v>6</v>
          </cell>
          <cell r="Z474">
            <v>6</v>
          </cell>
        </row>
        <row r="475">
          <cell r="A475" t="str">
            <v>Weighted Average Price</v>
          </cell>
          <cell r="U475">
            <v>61.006780544794147</v>
          </cell>
          <cell r="V475">
            <v>77.228631748719437</v>
          </cell>
          <cell r="W475">
            <v>70</v>
          </cell>
          <cell r="X475">
            <v>73.5</v>
          </cell>
          <cell r="Y475">
            <v>77.174999999999997</v>
          </cell>
          <cell r="Z475">
            <v>81.033749999999998</v>
          </cell>
        </row>
        <row r="476">
          <cell r="A476" t="str">
            <v>Proceeds from Exercises</v>
          </cell>
          <cell r="N476">
            <v>180</v>
          </cell>
          <cell r="O476">
            <v>91</v>
          </cell>
          <cell r="P476">
            <v>77</v>
          </cell>
          <cell r="Q476">
            <v>118</v>
          </cell>
          <cell r="R476">
            <v>233</v>
          </cell>
          <cell r="S476">
            <v>200</v>
          </cell>
          <cell r="T476">
            <v>348</v>
          </cell>
          <cell r="U476">
            <v>340</v>
          </cell>
          <cell r="V476">
            <v>267</v>
          </cell>
          <cell r="W476">
            <v>245</v>
          </cell>
          <cell r="X476">
            <v>294</v>
          </cell>
          <cell r="Y476">
            <v>463.04999999999995</v>
          </cell>
          <cell r="Z476">
            <v>486.20249999999999</v>
          </cell>
        </row>
        <row r="478">
          <cell r="A478" t="str">
            <v>Net Issuances (Repurchases)</v>
          </cell>
          <cell r="N478">
            <v>-2.1399999999971442E-4</v>
          </cell>
          <cell r="O478">
            <v>1.2827500000000001</v>
          </cell>
          <cell r="P478">
            <v>1.1641780000000002</v>
          </cell>
          <cell r="Q478">
            <v>-5.6326640000000001</v>
          </cell>
          <cell r="R478">
            <v>6.8774880000000005</v>
          </cell>
          <cell r="S478">
            <v>-1.4029759999999998</v>
          </cell>
          <cell r="T478">
            <v>-993.02678300000002</v>
          </cell>
          <cell r="U478">
            <v>-0.9268490000000007</v>
          </cell>
          <cell r="V478">
            <v>-16.542732999999998</v>
          </cell>
          <cell r="W478">
            <v>-11</v>
          </cell>
          <cell r="X478">
            <v>-5</v>
          </cell>
          <cell r="Y478">
            <v>1</v>
          </cell>
          <cell r="Z478">
            <v>4.2</v>
          </cell>
        </row>
        <row r="479">
          <cell r="A479" t="str">
            <v>Net Expenditures for Issuances/(Repurchases)</v>
          </cell>
          <cell r="N479">
            <v>-28</v>
          </cell>
          <cell r="O479">
            <v>-22</v>
          </cell>
          <cell r="P479">
            <v>-23</v>
          </cell>
          <cell r="Q479">
            <v>-182</v>
          </cell>
          <cell r="R479">
            <v>233</v>
          </cell>
          <cell r="S479">
            <v>-158</v>
          </cell>
          <cell r="T479">
            <v>273.18657999999999</v>
          </cell>
          <cell r="U479">
            <v>-167</v>
          </cell>
          <cell r="V479">
            <v>-1263</v>
          </cell>
          <cell r="W479">
            <v>-770</v>
          </cell>
          <cell r="X479">
            <v>-367.5</v>
          </cell>
          <cell r="Y479">
            <v>77.174999999999955</v>
          </cell>
          <cell r="Z479">
            <v>340.34174999999999</v>
          </cell>
          <cell r="BQ479" t="str">
            <v>mstag:netIssuanceRepurchaseOfCommonStock</v>
          </cell>
          <cell r="BR479">
            <v>6</v>
          </cell>
          <cell r="BS479" t="str">
            <v>ISO4217:USD</v>
          </cell>
          <cell r="BT479" t="b">
            <v>0</v>
          </cell>
          <cell r="BU479" t="b">
            <v>0</v>
          </cell>
        </row>
        <row r="481">
          <cell r="A481" t="str">
            <v>Fixed Asset Analysis</v>
          </cell>
        </row>
        <row r="482">
          <cell r="A482" t="str">
            <v>Gross PP&amp;E - beginning of period</v>
          </cell>
          <cell r="N482">
            <v>2388</v>
          </cell>
          <cell r="O482">
            <v>2640</v>
          </cell>
          <cell r="P482">
            <v>3478</v>
          </cell>
          <cell r="Q482">
            <v>3469</v>
          </cell>
          <cell r="R482">
            <v>3871</v>
          </cell>
          <cell r="S482">
            <v>4167</v>
          </cell>
          <cell r="T482">
            <v>3838</v>
          </cell>
          <cell r="U482">
            <v>4188</v>
          </cell>
          <cell r="V482">
            <v>4729</v>
          </cell>
          <cell r="W482">
            <v>5340</v>
          </cell>
          <cell r="X482">
            <v>5890</v>
          </cell>
          <cell r="Y482">
            <v>6440</v>
          </cell>
          <cell r="Z482">
            <v>7040</v>
          </cell>
        </row>
        <row r="483">
          <cell r="A483" t="str">
            <v xml:space="preserve">   Additions - Capital spending</v>
          </cell>
          <cell r="N483">
            <v>288</v>
          </cell>
          <cell r="O483">
            <v>356</v>
          </cell>
          <cell r="P483">
            <v>262</v>
          </cell>
          <cell r="Q483">
            <v>220</v>
          </cell>
          <cell r="R483">
            <v>253</v>
          </cell>
          <cell r="S483">
            <v>262</v>
          </cell>
          <cell r="T483">
            <v>334</v>
          </cell>
          <cell r="U483">
            <v>474</v>
          </cell>
          <cell r="V483">
            <v>490</v>
          </cell>
          <cell r="W483">
            <v>550</v>
          </cell>
          <cell r="X483">
            <v>550</v>
          </cell>
          <cell r="Y483">
            <v>600</v>
          </cell>
          <cell r="Z483">
            <v>600</v>
          </cell>
        </row>
        <row r="484">
          <cell r="A484" t="str">
            <v xml:space="preserve">   Additions - Acquisitions</v>
          </cell>
          <cell r="W484">
            <v>0</v>
          </cell>
          <cell r="X484">
            <v>0</v>
          </cell>
          <cell r="Y484">
            <v>0</v>
          </cell>
          <cell r="Z484">
            <v>0</v>
          </cell>
        </row>
        <row r="485">
          <cell r="A485" t="str">
            <v xml:space="preserve">   Asset Retirements/Other</v>
          </cell>
          <cell r="N485">
            <v>-36</v>
          </cell>
          <cell r="O485">
            <v>482</v>
          </cell>
          <cell r="P485">
            <v>-271</v>
          </cell>
          <cell r="Q485">
            <v>182</v>
          </cell>
          <cell r="R485">
            <v>43</v>
          </cell>
          <cell r="S485">
            <v>-591</v>
          </cell>
          <cell r="T485">
            <v>16</v>
          </cell>
          <cell r="U485">
            <v>67</v>
          </cell>
          <cell r="V485">
            <v>121</v>
          </cell>
          <cell r="W485">
            <v>0</v>
          </cell>
          <cell r="X485">
            <v>0</v>
          </cell>
          <cell r="Y485">
            <v>0</v>
          </cell>
          <cell r="Z485">
            <v>0</v>
          </cell>
        </row>
        <row r="486">
          <cell r="A486" t="str">
            <v>Gross PP&amp;E - end of period</v>
          </cell>
          <cell r="N486">
            <v>2640</v>
          </cell>
          <cell r="O486">
            <v>3478</v>
          </cell>
          <cell r="P486">
            <v>3469</v>
          </cell>
          <cell r="Q486">
            <v>3871</v>
          </cell>
          <cell r="R486">
            <v>4167</v>
          </cell>
          <cell r="S486">
            <v>3838</v>
          </cell>
          <cell r="T486">
            <v>4188</v>
          </cell>
          <cell r="U486">
            <v>4729</v>
          </cell>
          <cell r="V486">
            <v>5340</v>
          </cell>
          <cell r="W486">
            <v>5890</v>
          </cell>
          <cell r="X486">
            <v>6440</v>
          </cell>
          <cell r="Y486">
            <v>7040</v>
          </cell>
          <cell r="Z486">
            <v>7640</v>
          </cell>
        </row>
        <row r="488">
          <cell r="A488" t="str">
            <v>Accumulated Depreciation - beginning of period</v>
          </cell>
          <cell r="N488">
            <v>1219</v>
          </cell>
          <cell r="O488">
            <v>1346</v>
          </cell>
          <cell r="P488">
            <v>1760</v>
          </cell>
          <cell r="Q488">
            <v>1613</v>
          </cell>
          <cell r="R488">
            <v>1811</v>
          </cell>
          <cell r="S488">
            <v>2014</v>
          </cell>
          <cell r="T488">
            <v>1810</v>
          </cell>
          <cell r="U488">
            <v>2020</v>
          </cell>
          <cell r="V488">
            <v>2257</v>
          </cell>
          <cell r="W488">
            <v>2468</v>
          </cell>
          <cell r="X488">
            <v>2836.125</v>
          </cell>
          <cell r="Y488">
            <v>3238.625</v>
          </cell>
          <cell r="Z488">
            <v>3678.625</v>
          </cell>
        </row>
        <row r="489">
          <cell r="A489" t="str">
            <v xml:space="preserve">   Depreciation </v>
          </cell>
          <cell r="N489">
            <v>145</v>
          </cell>
          <cell r="O489">
            <v>164</v>
          </cell>
          <cell r="P489">
            <v>177</v>
          </cell>
          <cell r="Q489">
            <v>204</v>
          </cell>
          <cell r="R489">
            <v>213</v>
          </cell>
          <cell r="S489">
            <v>226</v>
          </cell>
          <cell r="T489">
            <v>251</v>
          </cell>
          <cell r="U489">
            <v>278</v>
          </cell>
          <cell r="V489">
            <v>301</v>
          </cell>
          <cell r="W489">
            <v>368.125</v>
          </cell>
          <cell r="X489">
            <v>402.5</v>
          </cell>
          <cell r="Y489">
            <v>440</v>
          </cell>
          <cell r="Z489">
            <v>477.5</v>
          </cell>
        </row>
        <row r="490">
          <cell r="A490" t="str">
            <v xml:space="preserve">   Asset Retirements/Other</v>
          </cell>
          <cell r="N490">
            <v>-18</v>
          </cell>
          <cell r="O490">
            <v>250</v>
          </cell>
          <cell r="P490">
            <v>-324</v>
          </cell>
          <cell r="Q490">
            <v>-6</v>
          </cell>
          <cell r="R490">
            <v>-10</v>
          </cell>
          <cell r="S490">
            <v>-430</v>
          </cell>
          <cell r="T490">
            <v>-41</v>
          </cell>
          <cell r="U490">
            <v>-41</v>
          </cell>
          <cell r="V490">
            <v>-90</v>
          </cell>
          <cell r="W490">
            <v>0</v>
          </cell>
          <cell r="X490">
            <v>0</v>
          </cell>
          <cell r="Y490">
            <v>0</v>
          </cell>
          <cell r="Z490">
            <v>0</v>
          </cell>
        </row>
        <row r="491">
          <cell r="A491" t="str">
            <v>Accumulated Depreciation - end of period</v>
          </cell>
          <cell r="N491">
            <v>1346</v>
          </cell>
          <cell r="O491">
            <v>1760</v>
          </cell>
          <cell r="P491">
            <v>1613</v>
          </cell>
          <cell r="Q491">
            <v>1811</v>
          </cell>
          <cell r="R491">
            <v>2014</v>
          </cell>
          <cell r="S491">
            <v>1810</v>
          </cell>
          <cell r="T491">
            <v>2020</v>
          </cell>
          <cell r="U491">
            <v>2257</v>
          </cell>
          <cell r="V491">
            <v>2468</v>
          </cell>
          <cell r="W491">
            <v>2836.125</v>
          </cell>
          <cell r="X491">
            <v>3238.625</v>
          </cell>
          <cell r="Y491">
            <v>3678.625</v>
          </cell>
          <cell r="Z491">
            <v>4156.125</v>
          </cell>
        </row>
        <row r="493">
          <cell r="A493" t="str">
            <v>Net Plant, Property &amp; Equipment</v>
          </cell>
          <cell r="N493">
            <v>1294</v>
          </cell>
          <cell r="O493">
            <v>1718</v>
          </cell>
          <cell r="P493">
            <v>1856</v>
          </cell>
          <cell r="Q493">
            <v>2060</v>
          </cell>
          <cell r="R493">
            <v>2153</v>
          </cell>
          <cell r="S493">
            <v>2028</v>
          </cell>
          <cell r="T493">
            <v>2168</v>
          </cell>
          <cell r="U493">
            <v>2472</v>
          </cell>
          <cell r="V493">
            <v>2872</v>
          </cell>
          <cell r="W493">
            <v>3053.875</v>
          </cell>
          <cell r="X493">
            <v>3201.375</v>
          </cell>
          <cell r="Y493">
            <v>3361.375</v>
          </cell>
          <cell r="Z493">
            <v>3483.875</v>
          </cell>
        </row>
        <row r="494">
          <cell r="A494" t="str">
            <v>check from B/S</v>
          </cell>
          <cell r="N494">
            <v>0</v>
          </cell>
          <cell r="O494">
            <v>0</v>
          </cell>
          <cell r="P494">
            <v>0</v>
          </cell>
          <cell r="Q494">
            <v>0</v>
          </cell>
          <cell r="R494">
            <v>0</v>
          </cell>
          <cell r="S494">
            <v>0</v>
          </cell>
          <cell r="T494">
            <v>0</v>
          </cell>
          <cell r="U494">
            <v>0</v>
          </cell>
          <cell r="V494">
            <v>0</v>
          </cell>
          <cell r="W494">
            <v>0</v>
          </cell>
          <cell r="X494">
            <v>0</v>
          </cell>
          <cell r="Y494">
            <v>0</v>
          </cell>
          <cell r="Z494">
            <v>0</v>
          </cell>
        </row>
        <row r="495">
          <cell r="A495" t="str">
            <v>Implied/assumed depreciable life of PP&amp;E</v>
          </cell>
          <cell r="N495">
            <v>18.206896551724139</v>
          </cell>
          <cell r="O495">
            <v>18.652439024390244</v>
          </cell>
          <cell r="P495">
            <v>19.624293785310734</v>
          </cell>
          <cell r="Q495">
            <v>17.990196078431371</v>
          </cell>
          <cell r="R495">
            <v>18.868544600938968</v>
          </cell>
          <cell r="S495">
            <v>17.710176991150444</v>
          </cell>
          <cell r="T495">
            <v>15.988047808764939</v>
          </cell>
          <cell r="U495">
            <v>16.037769784172664</v>
          </cell>
          <cell r="V495">
            <v>16.725913621262457</v>
          </cell>
          <cell r="W495">
            <v>16</v>
          </cell>
          <cell r="X495">
            <v>16</v>
          </cell>
          <cell r="Y495">
            <v>16</v>
          </cell>
          <cell r="Z495">
            <v>16</v>
          </cell>
        </row>
        <row r="497">
          <cell r="A497" t="str">
            <v>Amortization of Intangible Assets</v>
          </cell>
          <cell r="P497">
            <v>31</v>
          </cell>
          <cell r="Q497">
            <v>66</v>
          </cell>
          <cell r="R497">
            <v>93</v>
          </cell>
          <cell r="S497">
            <v>101</v>
          </cell>
          <cell r="T497">
            <v>133</v>
          </cell>
          <cell r="U497">
            <v>145</v>
          </cell>
          <cell r="V497">
            <v>146</v>
          </cell>
          <cell r="W497">
            <v>130</v>
          </cell>
          <cell r="X497">
            <v>130</v>
          </cell>
          <cell r="Y497">
            <v>130</v>
          </cell>
          <cell r="Z497">
            <v>130</v>
          </cell>
        </row>
        <row r="501">
          <cell r="A501" t="str">
            <v>EPS Post FAS142</v>
          </cell>
          <cell r="N501">
            <v>2.4041753601589666</v>
          </cell>
          <cell r="O501">
            <v>2.5338048299654998</v>
          </cell>
          <cell r="T501">
            <v>4.5624385447394298</v>
          </cell>
          <cell r="U501">
            <v>4.923495326415857</v>
          </cell>
          <cell r="V501">
            <v>6.1675445196889891</v>
          </cell>
          <cell r="W501">
            <v>6.1034251981705649</v>
          </cell>
          <cell r="X501">
            <v>6.3955993666716093</v>
          </cell>
        </row>
        <row r="502">
          <cell r="U502">
            <v>7.9136798914854811E-2</v>
          </cell>
          <cell r="V502">
            <v>0.25267601790916272</v>
          </cell>
          <cell r="W502">
            <v>-1.039624786067328E-2</v>
          </cell>
          <cell r="X502">
            <v>4.7870524994493291E-2</v>
          </cell>
        </row>
        <row r="503">
          <cell r="A503" t="str">
            <v>Reported EPS</v>
          </cell>
          <cell r="B503">
            <v>1.0600879335613091</v>
          </cell>
          <cell r="C503">
            <v>1.2568134018097334</v>
          </cell>
          <cell r="D503">
            <v>1.3356247655290943</v>
          </cell>
          <cell r="E503">
            <v>1.4229541238633567</v>
          </cell>
          <cell r="F503">
            <v>1.4211438474870017</v>
          </cell>
          <cell r="G503">
            <v>1.595321055251369</v>
          </cell>
          <cell r="N503">
            <v>2.2341753601589667</v>
          </cell>
          <cell r="O503">
            <v>2.3238048299654999</v>
          </cell>
          <cell r="P503">
            <v>2.260268570189103</v>
          </cell>
          <cell r="Q503">
            <v>2.5131557805093596</v>
          </cell>
          <cell r="R503">
            <v>3.0178639677962145</v>
          </cell>
          <cell r="S503">
            <v>3.6087618069003673</v>
          </cell>
          <cell r="T503">
            <v>4.5624385447394298</v>
          </cell>
          <cell r="U503">
            <v>5.0766271790662634</v>
          </cell>
          <cell r="V503">
            <v>6.1675445196889891</v>
          </cell>
          <cell r="W503">
            <v>6.1034251981705649</v>
          </cell>
          <cell r="X503">
            <v>6.3955993666716093</v>
          </cell>
        </row>
        <row r="504">
          <cell r="A504" t="str">
            <v>Stock Options Expense</v>
          </cell>
          <cell r="P504">
            <v>-6.9015834204247437E-2</v>
          </cell>
          <cell r="Q504">
            <v>-7.0298063790471599E-2</v>
          </cell>
          <cell r="R504">
            <v>-6.9490288732149672E-2</v>
          </cell>
          <cell r="S504">
            <v>-8.6452199343951305E-2</v>
          </cell>
          <cell r="U504">
            <v>-0.1531318526504061</v>
          </cell>
        </row>
        <row r="505">
          <cell r="A505" t="str">
            <v>EPS Post Stock Options</v>
          </cell>
          <cell r="B505">
            <v>1.0600879335613091</v>
          </cell>
          <cell r="C505">
            <v>1.2568134018097334</v>
          </cell>
          <cell r="D505">
            <v>1.3356247655290943</v>
          </cell>
          <cell r="E505">
            <v>1.4229541238633567</v>
          </cell>
          <cell r="F505">
            <v>1.4211438474870017</v>
          </cell>
          <cell r="G505">
            <v>1.595321055251369</v>
          </cell>
          <cell r="N505">
            <v>2.2341753601589667</v>
          </cell>
          <cell r="O505">
            <v>2.3238048299654999</v>
          </cell>
          <cell r="P505">
            <v>2.1912527359848557</v>
          </cell>
          <cell r="Q505">
            <v>2.4428577167188879</v>
          </cell>
          <cell r="R505">
            <v>2.9483736790640647</v>
          </cell>
          <cell r="S505">
            <v>3.5223096075564162</v>
          </cell>
          <cell r="T505">
            <v>4.5624385447394298</v>
          </cell>
          <cell r="U505">
            <v>4.923495326415857</v>
          </cell>
          <cell r="V505">
            <v>6.1675445196889891</v>
          </cell>
          <cell r="W505">
            <v>6.1034251981705649</v>
          </cell>
          <cell r="X505">
            <v>6.3955993666716093</v>
          </cell>
        </row>
        <row r="506">
          <cell r="A506" t="str">
            <v>EPS Adj for Consensus</v>
          </cell>
          <cell r="B506">
            <v>1.074743527112848</v>
          </cell>
          <cell r="C506">
            <v>1.2668134018097335</v>
          </cell>
          <cell r="D506">
            <v>1.3356247655290943</v>
          </cell>
          <cell r="E506">
            <v>1.4204965175718847</v>
          </cell>
          <cell r="F506">
            <v>1.4186679871255261</v>
          </cell>
          <cell r="G506">
            <v>1.5082130413140868</v>
          </cell>
          <cell r="N506">
            <v>2.0091753601589666</v>
          </cell>
          <cell r="O506">
            <v>2.3238048299654999</v>
          </cell>
          <cell r="P506">
            <v>2.5634452704434758</v>
          </cell>
          <cell r="Q506">
            <v>2.457921587531132</v>
          </cell>
          <cell r="R506">
            <v>2.9632644552209539</v>
          </cell>
          <cell r="S506">
            <v>3.5766509900011854</v>
          </cell>
          <cell r="T506">
            <v>4.2035398230088497</v>
          </cell>
          <cell r="U506">
            <v>5.0962280562055158</v>
          </cell>
          <cell r="V506">
            <v>6.1274140958113872</v>
          </cell>
          <cell r="W506">
            <v>6.1189391025198736</v>
          </cell>
          <cell r="X506">
            <v>6.3955993666716093</v>
          </cell>
        </row>
      </sheetData>
      <sheetData sheetId="2" refreshError="1">
        <row r="1">
          <cell r="CM1" t="str">
            <v>General Dynamics</v>
          </cell>
          <cell r="DE1" t="str">
            <v>General Dynamics</v>
          </cell>
        </row>
        <row r="2">
          <cell r="B2" t="str">
            <v>General Dynamics</v>
          </cell>
          <cell r="U2" t="str">
            <v>General Dynamics</v>
          </cell>
          <cell r="AN2" t="str">
            <v>General Dynamics</v>
          </cell>
          <cell r="BF2" t="str">
            <v>General Dynamics</v>
          </cell>
          <cell r="BX2" t="str">
            <v>General Dynamics</v>
          </cell>
          <cell r="CM2" t="str">
            <v>Quarterly Earnings Model 2002</v>
          </cell>
          <cell r="CP2" t="str">
            <v>General Dynamics</v>
          </cell>
          <cell r="DE2" t="str">
            <v>Quarterly Earnings Model 2001A</v>
          </cell>
          <cell r="DH2" t="str">
            <v>General Dynamics</v>
          </cell>
          <cell r="DZ2" t="str">
            <v>General Dynamics</v>
          </cell>
          <cell r="ER2" t="str">
            <v>General Dynamics</v>
          </cell>
          <cell r="FJ2" t="str">
            <v>General Dynamics</v>
          </cell>
          <cell r="GB2" t="str">
            <v>General Dynamics</v>
          </cell>
        </row>
        <row r="3">
          <cell r="B3" t="str">
            <v>Quarterly Earnings Model 2009E</v>
          </cell>
          <cell r="U3" t="str">
            <v>Quarterly Earnings Model 2008E</v>
          </cell>
          <cell r="AM3" t="str">
            <v>Quarterly Earnings Model 2007E</v>
          </cell>
          <cell r="BE3" t="str">
            <v>Quarterly Earnings Model 2006A</v>
          </cell>
          <cell r="BW3" t="str">
            <v>Quarterly Earnings Model 2005</v>
          </cell>
          <cell r="CO3" t="str">
            <v>Quarterly Earnings Model 2004A</v>
          </cell>
          <cell r="CU3" t="str">
            <v>-----------------------------</v>
          </cell>
          <cell r="CW3" t="str">
            <v>% Change</v>
          </cell>
          <cell r="CX3" t="str">
            <v>-----------------------------</v>
          </cell>
          <cell r="DG3" t="str">
            <v>Quarterly Earnings Model 2003A</v>
          </cell>
          <cell r="DM3" t="str">
            <v>-----------------------------</v>
          </cell>
          <cell r="DO3" t="str">
            <v>% Change</v>
          </cell>
          <cell r="DP3" t="str">
            <v>-----------------------------</v>
          </cell>
          <cell r="DY3" t="str">
            <v>Quarterly Earnings Model 2002</v>
          </cell>
          <cell r="EQ3" t="str">
            <v>Quarterly Earnings Model 2001A</v>
          </cell>
          <cell r="FI3" t="str">
            <v>Quarterly Earnings Model 2000A</v>
          </cell>
          <cell r="GA3" t="str">
            <v>Quarterly Earnings Model 1999</v>
          </cell>
        </row>
        <row r="4">
          <cell r="J4" t="str">
            <v>% Ch Y/Y</v>
          </cell>
          <cell r="O4" t="str">
            <v>% Ch Q/Q</v>
          </cell>
          <cell r="AC4" t="str">
            <v>% Ch Y/Y</v>
          </cell>
          <cell r="AH4" t="str">
            <v>% Ch Q/Q</v>
          </cell>
          <cell r="AV4" t="str">
            <v>% Ch Y/Y</v>
          </cell>
          <cell r="BA4" t="str">
            <v>% Ch Q/Q</v>
          </cell>
          <cell r="BN4" t="str">
            <v>% Ch Y/Y</v>
          </cell>
          <cell r="BS4" t="str">
            <v>% Ch Q/Q</v>
          </cell>
          <cell r="CF4" t="str">
            <v>% Ch Y/Y</v>
          </cell>
          <cell r="CK4" t="str">
            <v>% Ch Q/Q</v>
          </cell>
          <cell r="CM4" t="str">
            <v>($USD in Millions Except EPS)</v>
          </cell>
          <cell r="CN4" t="str">
            <v>Q1</v>
          </cell>
          <cell r="CO4" t="str">
            <v>Q2</v>
          </cell>
          <cell r="CP4" t="str">
            <v>H1</v>
          </cell>
          <cell r="CQ4" t="str">
            <v>Q3</v>
          </cell>
          <cell r="CR4" t="str">
            <v>H1+Q3</v>
          </cell>
          <cell r="CS4" t="str">
            <v>Q4</v>
          </cell>
          <cell r="CT4">
            <v>2002</v>
          </cell>
          <cell r="CU4" t="str">
            <v>Q1</v>
          </cell>
          <cell r="CV4" t="str">
            <v>Q2</v>
          </cell>
          <cell r="CW4" t="str">
            <v>Q3</v>
          </cell>
          <cell r="CX4" t="str">
            <v>% Ch Y/Y</v>
          </cell>
          <cell r="CY4">
            <v>2002</v>
          </cell>
          <cell r="DC4" t="str">
            <v>% Ch Q/Q</v>
          </cell>
          <cell r="DE4" t="str">
            <v>($USD in Millions Except EPS)</v>
          </cell>
          <cell r="DF4" t="str">
            <v>Q1A</v>
          </cell>
          <cell r="DG4" t="str">
            <v>Q2A</v>
          </cell>
          <cell r="DH4" t="str">
            <v>H1A</v>
          </cell>
          <cell r="DI4" t="str">
            <v>Q3A</v>
          </cell>
          <cell r="DJ4" t="str">
            <v>H1+Q3</v>
          </cell>
          <cell r="DK4" t="str">
            <v>Q4A</v>
          </cell>
          <cell r="DL4" t="str">
            <v>2001A</v>
          </cell>
          <cell r="DM4" t="str">
            <v>Q1</v>
          </cell>
          <cell r="DN4" t="str">
            <v>Q2</v>
          </cell>
          <cell r="DO4" t="str">
            <v>Q3</v>
          </cell>
          <cell r="DP4" t="str">
            <v>% Ch Y/Y</v>
          </cell>
          <cell r="DQ4">
            <v>2001</v>
          </cell>
          <cell r="DU4" t="str">
            <v>% Ch Q/Q</v>
          </cell>
          <cell r="EH4" t="str">
            <v>-----------------------------</v>
          </cell>
          <cell r="EJ4" t="str">
            <v>% Change</v>
          </cell>
          <cell r="EK4" t="str">
            <v>-----------------------------</v>
          </cell>
          <cell r="EM4" t="str">
            <v>----------------------</v>
          </cell>
          <cell r="EO4" t="str">
            <v>% Ch. Q/Q</v>
          </cell>
          <cell r="EP4" t="str">
            <v>--------------</v>
          </cell>
          <cell r="EZ4" t="str">
            <v>-----------------------------</v>
          </cell>
          <cell r="FB4" t="str">
            <v>% Change</v>
          </cell>
          <cell r="FC4" t="str">
            <v>-----------------------------</v>
          </cell>
          <cell r="FE4" t="str">
            <v>-----------------------------</v>
          </cell>
          <cell r="FG4" t="str">
            <v>% Ch. QoQ</v>
          </cell>
          <cell r="FH4" t="str">
            <v>---------------</v>
          </cell>
          <cell r="FR4" t="str">
            <v>-----------------------------</v>
          </cell>
          <cell r="FT4" t="str">
            <v>% Change</v>
          </cell>
          <cell r="FU4" t="str">
            <v>-----------------------------</v>
          </cell>
          <cell r="FW4" t="str">
            <v>-----------------------------</v>
          </cell>
          <cell r="FY4" t="str">
            <v>% Ch. QoQ</v>
          </cell>
          <cell r="FZ4" t="str">
            <v>---------------</v>
          </cell>
          <cell r="GJ4" t="str">
            <v>-----------------------------</v>
          </cell>
          <cell r="GL4" t="str">
            <v>% Change</v>
          </cell>
          <cell r="GM4" t="str">
            <v>-----------------------------</v>
          </cell>
          <cell r="GO4" t="str">
            <v>-----------------------------</v>
          </cell>
          <cell r="GQ4" t="str">
            <v>% Ch. QoQ</v>
          </cell>
          <cell r="GR4" t="str">
            <v>---------------</v>
          </cell>
        </row>
        <row r="5">
          <cell r="B5" t="str">
            <v>($USD in MM Ex EPS)</v>
          </cell>
          <cell r="C5" t="str">
            <v>Q1A</v>
          </cell>
          <cell r="D5" t="str">
            <v>Q2A</v>
          </cell>
          <cell r="E5" t="str">
            <v>H1A</v>
          </cell>
          <cell r="F5" t="str">
            <v>Q3E</v>
          </cell>
          <cell r="G5" t="str">
            <v>H1+Q3E</v>
          </cell>
          <cell r="H5" t="str">
            <v>Q4E</v>
          </cell>
          <cell r="I5" t="str">
            <v xml:space="preserve">2009E </v>
          </cell>
          <cell r="J5" t="str">
            <v>Q1E</v>
          </cell>
          <cell r="K5" t="str">
            <v>Q2E</v>
          </cell>
          <cell r="L5" t="str">
            <v>Q3E</v>
          </cell>
          <cell r="M5" t="str">
            <v xml:space="preserve">Q4E </v>
          </cell>
          <cell r="N5" t="str">
            <v xml:space="preserve">2009E </v>
          </cell>
          <cell r="O5" t="str">
            <v>Q1E</v>
          </cell>
          <cell r="P5" t="str">
            <v>Q2E</v>
          </cell>
          <cell r="Q5" t="str">
            <v>Q3E</v>
          </cell>
          <cell r="R5" t="str">
            <v xml:space="preserve">Q4E </v>
          </cell>
          <cell r="U5" t="str">
            <v>($USD in MM Except EPS)</v>
          </cell>
          <cell r="V5" t="str">
            <v>Q1A</v>
          </cell>
          <cell r="W5" t="str">
            <v>Q2A</v>
          </cell>
          <cell r="X5" t="str">
            <v>H1A</v>
          </cell>
          <cell r="Y5" t="str">
            <v>Q3A</v>
          </cell>
          <cell r="Z5" t="str">
            <v>H1+Q3A</v>
          </cell>
          <cell r="AA5" t="str">
            <v>Q4A</v>
          </cell>
          <cell r="AB5" t="str">
            <v>2008A</v>
          </cell>
          <cell r="AC5" t="str">
            <v>Q1A</v>
          </cell>
          <cell r="AD5" t="str">
            <v>Q2A</v>
          </cell>
          <cell r="AE5" t="str">
            <v>Q3A</v>
          </cell>
          <cell r="AF5" t="str">
            <v>Q4A</v>
          </cell>
          <cell r="AG5" t="str">
            <v>2008A</v>
          </cell>
          <cell r="AH5" t="str">
            <v>Q1A</v>
          </cell>
          <cell r="AI5" t="str">
            <v>Q2A</v>
          </cell>
          <cell r="AJ5" t="str">
            <v>Q3A</v>
          </cell>
          <cell r="AK5" t="str">
            <v>Q4A</v>
          </cell>
          <cell r="AN5" t="str">
            <v>($USD in Millions Except EPS)</v>
          </cell>
          <cell r="AO5" t="str">
            <v xml:space="preserve">Q1A </v>
          </cell>
          <cell r="AP5" t="str">
            <v xml:space="preserve">Q2A </v>
          </cell>
          <cell r="AQ5" t="str">
            <v xml:space="preserve">H1A </v>
          </cell>
          <cell r="AR5" t="str">
            <v>Q3A</v>
          </cell>
          <cell r="AS5" t="str">
            <v>H1+Q3A</v>
          </cell>
          <cell r="AT5" t="str">
            <v xml:space="preserve">Q4E </v>
          </cell>
          <cell r="AU5" t="str">
            <v xml:space="preserve">2007E </v>
          </cell>
          <cell r="AV5" t="str">
            <v xml:space="preserve">Q1 </v>
          </cell>
          <cell r="AW5" t="str">
            <v xml:space="preserve">Q2 </v>
          </cell>
          <cell r="AX5" t="str">
            <v xml:space="preserve">Q3 </v>
          </cell>
          <cell r="AY5" t="str">
            <v xml:space="preserve">Q4 </v>
          </cell>
          <cell r="AZ5" t="str">
            <v xml:space="preserve">2007E </v>
          </cell>
          <cell r="BA5" t="str">
            <v xml:space="preserve">Q1 </v>
          </cell>
          <cell r="BB5" t="str">
            <v xml:space="preserve">Q2 </v>
          </cell>
          <cell r="BC5" t="str">
            <v xml:space="preserve">Q3 </v>
          </cell>
          <cell r="BD5" t="str">
            <v xml:space="preserve">Q4 </v>
          </cell>
          <cell r="BF5" t="str">
            <v>($USD in Millions Except EPS)</v>
          </cell>
          <cell r="BG5" t="str">
            <v xml:space="preserve">Q1  </v>
          </cell>
          <cell r="BH5" t="str">
            <v xml:space="preserve">Q2  </v>
          </cell>
          <cell r="BI5" t="str">
            <v xml:space="preserve">H1 </v>
          </cell>
          <cell r="BJ5" t="str">
            <v xml:space="preserve">Q3 </v>
          </cell>
          <cell r="BK5" t="str">
            <v>H1+Q3</v>
          </cell>
          <cell r="BL5" t="str">
            <v xml:space="preserve">Q4 </v>
          </cell>
          <cell r="BM5">
            <v>2006</v>
          </cell>
          <cell r="BN5" t="str">
            <v xml:space="preserve">Q1 </v>
          </cell>
          <cell r="BO5" t="str">
            <v xml:space="preserve">Q2 </v>
          </cell>
          <cell r="BP5" t="str">
            <v xml:space="preserve">Q3 </v>
          </cell>
          <cell r="BQ5" t="str">
            <v xml:space="preserve">Q4 </v>
          </cell>
          <cell r="BR5">
            <v>2006</v>
          </cell>
          <cell r="BS5" t="str">
            <v xml:space="preserve">Q1 </v>
          </cell>
          <cell r="BT5" t="str">
            <v xml:space="preserve">Q2 </v>
          </cell>
          <cell r="BU5" t="str">
            <v xml:space="preserve">Q3 </v>
          </cell>
          <cell r="BV5" t="str">
            <v xml:space="preserve">Q4 </v>
          </cell>
          <cell r="BX5" t="str">
            <v>($USD in Millions Except EPS)</v>
          </cell>
          <cell r="BY5" t="str">
            <v xml:space="preserve">Q1  </v>
          </cell>
          <cell r="BZ5" t="str">
            <v xml:space="preserve">Q2  </v>
          </cell>
          <cell r="CA5" t="str">
            <v xml:space="preserve">H1 </v>
          </cell>
          <cell r="CB5" t="str">
            <v xml:space="preserve">Q3 </v>
          </cell>
          <cell r="CC5" t="str">
            <v>H1+Q3</v>
          </cell>
          <cell r="CD5" t="str">
            <v xml:space="preserve">Q4 </v>
          </cell>
          <cell r="CE5" t="str">
            <v xml:space="preserve">2005A </v>
          </cell>
          <cell r="CF5" t="str">
            <v xml:space="preserve">Q1 </v>
          </cell>
          <cell r="CG5" t="str">
            <v xml:space="preserve">Q2 </v>
          </cell>
          <cell r="CH5" t="str">
            <v xml:space="preserve">Q3 </v>
          </cell>
          <cell r="CI5" t="str">
            <v xml:space="preserve">Q4 </v>
          </cell>
          <cell r="CJ5" t="str">
            <v xml:space="preserve">2005A </v>
          </cell>
          <cell r="CK5" t="str">
            <v xml:space="preserve">Q1 </v>
          </cell>
          <cell r="CL5" t="str">
            <v xml:space="preserve">Q2 </v>
          </cell>
          <cell r="CM5" t="str">
            <v>Revenues</v>
          </cell>
          <cell r="CN5" t="str">
            <v xml:space="preserve">Q4 </v>
          </cell>
          <cell r="CP5" t="str">
            <v>($USD in Millions Except EPS)</v>
          </cell>
          <cell r="CQ5" t="str">
            <v xml:space="preserve">Q1 </v>
          </cell>
          <cell r="CR5" t="str">
            <v xml:space="preserve">Q2 </v>
          </cell>
          <cell r="CS5" t="str">
            <v xml:space="preserve">H1 </v>
          </cell>
          <cell r="CT5" t="str">
            <v xml:space="preserve">Q3 </v>
          </cell>
          <cell r="CU5" t="str">
            <v xml:space="preserve">H1+Q3 </v>
          </cell>
          <cell r="CV5" t="str">
            <v xml:space="preserve">Q4 </v>
          </cell>
          <cell r="CW5" t="str">
            <v xml:space="preserve">2004A </v>
          </cell>
          <cell r="CX5" t="str">
            <v xml:space="preserve">Q1 </v>
          </cell>
          <cell r="CY5" t="str">
            <v xml:space="preserve">Q2 </v>
          </cell>
          <cell r="CZ5" t="str">
            <v xml:space="preserve">Q3 </v>
          </cell>
          <cell r="DA5" t="str">
            <v xml:space="preserve">Q4 </v>
          </cell>
          <cell r="DB5" t="str">
            <v xml:space="preserve">2004A </v>
          </cell>
          <cell r="DC5" t="str">
            <v xml:space="preserve">Q1 </v>
          </cell>
          <cell r="DD5" t="str">
            <v xml:space="preserve">Q2 </v>
          </cell>
          <cell r="DE5" t="str">
            <v>Revenues</v>
          </cell>
          <cell r="DF5" t="str">
            <v xml:space="preserve">Q4 </v>
          </cell>
          <cell r="DH5" t="str">
            <v>($USD in Millions Except EPS)</v>
          </cell>
          <cell r="DI5" t="str">
            <v xml:space="preserve">Q1 </v>
          </cell>
          <cell r="DJ5" t="str">
            <v xml:space="preserve">Q2 </v>
          </cell>
          <cell r="DK5" t="str">
            <v xml:space="preserve">H1 </v>
          </cell>
          <cell r="DL5" t="str">
            <v xml:space="preserve">Q3 </v>
          </cell>
          <cell r="DM5" t="str">
            <v xml:space="preserve">H1+Q3 </v>
          </cell>
          <cell r="DN5" t="str">
            <v xml:space="preserve">Q4 </v>
          </cell>
          <cell r="DO5" t="str">
            <v xml:space="preserve">2003A </v>
          </cell>
          <cell r="DP5" t="str">
            <v xml:space="preserve">Q1 </v>
          </cell>
          <cell r="DQ5" t="str">
            <v xml:space="preserve">Q2 </v>
          </cell>
          <cell r="DR5" t="str">
            <v xml:space="preserve">Q3 </v>
          </cell>
          <cell r="DS5" t="str">
            <v xml:space="preserve">Q4 </v>
          </cell>
          <cell r="DT5" t="str">
            <v xml:space="preserve">2003A </v>
          </cell>
          <cell r="DU5" t="str">
            <v xml:space="preserve">Q1 </v>
          </cell>
          <cell r="DV5" t="str">
            <v xml:space="preserve">Q2 </v>
          </cell>
          <cell r="DW5" t="str">
            <v xml:space="preserve">Q3 </v>
          </cell>
          <cell r="DX5" t="str">
            <v xml:space="preserve">Q4 </v>
          </cell>
          <cell r="DZ5" t="str">
            <v>($USD in Millions Except EPS)</v>
          </cell>
          <cell r="EA5" t="str">
            <v>Q1</v>
          </cell>
          <cell r="EB5" t="str">
            <v>Q2</v>
          </cell>
          <cell r="EC5" t="str">
            <v>H1</v>
          </cell>
          <cell r="ED5" t="str">
            <v>Q3</v>
          </cell>
          <cell r="EE5" t="str">
            <v>H1+Q3</v>
          </cell>
          <cell r="EF5" t="str">
            <v>Q4</v>
          </cell>
          <cell r="EG5">
            <v>2002</v>
          </cell>
          <cell r="EH5" t="str">
            <v>Q1</v>
          </cell>
          <cell r="EI5" t="str">
            <v>Q2</v>
          </cell>
          <cell r="EJ5" t="str">
            <v>Q3</v>
          </cell>
          <cell r="EK5" t="str">
            <v>Q4</v>
          </cell>
          <cell r="EL5">
            <v>2002</v>
          </cell>
          <cell r="EM5" t="str">
            <v>Q1</v>
          </cell>
          <cell r="EN5" t="str">
            <v>Q2</v>
          </cell>
          <cell r="EO5" t="str">
            <v>Q3</v>
          </cell>
          <cell r="EP5" t="str">
            <v>Q4</v>
          </cell>
          <cell r="ER5" t="str">
            <v>($USD in Millions Except EPS)</v>
          </cell>
          <cell r="ES5" t="str">
            <v>Q1A</v>
          </cell>
          <cell r="ET5" t="str">
            <v>Q2A</v>
          </cell>
          <cell r="EU5" t="str">
            <v>H1A</v>
          </cell>
          <cell r="EV5" t="str">
            <v>Q3A</v>
          </cell>
          <cell r="EW5" t="str">
            <v>H1+Q3</v>
          </cell>
          <cell r="EX5" t="str">
            <v>Q4A</v>
          </cell>
          <cell r="EY5" t="str">
            <v>2001A</v>
          </cell>
          <cell r="EZ5" t="str">
            <v>Q1</v>
          </cell>
          <cell r="FA5" t="str">
            <v>Q2</v>
          </cell>
          <cell r="FB5" t="str">
            <v>Q3</v>
          </cell>
          <cell r="FC5" t="str">
            <v>Q4</v>
          </cell>
          <cell r="FD5">
            <v>2001</v>
          </cell>
          <cell r="FE5" t="str">
            <v>Q1</v>
          </cell>
          <cell r="FF5" t="str">
            <v>Q2</v>
          </cell>
          <cell r="FG5" t="str">
            <v>Q3</v>
          </cell>
          <cell r="FH5" t="str">
            <v>Q4</v>
          </cell>
          <cell r="FJ5" t="str">
            <v>($USD in Millions Except EPS)</v>
          </cell>
          <cell r="FK5" t="str">
            <v>Q1A</v>
          </cell>
          <cell r="FL5" t="str">
            <v>Q2A</v>
          </cell>
          <cell r="FM5" t="str">
            <v>H1A</v>
          </cell>
          <cell r="FN5" t="str">
            <v>Q3A</v>
          </cell>
          <cell r="FO5" t="str">
            <v>H1+Q3</v>
          </cell>
          <cell r="FP5" t="str">
            <v>Q4A</v>
          </cell>
          <cell r="FQ5" t="str">
            <v>2000A</v>
          </cell>
          <cell r="FR5" t="str">
            <v>Q1</v>
          </cell>
          <cell r="FS5" t="str">
            <v>Q2</v>
          </cell>
          <cell r="FT5" t="str">
            <v>Q3</v>
          </cell>
          <cell r="FU5" t="str">
            <v>Q4</v>
          </cell>
          <cell r="FV5">
            <v>2000</v>
          </cell>
          <cell r="FW5" t="str">
            <v>Q1</v>
          </cell>
          <cell r="FX5" t="str">
            <v>Q2</v>
          </cell>
          <cell r="FY5" t="str">
            <v>Q3</v>
          </cell>
          <cell r="FZ5" t="str">
            <v>Q4</v>
          </cell>
          <cell r="GB5" t="str">
            <v>($USD in Millions Except EPS)</v>
          </cell>
          <cell r="GC5" t="str">
            <v>Q1A</v>
          </cell>
          <cell r="GD5" t="str">
            <v>Q2A</v>
          </cell>
          <cell r="GE5" t="str">
            <v>Q1+Q2</v>
          </cell>
          <cell r="GF5" t="str">
            <v>Q3A</v>
          </cell>
          <cell r="GG5" t="str">
            <v>Q1-Q3</v>
          </cell>
          <cell r="GH5" t="str">
            <v>Q4A</v>
          </cell>
          <cell r="GI5" t="str">
            <v>1999A</v>
          </cell>
          <cell r="GJ5" t="str">
            <v>Q1</v>
          </cell>
          <cell r="GK5" t="str">
            <v>Q2</v>
          </cell>
          <cell r="GL5" t="str">
            <v>Q3</v>
          </cell>
          <cell r="GM5" t="str">
            <v>Q4</v>
          </cell>
          <cell r="GN5" t="str">
            <v>1999A</v>
          </cell>
          <cell r="GO5" t="str">
            <v>Q1</v>
          </cell>
          <cell r="GP5" t="str">
            <v>Q2</v>
          </cell>
          <cell r="GQ5" t="str">
            <v>Q3</v>
          </cell>
          <cell r="GR5" t="str">
            <v>Q4</v>
          </cell>
        </row>
        <row r="6">
          <cell r="B6" t="str">
            <v>Revenues</v>
          </cell>
          <cell r="U6" t="str">
            <v>Revenues</v>
          </cell>
          <cell r="AN6" t="str">
            <v>Revenues</v>
          </cell>
          <cell r="BF6" t="str">
            <v>Revenues</v>
          </cell>
          <cell r="BX6" t="str">
            <v>Revenues</v>
          </cell>
          <cell r="CM6" t="str">
            <v>Marine Group</v>
          </cell>
          <cell r="CN6">
            <v>864</v>
          </cell>
          <cell r="CO6">
            <v>916</v>
          </cell>
          <cell r="CP6" t="str">
            <v>Revenues</v>
          </cell>
          <cell r="CQ6">
            <v>863</v>
          </cell>
          <cell r="CR6">
            <v>2643</v>
          </cell>
          <cell r="CS6">
            <v>1007</v>
          </cell>
          <cell r="CT6">
            <v>3650</v>
          </cell>
          <cell r="CU6">
            <v>2.3201856148491878E-3</v>
          </cell>
          <cell r="CV6">
            <v>-3.2734952481520592E-2</v>
          </cell>
          <cell r="CW6">
            <v>-5.3728070175438597E-2</v>
          </cell>
          <cell r="CX6">
            <v>0.13019079685746351</v>
          </cell>
          <cell r="CY6">
            <v>1.0520487264673311E-2</v>
          </cell>
          <cell r="DE6" t="str">
            <v>Marine Group</v>
          </cell>
          <cell r="DF6">
            <v>862</v>
          </cell>
          <cell r="DG6">
            <v>947</v>
          </cell>
          <cell r="DH6" t="str">
            <v>Revenues</v>
          </cell>
          <cell r="DI6">
            <v>912</v>
          </cell>
          <cell r="DJ6">
            <v>2721</v>
          </cell>
          <cell r="DK6">
            <v>891</v>
          </cell>
          <cell r="DL6">
            <v>3612</v>
          </cell>
          <cell r="DM6">
            <v>1.8912529550827423E-2</v>
          </cell>
          <cell r="DN6">
            <v>0.10760233918128655</v>
          </cell>
          <cell r="DO6">
            <v>0.14285714285714285</v>
          </cell>
          <cell r="DP6">
            <v>-2.5164113785557989E-2</v>
          </cell>
          <cell r="DQ6">
            <v>5.8306475241722826E-2</v>
          </cell>
          <cell r="DZ6" t="str">
            <v>Revenues</v>
          </cell>
          <cell r="ER6" t="str">
            <v>Revenues</v>
          </cell>
          <cell r="FJ6" t="str">
            <v>Revenues</v>
          </cell>
          <cell r="GB6" t="str">
            <v>Revenues</v>
          </cell>
        </row>
        <row r="7">
          <cell r="B7" t="str">
            <v>Marine Systems</v>
          </cell>
          <cell r="C7">
            <v>1669</v>
          </cell>
          <cell r="D7">
            <v>1625</v>
          </cell>
          <cell r="E7">
            <v>3294</v>
          </cell>
          <cell r="F7">
            <v>1550</v>
          </cell>
          <cell r="G7">
            <v>4844</v>
          </cell>
          <cell r="H7">
            <v>1606</v>
          </cell>
          <cell r="I7">
            <v>6450</v>
          </cell>
          <cell r="J7">
            <v>0.21117561683599417</v>
          </cell>
          <cell r="K7">
            <v>0.1657101865136299</v>
          </cell>
          <cell r="L7">
            <v>0.10398860398860399</v>
          </cell>
          <cell r="M7">
            <v>0.163768115942029</v>
          </cell>
          <cell r="N7">
            <v>0.16090712742980551</v>
          </cell>
          <cell r="O7">
            <v>0.20942028985507255</v>
          </cell>
          <cell r="P7">
            <v>-2.6363091671659622E-2</v>
          </cell>
          <cell r="Q7">
            <v>-4.6153846153846101E-2</v>
          </cell>
          <cell r="R7">
            <v>3.612903225806452E-2</v>
          </cell>
          <cell r="U7" t="str">
            <v>Marine Systems</v>
          </cell>
          <cell r="V7">
            <v>1378</v>
          </cell>
          <cell r="W7">
            <v>1394</v>
          </cell>
          <cell r="X7">
            <v>2772</v>
          </cell>
          <cell r="Y7">
            <v>1404</v>
          </cell>
          <cell r="Z7">
            <v>4176</v>
          </cell>
          <cell r="AA7">
            <v>1380</v>
          </cell>
          <cell r="AB7">
            <v>5556</v>
          </cell>
          <cell r="AC7">
            <v>9.6260938743038871E-2</v>
          </cell>
          <cell r="AD7">
            <v>9.5911949685534514E-2</v>
          </cell>
          <cell r="AE7">
            <v>0.12680577849117181</v>
          </cell>
          <cell r="AF7">
            <v>0.13300492610837433</v>
          </cell>
          <cell r="AG7">
            <v>0.11275786100540763</v>
          </cell>
          <cell r="AH7">
            <v>0.1313628899835797</v>
          </cell>
          <cell r="AI7">
            <v>1.1611030478954953E-2</v>
          </cell>
          <cell r="AJ7">
            <v>7.1736011477760986E-3</v>
          </cell>
          <cell r="AK7">
            <v>-1.7094017094017144E-2</v>
          </cell>
          <cell r="AN7" t="str">
            <v>Marine Systems</v>
          </cell>
          <cell r="AO7">
            <v>1257</v>
          </cell>
          <cell r="AP7">
            <v>1272</v>
          </cell>
          <cell r="AQ7">
            <v>2529</v>
          </cell>
          <cell r="AR7">
            <v>1246</v>
          </cell>
          <cell r="AS7">
            <v>3775</v>
          </cell>
          <cell r="AT7">
            <v>1218</v>
          </cell>
          <cell r="AU7">
            <v>4993</v>
          </cell>
          <cell r="AV7">
            <v>-1.4117647058823568E-2</v>
          </cell>
          <cell r="AW7">
            <v>4.7393364928909332E-3</v>
          </cell>
          <cell r="AX7">
            <v>2.0475020475020367E-2</v>
          </cell>
          <cell r="AY7">
            <v>3.395585738539908E-2</v>
          </cell>
          <cell r="AZ7">
            <v>1.0728744939271229E-2</v>
          </cell>
          <cell r="BA7">
            <v>6.706281833616301E-2</v>
          </cell>
          <cell r="BB7">
            <v>1.193317422434359E-2</v>
          </cell>
          <cell r="BC7">
            <v>-2.0440251572327095E-2</v>
          </cell>
          <cell r="BD7">
            <v>-2.2471910112359605E-2</v>
          </cell>
          <cell r="BF7" t="str">
            <v>Marine Systems</v>
          </cell>
          <cell r="BG7">
            <v>1275</v>
          </cell>
          <cell r="BH7">
            <v>1266</v>
          </cell>
          <cell r="BI7">
            <v>2541</v>
          </cell>
          <cell r="BJ7">
            <v>1221</v>
          </cell>
          <cell r="BK7">
            <v>3762</v>
          </cell>
          <cell r="BL7">
            <v>1178</v>
          </cell>
          <cell r="BM7">
            <v>4940</v>
          </cell>
          <cell r="BN7">
            <v>5.3719008264462742E-2</v>
          </cell>
          <cell r="BO7">
            <v>7.4702886247877798E-2</v>
          </cell>
          <cell r="BP7">
            <v>4.2698548249359591E-2</v>
          </cell>
          <cell r="BQ7">
            <v>3.6971830985915499E-2</v>
          </cell>
          <cell r="BR7">
            <v>5.2183173588924436E-2</v>
          </cell>
          <cell r="BS7">
            <v>0.1223591549295775</v>
          </cell>
          <cell r="BT7">
            <v>-7.058823529411784E-3</v>
          </cell>
          <cell r="BU7">
            <v>-3.5545023696682443E-2</v>
          </cell>
          <cell r="BV7">
            <v>-3.5217035217035231E-2</v>
          </cell>
          <cell r="BX7" t="str">
            <v>Marine Systems</v>
          </cell>
          <cell r="BY7">
            <v>1210</v>
          </cell>
          <cell r="BZ7">
            <v>1178</v>
          </cell>
          <cell r="CA7">
            <v>2388</v>
          </cell>
          <cell r="CB7">
            <v>1171</v>
          </cell>
          <cell r="CC7">
            <v>3559</v>
          </cell>
          <cell r="CD7">
            <v>1136</v>
          </cell>
          <cell r="CE7">
            <v>4695</v>
          </cell>
          <cell r="CF7">
            <v>-5.46875E-2</v>
          </cell>
          <cell r="CG7">
            <v>8.4961767204760896E-4</v>
          </cell>
          <cell r="CH7">
            <v>1.4731369150779994E-2</v>
          </cell>
          <cell r="CI7">
            <v>1.883408071748871E-2</v>
          </cell>
          <cell r="CJ7">
            <v>-6.5594583157003727E-3</v>
          </cell>
          <cell r="CK7">
            <v>8.5201793721973118E-2</v>
          </cell>
          <cell r="CL7">
            <v>-2.6446280991735516E-2</v>
          </cell>
          <cell r="CM7" t="str">
            <v>Combat Sys</v>
          </cell>
          <cell r="CN7">
            <v>573</v>
          </cell>
          <cell r="CO7">
            <v>687</v>
          </cell>
          <cell r="CP7" t="str">
            <v>Marine Systems</v>
          </cell>
          <cell r="CQ7">
            <v>1280</v>
          </cell>
          <cell r="CR7">
            <v>1177</v>
          </cell>
          <cell r="CS7">
            <v>2457</v>
          </cell>
          <cell r="CT7">
            <v>1154</v>
          </cell>
          <cell r="CU7">
            <v>3611</v>
          </cell>
          <cell r="CV7">
            <v>1115</v>
          </cell>
          <cell r="CW7">
            <v>4726</v>
          </cell>
          <cell r="CX7">
            <v>0.31147540983606548</v>
          </cell>
          <cell r="CY7">
            <v>0.19735503560529</v>
          </cell>
          <cell r="CZ7">
            <v>-3.0252100840336138E-2</v>
          </cell>
          <cell r="DA7">
            <v>-6.2388591800356386E-3</v>
          </cell>
          <cell r="DB7">
            <v>0.10653242800280971</v>
          </cell>
          <cell r="DC7">
            <v>0.14081996434937616</v>
          </cell>
          <cell r="DD7">
            <v>-8.0468749999999978E-2</v>
          </cell>
          <cell r="DE7" t="str">
            <v>Combat Sys</v>
          </cell>
          <cell r="DF7">
            <v>438</v>
          </cell>
          <cell r="DG7">
            <v>510</v>
          </cell>
          <cell r="DH7" t="str">
            <v>Marine Systems</v>
          </cell>
          <cell r="DI7">
            <v>976</v>
          </cell>
          <cell r="DJ7">
            <v>983</v>
          </cell>
          <cell r="DK7">
            <v>1959</v>
          </cell>
          <cell r="DL7">
            <v>1190</v>
          </cell>
          <cell r="DM7">
            <v>3149</v>
          </cell>
          <cell r="DN7">
            <v>1122</v>
          </cell>
          <cell r="DO7">
            <v>4271</v>
          </cell>
          <cell r="DP7">
            <v>0.12962962962962962</v>
          </cell>
          <cell r="DQ7">
            <v>7.3144104803493454E-2</v>
          </cell>
          <cell r="DR7">
            <v>0.37891077636152953</v>
          </cell>
          <cell r="DS7">
            <v>0.11420059582919563</v>
          </cell>
          <cell r="DT7">
            <v>0.17013698630136986</v>
          </cell>
          <cell r="DU7">
            <v>-3.0784508440913627E-2</v>
          </cell>
          <cell r="DV7">
            <v>7.1721311475410054E-3</v>
          </cell>
          <cell r="DW7">
            <v>0.21057985757884023</v>
          </cell>
          <cell r="DX7">
            <v>-5.7142857142857162E-2</v>
          </cell>
          <cell r="DZ7" t="str">
            <v>Marine Group</v>
          </cell>
          <cell r="EA7">
            <v>864</v>
          </cell>
          <cell r="EB7">
            <v>916</v>
          </cell>
          <cell r="EC7">
            <v>1780</v>
          </cell>
          <cell r="ED7">
            <v>863</v>
          </cell>
          <cell r="EE7">
            <v>2643</v>
          </cell>
          <cell r="EF7">
            <v>1007</v>
          </cell>
          <cell r="EG7">
            <v>3650</v>
          </cell>
          <cell r="EH7">
            <v>2.3201856148491878E-3</v>
          </cell>
          <cell r="EI7">
            <v>-3.2734952481520592E-2</v>
          </cell>
          <cell r="EJ7">
            <v>-5.3728070175438597E-2</v>
          </cell>
          <cell r="EK7">
            <v>0.13019079685746351</v>
          </cell>
          <cell r="EL7">
            <v>1.0520487264673311E-2</v>
          </cell>
          <cell r="EM7">
            <v>-3.0303030303030276E-2</v>
          </cell>
          <cell r="EN7">
            <v>6.0185185185185119E-2</v>
          </cell>
          <cell r="EO7">
            <v>-5.7860262008733621E-2</v>
          </cell>
          <cell r="EP7">
            <v>0.16685979142526075</v>
          </cell>
          <cell r="ER7" t="str">
            <v>Marine Group</v>
          </cell>
          <cell r="ES7">
            <v>862</v>
          </cell>
          <cell r="ET7">
            <v>947</v>
          </cell>
          <cell r="EU7">
            <v>1809</v>
          </cell>
          <cell r="EV7">
            <v>912</v>
          </cell>
          <cell r="EW7">
            <v>2721</v>
          </cell>
          <cell r="EX7">
            <v>891</v>
          </cell>
          <cell r="EY7">
            <v>3612</v>
          </cell>
          <cell r="EZ7">
            <v>1.8912529550827423E-2</v>
          </cell>
          <cell r="FA7">
            <v>0.10760233918128655</v>
          </cell>
          <cell r="FB7">
            <v>0.14285714285714285</v>
          </cell>
          <cell r="FC7">
            <v>-2.5164113785557989E-2</v>
          </cell>
          <cell r="FD7">
            <v>5.8306475241722826E-2</v>
          </cell>
          <cell r="FE7">
            <v>-5.6892778993435478E-2</v>
          </cell>
          <cell r="FF7">
            <v>9.8607888631090379E-2</v>
          </cell>
          <cell r="FG7">
            <v>-3.6958817317845782E-2</v>
          </cell>
          <cell r="FH7">
            <v>-2.3026315789473673E-2</v>
          </cell>
          <cell r="FJ7" t="str">
            <v>Marine Group</v>
          </cell>
          <cell r="FK7">
            <v>846</v>
          </cell>
          <cell r="FL7">
            <v>855</v>
          </cell>
          <cell r="FM7">
            <v>1701</v>
          </cell>
          <cell r="FN7">
            <v>798</v>
          </cell>
          <cell r="FO7">
            <v>2499</v>
          </cell>
          <cell r="FP7">
            <v>914</v>
          </cell>
          <cell r="FQ7">
            <v>3413</v>
          </cell>
          <cell r="FR7">
            <v>4.702970297029703E-2</v>
          </cell>
          <cell r="FS7">
            <v>0.11910994764397906</v>
          </cell>
          <cell r="FT7">
            <v>1.2690355329949238E-2</v>
          </cell>
          <cell r="FU7">
            <v>0.25549450549450547</v>
          </cell>
          <cell r="FV7">
            <v>0.1052461139896373</v>
          </cell>
          <cell r="FW7">
            <v>0.16208791208791218</v>
          </cell>
          <cell r="FX7">
            <v>1.0638297872340496E-2</v>
          </cell>
          <cell r="FY7">
            <v>-6.6666666666666652E-2</v>
          </cell>
          <cell r="FZ7">
            <v>0.14536340852130336</v>
          </cell>
          <cell r="GB7" t="str">
            <v>Marine Group</v>
          </cell>
          <cell r="GC7">
            <v>808</v>
          </cell>
          <cell r="GD7">
            <v>764</v>
          </cell>
          <cell r="GE7">
            <v>1572</v>
          </cell>
          <cell r="GF7">
            <v>788</v>
          </cell>
          <cell r="GG7">
            <v>2360</v>
          </cell>
          <cell r="GH7">
            <v>728</v>
          </cell>
          <cell r="GI7">
            <v>3088</v>
          </cell>
          <cell r="GJ7">
            <v>0.45585585585585586</v>
          </cell>
          <cell r="GK7">
            <v>0.23624595469255663</v>
          </cell>
          <cell r="GL7">
            <v>0.32659932659932661</v>
          </cell>
          <cell r="GM7">
            <v>-0.19021134593993325</v>
          </cell>
          <cell r="GN7">
            <v>0.15828957239309827</v>
          </cell>
          <cell r="GP7">
            <v>-5.4455445544554504E-2</v>
          </cell>
          <cell r="GQ7">
            <v>3.1413612565444948E-2</v>
          </cell>
          <cell r="GR7">
            <v>-7.6142131979695438E-2</v>
          </cell>
        </row>
        <row r="8">
          <cell r="B8" t="str">
            <v>Combat Systems</v>
          </cell>
          <cell r="C8">
            <v>2407</v>
          </cell>
          <cell r="D8">
            <v>2405</v>
          </cell>
          <cell r="E8">
            <v>4812</v>
          </cell>
          <cell r="F8">
            <v>2500</v>
          </cell>
          <cell r="G8">
            <v>7312</v>
          </cell>
          <cell r="H8">
            <v>2688</v>
          </cell>
          <cell r="I8">
            <v>10000</v>
          </cell>
          <cell r="J8">
            <v>0.20530796194291434</v>
          </cell>
          <cell r="K8">
            <v>0.19354838709677424</v>
          </cell>
          <cell r="L8">
            <v>0.35135135135135132</v>
          </cell>
          <cell r="M8">
            <v>0.15265866209262446</v>
          </cell>
          <cell r="N8">
            <v>0.22040517451794006</v>
          </cell>
          <cell r="O8">
            <v>3.2161234991423759E-2</v>
          </cell>
          <cell r="P8">
            <v>-8.3090984628164666E-4</v>
          </cell>
          <cell r="Q8">
            <v>3.9501039501039559E-2</v>
          </cell>
          <cell r="R8">
            <v>7.5199999999999934E-2</v>
          </cell>
          <cell r="U8" t="str">
            <v>Combat Systems</v>
          </cell>
          <cell r="V8">
            <v>1997</v>
          </cell>
          <cell r="W8">
            <v>2015</v>
          </cell>
          <cell r="X8">
            <v>4012</v>
          </cell>
          <cell r="Y8">
            <v>1850</v>
          </cell>
          <cell r="Z8">
            <v>5862</v>
          </cell>
          <cell r="AA8">
            <v>2332</v>
          </cell>
          <cell r="AB8">
            <v>8194</v>
          </cell>
          <cell r="AC8">
            <v>0.27359693877551017</v>
          </cell>
          <cell r="AD8">
            <v>0.17698598130841114</v>
          </cell>
          <cell r="AE8">
            <v>-1.175213675213671E-2</v>
          </cell>
          <cell r="AF8">
            <v>-0.11833648393194707</v>
          </cell>
          <cell r="AG8">
            <v>5.0917019366423011E-2</v>
          </cell>
          <cell r="AH8">
            <v>-0.24499054820415878</v>
          </cell>
          <cell r="AI8">
            <v>9.0135202804206838E-3</v>
          </cell>
          <cell r="AJ8">
            <v>-8.1885856079404462E-2</v>
          </cell>
          <cell r="AK8">
            <v>0.26054054054054054</v>
          </cell>
          <cell r="AN8" t="str">
            <v>Combat Systems</v>
          </cell>
          <cell r="AO8">
            <v>1568</v>
          </cell>
          <cell r="AP8">
            <v>1712</v>
          </cell>
          <cell r="AQ8">
            <v>3280</v>
          </cell>
          <cell r="AR8">
            <v>1872</v>
          </cell>
          <cell r="AS8">
            <v>5152</v>
          </cell>
          <cell r="AT8">
            <v>2645</v>
          </cell>
          <cell r="AU8">
            <v>7797</v>
          </cell>
          <cell r="AV8">
            <v>0.14536157779401027</v>
          </cell>
          <cell r="AW8">
            <v>0.18559556786703602</v>
          </cell>
          <cell r="AX8">
            <v>0.37142857142857144</v>
          </cell>
          <cell r="AY8">
            <v>0.46537396121883656</v>
          </cell>
          <cell r="AZ8">
            <v>0.30319237840548219</v>
          </cell>
          <cell r="BA8">
            <v>-0.13130193905817178</v>
          </cell>
          <cell r="BB8">
            <v>9.1836734693877542E-2</v>
          </cell>
          <cell r="BC8">
            <v>9.3457943925233655E-2</v>
          </cell>
          <cell r="BD8">
            <v>0.41292735042735051</v>
          </cell>
          <cell r="BF8" t="str">
            <v>Combat Systems</v>
          </cell>
          <cell r="BG8">
            <v>1369</v>
          </cell>
          <cell r="BH8">
            <v>1444</v>
          </cell>
          <cell r="BI8">
            <v>2813</v>
          </cell>
          <cell r="BJ8">
            <v>1365</v>
          </cell>
          <cell r="BK8">
            <v>4178</v>
          </cell>
          <cell r="BL8">
            <v>1805</v>
          </cell>
          <cell r="BM8">
            <v>5983</v>
          </cell>
          <cell r="BN8">
            <v>0.29517502365184489</v>
          </cell>
          <cell r="BO8">
            <v>0.29159212880143115</v>
          </cell>
          <cell r="BP8">
            <v>0.10080645161290325</v>
          </cell>
          <cell r="BQ8">
            <v>0.12391033623910341</v>
          </cell>
          <cell r="BR8">
            <v>0.19159529974108747</v>
          </cell>
          <cell r="BS8">
            <v>-0.1475716064757161</v>
          </cell>
          <cell r="BT8">
            <v>5.4784514243973792E-2</v>
          </cell>
          <cell r="BU8">
            <v>-5.4709141274238204E-2</v>
          </cell>
          <cell r="BV8">
            <v>0.32234432234432231</v>
          </cell>
          <cell r="BX8" t="str">
            <v>Combat Systems</v>
          </cell>
          <cell r="BY8">
            <v>1057</v>
          </cell>
          <cell r="BZ8">
            <v>1118</v>
          </cell>
          <cell r="CA8">
            <v>2175</v>
          </cell>
          <cell r="CB8">
            <v>1240</v>
          </cell>
          <cell r="CC8">
            <v>3415</v>
          </cell>
          <cell r="CD8">
            <v>1606</v>
          </cell>
          <cell r="CE8">
            <v>5021</v>
          </cell>
          <cell r="CF8">
            <v>-1.2149532710280408E-2</v>
          </cell>
          <cell r="CG8">
            <v>0.12024048096192375</v>
          </cell>
          <cell r="CH8">
            <v>0.20271580989330751</v>
          </cell>
          <cell r="CI8">
            <v>0.22782874617737003</v>
          </cell>
          <cell r="CJ8">
            <v>0.1393238030406172</v>
          </cell>
          <cell r="CK8">
            <v>-0.19189602446483178</v>
          </cell>
          <cell r="CL8">
            <v>5.7710501419110605E-2</v>
          </cell>
          <cell r="CM8" t="str">
            <v>Info Sys &amp; Tech</v>
          </cell>
          <cell r="CN8">
            <v>852</v>
          </cell>
          <cell r="CO8">
            <v>946</v>
          </cell>
          <cell r="CP8" t="str">
            <v>Combat Systems</v>
          </cell>
          <cell r="CQ8">
            <v>1070</v>
          </cell>
          <cell r="CR8">
            <v>998</v>
          </cell>
          <cell r="CS8">
            <v>2068</v>
          </cell>
          <cell r="CT8">
            <v>1031</v>
          </cell>
          <cell r="CU8">
            <v>3099</v>
          </cell>
          <cell r="CV8">
            <v>1308</v>
          </cell>
          <cell r="CW8">
            <v>4407</v>
          </cell>
          <cell r="CX8">
            <v>0.36653895274584936</v>
          </cell>
          <cell r="CY8">
            <v>1.9407558733401498E-2</v>
          </cell>
          <cell r="CZ8">
            <v>2.5870646766169125E-2</v>
          </cell>
          <cell r="DA8">
            <v>5.4838709677419439E-2</v>
          </cell>
          <cell r="DB8">
            <v>9.9825305714998702E-2</v>
          </cell>
          <cell r="DC8">
            <v>-0.13709677419354838</v>
          </cell>
          <cell r="DD8">
            <v>-6.7289719626168254E-2</v>
          </cell>
          <cell r="DE8" t="str">
            <v>Info Sys &amp; Tech</v>
          </cell>
          <cell r="DF8">
            <v>612</v>
          </cell>
          <cell r="DG8">
            <v>670</v>
          </cell>
          <cell r="DH8" t="str">
            <v>Combat Systems</v>
          </cell>
          <cell r="DI8">
            <v>783</v>
          </cell>
          <cell r="DJ8">
            <v>979</v>
          </cell>
          <cell r="DK8">
            <v>1762</v>
          </cell>
          <cell r="DL8">
            <v>1005</v>
          </cell>
          <cell r="DM8">
            <v>2767</v>
          </cell>
          <cell r="DN8">
            <v>1240</v>
          </cell>
          <cell r="DO8">
            <v>4007</v>
          </cell>
          <cell r="DP8">
            <v>0.36649214659685864</v>
          </cell>
          <cell r="DQ8">
            <v>0.42503639010189226</v>
          </cell>
          <cell r="DR8">
            <v>0.42149929278642151</v>
          </cell>
          <cell r="DS8">
            <v>0.51404151404151399</v>
          </cell>
          <cell r="DT8">
            <v>0.43826274228284279</v>
          </cell>
          <cell r="DU8">
            <v>-4.3956043956043911E-2</v>
          </cell>
          <cell r="DV8">
            <v>0.25031928480204346</v>
          </cell>
          <cell r="DW8">
            <v>2.6557711950970342E-2</v>
          </cell>
          <cell r="DX8">
            <v>0.23383084577114421</v>
          </cell>
          <cell r="DZ8" t="str">
            <v>Combat Sys</v>
          </cell>
          <cell r="EA8">
            <v>573</v>
          </cell>
          <cell r="EB8">
            <v>687</v>
          </cell>
          <cell r="EC8">
            <v>1260</v>
          </cell>
          <cell r="ED8">
            <v>707</v>
          </cell>
          <cell r="EE8">
            <v>1967</v>
          </cell>
          <cell r="EF8">
            <v>819</v>
          </cell>
          <cell r="EG8">
            <v>2786</v>
          </cell>
          <cell r="EH8">
            <v>0.30821917808219179</v>
          </cell>
          <cell r="EI8">
            <v>0.34705882352941175</v>
          </cell>
          <cell r="EJ8">
            <v>0.29724770642201837</v>
          </cell>
          <cell r="EK8">
            <v>0.14225941422594143</v>
          </cell>
          <cell r="EL8">
            <v>0.26063348416289595</v>
          </cell>
          <cell r="EM8">
            <v>-0.20083682008368198</v>
          </cell>
          <cell r="EN8">
            <v>0.19895287958115193</v>
          </cell>
          <cell r="EO8">
            <v>2.9112081513828159E-2</v>
          </cell>
          <cell r="EP8">
            <v>0.15841584158415833</v>
          </cell>
          <cell r="ER8" t="str">
            <v>Combat Sys</v>
          </cell>
          <cell r="ES8">
            <v>438</v>
          </cell>
          <cell r="ET8">
            <v>510</v>
          </cell>
          <cell r="EU8">
            <v>948</v>
          </cell>
          <cell r="EV8">
            <v>545</v>
          </cell>
          <cell r="EW8">
            <v>1493</v>
          </cell>
          <cell r="EX8">
            <v>717</v>
          </cell>
          <cell r="EY8">
            <v>2210</v>
          </cell>
          <cell r="EZ8">
            <v>0.39047619047619048</v>
          </cell>
          <cell r="FA8">
            <v>0.77083333333333337</v>
          </cell>
          <cell r="FB8">
            <v>0.82885906040268453</v>
          </cell>
          <cell r="FC8">
            <v>0.92741935483870963</v>
          </cell>
          <cell r="FD8">
            <v>0.7360565593087196</v>
          </cell>
          <cell r="FE8">
            <v>0.17741935483870974</v>
          </cell>
          <cell r="FF8">
            <v>0.16438356164383561</v>
          </cell>
          <cell r="FG8">
            <v>6.8627450980392135E-2</v>
          </cell>
          <cell r="FH8">
            <v>0.31559633027522938</v>
          </cell>
          <cell r="FJ8" t="str">
            <v>Combat Sys</v>
          </cell>
          <cell r="FK8">
            <v>315</v>
          </cell>
          <cell r="FL8">
            <v>288</v>
          </cell>
          <cell r="FM8">
            <v>603</v>
          </cell>
          <cell r="FN8">
            <v>298</v>
          </cell>
          <cell r="FO8">
            <v>901</v>
          </cell>
          <cell r="FP8">
            <v>372</v>
          </cell>
          <cell r="FQ8">
            <v>1273</v>
          </cell>
          <cell r="FR8">
            <v>8.6206896551724144E-2</v>
          </cell>
          <cell r="FS8">
            <v>-5.8823529411764705E-2</v>
          </cell>
          <cell r="FT8">
            <v>6.7567567567567571E-3</v>
          </cell>
          <cell r="FU8">
            <v>-6.5326633165829151E-2</v>
          </cell>
          <cell r="FV8">
            <v>-1.3178294573643411E-2</v>
          </cell>
          <cell r="FW8">
            <v>-0.20854271356783916</v>
          </cell>
          <cell r="FX8">
            <v>-8.5714285714285743E-2</v>
          </cell>
          <cell r="FY8">
            <v>3.4722222222222321E-2</v>
          </cell>
          <cell r="FZ8">
            <v>0.24832214765100669</v>
          </cell>
          <cell r="GB8" t="str">
            <v>Combat Sys</v>
          </cell>
          <cell r="GC8">
            <v>290</v>
          </cell>
          <cell r="GD8">
            <v>306</v>
          </cell>
          <cell r="GE8">
            <v>596</v>
          </cell>
          <cell r="GF8">
            <v>296</v>
          </cell>
          <cell r="GG8">
            <v>892</v>
          </cell>
          <cell r="GH8">
            <v>398</v>
          </cell>
          <cell r="GI8">
            <v>1290</v>
          </cell>
          <cell r="GJ8">
            <v>-0.13432835820895522</v>
          </cell>
          <cell r="GK8">
            <v>2.6845637583892617E-2</v>
          </cell>
          <cell r="GL8">
            <v>4.2253521126760563E-2</v>
          </cell>
          <cell r="GM8">
            <v>0.12112676056338029</v>
          </cell>
          <cell r="GN8">
            <v>1.4150943396226415E-2</v>
          </cell>
          <cell r="GP8">
            <v>5.5172413793103559E-2</v>
          </cell>
          <cell r="GQ8">
            <v>-3.2679738562091498E-2</v>
          </cell>
          <cell r="GR8">
            <v>0.34459459459459452</v>
          </cell>
        </row>
        <row r="9">
          <cell r="B9" t="str">
            <v>Info. Systems &amp; Tech.</v>
          </cell>
          <cell r="C9">
            <v>2733</v>
          </cell>
          <cell r="D9">
            <v>2655</v>
          </cell>
          <cell r="E9">
            <v>5388</v>
          </cell>
          <cell r="F9">
            <v>2650</v>
          </cell>
          <cell r="G9">
            <v>8038</v>
          </cell>
          <cell r="H9">
            <v>2762</v>
          </cell>
          <cell r="I9">
            <v>10800</v>
          </cell>
          <cell r="J9">
            <v>0.16248404934070604</v>
          </cell>
          <cell r="K9">
            <v>3.5087719298245723E-2</v>
          </cell>
          <cell r="L9">
            <v>5.4097056483691341E-2</v>
          </cell>
          <cell r="M9">
            <v>5.9049079754601275E-2</v>
          </cell>
          <cell r="N9">
            <v>7.5911536162582172E-2</v>
          </cell>
          <cell r="O9">
            <v>4.7929447852760765E-2</v>
          </cell>
          <cell r="P9">
            <v>-2.8540065861690445E-2</v>
          </cell>
          <cell r="Q9">
            <v>-1.8832391713747842E-3</v>
          </cell>
          <cell r="R9">
            <v>4.2264150943396306E-2</v>
          </cell>
          <cell r="U9" t="str">
            <v>Info. Systems &amp; Tech.</v>
          </cell>
          <cell r="V9">
            <v>2351</v>
          </cell>
          <cell r="W9">
            <v>2565</v>
          </cell>
          <cell r="X9">
            <v>4916</v>
          </cell>
          <cell r="Y9">
            <v>2514</v>
          </cell>
          <cell r="Z9">
            <v>7430</v>
          </cell>
          <cell r="AA9">
            <v>2608</v>
          </cell>
          <cell r="AB9">
            <v>10038</v>
          </cell>
          <cell r="AC9">
            <v>-1.2599748005039935E-2</v>
          </cell>
          <cell r="AD9">
            <v>6.9195498124218435E-2</v>
          </cell>
          <cell r="AE9">
            <v>4.7063723448563133E-2</v>
          </cell>
          <cell r="AF9">
            <v>6.841458418680868E-2</v>
          </cell>
          <cell r="AG9">
            <v>4.3234254832675179E-2</v>
          </cell>
          <cell r="AH9">
            <v>-3.6870135190495645E-2</v>
          </cell>
          <cell r="AI9">
            <v>9.1025095703955783E-2</v>
          </cell>
          <cell r="AJ9">
            <v>-1.9883040935672502E-2</v>
          </cell>
          <cell r="AK9">
            <v>3.7390612569610182E-2</v>
          </cell>
          <cell r="AN9" t="str">
            <v>Info. Systems &amp; Tech.</v>
          </cell>
          <cell r="AO9">
            <v>2381</v>
          </cell>
          <cell r="AP9">
            <v>2399</v>
          </cell>
          <cell r="AQ9">
            <v>4780</v>
          </cell>
          <cell r="AR9">
            <v>2401</v>
          </cell>
          <cell r="AS9">
            <v>7181</v>
          </cell>
          <cell r="AT9">
            <v>2441</v>
          </cell>
          <cell r="AU9">
            <v>9622</v>
          </cell>
          <cell r="AV9">
            <v>0.20679168778509882</v>
          </cell>
          <cell r="AW9">
            <v>0.11219286045433474</v>
          </cell>
          <cell r="AX9">
            <v>2.0868113522538589E-3</v>
          </cell>
          <cell r="AY9">
            <v>-2.2818254603682919E-2</v>
          </cell>
          <cell r="AZ9">
            <v>6.6267730496453847E-2</v>
          </cell>
          <cell r="BA9">
            <v>-4.6837469975980817E-2</v>
          </cell>
          <cell r="BB9">
            <v>7.5598488030239608E-3</v>
          </cell>
          <cell r="BC9">
            <v>8.3368070029177233E-4</v>
          </cell>
          <cell r="BD9">
            <v>1.6659725114535506E-2</v>
          </cell>
          <cell r="BF9" t="str">
            <v>Info. Systems &amp; Tech.</v>
          </cell>
          <cell r="BG9">
            <v>1973</v>
          </cell>
          <cell r="BH9">
            <v>2157</v>
          </cell>
          <cell r="BI9">
            <v>4130</v>
          </cell>
          <cell r="BJ9">
            <v>2396</v>
          </cell>
          <cell r="BK9">
            <v>6526</v>
          </cell>
          <cell r="BL9">
            <v>2498</v>
          </cell>
          <cell r="BM9">
            <v>9024</v>
          </cell>
          <cell r="BN9">
            <v>0.12614155251141557</v>
          </cell>
          <cell r="BO9">
            <v>7.1535022354694444E-2</v>
          </cell>
          <cell r="BP9">
            <v>0.2070528967254408</v>
          </cell>
          <cell r="BQ9">
            <v>0.2032755298651252</v>
          </cell>
          <cell r="BR9">
            <v>0.15307947866087401</v>
          </cell>
          <cell r="BS9">
            <v>-4.9614643545279336E-2</v>
          </cell>
          <cell r="BT9">
            <v>9.3258996452103338E-2</v>
          </cell>
          <cell r="BU9">
            <v>0.11080203987019011</v>
          </cell>
          <cell r="BV9">
            <v>4.257095158597668E-2</v>
          </cell>
          <cell r="BX9" t="str">
            <v>Info. Systems &amp; Tech.</v>
          </cell>
          <cell r="BY9">
            <v>1752</v>
          </cell>
          <cell r="BZ9">
            <v>2013</v>
          </cell>
          <cell r="CA9">
            <v>3765</v>
          </cell>
          <cell r="CB9">
            <v>1985</v>
          </cell>
          <cell r="CC9">
            <v>5750</v>
          </cell>
          <cell r="CD9">
            <v>2076</v>
          </cell>
          <cell r="CE9">
            <v>7826</v>
          </cell>
          <cell r="CF9">
            <v>6.6342057212416261E-2</v>
          </cell>
          <cell r="CG9">
            <v>0.2266910420475321</v>
          </cell>
          <cell r="CH9">
            <v>0.2484276729559749</v>
          </cell>
          <cell r="CI9">
            <v>0.12337662337662336</v>
          </cell>
          <cell r="CJ9">
            <v>0.16423683427551317</v>
          </cell>
          <cell r="CK9">
            <v>-5.1948051948051965E-2</v>
          </cell>
          <cell r="CL9">
            <v>0.14897260273972601</v>
          </cell>
          <cell r="CM9" t="str">
            <v>Gulfstream</v>
          </cell>
          <cell r="CN9">
            <v>763</v>
          </cell>
          <cell r="CO9">
            <v>880</v>
          </cell>
          <cell r="CP9" t="str">
            <v>Info. Systems &amp; Tech.</v>
          </cell>
          <cell r="CQ9">
            <v>1643</v>
          </cell>
          <cell r="CR9">
            <v>1641</v>
          </cell>
          <cell r="CS9">
            <v>3284</v>
          </cell>
          <cell r="CT9">
            <v>1590</v>
          </cell>
          <cell r="CU9">
            <v>4874</v>
          </cell>
          <cell r="CV9">
            <v>1848</v>
          </cell>
          <cell r="CW9">
            <v>6722</v>
          </cell>
          <cell r="CX9">
            <v>0.65458207452165151</v>
          </cell>
          <cell r="CY9">
            <v>0.42695652173913046</v>
          </cell>
          <cell r="CZ9">
            <v>0.24803767660910525</v>
          </cell>
          <cell r="DA9">
            <v>0.25543478260869557</v>
          </cell>
          <cell r="DB9">
            <v>0.38655115511551164</v>
          </cell>
          <cell r="DC9">
            <v>0.11616847826086962</v>
          </cell>
          <cell r="DD9">
            <v>-1.2172854534387989E-3</v>
          </cell>
          <cell r="DE9" t="str">
            <v>Gulfstream</v>
          </cell>
          <cell r="DF9">
            <v>712</v>
          </cell>
          <cell r="DG9">
            <v>765</v>
          </cell>
          <cell r="DH9" t="str">
            <v>Info. Systems &amp; Tech.</v>
          </cell>
          <cell r="DI9">
            <v>993</v>
          </cell>
          <cell r="DJ9">
            <v>1150</v>
          </cell>
          <cell r="DK9">
            <v>2143</v>
          </cell>
          <cell r="DL9">
            <v>1274</v>
          </cell>
          <cell r="DM9">
            <v>3417</v>
          </cell>
          <cell r="DN9">
            <v>1472</v>
          </cell>
          <cell r="DO9">
            <v>4848</v>
          </cell>
          <cell r="DP9">
            <v>0.16549295774647887</v>
          </cell>
          <cell r="DQ9">
            <v>0.21564482029598309</v>
          </cell>
          <cell r="DR9">
            <v>0.43146067415730338</v>
          </cell>
          <cell r="DS9">
            <v>0.50050968399592255</v>
          </cell>
          <cell r="DT9">
            <v>0.32134096484055602</v>
          </cell>
          <cell r="DU9">
            <v>1.2232415902140747E-2</v>
          </cell>
          <cell r="DV9">
            <v>0.15810674723061435</v>
          </cell>
          <cell r="DW9">
            <v>0.10782608695652174</v>
          </cell>
          <cell r="DX9">
            <v>0.15541601255886972</v>
          </cell>
          <cell r="DZ9" t="str">
            <v>Info Sys &amp; Tech</v>
          </cell>
          <cell r="EA9">
            <v>852</v>
          </cell>
          <cell r="EB9">
            <v>946</v>
          </cell>
          <cell r="EC9">
            <v>1798</v>
          </cell>
          <cell r="ED9">
            <v>890</v>
          </cell>
          <cell r="EE9">
            <v>2688</v>
          </cell>
          <cell r="EF9">
            <v>981</v>
          </cell>
          <cell r="EG9">
            <v>3669</v>
          </cell>
          <cell r="EH9">
            <v>0.39215686274509803</v>
          </cell>
          <cell r="EI9">
            <v>0.41194029850746267</v>
          </cell>
          <cell r="EJ9">
            <v>0.37557959814528591</v>
          </cell>
          <cell r="EK9">
            <v>0.2874015748031496</v>
          </cell>
          <cell r="EL9">
            <v>0.36343366778149389</v>
          </cell>
          <cell r="EM9">
            <v>0.11811023622047245</v>
          </cell>
          <cell r="EN9">
            <v>0.11032863849765251</v>
          </cell>
          <cell r="EO9">
            <v>-5.9196617336152224E-2</v>
          </cell>
          <cell r="EP9">
            <v>0.10224719101123592</v>
          </cell>
          <cell r="ER9" t="str">
            <v>Info Sys &amp; Tech</v>
          </cell>
          <cell r="ES9">
            <v>612</v>
          </cell>
          <cell r="ET9">
            <v>670</v>
          </cell>
          <cell r="EU9">
            <v>1282</v>
          </cell>
          <cell r="EV9">
            <v>647</v>
          </cell>
          <cell r="EW9">
            <v>1929</v>
          </cell>
          <cell r="EX9">
            <v>762</v>
          </cell>
          <cell r="EY9">
            <v>2691</v>
          </cell>
          <cell r="EZ9">
            <v>9.9009900990099011E-3</v>
          </cell>
          <cell r="FA9">
            <v>0.13559322033898305</v>
          </cell>
          <cell r="FB9">
            <v>8.557046979865772E-2</v>
          </cell>
          <cell r="FC9">
            <v>0.39816513761467892</v>
          </cell>
          <cell r="FD9">
            <v>0.1514762516046213</v>
          </cell>
          <cell r="FE9">
            <v>0.12293577981651382</v>
          </cell>
          <cell r="FF9">
            <v>9.4771241830065467E-2</v>
          </cell>
          <cell r="FG9">
            <v>-3.432835820895519E-2</v>
          </cell>
          <cell r="FH9">
            <v>0.17774343122101999</v>
          </cell>
          <cell r="FJ9" t="str">
            <v>Info Sys &amp; Tech</v>
          </cell>
          <cell r="FK9">
            <v>606</v>
          </cell>
          <cell r="FL9">
            <v>590</v>
          </cell>
          <cell r="FM9">
            <v>1196</v>
          </cell>
          <cell r="FN9">
            <v>596</v>
          </cell>
          <cell r="FO9">
            <v>1792</v>
          </cell>
          <cell r="FP9">
            <v>545</v>
          </cell>
          <cell r="FQ9">
            <v>2337</v>
          </cell>
          <cell r="FR9">
            <v>1.6008583690987124</v>
          </cell>
          <cell r="FS9">
            <v>1.4279835390946503</v>
          </cell>
          <cell r="FT9">
            <v>0.68361581920903958</v>
          </cell>
          <cell r="FU9">
            <v>-7.9391891891891886E-2</v>
          </cell>
          <cell r="FV9">
            <v>0.64345991561181437</v>
          </cell>
          <cell r="FW9">
            <v>2.3648648648648685E-2</v>
          </cell>
          <cell r="FX9">
            <v>-2.6402640264026389E-2</v>
          </cell>
          <cell r="FY9">
            <v>1.0169491525423791E-2</v>
          </cell>
          <cell r="FZ9">
            <v>-8.5570469798657678E-2</v>
          </cell>
          <cell r="GB9" t="str">
            <v>Info Sys &amp; Tech</v>
          </cell>
          <cell r="GC9">
            <v>233</v>
          </cell>
          <cell r="GD9">
            <v>243</v>
          </cell>
          <cell r="GE9">
            <v>476</v>
          </cell>
          <cell r="GF9">
            <v>354</v>
          </cell>
          <cell r="GG9">
            <v>830</v>
          </cell>
          <cell r="GH9">
            <v>592</v>
          </cell>
          <cell r="GI9">
            <v>1422</v>
          </cell>
          <cell r="GJ9">
            <v>6.8807339449541288E-2</v>
          </cell>
          <cell r="GK9">
            <v>0.23979591836734693</v>
          </cell>
          <cell r="GL9">
            <v>0.5663716814159292</v>
          </cell>
          <cell r="GM9">
            <v>1.0204778156996588</v>
          </cell>
          <cell r="GN9">
            <v>0.52411575562700963</v>
          </cell>
          <cell r="GP9">
            <v>4.2918454935622297E-2</v>
          </cell>
          <cell r="GQ9">
            <v>0.45679012345679015</v>
          </cell>
          <cell r="GR9">
            <v>0.67231638418079087</v>
          </cell>
        </row>
        <row r="10">
          <cell r="B10" t="str">
            <v>Aerospace</v>
          </cell>
          <cell r="C10">
            <v>1455</v>
          </cell>
          <cell r="D10">
            <v>1415</v>
          </cell>
          <cell r="E10">
            <v>2870</v>
          </cell>
          <cell r="F10">
            <v>1000</v>
          </cell>
          <cell r="G10">
            <v>3870</v>
          </cell>
          <cell r="H10">
            <v>1380</v>
          </cell>
          <cell r="I10">
            <v>5250</v>
          </cell>
          <cell r="J10">
            <v>0.13760750586395631</v>
          </cell>
          <cell r="K10">
            <v>6.4710308502633485E-2</v>
          </cell>
          <cell r="L10">
            <v>-0.2711370262390671</v>
          </cell>
          <cell r="M10">
            <v>-9.9216710182767676E-2</v>
          </cell>
          <cell r="N10">
            <v>-4.7532656023222097E-2</v>
          </cell>
          <cell r="O10">
            <v>-5.0261096605744071E-2</v>
          </cell>
          <cell r="P10">
            <v>-2.7491408934707917E-2</v>
          </cell>
          <cell r="Q10">
            <v>-0.29328621908127206</v>
          </cell>
          <cell r="R10">
            <v>0.37999999999999989</v>
          </cell>
          <cell r="U10" t="str">
            <v>Aerospace</v>
          </cell>
          <cell r="V10">
            <v>1279</v>
          </cell>
          <cell r="W10">
            <v>1329</v>
          </cell>
          <cell r="X10">
            <v>2608</v>
          </cell>
          <cell r="Y10">
            <v>1372</v>
          </cell>
          <cell r="Z10">
            <v>3980</v>
          </cell>
          <cell r="AA10">
            <v>1532</v>
          </cell>
          <cell r="AB10">
            <v>5512</v>
          </cell>
          <cell r="AC10">
            <v>0.16910420475319921</v>
          </cell>
          <cell r="AD10">
            <v>0.10016556291390732</v>
          </cell>
          <cell r="AE10">
            <v>4.3346007604562642E-2</v>
          </cell>
          <cell r="AF10">
            <v>0.26507018992568132</v>
          </cell>
          <cell r="AG10">
            <v>0.14167357083678533</v>
          </cell>
          <cell r="AH10">
            <v>5.6151940545004164E-2</v>
          </cell>
          <cell r="AI10">
            <v>3.909304143862391E-2</v>
          </cell>
          <cell r="AJ10">
            <v>3.2355154251316742E-2</v>
          </cell>
          <cell r="AK10">
            <v>0.11661807580174921</v>
          </cell>
          <cell r="AN10" t="str">
            <v>Aerospace</v>
          </cell>
          <cell r="AO10">
            <v>1094</v>
          </cell>
          <cell r="AP10">
            <v>1208</v>
          </cell>
          <cell r="AQ10">
            <v>2302</v>
          </cell>
          <cell r="AR10">
            <v>1315</v>
          </cell>
          <cell r="AS10">
            <v>3617</v>
          </cell>
          <cell r="AT10">
            <v>1211</v>
          </cell>
          <cell r="AU10">
            <v>4828</v>
          </cell>
          <cell r="AV10">
            <v>0.17761033369214219</v>
          </cell>
          <cell r="AW10">
            <v>0.13214620431115276</v>
          </cell>
          <cell r="AX10">
            <v>0.20975160993560249</v>
          </cell>
          <cell r="AY10">
            <v>0.17231364956437556</v>
          </cell>
          <cell r="AZ10">
            <v>0.17298347910592815</v>
          </cell>
          <cell r="BA10">
            <v>5.9051306873184828E-2</v>
          </cell>
          <cell r="BB10">
            <v>0.1042047531992687</v>
          </cell>
          <cell r="BC10">
            <v>8.8576158940397276E-2</v>
          </cell>
          <cell r="BD10">
            <v>-7.9087452471482855E-2</v>
          </cell>
          <cell r="BF10" t="str">
            <v>Aerospace</v>
          </cell>
          <cell r="BG10">
            <v>929</v>
          </cell>
          <cell r="BH10">
            <v>1067</v>
          </cell>
          <cell r="BI10">
            <v>1996</v>
          </cell>
          <cell r="BJ10">
            <v>1087</v>
          </cell>
          <cell r="BK10">
            <v>3083</v>
          </cell>
          <cell r="BL10">
            <v>1033</v>
          </cell>
          <cell r="BM10">
            <v>4116</v>
          </cell>
          <cell r="BN10">
            <v>0.23373173970783534</v>
          </cell>
          <cell r="BO10">
            <v>0.28864734299516903</v>
          </cell>
          <cell r="BP10">
            <v>0.19977924944812364</v>
          </cell>
          <cell r="BQ10">
            <v>9.1966173361522241E-2</v>
          </cell>
          <cell r="BR10">
            <v>0.19895135450043688</v>
          </cell>
          <cell r="BS10">
            <v>-1.7970401691331905E-2</v>
          </cell>
          <cell r="BT10">
            <v>0.14854682454251877</v>
          </cell>
          <cell r="BU10">
            <v>1.8744142455482615E-2</v>
          </cell>
          <cell r="BV10">
            <v>-4.9678012879484812E-2</v>
          </cell>
          <cell r="BX10" t="str">
            <v>Aerospace</v>
          </cell>
          <cell r="BY10">
            <v>753</v>
          </cell>
          <cell r="BZ10">
            <v>828</v>
          </cell>
          <cell r="CA10">
            <v>1581</v>
          </cell>
          <cell r="CB10">
            <v>906</v>
          </cell>
          <cell r="CC10">
            <v>2487</v>
          </cell>
          <cell r="CD10">
            <v>946</v>
          </cell>
          <cell r="CE10">
            <v>3433</v>
          </cell>
          <cell r="CF10">
            <v>0.24257425742574257</v>
          </cell>
          <cell r="CG10">
            <v>7.3929961089494123E-2</v>
          </cell>
          <cell r="CH10">
            <v>0.13533834586466176</v>
          </cell>
          <cell r="CI10">
            <v>0.13022700119474306</v>
          </cell>
          <cell r="CJ10">
            <v>0.1397742363877823</v>
          </cell>
          <cell r="CK10">
            <v>-0.10035842293906805</v>
          </cell>
          <cell r="CL10">
            <v>9.960159362549792E-2</v>
          </cell>
          <cell r="CM10" t="str">
            <v>Other</v>
          </cell>
          <cell r="CN10">
            <v>50</v>
          </cell>
          <cell r="CO10">
            <v>77</v>
          </cell>
          <cell r="CP10" t="str">
            <v>Aerospace</v>
          </cell>
          <cell r="CQ10">
            <v>606</v>
          </cell>
          <cell r="CR10">
            <v>771</v>
          </cell>
          <cell r="CS10">
            <v>1377</v>
          </cell>
          <cell r="CT10">
            <v>798</v>
          </cell>
          <cell r="CU10">
            <v>2175</v>
          </cell>
          <cell r="CV10">
            <v>837</v>
          </cell>
          <cell r="CW10">
            <v>3012</v>
          </cell>
          <cell r="CX10">
            <v>2.020202020202011E-2</v>
          </cell>
          <cell r="CY10">
            <v>7.8321678321678245E-2</v>
          </cell>
          <cell r="CZ10">
            <v>-1.2376237623762387E-2</v>
          </cell>
          <cell r="DA10">
            <v>9.6501809408926498E-3</v>
          </cell>
          <cell r="DB10">
            <v>2.2403258655804503E-2</v>
          </cell>
          <cell r="DC10">
            <v>-0.26899879372738233</v>
          </cell>
          <cell r="DD10">
            <v>0.2722772277227723</v>
          </cell>
          <cell r="DE10" t="str">
            <v>Other</v>
          </cell>
          <cell r="DF10">
            <v>49</v>
          </cell>
          <cell r="DG10">
            <v>70</v>
          </cell>
          <cell r="DH10" t="str">
            <v>Aerospace</v>
          </cell>
          <cell r="DI10">
            <v>594</v>
          </cell>
          <cell r="DJ10">
            <v>715</v>
          </cell>
          <cell r="DK10">
            <v>1309</v>
          </cell>
          <cell r="DL10">
            <v>808</v>
          </cell>
          <cell r="DM10">
            <v>2117</v>
          </cell>
          <cell r="DN10">
            <v>829</v>
          </cell>
          <cell r="DO10">
            <v>2946</v>
          </cell>
          <cell r="DP10">
            <v>-0.22149410222804719</v>
          </cell>
          <cell r="DQ10">
            <v>-0.1875</v>
          </cell>
          <cell r="DR10">
            <v>9.336941813261164E-2</v>
          </cell>
          <cell r="DS10">
            <v>-8.5997794928335175E-2</v>
          </cell>
          <cell r="DT10">
            <v>-0.10428701733049558</v>
          </cell>
          <cell r="DU10">
            <v>-0.34509371554575519</v>
          </cell>
          <cell r="DV10">
            <v>0.20370370370370372</v>
          </cell>
          <cell r="DW10">
            <v>0.13006993006993017</v>
          </cell>
          <cell r="DX10">
            <v>2.5990099009900902E-2</v>
          </cell>
          <cell r="DZ10" t="str">
            <v>Gulfstream</v>
          </cell>
          <cell r="EA10">
            <v>763</v>
          </cell>
          <cell r="EB10">
            <v>880</v>
          </cell>
          <cell r="EC10">
            <v>1643</v>
          </cell>
          <cell r="ED10">
            <v>739</v>
          </cell>
          <cell r="EE10">
            <v>2382</v>
          </cell>
          <cell r="EF10">
            <v>907</v>
          </cell>
          <cell r="EG10">
            <v>3289</v>
          </cell>
          <cell r="EH10">
            <v>7.1629213483146062E-2</v>
          </cell>
          <cell r="EI10">
            <v>0.15032679738562091</v>
          </cell>
          <cell r="EJ10">
            <v>-0.11813842482100238</v>
          </cell>
          <cell r="EK10">
            <v>-4.5263157894736845E-2</v>
          </cell>
          <cell r="EL10">
            <v>7.3506891271056659E-3</v>
          </cell>
          <cell r="EM10">
            <v>-0.19684210526315793</v>
          </cell>
          <cell r="EN10">
            <v>0.15334207077326334</v>
          </cell>
          <cell r="EO10">
            <v>-0.16022727272727277</v>
          </cell>
          <cell r="EP10">
            <v>0.22733423545331521</v>
          </cell>
          <cell r="ER10" t="str">
            <v>Gulfstream</v>
          </cell>
          <cell r="ES10">
            <v>712</v>
          </cell>
          <cell r="ET10">
            <v>765</v>
          </cell>
          <cell r="EU10">
            <v>1477</v>
          </cell>
          <cell r="EV10">
            <v>838</v>
          </cell>
          <cell r="EW10">
            <v>2315</v>
          </cell>
          <cell r="EX10">
            <v>950</v>
          </cell>
          <cell r="EY10">
            <v>3265</v>
          </cell>
          <cell r="EZ10">
            <v>-2.4657534246575342E-2</v>
          </cell>
          <cell r="FA10">
            <v>-6.8209500609013402E-2</v>
          </cell>
          <cell r="FB10">
            <v>0.1432469304229195</v>
          </cell>
          <cell r="FC10">
            <v>0.27516778523489932</v>
          </cell>
          <cell r="FD10">
            <v>7.7913502806206666E-2</v>
          </cell>
          <cell r="FE10">
            <v>-4.4295302013422799E-2</v>
          </cell>
          <cell r="FF10">
            <v>7.4438202247190999E-2</v>
          </cell>
          <cell r="FG10">
            <v>9.5424836601307295E-2</v>
          </cell>
          <cell r="FH10">
            <v>0.13365155131264927</v>
          </cell>
          <cell r="FJ10" t="str">
            <v>Gulfstream</v>
          </cell>
          <cell r="FK10">
            <v>730</v>
          </cell>
          <cell r="FL10">
            <v>821</v>
          </cell>
          <cell r="FM10">
            <v>1551</v>
          </cell>
          <cell r="FN10">
            <v>733</v>
          </cell>
          <cell r="FO10">
            <v>2284</v>
          </cell>
          <cell r="FP10">
            <v>745</v>
          </cell>
          <cell r="FQ10">
            <v>3029</v>
          </cell>
          <cell r="FR10">
            <v>0.16781314989601659</v>
          </cell>
          <cell r="FS10">
            <v>0.1599321842328342</v>
          </cell>
          <cell r="FT10">
            <v>4.1193181818181816E-2</v>
          </cell>
          <cell r="FU10">
            <v>-0.14574016741199394</v>
          </cell>
          <cell r="FV10">
            <v>4.1251289102784465E-2</v>
          </cell>
          <cell r="FW10">
            <v>-0.16294002981309474</v>
          </cell>
          <cell r="FX10">
            <v>0.12465753424657544</v>
          </cell>
          <cell r="FY10">
            <v>-0.1071863580998782</v>
          </cell>
          <cell r="FZ10">
            <v>1.6371077762619368E-2</v>
          </cell>
          <cell r="GB10" t="str">
            <v>Gulfstream</v>
          </cell>
          <cell r="GC10">
            <v>625.1</v>
          </cell>
          <cell r="GD10">
            <v>707.8</v>
          </cell>
          <cell r="GE10">
            <v>1332.9</v>
          </cell>
          <cell r="GF10">
            <v>704</v>
          </cell>
          <cell r="GG10">
            <v>2036.9</v>
          </cell>
          <cell r="GH10">
            <v>872.09999999999991</v>
          </cell>
          <cell r="GI10">
            <v>2909</v>
          </cell>
          <cell r="GJ10">
            <v>0.24175605880015902</v>
          </cell>
          <cell r="GK10">
            <v>0.27073608617594247</v>
          </cell>
          <cell r="GL10">
            <v>0.12424145640370481</v>
          </cell>
          <cell r="GM10">
            <v>0.17628810358780694</v>
          </cell>
          <cell r="GN10">
            <v>0.19810543657331137</v>
          </cell>
          <cell r="GP10">
            <v>0.1322988321868499</v>
          </cell>
          <cell r="GQ10">
            <v>-5.3687482339643822E-3</v>
          </cell>
          <cell r="GR10">
            <v>0.23877840909090886</v>
          </cell>
        </row>
        <row r="11">
          <cell r="B11" t="str">
            <v>Resources</v>
          </cell>
          <cell r="C11">
            <v>0</v>
          </cell>
          <cell r="D11">
            <v>0</v>
          </cell>
          <cell r="E11">
            <v>0</v>
          </cell>
          <cell r="F11">
            <v>0</v>
          </cell>
          <cell r="G11">
            <v>0</v>
          </cell>
          <cell r="H11">
            <v>0</v>
          </cell>
          <cell r="I11">
            <v>0</v>
          </cell>
          <cell r="J11" t="str">
            <v>NA</v>
          </cell>
          <cell r="K11" t="str">
            <v>NA</v>
          </cell>
          <cell r="L11" t="str">
            <v>NA</v>
          </cell>
          <cell r="M11" t="str">
            <v>NA</v>
          </cell>
          <cell r="N11" t="str">
            <v>NA</v>
          </cell>
          <cell r="O11" t="str">
            <v>NA</v>
          </cell>
          <cell r="P11" t="str">
            <v>NA</v>
          </cell>
          <cell r="Q11" t="str">
            <v>NA</v>
          </cell>
          <cell r="R11" t="str">
            <v>NA</v>
          </cell>
          <cell r="U11" t="str">
            <v>Resources</v>
          </cell>
          <cell r="V11">
            <v>0</v>
          </cell>
          <cell r="W11">
            <v>0</v>
          </cell>
          <cell r="X11">
            <v>0</v>
          </cell>
          <cell r="Y11">
            <v>0</v>
          </cell>
          <cell r="Z11">
            <v>0</v>
          </cell>
          <cell r="AA11">
            <v>0</v>
          </cell>
          <cell r="AB11">
            <v>0</v>
          </cell>
          <cell r="AN11" t="str">
            <v>Resources</v>
          </cell>
          <cell r="AO11">
            <v>0</v>
          </cell>
          <cell r="AP11">
            <v>0</v>
          </cell>
          <cell r="AQ11">
            <v>0</v>
          </cell>
          <cell r="AR11">
            <v>0</v>
          </cell>
          <cell r="AS11">
            <v>0</v>
          </cell>
          <cell r="AT11">
            <v>0</v>
          </cell>
          <cell r="AU11">
            <v>0</v>
          </cell>
          <cell r="BF11" t="str">
            <v>Resources</v>
          </cell>
          <cell r="BG11">
            <v>0</v>
          </cell>
          <cell r="BH11">
            <v>0</v>
          </cell>
          <cell r="BI11">
            <v>0</v>
          </cell>
          <cell r="BJ11">
            <v>0</v>
          </cell>
          <cell r="BK11">
            <v>0</v>
          </cell>
          <cell r="BL11">
            <v>0</v>
          </cell>
          <cell r="BM11">
            <v>0</v>
          </cell>
          <cell r="BX11" t="str">
            <v>Resources</v>
          </cell>
          <cell r="BY11">
            <v>0</v>
          </cell>
          <cell r="BZ11">
            <v>0</v>
          </cell>
          <cell r="CA11">
            <v>0</v>
          </cell>
          <cell r="CB11">
            <v>0</v>
          </cell>
          <cell r="CC11">
            <v>0</v>
          </cell>
          <cell r="CD11">
            <v>0</v>
          </cell>
          <cell r="CE11">
            <v>0</v>
          </cell>
          <cell r="CM11" t="str">
            <v xml:space="preserve"> Total Revs.</v>
          </cell>
          <cell r="CN11">
            <v>3102</v>
          </cell>
          <cell r="CO11">
            <v>3506</v>
          </cell>
          <cell r="CP11" t="str">
            <v>Resources</v>
          </cell>
          <cell r="CQ11">
            <v>47</v>
          </cell>
          <cell r="CR11">
            <v>65</v>
          </cell>
          <cell r="CS11">
            <v>112</v>
          </cell>
          <cell r="CT11">
            <v>74</v>
          </cell>
          <cell r="CU11">
            <v>186</v>
          </cell>
          <cell r="CV11">
            <v>-185</v>
          </cell>
          <cell r="CW11">
            <v>1</v>
          </cell>
          <cell r="CX11">
            <v>0.14634146341463405</v>
          </cell>
          <cell r="CY11">
            <v>-5.7971014492753659E-2</v>
          </cell>
          <cell r="CZ11">
            <v>-5.1282051282051322E-2</v>
          </cell>
          <cell r="DA11">
            <v>-3.7205882352941178</v>
          </cell>
          <cell r="DB11">
            <v>-0.99609375</v>
          </cell>
          <cell r="DC11">
            <v>-0.30882352941176472</v>
          </cell>
          <cell r="DD11">
            <v>0.38297872340425543</v>
          </cell>
          <cell r="DE11" t="str">
            <v xml:space="preserve"> Total Revs.</v>
          </cell>
          <cell r="DF11">
            <v>2673</v>
          </cell>
          <cell r="DG11">
            <v>2962</v>
          </cell>
          <cell r="DH11" t="str">
            <v>Resources</v>
          </cell>
          <cell r="DI11">
            <v>41</v>
          </cell>
          <cell r="DJ11">
            <v>69</v>
          </cell>
          <cell r="DK11">
            <v>110</v>
          </cell>
          <cell r="DL11">
            <v>78</v>
          </cell>
          <cell r="DM11">
            <v>188</v>
          </cell>
          <cell r="DN11">
            <v>68</v>
          </cell>
          <cell r="DO11">
            <v>256</v>
          </cell>
          <cell r="DP11">
            <v>-0.18</v>
          </cell>
          <cell r="DQ11">
            <v>-0.1038961038961039</v>
          </cell>
          <cell r="DR11">
            <v>-8.2352941176470587E-2</v>
          </cell>
          <cell r="DS11">
            <v>-8.1081081081081086E-2</v>
          </cell>
          <cell r="DT11">
            <v>-0.1048951048951049</v>
          </cell>
          <cell r="DU11">
            <v>-0.44594594594594594</v>
          </cell>
          <cell r="DV11">
            <v>0.68292682926829262</v>
          </cell>
          <cell r="DW11">
            <v>0.13043478260869557</v>
          </cell>
          <cell r="DX11">
            <v>-0.12820512820512819</v>
          </cell>
          <cell r="DZ11" t="str">
            <v>Other</v>
          </cell>
          <cell r="EA11">
            <v>50</v>
          </cell>
          <cell r="EB11">
            <v>77</v>
          </cell>
          <cell r="EC11">
            <v>127</v>
          </cell>
          <cell r="ED11">
            <v>85</v>
          </cell>
          <cell r="EE11">
            <v>212</v>
          </cell>
          <cell r="EF11">
            <v>74</v>
          </cell>
          <cell r="EG11">
            <v>286</v>
          </cell>
          <cell r="EH11">
            <v>2.0408163265306121E-2</v>
          </cell>
          <cell r="EI11">
            <v>0.1</v>
          </cell>
          <cell r="EJ11">
            <v>8.9743589743589744E-2</v>
          </cell>
          <cell r="EK11">
            <v>-6.3291139240506333E-2</v>
          </cell>
          <cell r="EL11">
            <v>3.6231884057971016E-2</v>
          </cell>
          <cell r="EM11">
            <v>-0.36708860759493667</v>
          </cell>
          <cell r="EN11">
            <v>0.54</v>
          </cell>
          <cell r="EO11">
            <v>0.10389610389610393</v>
          </cell>
          <cell r="EP11">
            <v>-0.12941176470588234</v>
          </cell>
          <cell r="ER11" t="str">
            <v>Other</v>
          </cell>
          <cell r="ES11">
            <v>49</v>
          </cell>
          <cell r="ET11">
            <v>70</v>
          </cell>
          <cell r="EU11">
            <v>119</v>
          </cell>
          <cell r="EV11">
            <v>78</v>
          </cell>
          <cell r="EW11">
            <v>197</v>
          </cell>
          <cell r="EX11">
            <v>79</v>
          </cell>
          <cell r="EY11">
            <v>276</v>
          </cell>
          <cell r="EZ11">
            <v>0</v>
          </cell>
          <cell r="FA11">
            <v>0.1111111111111111</v>
          </cell>
          <cell r="FB11">
            <v>1.2987012987012988E-2</v>
          </cell>
          <cell r="FC11">
            <v>0.234375</v>
          </cell>
          <cell r="FD11">
            <v>9.0909090909090912E-2</v>
          </cell>
          <cell r="FE11">
            <v>-0.234375</v>
          </cell>
          <cell r="FF11">
            <v>0.4285714285714286</v>
          </cell>
          <cell r="FG11">
            <v>0.11428571428571432</v>
          </cell>
          <cell r="FH11">
            <v>1.2820512820512775E-2</v>
          </cell>
          <cell r="FJ11" t="str">
            <v>Other</v>
          </cell>
          <cell r="FK11">
            <v>49</v>
          </cell>
          <cell r="FL11">
            <v>63</v>
          </cell>
          <cell r="FM11">
            <v>112</v>
          </cell>
          <cell r="FN11">
            <v>77</v>
          </cell>
          <cell r="FO11">
            <v>189</v>
          </cell>
          <cell r="FP11">
            <v>64</v>
          </cell>
          <cell r="FQ11">
            <v>253</v>
          </cell>
          <cell r="FR11">
            <v>6.5217391304347824E-2</v>
          </cell>
          <cell r="FS11">
            <v>-4.5454545454545456E-2</v>
          </cell>
          <cell r="FT11">
            <v>5.4794520547945202E-2</v>
          </cell>
          <cell r="FU11">
            <v>-1.5384615384615385E-2</v>
          </cell>
          <cell r="FV11">
            <v>1.2E-2</v>
          </cell>
          <cell r="FW11">
            <v>-0.24615384615384617</v>
          </cell>
          <cell r="FX11">
            <v>0.28571428571428581</v>
          </cell>
          <cell r="FY11">
            <v>0.22222222222222232</v>
          </cell>
          <cell r="FZ11">
            <v>-0.16883116883116878</v>
          </cell>
          <cell r="GB11" t="str">
            <v>Other</v>
          </cell>
          <cell r="GC11">
            <v>46</v>
          </cell>
          <cell r="GD11">
            <v>66</v>
          </cell>
          <cell r="GE11">
            <v>112</v>
          </cell>
          <cell r="GF11">
            <v>73</v>
          </cell>
          <cell r="GG11">
            <v>185</v>
          </cell>
          <cell r="GH11">
            <v>65</v>
          </cell>
          <cell r="GI11">
            <v>250</v>
          </cell>
          <cell r="GJ11">
            <v>0</v>
          </cell>
          <cell r="GK11">
            <v>0</v>
          </cell>
          <cell r="GL11">
            <v>7.3529411764705885E-2</v>
          </cell>
          <cell r="GM11">
            <v>0.16071428571428573</v>
          </cell>
          <cell r="GN11">
            <v>5.9322033898305086E-2</v>
          </cell>
          <cell r="GP11">
            <v>0.43478260869565211</v>
          </cell>
          <cell r="GQ11">
            <v>0.10606060606060597</v>
          </cell>
          <cell r="GR11">
            <v>-0.1095890410958904</v>
          </cell>
        </row>
        <row r="12">
          <cell r="B12" t="str">
            <v>Total</v>
          </cell>
          <cell r="C12">
            <v>8264</v>
          </cell>
          <cell r="D12">
            <v>8100</v>
          </cell>
          <cell r="E12">
            <v>16364</v>
          </cell>
          <cell r="F12">
            <v>7700</v>
          </cell>
          <cell r="G12">
            <v>24064</v>
          </cell>
          <cell r="H12">
            <v>8436</v>
          </cell>
          <cell r="I12">
            <v>32500</v>
          </cell>
          <cell r="J12">
            <v>0.17972876516773728</v>
          </cell>
          <cell r="K12">
            <v>0.10913323291797883</v>
          </cell>
          <cell r="L12">
            <v>7.8431372549019551E-2</v>
          </cell>
          <cell r="M12">
            <v>7.4375955170657093E-2</v>
          </cell>
          <cell r="N12">
            <v>0.19309838472834073</v>
          </cell>
          <cell r="O12">
            <v>5.2470708099847219E-2</v>
          </cell>
          <cell r="P12">
            <v>-1.9845111326234233E-2</v>
          </cell>
          <cell r="Q12">
            <v>-4.9382716049382713E-2</v>
          </cell>
          <cell r="R12">
            <v>9.5584415584415661E-2</v>
          </cell>
          <cell r="U12" t="str">
            <v>Total</v>
          </cell>
          <cell r="V12">
            <v>7005</v>
          </cell>
          <cell r="W12">
            <v>7303</v>
          </cell>
          <cell r="X12">
            <v>14308</v>
          </cell>
          <cell r="Y12">
            <v>7140</v>
          </cell>
          <cell r="Z12">
            <v>21448</v>
          </cell>
          <cell r="AA12">
            <v>7852</v>
          </cell>
          <cell r="AB12">
            <v>27240</v>
          </cell>
          <cell r="AC12">
            <v>0.11190476190476195</v>
          </cell>
          <cell r="AD12">
            <v>0.10802609619177672</v>
          </cell>
          <cell r="AE12">
            <v>4.4776119402984982E-2</v>
          </cell>
          <cell r="AF12">
            <v>4.4843646041250906E-2</v>
          </cell>
          <cell r="AG12">
            <v>0</v>
          </cell>
          <cell r="AH12">
            <v>-6.7864271457085845E-2</v>
          </cell>
          <cell r="AI12">
            <v>4.2541042112776539E-2</v>
          </cell>
          <cell r="AJ12">
            <v>-2.2319594687114863E-2</v>
          </cell>
          <cell r="AK12">
            <v>9.9719887955182163E-2</v>
          </cell>
          <cell r="AN12" t="str">
            <v>Total</v>
          </cell>
          <cell r="AO12">
            <v>6300</v>
          </cell>
          <cell r="AP12">
            <v>6591</v>
          </cell>
          <cell r="AQ12">
            <v>12891</v>
          </cell>
          <cell r="AR12">
            <v>6834</v>
          </cell>
          <cell r="AS12">
            <v>19725</v>
          </cell>
          <cell r="AT12">
            <v>7515</v>
          </cell>
          <cell r="AU12">
            <v>27240</v>
          </cell>
          <cell r="AV12">
            <v>0.13595384060584204</v>
          </cell>
          <cell r="AW12">
            <v>0.11071789686552069</v>
          </cell>
          <cell r="AX12">
            <v>0.12605042016806722</v>
          </cell>
          <cell r="AY12">
            <v>0.15366902057107779</v>
          </cell>
          <cell r="AZ12">
            <v>0.13202842538336856</v>
          </cell>
          <cell r="BA12">
            <v>-3.2852318084126475E-2</v>
          </cell>
          <cell r="BB12">
            <v>4.6190476190476115E-2</v>
          </cell>
          <cell r="BC12">
            <v>3.686845698680008E-2</v>
          </cell>
          <cell r="BD12">
            <v>9.964881474978049E-2</v>
          </cell>
          <cell r="BF12" t="str">
            <v>Total</v>
          </cell>
          <cell r="BG12">
            <v>5546</v>
          </cell>
          <cell r="BH12">
            <v>5934</v>
          </cell>
          <cell r="BI12">
            <v>11480</v>
          </cell>
          <cell r="BJ12">
            <v>6069</v>
          </cell>
          <cell r="BK12">
            <v>17549</v>
          </cell>
          <cell r="BL12">
            <v>6514</v>
          </cell>
          <cell r="BM12">
            <v>24063</v>
          </cell>
          <cell r="BN12">
            <v>0.16219614417435047</v>
          </cell>
          <cell r="BO12">
            <v>0.15514891960288102</v>
          </cell>
          <cell r="BP12">
            <v>0.14466239155035843</v>
          </cell>
          <cell r="BQ12">
            <v>0.13011797362942401</v>
          </cell>
          <cell r="BR12">
            <v>0.14722288438617404</v>
          </cell>
          <cell r="BS12">
            <v>-3.7820957668285859E-2</v>
          </cell>
          <cell r="BT12">
            <v>6.9960331770645423E-2</v>
          </cell>
          <cell r="BU12">
            <v>2.2750252780586511E-2</v>
          </cell>
          <cell r="BV12">
            <v>7.3323447025869237E-2</v>
          </cell>
          <cell r="BX12" t="str">
            <v>Total</v>
          </cell>
          <cell r="BY12">
            <v>4772</v>
          </cell>
          <cell r="BZ12">
            <v>5137</v>
          </cell>
          <cell r="CA12">
            <v>9909</v>
          </cell>
          <cell r="CB12">
            <v>5302</v>
          </cell>
          <cell r="CC12">
            <v>15211</v>
          </cell>
          <cell r="CD12">
            <v>5764</v>
          </cell>
          <cell r="CE12">
            <v>20975</v>
          </cell>
          <cell r="CF12">
            <v>2.7120103314679289E-2</v>
          </cell>
          <cell r="CG12">
            <v>0.10425623387790206</v>
          </cell>
          <cell r="CH12">
            <v>0.14095115128039604</v>
          </cell>
          <cell r="CI12">
            <v>0.17083079423115977</v>
          </cell>
          <cell r="CJ12">
            <v>0.11167055331778664</v>
          </cell>
          <cell r="CK12">
            <v>-3.0672354255535272E-2</v>
          </cell>
          <cell r="CL12">
            <v>7.6487845766973983E-2</v>
          </cell>
          <cell r="CM12" t="str">
            <v xml:space="preserve">  % Change</v>
          </cell>
          <cell r="CN12">
            <v>0.16049382716049387</v>
          </cell>
          <cell r="CO12">
            <v>0.18365968939905475</v>
          </cell>
          <cell r="CP12" t="str">
            <v>Total</v>
          </cell>
          <cell r="CQ12">
            <v>4646</v>
          </cell>
          <cell r="CR12">
            <v>4652</v>
          </cell>
          <cell r="CS12">
            <v>9298</v>
          </cell>
          <cell r="CT12">
            <v>4647</v>
          </cell>
          <cell r="CU12">
            <v>13945</v>
          </cell>
          <cell r="CV12">
            <v>4923</v>
          </cell>
          <cell r="CW12">
            <v>18868</v>
          </cell>
          <cell r="CX12">
            <v>0.37171538234425738</v>
          </cell>
          <cell r="CY12">
            <v>0.19404517453798764</v>
          </cell>
          <cell r="CZ12">
            <v>6.7049368541905796E-2</v>
          </cell>
          <cell r="DA12">
            <v>4.0583386176284098E-2</v>
          </cell>
          <cell r="DB12">
            <v>0.15556099951004421</v>
          </cell>
          <cell r="DC12">
            <v>-1.7966603255125779E-2</v>
          </cell>
          <cell r="DD12">
            <v>1.2914334911751091E-3</v>
          </cell>
          <cell r="DE12" t="str">
            <v xml:space="preserve">  % Change</v>
          </cell>
          <cell r="DF12">
            <v>4.9882168106834247E-2</v>
          </cell>
          <cell r="DG12">
            <v>0.13183034008406572</v>
          </cell>
          <cell r="DH12" t="str">
            <v>Total</v>
          </cell>
          <cell r="DI12">
            <v>3387</v>
          </cell>
          <cell r="DJ12">
            <v>3896</v>
          </cell>
          <cell r="DK12">
            <v>7283</v>
          </cell>
          <cell r="DL12">
            <v>4355</v>
          </cell>
          <cell r="DM12">
            <v>11638</v>
          </cell>
          <cell r="DN12">
            <v>4731</v>
          </cell>
          <cell r="DO12">
            <v>16328</v>
          </cell>
          <cell r="DP12">
            <v>9.187620889748549E-2</v>
          </cell>
          <cell r="DQ12">
            <v>0.11123787792355962</v>
          </cell>
          <cell r="DR12">
            <v>0.32612667478684532</v>
          </cell>
          <cell r="DS12">
            <v>0.2489440337909187</v>
          </cell>
          <cell r="DT12">
            <v>0.1935672514619883</v>
          </cell>
          <cell r="DU12">
            <v>-0.10586061246040124</v>
          </cell>
          <cell r="DV12">
            <v>0.15028048420431062</v>
          </cell>
          <cell r="DW12">
            <v>0.11781314168377821</v>
          </cell>
          <cell r="DX12">
            <v>8.6337543053961019E-2</v>
          </cell>
          <cell r="DZ12" t="str">
            <v xml:space="preserve"> Total Revs.</v>
          </cell>
          <cell r="EA12">
            <v>3102</v>
          </cell>
          <cell r="EB12">
            <v>3506</v>
          </cell>
          <cell r="EC12">
            <v>6608</v>
          </cell>
          <cell r="ED12">
            <v>3284</v>
          </cell>
          <cell r="EE12">
            <v>9892</v>
          </cell>
          <cell r="EF12">
            <v>3788</v>
          </cell>
          <cell r="EG12">
            <v>13680</v>
          </cell>
          <cell r="EH12">
            <v>0.16049382716049382</v>
          </cell>
          <cell r="EI12">
            <v>0.18365968939905469</v>
          </cell>
          <cell r="EJ12">
            <v>8.7417218543046363E-2</v>
          </cell>
          <cell r="EK12">
            <v>0.11444542512503678</v>
          </cell>
          <cell r="EL12">
            <v>0.13489298158287705</v>
          </cell>
          <cell r="EM12">
            <v>-8.737864077669899E-2</v>
          </cell>
          <cell r="EN12">
            <v>0.13023855577047061</v>
          </cell>
          <cell r="EO12">
            <v>-6.3320022818026289E-2</v>
          </cell>
          <cell r="EP12">
            <v>0.15347137637028019</v>
          </cell>
          <cell r="ER12" t="str">
            <v xml:space="preserve"> Total Revs.</v>
          </cell>
          <cell r="ES12">
            <v>2673</v>
          </cell>
          <cell r="ET12">
            <v>2962</v>
          </cell>
          <cell r="EU12">
            <v>5635</v>
          </cell>
          <cell r="EV12">
            <v>3020</v>
          </cell>
          <cell r="EW12">
            <v>8655</v>
          </cell>
          <cell r="EX12">
            <v>3399</v>
          </cell>
          <cell r="EY12">
            <v>12054</v>
          </cell>
          <cell r="EZ12">
            <v>4.9882168106834247E-2</v>
          </cell>
          <cell r="FA12">
            <v>0.13183034008406572</v>
          </cell>
          <cell r="FB12">
            <v>0.20703437250199841</v>
          </cell>
          <cell r="FC12">
            <v>0.28749999999999998</v>
          </cell>
          <cell r="FD12">
            <v>0.16972343522561864</v>
          </cell>
          <cell r="FE12">
            <v>1.2499999999999956E-2</v>
          </cell>
          <cell r="FF12">
            <v>0.1081182192293304</v>
          </cell>
          <cell r="FG12">
            <v>1.9581363943281582E-2</v>
          </cell>
          <cell r="FH12">
            <v>0.12549668874172193</v>
          </cell>
          <cell r="FJ12" t="str">
            <v xml:space="preserve"> Total Revs.</v>
          </cell>
          <cell r="FK12">
            <v>2546</v>
          </cell>
          <cell r="FL12">
            <v>2617</v>
          </cell>
          <cell r="FM12">
            <v>5163</v>
          </cell>
          <cell r="FN12">
            <v>2502</v>
          </cell>
          <cell r="FO12">
            <v>7665</v>
          </cell>
          <cell r="FP12">
            <v>2640</v>
          </cell>
          <cell r="FQ12">
            <v>10305</v>
          </cell>
          <cell r="FR12">
            <v>0.27166475201038914</v>
          </cell>
          <cell r="FS12">
            <v>0.25407322215832845</v>
          </cell>
          <cell r="FT12">
            <v>0.12957110609480813</v>
          </cell>
          <cell r="FU12">
            <v>-5.68716809159744E-3</v>
          </cell>
          <cell r="FV12">
            <v>0.15023998214086393</v>
          </cell>
          <cell r="FW12">
            <v>-4.1090731045911766E-2</v>
          </cell>
          <cell r="FX12">
            <v>2.7886881382560791E-2</v>
          </cell>
          <cell r="FY12">
            <v>-4.3943446694688526E-2</v>
          </cell>
          <cell r="FZ12">
            <v>5.5155875299760293E-2</v>
          </cell>
          <cell r="GB12" t="str">
            <v xml:space="preserve"> Total Revs.</v>
          </cell>
          <cell r="GC12">
            <v>2002.1</v>
          </cell>
          <cell r="GD12">
            <v>2086.8000000000002</v>
          </cell>
          <cell r="GE12">
            <v>4088.9</v>
          </cell>
          <cell r="GF12">
            <v>2215</v>
          </cell>
          <cell r="GG12">
            <v>6303.9</v>
          </cell>
          <cell r="GH12">
            <v>2655.1000000000004</v>
          </cell>
          <cell r="GI12">
            <v>8959</v>
          </cell>
          <cell r="GJ12">
            <v>0.20797634849764679</v>
          </cell>
          <cell r="GK12">
            <v>0.20276657060518744</v>
          </cell>
          <cell r="GL12">
            <v>0.23178734289845399</v>
          </cell>
          <cell r="GM12">
            <v>0.13252857874082954</v>
          </cell>
          <cell r="GN12">
            <v>0.18898473788984738</v>
          </cell>
          <cell r="GP12">
            <v>4.230557914190114E-2</v>
          </cell>
          <cell r="GQ12">
            <v>6.1433774199731506E-2</v>
          </cell>
          <cell r="GR12">
            <v>0.19869074492099337</v>
          </cell>
        </row>
        <row r="13">
          <cell r="U13" t="str">
            <v>% Ch Y/Y</v>
          </cell>
          <cell r="V13">
            <v>0.11190476190476195</v>
          </cell>
          <cell r="W13">
            <v>0.10802609619177672</v>
          </cell>
          <cell r="X13">
            <v>0.10992165076409899</v>
          </cell>
          <cell r="Y13">
            <v>4.4776119402984982E-2</v>
          </cell>
          <cell r="Z13">
            <v>2.1384255194615158</v>
          </cell>
          <cell r="AA13">
            <v>4.4843646041250906E-2</v>
          </cell>
          <cell r="AB13">
            <v>7.562408223201178E-2</v>
          </cell>
          <cell r="AN13" t="str">
            <v>% Ch Y/Y</v>
          </cell>
          <cell r="AO13">
            <v>0.13595384060584204</v>
          </cell>
          <cell r="AP13">
            <v>0.11071789686552073</v>
          </cell>
          <cell r="AQ13">
            <v>0.12290940766550529</v>
          </cell>
          <cell r="AR13">
            <v>0.12605042016806722</v>
          </cell>
          <cell r="AS13">
            <v>0.12399566926890415</v>
          </cell>
          <cell r="AT13">
            <v>0.15366902057107767</v>
          </cell>
          <cell r="AU13">
            <v>0.13202842538336856</v>
          </cell>
          <cell r="BF13" t="str">
            <v>% Ch Y/Y</v>
          </cell>
          <cell r="BG13">
            <v>0.16219614417435038</v>
          </cell>
          <cell r="BH13">
            <v>0.15514891960288105</v>
          </cell>
          <cell r="BI13">
            <v>0.15854273892421022</v>
          </cell>
          <cell r="BJ13">
            <v>0.14466239155035834</v>
          </cell>
          <cell r="BK13">
            <v>0.15370455591348375</v>
          </cell>
          <cell r="BL13">
            <v>0.13011797362942401</v>
          </cell>
          <cell r="BM13">
            <v>0.14722288438617404</v>
          </cell>
          <cell r="BX13" t="str">
            <v>% Ch Y/Y</v>
          </cell>
          <cell r="BY13">
            <v>2.7120103314679293E-2</v>
          </cell>
          <cell r="BZ13">
            <v>0.10425623387790198</v>
          </cell>
          <cell r="CA13">
            <v>6.571305657130555E-2</v>
          </cell>
          <cell r="CB13">
            <v>0.14095115128039595</v>
          </cell>
          <cell r="CC13">
            <v>9.0785227680172165E-2</v>
          </cell>
          <cell r="CD13">
            <v>0.17083079423115985</v>
          </cell>
          <cell r="CE13">
            <v>0.11167055331778664</v>
          </cell>
          <cell r="CM13" t="str">
            <v>Operating Profit</v>
          </cell>
          <cell r="CP13" t="str">
            <v>% Ch Y/Y</v>
          </cell>
          <cell r="CQ13">
            <v>0.37171538234425744</v>
          </cell>
          <cell r="CR13">
            <v>0.19404517453798767</v>
          </cell>
          <cell r="CS13">
            <v>0.27667170122202389</v>
          </cell>
          <cell r="CT13">
            <v>6.7049368541905852E-2</v>
          </cell>
          <cell r="CU13">
            <v>0.1982299364151916</v>
          </cell>
          <cell r="CV13">
            <v>4.0583386176284084E-2</v>
          </cell>
          <cell r="CW13">
            <v>0.15556099951004421</v>
          </cell>
          <cell r="DE13" t="str">
            <v>Operating Profit</v>
          </cell>
          <cell r="DH13" t="str">
            <v>% Ch Y/Y</v>
          </cell>
          <cell r="DI13">
            <v>9.187620889748549E-2</v>
          </cell>
          <cell r="DJ13">
            <v>0.11123787792355962</v>
          </cell>
          <cell r="DK13">
            <v>0.10214891041162222</v>
          </cell>
          <cell r="DL13">
            <v>0.32612667478684532</v>
          </cell>
          <cell r="DM13">
            <v>0.42827558519846753</v>
          </cell>
          <cell r="DN13">
            <v>0.2489440337909187</v>
          </cell>
          <cell r="DO13">
            <v>0.19356725146198839</v>
          </cell>
          <cell r="DZ13" t="str">
            <v xml:space="preserve">  % Change</v>
          </cell>
          <cell r="EA13">
            <v>0.16049382716049387</v>
          </cell>
          <cell r="EB13">
            <v>0.18365968939905475</v>
          </cell>
          <cell r="EC13">
            <v>0.17267080745341623</v>
          </cell>
          <cell r="ED13">
            <v>8.7417218543046404E-2</v>
          </cell>
          <cell r="EE13">
            <v>0.26008802599646264</v>
          </cell>
          <cell r="EF13">
            <v>0.11444542512503686</v>
          </cell>
          <cell r="EG13">
            <v>0.13489298158287699</v>
          </cell>
          <cell r="ER13" t="str">
            <v xml:space="preserve">  % Change</v>
          </cell>
          <cell r="ES13">
            <v>4.9882168106834247E-2</v>
          </cell>
          <cell r="ET13">
            <v>0.13183034008406572</v>
          </cell>
          <cell r="EU13">
            <v>9.1419717218671259E-2</v>
          </cell>
          <cell r="EV13">
            <v>0.20703437250199841</v>
          </cell>
          <cell r="EW13">
            <v>0.12915851272015666</v>
          </cell>
          <cell r="EX13">
            <v>0.28749999999999998</v>
          </cell>
          <cell r="EY13">
            <v>0.16972343522561872</v>
          </cell>
          <cell r="FJ13" t="str">
            <v xml:space="preserve">  % Change</v>
          </cell>
          <cell r="FK13">
            <v>0.2716647520103892</v>
          </cell>
          <cell r="FL13">
            <v>0.25407322215832839</v>
          </cell>
          <cell r="FM13">
            <v>0.26268678617721153</v>
          </cell>
          <cell r="FN13">
            <v>0.12957110609480815</v>
          </cell>
          <cell r="FO13">
            <v>0.2159139580259839</v>
          </cell>
          <cell r="FP13">
            <v>-5.6871680915974165E-3</v>
          </cell>
          <cell r="FQ13">
            <v>0.15023998214086398</v>
          </cell>
          <cell r="GB13" t="str">
            <v xml:space="preserve">  % Change</v>
          </cell>
          <cell r="GC13">
            <v>0.2079763484976469</v>
          </cell>
          <cell r="GD13">
            <v>0.20276657060518732</v>
          </cell>
          <cell r="GE13">
            <v>0.2053118735998114</v>
          </cell>
          <cell r="GF13">
            <v>0.23178734289845404</v>
          </cell>
          <cell r="GG13">
            <v>0.21448387469656671</v>
          </cell>
          <cell r="GH13">
            <v>0.13252857874082946</v>
          </cell>
          <cell r="GI13">
            <v>0.18898473788984749</v>
          </cell>
        </row>
        <row r="14">
          <cell r="B14" t="str">
            <v>Operating Profit</v>
          </cell>
          <cell r="U14" t="str">
            <v>Operating Profit</v>
          </cell>
          <cell r="AN14" t="str">
            <v>Operating Profit</v>
          </cell>
          <cell r="BF14" t="str">
            <v>Operating Profit</v>
          </cell>
          <cell r="BX14" t="str">
            <v>Operating Profit</v>
          </cell>
          <cell r="CM14" t="str">
            <v>Marine Group</v>
          </cell>
          <cell r="CN14">
            <v>73</v>
          </cell>
          <cell r="CO14">
            <v>64</v>
          </cell>
          <cell r="CP14" t="str">
            <v>Operating Profit</v>
          </cell>
          <cell r="CQ14">
            <v>78</v>
          </cell>
          <cell r="CR14">
            <v>215</v>
          </cell>
          <cell r="CS14">
            <v>72</v>
          </cell>
          <cell r="CT14">
            <v>287</v>
          </cell>
          <cell r="CU14">
            <v>-8.7499999999999994E-2</v>
          </cell>
          <cell r="CV14">
            <v>-0.2289156626506024</v>
          </cell>
          <cell r="CW14">
            <v>-4.878048780487805E-2</v>
          </cell>
          <cell r="CX14">
            <v>0.1076923076923077</v>
          </cell>
          <cell r="CY14">
            <v>-7.4193548387096769E-2</v>
          </cell>
          <cell r="DE14" t="str">
            <v>Marine Group</v>
          </cell>
          <cell r="DF14">
            <v>80</v>
          </cell>
          <cell r="DG14">
            <v>83</v>
          </cell>
          <cell r="DH14" t="str">
            <v>Operating Profit</v>
          </cell>
          <cell r="DI14">
            <v>82</v>
          </cell>
          <cell r="DJ14">
            <v>245</v>
          </cell>
          <cell r="DK14">
            <v>65</v>
          </cell>
          <cell r="DL14">
            <v>310</v>
          </cell>
          <cell r="DM14">
            <v>-9.0909090909090912E-2</v>
          </cell>
          <cell r="DN14">
            <v>1.2195121951219513E-2</v>
          </cell>
          <cell r="DO14">
            <v>6.4935064935064929E-2</v>
          </cell>
          <cell r="DP14">
            <v>-0.15584415584415584</v>
          </cell>
          <cell r="DQ14">
            <v>-4.3209876543209874E-2</v>
          </cell>
          <cell r="DZ14" t="str">
            <v>Operating Profit</v>
          </cell>
          <cell r="ER14" t="str">
            <v>Operating Profit</v>
          </cell>
          <cell r="FJ14" t="str">
            <v>Operating Profit</v>
          </cell>
          <cell r="GB14" t="str">
            <v>Operating Profit</v>
          </cell>
        </row>
        <row r="15">
          <cell r="B15" t="str">
            <v>Marine Systems</v>
          </cell>
          <cell r="C15">
            <v>163</v>
          </cell>
          <cell r="D15">
            <v>168</v>
          </cell>
          <cell r="E15">
            <v>331</v>
          </cell>
          <cell r="F15">
            <v>144.15</v>
          </cell>
          <cell r="G15">
            <v>475.15</v>
          </cell>
          <cell r="H15">
            <v>153.72500000000002</v>
          </cell>
          <cell r="I15">
            <v>628.875</v>
          </cell>
          <cell r="J15">
            <v>0.33606557377049184</v>
          </cell>
          <cell r="K15">
            <v>0.32283464566929143</v>
          </cell>
          <cell r="L15">
            <v>2.9642857142857082E-2</v>
          </cell>
          <cell r="M15">
            <v>0.16458333333333353</v>
          </cell>
          <cell r="N15">
            <v>0.20705374280230315</v>
          </cell>
          <cell r="O15">
            <v>0.23484848484848486</v>
          </cell>
          <cell r="P15">
            <v>3.0674846625766916E-2</v>
          </cell>
          <cell r="Q15">
            <v>-0.14196428571428565</v>
          </cell>
          <cell r="R15">
            <v>6.6423864030523916E-2</v>
          </cell>
          <cell r="U15" t="str">
            <v>Marine Systems</v>
          </cell>
          <cell r="V15">
            <v>122</v>
          </cell>
          <cell r="W15">
            <v>127</v>
          </cell>
          <cell r="X15">
            <v>249</v>
          </cell>
          <cell r="Y15">
            <v>140</v>
          </cell>
          <cell r="Z15">
            <v>389</v>
          </cell>
          <cell r="AA15">
            <v>132</v>
          </cell>
          <cell r="AB15">
            <v>521</v>
          </cell>
          <cell r="AC15">
            <v>0.24489795918367352</v>
          </cell>
          <cell r="AD15">
            <v>0.1339285714285714</v>
          </cell>
          <cell r="AE15">
            <v>0.27272727272727271</v>
          </cell>
          <cell r="AF15">
            <v>0.30693069306930698</v>
          </cell>
          <cell r="AG15">
            <v>0.23752969121140133</v>
          </cell>
          <cell r="AH15">
            <v>0.20792079207920788</v>
          </cell>
          <cell r="AI15">
            <v>4.0983606557376984E-2</v>
          </cell>
          <cell r="AJ15">
            <v>0.10236220472440949</v>
          </cell>
          <cell r="AK15">
            <v>-5.7142857142857162E-2</v>
          </cell>
          <cell r="AN15" t="str">
            <v>Marine Systems</v>
          </cell>
          <cell r="AO15">
            <v>98</v>
          </cell>
          <cell r="AP15">
            <v>112</v>
          </cell>
          <cell r="AQ15">
            <v>210</v>
          </cell>
          <cell r="AR15">
            <v>110</v>
          </cell>
          <cell r="AS15">
            <v>320</v>
          </cell>
          <cell r="AT15">
            <v>101</v>
          </cell>
          <cell r="AU15">
            <v>421</v>
          </cell>
          <cell r="AV15">
            <v>1.0309278350515427E-2</v>
          </cell>
          <cell r="AW15">
            <v>0.21739130434782616</v>
          </cell>
          <cell r="AX15">
            <v>7.8431372549019551E-2</v>
          </cell>
          <cell r="AY15">
            <v>0.20238095238095233</v>
          </cell>
          <cell r="AZ15">
            <v>0.1226666666666667</v>
          </cell>
          <cell r="BA15">
            <v>0.16666666666666674</v>
          </cell>
          <cell r="BB15">
            <v>0.14285714285714279</v>
          </cell>
          <cell r="BC15">
            <v>-1.7857142857142905E-2</v>
          </cell>
          <cell r="BD15">
            <v>-8.181818181818179E-2</v>
          </cell>
          <cell r="BF15" t="str">
            <v>Marine Systems</v>
          </cell>
          <cell r="BG15">
            <v>97</v>
          </cell>
          <cell r="BH15">
            <v>92</v>
          </cell>
          <cell r="BI15">
            <v>189</v>
          </cell>
          <cell r="BJ15">
            <v>102</v>
          </cell>
          <cell r="BK15">
            <v>291</v>
          </cell>
          <cell r="BL15">
            <v>84</v>
          </cell>
          <cell r="BM15">
            <v>375</v>
          </cell>
          <cell r="BN15">
            <v>0.97959183673469385</v>
          </cell>
          <cell r="BO15">
            <v>0.41538461538461546</v>
          </cell>
          <cell r="BP15">
            <v>0.96153846153846145</v>
          </cell>
          <cell r="BQ15">
            <v>1.2048192771084265E-2</v>
          </cell>
          <cell r="BR15">
            <v>0.50602409638554224</v>
          </cell>
          <cell r="BS15">
            <v>0.16867469879518082</v>
          </cell>
          <cell r="BT15">
            <v>-5.1546391752577359E-2</v>
          </cell>
          <cell r="BU15">
            <v>0.10869565217391308</v>
          </cell>
          <cell r="BV15">
            <v>-0.17647058823529416</v>
          </cell>
          <cell r="BX15" t="str">
            <v>Marine Systems</v>
          </cell>
          <cell r="BY15">
            <v>49</v>
          </cell>
          <cell r="BZ15">
            <v>65</v>
          </cell>
          <cell r="CA15">
            <v>114</v>
          </cell>
          <cell r="CB15">
            <v>52</v>
          </cell>
          <cell r="CC15">
            <v>166</v>
          </cell>
          <cell r="CD15">
            <v>83</v>
          </cell>
          <cell r="CE15">
            <v>249</v>
          </cell>
          <cell r="CF15">
            <v>-0.5</v>
          </cell>
          <cell r="CG15">
            <v>-0.19753086419753085</v>
          </cell>
          <cell r="CH15">
            <v>-0.16129032258064513</v>
          </cell>
          <cell r="CI15">
            <v>0.62745098039215685</v>
          </cell>
          <cell r="CJ15">
            <v>-0.14726027397260277</v>
          </cell>
          <cell r="CK15">
            <v>-3.9215686274509776E-2</v>
          </cell>
          <cell r="CL15">
            <v>0.32653061224489788</v>
          </cell>
          <cell r="CM15" t="str">
            <v>Combat Sys</v>
          </cell>
          <cell r="CN15">
            <v>55</v>
          </cell>
          <cell r="CO15">
            <v>81</v>
          </cell>
          <cell r="CP15" t="str">
            <v>Marine Systems</v>
          </cell>
          <cell r="CQ15">
            <v>98</v>
          </cell>
          <cell r="CR15">
            <v>81</v>
          </cell>
          <cell r="CS15">
            <v>179</v>
          </cell>
          <cell r="CT15">
            <v>62</v>
          </cell>
          <cell r="CU15">
            <v>241</v>
          </cell>
          <cell r="CV15">
            <v>51</v>
          </cell>
          <cell r="CW15">
            <v>292</v>
          </cell>
          <cell r="CX15">
            <v>0.50769230769230766</v>
          </cell>
          <cell r="CY15">
            <v>0.265625</v>
          </cell>
          <cell r="CZ15">
            <v>0.72222222222222232</v>
          </cell>
          <cell r="DA15">
            <v>0</v>
          </cell>
          <cell r="DB15">
            <v>0.35185185185185186</v>
          </cell>
          <cell r="DC15">
            <v>0.92156862745098045</v>
          </cell>
          <cell r="DD15">
            <v>-0.17346938775510201</v>
          </cell>
          <cell r="DE15" t="str">
            <v>Combat Sys</v>
          </cell>
          <cell r="DF15">
            <v>48</v>
          </cell>
          <cell r="DG15">
            <v>56</v>
          </cell>
          <cell r="DH15" t="str">
            <v>Marine Systems</v>
          </cell>
          <cell r="DI15">
            <v>65</v>
          </cell>
          <cell r="DJ15">
            <v>64</v>
          </cell>
          <cell r="DK15">
            <v>129</v>
          </cell>
          <cell r="DL15">
            <v>36</v>
          </cell>
          <cell r="DM15">
            <v>165</v>
          </cell>
          <cell r="DN15">
            <v>51</v>
          </cell>
          <cell r="DO15">
            <v>216</v>
          </cell>
          <cell r="DP15">
            <v>-0.1095890410958904</v>
          </cell>
          <cell r="DQ15">
            <v>0</v>
          </cell>
          <cell r="DR15">
            <v>-0.53846153846153844</v>
          </cell>
          <cell r="DS15">
            <v>-0.29166666666666669</v>
          </cell>
          <cell r="DT15">
            <v>-0.24738675958188153</v>
          </cell>
          <cell r="DU15">
            <v>-9.722222222222221E-2</v>
          </cell>
          <cell r="DV15">
            <v>-1.538461538461533E-2</v>
          </cell>
          <cell r="DW15">
            <v>-0.4375</v>
          </cell>
          <cell r="DX15">
            <v>0.41666666666666674</v>
          </cell>
          <cell r="DZ15" t="str">
            <v>Marine Group</v>
          </cell>
          <cell r="EA15">
            <v>73</v>
          </cell>
          <cell r="EB15">
            <v>64</v>
          </cell>
          <cell r="EC15">
            <v>137</v>
          </cell>
          <cell r="ED15">
            <v>78</v>
          </cell>
          <cell r="EE15">
            <v>215</v>
          </cell>
          <cell r="EF15">
            <v>72</v>
          </cell>
          <cell r="EG15">
            <v>287</v>
          </cell>
          <cell r="EH15">
            <v>-8.7499999999999994E-2</v>
          </cell>
          <cell r="EI15">
            <v>-0.2289156626506024</v>
          </cell>
          <cell r="EJ15">
            <v>-4.878048780487805E-2</v>
          </cell>
          <cell r="EK15">
            <v>0.1076923076923077</v>
          </cell>
          <cell r="EL15">
            <v>-7.4193548387096769E-2</v>
          </cell>
          <cell r="EM15">
            <v>0.12307692307692308</v>
          </cell>
          <cell r="EN15">
            <v>-0.12328767123287676</v>
          </cell>
          <cell r="EO15">
            <v>0.21875</v>
          </cell>
          <cell r="EP15">
            <v>-7.6923076923076872E-2</v>
          </cell>
          <cell r="ER15" t="str">
            <v>Marine Group</v>
          </cell>
          <cell r="ES15">
            <v>80</v>
          </cell>
          <cell r="ET15">
            <v>83</v>
          </cell>
          <cell r="EU15">
            <v>163</v>
          </cell>
          <cell r="EV15">
            <v>82</v>
          </cell>
          <cell r="EW15">
            <v>245</v>
          </cell>
          <cell r="EX15">
            <v>65</v>
          </cell>
          <cell r="EY15">
            <v>310</v>
          </cell>
          <cell r="EZ15">
            <v>-9.0909090909090912E-2</v>
          </cell>
          <cell r="FA15">
            <v>1.2195121951219513E-2</v>
          </cell>
          <cell r="FB15">
            <v>6.4935064935064929E-2</v>
          </cell>
          <cell r="FC15">
            <v>-0.15584415584415584</v>
          </cell>
          <cell r="FD15">
            <v>-4.3209876543209874E-2</v>
          </cell>
          <cell r="FE15">
            <v>3.8961038961038863E-2</v>
          </cell>
          <cell r="FF15">
            <v>3.7500000000000089E-2</v>
          </cell>
          <cell r="FG15">
            <v>-1.2048192771084376E-2</v>
          </cell>
          <cell r="FH15">
            <v>-0.20731707317073167</v>
          </cell>
          <cell r="FJ15" t="str">
            <v>Marine Group</v>
          </cell>
          <cell r="FK15">
            <v>88</v>
          </cell>
          <cell r="FL15">
            <v>82</v>
          </cell>
          <cell r="FM15">
            <v>170</v>
          </cell>
          <cell r="FN15">
            <v>77</v>
          </cell>
          <cell r="FO15">
            <v>247</v>
          </cell>
          <cell r="FP15">
            <v>77</v>
          </cell>
          <cell r="FQ15">
            <v>324</v>
          </cell>
          <cell r="FR15">
            <v>0</v>
          </cell>
          <cell r="FS15">
            <v>-6.8181818181818177E-2</v>
          </cell>
          <cell r="FT15">
            <v>-3.7499999999999999E-2</v>
          </cell>
          <cell r="FU15">
            <v>6.9444444444444448E-2</v>
          </cell>
          <cell r="FV15">
            <v>-1.2195121951219513E-2</v>
          </cell>
          <cell r="FW15">
            <v>0.22222222222222232</v>
          </cell>
          <cell r="FX15">
            <v>-6.8181818181818232E-2</v>
          </cell>
          <cell r="FY15">
            <v>-6.0975609756097615E-2</v>
          </cell>
          <cell r="FZ15">
            <v>0</v>
          </cell>
          <cell r="GB15" t="str">
            <v>Marine Group</v>
          </cell>
          <cell r="GC15">
            <v>88</v>
          </cell>
          <cell r="GD15">
            <v>88</v>
          </cell>
          <cell r="GE15">
            <v>176</v>
          </cell>
          <cell r="GF15">
            <v>80</v>
          </cell>
          <cell r="GG15">
            <v>256</v>
          </cell>
          <cell r="GH15">
            <v>72</v>
          </cell>
          <cell r="GI15">
            <v>328</v>
          </cell>
          <cell r="GJ15">
            <v>0.375</v>
          </cell>
          <cell r="GK15">
            <v>0.23943661971830985</v>
          </cell>
          <cell r="GL15">
            <v>0.21212121212121213</v>
          </cell>
          <cell r="GM15">
            <v>-0.14285714285714285</v>
          </cell>
          <cell r="GN15">
            <v>0.15087719298245614</v>
          </cell>
          <cell r="GP15">
            <v>0</v>
          </cell>
          <cell r="GQ15">
            <v>-9.0909090909090939E-2</v>
          </cell>
          <cell r="GR15">
            <v>-9.9999999999999978E-2</v>
          </cell>
        </row>
        <row r="16">
          <cell r="B16" t="str">
            <v>Combat Systems</v>
          </cell>
          <cell r="C16">
            <v>279</v>
          </cell>
          <cell r="D16">
            <v>300</v>
          </cell>
          <cell r="E16">
            <v>579</v>
          </cell>
          <cell r="F16">
            <v>310</v>
          </cell>
          <cell r="G16">
            <v>889</v>
          </cell>
          <cell r="H16">
            <v>336</v>
          </cell>
          <cell r="I16">
            <v>1225</v>
          </cell>
          <cell r="J16">
            <v>7.7220077220077288E-2</v>
          </cell>
          <cell r="K16">
            <v>6.3829787234042534E-2</v>
          </cell>
          <cell r="L16">
            <v>0.18320610687022909</v>
          </cell>
          <cell r="M16">
            <v>9.0909090909090828E-2</v>
          </cell>
          <cell r="N16">
            <v>0.1026102610261026</v>
          </cell>
          <cell r="O16">
            <v>-9.4155844155844104E-2</v>
          </cell>
          <cell r="P16">
            <v>7.5268817204301008E-2</v>
          </cell>
          <cell r="Q16">
            <v>3.3333333333333437E-2</v>
          </cell>
          <cell r="R16">
            <v>8.3870967741935587E-2</v>
          </cell>
          <cell r="U16" t="str">
            <v>Combat Systems</v>
          </cell>
          <cell r="V16">
            <v>259</v>
          </cell>
          <cell r="W16">
            <v>282</v>
          </cell>
          <cell r="X16">
            <v>541</v>
          </cell>
          <cell r="Y16">
            <v>262</v>
          </cell>
          <cell r="Z16">
            <v>803</v>
          </cell>
          <cell r="AA16">
            <v>308</v>
          </cell>
          <cell r="AB16">
            <v>1111</v>
          </cell>
          <cell r="AC16">
            <v>0.48850574712643668</v>
          </cell>
          <cell r="AD16">
            <v>0.47643979057591612</v>
          </cell>
          <cell r="AE16">
            <v>0.14912280701754388</v>
          </cell>
          <cell r="AF16">
            <v>-4.6439628482972117E-2</v>
          </cell>
          <cell r="AG16">
            <v>0.21288209606986896</v>
          </cell>
          <cell r="AH16">
            <v>-0.19814241486068107</v>
          </cell>
          <cell r="AI16">
            <v>8.8803088803088848E-2</v>
          </cell>
          <cell r="AJ16">
            <v>-7.0921985815602828E-2</v>
          </cell>
          <cell r="AK16">
            <v>0.17557251908396942</v>
          </cell>
          <cell r="AN16" t="str">
            <v>Combat Systems</v>
          </cell>
          <cell r="AO16">
            <v>174</v>
          </cell>
          <cell r="AP16">
            <v>191</v>
          </cell>
          <cell r="AQ16">
            <v>365</v>
          </cell>
          <cell r="AR16">
            <v>228</v>
          </cell>
          <cell r="AS16">
            <v>593</v>
          </cell>
          <cell r="AT16">
            <v>323</v>
          </cell>
          <cell r="AU16">
            <v>916</v>
          </cell>
          <cell r="AV16">
            <v>0.18367346938775508</v>
          </cell>
          <cell r="AW16">
            <v>0.11046511627906974</v>
          </cell>
          <cell r="AX16">
            <v>0.39024390243902429</v>
          </cell>
          <cell r="AY16">
            <v>0.6649484536082475</v>
          </cell>
          <cell r="AZ16">
            <v>0.35302806499261452</v>
          </cell>
          <cell r="BA16">
            <v>-0.10309278350515461</v>
          </cell>
          <cell r="BB16">
            <v>9.7701149425287293E-2</v>
          </cell>
          <cell r="BC16">
            <v>0.19371727748691092</v>
          </cell>
          <cell r="BD16">
            <v>0.41666666666666674</v>
          </cell>
          <cell r="BF16" t="str">
            <v>Combat Systems</v>
          </cell>
          <cell r="BG16">
            <v>147</v>
          </cell>
          <cell r="BH16">
            <v>172</v>
          </cell>
          <cell r="BI16">
            <v>319</v>
          </cell>
          <cell r="BJ16">
            <v>164</v>
          </cell>
          <cell r="BK16">
            <v>483</v>
          </cell>
          <cell r="BL16">
            <v>194</v>
          </cell>
          <cell r="BM16">
            <v>677</v>
          </cell>
          <cell r="BN16">
            <v>0.41346153846153855</v>
          </cell>
          <cell r="BO16">
            <v>0.39837398373983746</v>
          </cell>
          <cell r="BP16">
            <v>3.1446540880503138E-2</v>
          </cell>
          <cell r="BQ16">
            <v>2.1052631578947434E-2</v>
          </cell>
          <cell r="BR16">
            <v>0.17534722222222232</v>
          </cell>
          <cell r="BS16">
            <v>-0.22631578947368425</v>
          </cell>
          <cell r="BT16">
            <v>0.17006802721088432</v>
          </cell>
          <cell r="BU16">
            <v>-4.6511627906976716E-2</v>
          </cell>
          <cell r="BV16">
            <v>0.18292682926829262</v>
          </cell>
          <cell r="BX16" t="str">
            <v>Combat Systems</v>
          </cell>
          <cell r="BY16">
            <v>104</v>
          </cell>
          <cell r="BZ16">
            <v>123</v>
          </cell>
          <cell r="CA16">
            <v>227</v>
          </cell>
          <cell r="CB16">
            <v>159</v>
          </cell>
          <cell r="CC16">
            <v>386</v>
          </cell>
          <cell r="CD16">
            <v>190</v>
          </cell>
          <cell r="CE16">
            <v>576</v>
          </cell>
          <cell r="CF16">
            <v>-7.1428571428571397E-2</v>
          </cell>
          <cell r="CG16">
            <v>0.10810810810810811</v>
          </cell>
          <cell r="CH16">
            <v>0.2421875</v>
          </cell>
          <cell r="CI16">
            <v>0.11111111111111116</v>
          </cell>
          <cell r="CJ16">
            <v>0.10344827586206895</v>
          </cell>
          <cell r="CK16">
            <v>-0.39181286549707606</v>
          </cell>
          <cell r="CL16">
            <v>0.18269230769230771</v>
          </cell>
          <cell r="CM16" t="str">
            <v>Info Sys &amp; Tech</v>
          </cell>
          <cell r="CN16">
            <v>91</v>
          </cell>
          <cell r="CO16">
            <v>103</v>
          </cell>
          <cell r="CP16" t="str">
            <v>Combat Systems</v>
          </cell>
          <cell r="CQ16">
            <v>112</v>
          </cell>
          <cell r="CR16">
            <v>111</v>
          </cell>
          <cell r="CS16">
            <v>223</v>
          </cell>
          <cell r="CT16">
            <v>128</v>
          </cell>
          <cell r="CU16">
            <v>351</v>
          </cell>
          <cell r="CV16">
            <v>171</v>
          </cell>
          <cell r="CW16">
            <v>522</v>
          </cell>
          <cell r="CX16">
            <v>0.27272727272727271</v>
          </cell>
          <cell r="CY16">
            <v>-3.4782608695652195E-2</v>
          </cell>
          <cell r="CZ16">
            <v>0.17431192660550465</v>
          </cell>
          <cell r="DA16">
            <v>0.30534351145038174</v>
          </cell>
          <cell r="DB16">
            <v>0.17832957110609482</v>
          </cell>
          <cell r="DC16">
            <v>-0.14503816793893132</v>
          </cell>
          <cell r="DD16">
            <v>-8.9285714285713969E-3</v>
          </cell>
          <cell r="DE16" t="str">
            <v>Info Sys &amp; Tech</v>
          </cell>
          <cell r="DF16">
            <v>60</v>
          </cell>
          <cell r="DG16">
            <v>61</v>
          </cell>
          <cell r="DH16" t="str">
            <v>Combat Systems</v>
          </cell>
          <cell r="DI16">
            <v>88</v>
          </cell>
          <cell r="DJ16">
            <v>115</v>
          </cell>
          <cell r="DK16">
            <v>203</v>
          </cell>
          <cell r="DL16">
            <v>109</v>
          </cell>
          <cell r="DM16">
            <v>312</v>
          </cell>
          <cell r="DN16">
            <v>131</v>
          </cell>
          <cell r="DO16">
            <v>443</v>
          </cell>
          <cell r="DP16">
            <v>0.6</v>
          </cell>
          <cell r="DQ16">
            <v>0.41975308641975306</v>
          </cell>
          <cell r="DR16">
            <v>0.36249999999999999</v>
          </cell>
          <cell r="DS16">
            <v>0.40860215053763443</v>
          </cell>
          <cell r="DT16">
            <v>0.4336569579288026</v>
          </cell>
          <cell r="DU16">
            <v>-5.3763440860215006E-2</v>
          </cell>
          <cell r="DV16">
            <v>0.30681818181818188</v>
          </cell>
          <cell r="DW16">
            <v>-5.2173913043478293E-2</v>
          </cell>
          <cell r="DX16">
            <v>0.201834862385321</v>
          </cell>
          <cell r="DZ16" t="str">
            <v>Combat Sys</v>
          </cell>
          <cell r="EA16">
            <v>55</v>
          </cell>
          <cell r="EB16">
            <v>81</v>
          </cell>
          <cell r="EC16">
            <v>136</v>
          </cell>
          <cell r="ED16">
            <v>80</v>
          </cell>
          <cell r="EE16">
            <v>216</v>
          </cell>
          <cell r="EF16">
            <v>93</v>
          </cell>
          <cell r="EG16">
            <v>309</v>
          </cell>
          <cell r="EH16">
            <v>0.14583333333333334</v>
          </cell>
          <cell r="EI16">
            <v>0.44642857142857145</v>
          </cell>
          <cell r="EJ16">
            <v>0.37931034482758619</v>
          </cell>
          <cell r="EK16">
            <v>0.22368421052631579</v>
          </cell>
          <cell r="EL16">
            <v>0.29831932773109243</v>
          </cell>
          <cell r="EM16">
            <v>-0.27631578947368418</v>
          </cell>
          <cell r="EN16">
            <v>0.47272727272727266</v>
          </cell>
          <cell r="EO16">
            <v>-1.2345679012345734E-2</v>
          </cell>
          <cell r="EP16">
            <v>0.16250000000000009</v>
          </cell>
          <cell r="ER16" t="str">
            <v>Combat Sys</v>
          </cell>
          <cell r="ES16">
            <v>48</v>
          </cell>
          <cell r="ET16">
            <v>56</v>
          </cell>
          <cell r="EU16">
            <v>104</v>
          </cell>
          <cell r="EV16">
            <v>58</v>
          </cell>
          <cell r="EW16">
            <v>162</v>
          </cell>
          <cell r="EX16">
            <v>76</v>
          </cell>
          <cell r="EY16">
            <v>238</v>
          </cell>
          <cell r="EZ16">
            <v>0.29729729729729731</v>
          </cell>
          <cell r="FA16">
            <v>0.55555555555555558</v>
          </cell>
          <cell r="FB16">
            <v>0.56756756756756754</v>
          </cell>
          <cell r="FC16">
            <v>0.65217391304347827</v>
          </cell>
          <cell r="FD16">
            <v>0.52564102564102566</v>
          </cell>
          <cell r="FE16">
            <v>4.3478260869565188E-2</v>
          </cell>
          <cell r="FF16">
            <v>0.16666666666666674</v>
          </cell>
          <cell r="FG16">
            <v>3.5714285714285809E-2</v>
          </cell>
          <cell r="FH16">
            <v>0.31034482758620685</v>
          </cell>
          <cell r="FJ16" t="str">
            <v>Combat Sys</v>
          </cell>
          <cell r="FK16">
            <v>37</v>
          </cell>
          <cell r="FL16">
            <v>36</v>
          </cell>
          <cell r="FM16">
            <v>73</v>
          </cell>
          <cell r="FN16">
            <v>37</v>
          </cell>
          <cell r="FO16">
            <v>110</v>
          </cell>
          <cell r="FP16">
            <v>46</v>
          </cell>
          <cell r="FQ16">
            <v>156</v>
          </cell>
          <cell r="FR16">
            <v>5.7142857142857141E-2</v>
          </cell>
          <cell r="FS16">
            <v>5.8823529411764705E-2</v>
          </cell>
          <cell r="FT16">
            <v>0</v>
          </cell>
          <cell r="FU16">
            <v>-6.1224489795918366E-2</v>
          </cell>
          <cell r="FV16">
            <v>6.4516129032258064E-3</v>
          </cell>
          <cell r="FW16">
            <v>-0.24489795918367352</v>
          </cell>
          <cell r="FX16">
            <v>-2.7027027027026973E-2</v>
          </cell>
          <cell r="FY16">
            <v>2.7777777777777679E-2</v>
          </cell>
          <cell r="FZ16">
            <v>0.2432432432432432</v>
          </cell>
          <cell r="GB16" t="str">
            <v>Combat Sys</v>
          </cell>
          <cell r="GC16">
            <v>35</v>
          </cell>
          <cell r="GD16">
            <v>34</v>
          </cell>
          <cell r="GE16">
            <v>69</v>
          </cell>
          <cell r="GF16">
            <v>37</v>
          </cell>
          <cell r="GG16">
            <v>106</v>
          </cell>
          <cell r="GH16">
            <v>49</v>
          </cell>
          <cell r="GI16">
            <v>155</v>
          </cell>
          <cell r="GJ16">
            <v>-0.18604651162790697</v>
          </cell>
          <cell r="GK16">
            <v>-0.10526315789473684</v>
          </cell>
          <cell r="GL16">
            <v>-5.128205128205128E-2</v>
          </cell>
          <cell r="GM16">
            <v>6.5217391304347824E-2</v>
          </cell>
          <cell r="GN16">
            <v>-6.6265060240963861E-2</v>
          </cell>
          <cell r="GP16">
            <v>-2.8571428571428581E-2</v>
          </cell>
          <cell r="GQ16">
            <v>8.8235294117646967E-2</v>
          </cell>
          <cell r="GR16">
            <v>0.32432432432432434</v>
          </cell>
        </row>
        <row r="17">
          <cell r="B17" t="str">
            <v>Info. Systems &amp; Tech.</v>
          </cell>
          <cell r="C17">
            <v>289</v>
          </cell>
          <cell r="D17">
            <v>284</v>
          </cell>
          <cell r="E17">
            <v>573</v>
          </cell>
          <cell r="F17">
            <v>265</v>
          </cell>
          <cell r="G17">
            <v>838</v>
          </cell>
          <cell r="H17">
            <v>274.39999999999986</v>
          </cell>
          <cell r="I17">
            <v>1112.3999999999999</v>
          </cell>
          <cell r="J17">
            <v>0.11153846153846159</v>
          </cell>
          <cell r="K17">
            <v>-2.7397260273972601E-2</v>
          </cell>
          <cell r="L17">
            <v>-1.851851851851849E-2</v>
          </cell>
          <cell r="M17">
            <v>8.4584980237153662E-2</v>
          </cell>
          <cell r="N17">
            <v>3.4790697674418558E-2</v>
          </cell>
          <cell r="O17">
            <v>0.14229249011857714</v>
          </cell>
          <cell r="P17">
            <v>-1.730103806228378E-2</v>
          </cell>
          <cell r="Q17">
            <v>-6.6901408450704247E-2</v>
          </cell>
          <cell r="R17">
            <v>3.5471698113207051E-2</v>
          </cell>
          <cell r="U17" t="str">
            <v>Info. Systems &amp; Tech.</v>
          </cell>
          <cell r="V17">
            <v>260</v>
          </cell>
          <cell r="W17">
            <v>292</v>
          </cell>
          <cell r="X17">
            <v>552</v>
          </cell>
          <cell r="Y17">
            <v>270</v>
          </cell>
          <cell r="Z17">
            <v>822</v>
          </cell>
          <cell r="AA17">
            <v>253</v>
          </cell>
          <cell r="AB17">
            <v>1075</v>
          </cell>
          <cell r="AC17">
            <v>4.0000000000000036E-2</v>
          </cell>
          <cell r="AD17">
            <v>8.5501858736059422E-2</v>
          </cell>
          <cell r="AE17">
            <v>6.2992125984252079E-2</v>
          </cell>
          <cell r="AF17">
            <v>-3.937007874015741E-3</v>
          </cell>
          <cell r="AG17">
            <v>4.6738072054527846E-2</v>
          </cell>
          <cell r="AH17">
            <v>2.3622047244094446E-2</v>
          </cell>
          <cell r="AI17">
            <v>0.12307692307692308</v>
          </cell>
          <cell r="AJ17">
            <v>-7.5342465753424626E-2</v>
          </cell>
          <cell r="AK17">
            <v>-6.2962962962962998E-2</v>
          </cell>
          <cell r="AN17" t="str">
            <v>Info. Systems &amp; Tech.</v>
          </cell>
          <cell r="AO17">
            <v>250</v>
          </cell>
          <cell r="AP17">
            <v>269</v>
          </cell>
          <cell r="AQ17">
            <v>519</v>
          </cell>
          <cell r="AR17">
            <v>254</v>
          </cell>
          <cell r="AS17">
            <v>773</v>
          </cell>
          <cell r="AT17">
            <v>254</v>
          </cell>
          <cell r="AU17">
            <v>1027</v>
          </cell>
          <cell r="AV17">
            <v>0.13636363636363646</v>
          </cell>
          <cell r="AW17">
            <v>0.15948275862068972</v>
          </cell>
          <cell r="AX17">
            <v>-1.5503875968992276E-2</v>
          </cell>
          <cell r="AY17">
            <v>-4.5112781954887216E-2</v>
          </cell>
          <cell r="AZ17">
            <v>5.2254098360655643E-2</v>
          </cell>
          <cell r="BA17">
            <v>-6.0150375939849621E-2</v>
          </cell>
          <cell r="BB17">
            <v>7.6000000000000068E-2</v>
          </cell>
          <cell r="BC17">
            <v>-5.5762081784386575E-2</v>
          </cell>
          <cell r="BD17">
            <v>0</v>
          </cell>
          <cell r="BF17" t="str">
            <v>Info. Systems &amp; Tech.</v>
          </cell>
          <cell r="BG17">
            <v>220</v>
          </cell>
          <cell r="BH17">
            <v>232</v>
          </cell>
          <cell r="BI17">
            <v>452</v>
          </cell>
          <cell r="BJ17">
            <v>258</v>
          </cell>
          <cell r="BK17">
            <v>710</v>
          </cell>
          <cell r="BL17">
            <v>266</v>
          </cell>
          <cell r="BM17">
            <v>976</v>
          </cell>
          <cell r="BN17">
            <v>0.11675126903553301</v>
          </cell>
          <cell r="BO17">
            <v>3.1111111111111089E-2</v>
          </cell>
          <cell r="BP17">
            <v>0.13157894736842102</v>
          </cell>
          <cell r="BQ17">
            <v>0.23720930232558146</v>
          </cell>
          <cell r="BR17">
            <v>0.12832369942196542</v>
          </cell>
          <cell r="BS17">
            <v>2.3255813953488413E-2</v>
          </cell>
          <cell r="BT17">
            <v>5.4545454545454453E-2</v>
          </cell>
          <cell r="BU17">
            <v>0.11206896551724133</v>
          </cell>
          <cell r="BV17">
            <v>3.1007751937984551E-2</v>
          </cell>
          <cell r="BX17" t="str">
            <v>Info. Systems &amp; Tech.</v>
          </cell>
          <cell r="BY17">
            <v>197</v>
          </cell>
          <cell r="BZ17">
            <v>225</v>
          </cell>
          <cell r="CA17">
            <v>422</v>
          </cell>
          <cell r="CB17">
            <v>228</v>
          </cell>
          <cell r="CC17">
            <v>650</v>
          </cell>
          <cell r="CD17">
            <v>215</v>
          </cell>
          <cell r="CE17">
            <v>865</v>
          </cell>
          <cell r="CF17">
            <v>0.16568047337278102</v>
          </cell>
          <cell r="CG17">
            <v>0.171875</v>
          </cell>
          <cell r="CH17">
            <v>0.29545454545454541</v>
          </cell>
          <cell r="CI17">
            <v>0.18784530386740328</v>
          </cell>
          <cell r="CJ17">
            <v>0.20473537604456826</v>
          </cell>
          <cell r="CK17">
            <v>8.8397790055248615E-2</v>
          </cell>
          <cell r="CL17">
            <v>0.14213197969543145</v>
          </cell>
          <cell r="CM17" t="str">
            <v>Gulfstream</v>
          </cell>
          <cell r="CN17">
            <v>144</v>
          </cell>
          <cell r="CO17">
            <v>150</v>
          </cell>
          <cell r="CP17" t="str">
            <v>Info. Systems &amp; Tech.</v>
          </cell>
          <cell r="CQ17">
            <v>169</v>
          </cell>
          <cell r="CR17">
            <v>192</v>
          </cell>
          <cell r="CS17">
            <v>361</v>
          </cell>
          <cell r="CT17">
            <v>176</v>
          </cell>
          <cell r="CU17">
            <v>537</v>
          </cell>
          <cell r="CV17">
            <v>181</v>
          </cell>
          <cell r="CW17">
            <v>718</v>
          </cell>
          <cell r="CX17">
            <v>0.52252252252252251</v>
          </cell>
          <cell r="CY17">
            <v>0.352112676056338</v>
          </cell>
          <cell r="CZ17">
            <v>0.20547945205479445</v>
          </cell>
          <cell r="DA17">
            <v>0.32116788321167888</v>
          </cell>
          <cell r="DB17">
            <v>0.34709193245778613</v>
          </cell>
          <cell r="DC17">
            <v>0.23357664233576636</v>
          </cell>
          <cell r="DD17">
            <v>0.13609467455621305</v>
          </cell>
          <cell r="DE17" t="str">
            <v>Gulfstream</v>
          </cell>
          <cell r="DF17">
            <v>144</v>
          </cell>
          <cell r="DG17">
            <v>157</v>
          </cell>
          <cell r="DH17" t="str">
            <v>Info. Systems &amp; Tech.</v>
          </cell>
          <cell r="DI17">
            <v>111</v>
          </cell>
          <cell r="DJ17">
            <v>142</v>
          </cell>
          <cell r="DK17">
            <v>253</v>
          </cell>
          <cell r="DL17">
            <v>146</v>
          </cell>
          <cell r="DM17">
            <v>399</v>
          </cell>
          <cell r="DN17">
            <v>137</v>
          </cell>
          <cell r="DO17">
            <v>533</v>
          </cell>
          <cell r="DP17">
            <v>0.21978021978021978</v>
          </cell>
          <cell r="DQ17">
            <v>0.37864077669902912</v>
          </cell>
          <cell r="DR17">
            <v>8.1481481481481488E-2</v>
          </cell>
          <cell r="DS17">
            <v>0.29245283018867924</v>
          </cell>
          <cell r="DT17">
            <v>0.22528735632183908</v>
          </cell>
          <cell r="DU17">
            <v>4.7169811320754818E-2</v>
          </cell>
          <cell r="DV17">
            <v>0.27927927927927931</v>
          </cell>
          <cell r="DW17">
            <v>2.8169014084507005E-2</v>
          </cell>
          <cell r="DX17">
            <v>-6.164383561643838E-2</v>
          </cell>
          <cell r="DZ17" t="str">
            <v>Info Sys &amp; Tech</v>
          </cell>
          <cell r="EA17">
            <v>91</v>
          </cell>
          <cell r="EB17">
            <v>103</v>
          </cell>
          <cell r="EC17">
            <v>194</v>
          </cell>
          <cell r="ED17">
            <v>135</v>
          </cell>
          <cell r="EE17">
            <v>329</v>
          </cell>
          <cell r="EF17">
            <v>106</v>
          </cell>
          <cell r="EG17">
            <v>435</v>
          </cell>
          <cell r="EH17">
            <v>0.51666666666666672</v>
          </cell>
          <cell r="EI17">
            <v>0.68852459016393441</v>
          </cell>
          <cell r="EJ17">
            <v>1.2881355932203389</v>
          </cell>
          <cell r="EK17">
            <v>0.30864197530864196</v>
          </cell>
          <cell r="EL17">
            <v>0.66666666666666663</v>
          </cell>
          <cell r="EM17">
            <v>0.12345679012345689</v>
          </cell>
          <cell r="EN17">
            <v>0.13186813186813184</v>
          </cell>
          <cell r="EO17">
            <v>0.31067961165048552</v>
          </cell>
          <cell r="EP17">
            <v>-0.21481481481481479</v>
          </cell>
          <cell r="ER17" t="str">
            <v>Info Sys &amp; Tech</v>
          </cell>
          <cell r="ES17">
            <v>60</v>
          </cell>
          <cell r="ET17">
            <v>61</v>
          </cell>
          <cell r="EU17">
            <v>121</v>
          </cell>
          <cell r="EV17">
            <v>59</v>
          </cell>
          <cell r="EW17">
            <v>180</v>
          </cell>
          <cell r="EX17">
            <v>81</v>
          </cell>
          <cell r="EY17">
            <v>261</v>
          </cell>
          <cell r="EZ17">
            <v>3.4482758620689655E-2</v>
          </cell>
          <cell r="FA17">
            <v>0.15094339622641509</v>
          </cell>
          <cell r="FB17">
            <v>7.2727272727272724E-2</v>
          </cell>
          <cell r="FC17">
            <v>0.58823529411764708</v>
          </cell>
          <cell r="FD17">
            <v>0.20276497695852536</v>
          </cell>
          <cell r="FE17">
            <v>0.17647058823529416</v>
          </cell>
          <cell r="FF17">
            <v>1.6666666666666607E-2</v>
          </cell>
          <cell r="FG17">
            <v>-3.2786885245901676E-2</v>
          </cell>
          <cell r="FH17">
            <v>0.37288135593220328</v>
          </cell>
          <cell r="FJ17" t="str">
            <v>Info Sys &amp; Tech</v>
          </cell>
          <cell r="FK17">
            <v>58</v>
          </cell>
          <cell r="FL17">
            <v>53</v>
          </cell>
          <cell r="FM17">
            <v>111</v>
          </cell>
          <cell r="FN17">
            <v>55</v>
          </cell>
          <cell r="FO17">
            <v>166</v>
          </cell>
          <cell r="FP17">
            <v>51</v>
          </cell>
          <cell r="FQ17">
            <v>217</v>
          </cell>
          <cell r="FR17">
            <v>1.9</v>
          </cell>
          <cell r="FS17">
            <v>1.2083333333333333</v>
          </cell>
          <cell r="FT17">
            <v>0.83333333333333337</v>
          </cell>
          <cell r="FU17">
            <v>-3.7735849056603772E-2</v>
          </cell>
          <cell r="FV17">
            <v>0.70866141732283461</v>
          </cell>
          <cell r="FW17">
            <v>9.4339622641509413E-2</v>
          </cell>
          <cell r="FX17">
            <v>-8.6206896551724088E-2</v>
          </cell>
          <cell r="FY17">
            <v>3.7735849056603765E-2</v>
          </cell>
          <cell r="FZ17">
            <v>-7.2727272727272751E-2</v>
          </cell>
          <cell r="GB17" t="str">
            <v>Info Sys &amp; Tech</v>
          </cell>
          <cell r="GC17">
            <v>20</v>
          </cell>
          <cell r="GD17">
            <v>24</v>
          </cell>
          <cell r="GE17">
            <v>44</v>
          </cell>
          <cell r="GF17">
            <v>30</v>
          </cell>
          <cell r="GG17">
            <v>74</v>
          </cell>
          <cell r="GH17">
            <v>53</v>
          </cell>
          <cell r="GI17">
            <v>127</v>
          </cell>
          <cell r="GJ17">
            <v>0.42857142857142855</v>
          </cell>
          <cell r="GK17">
            <v>0.84615384615384615</v>
          </cell>
          <cell r="GL17">
            <v>0.66666666666666663</v>
          </cell>
          <cell r="GM17">
            <v>1.2083333333333333</v>
          </cell>
          <cell r="GN17">
            <v>0.84057971014492749</v>
          </cell>
          <cell r="GP17">
            <v>0.19999999999999996</v>
          </cell>
          <cell r="GQ17">
            <v>0.25</v>
          </cell>
          <cell r="GR17">
            <v>0.76666666666666661</v>
          </cell>
        </row>
        <row r="18">
          <cell r="B18" t="str">
            <v>Aerospace</v>
          </cell>
          <cell r="C18">
            <v>200</v>
          </cell>
          <cell r="D18">
            <v>215</v>
          </cell>
          <cell r="E18">
            <v>415</v>
          </cell>
          <cell r="F18">
            <v>100</v>
          </cell>
          <cell r="G18">
            <v>515</v>
          </cell>
          <cell r="H18">
            <v>193.75</v>
          </cell>
          <cell r="I18">
            <v>708.75</v>
          </cell>
          <cell r="J18">
            <v>-0.15254237288135597</v>
          </cell>
          <cell r="K18">
            <v>-0.10416666666666663</v>
          </cell>
          <cell r="L18">
            <v>-0.64412811387900359</v>
          </cell>
          <cell r="M18">
            <v>-0.26609848484848486</v>
          </cell>
          <cell r="N18">
            <v>-0.30582761998041141</v>
          </cell>
          <cell r="O18">
            <v>-0.24242424242424243</v>
          </cell>
          <cell r="P18">
            <v>7.4999999999999956E-2</v>
          </cell>
          <cell r="Q18">
            <v>-0.53488372093023262</v>
          </cell>
          <cell r="R18">
            <v>0.9375</v>
          </cell>
          <cell r="U18" t="str">
            <v>Aerospace</v>
          </cell>
          <cell r="V18">
            <v>236</v>
          </cell>
          <cell r="W18">
            <v>240</v>
          </cell>
          <cell r="X18">
            <v>476</v>
          </cell>
          <cell r="Y18">
            <v>281</v>
          </cell>
          <cell r="Z18">
            <v>757</v>
          </cell>
          <cell r="AA18">
            <v>264</v>
          </cell>
          <cell r="AB18">
            <v>1021</v>
          </cell>
          <cell r="AC18">
            <v>0.36416184971098264</v>
          </cell>
          <cell r="AD18">
            <v>0.20603015075376874</v>
          </cell>
          <cell r="AE18">
            <v>0.24336283185840712</v>
          </cell>
          <cell r="AF18">
            <v>0.24528301886792447</v>
          </cell>
          <cell r="AG18">
            <v>0.26049382716049374</v>
          </cell>
          <cell r="AH18">
            <v>0.1132075471698113</v>
          </cell>
          <cell r="AI18">
            <v>1.6949152542372836E-2</v>
          </cell>
          <cell r="AJ18">
            <v>0.17083333333333339</v>
          </cell>
          <cell r="AK18">
            <v>-6.0498220640569422E-2</v>
          </cell>
          <cell r="AN18" t="str">
            <v>Aerospace</v>
          </cell>
          <cell r="AO18">
            <v>173</v>
          </cell>
          <cell r="AP18">
            <v>199</v>
          </cell>
          <cell r="AQ18">
            <v>372</v>
          </cell>
          <cell r="AR18">
            <v>226</v>
          </cell>
          <cell r="AS18">
            <v>598</v>
          </cell>
          <cell r="AT18">
            <v>212</v>
          </cell>
          <cell r="AU18">
            <v>810</v>
          </cell>
          <cell r="AV18">
            <v>0.19310344827586201</v>
          </cell>
          <cell r="AW18">
            <v>0.1987951807228916</v>
          </cell>
          <cell r="AX18">
            <v>0.36969696969696964</v>
          </cell>
          <cell r="AY18">
            <v>0.26190476190476186</v>
          </cell>
          <cell r="AZ18">
            <v>0.2577639751552796</v>
          </cell>
          <cell r="BA18">
            <v>2.9761904761904656E-2</v>
          </cell>
          <cell r="BB18">
            <v>0.1502890173410405</v>
          </cell>
          <cell r="BC18">
            <v>0.13567839195979903</v>
          </cell>
          <cell r="BD18">
            <v>-6.1946902654867242E-2</v>
          </cell>
          <cell r="BF18" t="str">
            <v>Aerospace</v>
          </cell>
          <cell r="BG18">
            <v>145</v>
          </cell>
          <cell r="BH18">
            <v>166</v>
          </cell>
          <cell r="BI18">
            <v>311</v>
          </cell>
          <cell r="BJ18">
            <v>165</v>
          </cell>
          <cell r="BK18">
            <v>476</v>
          </cell>
          <cell r="BL18">
            <v>168</v>
          </cell>
          <cell r="BM18">
            <v>644</v>
          </cell>
          <cell r="BN18">
            <v>0.43564356435643559</v>
          </cell>
          <cell r="BO18">
            <v>0.32800000000000007</v>
          </cell>
          <cell r="BP18">
            <v>0.13013698630136994</v>
          </cell>
          <cell r="BQ18">
            <v>0.36585365853658547</v>
          </cell>
          <cell r="BR18">
            <v>0.30101010101010095</v>
          </cell>
          <cell r="BS18">
            <v>0.17886178861788626</v>
          </cell>
          <cell r="BT18">
            <v>0.14482758620689662</v>
          </cell>
          <cell r="BU18">
            <v>-6.0240963855421326E-3</v>
          </cell>
          <cell r="BV18">
            <v>1.8181818181818077E-2</v>
          </cell>
          <cell r="BX18" t="str">
            <v>Aerospace</v>
          </cell>
          <cell r="BY18">
            <v>101</v>
          </cell>
          <cell r="BZ18">
            <v>125</v>
          </cell>
          <cell r="CA18">
            <v>226</v>
          </cell>
          <cell r="CB18">
            <v>146</v>
          </cell>
          <cell r="CC18">
            <v>372</v>
          </cell>
          <cell r="CD18">
            <v>123</v>
          </cell>
          <cell r="CE18">
            <v>495</v>
          </cell>
          <cell r="CF18">
            <v>0.53030303030303028</v>
          </cell>
          <cell r="CG18">
            <v>0.32978723404255317</v>
          </cell>
          <cell r="CH18">
            <v>0.24786324786324787</v>
          </cell>
          <cell r="CI18">
            <v>6.0344827586206851E-2</v>
          </cell>
          <cell r="CJ18">
            <v>0.25954198473282442</v>
          </cell>
          <cell r="CK18">
            <v>-0.12931034482758619</v>
          </cell>
          <cell r="CL18">
            <v>0.23762376237623761</v>
          </cell>
          <cell r="CM18" t="str">
            <v>Other</v>
          </cell>
          <cell r="CN18">
            <v>6</v>
          </cell>
          <cell r="CO18">
            <v>25</v>
          </cell>
          <cell r="CP18" t="str">
            <v>Aerospace</v>
          </cell>
          <cell r="CQ18">
            <v>66</v>
          </cell>
          <cell r="CR18">
            <v>94</v>
          </cell>
          <cell r="CS18">
            <v>160</v>
          </cell>
          <cell r="CT18">
            <v>117</v>
          </cell>
          <cell r="CU18">
            <v>277</v>
          </cell>
          <cell r="CV18">
            <v>116</v>
          </cell>
          <cell r="CW18">
            <v>393</v>
          </cell>
          <cell r="CX18">
            <v>0.64999999999999991</v>
          </cell>
          <cell r="CY18">
            <v>1.088888888888889</v>
          </cell>
          <cell r="CZ18">
            <v>1.3399999999999999</v>
          </cell>
          <cell r="DA18">
            <v>0.39759036144578319</v>
          </cell>
          <cell r="DB18">
            <v>0.80275229357798161</v>
          </cell>
          <cell r="DC18">
            <v>-0.20481927710843373</v>
          </cell>
          <cell r="DD18">
            <v>0.42424242424242431</v>
          </cell>
          <cell r="DE18" t="str">
            <v>Other</v>
          </cell>
          <cell r="DF18">
            <v>2</v>
          </cell>
          <cell r="DG18">
            <v>14</v>
          </cell>
          <cell r="DH18" t="str">
            <v>Aerospace</v>
          </cell>
          <cell r="DI18">
            <v>40</v>
          </cell>
          <cell r="DJ18">
            <v>45</v>
          </cell>
          <cell r="DK18">
            <v>85</v>
          </cell>
          <cell r="DL18">
            <v>50</v>
          </cell>
          <cell r="DM18">
            <v>135</v>
          </cell>
          <cell r="DN18">
            <v>83</v>
          </cell>
          <cell r="DO18">
            <v>218</v>
          </cell>
          <cell r="DP18">
            <v>-0.72222222222222221</v>
          </cell>
          <cell r="DQ18">
            <v>-0.7</v>
          </cell>
          <cell r="DR18">
            <v>-0.5</v>
          </cell>
          <cell r="DS18">
            <v>0.56603773584905659</v>
          </cell>
          <cell r="DT18">
            <v>-0.51230425055928408</v>
          </cell>
          <cell r="DU18">
            <v>-0.24528301886792447</v>
          </cell>
          <cell r="DV18">
            <v>0.125</v>
          </cell>
          <cell r="DW18">
            <v>0.11111111111111116</v>
          </cell>
          <cell r="DX18">
            <v>0.65999999999999992</v>
          </cell>
          <cell r="DZ18" t="str">
            <v>Gulfstream</v>
          </cell>
          <cell r="EA18">
            <v>144</v>
          </cell>
          <cell r="EB18">
            <v>150</v>
          </cell>
          <cell r="EC18">
            <v>294</v>
          </cell>
          <cell r="ED18">
            <v>100</v>
          </cell>
          <cell r="EE18">
            <v>394</v>
          </cell>
          <cell r="EF18">
            <v>53</v>
          </cell>
          <cell r="EG18">
            <v>447</v>
          </cell>
          <cell r="EH18">
            <v>0</v>
          </cell>
          <cell r="EI18">
            <v>-4.4585987261146494E-2</v>
          </cell>
          <cell r="EJ18">
            <v>-0.37888198757763975</v>
          </cell>
          <cell r="EK18">
            <v>-0.67484662576687116</v>
          </cell>
          <cell r="EL18">
            <v>-0.2848</v>
          </cell>
          <cell r="EM18">
            <v>-0.1165644171779141</v>
          </cell>
          <cell r="EN18">
            <v>4.1666666666666741E-2</v>
          </cell>
          <cell r="EO18">
            <v>-0.33333333333333337</v>
          </cell>
          <cell r="EP18">
            <v>-0.47</v>
          </cell>
          <cell r="ER18" t="str">
            <v>Gulfstream</v>
          </cell>
          <cell r="ES18">
            <v>144</v>
          </cell>
          <cell r="ET18">
            <v>157</v>
          </cell>
          <cell r="EU18">
            <v>301</v>
          </cell>
          <cell r="EV18">
            <v>161</v>
          </cell>
          <cell r="EW18">
            <v>462</v>
          </cell>
          <cell r="EX18">
            <v>163</v>
          </cell>
          <cell r="EY18">
            <v>625</v>
          </cell>
          <cell r="EZ18">
            <v>9.9236641221374045E-2</v>
          </cell>
          <cell r="FA18">
            <v>3.9735099337748346E-2</v>
          </cell>
          <cell r="FB18">
            <v>8.0536912751677847E-2</v>
          </cell>
          <cell r="FC18">
            <v>1.2422360248447204E-2</v>
          </cell>
          <cell r="FD18">
            <v>5.5743243243243243E-2</v>
          </cell>
          <cell r="FE18">
            <v>-0.10559006211180122</v>
          </cell>
          <cell r="FF18">
            <v>9.0277777777777679E-2</v>
          </cell>
          <cell r="FG18">
            <v>2.5477707006369421E-2</v>
          </cell>
          <cell r="FH18">
            <v>1.2422360248447228E-2</v>
          </cell>
          <cell r="FJ18" t="str">
            <v>Gulfstream</v>
          </cell>
          <cell r="FK18">
            <v>131</v>
          </cell>
          <cell r="FL18">
            <v>151</v>
          </cell>
          <cell r="FM18">
            <v>282</v>
          </cell>
          <cell r="FN18">
            <v>149</v>
          </cell>
          <cell r="FO18">
            <v>431</v>
          </cell>
          <cell r="FP18">
            <v>161</v>
          </cell>
          <cell r="FQ18">
            <v>592</v>
          </cell>
          <cell r="FR18">
            <v>0.34618546530746608</v>
          </cell>
          <cell r="FS18">
            <v>0.3062283737024219</v>
          </cell>
          <cell r="FT18">
            <v>0.1640625</v>
          </cell>
          <cell r="FU18">
            <v>0.14113177591290479</v>
          </cell>
          <cell r="FV18">
            <v>0.22821576763485477</v>
          </cell>
          <cell r="FW18">
            <v>-7.1501474257201658E-2</v>
          </cell>
          <cell r="FX18">
            <v>0.15267175572519087</v>
          </cell>
          <cell r="FY18">
            <v>-1.3245033112582738E-2</v>
          </cell>
          <cell r="FZ18">
            <v>8.0536912751677958E-2</v>
          </cell>
          <cell r="GB18" t="str">
            <v>Gulfstream</v>
          </cell>
          <cell r="GC18">
            <v>97.311999999999898</v>
          </cell>
          <cell r="GD18">
            <v>115.60000000000002</v>
          </cell>
          <cell r="GE18">
            <v>212.91199999999992</v>
          </cell>
          <cell r="GF18">
            <v>128</v>
          </cell>
          <cell r="GG18">
            <v>340.91199999999992</v>
          </cell>
          <cell r="GH18">
            <v>141.08800000000008</v>
          </cell>
          <cell r="GI18">
            <v>482</v>
          </cell>
          <cell r="GJ18">
            <v>0.40624277456647218</v>
          </cell>
          <cell r="GK18">
            <v>0.26200873362445448</v>
          </cell>
          <cell r="GL18">
            <v>0.23076923076923078</v>
          </cell>
          <cell r="GM18">
            <v>-4.974309859154932</v>
          </cell>
          <cell r="GN18">
            <v>1.1103327495621718</v>
          </cell>
          <cell r="GP18">
            <v>0.18793160144689391</v>
          </cell>
          <cell r="GQ18">
            <v>0.10726643598615904</v>
          </cell>
          <cell r="GR18">
            <v>0.10225000000000062</v>
          </cell>
        </row>
        <row r="19">
          <cell r="B19" t="str">
            <v>Resources</v>
          </cell>
          <cell r="C19">
            <v>-26</v>
          </cell>
          <cell r="D19">
            <v>-22</v>
          </cell>
          <cell r="E19">
            <v>-48</v>
          </cell>
          <cell r="F19">
            <v>-21</v>
          </cell>
          <cell r="G19">
            <v>-69</v>
          </cell>
          <cell r="H19">
            <v>-21</v>
          </cell>
          <cell r="I19">
            <v>-90</v>
          </cell>
          <cell r="J19">
            <v>0.625</v>
          </cell>
          <cell r="K19">
            <v>0.10000000000000009</v>
          </cell>
          <cell r="L19">
            <v>5.0000000000000044E-2</v>
          </cell>
          <cell r="M19">
            <v>0.10526315789473695</v>
          </cell>
          <cell r="N19">
            <v>0.19999999999999996</v>
          </cell>
          <cell r="O19">
            <v>0.36842105263157898</v>
          </cell>
          <cell r="P19">
            <v>-0.15384615384615385</v>
          </cell>
          <cell r="Q19">
            <v>-4.5454545454545414E-2</v>
          </cell>
          <cell r="R19">
            <v>0</v>
          </cell>
          <cell r="U19" t="str">
            <v>Resources</v>
          </cell>
          <cell r="V19">
            <v>-16</v>
          </cell>
          <cell r="W19">
            <v>-20</v>
          </cell>
          <cell r="X19">
            <v>-36</v>
          </cell>
          <cell r="Y19">
            <v>-20</v>
          </cell>
          <cell r="Z19">
            <v>-56</v>
          </cell>
          <cell r="AA19">
            <v>-19</v>
          </cell>
          <cell r="AB19">
            <v>-75</v>
          </cell>
          <cell r="AN19" t="str">
            <v>Resources</v>
          </cell>
          <cell r="AO19">
            <v>-14</v>
          </cell>
          <cell r="AP19">
            <v>-11</v>
          </cell>
          <cell r="AQ19">
            <v>-25</v>
          </cell>
          <cell r="AR19">
            <v>-17</v>
          </cell>
          <cell r="AS19">
            <v>-42</v>
          </cell>
          <cell r="AT19">
            <v>-19</v>
          </cell>
          <cell r="AU19">
            <v>-61</v>
          </cell>
          <cell r="BF19" t="str">
            <v>Resources</v>
          </cell>
          <cell r="BG19">
            <v>-13</v>
          </cell>
          <cell r="BH19">
            <v>-13</v>
          </cell>
          <cell r="BI19">
            <v>-26</v>
          </cell>
          <cell r="BJ19">
            <v>-12</v>
          </cell>
          <cell r="BK19">
            <v>-38</v>
          </cell>
          <cell r="BL19">
            <v>-9</v>
          </cell>
          <cell r="BM19">
            <v>-47</v>
          </cell>
          <cell r="BX19" t="str">
            <v>Resources</v>
          </cell>
          <cell r="BY19">
            <v>9</v>
          </cell>
          <cell r="BZ19">
            <v>1</v>
          </cell>
          <cell r="CA19">
            <v>10</v>
          </cell>
          <cell r="CB19">
            <v>-10</v>
          </cell>
          <cell r="CC19">
            <v>0</v>
          </cell>
          <cell r="CD19">
            <v>1</v>
          </cell>
          <cell r="CE19">
            <v>-6</v>
          </cell>
          <cell r="CM19" t="str">
            <v xml:space="preserve"> Total Operating Profit</v>
          </cell>
          <cell r="CN19">
            <v>369</v>
          </cell>
          <cell r="CO19">
            <v>423</v>
          </cell>
          <cell r="CP19" t="str">
            <v>Resources</v>
          </cell>
          <cell r="CQ19">
            <v>-9</v>
          </cell>
          <cell r="CR19">
            <v>7</v>
          </cell>
          <cell r="CS19">
            <v>-2</v>
          </cell>
          <cell r="CT19">
            <v>10</v>
          </cell>
          <cell r="CU19">
            <v>8</v>
          </cell>
          <cell r="CV19">
            <v>-2</v>
          </cell>
          <cell r="CW19">
            <v>6</v>
          </cell>
          <cell r="CX19">
            <v>-1.9</v>
          </cell>
          <cell r="CY19">
            <v>-0.22222222222222221</v>
          </cell>
          <cell r="CZ19">
            <v>0.25</v>
          </cell>
          <cell r="DA19">
            <v>-1.4</v>
          </cell>
          <cell r="DB19">
            <v>-0.8125</v>
          </cell>
          <cell r="DC19">
            <v>-2.8</v>
          </cell>
          <cell r="DD19">
            <v>-1.7777777777777777</v>
          </cell>
          <cell r="DE19" t="str">
            <v xml:space="preserve"> Total Operating Profit</v>
          </cell>
          <cell r="DF19">
            <v>334</v>
          </cell>
          <cell r="DG19">
            <v>371</v>
          </cell>
          <cell r="DH19" t="str">
            <v>Resources</v>
          </cell>
          <cell r="DI19">
            <v>10</v>
          </cell>
          <cell r="DJ19">
            <v>9</v>
          </cell>
          <cell r="DK19">
            <v>19</v>
          </cell>
          <cell r="DL19">
            <v>8</v>
          </cell>
          <cell r="DM19">
            <v>27</v>
          </cell>
          <cell r="DN19">
            <v>5</v>
          </cell>
          <cell r="DO19">
            <v>32</v>
          </cell>
          <cell r="DP19" t="str">
            <v>nm</v>
          </cell>
          <cell r="DQ19">
            <v>-0.64</v>
          </cell>
          <cell r="DR19">
            <v>-0.74193548387096775</v>
          </cell>
          <cell r="DS19">
            <v>-0.81481481481481477</v>
          </cell>
          <cell r="DT19">
            <v>-0.6404494382022472</v>
          </cell>
          <cell r="DU19">
            <v>-0.62962962962962965</v>
          </cell>
          <cell r="DV19">
            <v>-9.9999999999999978E-2</v>
          </cell>
          <cell r="DW19">
            <v>-0.11111111111111116</v>
          </cell>
          <cell r="DX19">
            <v>-0.375</v>
          </cell>
          <cell r="DZ19" t="str">
            <v>Other</v>
          </cell>
          <cell r="EA19">
            <v>6</v>
          </cell>
          <cell r="EB19">
            <v>25</v>
          </cell>
          <cell r="EC19">
            <v>31</v>
          </cell>
          <cell r="ED19">
            <v>31</v>
          </cell>
          <cell r="EE19">
            <v>62</v>
          </cell>
          <cell r="EF19">
            <v>27</v>
          </cell>
          <cell r="EG19">
            <v>89</v>
          </cell>
          <cell r="EH19" t="str">
            <v>nm</v>
          </cell>
          <cell r="EI19">
            <v>0.7857142857142857</v>
          </cell>
          <cell r="EJ19">
            <v>0.9375</v>
          </cell>
          <cell r="EK19">
            <v>0.35</v>
          </cell>
          <cell r="EL19">
            <v>0.71153846153846156</v>
          </cell>
          <cell r="EM19">
            <v>-0.7</v>
          </cell>
          <cell r="EN19">
            <v>3.166666666666667</v>
          </cell>
          <cell r="EO19">
            <v>0.24</v>
          </cell>
          <cell r="EP19">
            <v>-0.12903225806451613</v>
          </cell>
          <cell r="ER19" t="str">
            <v>Other</v>
          </cell>
          <cell r="ES19">
            <v>2</v>
          </cell>
          <cell r="ET19">
            <v>14</v>
          </cell>
          <cell r="EU19">
            <v>16</v>
          </cell>
          <cell r="EV19">
            <v>16</v>
          </cell>
          <cell r="EW19">
            <v>32</v>
          </cell>
          <cell r="EX19">
            <v>20</v>
          </cell>
          <cell r="EY19">
            <v>52</v>
          </cell>
          <cell r="EZ19" t="str">
            <v>nm</v>
          </cell>
          <cell r="FA19">
            <v>7.6923076923076927E-2</v>
          </cell>
          <cell r="FB19">
            <v>-0.15789473684210525</v>
          </cell>
          <cell r="FC19">
            <v>0.66666666666666663</v>
          </cell>
          <cell r="FD19">
            <v>0.44444444444444442</v>
          </cell>
          <cell r="FE19">
            <v>-0.83333333333333337</v>
          </cell>
          <cell r="FF19">
            <v>6</v>
          </cell>
          <cell r="FG19">
            <v>0.14285714285714279</v>
          </cell>
          <cell r="FH19">
            <v>0.25</v>
          </cell>
          <cell r="FJ19" t="str">
            <v>Other</v>
          </cell>
          <cell r="FK19">
            <v>-8</v>
          </cell>
          <cell r="FL19">
            <v>13</v>
          </cell>
          <cell r="FM19">
            <v>5</v>
          </cell>
          <cell r="FN19">
            <v>19</v>
          </cell>
          <cell r="FO19">
            <v>24</v>
          </cell>
          <cell r="FP19">
            <v>12</v>
          </cell>
          <cell r="FQ19">
            <v>36</v>
          </cell>
          <cell r="FR19" t="str">
            <v>nm</v>
          </cell>
          <cell r="FS19">
            <v>-0.23529411764705882</v>
          </cell>
          <cell r="FT19">
            <v>0.26666666666666666</v>
          </cell>
          <cell r="FU19">
            <v>-0.14285714285714285</v>
          </cell>
          <cell r="FV19">
            <v>-0.21739130434782608</v>
          </cell>
          <cell r="FW19">
            <v>-1.5714285714285714</v>
          </cell>
          <cell r="FX19">
            <v>-2.625</v>
          </cell>
          <cell r="FY19">
            <v>0.46153846153846145</v>
          </cell>
          <cell r="FZ19">
            <v>-0.36842105263157898</v>
          </cell>
          <cell r="GB19" t="str">
            <v>Other</v>
          </cell>
          <cell r="GC19">
            <v>0</v>
          </cell>
          <cell r="GD19">
            <v>17</v>
          </cell>
          <cell r="GE19">
            <v>17</v>
          </cell>
          <cell r="GF19">
            <v>15</v>
          </cell>
          <cell r="GG19">
            <v>32</v>
          </cell>
          <cell r="GH19">
            <v>14</v>
          </cell>
          <cell r="GI19">
            <v>46</v>
          </cell>
          <cell r="GJ19">
            <v>-1</v>
          </cell>
          <cell r="GK19">
            <v>0.30769230769230771</v>
          </cell>
          <cell r="GL19">
            <v>-6.25E-2</v>
          </cell>
          <cell r="GM19" t="str">
            <v>nm</v>
          </cell>
          <cell r="GN19">
            <v>0.4375</v>
          </cell>
          <cell r="GQ19">
            <v>-0.11764705882352944</v>
          </cell>
          <cell r="GR19">
            <v>-6.6666666666666652E-2</v>
          </cell>
        </row>
        <row r="20">
          <cell r="B20" t="str">
            <v>Total</v>
          </cell>
          <cell r="C20">
            <v>905</v>
          </cell>
          <cell r="D20">
            <v>945</v>
          </cell>
          <cell r="E20">
            <v>1850</v>
          </cell>
          <cell r="F20">
            <v>798.15</v>
          </cell>
          <cell r="G20">
            <v>2648.15</v>
          </cell>
          <cell r="H20">
            <v>936.87499999999989</v>
          </cell>
          <cell r="I20">
            <v>3585.0249999999996</v>
          </cell>
          <cell r="J20">
            <v>5.1103368176538932E-2</v>
          </cell>
          <cell r="K20">
            <v>2.6058631921824116E-2</v>
          </cell>
          <cell r="L20">
            <v>-0.14453376205787782</v>
          </cell>
          <cell r="M20">
            <v>-1.1993603411515341E-3</v>
          </cell>
          <cell r="N20">
            <v>-1.860799343005759E-2</v>
          </cell>
          <cell r="O20">
            <v>-3.5181236673774041E-2</v>
          </cell>
          <cell r="P20">
            <v>4.4198895027624419E-2</v>
          </cell>
          <cell r="Q20">
            <v>-0.15539682539682542</v>
          </cell>
          <cell r="R20">
            <v>0.17380818141953247</v>
          </cell>
          <cell r="U20" t="str">
            <v>Total</v>
          </cell>
          <cell r="V20">
            <v>861</v>
          </cell>
          <cell r="W20">
            <v>921</v>
          </cell>
          <cell r="X20">
            <v>1782</v>
          </cell>
          <cell r="Y20">
            <v>933</v>
          </cell>
          <cell r="Z20">
            <v>2715</v>
          </cell>
          <cell r="AA20">
            <v>938</v>
          </cell>
          <cell r="AB20">
            <v>3653</v>
          </cell>
          <cell r="AC20">
            <v>0.26431718061674014</v>
          </cell>
          <cell r="AD20">
            <v>0.21184210526315783</v>
          </cell>
          <cell r="AE20">
            <v>0.16479400749063666</v>
          </cell>
          <cell r="AF20">
            <v>7.6923076923076872E-2</v>
          </cell>
          <cell r="AG20">
            <v>0.1734661098618695</v>
          </cell>
          <cell r="AH20">
            <v>-1.1481056257175659E-2</v>
          </cell>
          <cell r="AI20">
            <v>6.9686411149825878E-2</v>
          </cell>
          <cell r="AJ20">
            <v>1.3029315960912058E-2</v>
          </cell>
          <cell r="AK20">
            <v>5.3590568060022381E-3</v>
          </cell>
          <cell r="AN20" t="str">
            <v>Total</v>
          </cell>
          <cell r="AO20">
            <v>681</v>
          </cell>
          <cell r="AP20">
            <v>760</v>
          </cell>
          <cell r="AQ20">
            <v>1441</v>
          </cell>
          <cell r="AR20">
            <v>801</v>
          </cell>
          <cell r="AS20">
            <v>2242</v>
          </cell>
          <cell r="AT20">
            <v>871</v>
          </cell>
          <cell r="AU20">
            <v>3113</v>
          </cell>
          <cell r="AV20">
            <v>0.14261744966442946</v>
          </cell>
          <cell r="AW20">
            <v>0.17103235747303547</v>
          </cell>
          <cell r="AX20">
            <v>0.18316100443131456</v>
          </cell>
          <cell r="AY20">
            <v>0.23897581792318645</v>
          </cell>
          <cell r="AZ20">
            <v>0.18590476190476179</v>
          </cell>
          <cell r="BA20">
            <v>-3.1294452347083945E-2</v>
          </cell>
          <cell r="BB20">
            <v>0.11600587371512483</v>
          </cell>
          <cell r="BC20">
            <v>5.3947368421052522E-2</v>
          </cell>
          <cell r="BD20">
            <v>8.739076154806491E-2</v>
          </cell>
          <cell r="BF20" t="str">
            <v>Total</v>
          </cell>
          <cell r="BG20">
            <v>596</v>
          </cell>
          <cell r="BH20">
            <v>649</v>
          </cell>
          <cell r="BI20">
            <v>1245</v>
          </cell>
          <cell r="BJ20">
            <v>677</v>
          </cell>
          <cell r="BK20">
            <v>1922</v>
          </cell>
          <cell r="BL20">
            <v>703</v>
          </cell>
          <cell r="BM20">
            <v>2625</v>
          </cell>
          <cell r="BN20">
            <v>0.29565217391304355</v>
          </cell>
          <cell r="BO20">
            <v>0.20408163265306123</v>
          </cell>
          <cell r="BP20">
            <v>0.17739130434782613</v>
          </cell>
          <cell r="BQ20">
            <v>0.14869281045751626</v>
          </cell>
          <cell r="BR20">
            <v>0.20468104635153739</v>
          </cell>
          <cell r="BS20">
            <v>-2.6143790849673221E-2</v>
          </cell>
          <cell r="BT20">
            <v>8.8926174496644306E-2</v>
          </cell>
          <cell r="BU20">
            <v>4.3143297380585421E-2</v>
          </cell>
          <cell r="BV20">
            <v>3.8404726735598249E-2</v>
          </cell>
          <cell r="BX20" t="str">
            <v>Total</v>
          </cell>
          <cell r="BY20">
            <v>460</v>
          </cell>
          <cell r="BZ20">
            <v>539</v>
          </cell>
          <cell r="CA20">
            <v>999</v>
          </cell>
          <cell r="CB20">
            <v>575</v>
          </cell>
          <cell r="CC20">
            <v>1574</v>
          </cell>
          <cell r="CD20">
            <v>612</v>
          </cell>
          <cell r="CE20">
            <v>2179</v>
          </cell>
          <cell r="CF20">
            <v>5.504587155963292E-2</v>
          </cell>
          <cell r="CG20">
            <v>0.11134020618556706</v>
          </cell>
          <cell r="CH20">
            <v>0.16632860040567943</v>
          </cell>
          <cell r="CI20">
            <v>0.18375241779497098</v>
          </cell>
          <cell r="CJ20">
            <v>0.12843086483687216</v>
          </cell>
          <cell r="CK20">
            <v>-0.11025145067698261</v>
          </cell>
          <cell r="CL20">
            <v>0.17173913043478262</v>
          </cell>
          <cell r="CM20" t="str">
            <v>Interest,net</v>
          </cell>
          <cell r="CN20">
            <v>-12</v>
          </cell>
          <cell r="CO20">
            <v>-11</v>
          </cell>
          <cell r="CP20" t="str">
            <v>Total</v>
          </cell>
          <cell r="CQ20">
            <v>436</v>
          </cell>
          <cell r="CR20">
            <v>485</v>
          </cell>
          <cell r="CS20">
            <v>921</v>
          </cell>
          <cell r="CT20">
            <v>493</v>
          </cell>
          <cell r="CU20">
            <v>1414</v>
          </cell>
          <cell r="CV20">
            <v>517</v>
          </cell>
          <cell r="CW20">
            <v>1931</v>
          </cell>
          <cell r="CX20">
            <v>0.38853503184713367</v>
          </cell>
          <cell r="CY20">
            <v>0.29333333333333322</v>
          </cell>
          <cell r="CZ20">
            <v>0.41260744985673359</v>
          </cell>
          <cell r="DA20">
            <v>0.27027027027027017</v>
          </cell>
          <cell r="DB20">
            <v>0.33911234396671297</v>
          </cell>
          <cell r="DC20">
            <v>7.1253071253071232E-2</v>
          </cell>
          <cell r="DD20">
            <v>0.11238532110091737</v>
          </cell>
          <cell r="DE20" t="str">
            <v>Interest,net</v>
          </cell>
          <cell r="DF20">
            <v>-12</v>
          </cell>
          <cell r="DG20">
            <v>-15</v>
          </cell>
          <cell r="DH20" t="str">
            <v>Total</v>
          </cell>
          <cell r="DI20">
            <v>314</v>
          </cell>
          <cell r="DJ20">
            <v>375</v>
          </cell>
          <cell r="DK20">
            <v>689</v>
          </cell>
          <cell r="DL20">
            <v>349</v>
          </cell>
          <cell r="DM20">
            <v>1038</v>
          </cell>
          <cell r="DN20">
            <v>407</v>
          </cell>
          <cell r="DO20">
            <v>1442</v>
          </cell>
          <cell r="DP20">
            <v>-0.14905149051490515</v>
          </cell>
          <cell r="DQ20">
            <v>-0.11347517730496454</v>
          </cell>
          <cell r="DR20">
            <v>-0.17688679245283018</v>
          </cell>
          <cell r="DS20">
            <v>0.15954415954415954</v>
          </cell>
          <cell r="DT20">
            <v>-7.9770261646458201E-2</v>
          </cell>
          <cell r="DU20">
            <v>-0.10541310541310545</v>
          </cell>
          <cell r="DV20">
            <v>0.19426751592356695</v>
          </cell>
          <cell r="DW20">
            <v>-6.9333333333333358E-2</v>
          </cell>
          <cell r="DX20">
            <v>0.16618911174785089</v>
          </cell>
          <cell r="DZ20" t="str">
            <v xml:space="preserve"> Total Operating Profit</v>
          </cell>
          <cell r="EA20">
            <v>369</v>
          </cell>
          <cell r="EB20">
            <v>423</v>
          </cell>
          <cell r="EC20">
            <v>792</v>
          </cell>
          <cell r="ED20">
            <v>424</v>
          </cell>
          <cell r="EE20">
            <v>1216</v>
          </cell>
          <cell r="EF20">
            <v>351</v>
          </cell>
          <cell r="EG20">
            <v>1567</v>
          </cell>
          <cell r="EH20">
            <v>0.10479041916167664</v>
          </cell>
          <cell r="EI20">
            <v>0.14016172506738545</v>
          </cell>
          <cell r="EJ20">
            <v>0.1276595744680851</v>
          </cell>
          <cell r="EK20">
            <v>-0.13333333333333333</v>
          </cell>
          <cell r="EL20">
            <v>5.4508748317631223E-2</v>
          </cell>
          <cell r="EM20">
            <v>-8.8888888888888906E-2</v>
          </cell>
          <cell r="EN20">
            <v>0.14634146341463405</v>
          </cell>
          <cell r="EO20">
            <v>2.3640661938533203E-3</v>
          </cell>
          <cell r="EP20">
            <v>-0.17216981132075471</v>
          </cell>
          <cell r="ER20" t="str">
            <v xml:space="preserve"> Total Operating Profit</v>
          </cell>
          <cell r="ES20">
            <v>334</v>
          </cell>
          <cell r="ET20">
            <v>371</v>
          </cell>
          <cell r="EU20">
            <v>705</v>
          </cell>
          <cell r="EV20">
            <v>376</v>
          </cell>
          <cell r="EW20">
            <v>1081</v>
          </cell>
          <cell r="EX20">
            <v>405</v>
          </cell>
          <cell r="EY20">
            <v>1486</v>
          </cell>
          <cell r="EZ20">
            <v>9.1503267973856203E-2</v>
          </cell>
          <cell r="FA20">
            <v>0.10746268656716418</v>
          </cell>
          <cell r="FB20">
            <v>0.11572700296735905</v>
          </cell>
          <cell r="FC20">
            <v>0.16714697406340057</v>
          </cell>
          <cell r="FD20">
            <v>0.12150943396226416</v>
          </cell>
          <cell r="FE20">
            <v>-3.7463976945244948E-2</v>
          </cell>
          <cell r="FF20">
            <v>0.11077844311377238</v>
          </cell>
          <cell r="FG20">
            <v>1.3477088948786964E-2</v>
          </cell>
          <cell r="FH20">
            <v>7.7127659574468099E-2</v>
          </cell>
          <cell r="FJ20" t="str">
            <v xml:space="preserve"> Total Operating Profit</v>
          </cell>
          <cell r="FK20">
            <v>306</v>
          </cell>
          <cell r="FL20">
            <v>335</v>
          </cell>
          <cell r="FM20">
            <v>641</v>
          </cell>
          <cell r="FN20">
            <v>337</v>
          </cell>
          <cell r="FO20">
            <v>978</v>
          </cell>
          <cell r="FP20">
            <v>347</v>
          </cell>
          <cell r="FQ20">
            <v>1325</v>
          </cell>
          <cell r="FR20">
            <v>0.27334465195246233</v>
          </cell>
          <cell r="FS20">
            <v>0.20244077530509683</v>
          </cell>
          <cell r="FT20">
            <v>0.16206896551724137</v>
          </cell>
          <cell r="FU20">
            <v>5.4429210423959297E-2</v>
          </cell>
          <cell r="FV20">
            <v>0.16432337434094904</v>
          </cell>
          <cell r="FW20">
            <v>-7.015752625437599E-2</v>
          </cell>
          <cell r="FX20">
            <v>9.4771241830065467E-2</v>
          </cell>
          <cell r="FY20">
            <v>5.9701492537314049E-3</v>
          </cell>
          <cell r="FZ20">
            <v>2.9673590504450953E-2</v>
          </cell>
          <cell r="GB20" t="str">
            <v xml:space="preserve"> Total Operating Profit</v>
          </cell>
          <cell r="GC20">
            <v>240.3119999999999</v>
          </cell>
          <cell r="GD20">
            <v>278.60000000000002</v>
          </cell>
          <cell r="GE20">
            <v>518.91199999999992</v>
          </cell>
          <cell r="GF20">
            <v>290</v>
          </cell>
          <cell r="GG20">
            <v>808.91199999999992</v>
          </cell>
          <cell r="GH20">
            <v>329.08800000000008</v>
          </cell>
          <cell r="GI20">
            <v>1138</v>
          </cell>
          <cell r="GJ20">
            <v>0.24385093167701799</v>
          </cell>
          <cell r="GK20">
            <v>0.22947925860547233</v>
          </cell>
          <cell r="GL20">
            <v>0.19341563786008231</v>
          </cell>
          <cell r="GM20">
            <v>1.7983673469387755</v>
          </cell>
          <cell r="GN20">
            <v>0.45822655048692984</v>
          </cell>
          <cell r="GP20">
            <v>0.15932620926129415</v>
          </cell>
          <cell r="GQ20">
            <v>4.091888011485989E-2</v>
          </cell>
          <cell r="GR20">
            <v>0.13478620689655196</v>
          </cell>
        </row>
        <row r="21">
          <cell r="B21" t="str">
            <v>Operating Margins</v>
          </cell>
          <cell r="U21" t="str">
            <v>Operating Margins</v>
          </cell>
          <cell r="AN21" t="str">
            <v>Operating Margins</v>
          </cell>
          <cell r="BF21" t="str">
            <v>Interest,net</v>
          </cell>
          <cell r="BG21">
            <v>-17</v>
          </cell>
          <cell r="BH21">
            <v>-23</v>
          </cell>
          <cell r="BI21">
            <v>-40</v>
          </cell>
          <cell r="BJ21">
            <v>-34</v>
          </cell>
          <cell r="BK21">
            <v>-74</v>
          </cell>
          <cell r="BL21">
            <v>-27</v>
          </cell>
          <cell r="BM21">
            <v>-101</v>
          </cell>
          <cell r="BN21">
            <v>-0.5</v>
          </cell>
          <cell r="BO21">
            <v>-0.2068965517241379</v>
          </cell>
          <cell r="BP21">
            <v>0.1333333333333333</v>
          </cell>
          <cell r="BQ21">
            <v>8.0000000000000071E-2</v>
          </cell>
          <cell r="BR21">
            <v>-0.14406779661016944</v>
          </cell>
          <cell r="BS21">
            <v>-0.31999999999999995</v>
          </cell>
          <cell r="BT21">
            <v>0.35294117647058831</v>
          </cell>
          <cell r="BU21">
            <v>0.47826086956521729</v>
          </cell>
          <cell r="BV21">
            <v>-0.20588235294117652</v>
          </cell>
          <cell r="BX21" t="str">
            <v>Interest,net</v>
          </cell>
          <cell r="BY21">
            <v>-34</v>
          </cell>
          <cell r="BZ21">
            <v>-29</v>
          </cell>
          <cell r="CA21">
            <v>-63</v>
          </cell>
          <cell r="CB21">
            <v>-30</v>
          </cell>
          <cell r="CC21">
            <v>-93</v>
          </cell>
          <cell r="CD21">
            <v>-25</v>
          </cell>
          <cell r="CE21">
            <v>-118</v>
          </cell>
          <cell r="CF21">
            <v>-0.12820512820512819</v>
          </cell>
          <cell r="CG21">
            <v>-0.25641025641025639</v>
          </cell>
          <cell r="CH21">
            <v>-9.0909090909090939E-2</v>
          </cell>
          <cell r="CI21">
            <v>-0.32432432432432434</v>
          </cell>
          <cell r="CJ21">
            <v>-0.20270270270270274</v>
          </cell>
          <cell r="CK21">
            <v>-8.108108108108103E-2</v>
          </cell>
          <cell r="CL21">
            <v>-0.1470588235294118</v>
          </cell>
          <cell r="CM21" t="str">
            <v>Other</v>
          </cell>
          <cell r="CN21">
            <v>-3</v>
          </cell>
          <cell r="CO21">
            <v>3</v>
          </cell>
          <cell r="CP21" t="str">
            <v>Interest,net</v>
          </cell>
          <cell r="CQ21">
            <v>-39</v>
          </cell>
          <cell r="CR21">
            <v>-39</v>
          </cell>
          <cell r="CS21">
            <v>-78</v>
          </cell>
          <cell r="CT21">
            <v>-33</v>
          </cell>
          <cell r="CU21">
            <v>-111</v>
          </cell>
          <cell r="CV21">
            <v>-37</v>
          </cell>
          <cell r="CW21">
            <v>-148</v>
          </cell>
          <cell r="CX21">
            <v>2.5454545454545454</v>
          </cell>
          <cell r="CY21">
            <v>1.0526315789473686</v>
          </cell>
          <cell r="CZ21">
            <v>0.13793103448275867</v>
          </cell>
          <cell r="DA21">
            <v>-5.1282051282051322E-2</v>
          </cell>
          <cell r="DB21">
            <v>0.51020408163265296</v>
          </cell>
          <cell r="DC21">
            <v>0</v>
          </cell>
          <cell r="DD21">
            <v>0</v>
          </cell>
          <cell r="DE21" t="str">
            <v>Other</v>
          </cell>
          <cell r="DF21">
            <v>8</v>
          </cell>
          <cell r="DG21">
            <v>-3</v>
          </cell>
          <cell r="DH21" t="str">
            <v>Interest,net</v>
          </cell>
          <cell r="DI21">
            <v>-11</v>
          </cell>
          <cell r="DJ21">
            <v>-19</v>
          </cell>
          <cell r="DK21">
            <v>-30</v>
          </cell>
          <cell r="DL21">
            <v>-29</v>
          </cell>
          <cell r="DM21">
            <v>-59</v>
          </cell>
          <cell r="DN21">
            <v>-39</v>
          </cell>
          <cell r="DO21">
            <v>-98</v>
          </cell>
          <cell r="DP21" t="str">
            <v>nm</v>
          </cell>
          <cell r="DQ21" t="str">
            <v>nm</v>
          </cell>
          <cell r="DR21" t="str">
            <v>nm</v>
          </cell>
          <cell r="DS21" t="str">
            <v>nm</v>
          </cell>
          <cell r="DT21">
            <v>1.1777777777777778</v>
          </cell>
          <cell r="DU21" t="str">
            <v>nm</v>
          </cell>
          <cell r="DV21" t="str">
            <v>nm</v>
          </cell>
          <cell r="DW21" t="str">
            <v>nm</v>
          </cell>
          <cell r="DX21" t="str">
            <v>nm</v>
          </cell>
          <cell r="DZ21" t="str">
            <v>Interest,net</v>
          </cell>
          <cell r="EA21">
            <v>-12</v>
          </cell>
          <cell r="EB21">
            <v>-11</v>
          </cell>
          <cell r="EC21">
            <v>-23</v>
          </cell>
          <cell r="ED21">
            <v>0.12911084043848964</v>
          </cell>
          <cell r="EE21">
            <v>-22.870889159561511</v>
          </cell>
          <cell r="EF21">
            <v>-11</v>
          </cell>
          <cell r="EG21">
            <v>-45</v>
          </cell>
          <cell r="EH21" t="str">
            <v>nm</v>
          </cell>
          <cell r="EI21" t="str">
            <v>nm</v>
          </cell>
          <cell r="EJ21" t="str">
            <v>nm</v>
          </cell>
          <cell r="EK21" t="str">
            <v>nm</v>
          </cell>
          <cell r="EL21">
            <v>-0.19642857142857142</v>
          </cell>
          <cell r="EM21" t="str">
            <v>nm</v>
          </cell>
          <cell r="EN21" t="str">
            <v>nm</v>
          </cell>
          <cell r="EO21" t="str">
            <v>nm</v>
          </cell>
          <cell r="EP21" t="str">
            <v>nm</v>
          </cell>
          <cell r="ER21" t="str">
            <v>Interest,net</v>
          </cell>
          <cell r="ES21">
            <v>-12</v>
          </cell>
          <cell r="ET21">
            <v>-15</v>
          </cell>
          <cell r="EU21">
            <v>-27</v>
          </cell>
          <cell r="EV21">
            <v>-13</v>
          </cell>
          <cell r="EW21">
            <v>-40</v>
          </cell>
          <cell r="EX21">
            <v>-16</v>
          </cell>
          <cell r="EY21">
            <v>-56</v>
          </cell>
          <cell r="EZ21" t="str">
            <v>nm</v>
          </cell>
          <cell r="FA21" t="str">
            <v>nm</v>
          </cell>
          <cell r="FB21" t="str">
            <v>nm</v>
          </cell>
          <cell r="FC21" t="str">
            <v>nm</v>
          </cell>
          <cell r="FD21">
            <v>-6.6666666666666666E-2</v>
          </cell>
          <cell r="FE21" t="str">
            <v>nm</v>
          </cell>
          <cell r="FF21" t="str">
            <v>nm</v>
          </cell>
          <cell r="FG21" t="str">
            <v>nm</v>
          </cell>
          <cell r="FH21" t="str">
            <v>nm</v>
          </cell>
          <cell r="FJ21" t="str">
            <v>Interest,net</v>
          </cell>
          <cell r="FK21">
            <v>-19</v>
          </cell>
          <cell r="FL21">
            <v>-16</v>
          </cell>
          <cell r="FM21">
            <v>-35</v>
          </cell>
          <cell r="FN21">
            <v>-17</v>
          </cell>
          <cell r="FO21">
            <v>-52</v>
          </cell>
          <cell r="FP21">
            <v>-8</v>
          </cell>
          <cell r="FQ21">
            <v>-60</v>
          </cell>
          <cell r="FR21" t="str">
            <v>nm</v>
          </cell>
          <cell r="FS21" t="str">
            <v>nm</v>
          </cell>
          <cell r="FT21" t="str">
            <v>nm</v>
          </cell>
          <cell r="FU21" t="str">
            <v>nm</v>
          </cell>
          <cell r="FV21">
            <v>0.76470588235294112</v>
          </cell>
          <cell r="FW21" t="str">
            <v>nm</v>
          </cell>
          <cell r="FX21" t="str">
            <v>nm</v>
          </cell>
          <cell r="FY21" t="str">
            <v>nm</v>
          </cell>
          <cell r="FZ21" t="str">
            <v>nm</v>
          </cell>
          <cell r="GB21" t="str">
            <v>Interest,net</v>
          </cell>
          <cell r="GC21">
            <v>-5.5</v>
          </cell>
          <cell r="GD21">
            <v>-5</v>
          </cell>
          <cell r="GE21">
            <v>-10.5</v>
          </cell>
          <cell r="GF21">
            <v>-6</v>
          </cell>
          <cell r="GG21">
            <v>-16.5</v>
          </cell>
          <cell r="GH21">
            <v>-17.5</v>
          </cell>
          <cell r="GI21">
            <v>-34</v>
          </cell>
          <cell r="GJ21" t="str">
            <v>nm</v>
          </cell>
          <cell r="GK21" t="str">
            <v>nm</v>
          </cell>
          <cell r="GL21" t="str">
            <v>nm</v>
          </cell>
          <cell r="GM21" t="str">
            <v>nm</v>
          </cell>
          <cell r="GN21" t="str">
            <v>nm</v>
          </cell>
          <cell r="GP21" t="str">
            <v>nm</v>
          </cell>
          <cell r="GQ21" t="str">
            <v>nm</v>
          </cell>
          <cell r="GR21" t="str">
            <v>nm</v>
          </cell>
        </row>
        <row r="22">
          <cell r="B22" t="str">
            <v>Marine Systems</v>
          </cell>
          <cell r="C22">
            <v>9.7663271420011979E-2</v>
          </cell>
          <cell r="D22">
            <v>0.10338461538461538</v>
          </cell>
          <cell r="E22">
            <v>0.10048573163327262</v>
          </cell>
          <cell r="F22">
            <v>9.2999999999999999E-2</v>
          </cell>
          <cell r="G22">
            <v>9.8090421139554088E-2</v>
          </cell>
          <cell r="H22">
            <v>9.5719178082191797E-2</v>
          </cell>
          <cell r="I22">
            <v>9.7500000000000003E-2</v>
          </cell>
          <cell r="U22" t="str">
            <v>Marine Systems</v>
          </cell>
          <cell r="V22">
            <v>8.8534107402031936E-2</v>
          </cell>
          <cell r="W22">
            <v>9.1104734576757537E-2</v>
          </cell>
          <cell r="X22">
            <v>8.9826839826839824E-2</v>
          </cell>
          <cell r="Y22">
            <v>9.9715099715099717E-2</v>
          </cell>
          <cell r="Z22">
            <v>9.3151340996168577E-2</v>
          </cell>
          <cell r="AA22">
            <v>9.5652173913043481E-2</v>
          </cell>
          <cell r="AB22">
            <v>9.3772498200143994E-2</v>
          </cell>
          <cell r="AN22" t="str">
            <v>Marine Systems</v>
          </cell>
          <cell r="AO22">
            <v>7.7963404932378674E-2</v>
          </cell>
          <cell r="AP22">
            <v>8.8050314465408799E-2</v>
          </cell>
          <cell r="AQ22">
            <v>8.3036773428232499E-2</v>
          </cell>
          <cell r="AR22">
            <v>8.8282504012841087E-2</v>
          </cell>
          <cell r="AS22">
            <v>8.4768211920529801E-2</v>
          </cell>
          <cell r="AT22">
            <v>8.2922824302134643E-2</v>
          </cell>
          <cell r="AU22">
            <v>8.431804526336871E-2</v>
          </cell>
          <cell r="BF22" t="str">
            <v>Other</v>
          </cell>
          <cell r="BG22">
            <v>0</v>
          </cell>
          <cell r="BH22">
            <v>2</v>
          </cell>
          <cell r="BI22">
            <v>2</v>
          </cell>
          <cell r="BJ22">
            <v>1</v>
          </cell>
          <cell r="BK22">
            <v>3</v>
          </cell>
          <cell r="BL22">
            <v>0</v>
          </cell>
          <cell r="BM22">
            <v>3</v>
          </cell>
          <cell r="BX22" t="str">
            <v>Other</v>
          </cell>
          <cell r="BY22">
            <v>-1</v>
          </cell>
          <cell r="BZ22">
            <v>1</v>
          </cell>
          <cell r="CA22">
            <v>0</v>
          </cell>
          <cell r="CB22">
            <v>-4</v>
          </cell>
          <cell r="CC22">
            <v>-4</v>
          </cell>
          <cell r="CD22">
            <v>12</v>
          </cell>
          <cell r="CE22">
            <v>8</v>
          </cell>
          <cell r="CM22" t="str">
            <v>Pretax Inc</v>
          </cell>
          <cell r="CN22">
            <v>354</v>
          </cell>
          <cell r="CO22">
            <v>415</v>
          </cell>
          <cell r="CP22" t="str">
            <v>Other</v>
          </cell>
          <cell r="CQ22">
            <v>0</v>
          </cell>
          <cell r="CR22">
            <v>-12</v>
          </cell>
          <cell r="CS22">
            <v>-12</v>
          </cell>
          <cell r="CT22">
            <v>3</v>
          </cell>
          <cell r="CU22">
            <v>-9</v>
          </cell>
          <cell r="CV22">
            <v>0</v>
          </cell>
          <cell r="CW22">
            <v>-9</v>
          </cell>
          <cell r="CX22">
            <v>-1.3020833333333334E-2</v>
          </cell>
          <cell r="CY22">
            <v>0.10105263157894737</v>
          </cell>
          <cell r="DE22" t="str">
            <v>Pretax Inc</v>
          </cell>
          <cell r="DF22">
            <v>330</v>
          </cell>
          <cell r="DG22">
            <v>353</v>
          </cell>
          <cell r="DH22" t="str">
            <v>Other</v>
          </cell>
          <cell r="DI22">
            <v>4</v>
          </cell>
          <cell r="DJ22">
            <v>2</v>
          </cell>
          <cell r="DK22">
            <v>6</v>
          </cell>
          <cell r="DL22">
            <v>-3</v>
          </cell>
          <cell r="DM22">
            <v>3</v>
          </cell>
          <cell r="DN22">
            <v>0</v>
          </cell>
          <cell r="DO22">
            <v>3</v>
          </cell>
          <cell r="DP22" t="str">
            <v>nm</v>
          </cell>
          <cell r="DQ22" t="str">
            <v>nm</v>
          </cell>
          <cell r="DR22" t="str">
            <v>nm</v>
          </cell>
          <cell r="DS22" t="str">
            <v>nm</v>
          </cell>
          <cell r="DT22" t="str">
            <v>nm</v>
          </cell>
          <cell r="DU22" t="str">
            <v>nm</v>
          </cell>
          <cell r="DV22" t="str">
            <v>nm</v>
          </cell>
          <cell r="DW22" t="str">
            <v>nm</v>
          </cell>
          <cell r="DX22" t="str">
            <v>nm</v>
          </cell>
          <cell r="DZ22" t="str">
            <v>Other</v>
          </cell>
          <cell r="EA22">
            <v>-3</v>
          </cell>
          <cell r="EB22">
            <v>3</v>
          </cell>
          <cell r="EC22">
            <v>0</v>
          </cell>
          <cell r="ED22">
            <v>-11</v>
          </cell>
          <cell r="EE22">
            <v>-11</v>
          </cell>
          <cell r="EF22">
            <v>39</v>
          </cell>
          <cell r="EG22">
            <v>47</v>
          </cell>
          <cell r="EH22" t="str">
            <v>nm</v>
          </cell>
          <cell r="EI22" t="str">
            <v>nm</v>
          </cell>
          <cell r="EJ22" t="str">
            <v>nm</v>
          </cell>
          <cell r="EK22" t="str">
            <v>nm</v>
          </cell>
          <cell r="EL22" t="str">
            <v>nm</v>
          </cell>
          <cell r="EM22" t="str">
            <v>nm</v>
          </cell>
          <cell r="EN22" t="str">
            <v>nm</v>
          </cell>
          <cell r="EO22" t="str">
            <v>nm</v>
          </cell>
          <cell r="EP22" t="str">
            <v>nm</v>
          </cell>
          <cell r="ER22" t="str">
            <v>Other</v>
          </cell>
          <cell r="ES22">
            <v>8</v>
          </cell>
          <cell r="ET22">
            <v>-3</v>
          </cell>
          <cell r="EU22">
            <v>5</v>
          </cell>
          <cell r="EV22">
            <v>-5</v>
          </cell>
          <cell r="EW22">
            <v>0</v>
          </cell>
          <cell r="EX22">
            <v>-5</v>
          </cell>
          <cell r="EY22">
            <v>-5</v>
          </cell>
          <cell r="EZ22" t="str">
            <v>nm</v>
          </cell>
          <cell r="FA22" t="str">
            <v>nm</v>
          </cell>
          <cell r="FB22" t="str">
            <v>nm</v>
          </cell>
          <cell r="FC22">
            <v>1.5</v>
          </cell>
          <cell r="FD22">
            <v>-0.2857142857142857</v>
          </cell>
          <cell r="FE22" t="str">
            <v>nm</v>
          </cell>
          <cell r="FF22" t="str">
            <v>nm</v>
          </cell>
          <cell r="FG22" t="str">
            <v>nm</v>
          </cell>
          <cell r="FH22" t="str">
            <v>nm</v>
          </cell>
          <cell r="FJ22" t="str">
            <v>Other</v>
          </cell>
          <cell r="FK22">
            <v>-1</v>
          </cell>
          <cell r="FL22">
            <v>-1</v>
          </cell>
          <cell r="FM22">
            <v>-2</v>
          </cell>
          <cell r="FN22">
            <v>-3</v>
          </cell>
          <cell r="FO22">
            <v>-5</v>
          </cell>
          <cell r="FP22">
            <v>-2</v>
          </cell>
          <cell r="FQ22">
            <v>-7</v>
          </cell>
          <cell r="FR22" t="str">
            <v>nm</v>
          </cell>
          <cell r="FS22" t="str">
            <v>nm</v>
          </cell>
          <cell r="FT22" t="str">
            <v>nm</v>
          </cell>
          <cell r="FU22">
            <v>-1.1111111111111112</v>
          </cell>
          <cell r="FV22">
            <v>-1.3181818181818181</v>
          </cell>
          <cell r="FW22" t="str">
            <v>nm</v>
          </cell>
          <cell r="FX22" t="str">
            <v>nm</v>
          </cell>
          <cell r="FY22" t="str">
            <v>nm</v>
          </cell>
          <cell r="FZ22" t="str">
            <v>nm</v>
          </cell>
          <cell r="GB22" t="str">
            <v>Other</v>
          </cell>
          <cell r="GC22">
            <v>9</v>
          </cell>
          <cell r="GD22">
            <v>-4</v>
          </cell>
          <cell r="GE22">
            <v>5</v>
          </cell>
          <cell r="GF22">
            <v>-1</v>
          </cell>
          <cell r="GG22">
            <v>4</v>
          </cell>
          <cell r="GH22">
            <v>18</v>
          </cell>
          <cell r="GI22">
            <v>22</v>
          </cell>
          <cell r="GJ22" t="str">
            <v>nm</v>
          </cell>
          <cell r="GK22" t="str">
            <v>nm</v>
          </cell>
          <cell r="GL22" t="str">
            <v>nm</v>
          </cell>
          <cell r="GM22" t="str">
            <v>nm</v>
          </cell>
          <cell r="GN22">
            <v>6.333333333333333</v>
          </cell>
          <cell r="GP22" t="str">
            <v>nm</v>
          </cell>
          <cell r="GQ22" t="str">
            <v>nm</v>
          </cell>
          <cell r="GR22" t="str">
            <v>nm</v>
          </cell>
        </row>
        <row r="23">
          <cell r="B23" t="str">
            <v>Combat Systems</v>
          </cell>
          <cell r="C23">
            <v>0.11591192355629414</v>
          </cell>
          <cell r="D23">
            <v>0.12474012474012475</v>
          </cell>
          <cell r="E23">
            <v>0.12032418952618454</v>
          </cell>
          <cell r="F23">
            <v>0.124</v>
          </cell>
          <cell r="G23">
            <v>0.12158096280087527</v>
          </cell>
          <cell r="H23">
            <v>0.125</v>
          </cell>
          <cell r="I23">
            <v>0.1225</v>
          </cell>
          <cell r="U23" t="str">
            <v>Combat Systems</v>
          </cell>
          <cell r="V23">
            <v>0.12969454181271908</v>
          </cell>
          <cell r="W23">
            <v>0.13995037220843673</v>
          </cell>
          <cell r="X23">
            <v>0.13484546360917249</v>
          </cell>
          <cell r="Y23">
            <v>0.14162162162162162</v>
          </cell>
          <cell r="Z23">
            <v>0.13698396451722961</v>
          </cell>
          <cell r="AA23">
            <v>0.13207547169811321</v>
          </cell>
          <cell r="AB23">
            <v>0.13558701488894312</v>
          </cell>
          <cell r="AN23" t="str">
            <v>Combat Systems</v>
          </cell>
          <cell r="AO23">
            <v>0.11096938775510204</v>
          </cell>
          <cell r="AP23">
            <v>0.11156542056074767</v>
          </cell>
          <cell r="AQ23">
            <v>0.11128048780487805</v>
          </cell>
          <cell r="AR23">
            <v>0.12179487179487179</v>
          </cell>
          <cell r="AS23">
            <v>0.11510093167701864</v>
          </cell>
          <cell r="AT23">
            <v>0.12211720226843101</v>
          </cell>
          <cell r="AU23">
            <v>0.11748108246761575</v>
          </cell>
          <cell r="AZ23">
            <v>43.271463151838553</v>
          </cell>
          <cell r="BF23" t="str">
            <v>Pretax Inc</v>
          </cell>
          <cell r="BG23">
            <v>579</v>
          </cell>
          <cell r="BH23">
            <v>628</v>
          </cell>
          <cell r="BI23">
            <v>1207</v>
          </cell>
          <cell r="BJ23">
            <v>644</v>
          </cell>
          <cell r="BK23">
            <v>1851</v>
          </cell>
          <cell r="BL23">
            <v>676</v>
          </cell>
          <cell r="BM23">
            <v>2527</v>
          </cell>
          <cell r="BN23">
            <v>0.36235294117647054</v>
          </cell>
          <cell r="BO23">
            <v>0.22896281800391383</v>
          </cell>
          <cell r="BP23">
            <v>0.19038817005545283</v>
          </cell>
          <cell r="BQ23">
            <v>0.12854757929883132</v>
          </cell>
          <cell r="BR23">
            <v>0.22136297728371201</v>
          </cell>
          <cell r="BS23">
            <v>-3.3388981636060078E-2</v>
          </cell>
          <cell r="BT23">
            <v>8.4628670120898031E-2</v>
          </cell>
          <cell r="BU23">
            <v>2.5477707006369421E-2</v>
          </cell>
          <cell r="BV23">
            <v>4.9689440993788914E-2</v>
          </cell>
          <cell r="BX23" t="str">
            <v>Pretax Inc</v>
          </cell>
          <cell r="BY23">
            <v>425</v>
          </cell>
          <cell r="BZ23">
            <v>511</v>
          </cell>
          <cell r="CA23">
            <v>936</v>
          </cell>
          <cell r="CB23">
            <v>541</v>
          </cell>
          <cell r="CC23">
            <v>1477</v>
          </cell>
          <cell r="CD23">
            <v>599</v>
          </cell>
          <cell r="CE23">
            <v>2069</v>
          </cell>
          <cell r="CF23">
            <v>7.0528967254408048E-2</v>
          </cell>
          <cell r="CG23">
            <v>0.17741935483870974</v>
          </cell>
          <cell r="CH23">
            <v>0.16846652267818585</v>
          </cell>
          <cell r="CI23">
            <v>0.24791666666666656</v>
          </cell>
          <cell r="CJ23">
            <v>0.16629086809470128</v>
          </cell>
          <cell r="CK23">
            <v>-0.11458333333333337</v>
          </cell>
          <cell r="CL23">
            <v>0.20235294117647062</v>
          </cell>
          <cell r="CM23" t="str">
            <v>Eff Tax Rate</v>
          </cell>
          <cell r="CN23">
            <v>0.34499999999999997</v>
          </cell>
          <cell r="CO23">
            <v>0.34399999999999997</v>
          </cell>
          <cell r="CP23" t="str">
            <v>Pretax Inc</v>
          </cell>
          <cell r="CQ23">
            <v>397</v>
          </cell>
          <cell r="CR23">
            <v>434</v>
          </cell>
          <cell r="CS23">
            <v>831</v>
          </cell>
          <cell r="CT23">
            <v>463</v>
          </cell>
          <cell r="CU23">
            <v>1294</v>
          </cell>
          <cell r="CV23">
            <v>480</v>
          </cell>
          <cell r="CW23">
            <v>1774</v>
          </cell>
          <cell r="CX23">
            <v>0.29315960912052108</v>
          </cell>
          <cell r="CY23">
            <v>0.2122905027932962</v>
          </cell>
          <cell r="CZ23">
            <v>0.4605678233438486</v>
          </cell>
          <cell r="DA23">
            <v>0.30434782608695654</v>
          </cell>
          <cell r="DB23">
            <v>0.31700074239049747</v>
          </cell>
          <cell r="DC23">
            <v>7.8804347826086918E-2</v>
          </cell>
          <cell r="DD23">
            <v>9.3198992443324968E-2</v>
          </cell>
          <cell r="DE23" t="str">
            <v>Eff Tax Rate</v>
          </cell>
          <cell r="DF23">
            <v>0.35799999999999998</v>
          </cell>
          <cell r="DG23">
            <v>0.35799999999999998</v>
          </cell>
          <cell r="DH23" t="str">
            <v>Pretax Inc</v>
          </cell>
          <cell r="DI23">
            <v>307</v>
          </cell>
          <cell r="DJ23">
            <v>358</v>
          </cell>
          <cell r="DK23">
            <v>665</v>
          </cell>
          <cell r="DL23">
            <v>317</v>
          </cell>
          <cell r="DM23">
            <v>982</v>
          </cell>
          <cell r="DN23">
            <v>368</v>
          </cell>
          <cell r="DO23">
            <v>1347</v>
          </cell>
          <cell r="DP23">
            <v>-0.1327683615819209</v>
          </cell>
          <cell r="DQ23">
            <v>-0.13734939759036144</v>
          </cell>
          <cell r="DR23">
            <v>-0.23268539620672271</v>
          </cell>
          <cell r="DS23">
            <v>-2.9023746701846966E-2</v>
          </cell>
          <cell r="DT23">
            <v>-0.14149139579349904</v>
          </cell>
          <cell r="DU23">
            <v>-0.18997361477572561</v>
          </cell>
          <cell r="DV23">
            <v>0.16612377850162874</v>
          </cell>
          <cell r="DW23">
            <v>-0.11452513966480449</v>
          </cell>
          <cell r="DX23">
            <v>0.1608832807570979</v>
          </cell>
          <cell r="DZ23" t="str">
            <v>Pretax Inc</v>
          </cell>
          <cell r="EA23">
            <v>354</v>
          </cell>
          <cell r="EB23">
            <v>415</v>
          </cell>
          <cell r="EC23">
            <v>769</v>
          </cell>
          <cell r="ED23">
            <v>413.1291108404385</v>
          </cell>
          <cell r="EE23">
            <v>1182.1291108404384</v>
          </cell>
          <cell r="EF23">
            <v>379</v>
          </cell>
          <cell r="EG23">
            <v>1569</v>
          </cell>
          <cell r="EH23">
            <v>7.2727272727272724E-2</v>
          </cell>
          <cell r="EI23">
            <v>0.17563739376770537</v>
          </cell>
          <cell r="EJ23">
            <v>0.15399192972189524</v>
          </cell>
          <cell r="EK23">
            <v>-1.3020833333333334E-2</v>
          </cell>
          <cell r="EL23">
            <v>0.10105263157894737</v>
          </cell>
          <cell r="EM23">
            <v>-7.8125E-2</v>
          </cell>
          <cell r="EN23">
            <v>0.17231638418079087</v>
          </cell>
          <cell r="EO23">
            <v>-4.5081666495457862E-3</v>
          </cell>
          <cell r="EP23">
            <v>-8.2611246568920826E-2</v>
          </cell>
          <cell r="ER23" t="str">
            <v>Pretax Inc</v>
          </cell>
          <cell r="ES23">
            <v>330</v>
          </cell>
          <cell r="ET23">
            <v>353</v>
          </cell>
          <cell r="EU23">
            <v>683</v>
          </cell>
          <cell r="EV23">
            <v>358</v>
          </cell>
          <cell r="EW23">
            <v>1041</v>
          </cell>
          <cell r="EX23">
            <v>384</v>
          </cell>
          <cell r="EY23">
            <v>1425</v>
          </cell>
          <cell r="EZ23">
            <v>0.15384615384615385</v>
          </cell>
          <cell r="FA23">
            <v>0.11006289308176101</v>
          </cell>
          <cell r="FB23">
            <v>0.12933753943217666</v>
          </cell>
          <cell r="FC23">
            <v>0.1394658753709199</v>
          </cell>
          <cell r="FD23">
            <v>0.13275039745627981</v>
          </cell>
          <cell r="FE23">
            <v>-2.0771513353115778E-2</v>
          </cell>
          <cell r="FF23">
            <v>6.9696969696969591E-2</v>
          </cell>
          <cell r="FG23">
            <v>1.4164305949008416E-2</v>
          </cell>
          <cell r="FH23">
            <v>7.2625698324022325E-2</v>
          </cell>
          <cell r="FJ23" t="str">
            <v>Pretax Inc</v>
          </cell>
          <cell r="FK23">
            <v>286</v>
          </cell>
          <cell r="FL23">
            <v>318</v>
          </cell>
          <cell r="FM23">
            <v>604</v>
          </cell>
          <cell r="FN23">
            <v>317</v>
          </cell>
          <cell r="FO23">
            <v>921</v>
          </cell>
          <cell r="FP23">
            <v>337</v>
          </cell>
          <cell r="FQ23">
            <v>1258</v>
          </cell>
          <cell r="FR23">
            <v>0.17303496136367413</v>
          </cell>
          <cell r="FS23">
            <v>0.17952522255192868</v>
          </cell>
          <cell r="FT23">
            <v>0.12014134275618374</v>
          </cell>
          <cell r="FU23">
            <v>2.2488682840394431E-2</v>
          </cell>
          <cell r="FV23">
            <v>0.11722912966252221</v>
          </cell>
          <cell r="FW23">
            <v>-0.13224996055681659</v>
          </cell>
          <cell r="FX23">
            <v>0.11188811188811187</v>
          </cell>
          <cell r="FY23">
            <v>-3.1446540880503138E-3</v>
          </cell>
          <cell r="FZ23">
            <v>6.3091482649842323E-2</v>
          </cell>
          <cell r="GB23" t="str">
            <v>Pretax Inc</v>
          </cell>
          <cell r="GC23">
            <v>243.8119999999999</v>
          </cell>
          <cell r="GD23">
            <v>269.60000000000002</v>
          </cell>
          <cell r="GE23">
            <v>513.41199999999992</v>
          </cell>
          <cell r="GF23">
            <v>283</v>
          </cell>
          <cell r="GG23">
            <v>796.41199999999992</v>
          </cell>
          <cell r="GH23">
            <v>329.58800000000008</v>
          </cell>
          <cell r="GI23">
            <v>1126</v>
          </cell>
          <cell r="GJ23">
            <v>0.29533585162280851</v>
          </cell>
          <cell r="GK23">
            <v>0.18923687692986341</v>
          </cell>
          <cell r="GL23">
            <v>0.16412998765939946</v>
          </cell>
          <cell r="GM23">
            <v>2.0411249619384209</v>
          </cell>
          <cell r="GN23">
            <v>0.46920668058455117</v>
          </cell>
          <cell r="GP23">
            <v>0.10577001952323983</v>
          </cell>
          <cell r="GQ23">
            <v>4.9703264094955291E-2</v>
          </cell>
          <cell r="GR23">
            <v>0.16462190812720867</v>
          </cell>
        </row>
        <row r="24">
          <cell r="B24" t="str">
            <v>Info. Systems &amp; Tech.</v>
          </cell>
          <cell r="C24">
            <v>0.10574460300036589</v>
          </cell>
          <cell r="D24">
            <v>0.10696798493408663</v>
          </cell>
          <cell r="E24">
            <v>0.10634743875278396</v>
          </cell>
          <cell r="F24">
            <v>0.1</v>
          </cell>
          <cell r="G24">
            <v>0.1042547897486937</v>
          </cell>
          <cell r="H24">
            <v>9.9348298334540133E-2</v>
          </cell>
          <cell r="I24">
            <v>0.10299999999999998</v>
          </cell>
          <cell r="U24" t="str">
            <v>Info. Systems &amp; Tech.</v>
          </cell>
          <cell r="V24">
            <v>0.11059123777116121</v>
          </cell>
          <cell r="W24">
            <v>0.1138401559454191</v>
          </cell>
          <cell r="X24">
            <v>0.11228641171684296</v>
          </cell>
          <cell r="Y24">
            <v>0.10739856801909307</v>
          </cell>
          <cell r="Z24">
            <v>0.11063257065948856</v>
          </cell>
          <cell r="AA24">
            <v>9.7009202453987725E-2</v>
          </cell>
          <cell r="AB24">
            <v>0.10709304642359035</v>
          </cell>
          <cell r="AN24" t="str">
            <v>Info. Systems &amp; Tech.</v>
          </cell>
          <cell r="AO24">
            <v>0.10499790004199916</v>
          </cell>
          <cell r="AP24">
            <v>0.11213005418924551</v>
          </cell>
          <cell r="AQ24">
            <v>0.10857740585774059</v>
          </cell>
          <cell r="AR24">
            <v>0.10578925447730113</v>
          </cell>
          <cell r="AS24">
            <v>0.10764517476674558</v>
          </cell>
          <cell r="AT24">
            <v>0.10405571487095452</v>
          </cell>
          <cell r="AU24">
            <v>0.1067345666181667</v>
          </cell>
          <cell r="BF24" t="str">
            <v>Eff Tax Rate</v>
          </cell>
          <cell r="BG24">
            <v>0.33160621761658032</v>
          </cell>
          <cell r="BH24">
            <v>0.33121019108280253</v>
          </cell>
          <cell r="BI24">
            <v>0.3314001657000829</v>
          </cell>
          <cell r="BJ24">
            <v>0.31677018633540371</v>
          </cell>
          <cell r="BK24">
            <v>0.32631010264721771</v>
          </cell>
          <cell r="BL24">
            <v>0.3150887573964497</v>
          </cell>
          <cell r="BM24">
            <v>0.32330827067669171</v>
          </cell>
          <cell r="BX24" t="str">
            <v>Eff Tax Rate</v>
          </cell>
          <cell r="BY24">
            <v>0.16941176470588235</v>
          </cell>
          <cell r="BZ24">
            <v>0.33855185909980429</v>
          </cell>
          <cell r="CA24">
            <v>0.26175213675213671</v>
          </cell>
          <cell r="CB24">
            <v>0.32717190388170053</v>
          </cell>
          <cell r="CC24">
            <v>0.2857142857142857</v>
          </cell>
          <cell r="CD24">
            <v>0.335559265442404</v>
          </cell>
          <cell r="CE24">
            <v>0.3001449975833736</v>
          </cell>
          <cell r="CP24" t="str">
            <v>Eff Tax Rate</v>
          </cell>
          <cell r="CQ24">
            <v>0.33250000000000002</v>
          </cell>
          <cell r="CR24">
            <v>0.33179723502304148</v>
          </cell>
          <cell r="CS24">
            <v>0.33213297232250305</v>
          </cell>
          <cell r="CT24">
            <v>0.30885529157667385</v>
          </cell>
          <cell r="CU24">
            <v>0.3238040958268934</v>
          </cell>
          <cell r="CV24">
            <v>0.33198380566801622</v>
          </cell>
          <cell r="CW24">
            <v>0.32694475760992109</v>
          </cell>
          <cell r="DH24" t="str">
            <v>Eff Tax Rate</v>
          </cell>
          <cell r="DI24">
            <v>0.28999999999999998</v>
          </cell>
          <cell r="DJ24">
            <v>0.33</v>
          </cell>
          <cell r="DK24">
            <v>0.31153383458646622</v>
          </cell>
          <cell r="DL24">
            <v>0.215</v>
          </cell>
          <cell r="DM24">
            <v>0.28037169042769861</v>
          </cell>
          <cell r="DN24">
            <v>0.25271739130434784</v>
          </cell>
          <cell r="DO24">
            <v>0.27319970304380103</v>
          </cell>
          <cell r="DZ24" t="str">
            <v>Eff Tax Rate</v>
          </cell>
          <cell r="EA24">
            <v>0.34499999999999997</v>
          </cell>
          <cell r="EB24">
            <v>0.34399999999999997</v>
          </cell>
          <cell r="EC24">
            <v>0.34399999999999997</v>
          </cell>
          <cell r="ED24">
            <v>0.33849000000000001</v>
          </cell>
          <cell r="EE24">
            <v>0.68249000000000004</v>
          </cell>
          <cell r="EF24">
            <v>0.317</v>
          </cell>
          <cell r="EG24">
            <v>0.33715742511153601</v>
          </cell>
          <cell r="ER24" t="str">
            <v>Eff Tax Rate</v>
          </cell>
          <cell r="ES24">
            <v>0.35799999999999998</v>
          </cell>
          <cell r="ET24">
            <v>0.35799999999999998</v>
          </cell>
          <cell r="EU24">
            <v>0.35799999999999998</v>
          </cell>
          <cell r="EV24">
            <v>0.36</v>
          </cell>
          <cell r="EW24">
            <v>0.35868780019212299</v>
          </cell>
          <cell r="EX24">
            <v>0.36</v>
          </cell>
          <cell r="EY24">
            <v>0.33824561403508774</v>
          </cell>
          <cell r="FJ24" t="str">
            <v>Eff Tax Rate</v>
          </cell>
          <cell r="FK24">
            <v>0.35799999999999998</v>
          </cell>
          <cell r="FL24">
            <v>0.36</v>
          </cell>
          <cell r="FM24">
            <v>0.35905298013245035</v>
          </cell>
          <cell r="FN24">
            <v>0.35599999999999998</v>
          </cell>
          <cell r="FO24">
            <v>0.35800217155266023</v>
          </cell>
          <cell r="FP24">
            <v>0.35699999999999998</v>
          </cell>
          <cell r="FQ24">
            <v>0.35699999999999998</v>
          </cell>
          <cell r="GB24" t="str">
            <v>Eff Tax Rate</v>
          </cell>
          <cell r="GC24">
            <v>0.35</v>
          </cell>
          <cell r="GD24">
            <v>0.35399999999999998</v>
          </cell>
          <cell r="GE24">
            <v>0.3543629677529937</v>
          </cell>
          <cell r="GF24">
            <v>0.35299999999999998</v>
          </cell>
          <cell r="GG24">
            <v>0.35387864572608141</v>
          </cell>
          <cell r="GH24">
            <v>0.39187349053970433</v>
          </cell>
          <cell r="GI24">
            <v>0.36499999999999999</v>
          </cell>
        </row>
        <row r="25">
          <cell r="B25" t="str">
            <v>Aerospace</v>
          </cell>
          <cell r="C25">
            <v>0.13745704467353953</v>
          </cell>
          <cell r="D25">
            <v>0.1519434628975265</v>
          </cell>
          <cell r="E25">
            <v>0.14459930313588851</v>
          </cell>
          <cell r="F25">
            <v>0.1</v>
          </cell>
          <cell r="G25">
            <v>0.13307493540051679</v>
          </cell>
          <cell r="H25">
            <v>0.14039855072463769</v>
          </cell>
          <cell r="I25">
            <v>0.13500000000000001</v>
          </cell>
          <cell r="U25" t="str">
            <v>Aerospace</v>
          </cell>
          <cell r="V25">
            <v>0.18451915559030493</v>
          </cell>
          <cell r="W25">
            <v>0.18058690744920994</v>
          </cell>
          <cell r="X25">
            <v>0.18251533742331288</v>
          </cell>
          <cell r="Y25">
            <v>0.20481049562682216</v>
          </cell>
          <cell r="Z25">
            <v>0.19020100502512563</v>
          </cell>
          <cell r="AA25">
            <v>0.17232375979112272</v>
          </cell>
          <cell r="AB25">
            <v>0.18523222060957911</v>
          </cell>
          <cell r="AN25" t="str">
            <v>Aerospace</v>
          </cell>
          <cell r="AO25">
            <v>0.15813528336380256</v>
          </cell>
          <cell r="AP25">
            <v>0.16473509933774835</v>
          </cell>
          <cell r="AQ25">
            <v>0.16159860990443092</v>
          </cell>
          <cell r="AR25">
            <v>0.17186311787072242</v>
          </cell>
          <cell r="AS25">
            <v>0.16533038429637822</v>
          </cell>
          <cell r="AT25">
            <v>0.1750619322873658</v>
          </cell>
          <cell r="AU25">
            <v>0.16777133388566695</v>
          </cell>
          <cell r="CM25" t="str">
            <v>Net Income</v>
          </cell>
          <cell r="CN25">
            <v>231.87</v>
          </cell>
          <cell r="CO25">
            <v>272.24</v>
          </cell>
          <cell r="CP25">
            <v>504.11</v>
          </cell>
          <cell r="CQ25">
            <v>278.49571000000003</v>
          </cell>
          <cell r="CR25">
            <v>782.60571000000004</v>
          </cell>
          <cell r="CS25">
            <v>258.85700000000003</v>
          </cell>
          <cell r="CT25">
            <v>1040</v>
          </cell>
          <cell r="CU25">
            <v>9.4449164542622435E-2</v>
          </cell>
          <cell r="CV25">
            <v>0.20127434627977375</v>
          </cell>
          <cell r="CW25">
            <v>0.21550152758379901</v>
          </cell>
          <cell r="CX25">
            <v>5.3291829427083486E-2</v>
          </cell>
          <cell r="CY25">
            <v>0.10286320254506906</v>
          </cell>
          <cell r="DE25" t="str">
            <v>Net Income</v>
          </cell>
          <cell r="DF25">
            <v>211.86</v>
          </cell>
          <cell r="DG25">
            <v>226.626</v>
          </cell>
          <cell r="DH25">
            <v>438.48599999999999</v>
          </cell>
          <cell r="DI25">
            <v>229.12</v>
          </cell>
          <cell r="DJ25">
            <v>667.60599999999999</v>
          </cell>
          <cell r="DK25">
            <v>245.76</v>
          </cell>
          <cell r="DL25">
            <v>942.99999999999989</v>
          </cell>
          <cell r="DM25">
            <v>0.15384615384615397</v>
          </cell>
          <cell r="DN25">
            <v>0.11353183962264148</v>
          </cell>
          <cell r="DO25">
            <v>0.12232302055371598</v>
          </cell>
          <cell r="DP25">
            <v>0.13414954935830278</v>
          </cell>
          <cell r="DQ25">
            <v>0.16578933704539764</v>
          </cell>
        </row>
        <row r="26">
          <cell r="B26" t="str">
            <v>Resources</v>
          </cell>
          <cell r="U26" t="str">
            <v>Resources</v>
          </cell>
          <cell r="V26" t="str">
            <v xml:space="preserve">NA </v>
          </cell>
          <cell r="W26" t="str">
            <v xml:space="preserve">NA </v>
          </cell>
          <cell r="X26" t="str">
            <v xml:space="preserve">NA </v>
          </cell>
          <cell r="Y26" t="str">
            <v xml:space="preserve">NA </v>
          </cell>
          <cell r="Z26" t="str">
            <v xml:space="preserve">NA </v>
          </cell>
          <cell r="AA26" t="str">
            <v xml:space="preserve">NA </v>
          </cell>
          <cell r="AB26" t="str">
            <v xml:space="preserve">NA </v>
          </cell>
          <cell r="AN26" t="str">
            <v>Resources</v>
          </cell>
          <cell r="AO26" t="str">
            <v xml:space="preserve">NA </v>
          </cell>
          <cell r="AP26" t="str">
            <v xml:space="preserve">NA </v>
          </cell>
          <cell r="AQ26" t="str">
            <v xml:space="preserve">NA </v>
          </cell>
          <cell r="AR26" t="str">
            <v xml:space="preserve">NA </v>
          </cell>
          <cell r="AS26" t="str">
            <v xml:space="preserve">NA </v>
          </cell>
          <cell r="AT26" t="str">
            <v xml:space="preserve">NA </v>
          </cell>
          <cell r="AU26" t="str">
            <v xml:space="preserve">NA </v>
          </cell>
          <cell r="BF26" t="str">
            <v>Net Income</v>
          </cell>
          <cell r="BG26">
            <v>386.99999999999994</v>
          </cell>
          <cell r="BH26">
            <v>420.00000000000006</v>
          </cell>
          <cell r="BI26">
            <v>807</v>
          </cell>
          <cell r="BJ26">
            <v>440</v>
          </cell>
          <cell r="BK26">
            <v>1247</v>
          </cell>
          <cell r="BL26">
            <v>463</v>
          </cell>
          <cell r="BM26">
            <v>1710.0000000000002</v>
          </cell>
          <cell r="BN26">
            <v>9.6317280453257714E-2</v>
          </cell>
          <cell r="BO26">
            <v>0.24260355029585789</v>
          </cell>
          <cell r="BP26">
            <v>0.20879120879120849</v>
          </cell>
          <cell r="BQ26">
            <v>0.16331658291457285</v>
          </cell>
          <cell r="BR26">
            <v>0.18093922651933725</v>
          </cell>
          <cell r="BS26">
            <v>-2.7638190954774045E-2</v>
          </cell>
          <cell r="BT26">
            <v>8.5271317829457738E-2</v>
          </cell>
          <cell r="BU26">
            <v>4.761904761904745E-2</v>
          </cell>
          <cell r="BV26">
            <v>5.2272727272727249E-2</v>
          </cell>
          <cell r="BX26" t="str">
            <v>Net Income</v>
          </cell>
          <cell r="BY26">
            <v>353</v>
          </cell>
          <cell r="BZ26">
            <v>338.00000000000006</v>
          </cell>
          <cell r="CA26">
            <v>691</v>
          </cell>
          <cell r="CB26">
            <v>364.00000000000006</v>
          </cell>
          <cell r="CC26">
            <v>1055</v>
          </cell>
          <cell r="CD26">
            <v>398</v>
          </cell>
          <cell r="CE26">
            <v>1448</v>
          </cell>
          <cell r="CF26">
            <v>0.33208803856640157</v>
          </cell>
          <cell r="CG26">
            <v>0.16551724137931045</v>
          </cell>
          <cell r="CH26">
            <v>0.13749999999999996</v>
          </cell>
          <cell r="CI26">
            <v>0.24123737373737364</v>
          </cell>
          <cell r="CJ26">
            <v>0.21273031825795652</v>
          </cell>
          <cell r="CK26">
            <v>0.10089646464646451</v>
          </cell>
          <cell r="CL26">
            <v>-4.2492917847025358E-2</v>
          </cell>
          <cell r="CM26" t="str">
            <v xml:space="preserve">  % change</v>
          </cell>
          <cell r="CN26">
            <v>9.4449164542622435E-2</v>
          </cell>
          <cell r="CO26">
            <v>0.20127434627977375</v>
          </cell>
          <cell r="CP26" t="str">
            <v>Net Income</v>
          </cell>
          <cell r="CQ26">
            <v>264.9975</v>
          </cell>
          <cell r="CR26">
            <v>290</v>
          </cell>
          <cell r="CS26">
            <v>554.99749999999995</v>
          </cell>
          <cell r="CT26">
            <v>320.00000000000006</v>
          </cell>
          <cell r="CU26">
            <v>874.99749999999995</v>
          </cell>
          <cell r="CV26">
            <v>320.64777327935224</v>
          </cell>
          <cell r="CW26">
            <v>1194</v>
          </cell>
          <cell r="CX26">
            <v>0.21575216772950401</v>
          </cell>
          <cell r="CY26">
            <v>0.20903860585341461</v>
          </cell>
          <cell r="CZ26">
            <v>0.28594104764009742</v>
          </cell>
          <cell r="DA26">
            <v>0.16599190283400822</v>
          </cell>
          <cell r="DB26">
            <v>0.21961184882533202</v>
          </cell>
          <cell r="DC26">
            <v>-3.6372727272727223E-2</v>
          </cell>
          <cell r="DD26">
            <v>9.4349946697610321E-2</v>
          </cell>
          <cell r="DE26" t="str">
            <v xml:space="preserve">  % change</v>
          </cell>
          <cell r="DF26">
            <v>0.15384615384615397</v>
          </cell>
          <cell r="DG26">
            <v>0.11353183962264148</v>
          </cell>
          <cell r="DH26" t="str">
            <v>Net Income</v>
          </cell>
          <cell r="DI26">
            <v>217.97</v>
          </cell>
          <cell r="DJ26">
            <v>239.85999999999999</v>
          </cell>
          <cell r="DK26">
            <v>457.83</v>
          </cell>
          <cell r="DL26">
            <v>248.845</v>
          </cell>
          <cell r="DM26">
            <v>706.67499999999995</v>
          </cell>
          <cell r="DN26">
            <v>275</v>
          </cell>
          <cell r="DO26">
            <v>979</v>
          </cell>
          <cell r="DP26">
            <v>-5.994738431017383E-2</v>
          </cell>
          <cell r="DQ26">
            <v>-0.11893917131942412</v>
          </cell>
          <cell r="DR26">
            <v>-0.10646738508108447</v>
          </cell>
          <cell r="DS26">
            <v>6.2362617197912244E-2</v>
          </cell>
          <cell r="DT26">
            <v>-5.8653846153846154E-2</v>
          </cell>
          <cell r="DU26">
            <v>-0.15795207392498567</v>
          </cell>
          <cell r="DV26">
            <v>0.10042666421984681</v>
          </cell>
          <cell r="DW26">
            <v>3.7459351288251508E-2</v>
          </cell>
          <cell r="DX26">
            <v>0.10510558781570856</v>
          </cell>
          <cell r="DZ26" t="str">
            <v>Net Income</v>
          </cell>
          <cell r="EA26">
            <v>231.87</v>
          </cell>
          <cell r="EB26">
            <v>272.24</v>
          </cell>
          <cell r="EC26">
            <v>504.11</v>
          </cell>
          <cell r="ED26">
            <v>278.49571000000003</v>
          </cell>
          <cell r="EE26">
            <v>782.60571000000004</v>
          </cell>
          <cell r="EF26">
            <v>258.85700000000003</v>
          </cell>
          <cell r="EG26">
            <v>1040</v>
          </cell>
          <cell r="EH26">
            <v>9.4449164542622435E-2</v>
          </cell>
          <cell r="EI26">
            <v>0.20127434627977375</v>
          </cell>
          <cell r="EJ26">
            <v>0.21550152758379901</v>
          </cell>
          <cell r="EK26">
            <v>5.3291829427083486E-2</v>
          </cell>
          <cell r="EL26">
            <v>0.10286320254506906</v>
          </cell>
          <cell r="EM26">
            <v>-5.65185546875E-2</v>
          </cell>
          <cell r="EN26">
            <v>0.17410618018717394</v>
          </cell>
          <cell r="EO26">
            <v>2.2978658536585428E-2</v>
          </cell>
          <cell r="EP26">
            <v>-7.0517100604529981E-2</v>
          </cell>
          <cell r="ER26" t="str">
            <v>Net Income</v>
          </cell>
          <cell r="ES26">
            <v>211.86</v>
          </cell>
          <cell r="ET26">
            <v>226.626</v>
          </cell>
          <cell r="EU26">
            <v>438.48599999999999</v>
          </cell>
          <cell r="EV26">
            <v>229.12</v>
          </cell>
          <cell r="EW26">
            <v>667.60599999999999</v>
          </cell>
          <cell r="EX26">
            <v>245.76</v>
          </cell>
          <cell r="EY26">
            <v>942.99999999999989</v>
          </cell>
          <cell r="EZ26">
            <v>0.15384615384615397</v>
          </cell>
          <cell r="FA26">
            <v>0.11353183962264148</v>
          </cell>
          <cell r="FB26">
            <v>0.12232302055371598</v>
          </cell>
          <cell r="FC26">
            <v>0.13414954935830278</v>
          </cell>
          <cell r="FD26">
            <v>0.16578933704539764</v>
          </cell>
          <cell r="FE26">
            <v>-2.229441924214659E-2</v>
          </cell>
          <cell r="FF26">
            <v>6.9696969696969591E-2</v>
          </cell>
          <cell r="FG26">
            <v>1.1004915587796704E-2</v>
          </cell>
          <cell r="FH26">
            <v>7.2625698324022325E-2</v>
          </cell>
          <cell r="FJ26" t="str">
            <v>Net Income</v>
          </cell>
          <cell r="FK26">
            <v>183.61199999999999</v>
          </cell>
          <cell r="FL26">
            <v>203.52</v>
          </cell>
          <cell r="FM26">
            <v>387.13200000000001</v>
          </cell>
          <cell r="FN26">
            <v>204.148</v>
          </cell>
          <cell r="FO26">
            <v>591.28</v>
          </cell>
          <cell r="FP26">
            <v>216.691</v>
          </cell>
          <cell r="FQ26">
            <v>808.89400000000001</v>
          </cell>
          <cell r="FR26">
            <v>0.15859760799304418</v>
          </cell>
          <cell r="FS26">
            <v>0.17641618497109832</v>
          </cell>
          <cell r="FT26">
            <v>0.11494748799842708</v>
          </cell>
          <cell r="FU26">
            <v>8.1124096448058056E-2</v>
          </cell>
          <cell r="FV26">
            <v>0.13130445728031778</v>
          </cell>
          <cell r="FW26">
            <v>-8.3915079089483036E-2</v>
          </cell>
          <cell r="FX26">
            <v>0.10842428599437959</v>
          </cell>
          <cell r="FY26">
            <v>3.0856918238992836E-3</v>
          </cell>
          <cell r="FZ26">
            <v>6.1440719478025763E-2</v>
          </cell>
          <cell r="GB26" t="str">
            <v>Net Income</v>
          </cell>
          <cell r="GC26">
            <v>158.47779999999995</v>
          </cell>
          <cell r="GD26">
            <v>173</v>
          </cell>
          <cell r="GE26">
            <v>331.47779999999995</v>
          </cell>
          <cell r="GF26">
            <v>183.101</v>
          </cell>
          <cell r="GG26">
            <v>514.5788</v>
          </cell>
          <cell r="GH26">
            <v>200.43119999999999</v>
          </cell>
          <cell r="GI26">
            <v>715.01</v>
          </cell>
          <cell r="GJ26">
            <v>0.2943704557965694</v>
          </cell>
          <cell r="GK26">
            <v>0.1719295108108804</v>
          </cell>
          <cell r="GL26">
            <v>0.1511418340449816</v>
          </cell>
          <cell r="GM26">
            <v>1.9046316155585186</v>
          </cell>
          <cell r="GN26">
            <v>0.4419570976370788</v>
          </cell>
          <cell r="GP26">
            <v>9.163554769185378E-2</v>
          </cell>
          <cell r="GQ26">
            <v>5.838728323699427E-2</v>
          </cell>
          <cell r="GR26">
            <v>9.4648308856860375E-2</v>
          </cell>
        </row>
        <row r="27">
          <cell r="B27" t="str">
            <v>Total</v>
          </cell>
          <cell r="C27">
            <v>0.10951113262342692</v>
          </cell>
          <cell r="D27">
            <v>0.11666666666666667</v>
          </cell>
          <cell r="E27">
            <v>0.1130530432657052</v>
          </cell>
          <cell r="F27">
            <v>0.10365584415584415</v>
          </cell>
          <cell r="G27">
            <v>0.11004612699468086</v>
          </cell>
          <cell r="H27">
            <v>0.11105678046467519</v>
          </cell>
          <cell r="I27">
            <v>0.11030846153846152</v>
          </cell>
          <cell r="U27" t="str">
            <v>Total</v>
          </cell>
          <cell r="V27">
            <v>0.12291220556745182</v>
          </cell>
          <cell r="W27">
            <v>0.12611255648363687</v>
          </cell>
          <cell r="X27">
            <v>0.12454570869443668</v>
          </cell>
          <cell r="Y27">
            <v>0.13067226890756303</v>
          </cell>
          <cell r="Z27">
            <v>0.12658522939201791</v>
          </cell>
          <cell r="AA27">
            <v>0.11946001018848701</v>
          </cell>
          <cell r="AB27">
            <v>0.13410425844346549</v>
          </cell>
          <cell r="AN27" t="str">
            <v>Total</v>
          </cell>
          <cell r="AO27">
            <v>0.10809523809523809</v>
          </cell>
          <cell r="AP27">
            <v>0.1153087543620088</v>
          </cell>
          <cell r="AQ27">
            <v>0.11178341478550927</v>
          </cell>
          <cell r="AR27">
            <v>0.11720807726075505</v>
          </cell>
          <cell r="AS27">
            <v>0.11366286438529785</v>
          </cell>
          <cell r="AT27">
            <v>0.11590153027278775</v>
          </cell>
          <cell r="AU27">
            <v>0.11428046989720998</v>
          </cell>
          <cell r="BF27" t="str">
            <v>% Ch Y/Y</v>
          </cell>
          <cell r="BG27">
            <v>9.6317280453257631E-2</v>
          </cell>
          <cell r="BH27">
            <v>0.24260355029585795</v>
          </cell>
          <cell r="BI27">
            <v>0.16787264833574533</v>
          </cell>
          <cell r="BJ27">
            <v>0.2087912087912086</v>
          </cell>
          <cell r="BK27">
            <v>0.18199052132701432</v>
          </cell>
          <cell r="BL27">
            <v>0.16331658291457288</v>
          </cell>
          <cell r="BM27">
            <v>0.18093922651933717</v>
          </cell>
          <cell r="BX27" t="str">
            <v>% Ch Y/Y</v>
          </cell>
          <cell r="BY27">
            <v>0.33208803856640157</v>
          </cell>
          <cell r="BZ27">
            <v>0.16551724137931054</v>
          </cell>
          <cell r="CA27">
            <v>0.2450506533813217</v>
          </cell>
          <cell r="CB27">
            <v>0.13749999999999998</v>
          </cell>
          <cell r="CC27">
            <v>0.20571773062208765</v>
          </cell>
          <cell r="CD27">
            <v>0.24123737373737369</v>
          </cell>
          <cell r="CE27">
            <v>0.21273031825795644</v>
          </cell>
          <cell r="CP27" t="str">
            <v>% Ch Y/Y</v>
          </cell>
          <cell r="CQ27">
            <v>0.21575216772950409</v>
          </cell>
          <cell r="CR27">
            <v>0.20903860585341458</v>
          </cell>
          <cell r="CS27">
            <v>0.21223489067994672</v>
          </cell>
          <cell r="CT27">
            <v>0.28594104764009748</v>
          </cell>
          <cell r="CU27">
            <v>0.23818940814377187</v>
          </cell>
          <cell r="CV27">
            <v>0.16599190283400814</v>
          </cell>
          <cell r="CW27">
            <v>0.21961184882533197</v>
          </cell>
          <cell r="DH27" t="str">
            <v>% Ch Y/Y</v>
          </cell>
          <cell r="DI27">
            <v>-5.994738431017383E-2</v>
          </cell>
          <cell r="DJ27">
            <v>-0.11893917131942412</v>
          </cell>
          <cell r="DK27">
            <v>-9.1805359941282708E-2</v>
          </cell>
          <cell r="DL27">
            <v>-0.10646738508108447</v>
          </cell>
          <cell r="DM27">
            <v>-0.19827274502236719</v>
          </cell>
          <cell r="DN27">
            <v>6.2362617197912244E-2</v>
          </cell>
          <cell r="DO27">
            <v>-5.8653846153846154E-2</v>
          </cell>
          <cell r="DZ27" t="str">
            <v xml:space="preserve">  % change</v>
          </cell>
          <cell r="EA27">
            <v>9.4449164542622435E-2</v>
          </cell>
          <cell r="EB27">
            <v>0.20127434627977375</v>
          </cell>
          <cell r="EC27">
            <v>0.14966042245362457</v>
          </cell>
          <cell r="ED27">
            <v>0.21550152758379901</v>
          </cell>
          <cell r="EE27">
            <v>0.36516195003742358</v>
          </cell>
          <cell r="EF27">
            <v>5.3291829427083486E-2</v>
          </cell>
          <cell r="EG27">
            <v>0.10286320254506906</v>
          </cell>
          <cell r="ER27" t="str">
            <v xml:space="preserve">  % change</v>
          </cell>
          <cell r="ES27">
            <v>0.15384615384615397</v>
          </cell>
          <cell r="ET27">
            <v>0.11353183962264148</v>
          </cell>
          <cell r="EU27">
            <v>0.13265242862899473</v>
          </cell>
          <cell r="EV27">
            <v>0.12232302055371598</v>
          </cell>
          <cell r="EW27">
            <v>0.12908605060208367</v>
          </cell>
          <cell r="EX27">
            <v>0.13414954935830278</v>
          </cell>
          <cell r="EY27">
            <v>0.16578933704539764</v>
          </cell>
          <cell r="FJ27" t="str">
            <v xml:space="preserve">  % change</v>
          </cell>
          <cell r="FK27">
            <v>0.15859760799304423</v>
          </cell>
          <cell r="FL27">
            <v>0.17641618497109834</v>
          </cell>
          <cell r="FM27">
            <v>0.16789721664618285</v>
          </cell>
          <cell r="FN27">
            <v>0.11494748799842713</v>
          </cell>
          <cell r="FO27">
            <v>0.14905627670630808</v>
          </cell>
          <cell r="FP27">
            <v>8.1124096448057958E-2</v>
          </cell>
          <cell r="FQ27">
            <v>0.13130445728031778</v>
          </cell>
          <cell r="GB27" t="str">
            <v xml:space="preserve">  % change</v>
          </cell>
          <cell r="GC27">
            <v>0.2943704557965694</v>
          </cell>
          <cell r="GD27">
            <v>0.1719295108108804</v>
          </cell>
          <cell r="GE27">
            <v>0.22744097520514228</v>
          </cell>
          <cell r="GF27">
            <v>0.1511418340449816</v>
          </cell>
          <cell r="GG27">
            <v>0.19915921167577078</v>
          </cell>
          <cell r="GH27">
            <v>1.9046316155585186</v>
          </cell>
          <cell r="GI27">
            <v>0.4419570976370788</v>
          </cell>
        </row>
        <row r="28">
          <cell r="B28" t="str">
            <v>Interest,net</v>
          </cell>
          <cell r="C28">
            <v>-39</v>
          </cell>
          <cell r="D28">
            <v>-38</v>
          </cell>
          <cell r="E28">
            <v>-77</v>
          </cell>
          <cell r="F28">
            <v>-37</v>
          </cell>
          <cell r="G28">
            <v>-114</v>
          </cell>
          <cell r="H28">
            <v>-35.714400000000012</v>
          </cell>
          <cell r="I28">
            <v>-149.71440000000001</v>
          </cell>
          <cell r="J28">
            <v>1.0526315789473686</v>
          </cell>
          <cell r="K28">
            <v>2.1666666666666665</v>
          </cell>
          <cell r="L28">
            <v>2.3636363636363638</v>
          </cell>
          <cell r="M28">
            <v>0.48810000000000042</v>
          </cell>
          <cell r="N28">
            <v>1.2684000000000002</v>
          </cell>
          <cell r="O28">
            <v>0.625</v>
          </cell>
          <cell r="P28">
            <v>-2.5641025641025661E-2</v>
          </cell>
          <cell r="Q28">
            <v>-2.6315789473684181E-2</v>
          </cell>
          <cell r="R28">
            <v>-3.47459459459456E-2</v>
          </cell>
          <cell r="U28" t="str">
            <v>Interest,net</v>
          </cell>
          <cell r="V28">
            <v>-19</v>
          </cell>
          <cell r="W28">
            <v>-12</v>
          </cell>
          <cell r="X28">
            <v>-31</v>
          </cell>
          <cell r="Y28">
            <v>-11</v>
          </cell>
          <cell r="Z28">
            <v>-42</v>
          </cell>
          <cell r="AA28">
            <v>-24</v>
          </cell>
          <cell r="AB28">
            <v>-66</v>
          </cell>
          <cell r="AH28">
            <v>0.72727272727272729</v>
          </cell>
          <cell r="AI28">
            <v>-0.36842105263157898</v>
          </cell>
          <cell r="AJ28">
            <v>-8.333333333333337E-2</v>
          </cell>
          <cell r="AK28" t="str">
            <v>NA</v>
          </cell>
          <cell r="AN28" t="str">
            <v>Interest,net</v>
          </cell>
          <cell r="AO28">
            <v>-26</v>
          </cell>
          <cell r="AP28">
            <v>-21</v>
          </cell>
          <cell r="AQ28">
            <v>-47</v>
          </cell>
          <cell r="AR28">
            <v>-12</v>
          </cell>
          <cell r="AS28">
            <v>-59</v>
          </cell>
          <cell r="AT28">
            <v>-11</v>
          </cell>
          <cell r="AU28">
            <v>-70</v>
          </cell>
          <cell r="AV28">
            <v>0.52941176470588225</v>
          </cell>
          <cell r="AW28">
            <v>-8.6956521739130488E-2</v>
          </cell>
          <cell r="AX28">
            <v>-0.64705882352941169</v>
          </cell>
          <cell r="AY28">
            <v>-0.59259259259259256</v>
          </cell>
          <cell r="AZ28">
            <v>-0.30693069306930698</v>
          </cell>
          <cell r="BA28">
            <v>-3.703703703703709E-2</v>
          </cell>
          <cell r="BB28">
            <v>-0.19230769230769229</v>
          </cell>
          <cell r="BC28">
            <v>-0.4285714285714286</v>
          </cell>
          <cell r="BD28">
            <v>-8.333333333333337E-2</v>
          </cell>
          <cell r="CM28" t="str">
            <v>EPS</v>
          </cell>
          <cell r="CN28">
            <v>1.1439072520966946</v>
          </cell>
          <cell r="CO28">
            <v>1.3358194308145239</v>
          </cell>
          <cell r="CP28">
            <v>2.4797266829112186</v>
          </cell>
          <cell r="CQ28">
            <v>1.3712245691777452</v>
          </cell>
          <cell r="CR28">
            <v>3.8509512520889637</v>
          </cell>
          <cell r="CS28">
            <v>1.2802027695351139</v>
          </cell>
          <cell r="CT28">
            <v>2.5634452704434758</v>
          </cell>
          <cell r="CU28">
            <v>9.1749487274387018E-2</v>
          </cell>
          <cell r="CV28">
            <v>0.1965588434484497</v>
          </cell>
          <cell r="CW28">
            <v>0.21849389963595023</v>
          </cell>
          <cell r="CX28">
            <v>-2.3256765252708038</v>
          </cell>
          <cell r="CY28">
            <v>0.10312416834142381</v>
          </cell>
          <cell r="DE28" t="str">
            <v>EPS</v>
          </cell>
          <cell r="DF28">
            <v>1.0477744807121663</v>
          </cell>
          <cell r="DG28">
            <v>1.116384236453202</v>
          </cell>
          <cell r="DH28">
            <v>2.1641587171653685</v>
          </cell>
          <cell r="DI28">
            <v>1.1253438113948919</v>
          </cell>
          <cell r="DJ28">
            <v>3.2895025285602602</v>
          </cell>
          <cell r="DK28">
            <v>-0.96569769859476029</v>
          </cell>
          <cell r="DL28">
            <v>2.3238048299654999</v>
          </cell>
          <cell r="DM28">
            <v>0.15441679981739356</v>
          </cell>
          <cell r="DN28">
            <v>0.10694938539827117</v>
          </cell>
          <cell r="DO28">
            <v>0.1057858444158911</v>
          </cell>
          <cell r="DP28">
            <v>-1.8993349773475714</v>
          </cell>
          <cell r="DQ28">
            <v>0.15659632108052515</v>
          </cell>
        </row>
        <row r="29">
          <cell r="B29" t="str">
            <v>Other</v>
          </cell>
          <cell r="C29">
            <v>3</v>
          </cell>
          <cell r="D29">
            <v>0</v>
          </cell>
          <cell r="E29">
            <v>3</v>
          </cell>
          <cell r="F29">
            <v>0</v>
          </cell>
          <cell r="G29">
            <v>3</v>
          </cell>
          <cell r="H29">
            <v>0</v>
          </cell>
          <cell r="I29">
            <v>3</v>
          </cell>
          <cell r="U29" t="str">
            <v>Other</v>
          </cell>
          <cell r="V29">
            <v>3</v>
          </cell>
          <cell r="W29">
            <v>0</v>
          </cell>
          <cell r="X29">
            <v>3</v>
          </cell>
          <cell r="Y29">
            <v>0</v>
          </cell>
          <cell r="Z29">
            <v>3</v>
          </cell>
          <cell r="AA29">
            <v>14</v>
          </cell>
          <cell r="AB29">
            <v>17</v>
          </cell>
          <cell r="AN29" t="str">
            <v>Other</v>
          </cell>
          <cell r="AO29">
            <v>1</v>
          </cell>
          <cell r="AP29">
            <v>1</v>
          </cell>
          <cell r="AQ29">
            <v>2</v>
          </cell>
          <cell r="AR29">
            <v>2</v>
          </cell>
          <cell r="AS29">
            <v>4</v>
          </cell>
          <cell r="AT29">
            <v>0</v>
          </cell>
          <cell r="AU29">
            <v>4</v>
          </cell>
          <cell r="BF29" t="str">
            <v>EPS, Cont. Ops</v>
          </cell>
          <cell r="BG29">
            <v>0.95673671199011112</v>
          </cell>
          <cell r="BH29">
            <v>1.0320485247395879</v>
          </cell>
          <cell r="BI29">
            <v>1.9890133287295355</v>
          </cell>
          <cell r="BJ29">
            <v>1.0806109303643339</v>
          </cell>
          <cell r="BK29">
            <v>3.069828918360527</v>
          </cell>
          <cell r="BL29">
            <v>1.1328602887203327</v>
          </cell>
          <cell r="BM29">
            <v>4.2035398230088497</v>
          </cell>
          <cell r="BN29">
            <v>9.5090998756902634E-2</v>
          </cell>
          <cell r="BO29">
            <v>0.23478674454132631</v>
          </cell>
          <cell r="BP29">
            <v>0.20412934933271965</v>
          </cell>
          <cell r="BQ29">
            <v>0.15364577589439721</v>
          </cell>
          <cell r="BR29">
            <v>0.17527257615019809</v>
          </cell>
          <cell r="BS29">
            <v>-2.5709279934903462E-2</v>
          </cell>
          <cell r="BT29">
            <v>7.8717385677424589E-2</v>
          </cell>
          <cell r="BU29">
            <v>4.7054382096035186E-2</v>
          </cell>
          <cell r="BV29">
            <v>4.8351684114820825E-2</v>
          </cell>
          <cell r="BX29" t="str">
            <v>EPS, Cont. Ops</v>
          </cell>
          <cell r="BY29">
            <v>0.87365955256335326</v>
          </cell>
          <cell r="BZ29">
            <v>0.8358111465821999</v>
          </cell>
          <cell r="CA29">
            <v>1.7094543122247943</v>
          </cell>
          <cell r="CB29">
            <v>0.8974209713957767</v>
          </cell>
          <cell r="CC29">
            <v>2.6069726371855473</v>
          </cell>
          <cell r="CD29">
            <v>0.98198278222971003</v>
          </cell>
          <cell r="CE29">
            <v>3.5766509900011854</v>
          </cell>
          <cell r="CF29">
            <v>0.32074293805138465</v>
          </cell>
          <cell r="CG29">
            <v>0.15860717560704951</v>
          </cell>
          <cell r="CH29">
            <v>0.13216564561280753</v>
          </cell>
          <cell r="CI29">
            <v>0.24078712545662984</v>
          </cell>
          <cell r="CJ29">
            <v>0.20699689280162303</v>
          </cell>
          <cell r="CK29">
            <v>0.10391500184086522</v>
          </cell>
          <cell r="CL29">
            <v>-4.332168734389108E-2</v>
          </cell>
          <cell r="CM29" t="str">
            <v>EPS-Disc. Opns</v>
          </cell>
          <cell r="CN29">
            <v>-0.01</v>
          </cell>
          <cell r="CO29">
            <v>-0.05</v>
          </cell>
          <cell r="CP29" t="str">
            <v>EPS</v>
          </cell>
          <cell r="CQ29">
            <v>0.66149098919457006</v>
          </cell>
          <cell r="CR29">
            <v>0.72139303482587069</v>
          </cell>
          <cell r="CS29">
            <v>1.3829880372092338</v>
          </cell>
          <cell r="CT29">
            <v>0.79265871992611958</v>
          </cell>
          <cell r="CU29">
            <v>2.1760495427795985</v>
          </cell>
          <cell r="CV29">
            <v>0.79141922259092146</v>
          </cell>
          <cell r="CW29">
            <v>2.9632644552209539</v>
          </cell>
          <cell r="CX29">
            <v>-0.3939544407847152</v>
          </cell>
          <cell r="CY29">
            <v>-0.40269883800376083</v>
          </cell>
          <cell r="CZ29">
            <v>-0.36604503302402636</v>
          </cell>
          <cell r="DA29">
            <v>-0.42570711885631951</v>
          </cell>
          <cell r="DB29">
            <v>0.20559763592678948</v>
          </cell>
          <cell r="DC29">
            <v>-0.51998946299097559</v>
          </cell>
          <cell r="DD29">
            <v>9.0556102214237599E-2</v>
          </cell>
          <cell r="DE29" t="str">
            <v>EPS-Disc. Opns</v>
          </cell>
          <cell r="DF29">
            <v>0.14000000000000001</v>
          </cell>
          <cell r="DG29">
            <v>0</v>
          </cell>
          <cell r="DH29" t="str">
            <v>EPS</v>
          </cell>
          <cell r="DI29">
            <v>0</v>
          </cell>
          <cell r="DJ29">
            <v>0</v>
          </cell>
          <cell r="DK29">
            <v>0</v>
          </cell>
          <cell r="DL29">
            <v>0</v>
          </cell>
          <cell r="DM29" t="str">
            <v>nm</v>
          </cell>
          <cell r="DN29">
            <v>1.3780759758241174</v>
          </cell>
          <cell r="DO29">
            <v>2.457921587531132</v>
          </cell>
          <cell r="DP29">
            <v>-4.582541211653586E-2</v>
          </cell>
          <cell r="DQ29">
            <v>-9.5870106318724044E-2</v>
          </cell>
          <cell r="DR29">
            <v>-8.8158725718605252E-2</v>
          </cell>
          <cell r="DS29">
            <v>7.645133147504804E-2</v>
          </cell>
          <cell r="DT29">
            <v>-4.116478870410533E-2</v>
          </cell>
          <cell r="DU29">
            <v>-0.14741066273225889</v>
          </cell>
          <cell r="DV29">
            <v>0.10652167595520323</v>
          </cell>
          <cell r="DW29">
            <v>3.5259555053445135E-2</v>
          </cell>
          <cell r="DX29">
            <v>0.10216173465598066</v>
          </cell>
          <cell r="DZ29" t="str">
            <v>EPS</v>
          </cell>
          <cell r="EA29">
            <v>1.1439072520966946</v>
          </cell>
          <cell r="EB29">
            <v>1.3358194308145239</v>
          </cell>
          <cell r="EC29">
            <v>2.4797266829112186</v>
          </cell>
          <cell r="ED29">
            <v>1.3712245691777452</v>
          </cell>
          <cell r="EE29">
            <v>3.8509512520889637</v>
          </cell>
          <cell r="EF29">
            <v>1.2802027695351139</v>
          </cell>
          <cell r="EG29">
            <v>2.5634452704434758</v>
          </cell>
          <cell r="EH29">
            <v>9.1749487274387018E-2</v>
          </cell>
          <cell r="EI29">
            <v>0.1965588434484497</v>
          </cell>
          <cell r="EJ29">
            <v>0.21849389963595023</v>
          </cell>
          <cell r="EK29">
            <v>-2.3256765252708038</v>
          </cell>
          <cell r="EL29">
            <v>0.10312416834142381</v>
          </cell>
          <cell r="EM29">
            <v>-2.1845396895542537</v>
          </cell>
          <cell r="EN29">
            <v>0.16776900257085425</v>
          </cell>
          <cell r="EO29">
            <v>2.6504434316869219E-2</v>
          </cell>
          <cell r="EP29">
            <v>-6.6379936363897274E-2</v>
          </cell>
          <cell r="ER29" t="str">
            <v>EPS</v>
          </cell>
          <cell r="ES29">
            <v>1.0477744807121663</v>
          </cell>
          <cell r="ET29">
            <v>1.116384236453202</v>
          </cell>
          <cell r="EU29">
            <v>2.1641587171653685</v>
          </cell>
          <cell r="EV29">
            <v>1.1253438113948919</v>
          </cell>
          <cell r="EW29">
            <v>3.2895025285602602</v>
          </cell>
          <cell r="EX29">
            <v>-0.96569769859476029</v>
          </cell>
          <cell r="EY29">
            <v>2.3238048299654999</v>
          </cell>
          <cell r="EZ29">
            <v>0.15441679981739356</v>
          </cell>
          <cell r="FA29">
            <v>0.10694938539827117</v>
          </cell>
          <cell r="FB29">
            <v>0.1057858444158911</v>
          </cell>
          <cell r="FC29">
            <v>-1.8993349773475714</v>
          </cell>
          <cell r="FD29">
            <v>0.15659632108052515</v>
          </cell>
          <cell r="FE29">
            <v>-2.4228554911301603E-2</v>
          </cell>
          <cell r="FF29">
            <v>6.5481415136587451E-2</v>
          </cell>
          <cell r="FG29">
            <v>8.0255297854749941E-3</v>
          </cell>
          <cell r="FH29">
            <v>-1.8581356993448552</v>
          </cell>
          <cell r="FJ29" t="str">
            <v>EPS</v>
          </cell>
          <cell r="FK29">
            <v>0.90762234305486889</v>
          </cell>
          <cell r="FL29">
            <v>1.0085232903865213</v>
          </cell>
          <cell r="FM29">
            <v>1.9161456334413902</v>
          </cell>
          <cell r="FN29">
            <v>1.0176869391824526</v>
          </cell>
          <cell r="FO29">
            <v>2.9338325726238428</v>
          </cell>
          <cell r="FP29">
            <v>1.073790882061447</v>
          </cell>
          <cell r="FQ29">
            <v>2.0091753601589666</v>
          </cell>
          <cell r="FR29">
            <v>0.15825398042764821</v>
          </cell>
          <cell r="FS29">
            <v>0.17699914641062814</v>
          </cell>
          <cell r="FT29">
            <v>0.12606361449890977</v>
          </cell>
          <cell r="FU29">
            <v>8.5410019526147435E-2</v>
          </cell>
          <cell r="FV29">
            <v>0.13580045114929057</v>
          </cell>
          <cell r="FW29">
            <v>-8.2556574510772585E-2</v>
          </cell>
          <cell r="FX29">
            <v>0.11117062961676405</v>
          </cell>
          <cell r="FY29">
            <v>9.0862044370032535E-3</v>
          </cell>
          <cell r="FZ29">
            <v>5.512888170114949E-2</v>
          </cell>
          <cell r="GB29" t="str">
            <v>EPS</v>
          </cell>
          <cell r="GC29">
            <v>0.78361253955696175</v>
          </cell>
          <cell r="GD29">
            <v>0.85685983159980184</v>
          </cell>
          <cell r="GE29">
            <v>1.6404723711567635</v>
          </cell>
          <cell r="GF29">
            <v>0.90375616979269502</v>
          </cell>
          <cell r="GG29">
            <v>2.5442285409494585</v>
          </cell>
          <cell r="GH29">
            <v>0.98929516288252717</v>
          </cell>
          <cell r="GI29">
            <v>1.7689510143493321</v>
          </cell>
          <cell r="GJ29">
            <v>0.2946584634632568</v>
          </cell>
          <cell r="GK29">
            <v>0.18063626794914847</v>
          </cell>
          <cell r="GL29">
            <v>0.1505736495266968</v>
          </cell>
          <cell r="GM29">
            <v>0.31906021717670291</v>
          </cell>
          <cell r="GN29">
            <v>0.44267058457306957</v>
          </cell>
          <cell r="GP29">
            <v>9.3473864116891958E-2</v>
          </cell>
          <cell r="GQ29">
            <v>5.4730466365000785E-2</v>
          </cell>
          <cell r="GR29">
            <v>9.4648308856860375E-2</v>
          </cell>
        </row>
        <row r="30">
          <cell r="B30" t="str">
            <v>Pretax Inc</v>
          </cell>
          <cell r="C30">
            <v>869</v>
          </cell>
          <cell r="D30">
            <v>907</v>
          </cell>
          <cell r="E30">
            <v>1776</v>
          </cell>
          <cell r="F30">
            <v>761.15</v>
          </cell>
          <cell r="G30">
            <v>2537.15</v>
          </cell>
          <cell r="H30">
            <v>901.16059999999993</v>
          </cell>
          <cell r="I30">
            <v>3438.3105999999998</v>
          </cell>
          <cell r="J30">
            <v>2.8402366863905293E-2</v>
          </cell>
          <cell r="K30">
            <v>-2.2002200220021528E-3</v>
          </cell>
          <cell r="L30">
            <v>-0.17445770065075927</v>
          </cell>
          <cell r="M30">
            <v>-2.8921767241379404E-2</v>
          </cell>
          <cell r="N30">
            <v>-4.5973751387347495E-2</v>
          </cell>
          <cell r="O30">
            <v>-6.3577586206896575E-2</v>
          </cell>
          <cell r="P30">
            <v>4.3728423475258849E-2</v>
          </cell>
          <cell r="Q30">
            <v>-0.16080485115766263</v>
          </cell>
          <cell r="R30">
            <v>0.18394613413913152</v>
          </cell>
          <cell r="U30" t="str">
            <v>Pretax Inc</v>
          </cell>
          <cell r="V30">
            <v>845</v>
          </cell>
          <cell r="W30">
            <v>909</v>
          </cell>
          <cell r="X30">
            <v>1754</v>
          </cell>
          <cell r="Y30">
            <v>922</v>
          </cell>
          <cell r="Z30">
            <v>2676</v>
          </cell>
          <cell r="AA30">
            <v>928</v>
          </cell>
          <cell r="AB30">
            <v>3604</v>
          </cell>
          <cell r="AC30">
            <v>0.28810975609756095</v>
          </cell>
          <cell r="AD30">
            <v>0.22837837837837838</v>
          </cell>
          <cell r="AE30">
            <v>0.16561314791403281</v>
          </cell>
          <cell r="AF30">
            <v>7.9069767441860561E-2</v>
          </cell>
          <cell r="AG30">
            <v>0.18280275680997704</v>
          </cell>
          <cell r="AH30">
            <v>-1.744186046511631E-2</v>
          </cell>
          <cell r="AI30">
            <v>7.5739644970414188E-2</v>
          </cell>
          <cell r="AJ30">
            <v>1.4301430143014215E-2</v>
          </cell>
          <cell r="AK30">
            <v>6.5075921908894774E-3</v>
          </cell>
          <cell r="AN30" t="str">
            <v>Pretax Inc</v>
          </cell>
          <cell r="AO30">
            <v>656</v>
          </cell>
          <cell r="AP30">
            <v>740</v>
          </cell>
          <cell r="AQ30">
            <v>1396</v>
          </cell>
          <cell r="AR30">
            <v>791</v>
          </cell>
          <cell r="AS30">
            <v>2187</v>
          </cell>
          <cell r="AT30">
            <v>860</v>
          </cell>
          <cell r="AU30">
            <v>3047</v>
          </cell>
          <cell r="AV30">
            <v>0.13298791018998268</v>
          </cell>
          <cell r="AW30">
            <v>0.17834394904458595</v>
          </cell>
          <cell r="AX30">
            <v>0.22826086956521729</v>
          </cell>
          <cell r="AY30">
            <v>0.27218934911242609</v>
          </cell>
          <cell r="AZ30">
            <v>0.20577760189948546</v>
          </cell>
          <cell r="BA30">
            <v>-2.9585798816568087E-2</v>
          </cell>
          <cell r="BB30">
            <v>0.12804878048780477</v>
          </cell>
          <cell r="BC30">
            <v>6.8918918918918992E-2</v>
          </cell>
          <cell r="BD30">
            <v>8.7231352718078359E-2</v>
          </cell>
          <cell r="BF30" t="str">
            <v>EPS, Non-recurring</v>
          </cell>
          <cell r="BG30">
            <v>-3.2138442521631644E-2</v>
          </cell>
          <cell r="BH30">
            <v>0.5307678127232166</v>
          </cell>
          <cell r="BI30">
            <v>0.49862937020158493</v>
          </cell>
          <cell r="BJ30">
            <v>-4.9118678652924266E-3</v>
          </cell>
          <cell r="BK30">
            <v>0.49371750233629252</v>
          </cell>
          <cell r="BL30">
            <v>-0.13457303645705898</v>
          </cell>
          <cell r="BM30">
            <v>0.35889872173058013</v>
          </cell>
          <cell r="BX30" t="str">
            <v>EPS, Non-recurring</v>
          </cell>
          <cell r="BY30">
            <v>-4.2074256072456108E-2</v>
          </cell>
          <cell r="BZ30">
            <v>5.0000000000000001E-3</v>
          </cell>
          <cell r="CA30">
            <v>-3.707425607245611E-2</v>
          </cell>
          <cell r="CB30">
            <v>2.4654422291092763E-2</v>
          </cell>
          <cell r="CC30">
            <v>-1.2419833781363347E-2</v>
          </cell>
          <cell r="CD30">
            <v>1.9738347381501709E-2</v>
          </cell>
          <cell r="CE30">
            <v>3.2110816899181917E-2</v>
          </cell>
          <cell r="CM30" t="str">
            <v>Total EPS</v>
          </cell>
          <cell r="CN30">
            <v>1.1339072520966946</v>
          </cell>
          <cell r="CO30">
            <v>1.2858194308145239</v>
          </cell>
          <cell r="CP30" t="str">
            <v>EPS-Disc. Opns</v>
          </cell>
          <cell r="CQ30">
            <v>9.9848638450486527E-3</v>
          </cell>
          <cell r="CR30">
            <v>2.4875621890547265E-2</v>
          </cell>
          <cell r="CS30">
            <v>3.4860485735595914E-2</v>
          </cell>
          <cell r="CT30">
            <v>4.954116999538247E-3</v>
          </cell>
          <cell r="CU30">
            <v>3.9814602735134159E-2</v>
          </cell>
          <cell r="CV30">
            <v>1.4999999999999999E-2</v>
          </cell>
          <cell r="CW30">
            <v>5.459951257526046E-2</v>
          </cell>
          <cell r="CX30">
            <v>-1.6604000084861661</v>
          </cell>
          <cell r="CY30">
            <v>-2.73414784912639E-2</v>
          </cell>
          <cell r="DE30" t="str">
            <v>Total EPS</v>
          </cell>
          <cell r="DF30">
            <v>1.1877744807121662</v>
          </cell>
          <cell r="DG30">
            <v>1.116384236453202</v>
          </cell>
          <cell r="DH30" t="str">
            <v>EPS-Disc. Opns</v>
          </cell>
          <cell r="DI30">
            <v>0</v>
          </cell>
          <cell r="DJ30">
            <v>0</v>
          </cell>
          <cell r="DK30">
            <v>0</v>
          </cell>
          <cell r="DL30">
            <v>3.5171991036166861E-2</v>
          </cell>
          <cell r="DM30">
            <v>3.5171991036166861E-2</v>
          </cell>
          <cell r="DN30">
            <v>2.0044741466532619E-2</v>
          </cell>
          <cell r="DO30">
            <v>5.5234192978227688E-2</v>
          </cell>
          <cell r="DP30">
            <v>-5.4682272026802876E-2</v>
          </cell>
          <cell r="DQ30">
            <v>4.0117473052856449E-2</v>
          </cell>
          <cell r="DZ30" t="str">
            <v>EPS-Disc. Opns</v>
          </cell>
          <cell r="EA30">
            <v>-0.01</v>
          </cell>
          <cell r="EB30">
            <v>-0.05</v>
          </cell>
          <cell r="EC30">
            <v>-6.0000000000000005E-2</v>
          </cell>
          <cell r="ED30">
            <v>-0.05</v>
          </cell>
          <cell r="EE30">
            <v>-0.11000000000000001</v>
          </cell>
          <cell r="EF30">
            <v>-0.55000000000000004</v>
          </cell>
          <cell r="EG30">
            <v>-0.66</v>
          </cell>
          <cell r="ER30" t="str">
            <v>EPS-Disc. Opns</v>
          </cell>
          <cell r="ES30">
            <v>0.14000000000000001</v>
          </cell>
          <cell r="ET30">
            <v>0</v>
          </cell>
          <cell r="EV30">
            <v>0</v>
          </cell>
          <cell r="EW30">
            <v>0</v>
          </cell>
          <cell r="EX30">
            <v>0</v>
          </cell>
          <cell r="EY30">
            <v>0</v>
          </cell>
          <cell r="EZ30" t="str">
            <v>nm</v>
          </cell>
          <cell r="FJ30" t="str">
            <v>EPS-Disc. Opns</v>
          </cell>
          <cell r="FK30">
            <v>0</v>
          </cell>
          <cell r="FL30">
            <v>0</v>
          </cell>
          <cell r="FN30">
            <v>0.47</v>
          </cell>
          <cell r="FO30">
            <v>0.47</v>
          </cell>
          <cell r="FP30">
            <v>-0.24499999999999997</v>
          </cell>
          <cell r="FQ30">
            <v>0.22500000000000001</v>
          </cell>
          <cell r="FR30" t="str">
            <v>nm</v>
          </cell>
          <cell r="GB30" t="str">
            <v>EPS-Disc. Opns</v>
          </cell>
          <cell r="GC30">
            <v>0.82</v>
          </cell>
          <cell r="GE30">
            <v>0.82</v>
          </cell>
          <cell r="GG30">
            <v>0.82</v>
          </cell>
          <cell r="GI30">
            <v>0.41</v>
          </cell>
        </row>
        <row r="31">
          <cell r="B31" t="str">
            <v>Eff Tax Rate</v>
          </cell>
          <cell r="C31">
            <v>0.31726121979286537</v>
          </cell>
          <cell r="D31">
            <v>0.31477398015435504</v>
          </cell>
          <cell r="E31">
            <v>0.31599099099099104</v>
          </cell>
          <cell r="F31">
            <v>0.316</v>
          </cell>
          <cell r="G31">
            <v>0.31599369371144798</v>
          </cell>
          <cell r="H31">
            <v>0.31143924499140313</v>
          </cell>
          <cell r="I31">
            <v>0.31480000000000002</v>
          </cell>
          <cell r="U31" t="str">
            <v>Eff Tax Rate</v>
          </cell>
          <cell r="V31">
            <v>0.32189349112426036</v>
          </cell>
          <cell r="W31">
            <v>0.33333333333333331</v>
          </cell>
          <cell r="X31">
            <v>0.32782212086659068</v>
          </cell>
          <cell r="Y31">
            <v>0.31236442516268981</v>
          </cell>
          <cell r="Z31">
            <v>0.32249626307922274</v>
          </cell>
          <cell r="AA31">
            <v>0.32112068965517238</v>
          </cell>
          <cell r="AB31">
            <v>0.32214206437291898</v>
          </cell>
          <cell r="AN31" t="str">
            <v>Eff Tax Rate</v>
          </cell>
          <cell r="AO31">
            <v>0.32926829268292684</v>
          </cell>
          <cell r="AP31">
            <v>0.3</v>
          </cell>
          <cell r="AQ31">
            <v>0.31375358166189116</v>
          </cell>
          <cell r="AR31">
            <v>0.31226300000000001</v>
          </cell>
          <cell r="AS31">
            <v>0.31321446410608134</v>
          </cell>
          <cell r="AT31">
            <v>0.32790693837209323</v>
          </cell>
          <cell r="AU31">
            <v>0.31736133902198882</v>
          </cell>
          <cell r="BF31" t="str">
            <v>EPS, Reported</v>
          </cell>
          <cell r="BG31">
            <v>0.92459826946847945</v>
          </cell>
          <cell r="BH31">
            <v>1.5628163374628046</v>
          </cell>
          <cell r="BI31">
            <v>2.4876426989311202</v>
          </cell>
          <cell r="BJ31">
            <v>1.0756990624990415</v>
          </cell>
          <cell r="BK31">
            <v>3.5635464206968193</v>
          </cell>
          <cell r="BL31">
            <v>0.99828725226327375</v>
          </cell>
          <cell r="BM31">
            <v>4.5624385447394298</v>
          </cell>
          <cell r="BN31">
            <v>0.11185018947554282</v>
          </cell>
          <cell r="BO31">
            <v>0.85870078413621442</v>
          </cell>
          <cell r="BP31">
            <v>0.16660640752803957</v>
          </cell>
          <cell r="BQ31">
            <v>-3.4279773546065373E-3</v>
          </cell>
          <cell r="BR31">
            <v>0.26426702256034829</v>
          </cell>
          <cell r="BS31">
            <v>-7.6990349771962285E-2</v>
          </cell>
          <cell r="BT31">
            <v>0.69026526337888927</v>
          </cell>
          <cell r="BU31">
            <v>-0.3116919520783783</v>
          </cell>
          <cell r="BV31">
            <v>-7.1964188623467096E-2</v>
          </cell>
          <cell r="BX31" t="str">
            <v>EPS, Reported</v>
          </cell>
          <cell r="BY31">
            <v>0.83158529649089719</v>
          </cell>
          <cell r="BZ31">
            <v>0.84081114658219991</v>
          </cell>
          <cell r="CA31">
            <v>1.6723800561523381</v>
          </cell>
          <cell r="CB31">
            <v>0.92207539368686942</v>
          </cell>
          <cell r="CC31">
            <v>2.5945528034041838</v>
          </cell>
          <cell r="CD31">
            <v>1.0017211296112118</v>
          </cell>
          <cell r="CE31">
            <v>3.6087618069003673</v>
          </cell>
          <cell r="CF31">
            <v>0.23844408213117307</v>
          </cell>
          <cell r="CG31">
            <v>0.12668693642014772</v>
          </cell>
          <cell r="CH31">
            <v>0.15604382351836743</v>
          </cell>
          <cell r="CI31">
            <v>0.24218409178393641</v>
          </cell>
          <cell r="CJ31">
            <v>0.19580002459012569</v>
          </cell>
          <cell r="CK31">
            <v>3.1207185040952101E-2</v>
          </cell>
          <cell r="CL31">
            <v>1.109429198692391E-2</v>
          </cell>
          <cell r="CM31" t="str">
            <v xml:space="preserve">  % change</v>
          </cell>
          <cell r="CN31">
            <v>9.1749487274387018E-2</v>
          </cell>
          <cell r="CO31">
            <v>0.1965588434484497</v>
          </cell>
          <cell r="CP31" t="str">
            <v>Total EPS</v>
          </cell>
          <cell r="CQ31">
            <v>0.67147585303961876</v>
          </cell>
          <cell r="CR31">
            <v>0.74626865671641796</v>
          </cell>
          <cell r="CS31">
            <v>1.4178485229448297</v>
          </cell>
          <cell r="CT31">
            <v>0.79761283692565776</v>
          </cell>
          <cell r="CU31">
            <v>2.2158641455147325</v>
          </cell>
          <cell r="CV31">
            <v>0.80641922259092147</v>
          </cell>
          <cell r="CW31">
            <v>3.0178639677962145</v>
          </cell>
          <cell r="CX31">
            <v>-0.38480649698576941</v>
          </cell>
          <cell r="CY31">
            <v>-0.38210224621078714</v>
          </cell>
          <cell r="CZ31">
            <v>-0.37953643014083438</v>
          </cell>
          <cell r="DA31">
            <v>-1.7525397262523237</v>
          </cell>
          <cell r="DB31">
            <v>0.20082646336573773</v>
          </cell>
          <cell r="DC31">
            <v>-1.6266123629939981</v>
          </cell>
          <cell r="DD31">
            <v>0.11138569367495377</v>
          </cell>
          <cell r="DE31" t="str">
            <v xml:space="preserve">  % change</v>
          </cell>
          <cell r="DF31">
            <v>0.15441679981739356</v>
          </cell>
          <cell r="DG31">
            <v>0.10694938539827117</v>
          </cell>
          <cell r="DH31" t="str">
            <v>Total EPS</v>
          </cell>
          <cell r="DI31">
            <v>1.0914872308462695</v>
          </cell>
          <cell r="DJ31">
            <v>1.2077542799597181</v>
          </cell>
          <cell r="DK31">
            <v>2.2989204117499376</v>
          </cell>
          <cell r="DL31">
            <v>1.2855111495211586</v>
          </cell>
          <cell r="DM31">
            <v>3.5843883266139622</v>
          </cell>
          <cell r="DN31">
            <v>-1.0715968798177866</v>
          </cell>
          <cell r="DO31">
            <v>2.5131557805093596</v>
          </cell>
          <cell r="DP31">
            <v>-3.7410485885848895E-2</v>
          </cell>
          <cell r="DQ31">
            <v>-6.0712374524744997E-2</v>
          </cell>
          <cell r="DR31">
            <v>-2.70305446096968E-2</v>
          </cell>
          <cell r="DS31">
            <v>-2.4675332996888284</v>
          </cell>
          <cell r="DT31">
            <v>0.11188369986452498</v>
          </cell>
          <cell r="DU31">
            <v>0.49477278967480309</v>
          </cell>
          <cell r="DV31">
            <v>0.10652167595520323</v>
          </cell>
          <cell r="DW31">
            <v>6.4381365358551212E-2</v>
          </cell>
          <cell r="DX31">
            <v>-1.8335959436967519</v>
          </cell>
          <cell r="DZ31" t="str">
            <v>Total EPS</v>
          </cell>
          <cell r="EA31">
            <v>1.1339072520966946</v>
          </cell>
          <cell r="EB31">
            <v>1.2858194308145239</v>
          </cell>
          <cell r="EC31">
            <v>2.4197266829112185</v>
          </cell>
          <cell r="ED31">
            <v>1.3212245691777451</v>
          </cell>
          <cell r="EE31">
            <v>3.7409512520889638</v>
          </cell>
          <cell r="EF31">
            <v>0.73020276953511387</v>
          </cell>
          <cell r="EG31">
            <v>2.260268570189103</v>
          </cell>
          <cell r="EH31">
            <v>-4.5351394132641935E-2</v>
          </cell>
          <cell r="EI31">
            <v>0.1517713962888122</v>
          </cell>
          <cell r="EJ31">
            <v>0.17406303371416249</v>
          </cell>
          <cell r="EK31">
            <v>-1.6604000084861661</v>
          </cell>
          <cell r="EL31">
            <v>-2.73414784912639E-2</v>
          </cell>
          <cell r="EM31">
            <v>-2.0255128988129272</v>
          </cell>
          <cell r="EN31">
            <v>0.13397231425844591</v>
          </cell>
          <cell r="EO31">
            <v>2.753507803253008E-2</v>
          </cell>
          <cell r="EP31">
            <v>-0.44732879892662725</v>
          </cell>
          <cell r="ER31" t="str">
            <v>Total EPS</v>
          </cell>
          <cell r="ES31">
            <v>1.1877744807121662</v>
          </cell>
          <cell r="ET31">
            <v>1.116384236453202</v>
          </cell>
          <cell r="EU31">
            <v>2.3041587171653681</v>
          </cell>
          <cell r="EV31">
            <v>1.1253438113948919</v>
          </cell>
          <cell r="EW31">
            <v>3.4295025285602598</v>
          </cell>
          <cell r="EX31">
            <v>-1.10569769859476</v>
          </cell>
          <cell r="EY31">
            <v>2.3238048299654999</v>
          </cell>
          <cell r="EZ31">
            <v>0.30866597743105706</v>
          </cell>
          <cell r="FA31">
            <v>0.10694938539827117</v>
          </cell>
          <cell r="FB31">
            <v>-0.24356140949028135</v>
          </cell>
          <cell r="FC31">
            <v>-5.4682272026802876E-2</v>
          </cell>
          <cell r="FD31">
            <v>4.0117473052856449E-2</v>
          </cell>
          <cell r="FE31">
            <v>-2.0154893827475409</v>
          </cell>
          <cell r="FF31">
            <v>-6.010420784268744E-2</v>
          </cell>
          <cell r="FG31">
            <v>8.0255297854749941E-3</v>
          </cell>
          <cell r="FH31">
            <v>-1.9825421239258603</v>
          </cell>
          <cell r="FJ31" t="str">
            <v>Total EPS</v>
          </cell>
          <cell r="FK31">
            <v>0.90762234305486889</v>
          </cell>
          <cell r="FL31">
            <v>1.0085232903865213</v>
          </cell>
          <cell r="FM31">
            <v>1.9161456334413902</v>
          </cell>
          <cell r="FN31">
            <v>1.4876869391824525</v>
          </cell>
          <cell r="FO31">
            <v>3.403832572623843</v>
          </cell>
          <cell r="FP31">
            <v>-1.1696572124648763</v>
          </cell>
          <cell r="FQ31">
            <v>2.2341753601589667</v>
          </cell>
          <cell r="FR31">
            <v>-0.43401393998476567</v>
          </cell>
          <cell r="FS31">
            <v>0.17699914641062814</v>
          </cell>
          <cell r="FT31">
            <v>0.64611538920248857</v>
          </cell>
          <cell r="FU31">
            <v>-1.3178613265414776E-2</v>
          </cell>
          <cell r="FV31">
            <v>2.5344464123313704E-2</v>
          </cell>
          <cell r="FW31">
            <v>-1.7657466902779391</v>
          </cell>
          <cell r="FX31">
            <v>0.11117062961676405</v>
          </cell>
          <cell r="FY31">
            <v>0.47511411324203467</v>
          </cell>
          <cell r="FZ31">
            <v>-1.7862253688317336</v>
          </cell>
          <cell r="GB31" t="str">
            <v>Total EPS</v>
          </cell>
          <cell r="GC31">
            <v>1.6036125395569618</v>
          </cell>
          <cell r="GD31">
            <v>0.85685983159980184</v>
          </cell>
          <cell r="GE31">
            <v>2.4604723711567638</v>
          </cell>
          <cell r="GF31">
            <v>0.90375616979269502</v>
          </cell>
          <cell r="GG31">
            <v>3.3642285409494588</v>
          </cell>
          <cell r="GH31">
            <v>-1.1852775266001268</v>
          </cell>
          <cell r="GI31">
            <v>2.178951014349332</v>
          </cell>
          <cell r="GJ31">
            <v>1.6494350736488066</v>
          </cell>
          <cell r="GK31">
            <v>0.18063626794914847</v>
          </cell>
          <cell r="GL31">
            <v>0.1505736495266968</v>
          </cell>
          <cell r="GM31">
            <v>0.3312552313687942</v>
          </cell>
          <cell r="GN31">
            <v>0.77704668367184893</v>
          </cell>
          <cell r="GP31">
            <v>-0.46566903758651645</v>
          </cell>
          <cell r="GQ31">
            <v>5.4730466365000785E-2</v>
          </cell>
          <cell r="GR31">
            <v>-2.3115014494141795</v>
          </cell>
        </row>
        <row r="32">
          <cell r="B32" t="str">
            <v>Net Income</v>
          </cell>
          <cell r="C32">
            <v>593.29999999999995</v>
          </cell>
          <cell r="D32">
            <v>621.5</v>
          </cell>
          <cell r="E32">
            <v>1214.8</v>
          </cell>
          <cell r="F32">
            <v>520.62659999999994</v>
          </cell>
          <cell r="G32">
            <v>1735.4265999999998</v>
          </cell>
          <cell r="H32">
            <v>620.50382312000011</v>
          </cell>
          <cell r="I32">
            <v>2355.9304231199999</v>
          </cell>
          <cell r="J32">
            <v>3.5427574171029486E-2</v>
          </cell>
          <cell r="K32">
            <v>2.5577557755775304E-2</v>
          </cell>
          <cell r="L32">
            <v>-0.17882239747634077</v>
          </cell>
          <cell r="M32">
            <v>-1.5073296634920519E-2</v>
          </cell>
          <cell r="N32">
            <v>-3.5640432615636541E-2</v>
          </cell>
          <cell r="O32">
            <v>-5.8253968253968336E-2</v>
          </cell>
          <cell r="P32">
            <v>4.7530760155064966E-2</v>
          </cell>
          <cell r="Q32">
            <v>-0.16230635559131146</v>
          </cell>
          <cell r="R32">
            <v>0.19184041522273376</v>
          </cell>
          <cell r="BF32" t="str">
            <v>% Ch Y/Y</v>
          </cell>
          <cell r="BG32">
            <v>9.5090998756902551E-2</v>
          </cell>
          <cell r="BH32">
            <v>0.23478674454132625</v>
          </cell>
          <cell r="BI32">
            <v>0.16353699218840489</v>
          </cell>
          <cell r="BJ32">
            <v>0.2041293493327197</v>
          </cell>
          <cell r="BK32">
            <v>0.17754550798610347</v>
          </cell>
          <cell r="BL32">
            <v>0.15364577589439724</v>
          </cell>
          <cell r="BM32">
            <v>0.17527257615019809</v>
          </cell>
          <cell r="BX32" t="str">
            <v>% Ch Y/Y</v>
          </cell>
          <cell r="BY32">
            <v>0.32074293805138476</v>
          </cell>
          <cell r="BZ32">
            <v>0.15860717560704946</v>
          </cell>
          <cell r="CA32">
            <v>0.23605863986672282</v>
          </cell>
          <cell r="CB32">
            <v>0.13216564561280744</v>
          </cell>
          <cell r="CC32">
            <v>0.19803000158512241</v>
          </cell>
          <cell r="CD32">
            <v>0.24078712545662972</v>
          </cell>
          <cell r="CE32">
            <v>0.20699689280162303</v>
          </cell>
          <cell r="CP32" t="str">
            <v>% Ch Y/Y</v>
          </cell>
          <cell r="CQ32">
            <v>-0.3939544407847152</v>
          </cell>
          <cell r="CR32">
            <v>-0.40269883800376088</v>
          </cell>
          <cell r="CS32">
            <v>-0.39841847932590946</v>
          </cell>
          <cell r="CT32">
            <v>-0.36604503302402636</v>
          </cell>
          <cell r="CU32">
            <v>-0.38689295409620383</v>
          </cell>
          <cell r="CV32">
            <v>-0.42570711885631946</v>
          </cell>
          <cell r="CW32">
            <v>0.20559763592678948</v>
          </cell>
          <cell r="DH32" t="str">
            <v>% Ch Y/Y</v>
          </cell>
          <cell r="DI32">
            <v>-4.582541211653586E-2</v>
          </cell>
          <cell r="DJ32">
            <v>-9.5870106318724044E-2</v>
          </cell>
          <cell r="DK32">
            <v>-7.2913790220224151E-2</v>
          </cell>
          <cell r="DL32">
            <v>-8.8158725718605252E-2</v>
          </cell>
          <cell r="DM32">
            <v>-7.8353346162845172E-2</v>
          </cell>
          <cell r="DN32">
            <v>7.645133147504804E-2</v>
          </cell>
          <cell r="DO32">
            <v>-4.1164788704105337E-2</v>
          </cell>
          <cell r="DZ32" t="str">
            <v xml:space="preserve">  % change</v>
          </cell>
          <cell r="EA32">
            <v>9.1749487274387018E-2</v>
          </cell>
          <cell r="EB32">
            <v>0.1965588434484497</v>
          </cell>
          <cell r="EC32">
            <v>0.14581553711512596</v>
          </cell>
          <cell r="ED32">
            <v>0.21849389963595023</v>
          </cell>
          <cell r="EE32">
            <v>0.17067891532353885</v>
          </cell>
          <cell r="EF32">
            <v>-2.3256765252708038</v>
          </cell>
          <cell r="EG32">
            <v>0.10312416834142391</v>
          </cell>
          <cell r="ER32" t="str">
            <v xml:space="preserve">  % change</v>
          </cell>
          <cell r="ES32">
            <v>0.15441679981739356</v>
          </cell>
          <cell r="ET32">
            <v>0.10694938539827117</v>
          </cell>
          <cell r="EU32">
            <v>0.12943331623418808</v>
          </cell>
          <cell r="EV32">
            <v>0.1057858444158911</v>
          </cell>
          <cell r="EW32">
            <v>0.12123048849318874</v>
          </cell>
          <cell r="EX32">
            <v>-1.8993349773475714</v>
          </cell>
          <cell r="EY32">
            <v>0.15659632108052524</v>
          </cell>
          <cell r="FJ32" t="str">
            <v xml:space="preserve">  % change</v>
          </cell>
          <cell r="FK32">
            <v>0.15825398042764816</v>
          </cell>
          <cell r="FL32">
            <v>0.17699914641062819</v>
          </cell>
          <cell r="FM32">
            <v>0.16804505039620898</v>
          </cell>
          <cell r="FN32">
            <v>0.12606361449890979</v>
          </cell>
          <cell r="FO32">
            <v>0.15313248216647679</v>
          </cell>
          <cell r="FP32">
            <v>8.5410019526147352E-2</v>
          </cell>
          <cell r="FQ32">
            <v>0.13580045114929051</v>
          </cell>
          <cell r="GB32" t="str">
            <v xml:space="preserve">  % change</v>
          </cell>
          <cell r="GC32">
            <v>1.6494350736488066</v>
          </cell>
          <cell r="GD32">
            <v>0.18063626794914844</v>
          </cell>
          <cell r="GE32" t="str">
            <v>NA</v>
          </cell>
          <cell r="GF32">
            <v>0.15057364952669672</v>
          </cell>
          <cell r="GG32" t="str">
            <v>NA</v>
          </cell>
          <cell r="GH32">
            <v>0.3312552313687942</v>
          </cell>
          <cell r="GI32">
            <v>0.44267058457306963</v>
          </cell>
        </row>
        <row r="33">
          <cell r="U33" t="str">
            <v>Net Income</v>
          </cell>
          <cell r="V33">
            <v>573</v>
          </cell>
          <cell r="W33">
            <v>606.00000000000011</v>
          </cell>
          <cell r="X33">
            <v>1179</v>
          </cell>
          <cell r="Y33">
            <v>634</v>
          </cell>
          <cell r="Z33">
            <v>1813</v>
          </cell>
          <cell r="AA33">
            <v>630</v>
          </cell>
          <cell r="AB33">
            <v>2443</v>
          </cell>
          <cell r="AC33">
            <v>0.30227272727272747</v>
          </cell>
          <cell r="AD33">
            <v>0.16988416988417021</v>
          </cell>
          <cell r="AE33">
            <v>0.16544124716831088</v>
          </cell>
          <cell r="AF33">
            <v>8.9965335694021098E-2</v>
          </cell>
          <cell r="AG33">
            <v>0.1745192307692307</v>
          </cell>
          <cell r="AH33">
            <v>-8.6505756306761716E-3</v>
          </cell>
          <cell r="AI33">
            <v>5.7591623036649331E-2</v>
          </cell>
          <cell r="AJ33">
            <v>4.6204620462046098E-2</v>
          </cell>
          <cell r="AK33">
            <v>-6.3091482649841879E-3</v>
          </cell>
          <cell r="AN33" t="str">
            <v>Net Income</v>
          </cell>
          <cell r="AO33">
            <v>439.99999999999994</v>
          </cell>
          <cell r="AP33">
            <v>518</v>
          </cell>
          <cell r="AQ33">
            <v>958</v>
          </cell>
          <cell r="AR33">
            <v>543.99996700000008</v>
          </cell>
          <cell r="AS33">
            <v>1501.9999670000002</v>
          </cell>
          <cell r="AT33">
            <v>578.0000329999998</v>
          </cell>
          <cell r="AU33">
            <v>2080</v>
          </cell>
          <cell r="AV33">
            <v>0.13695090439276481</v>
          </cell>
          <cell r="AW33">
            <v>0.23333333333333317</v>
          </cell>
          <cell r="AX33">
            <v>0.23636356136363657</v>
          </cell>
          <cell r="AY33">
            <v>0.24838020086393042</v>
          </cell>
          <cell r="AZ33">
            <v>0.21637426900584789</v>
          </cell>
          <cell r="BA33">
            <v>-4.9676025917926636E-2</v>
          </cell>
          <cell r="BB33">
            <v>0.17727272727272747</v>
          </cell>
          <cell r="BC33">
            <v>5.0192986486486735E-2</v>
          </cell>
          <cell r="BD33">
            <v>6.2500125114896665E-2</v>
          </cell>
          <cell r="CM33" t="str">
            <v xml:space="preserve"> Avg. Shs.</v>
          </cell>
          <cell r="CN33">
            <v>202.7</v>
          </cell>
          <cell r="CO33">
            <v>203.8</v>
          </cell>
          <cell r="CQ33">
            <v>203.1</v>
          </cell>
          <cell r="CS33">
            <v>202.2</v>
          </cell>
          <cell r="CT33">
            <v>405.70400000000001</v>
          </cell>
          <cell r="CU33">
            <v>2.4727992087042534E-3</v>
          </cell>
          <cell r="CV33">
            <v>3.9408866995074452E-3</v>
          </cell>
          <cell r="CW33">
            <v>-2.455795677799607E-3</v>
          </cell>
          <cell r="CX33">
            <v>9.9009900990093373E-4</v>
          </cell>
          <cell r="CY33">
            <v>-2.3656973878758905E-4</v>
          </cell>
          <cell r="DE33" t="str">
            <v xml:space="preserve"> Avg. Shs.</v>
          </cell>
          <cell r="DF33">
            <v>202.2</v>
          </cell>
          <cell r="DG33">
            <v>203</v>
          </cell>
          <cell r="DI33">
            <v>203.6</v>
          </cell>
          <cell r="DK33">
            <v>202</v>
          </cell>
          <cell r="DL33">
            <v>405.8</v>
          </cell>
          <cell r="DM33">
            <v>-4.9431537320821916E-4</v>
          </cell>
          <cell r="DN33">
            <v>5.9464816650148097E-3</v>
          </cell>
          <cell r="DO33">
            <v>1.4955134596211367E-2</v>
          </cell>
          <cell r="DP33">
            <v>9.910802775024213E-4</v>
          </cell>
          <cell r="DQ33">
            <v>7.9483358171882467E-3</v>
          </cell>
        </row>
        <row r="34">
          <cell r="B34" t="str">
            <v>EPS, Cont. Ops</v>
          </cell>
          <cell r="C34">
            <v>1.5350582147477361</v>
          </cell>
          <cell r="D34">
            <v>1.6059431524547803</v>
          </cell>
          <cell r="E34">
            <v>3.1410013672025165</v>
          </cell>
          <cell r="F34">
            <v>1.352276883116883</v>
          </cell>
          <cell r="G34">
            <v>4.4932782503193991</v>
          </cell>
          <cell r="H34">
            <v>1.6260975273969744</v>
          </cell>
          <cell r="I34">
            <v>6.1189391025198736</v>
          </cell>
          <cell r="J34">
            <v>8.2041907393735736E-2</v>
          </cell>
          <cell r="K34">
            <v>6.4798611644109938E-2</v>
          </cell>
          <cell r="L34">
            <v>-0.14725505067802858</v>
          </cell>
          <cell r="M34">
            <v>5.5993597997798794E-3</v>
          </cell>
          <cell r="N34">
            <v>-1.3831272309973164E-3</v>
          </cell>
          <cell r="O34">
            <v>-5.0700507197273037E-2</v>
          </cell>
          <cell r="P34">
            <v>4.6177361240135717E-2</v>
          </cell>
          <cell r="Q34">
            <v>-0.15795470029568182</v>
          </cell>
          <cell r="R34">
            <v>0.20248859364434169</v>
          </cell>
          <cell r="U34" t="str">
            <v>% Ch Y/Y</v>
          </cell>
          <cell r="V34">
            <v>0.30227272727272747</v>
          </cell>
          <cell r="W34">
            <v>0.16988416988417021</v>
          </cell>
          <cell r="X34">
            <v>0.23068893528183709</v>
          </cell>
          <cell r="Y34">
            <v>0.18730420203014742</v>
          </cell>
          <cell r="Z34">
            <v>0.20705728351057928</v>
          </cell>
          <cell r="AA34">
            <v>0.10212629325406475</v>
          </cell>
          <cell r="AB34">
            <v>0.20234299333410499</v>
          </cell>
          <cell r="AN34" t="str">
            <v>% Ch Y/Y</v>
          </cell>
          <cell r="AO34">
            <v>0.13695090439276489</v>
          </cell>
          <cell r="AP34">
            <v>0.23333333333333317</v>
          </cell>
          <cell r="AQ34">
            <v>0.18711276332094173</v>
          </cell>
          <cell r="AR34">
            <v>0.23636356136363657</v>
          </cell>
          <cell r="AS34">
            <v>0.20449075140336825</v>
          </cell>
          <cell r="AT34">
            <v>0.24838020086393045</v>
          </cell>
          <cell r="AU34">
            <v>0.2163742690058478</v>
          </cell>
          <cell r="BF34" t="str">
            <v>Avg. Diluted Shares</v>
          </cell>
          <cell r="BG34">
            <v>404.5</v>
          </cell>
          <cell r="BH34">
            <v>406.95760899999999</v>
          </cell>
          <cell r="BI34">
            <v>405.72880450000002</v>
          </cell>
          <cell r="BJ34">
            <v>407.177077</v>
          </cell>
          <cell r="BK34">
            <v>406.21156199999996</v>
          </cell>
          <cell r="BL34">
            <v>408.7</v>
          </cell>
          <cell r="BM34">
            <v>406.8</v>
          </cell>
          <cell r="BN34">
            <v>1.1197989004996245E-3</v>
          </cell>
          <cell r="BO34">
            <v>6.3304904989365252E-3</v>
          </cell>
          <cell r="BP34">
            <v>3.8715603610794957E-3</v>
          </cell>
          <cell r="BQ34">
            <v>8.3828218524684139E-3</v>
          </cell>
          <cell r="BR34">
            <v>4.8215626605541129E-3</v>
          </cell>
          <cell r="BS34">
            <v>-1.9798105228198137E-3</v>
          </cell>
          <cell r="BT34">
            <v>6.0756711990110901E-3</v>
          </cell>
          <cell r="BU34">
            <v>5.392895848275181E-4</v>
          </cell>
          <cell r="BV34">
            <v>3.7401982725073779E-3</v>
          </cell>
          <cell r="BX34" t="str">
            <v>Avg. Diluted Shares</v>
          </cell>
          <cell r="BY34">
            <v>404.04754800000001</v>
          </cell>
          <cell r="BZ34">
            <v>404.39757400000002</v>
          </cell>
          <cell r="CA34">
            <v>404.22256100000004</v>
          </cell>
          <cell r="CB34">
            <v>405.60674599999999</v>
          </cell>
          <cell r="CC34">
            <v>404.68395600000002</v>
          </cell>
          <cell r="CD34">
            <v>405.30242199999998</v>
          </cell>
          <cell r="CE34">
            <v>404.84800000000001</v>
          </cell>
          <cell r="CF34">
            <v>8.5899384264400691E-3</v>
          </cell>
          <cell r="CG34">
            <v>5.9641144278608227E-3</v>
          </cell>
          <cell r="CH34">
            <v>4.7116377429958778E-3</v>
          </cell>
          <cell r="CI34">
            <v>3.6287310813154505E-4</v>
          </cell>
          <cell r="CJ34">
            <v>4.7501575940476215E-3</v>
          </cell>
          <cell r="CK34">
            <v>-2.7343927651740652E-3</v>
          </cell>
          <cell r="CL34">
            <v>8.6629903270685205E-4</v>
          </cell>
          <cell r="CM34">
            <v>2.9900575021748477E-3</v>
          </cell>
          <cell r="CN34">
            <v>-7.5029324093145444E-4</v>
          </cell>
          <cell r="CP34" t="str">
            <v>Avg. Diluted Shares</v>
          </cell>
          <cell r="CQ34">
            <v>400.60636399999999</v>
          </cell>
          <cell r="CR34">
            <v>402</v>
          </cell>
          <cell r="CS34">
            <v>401.30318199999999</v>
          </cell>
          <cell r="CT34">
            <v>403.70463599999999</v>
          </cell>
          <cell r="CU34">
            <v>402.10366666666664</v>
          </cell>
          <cell r="CV34">
            <v>405.15540199999998</v>
          </cell>
          <cell r="CW34">
            <v>402.93400000000003</v>
          </cell>
          <cell r="CX34">
            <v>1.006040881321983</v>
          </cell>
          <cell r="CY34">
            <v>1.0241691842900305</v>
          </cell>
          <cell r="CZ34">
            <v>1.028442262664429</v>
          </cell>
          <cell r="DA34">
            <v>1.0303088217147729</v>
          </cell>
          <cell r="DB34">
            <v>1.162428697678175E-2</v>
          </cell>
          <cell r="DC34">
            <v>1.0075127490569149</v>
          </cell>
          <cell r="DD34">
            <v>3.4788164273895639E-3</v>
          </cell>
          <cell r="DE34">
            <v>4.2403880597015053E-3</v>
          </cell>
          <cell r="DF34">
            <v>3.5936322514760199E-3</v>
          </cell>
          <cell r="DH34" t="str">
            <v>Avg. Diluted Shares</v>
          </cell>
          <cell r="DI34">
            <v>199.7</v>
          </cell>
          <cell r="DJ34">
            <v>198.6</v>
          </cell>
          <cell r="DK34">
            <v>199.14999999999998</v>
          </cell>
          <cell r="DL34">
            <v>199.02199999999999</v>
          </cell>
          <cell r="DM34">
            <v>199.10733333333334</v>
          </cell>
          <cell r="DN34">
            <v>199.553584</v>
          </cell>
          <cell r="DO34">
            <v>398.30399999999997</v>
          </cell>
          <cell r="DP34">
            <v>-1.480019733596448E-2</v>
          </cell>
          <cell r="DQ34">
            <v>-2.5515210991167894E-2</v>
          </cell>
          <cell r="DR34">
            <v>-2.0078778926637141E-2</v>
          </cell>
          <cell r="DS34">
            <v>-1.3088110781404491E-2</v>
          </cell>
          <cell r="DT34">
            <v>-1.8239899039694047E-2</v>
          </cell>
          <cell r="DU34">
            <v>-1.236399604352123E-2</v>
          </cell>
          <cell r="DV34">
            <v>-5.5082623935903685E-3</v>
          </cell>
          <cell r="DW34">
            <v>2.1248741188317766E-3</v>
          </cell>
          <cell r="DX34">
            <v>2.6709810975671378E-3</v>
          </cell>
          <cell r="DZ34" t="str">
            <v xml:space="preserve"> Avg. Shs.</v>
          </cell>
          <cell r="EA34">
            <v>202.7</v>
          </cell>
          <cell r="EB34">
            <v>203.8</v>
          </cell>
          <cell r="ED34">
            <v>203.1</v>
          </cell>
          <cell r="EF34">
            <v>202.2</v>
          </cell>
          <cell r="EG34">
            <v>405.70400000000001</v>
          </cell>
          <cell r="EH34">
            <v>2.4727992087042534E-3</v>
          </cell>
          <cell r="EI34">
            <v>3.9408866995074452E-3</v>
          </cell>
          <cell r="EJ34">
            <v>-2.455795677799607E-3</v>
          </cell>
          <cell r="EK34">
            <v>9.9009900990093373E-4</v>
          </cell>
          <cell r="EL34">
            <v>-2.3656973878758905E-4</v>
          </cell>
          <cell r="EM34">
            <v>3.4653465346534684E-3</v>
          </cell>
          <cell r="EN34">
            <v>5.4267390231870216E-3</v>
          </cell>
          <cell r="EO34">
            <v>-3.4347399411188695E-3</v>
          </cell>
          <cell r="EP34">
            <v>-4.4313146233382339E-3</v>
          </cell>
          <cell r="ER34" t="str">
            <v xml:space="preserve"> Avg. Shs.</v>
          </cell>
          <cell r="ES34">
            <v>202.2</v>
          </cell>
          <cell r="ET34">
            <v>203</v>
          </cell>
          <cell r="EV34">
            <v>203.6</v>
          </cell>
          <cell r="EX34">
            <v>202</v>
          </cell>
          <cell r="EY34">
            <v>405.8</v>
          </cell>
          <cell r="EZ34">
            <v>-4.9431537320821916E-4</v>
          </cell>
          <cell r="FA34">
            <v>5.9464816650148097E-3</v>
          </cell>
          <cell r="FB34">
            <v>1.4955134596211367E-2</v>
          </cell>
          <cell r="FC34">
            <v>9.910802775024213E-4</v>
          </cell>
          <cell r="FD34">
            <v>7.9483358171882467E-3</v>
          </cell>
          <cell r="FE34">
            <v>1.9821605550047749E-3</v>
          </cell>
          <cell r="FF34">
            <v>3.9564787339267937E-3</v>
          </cell>
          <cell r="FG34">
            <v>2.9556650246305161E-3</v>
          </cell>
          <cell r="FH34">
            <v>-7.8585461689587577E-3</v>
          </cell>
          <cell r="FJ34" t="str">
            <v xml:space="preserve"> Avg. Shs.</v>
          </cell>
          <cell r="FK34">
            <v>202.3</v>
          </cell>
          <cell r="FL34">
            <v>201.8</v>
          </cell>
          <cell r="FN34">
            <v>200.6</v>
          </cell>
          <cell r="FP34">
            <v>201.8</v>
          </cell>
          <cell r="FQ34">
            <v>402.6</v>
          </cell>
          <cell r="FR34">
            <v>2.9667721518988465E-4</v>
          </cell>
          <cell r="FS34">
            <v>-4.9529470034667808E-4</v>
          </cell>
          <cell r="FT34">
            <v>-9.8716683119447184E-3</v>
          </cell>
          <cell r="FU34">
            <v>-3.9486673247778031E-3</v>
          </cell>
          <cell r="FV34">
            <v>-3.9584364176149574E-3</v>
          </cell>
          <cell r="FW34">
            <v>-1.4807502467916178E-3</v>
          </cell>
          <cell r="FX34">
            <v>-2.4715768660404924E-3</v>
          </cell>
          <cell r="FY34">
            <v>-5.946481665014991E-3</v>
          </cell>
          <cell r="FZ34">
            <v>5.9820538384847133E-3</v>
          </cell>
          <cell r="GB34" t="str">
            <v xml:space="preserve"> Avg. Shs.</v>
          </cell>
          <cell r="GC34">
            <v>202.24</v>
          </cell>
          <cell r="GD34">
            <v>201.9</v>
          </cell>
          <cell r="GF34">
            <v>202.6</v>
          </cell>
          <cell r="GH34">
            <v>202.6</v>
          </cell>
          <cell r="GI34">
            <v>404.2</v>
          </cell>
          <cell r="GJ34">
            <v>-2.2245841263557602E-4</v>
          </cell>
          <cell r="GK34">
            <v>-7.3746312684365781E-3</v>
          </cell>
          <cell r="GL34">
            <v>4.9382716049379909E-4</v>
          </cell>
          <cell r="GM34">
            <v>-1.4785608674224315E-3</v>
          </cell>
          <cell r="GN34">
            <v>-4.9455984174082254E-4</v>
          </cell>
          <cell r="GP34">
            <v>-1.681170886076E-3</v>
          </cell>
          <cell r="GQ34">
            <v>3.4670629024269317E-3</v>
          </cell>
          <cell r="GR34">
            <v>0</v>
          </cell>
        </row>
        <row r="35">
          <cell r="B35" t="str">
            <v>EPS, Non-recurring</v>
          </cell>
          <cell r="C35">
            <v>-7.7619663648124193E-3</v>
          </cell>
          <cell r="D35">
            <v>-7.7519379844961239E-3</v>
          </cell>
          <cell r="E35">
            <v>-1.5513904349308542E-2</v>
          </cell>
          <cell r="F35">
            <v>0</v>
          </cell>
          <cell r="G35">
            <v>-1.5513904349308542E-2</v>
          </cell>
          <cell r="H35">
            <v>0</v>
          </cell>
          <cell r="I35">
            <v>-1.5513904349308542E-2</v>
          </cell>
          <cell r="CM35" t="str">
            <v>Operating Margins</v>
          </cell>
          <cell r="DE35" t="str">
            <v>Operating Margins</v>
          </cell>
        </row>
        <row r="36">
          <cell r="B36" t="str">
            <v>EPS, Reported</v>
          </cell>
          <cell r="C36">
            <v>1.5272962483829235</v>
          </cell>
          <cell r="D36">
            <v>1.5981912144702841</v>
          </cell>
          <cell r="E36">
            <v>3.1254874628532079</v>
          </cell>
          <cell r="F36">
            <v>1.352276883116883</v>
          </cell>
          <cell r="G36">
            <v>4.4777643459700904</v>
          </cell>
          <cell r="H36">
            <v>1.6260975273969744</v>
          </cell>
          <cell r="I36">
            <v>6.1034251981705649</v>
          </cell>
          <cell r="J36">
            <v>7.469504306944752E-2</v>
          </cell>
          <cell r="K36">
            <v>1.7991107241186466E-3</v>
          </cell>
          <cell r="L36">
            <v>-0.14725505067802858</v>
          </cell>
          <cell r="M36">
            <v>3.6870043656074047E-2</v>
          </cell>
          <cell r="N36">
            <v>-1.039624786067328E-2</v>
          </cell>
          <cell r="O36">
            <v>-2.6129920834718434E-2</v>
          </cell>
          <cell r="P36">
            <v>4.6418608153082852E-2</v>
          </cell>
          <cell r="Q36">
            <v>-0.15387040619849024</v>
          </cell>
          <cell r="R36">
            <v>0.20248859364434169</v>
          </cell>
          <cell r="U36" t="str">
            <v>EPS, Cont. Ops</v>
          </cell>
          <cell r="V36">
            <v>1.4186679871255261</v>
          </cell>
          <cell r="W36">
            <v>1.5082130413140868</v>
          </cell>
          <cell r="X36">
            <v>2.9266476355963755</v>
          </cell>
          <cell r="Y36">
            <v>1.585792896448224</v>
          </cell>
          <cell r="Z36">
            <v>4.511820821236002</v>
          </cell>
          <cell r="AA36">
            <v>1.6170431211498972</v>
          </cell>
          <cell r="AB36">
            <v>6.1274140958113872</v>
          </cell>
          <cell r="AC36">
            <v>0.32000607711179629</v>
          </cell>
          <cell r="AD36">
            <v>0.19055658801801179</v>
          </cell>
          <cell r="AE36">
            <v>0.18730420203014742</v>
          </cell>
          <cell r="AF36">
            <v>0.13836472046688164</v>
          </cell>
          <cell r="AG36">
            <v>0.20234299333410499</v>
          </cell>
          <cell r="AH36">
            <v>-1.287247398173208E-3</v>
          </cell>
          <cell r="AI36">
            <v>6.311910538701504E-2</v>
          </cell>
          <cell r="AJ36">
            <v>5.1438260384317314E-2</v>
          </cell>
          <cell r="AK36">
            <v>1.9706371980645176E-2</v>
          </cell>
          <cell r="AN36" t="str">
            <v>EPS, Cont. Ops</v>
          </cell>
          <cell r="AO36">
            <v>1.074743527112848</v>
          </cell>
          <cell r="AP36">
            <v>1.2668134018097335</v>
          </cell>
          <cell r="AQ36">
            <v>2.341439569839912</v>
          </cell>
          <cell r="AR36">
            <v>1.3356247655290943</v>
          </cell>
          <cell r="AS36">
            <v>3.6765664988577029</v>
          </cell>
          <cell r="AT36">
            <v>1.4204965175718847</v>
          </cell>
          <cell r="AU36">
            <v>5.0962280562055158</v>
          </cell>
          <cell r="AV36">
            <v>0.12334304061278312</v>
          </cell>
          <cell r="AW36">
            <v>0.22747465011820323</v>
          </cell>
          <cell r="AX36">
            <v>0.23599042726578845</v>
          </cell>
          <cell r="AY36">
            <v>0.25390264952835695</v>
          </cell>
          <cell r="AZ36">
            <v>0.21236583231836481</v>
          </cell>
          <cell r="BA36">
            <v>-5.1300908140343382E-2</v>
          </cell>
          <cell r="BB36">
            <v>0.1787122879566021</v>
          </cell>
          <cell r="BC36">
            <v>5.4318468387734908E-2</v>
          </cell>
          <cell r="BD36">
            <v>6.354460791176586E-2</v>
          </cell>
          <cell r="BF36" t="str">
            <v>Operating Margins</v>
          </cell>
          <cell r="BX36" t="str">
            <v>Operating Margins</v>
          </cell>
          <cell r="CM36" t="str">
            <v>Marine Group</v>
          </cell>
          <cell r="CN36">
            <v>8.4490740740740741E-2</v>
          </cell>
          <cell r="CO36">
            <v>6.9868995633187769E-2</v>
          </cell>
          <cell r="CP36" t="str">
            <v>Operating Margins</v>
          </cell>
          <cell r="CQ36">
            <v>9.0382387022016217E-2</v>
          </cell>
          <cell r="CR36">
            <v>8.1346954218690884E-2</v>
          </cell>
          <cell r="CS36">
            <v>7.1499503475670315E-2</v>
          </cell>
          <cell r="CT36">
            <v>9.2807424593967514E-2</v>
          </cell>
          <cell r="CU36">
            <v>-8.9612268518518473E-2</v>
          </cell>
          <cell r="CV36">
            <v>-0.20282001367917085</v>
          </cell>
          <cell r="CW36">
            <v>5.2284995619364377E-3</v>
          </cell>
          <cell r="CX36">
            <v>-1.9906806202734623E-2</v>
          </cell>
          <cell r="CY36">
            <v>8.1356185914227955E-2</v>
          </cell>
          <cell r="DE36" t="str">
            <v>Marine Group</v>
          </cell>
          <cell r="DF36">
            <v>9.2807424593967514E-2</v>
          </cell>
          <cell r="DG36">
            <v>8.7645195353748678E-2</v>
          </cell>
          <cell r="DH36" t="str">
            <v>Operating Margins</v>
          </cell>
          <cell r="DI36">
            <v>8.9912280701754388E-2</v>
          </cell>
          <cell r="DK36">
            <v>7.2951739618406286E-2</v>
          </cell>
          <cell r="DL36">
            <v>8.58250276854928E-2</v>
          </cell>
          <cell r="DM36">
            <v>-0.10778316810799411</v>
          </cell>
          <cell r="DN36">
            <v>-8.6138511860303385E-2</v>
          </cell>
          <cell r="DO36">
            <v>-6.8181818181818107E-2</v>
          </cell>
          <cell r="DP36">
            <v>-0.13405337647761895</v>
          </cell>
          <cell r="DQ36">
            <v>-9.5923396633990937E-2</v>
          </cell>
          <cell r="DZ36" t="str">
            <v>Operating Margins</v>
          </cell>
          <cell r="ER36" t="str">
            <v>Operating Margins</v>
          </cell>
          <cell r="FJ36" t="str">
            <v>Operating Margins</v>
          </cell>
          <cell r="GB36" t="str">
            <v>Operating Margins</v>
          </cell>
        </row>
        <row r="37">
          <cell r="B37" t="str">
            <v>% of Year</v>
          </cell>
          <cell r="C37">
            <v>0.25023592471334194</v>
          </cell>
          <cell r="D37">
            <v>0.26185152804843492</v>
          </cell>
          <cell r="F37">
            <v>0.22156032706392687</v>
          </cell>
          <cell r="H37">
            <v>0.26642376609848178</v>
          </cell>
          <cell r="U37" t="str">
            <v>EPS, Non-recurring</v>
          </cell>
          <cell r="V37">
            <v>2.4758603614756128E-3</v>
          </cell>
          <cell r="W37">
            <v>8.7108013937282222E-2</v>
          </cell>
          <cell r="X37">
            <v>8.9583874298757832E-2</v>
          </cell>
          <cell r="Y37">
            <v>0</v>
          </cell>
          <cell r="Z37">
            <v>8.9583874298757832E-2</v>
          </cell>
          <cell r="AA37">
            <v>-4.8767967145790549E-2</v>
          </cell>
          <cell r="AB37">
            <v>4.0130423877602212E-2</v>
          </cell>
          <cell r="AN37" t="str">
            <v>EPS, Non-recurring</v>
          </cell>
          <cell r="AO37">
            <v>-1.4655593551538839E-2</v>
          </cell>
          <cell r="AP37">
            <v>-0.01</v>
          </cell>
          <cell r="AQ37">
            <v>-2.4655593551538839E-2</v>
          </cell>
          <cell r="AR37">
            <v>0</v>
          </cell>
          <cell r="AS37">
            <v>-2.4655593551538839E-2</v>
          </cell>
          <cell r="AT37">
            <v>2.4576062914721062E-3</v>
          </cell>
          <cell r="AU37">
            <v>-1.9600877139251984E-2</v>
          </cell>
          <cell r="BF37" t="str">
            <v>Marine Systems</v>
          </cell>
          <cell r="BG37">
            <v>7.6078431372549021E-2</v>
          </cell>
          <cell r="BH37">
            <v>7.266982622432859E-2</v>
          </cell>
          <cell r="BI37">
            <v>7.43801652892562E-2</v>
          </cell>
          <cell r="BJ37">
            <v>8.3538083538083535E-2</v>
          </cell>
          <cell r="BK37">
            <v>7.73524720893142E-2</v>
          </cell>
          <cell r="BL37">
            <v>7.1307300509337868E-2</v>
          </cell>
          <cell r="BM37">
            <v>7.5910931174089064E-2</v>
          </cell>
          <cell r="BX37" t="str">
            <v>Marine Systems</v>
          </cell>
          <cell r="BY37">
            <v>4.049586776859504E-2</v>
          </cell>
          <cell r="BZ37">
            <v>5.5178268251273345E-2</v>
          </cell>
          <cell r="CA37">
            <v>4.7738693467336682E-2</v>
          </cell>
          <cell r="CB37">
            <v>4.4406490179333902E-2</v>
          </cell>
          <cell r="CC37">
            <v>4.6642315257094689E-2</v>
          </cell>
          <cell r="CD37">
            <v>7.3063380281690141E-2</v>
          </cell>
          <cell r="CE37">
            <v>5.3035143769968054E-2</v>
          </cell>
          <cell r="CM37" t="str">
            <v>Combat Sys</v>
          </cell>
          <cell r="CN37">
            <v>9.5986038394415357E-2</v>
          </cell>
          <cell r="CO37">
            <v>0.11790393013100436</v>
          </cell>
          <cell r="CP37" t="str">
            <v>Marine Systems</v>
          </cell>
          <cell r="CQ37">
            <v>7.6562500000000006E-2</v>
          </cell>
          <cell r="CR37">
            <v>6.881903143585387E-2</v>
          </cell>
          <cell r="CS37">
            <v>7.2853072853072853E-2</v>
          </cell>
          <cell r="CT37">
            <v>5.3726169844020795E-2</v>
          </cell>
          <cell r="CU37">
            <v>6.6740515092772082E-2</v>
          </cell>
          <cell r="CV37">
            <v>4.5739910313901344E-2</v>
          </cell>
          <cell r="CW37">
            <v>6.1785865425306813E-2</v>
          </cell>
          <cell r="CX37">
            <v>7.1283979178716025E-2</v>
          </cell>
          <cell r="CY37">
            <v>1.7612524461839418E-2</v>
          </cell>
          <cell r="DE37" t="str">
            <v>Combat Sys</v>
          </cell>
          <cell r="DF37">
            <v>0.1095890410958904</v>
          </cell>
          <cell r="DG37">
            <v>0.10980392156862745</v>
          </cell>
          <cell r="DH37" t="str">
            <v>Marine Systems</v>
          </cell>
          <cell r="DI37">
            <v>0.10642201834862386</v>
          </cell>
          <cell r="DJ37">
            <v>6.5106815869786366E-2</v>
          </cell>
          <cell r="DK37">
            <v>0.10599721059972106</v>
          </cell>
          <cell r="DL37">
            <v>0.1076923076923077</v>
          </cell>
          <cell r="DM37">
            <v>-6.7012217697149254E-2</v>
          </cell>
          <cell r="DN37">
            <v>-0.1215686274509804</v>
          </cell>
          <cell r="DO37">
            <v>-0.14287131167865108</v>
          </cell>
          <cell r="DP37">
            <v>-0.1428051664544297</v>
          </cell>
          <cell r="DQ37">
            <v>-0.12120315581854041</v>
          </cell>
          <cell r="DZ37" t="str">
            <v>Marine Group</v>
          </cell>
          <cell r="EA37">
            <v>8.4490740740740741E-2</v>
          </cell>
          <cell r="EB37">
            <v>6.9868995633187769E-2</v>
          </cell>
          <cell r="EC37">
            <v>7.6966292134831457E-2</v>
          </cell>
          <cell r="ED37">
            <v>9.0382387022016217E-2</v>
          </cell>
          <cell r="EE37">
            <v>8.1346954218690884E-2</v>
          </cell>
          <cell r="EF37">
            <v>7.1499503475670315E-2</v>
          </cell>
          <cell r="EG37">
            <v>9.2807424593967514E-2</v>
          </cell>
          <cell r="EH37">
            <v>-8.9612268518518473E-2</v>
          </cell>
          <cell r="EI37">
            <v>-0.20282001367917085</v>
          </cell>
          <cell r="EJ37">
            <v>5.2284995619364377E-3</v>
          </cell>
          <cell r="EK37">
            <v>-1.9906806202734623E-2</v>
          </cell>
          <cell r="EL37">
            <v>8.1356185914227955E-2</v>
          </cell>
          <cell r="EM37">
            <v>0.15817307692307692</v>
          </cell>
          <cell r="EN37">
            <v>-0.17305736675240779</v>
          </cell>
          <cell r="EO37">
            <v>0.29359791425260706</v>
          </cell>
          <cell r="EP37">
            <v>-0.20892216026277588</v>
          </cell>
          <cell r="ER37" t="str">
            <v>Marine Group</v>
          </cell>
          <cell r="ES37">
            <v>9.2807424593967514E-2</v>
          </cell>
          <cell r="ET37">
            <v>8.7645195353748678E-2</v>
          </cell>
          <cell r="EV37">
            <v>8.9912280701754388E-2</v>
          </cell>
          <cell r="EX37">
            <v>7.2951739618406286E-2</v>
          </cell>
          <cell r="EY37">
            <v>8.58250276854928E-2</v>
          </cell>
          <cell r="EZ37">
            <v>-0.10778316810799411</v>
          </cell>
          <cell r="FA37">
            <v>-8.6138511860303385E-2</v>
          </cell>
          <cell r="FB37">
            <v>-6.8181818181818107E-2</v>
          </cell>
          <cell r="FC37">
            <v>-0.13405337647761895</v>
          </cell>
          <cell r="FD37">
            <v>-9.5923396633990937E-2</v>
          </cell>
          <cell r="FE37">
            <v>0.10163618284267928</v>
          </cell>
          <cell r="FF37">
            <v>-5.5623020063357953E-2</v>
          </cell>
          <cell r="FG37">
            <v>2.5866624392306026E-2</v>
          </cell>
          <cell r="FH37">
            <v>-0.18863431058553015</v>
          </cell>
          <cell r="FJ37" t="str">
            <v>Marine Group</v>
          </cell>
          <cell r="FK37">
            <v>0.10401891252955082</v>
          </cell>
          <cell r="FL37">
            <v>9.5906432748538009E-2</v>
          </cell>
          <cell r="FN37">
            <v>9.6491228070175433E-2</v>
          </cell>
          <cell r="FP37">
            <v>8.4245076586433265E-2</v>
          </cell>
          <cell r="FQ37">
            <v>9.4931145619689419E-2</v>
          </cell>
          <cell r="FR37">
            <v>-4.4917257683215146E-2</v>
          </cell>
          <cell r="FS37">
            <v>-0.16735778841041998</v>
          </cell>
          <cell r="FT37">
            <v>-4.9561403508771973E-2</v>
          </cell>
          <cell r="FU37">
            <v>-0.14818867007050807</v>
          </cell>
          <cell r="FV37">
            <v>-0.10625799489755818</v>
          </cell>
          <cell r="FW37">
            <v>5.1746782243236256E-2</v>
          </cell>
          <cell r="FX37">
            <v>-7.799043062200961E-2</v>
          </cell>
          <cell r="FY37">
            <v>6.0975609756097615E-3</v>
          </cell>
          <cell r="FZ37">
            <v>-0.12691466083150971</v>
          </cell>
          <cell r="GB37" t="str">
            <v>Marine Group</v>
          </cell>
          <cell r="GC37">
            <v>0.10891089108910891</v>
          </cell>
          <cell r="GD37">
            <v>0.11518324607329843</v>
          </cell>
          <cell r="GF37">
            <v>0.10152284263959391</v>
          </cell>
          <cell r="GH37">
            <v>9.8901098901098897E-2</v>
          </cell>
          <cell r="GI37">
            <v>0.10621761658031088</v>
          </cell>
        </row>
        <row r="38">
          <cell r="B38" t="str">
            <v>Avg. Diluted Shares</v>
          </cell>
          <cell r="C38">
            <v>386.5</v>
          </cell>
          <cell r="D38">
            <v>387</v>
          </cell>
          <cell r="F38">
            <v>385</v>
          </cell>
          <cell r="H38">
            <v>381.5907795600001</v>
          </cell>
          <cell r="I38">
            <v>385.02269489000003</v>
          </cell>
          <cell r="J38">
            <v>-4.3079970289675584E-2</v>
          </cell>
          <cell r="K38">
            <v>-3.6834245893479389E-2</v>
          </cell>
          <cell r="L38">
            <v>-3.7018509254627352E-2</v>
          </cell>
          <cell r="M38">
            <v>-2.0557547330595227E-2</v>
          </cell>
          <cell r="N38">
            <v>-3.4304753222974549E-2</v>
          </cell>
          <cell r="O38">
            <v>-7.9568788501027665E-3</v>
          </cell>
          <cell r="P38">
            <v>1.2936610608020871E-3</v>
          </cell>
          <cell r="Q38">
            <v>-5.1679586563307955E-3</v>
          </cell>
          <cell r="R38">
            <v>-8.8551180259737183E-3</v>
          </cell>
          <cell r="U38" t="str">
            <v>EPS, Reported</v>
          </cell>
          <cell r="V38">
            <v>1.4211438474870017</v>
          </cell>
          <cell r="W38">
            <v>1.595321055251369</v>
          </cell>
          <cell r="X38">
            <v>3.0162315098951336</v>
          </cell>
          <cell r="Y38">
            <v>1.585792896448224</v>
          </cell>
          <cell r="Z38">
            <v>4.6014046955347601</v>
          </cell>
          <cell r="AA38">
            <v>1.5682751540041067</v>
          </cell>
          <cell r="AB38">
            <v>6.1675445196889891</v>
          </cell>
          <cell r="AC38">
            <v>0.34059053262944361</v>
          </cell>
          <cell r="AD38">
            <v>0.26933803614299912</v>
          </cell>
          <cell r="AE38">
            <v>0.18730420203014742</v>
          </cell>
          <cell r="AF38">
            <v>0.10212629325406475</v>
          </cell>
          <cell r="AG38">
            <v>0.21489018242686408</v>
          </cell>
          <cell r="AH38">
            <v>-1.2721958817899504E-3</v>
          </cell>
          <cell r="AI38">
            <v>0.12256127912199988</v>
          </cell>
          <cell r="AJ38">
            <v>-5.9725650656843321E-3</v>
          </cell>
          <cell r="AK38">
            <v>-1.1046677333056976E-2</v>
          </cell>
          <cell r="AN38" t="str">
            <v>EPS, Reported</v>
          </cell>
          <cell r="AO38">
            <v>1.0600879335613091</v>
          </cell>
          <cell r="AP38">
            <v>1.2568134018097334</v>
          </cell>
          <cell r="AQ38">
            <v>2.3167839762883733</v>
          </cell>
          <cell r="AR38">
            <v>1.3356247655290943</v>
          </cell>
          <cell r="AS38">
            <v>3.6519109053061642</v>
          </cell>
          <cell r="AT38">
            <v>1.4229541238633567</v>
          </cell>
          <cell r="AU38">
            <v>5.0766271790662634</v>
          </cell>
          <cell r="AV38">
            <v>0.14653895488114865</v>
          </cell>
          <cell r="AW38">
            <v>-0.19580223748483438</v>
          </cell>
          <cell r="AX38">
            <v>0.24163421917111183</v>
          </cell>
          <cell r="AY38">
            <v>0.42539546672292627</v>
          </cell>
          <cell r="AZ38">
            <v>0.11270039679103228</v>
          </cell>
          <cell r="BA38">
            <v>6.1906711878693788E-2</v>
          </cell>
          <cell r="BB38">
            <v>0.18557466981775317</v>
          </cell>
          <cell r="BC38">
            <v>6.2707290999505005E-2</v>
          </cell>
          <cell r="BD38">
            <v>6.5384650380953202E-2</v>
          </cell>
          <cell r="BF38" t="str">
            <v>Combat Systems</v>
          </cell>
          <cell r="BG38">
            <v>0.10737764791818846</v>
          </cell>
          <cell r="BH38">
            <v>0.11911357340720222</v>
          </cell>
          <cell r="BI38">
            <v>0.1134020618556701</v>
          </cell>
          <cell r="BJ38">
            <v>0.12014652014652015</v>
          </cell>
          <cell r="BK38">
            <v>0.11560555289612255</v>
          </cell>
          <cell r="BL38">
            <v>0.1074792243767313</v>
          </cell>
          <cell r="BM38">
            <v>0.1131539361524319</v>
          </cell>
          <cell r="BX38" t="str">
            <v>Combat Systems</v>
          </cell>
          <cell r="BY38">
            <v>9.8391674550614955E-2</v>
          </cell>
          <cell r="BZ38">
            <v>0.11001788908765653</v>
          </cell>
          <cell r="CA38">
            <v>0.10436781609195403</v>
          </cell>
          <cell r="CB38">
            <v>0.12822580645161291</v>
          </cell>
          <cell r="CC38">
            <v>0.1130307467057101</v>
          </cell>
          <cell r="CD38">
            <v>0.11830635118306351</v>
          </cell>
          <cell r="CE38">
            <v>0.11471818362875921</v>
          </cell>
          <cell r="CM38" t="str">
            <v>Info Sys &amp; Tech</v>
          </cell>
          <cell r="CN38">
            <v>0.1068075117370892</v>
          </cell>
          <cell r="CO38">
            <v>0.10887949260042283</v>
          </cell>
          <cell r="CP38" t="str">
            <v>Combat Systems</v>
          </cell>
          <cell r="CQ38">
            <v>0.10467289719626169</v>
          </cell>
          <cell r="CR38">
            <v>0.11122244488977956</v>
          </cell>
          <cell r="CS38">
            <v>0.10783365570599614</v>
          </cell>
          <cell r="CT38">
            <v>0.12415130940834142</v>
          </cell>
          <cell r="CU38">
            <v>0.1132623426911907</v>
          </cell>
          <cell r="CV38">
            <v>0.13073394495412843</v>
          </cell>
          <cell r="CW38">
            <v>0.11844792375765827</v>
          </cell>
          <cell r="CX38">
            <v>1.649865971986255E-2</v>
          </cell>
          <cell r="CY38">
            <v>1.0818120351588847E-2</v>
          </cell>
          <cell r="DE38" t="str">
            <v>Info Sys &amp; Tech</v>
          </cell>
          <cell r="DF38">
            <v>9.8039215686274508E-2</v>
          </cell>
          <cell r="DG38">
            <v>9.1044776119402981E-2</v>
          </cell>
          <cell r="DH38" t="str">
            <v>Combat Systems</v>
          </cell>
          <cell r="DI38">
            <v>9.1190108191653782E-2</v>
          </cell>
          <cell r="DJ38">
            <v>0.11746680286006128</v>
          </cell>
          <cell r="DK38">
            <v>0.1062992125984252</v>
          </cell>
          <cell r="DL38">
            <v>9.6989966555183951E-2</v>
          </cell>
          <cell r="DM38">
            <v>2.4340770791074967E-2</v>
          </cell>
          <cell r="DN38">
            <v>1.3517319065052064E-2</v>
          </cell>
          <cell r="DO38">
            <v>-1.1830827595897259E-2</v>
          </cell>
          <cell r="DP38">
            <v>0.13594256600277907</v>
          </cell>
          <cell r="DQ38">
            <v>4.4541713545921194E-2</v>
          </cell>
          <cell r="DZ38" t="str">
            <v>Combat Sys</v>
          </cell>
          <cell r="EA38">
            <v>9.5986038394415357E-2</v>
          </cell>
          <cell r="EB38">
            <v>0.11790393013100436</v>
          </cell>
          <cell r="EC38">
            <v>0.10793650793650794</v>
          </cell>
          <cell r="ED38">
            <v>0.11315417256011315</v>
          </cell>
          <cell r="EE38">
            <v>0.10981189628876462</v>
          </cell>
          <cell r="EF38">
            <v>0.11355311355311355</v>
          </cell>
          <cell r="EG38">
            <v>0.1095890410958904</v>
          </cell>
          <cell r="EH38">
            <v>-0.12412739965095981</v>
          </cell>
          <cell r="EI38">
            <v>7.3767935121646908E-2</v>
          </cell>
          <cell r="EJ38">
            <v>6.3259035263132105E-2</v>
          </cell>
          <cell r="EK38">
            <v>7.1283979178716025E-2</v>
          </cell>
          <cell r="EL38">
            <v>1.7612524461839418E-2</v>
          </cell>
          <cell r="EM38">
            <v>-9.4447506200055154E-2</v>
          </cell>
          <cell r="EN38">
            <v>0.22834458118300915</v>
          </cell>
          <cell r="EO38">
            <v>-4.0284980879040311E-2</v>
          </cell>
          <cell r="EP38">
            <v>3.5256410256410131E-3</v>
          </cell>
          <cell r="ER38" t="str">
            <v>Combat Sys</v>
          </cell>
          <cell r="ES38">
            <v>0.1095890410958904</v>
          </cell>
          <cell r="ET38">
            <v>0.10980392156862745</v>
          </cell>
          <cell r="EV38">
            <v>0.10642201834862386</v>
          </cell>
          <cell r="EX38">
            <v>0.10599721059972106</v>
          </cell>
          <cell r="EY38">
            <v>0.1076923076923077</v>
          </cell>
          <cell r="EZ38">
            <v>-6.7012217697149254E-2</v>
          </cell>
          <cell r="FA38">
            <v>-0.1215686274509804</v>
          </cell>
          <cell r="FB38">
            <v>-0.14287131167865108</v>
          </cell>
          <cell r="FC38">
            <v>-0.1428051664544297</v>
          </cell>
          <cell r="FD38">
            <v>-0.12120315581854041</v>
          </cell>
          <cell r="FE38">
            <v>-0.1137581893984515</v>
          </cell>
          <cell r="FF38">
            <v>1.9607843137254832E-3</v>
          </cell>
          <cell r="FG38">
            <v>-3.0799475753604089E-2</v>
          </cell>
          <cell r="FH38">
            <v>-3.9917279853797227E-3</v>
          </cell>
          <cell r="FJ38" t="str">
            <v>Combat Sys</v>
          </cell>
          <cell r="FK38">
            <v>0.11746031746031746</v>
          </cell>
          <cell r="FL38">
            <v>0.125</v>
          </cell>
          <cell r="FN38">
            <v>0.12416107382550336</v>
          </cell>
          <cell r="FP38">
            <v>0.12365591397849462</v>
          </cell>
          <cell r="FQ38">
            <v>0.12254516889238021</v>
          </cell>
          <cell r="FR38">
            <v>-2.6757369614512524E-2</v>
          </cell>
          <cell r="FS38">
            <v>0.12500000000000006</v>
          </cell>
          <cell r="FT38">
            <v>-6.7114093959731447E-3</v>
          </cell>
          <cell r="FU38">
            <v>4.3888523151195593E-3</v>
          </cell>
          <cell r="FV38">
            <v>1.9892050781744906E-2</v>
          </cell>
          <cell r="FW38">
            <v>-4.593456430191134E-2</v>
          </cell>
          <cell r="FX38">
            <v>6.4189189189189255E-2</v>
          </cell>
          <cell r="FY38">
            <v>-6.7114093959731447E-3</v>
          </cell>
          <cell r="FZ38">
            <v>-4.0685847137460485E-3</v>
          </cell>
          <cell r="GB38" t="str">
            <v>Combat Sys</v>
          </cell>
          <cell r="GC38">
            <v>0.1206896551724138</v>
          </cell>
          <cell r="GD38">
            <v>0.1111111111111111</v>
          </cell>
          <cell r="GF38">
            <v>0.125</v>
          </cell>
          <cell r="GH38">
            <v>0.12311557788944724</v>
          </cell>
          <cell r="GI38">
            <v>0.12015503875968993</v>
          </cell>
        </row>
        <row r="39">
          <cell r="U39" t="str">
            <v>% Ch Y/Y</v>
          </cell>
          <cell r="V39">
            <v>0.34059053262944361</v>
          </cell>
          <cell r="W39">
            <v>0.26933803614299912</v>
          </cell>
          <cell r="X39">
            <v>1.9266476355963755</v>
          </cell>
          <cell r="Y39">
            <v>0.18730420203014742</v>
          </cell>
          <cell r="Z39">
            <v>1.255910410618001</v>
          </cell>
          <cell r="AA39">
            <v>0.10212629325406475</v>
          </cell>
          <cell r="AB39">
            <v>0.13580045114929051</v>
          </cell>
          <cell r="AN39" t="str">
            <v>% Ch Y/Y</v>
          </cell>
          <cell r="AO39">
            <v>0.12334304061278317</v>
          </cell>
          <cell r="AP39">
            <v>0.22747465011820325</v>
          </cell>
          <cell r="AQ39">
            <v>0.17718646527898607</v>
          </cell>
          <cell r="AR39">
            <v>0.23599042726578853</v>
          </cell>
          <cell r="AS39">
            <v>0.19764540521079277</v>
          </cell>
          <cell r="AT39">
            <v>0.25390264952835695</v>
          </cell>
          <cell r="AU39">
            <v>0.21236583231836481</v>
          </cell>
          <cell r="BF39" t="str">
            <v>Info. Systems &amp; Tech.</v>
          </cell>
          <cell r="BG39">
            <v>0.11150532184490623</v>
          </cell>
          <cell r="BH39">
            <v>0.10755679184051924</v>
          </cell>
          <cell r="BI39">
            <v>0.10944309927360775</v>
          </cell>
          <cell r="BJ39">
            <v>0.10767946577629382</v>
          </cell>
          <cell r="BK39">
            <v>0.10879558688323629</v>
          </cell>
          <cell r="BL39">
            <v>0.10648518815052041</v>
          </cell>
          <cell r="BM39">
            <v>0.10815602836879433</v>
          </cell>
          <cell r="BX39" t="str">
            <v>Info. Systems &amp; Tech.</v>
          </cell>
          <cell r="BY39">
            <v>0.11244292237442922</v>
          </cell>
          <cell r="BZ39">
            <v>0.11177347242921014</v>
          </cell>
          <cell r="CA39">
            <v>0.11208499335989376</v>
          </cell>
          <cell r="CB39">
            <v>0.11486146095717883</v>
          </cell>
          <cell r="CC39">
            <v>0.11304347826086956</v>
          </cell>
          <cell r="CD39">
            <v>0.1035645472061657</v>
          </cell>
          <cell r="CE39">
            <v>0.11052900587784309</v>
          </cell>
          <cell r="CM39" t="str">
            <v>Gulfstream</v>
          </cell>
          <cell r="CN39">
            <v>0.18872870249017037</v>
          </cell>
          <cell r="CO39">
            <v>0.17045454545454544</v>
          </cell>
          <cell r="CP39" t="str">
            <v>Info. Systems &amp; Tech.</v>
          </cell>
          <cell r="CQ39">
            <v>0.10286062081558126</v>
          </cell>
          <cell r="CR39">
            <v>0.1170018281535649</v>
          </cell>
          <cell r="CS39">
            <v>0.10992691839220463</v>
          </cell>
          <cell r="CT39">
            <v>0.11069182389937107</v>
          </cell>
          <cell r="CU39">
            <v>0.11017644645055397</v>
          </cell>
          <cell r="CV39">
            <v>9.7943722943722944E-2</v>
          </cell>
          <cell r="CW39">
            <v>0.1068134483784588</v>
          </cell>
          <cell r="CX39">
            <v>-0.65943141618360268</v>
          </cell>
          <cell r="CY39">
            <v>5.6539325842696532E-2</v>
          </cell>
          <cell r="DE39" t="str">
            <v>Gulfstream</v>
          </cell>
          <cell r="DF39">
            <v>0.20224719101123595</v>
          </cell>
          <cell r="DG39">
            <v>0.20522875816993463</v>
          </cell>
          <cell r="DH39" t="str">
            <v>Info. Systems &amp; Tech.</v>
          </cell>
          <cell r="DI39">
            <v>0.19212410501193317</v>
          </cell>
          <cell r="DJ39">
            <v>0.12347826086956522</v>
          </cell>
          <cell r="DK39">
            <v>0.17157894736842105</v>
          </cell>
          <cell r="DL39">
            <v>0.19142419601837674</v>
          </cell>
          <cell r="DM39">
            <v>0.12702633158933002</v>
          </cell>
          <cell r="DN39">
            <v>0.11584642687096913</v>
          </cell>
          <cell r="DO39">
            <v>-5.4852557223174392E-2</v>
          </cell>
          <cell r="DP39">
            <v>-0.20604772801569141</v>
          </cell>
          <cell r="DQ39">
            <v>-2.0567753818136629E-2</v>
          </cell>
          <cell r="DZ39" t="str">
            <v>Info Sys &amp; Tech</v>
          </cell>
          <cell r="EA39">
            <v>0.1068075117370892</v>
          </cell>
          <cell r="EB39">
            <v>0.10887949260042283</v>
          </cell>
          <cell r="EC39">
            <v>0.10789766407119021</v>
          </cell>
          <cell r="ED39">
            <v>0.15168539325842698</v>
          </cell>
          <cell r="EE39">
            <v>0.12239583333333333</v>
          </cell>
          <cell r="EF39">
            <v>0.10805300713557595</v>
          </cell>
          <cell r="EG39">
            <v>9.8039215686274508E-2</v>
          </cell>
          <cell r="EH39">
            <v>8.9436619718309879E-2</v>
          </cell>
          <cell r="EI39">
            <v>0.19588950888989015</v>
          </cell>
          <cell r="EJ39">
            <v>0.66339744810512302</v>
          </cell>
          <cell r="EK39">
            <v>1.649865971986255E-2</v>
          </cell>
          <cell r="EL39">
            <v>1.0818120351588847E-2</v>
          </cell>
          <cell r="EM39">
            <v>4.7817770822464745E-3</v>
          </cell>
          <cell r="EN39">
            <v>1.9399205445717049E-2</v>
          </cell>
          <cell r="EO39">
            <v>0.39314934002399915</v>
          </cell>
          <cell r="EP39">
            <v>-0.28765054555064751</v>
          </cell>
          <cell r="ER39" t="str">
            <v>Info Sys &amp; Tech</v>
          </cell>
          <cell r="ES39">
            <v>9.8039215686274508E-2</v>
          </cell>
          <cell r="ET39">
            <v>9.1044776119402981E-2</v>
          </cell>
          <cell r="EV39">
            <v>9.1190108191653782E-2</v>
          </cell>
          <cell r="EX39">
            <v>0.1062992125984252</v>
          </cell>
          <cell r="EY39">
            <v>9.6989966555183951E-2</v>
          </cell>
          <cell r="EZ39">
            <v>2.4340770791074967E-2</v>
          </cell>
          <cell r="FA39">
            <v>1.3517319065052064E-2</v>
          </cell>
          <cell r="FB39">
            <v>-1.1830827595897259E-2</v>
          </cell>
          <cell r="FC39">
            <v>0.13594256600277907</v>
          </cell>
          <cell r="FD39">
            <v>4.4541713545921194E-2</v>
          </cell>
          <cell r="FE39">
            <v>4.7673971549403893E-2</v>
          </cell>
          <cell r="FF39">
            <v>-7.1343283582089523E-2</v>
          </cell>
          <cell r="FG39">
            <v>1.5962703017711188E-3</v>
          </cell>
          <cell r="FH39">
            <v>0.16568797544374769</v>
          </cell>
          <cell r="FJ39" t="str">
            <v>Info Sys &amp; Tech</v>
          </cell>
          <cell r="FK39">
            <v>9.5709570957095716E-2</v>
          </cell>
          <cell r="FL39">
            <v>8.9830508474576271E-2</v>
          </cell>
          <cell r="FN39">
            <v>9.2281879194630878E-2</v>
          </cell>
          <cell r="FP39">
            <v>9.3577981651376152E-2</v>
          </cell>
          <cell r="FQ39">
            <v>9.2854086435601196E-2</v>
          </cell>
          <cell r="FR39">
            <v>0.1150165016501651</v>
          </cell>
          <cell r="FS39">
            <v>-9.0466101694915216E-2</v>
          </cell>
          <cell r="FT39">
            <v>8.8926174496644403E-2</v>
          </cell>
          <cell r="FU39">
            <v>4.5248398822918513E-2</v>
          </cell>
          <cell r="FV39">
            <v>3.9673314263188188E-2</v>
          </cell>
          <cell r="FW39">
            <v>6.9057849181144659E-2</v>
          </cell>
          <cell r="FX39">
            <v>-6.1426066627703113E-2</v>
          </cell>
          <cell r="FY39">
            <v>2.7288843864758938E-2</v>
          </cell>
          <cell r="FZ39">
            <v>1.404503753127595E-2</v>
          </cell>
          <cell r="GB39" t="str">
            <v>Info Sys &amp; Tech</v>
          </cell>
          <cell r="GC39">
            <v>8.5836909871244635E-2</v>
          </cell>
          <cell r="GD39">
            <v>9.8765432098765427E-2</v>
          </cell>
          <cell r="GF39">
            <v>8.4745762711864403E-2</v>
          </cell>
          <cell r="GH39">
            <v>8.9527027027027029E-2</v>
          </cell>
          <cell r="GI39">
            <v>8.9310829817158932E-2</v>
          </cell>
        </row>
        <row r="40">
          <cell r="B40" t="str">
            <v>Balance Sheet</v>
          </cell>
          <cell r="U40" t="str">
            <v>"% of Year</v>
          </cell>
          <cell r="V40">
            <v>0.23042295729689613</v>
          </cell>
          <cell r="W40">
            <v>0.25866388968227771</v>
          </cell>
          <cell r="Y40">
            <v>0.2571190027710073</v>
          </cell>
          <cell r="AA40">
            <v>0.25427869211119858</v>
          </cell>
          <cell r="AN40" t="str">
            <v>Avg. Diluted Shares</v>
          </cell>
          <cell r="AO40">
            <v>409.4</v>
          </cell>
          <cell r="AP40">
            <v>408.9</v>
          </cell>
          <cell r="AQ40">
            <v>409.15</v>
          </cell>
          <cell r="AR40">
            <v>407.3</v>
          </cell>
          <cell r="AS40">
            <v>408.5333333333333</v>
          </cell>
          <cell r="AT40">
            <v>406.9</v>
          </cell>
          <cell r="AU40">
            <v>408.14499999999998</v>
          </cell>
          <cell r="AV40">
            <v>1.2113720642768833E-2</v>
          </cell>
          <cell r="AW40">
            <v>4.7729565857557166E-3</v>
          </cell>
          <cell r="AX40">
            <v>3.0189076680264826E-4</v>
          </cell>
          <cell r="AY40">
            <v>-4.4042084658674208E-3</v>
          </cell>
          <cell r="AZ40">
            <v>3.3062930186822381E-3</v>
          </cell>
          <cell r="BA40">
            <v>1.71274773672625E-3</v>
          </cell>
          <cell r="BB40">
            <v>-1.221299462628278E-3</v>
          </cell>
          <cell r="BC40">
            <v>-3.9129371484469821E-3</v>
          </cell>
          <cell r="BD40">
            <v>-9.8207709305186963E-4</v>
          </cell>
          <cell r="BF40" t="str">
            <v>Aerospace</v>
          </cell>
          <cell r="BG40">
            <v>0.15608180839612487</v>
          </cell>
          <cell r="BH40">
            <v>0.15557638238050608</v>
          </cell>
          <cell r="BI40">
            <v>0.15581162324649298</v>
          </cell>
          <cell r="BJ40">
            <v>0.15179392824287027</v>
          </cell>
          <cell r="BK40">
            <v>0.15439506973726888</v>
          </cell>
          <cell r="BL40">
            <v>0.16263310745401743</v>
          </cell>
          <cell r="BM40">
            <v>0.15646258503401361</v>
          </cell>
          <cell r="BX40" t="str">
            <v>Aerospace</v>
          </cell>
          <cell r="BY40">
            <v>0.13413014608233731</v>
          </cell>
          <cell r="BZ40">
            <v>0.15096618357487923</v>
          </cell>
          <cell r="CA40">
            <v>0.14294750158127767</v>
          </cell>
          <cell r="CB40">
            <v>0.16114790286975716</v>
          </cell>
          <cell r="CC40">
            <v>0.14957780458383596</v>
          </cell>
          <cell r="CD40">
            <v>0.13002114164904863</v>
          </cell>
          <cell r="CE40">
            <v>0.14418875618992136</v>
          </cell>
          <cell r="CM40" t="str">
            <v>Other</v>
          </cell>
          <cell r="CN40">
            <v>0.12</v>
          </cell>
          <cell r="CO40">
            <v>0.32467532467532467</v>
          </cell>
          <cell r="CP40" t="str">
            <v>Aerospace</v>
          </cell>
          <cell r="CQ40">
            <v>0.10891089108910891</v>
          </cell>
          <cell r="CR40">
            <v>0.12191958495460441</v>
          </cell>
          <cell r="CS40">
            <v>0.11619462599854757</v>
          </cell>
          <cell r="CT40">
            <v>0.14661654135338345</v>
          </cell>
          <cell r="CU40">
            <v>0.12735632183908047</v>
          </cell>
          <cell r="CV40">
            <v>0.13859020310633213</v>
          </cell>
          <cell r="CW40">
            <v>0.13047808764940239</v>
          </cell>
          <cell r="CX40">
            <v>0.44121621621621609</v>
          </cell>
          <cell r="CY40">
            <v>-0.78335949764521196</v>
          </cell>
          <cell r="DE40" t="str">
            <v>Other</v>
          </cell>
          <cell r="DF40">
            <v>4.0816326530612242E-2</v>
          </cell>
          <cell r="DG40">
            <v>0.2</v>
          </cell>
          <cell r="DH40" t="str">
            <v>Aerospace</v>
          </cell>
          <cell r="DI40">
            <v>0.20512820512820512</v>
          </cell>
          <cell r="DJ40">
            <v>6.2937062937062943E-2</v>
          </cell>
          <cell r="DK40">
            <v>0.25316455696202533</v>
          </cell>
          <cell r="DL40">
            <v>0.18840579710144928</v>
          </cell>
          <cell r="DM40">
            <v>-1.25</v>
          </cell>
          <cell r="DN40">
            <v>-3.076923076923066E-2</v>
          </cell>
          <cell r="DO40">
            <v>-0.16869095816464241</v>
          </cell>
          <cell r="DP40">
            <v>0.35021097046413513</v>
          </cell>
          <cell r="DQ40">
            <v>0.32407407407407401</v>
          </cell>
          <cell r="DZ40" t="str">
            <v>Gulfstream</v>
          </cell>
          <cell r="EA40">
            <v>0.18872870249017037</v>
          </cell>
          <cell r="EB40">
            <v>0.17045454545454544</v>
          </cell>
          <cell r="EC40">
            <v>0.17894096165550821</v>
          </cell>
          <cell r="ED40">
            <v>0.13531799729364005</v>
          </cell>
          <cell r="EE40">
            <v>0.16540722082283796</v>
          </cell>
          <cell r="EF40">
            <v>5.8434399117971332E-2</v>
          </cell>
          <cell r="EG40">
            <v>0.20224719101123595</v>
          </cell>
          <cell r="EH40">
            <v>-6.6841415465268672E-2</v>
          </cell>
          <cell r="EI40">
            <v>-0.16944122756224669</v>
          </cell>
          <cell r="EJ40">
            <v>-0.29567402650887969</v>
          </cell>
          <cell r="EK40">
            <v>-0.65943141618360268</v>
          </cell>
          <cell r="EL40">
            <v>5.6539325842696532E-2</v>
          </cell>
          <cell r="EM40">
            <v>9.9952560525532919E-2</v>
          </cell>
          <cell r="EN40">
            <v>-9.6827651515151603E-2</v>
          </cell>
          <cell r="EO40">
            <v>-0.20613441587731163</v>
          </cell>
          <cell r="EP40">
            <v>-0.56816979051819183</v>
          </cell>
          <cell r="ER40" t="str">
            <v>Gulfstream</v>
          </cell>
          <cell r="ES40">
            <v>0.20224719101123595</v>
          </cell>
          <cell r="ET40">
            <v>0.20522875816993463</v>
          </cell>
          <cell r="EV40">
            <v>0.19212410501193317</v>
          </cell>
          <cell r="EX40">
            <v>0.17157894736842105</v>
          </cell>
          <cell r="EY40">
            <v>0.19142419601837674</v>
          </cell>
          <cell r="EZ40">
            <v>0.12702633158933002</v>
          </cell>
          <cell r="FA40">
            <v>0.11584642687096913</v>
          </cell>
          <cell r="FB40">
            <v>-5.4852557223174392E-2</v>
          </cell>
          <cell r="FC40">
            <v>-0.20604772801569141</v>
          </cell>
          <cell r="FD40">
            <v>-2.0567753818136629E-2</v>
          </cell>
          <cell r="FE40">
            <v>-6.4135668923162803E-2</v>
          </cell>
          <cell r="FF40">
            <v>1.4742193173565621E-2</v>
          </cell>
          <cell r="FG40">
            <v>-6.3853883222109054E-2</v>
          </cell>
          <cell r="FH40">
            <v>-0.10693690748610651</v>
          </cell>
          <cell r="FJ40" t="str">
            <v>Gulfstream</v>
          </cell>
          <cell r="FK40">
            <v>0.17945205479452056</v>
          </cell>
          <cell r="FL40">
            <v>0.18392204628501826</v>
          </cell>
          <cell r="FN40">
            <v>0.20327421555252387</v>
          </cell>
          <cell r="FP40">
            <v>0.21610738255033557</v>
          </cell>
          <cell r="FQ40">
            <v>0.19544404093760318</v>
          </cell>
          <cell r="FR40">
            <v>0.15274045803246189</v>
          </cell>
          <cell r="FS40">
            <v>0.12612477820532772</v>
          </cell>
          <cell r="FT40">
            <v>0.11800818553888125</v>
          </cell>
          <cell r="FU40">
            <v>0.33581345204515983</v>
          </cell>
          <cell r="FV40">
            <v>0.17955750018150968</v>
          </cell>
          <cell r="FW40">
            <v>0.10923775931547164</v>
          </cell>
          <cell r="FX40">
            <v>2.4909112885979523E-2</v>
          </cell>
          <cell r="FY40">
            <v>0.1052194103882258</v>
          </cell>
          <cell r="FZ40">
            <v>6.3132291338227953E-2</v>
          </cell>
          <cell r="GB40" t="str">
            <v>Gulfstream</v>
          </cell>
          <cell r="GC40">
            <v>0.1556742921132617</v>
          </cell>
          <cell r="GD40">
            <v>0.16332297259112749</v>
          </cell>
          <cell r="GF40">
            <v>0.18181818181818182</v>
          </cell>
          <cell r="GH40">
            <v>0.16177961242976735</v>
          </cell>
          <cell r="GI40">
            <v>0.16569267789618425</v>
          </cell>
        </row>
        <row r="41">
          <cell r="B41" t="str">
            <v>Total  Debt</v>
          </cell>
          <cell r="C41">
            <v>3882</v>
          </cell>
          <cell r="D41">
            <v>3915</v>
          </cell>
          <cell r="E41">
            <v>3915</v>
          </cell>
          <cell r="F41">
            <v>0</v>
          </cell>
          <cell r="G41">
            <v>0</v>
          </cell>
          <cell r="H41">
            <v>0</v>
          </cell>
          <cell r="I41">
            <v>4003</v>
          </cell>
          <cell r="U41" t="str">
            <v>Avg. Diluted Shares</v>
          </cell>
          <cell r="V41">
            <v>403.9</v>
          </cell>
          <cell r="W41">
            <v>401.8</v>
          </cell>
          <cell r="X41">
            <v>402.85</v>
          </cell>
          <cell r="Y41">
            <v>399.8</v>
          </cell>
          <cell r="Z41">
            <v>401.83333333333331</v>
          </cell>
          <cell r="AA41">
            <v>389.6</v>
          </cell>
          <cell r="AB41">
            <v>398.7</v>
          </cell>
          <cell r="AC41">
            <v>-1.3434294088910614E-2</v>
          </cell>
          <cell r="AD41">
            <v>-1.7363658596233678E-2</v>
          </cell>
          <cell r="AE41">
            <v>-1.8413945494721307E-2</v>
          </cell>
          <cell r="AF41">
            <v>-4.251658884246734E-2</v>
          </cell>
          <cell r="AG41">
            <v>-2.3141285572529369E-2</v>
          </cell>
          <cell r="AH41">
            <v>-7.3728188744163203E-3</v>
          </cell>
          <cell r="AI41">
            <v>-5.199306759098743E-3</v>
          </cell>
          <cell r="AJ41">
            <v>-4.9776007964161817E-3</v>
          </cell>
          <cell r="AK41">
            <v>-2.5512756378189061E-2</v>
          </cell>
          <cell r="BF41" t="str">
            <v>Resources</v>
          </cell>
          <cell r="BG41" t="str">
            <v xml:space="preserve">NA </v>
          </cell>
          <cell r="BH41" t="str">
            <v xml:space="preserve">NA </v>
          </cell>
          <cell r="BI41" t="str">
            <v xml:space="preserve">NA </v>
          </cell>
          <cell r="BJ41" t="str">
            <v xml:space="preserve">NA </v>
          </cell>
          <cell r="BK41" t="str">
            <v xml:space="preserve">NA </v>
          </cell>
          <cell r="BL41" t="str">
            <v xml:space="preserve">NA </v>
          </cell>
          <cell r="BM41" t="str">
            <v xml:space="preserve">NA </v>
          </cell>
          <cell r="BX41" t="str">
            <v>Resources</v>
          </cell>
          <cell r="BY41" t="str">
            <v xml:space="preserve">NA </v>
          </cell>
          <cell r="BZ41" t="str">
            <v xml:space="preserve">NA </v>
          </cell>
          <cell r="CA41" t="str">
            <v xml:space="preserve">NA </v>
          </cell>
          <cell r="CB41" t="str">
            <v xml:space="preserve">NA </v>
          </cell>
          <cell r="CC41" t="str">
            <v xml:space="preserve">NA </v>
          </cell>
          <cell r="CD41" t="str">
            <v xml:space="preserve">NA </v>
          </cell>
          <cell r="CE41" t="str">
            <v xml:space="preserve">NA </v>
          </cell>
          <cell r="CM41" t="str">
            <v xml:space="preserve">  Total</v>
          </cell>
          <cell r="CN41">
            <v>0.11895551257253385</v>
          </cell>
          <cell r="CO41">
            <v>0.12065031374786081</v>
          </cell>
          <cell r="CP41" t="str">
            <v>Resources</v>
          </cell>
          <cell r="CQ41">
            <v>-0.19148936170212766</v>
          </cell>
          <cell r="CR41">
            <v>0.1076923076923077</v>
          </cell>
          <cell r="CS41">
            <v>-1.7857142857142856E-2</v>
          </cell>
          <cell r="CT41">
            <v>0.13513513513513514</v>
          </cell>
          <cell r="CU41">
            <v>4.3010752688172046E-2</v>
          </cell>
          <cell r="CV41">
            <v>1.0810810810810811E-2</v>
          </cell>
          <cell r="CW41">
            <v>6</v>
          </cell>
          <cell r="CX41">
            <v>-0.22233368532206971</v>
          </cell>
          <cell r="CY41">
            <v>-4.1218291274171891E-2</v>
          </cell>
          <cell r="DE41" t="str">
            <v xml:space="preserve">  Total</v>
          </cell>
          <cell r="DF41">
            <v>0.12495323606434718</v>
          </cell>
          <cell r="DG41">
            <v>0.12525320729237002</v>
          </cell>
          <cell r="DH41" t="str">
            <v>Resources</v>
          </cell>
          <cell r="DI41">
            <v>0.12450331125827814</v>
          </cell>
          <cell r="DJ41">
            <v>0.13043478260869565</v>
          </cell>
          <cell r="DK41">
            <v>0.11915269196822595</v>
          </cell>
          <cell r="DL41">
            <v>0.12857836001940806</v>
          </cell>
          <cell r="DM41">
            <v>3.9643591568065101E-2</v>
          </cell>
          <cell r="DN41">
            <v>-2.1529422435425886E-2</v>
          </cell>
          <cell r="DO41">
            <v>-7.5646039263466178E-2</v>
          </cell>
          <cell r="DP41">
            <v>-9.3478078397358777E-2</v>
          </cell>
          <cell r="DQ41">
            <v>1.2243872947167576E-2</v>
          </cell>
          <cell r="DZ41" t="str">
            <v>Other</v>
          </cell>
          <cell r="EA41">
            <v>0.12</v>
          </cell>
          <cell r="EB41">
            <v>0.32467532467532467</v>
          </cell>
          <cell r="EC41">
            <v>0.24409448818897639</v>
          </cell>
          <cell r="ED41">
            <v>0.36470588235294116</v>
          </cell>
          <cell r="EE41">
            <v>0.29245283018867924</v>
          </cell>
          <cell r="EF41">
            <v>0.36486486486486486</v>
          </cell>
          <cell r="EG41">
            <v>4.0816326530612242E-2</v>
          </cell>
          <cell r="EH41">
            <v>1.9400000000000004</v>
          </cell>
          <cell r="EI41">
            <v>0.62337662337662325</v>
          </cell>
          <cell r="EJ41">
            <v>0.77794117647058825</v>
          </cell>
          <cell r="EK41">
            <v>0.44121621621621609</v>
          </cell>
          <cell r="EM41">
            <v>-0.52600000000000002</v>
          </cell>
          <cell r="EN41">
            <v>1.7056277056277058</v>
          </cell>
          <cell r="EO41">
            <v>0.12329411764705878</v>
          </cell>
          <cell r="EP41">
            <v>4.3591979075863208E-4</v>
          </cell>
          <cell r="ER41" t="str">
            <v>Other</v>
          </cell>
          <cell r="ES41">
            <v>4.0816326530612242E-2</v>
          </cell>
          <cell r="ET41">
            <v>0.2</v>
          </cell>
          <cell r="EV41">
            <v>0.20512820512820512</v>
          </cell>
          <cell r="EX41">
            <v>0.25316455696202533</v>
          </cell>
          <cell r="EY41">
            <v>0</v>
          </cell>
          <cell r="EZ41">
            <v>-1.25</v>
          </cell>
          <cell r="FA41">
            <v>-3.076923076923066E-2</v>
          </cell>
          <cell r="FB41">
            <v>-0.16869095816464241</v>
          </cell>
          <cell r="FC41">
            <v>0.35021097046413513</v>
          </cell>
          <cell r="FE41">
            <v>-0.78231292517006801</v>
          </cell>
          <cell r="FF41">
            <v>3.9000000000000004</v>
          </cell>
          <cell r="FG41">
            <v>2.564102564102555E-2</v>
          </cell>
          <cell r="FH41">
            <v>0.23417721518987356</v>
          </cell>
          <cell r="FJ41" t="str">
            <v>Other</v>
          </cell>
          <cell r="FK41">
            <v>-0.16326530612244897</v>
          </cell>
          <cell r="FL41">
            <v>0.20634920634920634</v>
          </cell>
          <cell r="FN41">
            <v>0.24675324675324675</v>
          </cell>
          <cell r="FP41">
            <v>0.1875</v>
          </cell>
          <cell r="FQ41">
            <v>0</v>
          </cell>
          <cell r="FS41">
            <v>-0.19887955182072831</v>
          </cell>
          <cell r="FT41">
            <v>0.20086580086580091</v>
          </cell>
          <cell r="FU41">
            <v>-0.12946428571428575</v>
          </cell>
          <cell r="FV41">
            <v>-1</v>
          </cell>
          <cell r="FW41">
            <v>-1.7580174927113701</v>
          </cell>
          <cell r="FX41">
            <v>-2.2638888888888888</v>
          </cell>
          <cell r="FY41">
            <v>0.19580419580419584</v>
          </cell>
          <cell r="FZ41">
            <v>-0.24013157894736836</v>
          </cell>
          <cell r="GB41" t="str">
            <v>Other</v>
          </cell>
          <cell r="GC41">
            <v>0</v>
          </cell>
          <cell r="GD41">
            <v>0.25757575757575757</v>
          </cell>
          <cell r="GF41">
            <v>0.20547945205479451</v>
          </cell>
          <cell r="GH41">
            <v>0.2153846153846154</v>
          </cell>
          <cell r="GI41">
            <v>0.184</v>
          </cell>
        </row>
        <row r="42">
          <cell r="B42" t="str">
            <v>Cash</v>
          </cell>
          <cell r="C42">
            <v>1126</v>
          </cell>
          <cell r="D42">
            <v>1614</v>
          </cell>
          <cell r="E42">
            <v>1614</v>
          </cell>
          <cell r="F42">
            <v>0</v>
          </cell>
          <cell r="G42">
            <v>0</v>
          </cell>
          <cell r="H42">
            <v>0</v>
          </cell>
          <cell r="I42">
            <v>3613.2032682729555</v>
          </cell>
          <cell r="AN42" t="str">
            <v>Balance Sheet</v>
          </cell>
          <cell r="BF42" t="str">
            <v>Total</v>
          </cell>
          <cell r="BG42">
            <v>0.10746483952398125</v>
          </cell>
          <cell r="BH42">
            <v>0.10936973373778228</v>
          </cell>
          <cell r="BI42">
            <v>0.10844947735191637</v>
          </cell>
          <cell r="BJ42">
            <v>0.11155050255396276</v>
          </cell>
          <cell r="BK42">
            <v>0.10952191008034645</v>
          </cell>
          <cell r="BL42">
            <v>0.1079214000614062</v>
          </cell>
          <cell r="BM42">
            <v>0.10908864231392594</v>
          </cell>
          <cell r="BX42" t="str">
            <v>Total</v>
          </cell>
          <cell r="BY42">
            <v>9.6395641240569985E-2</v>
          </cell>
          <cell r="BZ42">
            <v>0.10492505353319058</v>
          </cell>
          <cell r="CA42">
            <v>0.1008174386920981</v>
          </cell>
          <cell r="CB42">
            <v>0.10844964164466239</v>
          </cell>
          <cell r="CC42">
            <v>0.10347774636776018</v>
          </cell>
          <cell r="CD42">
            <v>0.10617626648160999</v>
          </cell>
          <cell r="CE42">
            <v>0.10388557806912992</v>
          </cell>
          <cell r="CP42" t="str">
            <v>Total</v>
          </cell>
          <cell r="CQ42">
            <v>9.384416702539819E-2</v>
          </cell>
          <cell r="CR42">
            <v>0.10425623387790198</v>
          </cell>
          <cell r="CS42">
            <v>9.9053559905355984E-2</v>
          </cell>
          <cell r="CT42">
            <v>0.10608995050570261</v>
          </cell>
          <cell r="CU42">
            <v>0.10139835066332019</v>
          </cell>
          <cell r="CV42">
            <v>0.10501726589477961</v>
          </cell>
          <cell r="CW42">
            <v>0.10234259062963748</v>
          </cell>
          <cell r="DH42" t="str">
            <v>Total</v>
          </cell>
          <cell r="DI42">
            <v>9.2707410687924416E-2</v>
          </cell>
          <cell r="DJ42">
            <v>9.625256673511294E-2</v>
          </cell>
          <cell r="DK42">
            <v>9.4603872030756556E-2</v>
          </cell>
          <cell r="DL42">
            <v>8.0137772675086108E-2</v>
          </cell>
          <cell r="DM42">
            <v>8.919058257432548E-2</v>
          </cell>
          <cell r="DN42">
            <v>8.6028323821602193E-2</v>
          </cell>
          <cell r="DO42">
            <v>8.8314551690347867E-2</v>
          </cell>
          <cell r="DZ42" t="str">
            <v xml:space="preserve">  Total</v>
          </cell>
          <cell r="EA42">
            <v>0.11895551257253385</v>
          </cell>
          <cell r="EB42">
            <v>0.12065031374786081</v>
          </cell>
          <cell r="EC42">
            <v>0.11985472154963681</v>
          </cell>
          <cell r="ED42">
            <v>0.12911084043848964</v>
          </cell>
          <cell r="EE42">
            <v>0.12292761827739587</v>
          </cell>
          <cell r="EF42">
            <v>9.2661034846884899E-2</v>
          </cell>
          <cell r="EG42">
            <v>0.12495323606434718</v>
          </cell>
          <cell r="EH42">
            <v>-4.7999745190470094E-2</v>
          </cell>
          <cell r="EI42">
            <v>-3.6748708029208321E-2</v>
          </cell>
          <cell r="EJ42">
            <v>3.7007282245315756E-2</v>
          </cell>
          <cell r="EK42">
            <v>-0.22233368532206971</v>
          </cell>
          <cell r="EM42">
            <v>-1.6548463356973464E-3</v>
          </cell>
          <cell r="EN42">
            <v>1.4247352969821714E-2</v>
          </cell>
          <cell r="EO42">
            <v>7.0124365431074809E-2</v>
          </cell>
          <cell r="EP42">
            <v>-0.2823140602896933</v>
          </cell>
          <cell r="ER42" t="str">
            <v xml:space="preserve">  Total</v>
          </cell>
          <cell r="ES42">
            <v>0.12495323606434718</v>
          </cell>
          <cell r="ET42">
            <v>0.12525320729237002</v>
          </cell>
          <cell r="EV42">
            <v>0.12450331125827814</v>
          </cell>
          <cell r="EX42">
            <v>0.11915269196822595</v>
          </cell>
          <cell r="EZ42">
            <v>3.9643591568065101E-2</v>
          </cell>
          <cell r="FA42">
            <v>-2.1529422435425886E-2</v>
          </cell>
          <cell r="FB42">
            <v>-7.5646039263466178E-2</v>
          </cell>
          <cell r="FC42">
            <v>-9.3478078397358777E-2</v>
          </cell>
          <cell r="FE42">
            <v>-4.9347137723698697E-2</v>
          </cell>
          <cell r="FF42">
            <v>2.4006679416319621E-3</v>
          </cell>
          <cell r="FG42">
            <v>-5.9870405740705124E-3</v>
          </cell>
          <cell r="FH42">
            <v>-4.2975718765844717E-2</v>
          </cell>
          <cell r="FJ42" t="str">
            <v xml:space="preserve">  Total</v>
          </cell>
          <cell r="FK42">
            <v>0.1201885310290652</v>
          </cell>
          <cell r="FL42">
            <v>0.12800917080626673</v>
          </cell>
          <cell r="FN42">
            <v>0.13469224620303757</v>
          </cell>
          <cell r="FP42">
            <v>0.13143939393939394</v>
          </cell>
          <cell r="FR42">
            <v>1.3210242238902482E-3</v>
          </cell>
          <cell r="FS42">
            <v>-4.1171795985221173E-2</v>
          </cell>
          <cell r="FT42">
            <v>2.8770087378373235E-2</v>
          </cell>
          <cell r="FU42">
            <v>6.0460225983581341E-2</v>
          </cell>
          <cell r="FW42">
            <v>-3.0312351908088453E-2</v>
          </cell>
          <cell r="FX42">
            <v>6.5069767558023184E-2</v>
          </cell>
          <cell r="FY42">
            <v>5.220778600999787E-2</v>
          </cell>
          <cell r="FZ42">
            <v>-2.4150256271918025E-2</v>
          </cell>
          <cell r="GB42" t="str">
            <v xml:space="preserve">  Total</v>
          </cell>
          <cell r="GC42">
            <v>0.12002996853304027</v>
          </cell>
          <cell r="GD42">
            <v>0.13350584627180373</v>
          </cell>
          <cell r="GF42">
            <v>0.1309255079006772</v>
          </cell>
          <cell r="GH42">
            <v>0.12394561410116381</v>
          </cell>
        </row>
        <row r="43">
          <cell r="B43" t="str">
            <v>Net Debt (Cash)</v>
          </cell>
          <cell r="C43">
            <v>2756</v>
          </cell>
          <cell r="D43">
            <v>2301</v>
          </cell>
          <cell r="E43">
            <v>2301</v>
          </cell>
          <cell r="F43">
            <v>0</v>
          </cell>
          <cell r="G43">
            <v>0</v>
          </cell>
          <cell r="H43">
            <v>0</v>
          </cell>
          <cell r="I43">
            <v>389.79673172704452</v>
          </cell>
          <cell r="U43" t="str">
            <v>Balance Sheet</v>
          </cell>
          <cell r="AN43" t="str">
            <v>Total  Debt</v>
          </cell>
          <cell r="AO43">
            <v>2790</v>
          </cell>
          <cell r="AP43">
            <v>2789</v>
          </cell>
          <cell r="AQ43">
            <v>2789</v>
          </cell>
          <cell r="AR43">
            <v>2796</v>
          </cell>
          <cell r="AS43">
            <v>5585</v>
          </cell>
          <cell r="CM43" t="str">
            <v>Balance Sheet</v>
          </cell>
          <cell r="DE43" t="str">
            <v>Balance Sheet</v>
          </cell>
        </row>
        <row r="44">
          <cell r="B44" t="str">
            <v>Equity</v>
          </cell>
          <cell r="C44">
            <v>10271</v>
          </cell>
          <cell r="D44">
            <v>11001</v>
          </cell>
          <cell r="E44">
            <v>11001</v>
          </cell>
          <cell r="F44">
            <v>0</v>
          </cell>
          <cell r="G44">
            <v>0</v>
          </cell>
          <cell r="H44">
            <v>0</v>
          </cell>
          <cell r="I44">
            <v>11045.995472989402</v>
          </cell>
          <cell r="U44" t="str">
            <v>Total  Debt</v>
          </cell>
          <cell r="V44">
            <v>2790</v>
          </cell>
          <cell r="W44">
            <v>2289</v>
          </cell>
          <cell r="X44">
            <v>2289</v>
          </cell>
          <cell r="Y44">
            <v>2139</v>
          </cell>
          <cell r="Z44">
            <v>2139</v>
          </cell>
          <cell r="AA44">
            <v>4024</v>
          </cell>
          <cell r="AB44">
            <v>4024</v>
          </cell>
          <cell r="AN44" t="str">
            <v>Cash</v>
          </cell>
          <cell r="AO44">
            <v>1492</v>
          </cell>
          <cell r="AP44">
            <v>1794</v>
          </cell>
          <cell r="AQ44">
            <v>1794</v>
          </cell>
          <cell r="AR44">
            <v>2033</v>
          </cell>
          <cell r="AS44">
            <v>3827</v>
          </cell>
          <cell r="CM44" t="str">
            <v>Total  Debt</v>
          </cell>
          <cell r="CN44">
            <v>2016</v>
          </cell>
          <cell r="CO44">
            <v>1948</v>
          </cell>
          <cell r="CQ44">
            <v>2021</v>
          </cell>
          <cell r="CS44">
            <v>1450</v>
          </cell>
          <cell r="CT44">
            <v>1471</v>
          </cell>
          <cell r="DE44" t="str">
            <v>Total  Debt</v>
          </cell>
          <cell r="DF44">
            <v>1143</v>
          </cell>
          <cell r="DG44">
            <v>1183</v>
          </cell>
          <cell r="DI44">
            <v>2239</v>
          </cell>
          <cell r="DZ44" t="str">
            <v>Balance Sheet</v>
          </cell>
          <cell r="ER44" t="str">
            <v>Balance Sheet</v>
          </cell>
        </row>
        <row r="45">
          <cell r="B45" t="str">
            <v>Net Debt/Cap</v>
          </cell>
          <cell r="C45">
            <v>0.21156060489752054</v>
          </cell>
          <cell r="D45">
            <v>0.17298150654036987</v>
          </cell>
          <cell r="E45">
            <v>0.17298150654036987</v>
          </cell>
          <cell r="F45">
            <v>0</v>
          </cell>
          <cell r="G45">
            <v>0</v>
          </cell>
          <cell r="H45">
            <v>0</v>
          </cell>
          <cell r="I45">
            <v>3.4085678084136685E-2</v>
          </cell>
          <cell r="U45" t="str">
            <v>Cash</v>
          </cell>
          <cell r="V45">
            <v>2605</v>
          </cell>
          <cell r="W45">
            <v>2740</v>
          </cell>
          <cell r="X45">
            <v>2740</v>
          </cell>
          <cell r="Y45">
            <v>2617</v>
          </cell>
          <cell r="Z45">
            <v>2617</v>
          </cell>
          <cell r="AA45">
            <v>1621</v>
          </cell>
          <cell r="AB45">
            <v>1621</v>
          </cell>
          <cell r="AN45" t="str">
            <v>Net Debt (Cash)</v>
          </cell>
          <cell r="AO45">
            <v>1298</v>
          </cell>
          <cell r="AP45">
            <v>995</v>
          </cell>
          <cell r="AQ45">
            <v>995</v>
          </cell>
          <cell r="AR45">
            <v>763</v>
          </cell>
          <cell r="AS45">
            <v>1758</v>
          </cell>
          <cell r="BF45" t="str">
            <v>Balance Sheet</v>
          </cell>
          <cell r="BX45" t="str">
            <v>Balance Sheet</v>
          </cell>
          <cell r="CM45" t="str">
            <v>Cash</v>
          </cell>
          <cell r="CN45">
            <v>377</v>
          </cell>
          <cell r="CO45">
            <v>376</v>
          </cell>
          <cell r="CP45" t="str">
            <v>Balance Sheet</v>
          </cell>
          <cell r="CQ45">
            <v>468</v>
          </cell>
          <cell r="CS45">
            <v>328</v>
          </cell>
          <cell r="CT45">
            <v>328</v>
          </cell>
          <cell r="DE45" t="str">
            <v>Cash</v>
          </cell>
          <cell r="DF45">
            <v>280</v>
          </cell>
          <cell r="DG45">
            <v>163</v>
          </cell>
          <cell r="DH45" t="str">
            <v>Balance Sheet</v>
          </cell>
          <cell r="DI45">
            <v>579</v>
          </cell>
          <cell r="DZ45" t="str">
            <v>Total  Debt</v>
          </cell>
          <cell r="EA45">
            <v>2016</v>
          </cell>
          <cell r="EB45">
            <v>1948</v>
          </cell>
          <cell r="ED45">
            <v>2021</v>
          </cell>
          <cell r="EF45">
            <v>1450</v>
          </cell>
          <cell r="EG45">
            <v>1471</v>
          </cell>
          <cell r="ER45" t="str">
            <v>Total  Debt</v>
          </cell>
          <cell r="ES45">
            <v>1143</v>
          </cell>
          <cell r="ET45">
            <v>1183</v>
          </cell>
          <cell r="EV45">
            <v>2239</v>
          </cell>
        </row>
        <row r="46">
          <cell r="B46" t="str">
            <v>Funded Backlog ($B)</v>
          </cell>
          <cell r="U46" t="str">
            <v>Net Debt (Cash)</v>
          </cell>
          <cell r="V46">
            <v>185</v>
          </cell>
          <cell r="W46">
            <v>-451</v>
          </cell>
          <cell r="X46">
            <v>-451</v>
          </cell>
          <cell r="Y46">
            <v>-478</v>
          </cell>
          <cell r="Z46">
            <v>-478</v>
          </cell>
          <cell r="AA46">
            <v>2403</v>
          </cell>
          <cell r="AB46">
            <v>2403</v>
          </cell>
          <cell r="AN46" t="str">
            <v>Equity</v>
          </cell>
          <cell r="AO46">
            <v>10075</v>
          </cell>
          <cell r="AP46">
            <v>10622</v>
          </cell>
          <cell r="AQ46">
            <v>10622</v>
          </cell>
          <cell r="AR46">
            <v>10910</v>
          </cell>
          <cell r="AS46">
            <v>21532</v>
          </cell>
          <cell r="BF46" t="str">
            <v>Total  Debt</v>
          </cell>
          <cell r="BG46">
            <v>3285</v>
          </cell>
          <cell r="BH46">
            <v>3649</v>
          </cell>
          <cell r="BI46">
            <v>3649</v>
          </cell>
          <cell r="BJ46">
            <v>3107</v>
          </cell>
          <cell r="BK46">
            <v>3107</v>
          </cell>
          <cell r="BL46">
            <v>2781</v>
          </cell>
          <cell r="BM46">
            <v>2781</v>
          </cell>
          <cell r="BX46" t="str">
            <v>Total  Debt</v>
          </cell>
          <cell r="BY46">
            <v>3297</v>
          </cell>
          <cell r="BZ46">
            <v>3298</v>
          </cell>
          <cell r="CB46">
            <v>3297</v>
          </cell>
          <cell r="CD46">
            <v>3291</v>
          </cell>
          <cell r="CE46">
            <v>3287</v>
          </cell>
          <cell r="CP46" t="str">
            <v>Total  Debt</v>
          </cell>
          <cell r="CQ46">
            <v>3858</v>
          </cell>
          <cell r="CR46">
            <v>3816</v>
          </cell>
          <cell r="CT46">
            <v>3687</v>
          </cell>
          <cell r="CV46">
            <v>3297</v>
          </cell>
          <cell r="CW46">
            <v>3297</v>
          </cell>
          <cell r="DH46" t="str">
            <v>Total  Debt</v>
          </cell>
          <cell r="DI46">
            <v>3100</v>
          </cell>
          <cell r="DJ46">
            <v>3084</v>
          </cell>
          <cell r="DL46">
            <v>4544</v>
          </cell>
          <cell r="DN46">
            <v>4043</v>
          </cell>
          <cell r="DO46">
            <v>4043</v>
          </cell>
          <cell r="DZ46" t="str">
            <v>Cash</v>
          </cell>
          <cell r="EA46">
            <v>377</v>
          </cell>
          <cell r="EB46">
            <v>376</v>
          </cell>
          <cell r="ED46">
            <v>468</v>
          </cell>
          <cell r="EF46">
            <v>328</v>
          </cell>
          <cell r="EG46">
            <v>328</v>
          </cell>
          <cell r="ER46" t="str">
            <v>Cash</v>
          </cell>
          <cell r="ES46">
            <v>280</v>
          </cell>
          <cell r="ET46">
            <v>163</v>
          </cell>
          <cell r="EV46">
            <v>579</v>
          </cell>
        </row>
        <row r="47">
          <cell r="B47" t="str">
            <v>Marine Systems</v>
          </cell>
          <cell r="C47">
            <v>9.4309999999999992</v>
          </cell>
          <cell r="D47">
            <v>8.6449999999999996</v>
          </cell>
          <cell r="E47">
            <v>8.6449999999999996</v>
          </cell>
          <cell r="F47">
            <v>0</v>
          </cell>
          <cell r="G47">
            <v>0</v>
          </cell>
          <cell r="H47">
            <v>0</v>
          </cell>
          <cell r="I47">
            <v>0</v>
          </cell>
          <cell r="U47" t="str">
            <v>Equity</v>
          </cell>
          <cell r="V47">
            <v>11777</v>
          </cell>
          <cell r="W47">
            <v>12184</v>
          </cell>
          <cell r="X47">
            <v>12184</v>
          </cell>
          <cell r="Y47">
            <v>12134</v>
          </cell>
          <cell r="Z47">
            <v>12134</v>
          </cell>
          <cell r="AA47">
            <v>12134</v>
          </cell>
          <cell r="AB47">
            <v>10053</v>
          </cell>
          <cell r="AN47" t="str">
            <v>Net Debt/Cap</v>
          </cell>
          <cell r="AO47">
            <v>0.11412995691550162</v>
          </cell>
          <cell r="AP47">
            <v>8.565034001893776E-2</v>
          </cell>
          <cell r="AQ47">
            <v>8.565034001893776E-2</v>
          </cell>
          <cell r="AR47">
            <v>6.5364516405379935E-2</v>
          </cell>
          <cell r="AS47">
            <v>6.5364516405379935E-2</v>
          </cell>
          <cell r="BF47" t="str">
            <v>Cash</v>
          </cell>
          <cell r="BG47">
            <v>2599</v>
          </cell>
          <cell r="BH47">
            <v>1399</v>
          </cell>
          <cell r="BI47">
            <v>1399</v>
          </cell>
          <cell r="BJ47">
            <v>963</v>
          </cell>
          <cell r="BK47">
            <v>963</v>
          </cell>
          <cell r="BL47">
            <v>1604</v>
          </cell>
          <cell r="BM47">
            <v>1604</v>
          </cell>
          <cell r="BX47" t="str">
            <v>Cash</v>
          </cell>
          <cell r="BY47">
            <v>1511</v>
          </cell>
          <cell r="BZ47">
            <v>1438</v>
          </cell>
          <cell r="CB47">
            <v>1754</v>
          </cell>
          <cell r="CD47">
            <v>2331</v>
          </cell>
          <cell r="CE47">
            <v>2331</v>
          </cell>
          <cell r="CP47" t="str">
            <v>Cash</v>
          </cell>
          <cell r="CQ47">
            <v>869</v>
          </cell>
          <cell r="CR47">
            <v>1100</v>
          </cell>
          <cell r="CT47">
            <v>686</v>
          </cell>
          <cell r="CV47">
            <v>976</v>
          </cell>
          <cell r="CW47">
            <v>976</v>
          </cell>
          <cell r="DH47" t="str">
            <v>Cash</v>
          </cell>
          <cell r="DI47">
            <v>748</v>
          </cell>
          <cell r="DJ47">
            <v>811</v>
          </cell>
          <cell r="DL47">
            <v>697</v>
          </cell>
          <cell r="DN47">
            <v>861</v>
          </cell>
          <cell r="DO47">
            <v>861</v>
          </cell>
          <cell r="DZ47" t="str">
            <v>Net Debt (Cash)</v>
          </cell>
          <cell r="EA47">
            <v>1639</v>
          </cell>
          <cell r="EB47">
            <v>1572</v>
          </cell>
          <cell r="ED47">
            <v>1553</v>
          </cell>
          <cell r="EF47">
            <v>1122</v>
          </cell>
          <cell r="EG47">
            <v>1143</v>
          </cell>
          <cell r="ER47" t="str">
            <v>Net Debt (Cash)</v>
          </cell>
          <cell r="ES47">
            <v>863</v>
          </cell>
          <cell r="ET47">
            <v>1020</v>
          </cell>
          <cell r="EV47">
            <v>1660</v>
          </cell>
        </row>
        <row r="48">
          <cell r="B48" t="str">
            <v>Combat Systems</v>
          </cell>
          <cell r="C48">
            <v>11.746</v>
          </cell>
          <cell r="D48">
            <v>11.494</v>
          </cell>
          <cell r="E48">
            <v>11.494</v>
          </cell>
          <cell r="F48">
            <v>0</v>
          </cell>
          <cell r="G48">
            <v>0</v>
          </cell>
          <cell r="H48">
            <v>0</v>
          </cell>
          <cell r="I48">
            <v>0</v>
          </cell>
          <cell r="U48" t="str">
            <v>Net Debt/Cap</v>
          </cell>
          <cell r="V48">
            <v>1.5465641197124227E-2</v>
          </cell>
          <cell r="W48">
            <v>-3.84385920054547E-2</v>
          </cell>
          <cell r="X48">
            <v>-3.84385920054547E-2</v>
          </cell>
          <cell r="Y48">
            <v>-4.1008922443376804E-2</v>
          </cell>
          <cell r="Z48">
            <v>-4.1008922443376804E-2</v>
          </cell>
          <cell r="AA48">
            <v>0.16530233198046365</v>
          </cell>
          <cell r="AB48">
            <v>0.19291907514450868</v>
          </cell>
          <cell r="AN48" t="str">
            <v>Funded Backlog ($B)</v>
          </cell>
          <cell r="BF48" t="str">
            <v>Net Debt (Cash)</v>
          </cell>
          <cell r="BG48">
            <v>686</v>
          </cell>
          <cell r="BH48">
            <v>2250</v>
          </cell>
          <cell r="BI48">
            <v>2250</v>
          </cell>
          <cell r="BJ48">
            <v>2144</v>
          </cell>
          <cell r="BK48">
            <v>2144</v>
          </cell>
          <cell r="BL48">
            <v>1177</v>
          </cell>
          <cell r="BM48">
            <v>1177</v>
          </cell>
          <cell r="BX48" t="str">
            <v>Net Debt (Cash)</v>
          </cell>
          <cell r="BY48">
            <v>1786</v>
          </cell>
          <cell r="BZ48">
            <v>1860</v>
          </cell>
          <cell r="CB48">
            <v>1543</v>
          </cell>
          <cell r="CD48">
            <v>960</v>
          </cell>
          <cell r="CE48">
            <v>960</v>
          </cell>
          <cell r="CP48" t="str">
            <v>Net Debt (Cash)</v>
          </cell>
          <cell r="CQ48">
            <v>2989</v>
          </cell>
          <cell r="CR48">
            <v>2716</v>
          </cell>
          <cell r="CT48">
            <v>3001</v>
          </cell>
          <cell r="CV48">
            <v>2321</v>
          </cell>
          <cell r="CW48">
            <v>2321</v>
          </cell>
          <cell r="DH48" t="str">
            <v>Net Debt (Cash)</v>
          </cell>
          <cell r="DI48">
            <v>2352</v>
          </cell>
          <cell r="DJ48">
            <v>2273</v>
          </cell>
          <cell r="DL48">
            <v>3847</v>
          </cell>
          <cell r="DN48">
            <v>3182</v>
          </cell>
          <cell r="DO48">
            <v>3182</v>
          </cell>
          <cell r="DZ48" t="str">
            <v>Equity</v>
          </cell>
          <cell r="EA48">
            <v>4741</v>
          </cell>
          <cell r="EB48">
            <v>4989</v>
          </cell>
          <cell r="ED48">
            <v>5121</v>
          </cell>
          <cell r="EF48">
            <v>5199</v>
          </cell>
          <cell r="EG48">
            <v>5199</v>
          </cell>
          <cell r="ER48" t="str">
            <v>Equity</v>
          </cell>
          <cell r="ES48">
            <v>4008</v>
          </cell>
          <cell r="ET48">
            <v>4214</v>
          </cell>
          <cell r="EV48">
            <v>4434</v>
          </cell>
        </row>
        <row r="49">
          <cell r="B49" t="str">
            <v>Info. Systems &amp; Tech.</v>
          </cell>
          <cell r="C49">
            <v>7.7949999999999999</v>
          </cell>
          <cell r="D49">
            <v>8.2080000000000002</v>
          </cell>
          <cell r="E49">
            <v>8.2080000000000002</v>
          </cell>
          <cell r="F49">
            <v>0</v>
          </cell>
          <cell r="G49">
            <v>0</v>
          </cell>
          <cell r="H49">
            <v>0</v>
          </cell>
          <cell r="I49">
            <v>0</v>
          </cell>
          <cell r="U49" t="str">
            <v>Funded Backlog ($B)</v>
          </cell>
          <cell r="AN49" t="str">
            <v>Marine Systems</v>
          </cell>
          <cell r="AO49">
            <v>8.9269999999999996</v>
          </cell>
          <cell r="AP49">
            <v>8.2899999999999991</v>
          </cell>
          <cell r="AQ49">
            <v>8.2899999999999991</v>
          </cell>
          <cell r="AR49">
            <v>8.1059999999999999</v>
          </cell>
          <cell r="AS49">
            <v>8.1059999999999999</v>
          </cell>
          <cell r="BF49" t="str">
            <v>Equity</v>
          </cell>
          <cell r="BG49">
            <v>8467</v>
          </cell>
          <cell r="BH49">
            <v>9081</v>
          </cell>
          <cell r="BI49">
            <v>9081</v>
          </cell>
          <cell r="BJ49">
            <v>9472</v>
          </cell>
          <cell r="BK49">
            <v>9472</v>
          </cell>
          <cell r="BL49">
            <v>9827</v>
          </cell>
          <cell r="BM49">
            <v>9827</v>
          </cell>
          <cell r="BX49" t="str">
            <v>Equity</v>
          </cell>
          <cell r="BY49">
            <v>7396</v>
          </cell>
          <cell r="BZ49">
            <v>7576</v>
          </cell>
          <cell r="CB49">
            <v>7973</v>
          </cell>
          <cell r="CD49">
            <v>8145</v>
          </cell>
          <cell r="CE49">
            <v>8145</v>
          </cell>
          <cell r="CP49" t="str">
            <v>Equity</v>
          </cell>
          <cell r="CQ49">
            <v>6217</v>
          </cell>
          <cell r="CR49">
            <v>6458</v>
          </cell>
          <cell r="CT49">
            <v>6777</v>
          </cell>
          <cell r="CV49">
            <v>7189</v>
          </cell>
          <cell r="CW49">
            <v>7189</v>
          </cell>
          <cell r="DH49" t="str">
            <v>Equity</v>
          </cell>
          <cell r="DI49">
            <v>5108</v>
          </cell>
          <cell r="DJ49">
            <v>5407</v>
          </cell>
          <cell r="DL49">
            <v>5586</v>
          </cell>
          <cell r="DN49">
            <v>5921</v>
          </cell>
          <cell r="DO49">
            <v>5921</v>
          </cell>
          <cell r="DZ49" t="str">
            <v>N. Debt/cap</v>
          </cell>
          <cell r="EA49">
            <v>0.25689655172413794</v>
          </cell>
          <cell r="EB49">
            <v>0.23959762231367171</v>
          </cell>
          <cell r="ED49">
            <v>0.23269403655978424</v>
          </cell>
          <cell r="EF49">
            <v>0.17750355956336022</v>
          </cell>
          <cell r="EG49">
            <v>0.18022705771050143</v>
          </cell>
          <cell r="ER49" t="str">
            <v>N. Debt/cap</v>
          </cell>
        </row>
        <row r="50">
          <cell r="B50" t="str">
            <v>Aerospace</v>
          </cell>
          <cell r="C50">
            <v>20.178999999999998</v>
          </cell>
          <cell r="D50">
            <v>19.306000000000001</v>
          </cell>
          <cell r="E50">
            <v>19.306000000000001</v>
          </cell>
          <cell r="F50">
            <v>0</v>
          </cell>
          <cell r="G50">
            <v>0</v>
          </cell>
          <cell r="H50">
            <v>0</v>
          </cell>
          <cell r="I50">
            <v>0</v>
          </cell>
          <cell r="U50" t="str">
            <v>Marine Systems</v>
          </cell>
          <cell r="V50">
            <v>9.5519999999999996</v>
          </cell>
          <cell r="W50">
            <v>8.8989999999999991</v>
          </cell>
          <cell r="X50">
            <v>8.8989999999999991</v>
          </cell>
          <cell r="Y50">
            <v>7.907</v>
          </cell>
          <cell r="Z50">
            <v>7.907</v>
          </cell>
          <cell r="AA50">
            <v>10.481999999999999</v>
          </cell>
          <cell r="AB50">
            <v>10.481999999999999</v>
          </cell>
          <cell r="AN50" t="str">
            <v>Combat Systems</v>
          </cell>
          <cell r="AO50">
            <v>10.55</v>
          </cell>
          <cell r="AP50">
            <v>10.712</v>
          </cell>
          <cell r="AQ50">
            <v>10.712</v>
          </cell>
          <cell r="AR50">
            <v>11.371</v>
          </cell>
          <cell r="AS50">
            <v>11.371</v>
          </cell>
          <cell r="BF50" t="str">
            <v>Net Debt/Cap</v>
          </cell>
          <cell r="BG50">
            <v>7.4948104446629527E-2</v>
          </cell>
          <cell r="BH50">
            <v>0.19857029388403494</v>
          </cell>
          <cell r="BI50">
            <v>0.19857029388403494</v>
          </cell>
          <cell r="BJ50">
            <v>0.18457300275482094</v>
          </cell>
          <cell r="BK50">
            <v>0.18457300275482094</v>
          </cell>
          <cell r="BL50">
            <v>0.1069611050527081</v>
          </cell>
          <cell r="BM50">
            <v>0.1069611050527081</v>
          </cell>
          <cell r="BX50" t="str">
            <v>Net Debt/Cap</v>
          </cell>
          <cell r="BY50">
            <v>0.19451099978218253</v>
          </cell>
          <cell r="BZ50">
            <v>0.19711742263671048</v>
          </cell>
          <cell r="CB50">
            <v>0.16214796132828921</v>
          </cell>
          <cell r="CD50">
            <v>0.10543657331136738</v>
          </cell>
          <cell r="CE50">
            <v>0.10543657331136738</v>
          </cell>
          <cell r="CP50" t="str">
            <v>Net Debt/Cap</v>
          </cell>
          <cell r="CQ50">
            <v>0.32467955681077559</v>
          </cell>
          <cell r="CR50">
            <v>0.29605406583823851</v>
          </cell>
          <cell r="CT50">
            <v>0.30691347923910822</v>
          </cell>
          <cell r="CV50">
            <v>0.24405888538380652</v>
          </cell>
          <cell r="CW50">
            <v>0.24405888538380652</v>
          </cell>
          <cell r="DH50" t="str">
            <v>Net Debt/Cap</v>
          </cell>
          <cell r="DI50">
            <v>0.31528150134048255</v>
          </cell>
          <cell r="DJ50">
            <v>0.29596354166666666</v>
          </cell>
          <cell r="DL50">
            <v>0.40782359800699669</v>
          </cell>
          <cell r="DN50">
            <v>0.34955509172800175</v>
          </cell>
          <cell r="DO50">
            <v>0.34955509172800175</v>
          </cell>
          <cell r="DZ50" t="str">
            <v>Funded BL-GD</v>
          </cell>
          <cell r="EA50">
            <v>20.7</v>
          </cell>
          <cell r="EB50">
            <v>20.5</v>
          </cell>
          <cell r="ED50">
            <v>21.6</v>
          </cell>
          <cell r="EF50">
            <v>21.3</v>
          </cell>
          <cell r="EG50">
            <v>21.3</v>
          </cell>
          <cell r="ER50" t="str">
            <v>Funded BL-GD</v>
          </cell>
          <cell r="ES50">
            <v>15.32</v>
          </cell>
          <cell r="ET50">
            <v>16.2</v>
          </cell>
          <cell r="EV50">
            <v>20.9</v>
          </cell>
        </row>
        <row r="51">
          <cell r="B51" t="str">
            <v>Resources</v>
          </cell>
          <cell r="C51">
            <v>0</v>
          </cell>
          <cell r="D51">
            <v>0</v>
          </cell>
          <cell r="E51">
            <v>0</v>
          </cell>
          <cell r="F51">
            <v>0</v>
          </cell>
          <cell r="G51">
            <v>0</v>
          </cell>
          <cell r="H51">
            <v>0</v>
          </cell>
          <cell r="I51">
            <v>0</v>
          </cell>
          <cell r="U51" t="str">
            <v>Combat Systems</v>
          </cell>
          <cell r="V51">
            <v>11.116</v>
          </cell>
          <cell r="W51">
            <v>10.611000000000001</v>
          </cell>
          <cell r="X51">
            <v>10.611000000000001</v>
          </cell>
          <cell r="Y51">
            <v>12.54</v>
          </cell>
          <cell r="Z51">
            <v>12.54</v>
          </cell>
          <cell r="AA51">
            <v>12.127000000000001</v>
          </cell>
          <cell r="AB51">
            <v>12.127000000000001</v>
          </cell>
          <cell r="AN51" t="str">
            <v>Info. Systems &amp; Tech.</v>
          </cell>
          <cell r="AO51">
            <v>7.343</v>
          </cell>
          <cell r="AP51">
            <v>6.98</v>
          </cell>
          <cell r="AQ51">
            <v>6.98</v>
          </cell>
          <cell r="AR51">
            <v>7.1840000000000002</v>
          </cell>
          <cell r="AS51">
            <v>7.1840000000000002</v>
          </cell>
        </row>
        <row r="52">
          <cell r="B52" t="str">
            <v>Total</v>
          </cell>
          <cell r="C52">
            <v>49.150999999999996</v>
          </cell>
          <cell r="D52">
            <v>47.653000000000006</v>
          </cell>
          <cell r="E52">
            <v>47.653000000000006</v>
          </cell>
          <cell r="F52">
            <v>0</v>
          </cell>
          <cell r="G52">
            <v>0</v>
          </cell>
          <cell r="H52">
            <v>0</v>
          </cell>
          <cell r="I52">
            <v>0</v>
          </cell>
          <cell r="U52" t="str">
            <v>Info. Systems &amp; Tech.</v>
          </cell>
          <cell r="V52">
            <v>7.5819999999999999</v>
          </cell>
          <cell r="W52">
            <v>7.5309999999999997</v>
          </cell>
          <cell r="X52">
            <v>7.5309999999999997</v>
          </cell>
          <cell r="Y52">
            <v>7.7610000000000001</v>
          </cell>
          <cell r="Z52">
            <v>7.7610000000000001</v>
          </cell>
          <cell r="AA52">
            <v>7.242</v>
          </cell>
          <cell r="AB52">
            <v>7.242</v>
          </cell>
          <cell r="AN52" t="str">
            <v>Aerospace</v>
          </cell>
          <cell r="AO52">
            <v>7.7160000000000002</v>
          </cell>
          <cell r="AP52">
            <v>9.4269999999999996</v>
          </cell>
          <cell r="AQ52">
            <v>9.4269999999999996</v>
          </cell>
          <cell r="AR52">
            <v>10.241</v>
          </cell>
          <cell r="AS52">
            <v>10.241</v>
          </cell>
          <cell r="BF52" t="str">
            <v>Funded Backlog ($B)</v>
          </cell>
          <cell r="BX52" t="str">
            <v>Funded Backlog ($B)</v>
          </cell>
          <cell r="CP52" t="str">
            <v>Funded Backlog ($B)</v>
          </cell>
          <cell r="DH52" t="str">
            <v>Funded Backlog ($B)</v>
          </cell>
          <cell r="DZ52" t="str">
            <v>Backlog by division, Funded</v>
          </cell>
          <cell r="ER52" t="str">
            <v>Backlog by division, Funded</v>
          </cell>
        </row>
        <row r="53">
          <cell r="U53" t="str">
            <v>Aerospace</v>
          </cell>
          <cell r="V53">
            <v>11.802</v>
          </cell>
          <cell r="W53">
            <v>18.195</v>
          </cell>
          <cell r="X53">
            <v>18.195</v>
          </cell>
          <cell r="Y53">
            <v>21.466000000000001</v>
          </cell>
          <cell r="Z53">
            <v>21.466000000000001</v>
          </cell>
          <cell r="AA53">
            <v>21.861000000000001</v>
          </cell>
          <cell r="AB53">
            <v>21.861000000000001</v>
          </cell>
          <cell r="AN53" t="str">
            <v>Resources</v>
          </cell>
          <cell r="AO53">
            <v>0</v>
          </cell>
          <cell r="AP53">
            <v>0</v>
          </cell>
          <cell r="AQ53">
            <v>0</v>
          </cell>
          <cell r="AR53">
            <v>0</v>
          </cell>
          <cell r="AS53">
            <v>0</v>
          </cell>
          <cell r="BF53" t="str">
            <v>Marine Systems</v>
          </cell>
          <cell r="BG53">
            <v>9.5449999999999999</v>
          </cell>
          <cell r="BH53">
            <v>8.8030000000000008</v>
          </cell>
          <cell r="BI53">
            <v>8.8030000000000008</v>
          </cell>
          <cell r="BJ53">
            <v>8.64</v>
          </cell>
          <cell r="BK53">
            <v>8.64</v>
          </cell>
          <cell r="BL53">
            <v>8.1739999999999995</v>
          </cell>
          <cell r="BM53">
            <v>8.1739999999999995</v>
          </cell>
          <cell r="BX53" t="str">
            <v>Marine Systems</v>
          </cell>
          <cell r="BY53">
            <v>10.396000000000001</v>
          </cell>
          <cell r="BZ53">
            <v>9.6539999999999999</v>
          </cell>
          <cell r="CB53">
            <v>8.8759999999999994</v>
          </cell>
          <cell r="CD53">
            <v>8.4190000000000005</v>
          </cell>
          <cell r="CE53">
            <v>8.4190000000000005</v>
          </cell>
          <cell r="CP53" t="str">
            <v>Marine Systems</v>
          </cell>
          <cell r="CQ53">
            <v>9.968</v>
          </cell>
          <cell r="CR53">
            <v>9.3870000000000005</v>
          </cell>
          <cell r="CT53">
            <v>8.4459999999999997</v>
          </cell>
          <cell r="CV53">
            <v>9.8989999999999991</v>
          </cell>
          <cell r="CW53">
            <v>9.8989999999999991</v>
          </cell>
          <cell r="DH53" t="str">
            <v>Marine Systems</v>
          </cell>
          <cell r="DI53">
            <v>8.26</v>
          </cell>
          <cell r="DJ53">
            <v>7.7610000000000001</v>
          </cell>
          <cell r="DL53">
            <v>8.81</v>
          </cell>
          <cell r="DN53">
            <v>8.7750000000000004</v>
          </cell>
          <cell r="DO53">
            <v>8.7750000000000004</v>
          </cell>
          <cell r="DZ53" t="str">
            <v>Marine</v>
          </cell>
          <cell r="EA53">
            <v>9.4049999999999994</v>
          </cell>
          <cell r="EB53">
            <v>8.7579999999999991</v>
          </cell>
          <cell r="ED53">
            <v>12.164</v>
          </cell>
          <cell r="EF53">
            <v>11.6</v>
          </cell>
          <cell r="EG53">
            <v>11.6</v>
          </cell>
          <cell r="ER53" t="str">
            <v>Marine</v>
          </cell>
          <cell r="ES53">
            <v>6.9370000000000003</v>
          </cell>
          <cell r="ET53">
            <v>6.4</v>
          </cell>
          <cell r="EV53">
            <v>9.5280000000000005</v>
          </cell>
        </row>
        <row r="54">
          <cell r="U54" t="str">
            <v>Resources</v>
          </cell>
          <cell r="V54">
            <v>0</v>
          </cell>
          <cell r="W54">
            <v>0</v>
          </cell>
          <cell r="X54">
            <v>0</v>
          </cell>
          <cell r="Y54">
            <v>0</v>
          </cell>
          <cell r="Z54">
            <v>0</v>
          </cell>
          <cell r="AA54">
            <v>0</v>
          </cell>
          <cell r="AB54">
            <v>0</v>
          </cell>
          <cell r="AN54" t="str">
            <v>Total</v>
          </cell>
          <cell r="AO54">
            <v>34.536000000000001</v>
          </cell>
          <cell r="AP54">
            <v>35.408999999999999</v>
          </cell>
          <cell r="AQ54">
            <v>35.408999999999999</v>
          </cell>
          <cell r="AR54">
            <v>36.902000000000001</v>
          </cell>
          <cell r="AS54">
            <v>36.902000000000001</v>
          </cell>
          <cell r="BF54" t="str">
            <v>Combat Systems</v>
          </cell>
          <cell r="BG54">
            <v>7.5629999999999997</v>
          </cell>
          <cell r="BH54">
            <v>8.3140000000000001</v>
          </cell>
          <cell r="BI54">
            <v>8.3140000000000001</v>
          </cell>
          <cell r="BJ54">
            <v>9.2129999999999992</v>
          </cell>
          <cell r="BK54">
            <v>9.2129999999999992</v>
          </cell>
          <cell r="BL54">
            <v>10.086</v>
          </cell>
          <cell r="BM54">
            <v>10.086</v>
          </cell>
          <cell r="BX54" t="str">
            <v>Combat Systems</v>
          </cell>
          <cell r="BY54">
            <v>8.06</v>
          </cell>
          <cell r="BZ54">
            <v>7.9020000000000001</v>
          </cell>
          <cell r="CB54">
            <v>7.7709999999999999</v>
          </cell>
          <cell r="CD54">
            <v>6.9539999999999997</v>
          </cell>
          <cell r="CE54">
            <v>6.9539999999999997</v>
          </cell>
          <cell r="CP54" t="str">
            <v>Combat Systems</v>
          </cell>
          <cell r="CQ54">
            <v>6.32</v>
          </cell>
          <cell r="CR54">
            <v>6.6440000000000001</v>
          </cell>
          <cell r="CT54">
            <v>6.202</v>
          </cell>
          <cell r="CV54">
            <v>6.3979999999999997</v>
          </cell>
          <cell r="CW54">
            <v>6.3979999999999997</v>
          </cell>
          <cell r="DH54" t="str">
            <v>Combat Systems</v>
          </cell>
          <cell r="DI54">
            <v>5.867</v>
          </cell>
          <cell r="DJ54">
            <v>5.8890000000000002</v>
          </cell>
          <cell r="DL54">
            <v>5.569</v>
          </cell>
          <cell r="DN54">
            <v>5.8259999999999996</v>
          </cell>
          <cell r="DO54">
            <v>5.8259999999999996</v>
          </cell>
          <cell r="DZ54" t="str">
            <v>Combat</v>
          </cell>
          <cell r="EA54">
            <v>5.5270000000000001</v>
          </cell>
          <cell r="EB54">
            <v>5.1710000000000003</v>
          </cell>
          <cell r="ED54">
            <v>5.0430000000000001</v>
          </cell>
          <cell r="EF54">
            <v>4.9000000000000004</v>
          </cell>
          <cell r="EG54">
            <v>4.9000000000000004</v>
          </cell>
          <cell r="ER54" t="str">
            <v>Combat</v>
          </cell>
          <cell r="ES54">
            <v>2.3719999999999999</v>
          </cell>
          <cell r="ET54">
            <v>2.2000000000000002</v>
          </cell>
          <cell r="EV54">
            <v>5.1829999999999998</v>
          </cell>
        </row>
        <row r="55">
          <cell r="U55" t="str">
            <v>Total</v>
          </cell>
          <cell r="V55">
            <v>40.052</v>
          </cell>
          <cell r="W55">
            <v>45.235999999999997</v>
          </cell>
          <cell r="X55">
            <v>45.235999999999997</v>
          </cell>
          <cell r="Y55">
            <v>49.673999999999999</v>
          </cell>
          <cell r="Z55">
            <v>49.673999999999999</v>
          </cell>
          <cell r="AA55">
            <v>51.712000000000003</v>
          </cell>
          <cell r="AB55">
            <v>51.712000000000003</v>
          </cell>
          <cell r="BF55" t="str">
            <v>Info. Systems &amp; Tech.</v>
          </cell>
          <cell r="BG55">
            <v>6.3220000000000001</v>
          </cell>
          <cell r="BH55">
            <v>7.125</v>
          </cell>
          <cell r="BI55">
            <v>7.125</v>
          </cell>
          <cell r="BJ55">
            <v>7.3440000000000003</v>
          </cell>
          <cell r="BK55">
            <v>7.3440000000000003</v>
          </cell>
          <cell r="BL55">
            <v>7.548</v>
          </cell>
          <cell r="BM55">
            <v>7.548</v>
          </cell>
          <cell r="BX55" t="str">
            <v>Info. Systems &amp; Tech.</v>
          </cell>
          <cell r="BY55">
            <v>7.4660000000000002</v>
          </cell>
          <cell r="BZ55">
            <v>7.1740000000000004</v>
          </cell>
          <cell r="CB55">
            <v>7.31</v>
          </cell>
          <cell r="CD55">
            <v>6.96</v>
          </cell>
          <cell r="CE55">
            <v>6.96</v>
          </cell>
          <cell r="CP55" t="str">
            <v>Info. Systems &amp; Tech.</v>
          </cell>
          <cell r="CQ55">
            <v>6.48</v>
          </cell>
          <cell r="CR55">
            <v>6.1719999999999997</v>
          </cell>
          <cell r="CT55">
            <v>6.1639999999999997</v>
          </cell>
          <cell r="CV55">
            <v>7.0709999999999997</v>
          </cell>
          <cell r="CW55">
            <v>7.0709999999999997</v>
          </cell>
          <cell r="DH55" t="str">
            <v>Info. Systems &amp; Tech.</v>
          </cell>
          <cell r="DI55">
            <v>5.2389999999999999</v>
          </cell>
          <cell r="DJ55">
            <v>5.5190000000000001</v>
          </cell>
          <cell r="DL55">
            <v>5.931</v>
          </cell>
          <cell r="DN55">
            <v>5.95</v>
          </cell>
          <cell r="DO55">
            <v>5.95</v>
          </cell>
          <cell r="DZ55" t="str">
            <v>Info</v>
          </cell>
          <cell r="EA55">
            <v>4.9080000000000004</v>
          </cell>
          <cell r="EB55">
            <v>5.1349999999999998</v>
          </cell>
          <cell r="ED55">
            <v>5.1429999999999998</v>
          </cell>
          <cell r="EF55">
            <v>5.3</v>
          </cell>
          <cell r="EG55">
            <v>5.3</v>
          </cell>
          <cell r="ER55" t="str">
            <v>Info</v>
          </cell>
          <cell r="ES55">
            <v>1.9670000000000001</v>
          </cell>
          <cell r="ET55">
            <v>2</v>
          </cell>
          <cell r="EV55">
            <v>5.1829999999999998</v>
          </cell>
        </row>
        <row r="56">
          <cell r="BF56" t="str">
            <v>Aerospace</v>
          </cell>
          <cell r="BG56">
            <v>5.798</v>
          </cell>
          <cell r="BH56">
            <v>6.2939999999999996</v>
          </cell>
          <cell r="BI56">
            <v>6.2939999999999996</v>
          </cell>
          <cell r="BJ56">
            <v>6.5</v>
          </cell>
          <cell r="BK56">
            <v>6.5</v>
          </cell>
          <cell r="BL56">
            <v>6.9409999999999998</v>
          </cell>
          <cell r="BM56">
            <v>6.9409999999999998</v>
          </cell>
          <cell r="BX56" t="str">
            <v>Aerospace</v>
          </cell>
          <cell r="BY56">
            <v>4.7249999999999996</v>
          </cell>
          <cell r="BZ56">
            <v>4.9770000000000003</v>
          </cell>
          <cell r="CB56">
            <v>5.1559999999999997</v>
          </cell>
          <cell r="CD56">
            <v>5.8529999999999998</v>
          </cell>
          <cell r="CE56">
            <v>5.8529999999999998</v>
          </cell>
          <cell r="CP56" t="str">
            <v>Aerospace</v>
          </cell>
          <cell r="CQ56">
            <v>4.0940000000000003</v>
          </cell>
          <cell r="CR56">
            <v>3.97</v>
          </cell>
          <cell r="CT56">
            <v>4.0659999999999998</v>
          </cell>
          <cell r="CV56">
            <v>4.6520000000000001</v>
          </cell>
          <cell r="CW56">
            <v>4.6520000000000001</v>
          </cell>
          <cell r="DH56" t="str">
            <v>Aerospace</v>
          </cell>
          <cell r="DI56">
            <v>4.28</v>
          </cell>
          <cell r="DJ56">
            <v>4.13</v>
          </cell>
          <cell r="DL56">
            <v>3.831</v>
          </cell>
          <cell r="DN56">
            <v>4.1269999999999998</v>
          </cell>
          <cell r="DO56">
            <v>4.1269999999999998</v>
          </cell>
          <cell r="DZ56" t="str">
            <v>Gulfstream</v>
          </cell>
          <cell r="EA56">
            <v>6.41</v>
          </cell>
          <cell r="EB56">
            <v>6.16</v>
          </cell>
          <cell r="ED56">
            <v>6.907</v>
          </cell>
          <cell r="EF56">
            <v>6.7809999999999997</v>
          </cell>
          <cell r="EG56">
            <v>6.8</v>
          </cell>
          <cell r="ER56" t="str">
            <v>Gulfstream</v>
          </cell>
          <cell r="ES56">
            <v>3.64</v>
          </cell>
          <cell r="ET56">
            <v>5.0999999999999996</v>
          </cell>
          <cell r="EV56">
            <v>9.0370000000000008</v>
          </cell>
        </row>
        <row r="57">
          <cell r="BF57" t="str">
            <v>Resources</v>
          </cell>
          <cell r="BG57">
            <v>0.14599999999999999</v>
          </cell>
          <cell r="BH57">
            <v>0</v>
          </cell>
          <cell r="BI57">
            <v>0</v>
          </cell>
          <cell r="BJ57">
            <v>0</v>
          </cell>
          <cell r="BK57">
            <v>0</v>
          </cell>
          <cell r="BL57">
            <v>0</v>
          </cell>
          <cell r="BM57">
            <v>0</v>
          </cell>
          <cell r="BX57" t="str">
            <v>Resources</v>
          </cell>
          <cell r="BY57">
            <v>0.22800000000000001</v>
          </cell>
          <cell r="BZ57">
            <v>0.20200000000000001</v>
          </cell>
          <cell r="CB57">
            <v>0.18099999999999999</v>
          </cell>
          <cell r="CD57">
            <v>0</v>
          </cell>
          <cell r="CE57">
            <v>0</v>
          </cell>
          <cell r="CP57" t="str">
            <v>Resources</v>
          </cell>
          <cell r="CQ57">
            <v>0.14499999999999999</v>
          </cell>
          <cell r="CR57">
            <v>0.23499999999999999</v>
          </cell>
          <cell r="CT57">
            <v>0.216</v>
          </cell>
          <cell r="CV57">
            <v>0.2</v>
          </cell>
          <cell r="CW57">
            <v>0.2</v>
          </cell>
          <cell r="DH57" t="str">
            <v>Resources</v>
          </cell>
          <cell r="DI57">
            <v>0.221</v>
          </cell>
          <cell r="DJ57">
            <v>0.19900000000000001</v>
          </cell>
          <cell r="DL57">
            <v>0.18</v>
          </cell>
          <cell r="DN57">
            <v>0.16300000000000001</v>
          </cell>
          <cell r="DO57">
            <v>0.16300000000000001</v>
          </cell>
          <cell r="DZ57" t="str">
            <v>Other</v>
          </cell>
          <cell r="EA57">
            <v>0.29499999999999998</v>
          </cell>
          <cell r="EB57">
            <v>0.29499999999999998</v>
          </cell>
          <cell r="ED57">
            <v>0.27600000000000002</v>
          </cell>
          <cell r="EF57">
            <v>0.3</v>
          </cell>
          <cell r="EG57">
            <v>0.3</v>
          </cell>
          <cell r="ER57" t="str">
            <v>Other</v>
          </cell>
          <cell r="ES57">
            <v>0.39900000000000002</v>
          </cell>
          <cell r="ET57">
            <v>0.5</v>
          </cell>
          <cell r="EV57">
            <v>0.44600000000000001</v>
          </cell>
        </row>
        <row r="58">
          <cell r="BF58" t="str">
            <v>Total</v>
          </cell>
          <cell r="BG58">
            <v>29.374000000000002</v>
          </cell>
          <cell r="BH58">
            <v>30.536000000000001</v>
          </cell>
          <cell r="BI58">
            <v>30.536000000000001</v>
          </cell>
          <cell r="BJ58">
            <v>31.697000000000003</v>
          </cell>
          <cell r="BK58">
            <v>31.697000000000003</v>
          </cell>
          <cell r="BL58">
            <v>32.749000000000002</v>
          </cell>
          <cell r="BM58">
            <v>32.749000000000002</v>
          </cell>
          <cell r="BX58" t="str">
            <v>Total</v>
          </cell>
          <cell r="BY58">
            <v>30.875000000000007</v>
          </cell>
          <cell r="BZ58">
            <v>29.909000000000002</v>
          </cell>
          <cell r="CB58">
            <v>29.293999999999997</v>
          </cell>
          <cell r="CD58">
            <v>28.186</v>
          </cell>
          <cell r="CE58">
            <v>28.186</v>
          </cell>
          <cell r="CP58" t="str">
            <v>Total</v>
          </cell>
          <cell r="CQ58">
            <v>27.007000000000001</v>
          </cell>
          <cell r="CR58">
            <v>26.407999999999998</v>
          </cell>
          <cell r="CT58">
            <v>25.093999999999998</v>
          </cell>
          <cell r="CV58">
            <v>28.219999999999995</v>
          </cell>
          <cell r="CW58">
            <v>28.219999999999995</v>
          </cell>
          <cell r="DH58" t="str">
            <v>Total</v>
          </cell>
          <cell r="DI58">
            <v>23.867000000000001</v>
          </cell>
          <cell r="DJ58">
            <v>23.498000000000001</v>
          </cell>
          <cell r="DL58">
            <v>24.321000000000002</v>
          </cell>
          <cell r="DN58">
            <v>24.840999999999998</v>
          </cell>
          <cell r="DO58">
            <v>24.840999999999998</v>
          </cell>
          <cell r="DZ58" t="str">
            <v>Total B-L GD</v>
          </cell>
          <cell r="EA58">
            <v>26.545000000000002</v>
          </cell>
          <cell r="EB58">
            <v>25.518999999999998</v>
          </cell>
          <cell r="ED58">
            <v>29.532999999999998</v>
          </cell>
          <cell r="EF58">
            <v>28.881</v>
          </cell>
          <cell r="EG58">
            <v>28.900000000000002</v>
          </cell>
          <cell r="ER58" t="str">
            <v>Total B-L GD</v>
          </cell>
          <cell r="ES58">
            <v>15.315000000000001</v>
          </cell>
          <cell r="ET58">
            <v>16.2</v>
          </cell>
          <cell r="EV58">
            <v>29.377000000000002</v>
          </cell>
        </row>
        <row r="59">
          <cell r="DZ59" t="str">
            <v>GAC Backlog, firm</v>
          </cell>
          <cell r="ER59" t="str">
            <v>GAC Backlog, firm</v>
          </cell>
        </row>
        <row r="126">
          <cell r="AN126" t="str">
            <v>General Dynamics</v>
          </cell>
        </row>
        <row r="127">
          <cell r="AN127" t="str">
            <v xml:space="preserve">Estimated GD "Free" Cash Position </v>
          </cell>
        </row>
        <row r="130">
          <cell r="AN130" t="str">
            <v>Operations</v>
          </cell>
          <cell r="AO130" t="str">
            <v>Q1</v>
          </cell>
          <cell r="AP130" t="str">
            <v>Q2</v>
          </cell>
          <cell r="AQ130" t="str">
            <v>Q3</v>
          </cell>
          <cell r="AR130" t="str">
            <v>Q4</v>
          </cell>
          <cell r="AS130" t="str">
            <v>Q1</v>
          </cell>
          <cell r="AT130" t="str">
            <v>Q2</v>
          </cell>
          <cell r="AU130" t="str">
            <v>Q3</v>
          </cell>
          <cell r="AV130" t="str">
            <v>Q4</v>
          </cell>
          <cell r="BF130" t="str">
            <v>General Dynamics</v>
          </cell>
          <cell r="BX130" t="str">
            <v>General Dynamics</v>
          </cell>
          <cell r="CP130" t="str">
            <v>General Dynamics</v>
          </cell>
          <cell r="DH130" t="str">
            <v>General Dynamics</v>
          </cell>
          <cell r="DZ130" t="str">
            <v>General Dynamics</v>
          </cell>
          <cell r="ER130" t="str">
            <v>General Dynamics</v>
          </cell>
        </row>
        <row r="131">
          <cell r="AN131" t="str">
            <v>Net Income</v>
          </cell>
          <cell r="AO131">
            <v>239.85999999999999</v>
          </cell>
          <cell r="AP131">
            <v>457.83</v>
          </cell>
          <cell r="AQ131">
            <v>706.67499999999995</v>
          </cell>
          <cell r="AR131">
            <v>979</v>
          </cell>
          <cell r="AS131">
            <v>290</v>
          </cell>
          <cell r="AT131">
            <v>554.99749999999995</v>
          </cell>
          <cell r="AU131">
            <v>874.99749999999995</v>
          </cell>
          <cell r="AV131">
            <v>1194</v>
          </cell>
          <cell r="BF131" t="str">
            <v xml:space="preserve">Estimated GD "Free" Cash Position </v>
          </cell>
          <cell r="BX131" t="str">
            <v xml:space="preserve">Estimated GD "Free" Cash Position </v>
          </cell>
          <cell r="CP131" t="str">
            <v xml:space="preserve">Estimated GD "Free" Cash Position </v>
          </cell>
          <cell r="DH131" t="str">
            <v xml:space="preserve">Estimated GD "Free" Cash Position </v>
          </cell>
          <cell r="DZ131" t="str">
            <v xml:space="preserve">Estimated GD "Free" Cash Position </v>
          </cell>
          <cell r="ER131" t="str">
            <v xml:space="preserve">Estimated GD "Free" Cash Position </v>
          </cell>
        </row>
        <row r="132">
          <cell r="AN132" t="str">
            <v>Depn/Depletion</v>
          </cell>
        </row>
        <row r="133">
          <cell r="AN133" t="str">
            <v>Goodwill Amort</v>
          </cell>
        </row>
        <row r="134">
          <cell r="AN134" t="str">
            <v>Capex</v>
          </cell>
          <cell r="BF134" t="str">
            <v>Operations</v>
          </cell>
          <cell r="BG134" t="str">
            <v>Q1</v>
          </cell>
          <cell r="BH134" t="str">
            <v>Q2</v>
          </cell>
          <cell r="BI134" t="str">
            <v>Q3</v>
          </cell>
          <cell r="BJ134" t="str">
            <v>Q4</v>
          </cell>
          <cell r="BK134" t="str">
            <v>Q1</v>
          </cell>
          <cell r="BL134" t="str">
            <v>Q2</v>
          </cell>
          <cell r="BM134" t="str">
            <v>Q3</v>
          </cell>
          <cell r="BN134" t="str">
            <v>Q4</v>
          </cell>
          <cell r="BX134" t="str">
            <v>Operations</v>
          </cell>
          <cell r="BY134" t="str">
            <v>Q1</v>
          </cell>
          <cell r="BZ134" t="str">
            <v>Q2</v>
          </cell>
          <cell r="CA134" t="str">
            <v>Q3</v>
          </cell>
          <cell r="CB134" t="str">
            <v>Q4</v>
          </cell>
          <cell r="CC134" t="str">
            <v>Q1</v>
          </cell>
          <cell r="CD134" t="str">
            <v>Q2</v>
          </cell>
          <cell r="CE134" t="str">
            <v>Q3</v>
          </cell>
          <cell r="CF134" t="str">
            <v>Q4</v>
          </cell>
          <cell r="CP134" t="str">
            <v>Operations</v>
          </cell>
          <cell r="CQ134" t="str">
            <v>Q1</v>
          </cell>
          <cell r="CR134" t="str">
            <v>Q2</v>
          </cell>
          <cell r="CS134" t="str">
            <v>Q3</v>
          </cell>
          <cell r="CT134" t="str">
            <v>Q4</v>
          </cell>
          <cell r="CU134" t="str">
            <v>Q1</v>
          </cell>
          <cell r="CV134" t="str">
            <v>Q2</v>
          </cell>
          <cell r="CW134" t="str">
            <v>Q3</v>
          </cell>
          <cell r="CX134" t="str">
            <v>Q4</v>
          </cell>
          <cell r="DH134" t="str">
            <v>Operations</v>
          </cell>
          <cell r="DI134" t="str">
            <v>Q1</v>
          </cell>
          <cell r="DJ134" t="str">
            <v>Q2</v>
          </cell>
          <cell r="DK134" t="str">
            <v>Q3</v>
          </cell>
          <cell r="DL134" t="str">
            <v>Q4</v>
          </cell>
          <cell r="DM134" t="str">
            <v>Q1</v>
          </cell>
          <cell r="DN134" t="str">
            <v>Q2</v>
          </cell>
          <cell r="DO134" t="str">
            <v>Q3</v>
          </cell>
          <cell r="DP134" t="str">
            <v>Q4</v>
          </cell>
          <cell r="DZ134" t="str">
            <v>Operations</v>
          </cell>
          <cell r="EA134" t="str">
            <v>Q1</v>
          </cell>
          <cell r="EB134" t="str">
            <v>Q2</v>
          </cell>
          <cell r="EC134" t="str">
            <v>Q3</v>
          </cell>
          <cell r="ED134" t="str">
            <v>Q4</v>
          </cell>
          <cell r="EE134" t="str">
            <v>Q1</v>
          </cell>
          <cell r="EF134" t="str">
            <v>Q2</v>
          </cell>
          <cell r="EG134" t="str">
            <v>Q3</v>
          </cell>
          <cell r="EH134" t="str">
            <v>Q4</v>
          </cell>
          <cell r="ER134" t="str">
            <v>Operations</v>
          </cell>
          <cell r="ES134" t="str">
            <v>Q1</v>
          </cell>
          <cell r="ET134" t="str">
            <v>Q2</v>
          </cell>
          <cell r="EU134" t="str">
            <v>Q3</v>
          </cell>
          <cell r="EV134" t="str">
            <v>Q4</v>
          </cell>
          <cell r="EW134" t="str">
            <v>Q1</v>
          </cell>
          <cell r="EX134" t="str">
            <v>Q2</v>
          </cell>
          <cell r="EY134" t="str">
            <v>Q3</v>
          </cell>
          <cell r="EZ134" t="str">
            <v>Q4</v>
          </cell>
        </row>
        <row r="135">
          <cell r="AN135" t="str">
            <v>Defd. Taxes</v>
          </cell>
          <cell r="BF135" t="str">
            <v>Net Income</v>
          </cell>
          <cell r="BG135">
            <v>272.24</v>
          </cell>
          <cell r="BH135">
            <v>504.11</v>
          </cell>
          <cell r="BI135">
            <v>782.60571000000004</v>
          </cell>
          <cell r="BJ135">
            <v>1040</v>
          </cell>
          <cell r="BK135">
            <v>239.85999999999999</v>
          </cell>
          <cell r="BL135">
            <v>457.83</v>
          </cell>
          <cell r="BM135">
            <v>706.67499999999995</v>
          </cell>
          <cell r="BN135">
            <v>979</v>
          </cell>
          <cell r="BX135" t="str">
            <v>Net Income</v>
          </cell>
          <cell r="BY135">
            <v>226.626</v>
          </cell>
          <cell r="BZ135">
            <v>438.48599999999999</v>
          </cell>
          <cell r="CA135">
            <v>667.60599999999999</v>
          </cell>
          <cell r="CB135">
            <v>942.99999999999989</v>
          </cell>
          <cell r="CC135">
            <v>272.24</v>
          </cell>
          <cell r="CD135">
            <v>504.11</v>
          </cell>
          <cell r="CE135">
            <v>782.60571000000004</v>
          </cell>
          <cell r="CF135">
            <v>1040</v>
          </cell>
          <cell r="CP135" t="str">
            <v>Net Income</v>
          </cell>
          <cell r="CQ135">
            <v>203.52</v>
          </cell>
          <cell r="CR135">
            <v>387.13200000000001</v>
          </cell>
          <cell r="CS135">
            <v>591.28</v>
          </cell>
          <cell r="CT135">
            <v>808.89400000000001</v>
          </cell>
          <cell r="CU135">
            <v>226.626</v>
          </cell>
          <cell r="CV135">
            <v>438.48599999999999</v>
          </cell>
          <cell r="CW135">
            <v>667.60599999999999</v>
          </cell>
          <cell r="CX135">
            <v>942.99999999999989</v>
          </cell>
          <cell r="DH135" t="str">
            <v>Net Income</v>
          </cell>
          <cell r="DI135">
            <v>211.86</v>
          </cell>
          <cell r="DJ135">
            <v>226.626</v>
          </cell>
          <cell r="DK135">
            <v>229.12</v>
          </cell>
          <cell r="DL135">
            <v>245.76</v>
          </cell>
          <cell r="DM135">
            <v>231.87</v>
          </cell>
          <cell r="DN135">
            <v>272.24</v>
          </cell>
          <cell r="DO135">
            <v>278.49571000000003</v>
          </cell>
          <cell r="DP135">
            <v>258.85700000000003</v>
          </cell>
          <cell r="DZ135" t="str">
            <v>Net Income</v>
          </cell>
          <cell r="EA135">
            <v>183.61199999999999</v>
          </cell>
          <cell r="EB135">
            <v>203.52</v>
          </cell>
          <cell r="EC135">
            <v>204.148</v>
          </cell>
          <cell r="ED135">
            <v>216.691</v>
          </cell>
          <cell r="EE135">
            <v>211.86</v>
          </cell>
          <cell r="EF135">
            <v>226.626</v>
          </cell>
          <cell r="EG135">
            <v>229.12</v>
          </cell>
          <cell r="EH135">
            <v>245.76</v>
          </cell>
          <cell r="ER135" t="str">
            <v>Net Income</v>
          </cell>
          <cell r="ES135">
            <v>158.47779999999995</v>
          </cell>
          <cell r="ET135">
            <v>173</v>
          </cell>
          <cell r="EU135">
            <v>183.101</v>
          </cell>
          <cell r="EV135">
            <v>200.43119999999999</v>
          </cell>
          <cell r="EW135">
            <v>183.61199999999999</v>
          </cell>
          <cell r="EX135">
            <v>203.52</v>
          </cell>
          <cell r="EY135">
            <v>204.148</v>
          </cell>
          <cell r="EZ135">
            <v>216.691</v>
          </cell>
        </row>
        <row r="136">
          <cell r="AN136" t="str">
            <v>Dividends</v>
          </cell>
          <cell r="BF136" t="str">
            <v>Depn/Depletion</v>
          </cell>
          <cell r="BX136" t="str">
            <v>Depn/Depletion</v>
          </cell>
          <cell r="CP136" t="str">
            <v>Depn/Depletion</v>
          </cell>
          <cell r="DH136" t="str">
            <v>Depn/Depletion</v>
          </cell>
          <cell r="DZ136" t="str">
            <v>Depn/Depletion</v>
          </cell>
          <cell r="ER136" t="str">
            <v>Depn/Depletion</v>
          </cell>
        </row>
        <row r="137">
          <cell r="AN137" t="str">
            <v>W.C./Other</v>
          </cell>
          <cell r="BF137" t="str">
            <v>Goodwill Amort</v>
          </cell>
          <cell r="BX137" t="str">
            <v>Goodwill Amort</v>
          </cell>
          <cell r="CP137" t="str">
            <v>Goodwill Amort</v>
          </cell>
          <cell r="DH137" t="str">
            <v>Goodwill Amort</v>
          </cell>
          <cell r="DZ137" t="str">
            <v>Goodwill Amort</v>
          </cell>
          <cell r="ER137" t="str">
            <v>Goodwill Amort</v>
          </cell>
        </row>
        <row r="138">
          <cell r="AN138" t="str">
            <v>- subtotal</v>
          </cell>
          <cell r="BF138" t="str">
            <v>Capex</v>
          </cell>
          <cell r="BX138" t="str">
            <v>Capex</v>
          </cell>
          <cell r="CP138" t="str">
            <v>Capex</v>
          </cell>
          <cell r="DH138" t="str">
            <v>Capex</v>
          </cell>
          <cell r="DZ138" t="str">
            <v>Capex</v>
          </cell>
          <cell r="ER138" t="str">
            <v>Capex</v>
          </cell>
        </row>
        <row r="139">
          <cell r="AN139" t="str">
            <v>Non-Opns/Discretionary</v>
          </cell>
          <cell r="BF139" t="str">
            <v>Defd. Taxes</v>
          </cell>
          <cell r="BX139" t="str">
            <v>Defd. Taxes</v>
          </cell>
          <cell r="CP139" t="str">
            <v>Defd. Taxes</v>
          </cell>
          <cell r="DH139" t="str">
            <v>Defd. Taxes</v>
          </cell>
          <cell r="DZ139" t="str">
            <v>Defd. Taxes</v>
          </cell>
          <cell r="ER139" t="str">
            <v>Defd. Taxes</v>
          </cell>
        </row>
        <row r="140">
          <cell r="AN140" t="str">
            <v>Real Estate &amp; Asset Sales</v>
          </cell>
          <cell r="BF140" t="str">
            <v>Dividends</v>
          </cell>
          <cell r="BX140" t="str">
            <v>Dividends</v>
          </cell>
          <cell r="CP140" t="str">
            <v>Dividends</v>
          </cell>
          <cell r="DH140" t="str">
            <v>Dividends</v>
          </cell>
          <cell r="DZ140" t="str">
            <v>Dividends</v>
          </cell>
          <cell r="ER140" t="str">
            <v>Dividends</v>
          </cell>
        </row>
        <row r="141">
          <cell r="AN141" t="str">
            <v>R&amp;D Tax refund</v>
          </cell>
          <cell r="BF141" t="str">
            <v>W.C./Other</v>
          </cell>
          <cell r="BX141" t="str">
            <v>W.C./Other</v>
          </cell>
          <cell r="CP141" t="str">
            <v>W.C./Other</v>
          </cell>
          <cell r="DH141" t="str">
            <v>W.C./Other</v>
          </cell>
          <cell r="DZ141" t="str">
            <v>W.C./Other</v>
          </cell>
          <cell r="ER141" t="str">
            <v>W.C./Other</v>
          </cell>
        </row>
        <row r="142">
          <cell r="AN142" t="str">
            <v>Acquis./Divests</v>
          </cell>
          <cell r="BF142" t="str">
            <v>- subtotal</v>
          </cell>
          <cell r="BX142" t="str">
            <v>- subtotal</v>
          </cell>
          <cell r="CP142" t="str">
            <v>- subtotal</v>
          </cell>
          <cell r="DH142" t="str">
            <v>- subtotal</v>
          </cell>
          <cell r="DZ142" t="str">
            <v>- subtotal</v>
          </cell>
          <cell r="ER142" t="str">
            <v>- subtotal</v>
          </cell>
        </row>
        <row r="143">
          <cell r="AN143" t="str">
            <v>Stock Repurchase</v>
          </cell>
          <cell r="BF143" t="str">
            <v>Non-Opns/Discretionary</v>
          </cell>
          <cell r="BX143" t="str">
            <v>Non-Opns/Discretionary</v>
          </cell>
          <cell r="CP143" t="str">
            <v>Non-Opns/Discretionary</v>
          </cell>
          <cell r="DH143" t="str">
            <v>Non-Opns/Discretionary</v>
          </cell>
          <cell r="DZ143" t="str">
            <v>Non-Opns/Discretionary</v>
          </cell>
          <cell r="ER143" t="str">
            <v>Non-Opns/Discretionary</v>
          </cell>
        </row>
        <row r="144">
          <cell r="AN144" t="str">
            <v>Securities sales (purchases)</v>
          </cell>
          <cell r="BF144" t="str">
            <v>Real Estate &amp; Asset Sales</v>
          </cell>
          <cell r="BX144" t="str">
            <v>Real Estate &amp; Asset Sales</v>
          </cell>
          <cell r="CP144" t="str">
            <v>Real Estate &amp; Asset Sales</v>
          </cell>
          <cell r="DH144" t="str">
            <v>Real Estate &amp; Asset Sales</v>
          </cell>
          <cell r="DZ144" t="str">
            <v>Real Estate &amp; Asset Sales</v>
          </cell>
          <cell r="ER144" t="str">
            <v>Real Estate &amp; Asset Sales</v>
          </cell>
        </row>
        <row r="145">
          <cell r="AN145" t="str">
            <v>A-12/Restruct.</v>
          </cell>
          <cell r="BF145" t="str">
            <v>R&amp;D Tax refund</v>
          </cell>
          <cell r="BX145" t="str">
            <v>R&amp;D Tax refund</v>
          </cell>
          <cell r="CP145" t="str">
            <v>R&amp;D Tax refund</v>
          </cell>
          <cell r="DH145" t="str">
            <v>R&amp;D Tax refund</v>
          </cell>
          <cell r="DZ145" t="str">
            <v>R&amp;D Tax refund</v>
          </cell>
          <cell r="ER145" t="str">
            <v>R&amp;D Tax refund</v>
          </cell>
        </row>
        <row r="146">
          <cell r="AN146" t="str">
            <v>Finance operations leases</v>
          </cell>
          <cell r="BF146" t="str">
            <v>Acquis./Divests</v>
          </cell>
          <cell r="BX146" t="str">
            <v>Acquis./Divests</v>
          </cell>
          <cell r="CP146" t="str">
            <v>Acquis./Divests</v>
          </cell>
          <cell r="DH146" t="str">
            <v>Acquis./Divests</v>
          </cell>
          <cell r="DZ146" t="str">
            <v>Acquis./Divests</v>
          </cell>
          <cell r="ER146" t="str">
            <v>Acquis./Divests</v>
          </cell>
        </row>
        <row r="147">
          <cell r="AN147" t="str">
            <v>Other</v>
          </cell>
          <cell r="BF147" t="str">
            <v>Stock Repurchase</v>
          </cell>
          <cell r="BX147" t="str">
            <v>Stock Repurchase</v>
          </cell>
          <cell r="CP147" t="str">
            <v>Stock Repurchase</v>
          </cell>
          <cell r="DH147" t="str">
            <v>Stock Repurchase</v>
          </cell>
          <cell r="DZ147" t="str">
            <v>Stock Repurchase</v>
          </cell>
          <cell r="ER147" t="str">
            <v>Stock Repurchase</v>
          </cell>
        </row>
        <row r="148">
          <cell r="AN148" t="str">
            <v>- subtotal</v>
          </cell>
          <cell r="BF148" t="str">
            <v>Securities sales (purchases)</v>
          </cell>
          <cell r="BX148" t="str">
            <v>Securities sales (purchases)</v>
          </cell>
          <cell r="CP148" t="str">
            <v>Securities sales (purchases)</v>
          </cell>
          <cell r="DH148" t="str">
            <v>Securities sales (purchases)</v>
          </cell>
          <cell r="DZ148" t="str">
            <v>Securities sales (purchases)</v>
          </cell>
          <cell r="ER148" t="str">
            <v>Securities sales (purchases)</v>
          </cell>
        </row>
        <row r="149">
          <cell r="AN149" t="str">
            <v>Cash Throwoff</v>
          </cell>
          <cell r="BF149" t="str">
            <v>A-12/Restruct.</v>
          </cell>
          <cell r="BX149" t="str">
            <v>A-12/Restruct.</v>
          </cell>
          <cell r="CP149" t="str">
            <v>A-12/Restruct.</v>
          </cell>
          <cell r="DH149" t="str">
            <v>A-12/Restruct.</v>
          </cell>
          <cell r="DZ149" t="str">
            <v>A-12/Restruct.</v>
          </cell>
          <cell r="ER149" t="str">
            <v>A-12/Restruct.</v>
          </cell>
        </row>
        <row r="150">
          <cell r="BF150" t="str">
            <v>Finance operations leases</v>
          </cell>
          <cell r="BX150" t="str">
            <v>Finance operations leases</v>
          </cell>
          <cell r="CP150" t="str">
            <v>Finance operations leases</v>
          </cell>
          <cell r="DH150" t="str">
            <v>Finance operations leases</v>
          </cell>
          <cell r="DZ150" t="str">
            <v>Finance operations leases</v>
          </cell>
          <cell r="ER150" t="str">
            <v>Finance operations leases</v>
          </cell>
        </row>
        <row r="151">
          <cell r="AN151" t="str">
            <v>Debt issuance (repayment)</v>
          </cell>
          <cell r="BF151" t="str">
            <v>Other</v>
          </cell>
          <cell r="BX151" t="str">
            <v>Other</v>
          </cell>
          <cell r="CP151" t="str">
            <v>Other</v>
          </cell>
          <cell r="DH151" t="str">
            <v>Other</v>
          </cell>
          <cell r="DZ151" t="str">
            <v>Other</v>
          </cell>
          <cell r="ER151" t="str">
            <v>Other</v>
          </cell>
        </row>
        <row r="152">
          <cell r="AN152" t="str">
            <v>Finance operations debt</v>
          </cell>
          <cell r="BF152" t="str">
            <v>- subtotal</v>
          </cell>
          <cell r="BX152" t="str">
            <v>- subtotal</v>
          </cell>
          <cell r="CP152" t="str">
            <v>- subtotal</v>
          </cell>
          <cell r="DH152" t="str">
            <v>- subtotal</v>
          </cell>
          <cell r="DZ152" t="str">
            <v>- subtotal</v>
          </cell>
          <cell r="ER152" t="str">
            <v>- subtotal</v>
          </cell>
        </row>
        <row r="153">
          <cell r="BF153" t="str">
            <v>Cash Throwoff</v>
          </cell>
          <cell r="BX153" t="str">
            <v>Cash Throwoff</v>
          </cell>
          <cell r="CP153" t="str">
            <v>Cash Throwoff</v>
          </cell>
          <cell r="DH153" t="str">
            <v>Cash Throwoff</v>
          </cell>
          <cell r="DZ153" t="str">
            <v>Cash Throwoff</v>
          </cell>
          <cell r="ER153" t="str">
            <v>Cash Throwoff</v>
          </cell>
        </row>
        <row r="154">
          <cell r="AN154" t="str">
            <v>Increase (decrease) in Cash and Equivalents</v>
          </cell>
        </row>
        <row r="155">
          <cell r="BF155" t="str">
            <v>Debt issuance (repayment)</v>
          </cell>
          <cell r="BX155" t="str">
            <v>Debt issuance (repayment)</v>
          </cell>
          <cell r="CP155" t="str">
            <v>Debt issuance (repayment)</v>
          </cell>
          <cell r="DH155" t="str">
            <v>Debt issuance (repayment)</v>
          </cell>
          <cell r="DZ155" t="str">
            <v>Debt issuance (repayment)</v>
          </cell>
          <cell r="ER155" t="str">
            <v>Debt issuance (repayment)</v>
          </cell>
        </row>
        <row r="156">
          <cell r="AN156" t="str">
            <v>CASH FLOW/NINC</v>
          </cell>
          <cell r="BF156" t="str">
            <v>Finance operations debt</v>
          </cell>
          <cell r="BX156" t="str">
            <v>Finance operations debt</v>
          </cell>
          <cell r="CP156" t="str">
            <v>Finance operations debt</v>
          </cell>
          <cell r="DH156" t="str">
            <v>Finance operations debt</v>
          </cell>
          <cell r="DZ156" t="str">
            <v>Finance operations debt</v>
          </cell>
          <cell r="ER156" t="str">
            <v>Finance operations debt</v>
          </cell>
        </row>
        <row r="158">
          <cell r="AN158" t="str">
            <v>Cash - Begin'g</v>
          </cell>
          <cell r="BF158" t="str">
            <v>Increase (decrease) in Cash and Equivalents</v>
          </cell>
          <cell r="BX158" t="str">
            <v>Increase (decrease) in Cash and Equivalents</v>
          </cell>
          <cell r="CP158" t="str">
            <v>Increase (decrease) in Cash and Equivalents</v>
          </cell>
          <cell r="DH158" t="str">
            <v>Increase (decrease) in Cash and Equivalents</v>
          </cell>
          <cell r="DZ158" t="str">
            <v>Increase (decrease) in Cash and Equivalents</v>
          </cell>
          <cell r="ER158" t="str">
            <v>Increase (decrease) in Cash and Equivalents</v>
          </cell>
        </row>
        <row r="159">
          <cell r="AN159" t="str">
            <v>Cash - Endin'g</v>
          </cell>
        </row>
        <row r="160">
          <cell r="AN160" t="str">
            <v>Ending Marketable Securities</v>
          </cell>
          <cell r="BF160" t="str">
            <v>CASH FLOW/NINC</v>
          </cell>
          <cell r="BX160" t="str">
            <v>CASH FLOW/NINC</v>
          </cell>
          <cell r="CP160" t="str">
            <v>CASH FLOW/NINC</v>
          </cell>
          <cell r="DH160" t="str">
            <v>CASH FLOW/NINC</v>
          </cell>
          <cell r="DZ160" t="str">
            <v>CASH FLOW/NINC</v>
          </cell>
          <cell r="ER160" t="str">
            <v>CASH FLOW/NINC</v>
          </cell>
        </row>
        <row r="161">
          <cell r="AN161" t="str">
            <v>Ending Cash &amp; Marketable Securities</v>
          </cell>
        </row>
        <row r="162">
          <cell r="BF162" t="str">
            <v>Cash - Begin'g</v>
          </cell>
          <cell r="BX162" t="str">
            <v>Cash - Begin'g</v>
          </cell>
          <cell r="CP162" t="str">
            <v>Cash - Begin'g</v>
          </cell>
          <cell r="DH162" t="str">
            <v>Cash - Begin'g</v>
          </cell>
          <cell r="DZ162" t="str">
            <v>Cash - Begin'g</v>
          </cell>
          <cell r="ER162" t="str">
            <v>Cash - Begin'g</v>
          </cell>
        </row>
        <row r="163">
          <cell r="AN163" t="str">
            <v>Debt</v>
          </cell>
          <cell r="BF163" t="str">
            <v>Cash - Endin'g</v>
          </cell>
          <cell r="BX163" t="str">
            <v>Cash - Endin'g</v>
          </cell>
          <cell r="CP163" t="str">
            <v>Cash - Endin'g</v>
          </cell>
          <cell r="DH163" t="str">
            <v>Cash - Endin'g</v>
          </cell>
          <cell r="DZ163" t="str">
            <v>Cash - Endin'g</v>
          </cell>
          <cell r="ER163" t="str">
            <v>Cash - Endin'g</v>
          </cell>
        </row>
        <row r="164">
          <cell r="AN164" t="str">
            <v>Net Cash (Debt)</v>
          </cell>
          <cell r="BF164" t="str">
            <v>Ending Marketable Securities</v>
          </cell>
          <cell r="BX164" t="str">
            <v>Ending Marketable Securities</v>
          </cell>
          <cell r="CP164" t="str">
            <v>Ending Marketable Securities</v>
          </cell>
          <cell r="DH164" t="str">
            <v>Ending Marketable Securities</v>
          </cell>
          <cell r="DZ164" t="str">
            <v>Ending Marketable Securities</v>
          </cell>
          <cell r="ER164" t="str">
            <v>Ending Marketable Securities</v>
          </cell>
        </row>
        <row r="165">
          <cell r="AN165" t="str">
            <v xml:space="preserve">  -- Per Share</v>
          </cell>
          <cell r="BF165" t="str">
            <v>Ending Cash &amp; Marketable Securities</v>
          </cell>
          <cell r="BX165" t="str">
            <v>Ending Cash &amp; Marketable Securities</v>
          </cell>
          <cell r="CP165" t="str">
            <v>Ending Cash &amp; Marketable Securities</v>
          </cell>
          <cell r="DH165" t="str">
            <v>Ending Cash &amp; Marketable Securities</v>
          </cell>
          <cell r="DZ165" t="str">
            <v>Ending Cash &amp; Marketable Securities</v>
          </cell>
          <cell r="ER165" t="str">
            <v>Ending Cash &amp; Marketable Securities</v>
          </cell>
        </row>
        <row r="166">
          <cell r="AN166" t="str">
            <v>Avg Net Cash</v>
          </cell>
        </row>
        <row r="167">
          <cell r="BF167" t="str">
            <v>Debt</v>
          </cell>
          <cell r="BX167" t="str">
            <v>Debt</v>
          </cell>
          <cell r="CP167" t="str">
            <v>Debt</v>
          </cell>
          <cell r="DH167" t="str">
            <v>Debt</v>
          </cell>
          <cell r="DZ167" t="str">
            <v>Debt</v>
          </cell>
          <cell r="ER167" t="str">
            <v>Debt</v>
          </cell>
        </row>
        <row r="168">
          <cell r="BF168" t="str">
            <v>Net Cash (Debt)</v>
          </cell>
          <cell r="BX168" t="str">
            <v>Net Cash (Debt)</v>
          </cell>
          <cell r="CP168" t="str">
            <v>Net Cash (Debt)</v>
          </cell>
          <cell r="DH168" t="str">
            <v>Net Cash (Debt)</v>
          </cell>
          <cell r="DZ168" t="str">
            <v>Net Cash (Debt)</v>
          </cell>
          <cell r="ER168" t="str">
            <v>Net Cash (Debt)</v>
          </cell>
        </row>
        <row r="169">
          <cell r="AN169" t="str">
            <v>Int. rate assump</v>
          </cell>
          <cell r="BF169" t="str">
            <v xml:space="preserve">  -- Per Share</v>
          </cell>
          <cell r="BX169" t="str">
            <v xml:space="preserve">  -- Per Share</v>
          </cell>
          <cell r="CP169" t="str">
            <v xml:space="preserve">  -- Per Share</v>
          </cell>
          <cell r="DH169" t="str">
            <v xml:space="preserve">  -- Per Share</v>
          </cell>
          <cell r="DZ169" t="str">
            <v xml:space="preserve">  -- Per Share</v>
          </cell>
          <cell r="ER169" t="str">
            <v xml:space="preserve">  -- Per Share</v>
          </cell>
        </row>
        <row r="170">
          <cell r="AN170" t="str">
            <v>Int. income est. ($ X int. rate)</v>
          </cell>
          <cell r="BF170" t="str">
            <v>Avg Net Cash</v>
          </cell>
          <cell r="BX170" t="str">
            <v>Avg Net Cash</v>
          </cell>
          <cell r="CP170" t="str">
            <v>Avg Net Cash</v>
          </cell>
          <cell r="DH170" t="str">
            <v>Avg Net Cash</v>
          </cell>
          <cell r="DZ170" t="str">
            <v>Avg Net Cash</v>
          </cell>
          <cell r="ER170" t="str">
            <v>Avg Net Cash</v>
          </cell>
        </row>
        <row r="171">
          <cell r="AN171" t="str">
            <v>Int. inc actual/per P&amp;L</v>
          </cell>
        </row>
        <row r="172">
          <cell r="AN172" t="str">
            <v>Equity</v>
          </cell>
        </row>
        <row r="173">
          <cell r="AN173" t="str">
            <v>Shares out</v>
          </cell>
          <cell r="BF173" t="str">
            <v>Int. rate assump</v>
          </cell>
          <cell r="BX173" t="str">
            <v>Int. rate assump</v>
          </cell>
          <cell r="CP173" t="str">
            <v>Int. rate assump</v>
          </cell>
          <cell r="DH173" t="str">
            <v>Int. rate assump</v>
          </cell>
          <cell r="DZ173" t="str">
            <v>Int. rate assump</v>
          </cell>
          <cell r="ER173" t="str">
            <v>Int. rate assump</v>
          </cell>
        </row>
        <row r="174">
          <cell r="AN174" t="str">
            <v>BVPS</v>
          </cell>
          <cell r="BF174" t="str">
            <v>Int. income est. ($ X int. rate)</v>
          </cell>
          <cell r="BX174" t="str">
            <v>Int. income est. ($ X int. rate)</v>
          </cell>
          <cell r="CP174" t="str">
            <v>Int. income est. ($ X int. rate)</v>
          </cell>
          <cell r="DH174" t="str">
            <v>Int. income est. ($ X int. rate)</v>
          </cell>
          <cell r="DZ174" t="str">
            <v>Int. income est. ($ X int. rate)</v>
          </cell>
          <cell r="ER174" t="str">
            <v>Int. income est. ($ X int. rate)</v>
          </cell>
        </row>
        <row r="175">
          <cell r="AN175" t="str">
            <v>Net debt/cap</v>
          </cell>
          <cell r="BF175" t="str">
            <v>Int. inc actual/per P&amp;L</v>
          </cell>
          <cell r="BX175" t="str">
            <v>Int. inc actual/per P&amp;L</v>
          </cell>
          <cell r="CP175" t="str">
            <v>Int. inc actual/per P&amp;L</v>
          </cell>
          <cell r="DH175" t="str">
            <v>Int. inc actual/per P&amp;L</v>
          </cell>
          <cell r="DZ175" t="str">
            <v>Int. inc actual/per P&amp;L</v>
          </cell>
          <cell r="ER175" t="str">
            <v>Int. inc actual/per P&amp;L</v>
          </cell>
        </row>
        <row r="176">
          <cell r="AN176" t="str">
            <v xml:space="preserve">   vs. peer avg (need to update)</v>
          </cell>
          <cell r="BF176" t="str">
            <v>Equity</v>
          </cell>
          <cell r="BX176" t="str">
            <v>Equity</v>
          </cell>
          <cell r="CP176" t="str">
            <v>Equity</v>
          </cell>
          <cell r="DH176" t="str">
            <v>Equity</v>
          </cell>
          <cell r="DZ176" t="str">
            <v>Equity</v>
          </cell>
          <cell r="ER176" t="str">
            <v>Equity</v>
          </cell>
        </row>
        <row r="177">
          <cell r="BF177" t="str">
            <v>Shares out</v>
          </cell>
          <cell r="BX177" t="str">
            <v>Shares out</v>
          </cell>
          <cell r="CP177" t="str">
            <v>Shares out</v>
          </cell>
          <cell r="DH177" t="str">
            <v>Shares out</v>
          </cell>
          <cell r="DZ177" t="str">
            <v>Shares out</v>
          </cell>
          <cell r="ER177" t="str">
            <v>Shares out</v>
          </cell>
        </row>
        <row r="178">
          <cell r="AN178" t="str">
            <v>Cash EPS ((NI+Dep+Amort)/Shares)</v>
          </cell>
          <cell r="BF178" t="str">
            <v>BVPS</v>
          </cell>
          <cell r="BX178" t="str">
            <v>BVPS</v>
          </cell>
          <cell r="CP178" t="str">
            <v>BVPS</v>
          </cell>
          <cell r="DH178" t="str">
            <v>BVPS</v>
          </cell>
          <cell r="DZ178" t="str">
            <v>BVPS</v>
          </cell>
          <cell r="ER178" t="str">
            <v>BVPS</v>
          </cell>
        </row>
        <row r="179">
          <cell r="AN179" t="str">
            <v>Dividends Per Share</v>
          </cell>
          <cell r="BF179" t="str">
            <v>Net debt/cap</v>
          </cell>
          <cell r="BX179" t="str">
            <v>Net debt/cap</v>
          </cell>
          <cell r="CP179" t="str">
            <v>Net debt/cap</v>
          </cell>
          <cell r="DH179" t="str">
            <v>Net debt/cap</v>
          </cell>
          <cell r="DZ179" t="str">
            <v>Net debt/cap</v>
          </cell>
          <cell r="ER179" t="str">
            <v>Net debt/cap</v>
          </cell>
        </row>
        <row r="180">
          <cell r="AN180" t="str">
            <v>Return on Average Equity</v>
          </cell>
          <cell r="BF180" t="str">
            <v xml:space="preserve">   vs. peer avg (need to update)</v>
          </cell>
          <cell r="BX180" t="str">
            <v xml:space="preserve">   vs. peer avg (need to update)</v>
          </cell>
          <cell r="CP180" t="str">
            <v xml:space="preserve">   vs. peer avg (need to update)</v>
          </cell>
          <cell r="DH180" t="str">
            <v xml:space="preserve">   vs. peer avg (need to update)</v>
          </cell>
          <cell r="DZ180" t="str">
            <v xml:space="preserve">   vs. peer avg (need to update)</v>
          </cell>
          <cell r="ER180" t="str">
            <v xml:space="preserve">   vs. peer avg (need to update)</v>
          </cell>
        </row>
        <row r="181">
          <cell r="AN181" t="str">
            <v>ROA</v>
          </cell>
        </row>
        <row r="182">
          <cell r="AN182" t="str">
            <v>Asset Turnover</v>
          </cell>
          <cell r="BF182" t="str">
            <v>Cash EPS ((NI+Dep+Amort)/Shares)</v>
          </cell>
          <cell r="BX182" t="str">
            <v>Cash EPS ((NI+Dep+Amort)/Shares)</v>
          </cell>
          <cell r="CP182" t="str">
            <v>Cash EPS ((NI+Dep+Amort)/Shares)</v>
          </cell>
          <cell r="DH182" t="str">
            <v>Cash EPS ((NI+Dep+Amort)/Shares)</v>
          </cell>
          <cell r="DZ182" t="str">
            <v>Cash EPS ((NI+Dep+Amort)/Shares)</v>
          </cell>
          <cell r="ER182" t="str">
            <v>Cash EPS ((NI+Dep+Amort)/Shares)</v>
          </cell>
        </row>
        <row r="183">
          <cell r="AN183" t="str">
            <v>Asset Leverage</v>
          </cell>
          <cell r="BF183" t="str">
            <v>Dividends Per Share</v>
          </cell>
          <cell r="BX183" t="str">
            <v>Dividends Per Share</v>
          </cell>
          <cell r="CP183" t="str">
            <v>Dividends Per Share</v>
          </cell>
          <cell r="DH183" t="str">
            <v>Dividends Per Share</v>
          </cell>
          <cell r="DZ183" t="str">
            <v>Dividends Per Share</v>
          </cell>
          <cell r="ER183" t="str">
            <v>Dividends Per Share</v>
          </cell>
        </row>
        <row r="184">
          <cell r="AN184" t="str">
            <v>CF per share</v>
          </cell>
          <cell r="BF184" t="str">
            <v>Return on Average Equity</v>
          </cell>
          <cell r="BX184" t="str">
            <v>Return on Average Equity</v>
          </cell>
          <cell r="CP184" t="str">
            <v>Return on Average Equity</v>
          </cell>
          <cell r="DH184" t="str">
            <v>Return on Average Equity</v>
          </cell>
          <cell r="DZ184" t="str">
            <v>Return on Average Equity</v>
          </cell>
          <cell r="ER184" t="str">
            <v>Return on Average Equity</v>
          </cell>
        </row>
        <row r="185">
          <cell r="BF185" t="str">
            <v>ROA</v>
          </cell>
          <cell r="BX185" t="str">
            <v>ROA</v>
          </cell>
          <cell r="CP185" t="str">
            <v>ROA</v>
          </cell>
          <cell r="DH185" t="str">
            <v>ROA</v>
          </cell>
          <cell r="DZ185" t="str">
            <v>ROA</v>
          </cell>
          <cell r="ER185" t="str">
            <v>ROA</v>
          </cell>
        </row>
        <row r="186">
          <cell r="BF186" t="str">
            <v>Asset Turnover</v>
          </cell>
          <cell r="BX186" t="str">
            <v>Asset Turnover</v>
          </cell>
          <cell r="CP186" t="str">
            <v>Asset Turnover</v>
          </cell>
          <cell r="DH186" t="str">
            <v>Asset Turnover</v>
          </cell>
          <cell r="DZ186" t="str">
            <v>Asset Turnover</v>
          </cell>
          <cell r="ER186" t="str">
            <v>Asset Turnover</v>
          </cell>
        </row>
        <row r="187">
          <cell r="BF187" t="str">
            <v>Asset Leverage</v>
          </cell>
          <cell r="BX187" t="str">
            <v>Asset Leverage</v>
          </cell>
          <cell r="CP187" t="str">
            <v>Asset Leverage</v>
          </cell>
          <cell r="DH187" t="str">
            <v>Asset Leverage</v>
          </cell>
          <cell r="DZ187" t="str">
            <v>Asset Leverage</v>
          </cell>
          <cell r="ER187" t="str">
            <v>Asset Leverage</v>
          </cell>
        </row>
        <row r="188">
          <cell r="BF188" t="str">
            <v>CF per share</v>
          </cell>
          <cell r="BX188" t="str">
            <v>CF per share</v>
          </cell>
          <cell r="CP188" t="str">
            <v>CF per share</v>
          </cell>
          <cell r="DH188" t="str">
            <v>CF per share</v>
          </cell>
          <cell r="DZ188" t="str">
            <v>CF per share</v>
          </cell>
          <cell r="ER188" t="str">
            <v>CF per share</v>
          </cell>
        </row>
      </sheetData>
      <sheetData sheetId="3" refreshError="1">
        <row r="1">
          <cell r="CD1">
            <v>2007</v>
          </cell>
          <cell r="DR1">
            <v>2006</v>
          </cell>
          <cell r="FA1">
            <v>2005</v>
          </cell>
          <cell r="GJ1">
            <v>2004</v>
          </cell>
        </row>
        <row r="3">
          <cell r="A3" t="str">
            <v>GD Variance Analysis</v>
          </cell>
        </row>
        <row r="5">
          <cell r="DK5" t="str">
            <v>General Dynamics</v>
          </cell>
          <cell r="DT5" t="str">
            <v>General Dynamics</v>
          </cell>
          <cell r="EC5" t="str">
            <v>General Dynamics</v>
          </cell>
          <cell r="EL5" t="str">
            <v>General Dynamics</v>
          </cell>
          <cell r="EU5" t="str">
            <v>General Dynamics</v>
          </cell>
          <cell r="FC5" t="str">
            <v>General Dynamics</v>
          </cell>
          <cell r="FK5" t="str">
            <v>GD 3Q05 Actual vs. Expected</v>
          </cell>
          <cell r="FT5" t="str">
            <v>GD 2Q05 Actual vs. Expected</v>
          </cell>
          <cell r="GC5" t="str">
            <v>GD 1Q05 Actual vs. Expected</v>
          </cell>
          <cell r="GL5" t="str">
            <v>GD 2004 Actual vs. Expected</v>
          </cell>
        </row>
        <row r="6">
          <cell r="C6" t="str">
            <v>General Dynamics</v>
          </cell>
          <cell r="R6" t="str">
            <v>General Dynamics</v>
          </cell>
          <cell r="AE6" t="str">
            <v>General Dynamics</v>
          </cell>
          <cell r="AR6" t="str">
            <v>General Dynamics</v>
          </cell>
          <cell r="BE6" t="str">
            <v>General Dynamics</v>
          </cell>
          <cell r="BR6" t="str">
            <v>General Dynamics</v>
          </cell>
          <cell r="CF6" t="str">
            <v>General Dynamics</v>
          </cell>
          <cell r="CT6" t="str">
            <v>General Dynamics</v>
          </cell>
          <cell r="DC6" t="str">
            <v>General Dynamics</v>
          </cell>
          <cell r="DK6" t="str">
            <v>1Q07 Variance Analysis</v>
          </cell>
          <cell r="DT6" t="str">
            <v>2006 Variance Analysis</v>
          </cell>
          <cell r="EC6" t="str">
            <v>3Q06 Variance Analysis</v>
          </cell>
          <cell r="EL6" t="str">
            <v>2Q06 Variance Analysis</v>
          </cell>
          <cell r="EU6" t="str">
            <v>1Q06 Variance Analysis</v>
          </cell>
          <cell r="FC6" t="str">
            <v>2005 Variance Analysis</v>
          </cell>
        </row>
        <row r="7">
          <cell r="C7" t="str">
            <v>2Q09 Variance Analysis</v>
          </cell>
          <cell r="R7" t="str">
            <v>2008 Variance Analysis</v>
          </cell>
          <cell r="AE7" t="str">
            <v>4Q08 Variance Analysis</v>
          </cell>
          <cell r="AR7" t="str">
            <v>3Q08 Variance Analysis</v>
          </cell>
          <cell r="BE7" t="str">
            <v>2Q08 Variance Analysis</v>
          </cell>
          <cell r="BR7" t="str">
            <v>1Q08 Variance Analysis</v>
          </cell>
          <cell r="CF7" t="str">
            <v>4Q07 Variance Analysis</v>
          </cell>
          <cell r="CT7" t="str">
            <v>3Q07 Variance Analysis</v>
          </cell>
          <cell r="DC7" t="str">
            <v>2Q07 Variance Analysis</v>
          </cell>
          <cell r="DO7" t="str">
            <v>Variance</v>
          </cell>
          <cell r="DX7" t="str">
            <v>Variance</v>
          </cell>
          <cell r="EG7" t="str">
            <v>Variance</v>
          </cell>
          <cell r="EP7" t="str">
            <v>Variance</v>
          </cell>
          <cell r="EX7" t="str">
            <v>Variance</v>
          </cell>
          <cell r="FG7" t="str">
            <v>Variance</v>
          </cell>
          <cell r="FO7" t="str">
            <v>Change</v>
          </cell>
          <cell r="FT7" t="str">
            <v>($USD in Millions)</v>
          </cell>
          <cell r="FU7" t="str">
            <v>2Q05A</v>
          </cell>
          <cell r="FV7" t="str">
            <v>2Q05E</v>
          </cell>
          <cell r="FW7" t="str">
            <v>2Q04A</v>
          </cell>
          <cell r="FX7" t="str">
            <v>Change</v>
          </cell>
          <cell r="GC7" t="str">
            <v>($USD in Millions)</v>
          </cell>
          <cell r="GD7" t="str">
            <v>1Q05A</v>
          </cell>
          <cell r="GE7" t="str">
            <v>1Q05E</v>
          </cell>
          <cell r="GF7" t="str">
            <v>1Q04A</v>
          </cell>
          <cell r="GG7" t="str">
            <v>Change</v>
          </cell>
          <cell r="GL7" t="str">
            <v>($USD in Millions)</v>
          </cell>
          <cell r="GM7" t="str">
            <v>2004A</v>
          </cell>
          <cell r="GN7" t="str">
            <v>2004E</v>
          </cell>
          <cell r="GO7" t="str">
            <v>2003A</v>
          </cell>
          <cell r="GP7" t="str">
            <v>Change</v>
          </cell>
        </row>
        <row r="8">
          <cell r="H8" t="str">
            <v>Y/Y Variance</v>
          </cell>
          <cell r="J8" t="str">
            <v>A vs E Variance</v>
          </cell>
          <cell r="L8" t="str">
            <v>A. vs Con. Variance</v>
          </cell>
          <cell r="W8" t="str">
            <v>Y/Y Variance</v>
          </cell>
          <cell r="Y8" t="str">
            <v>A vs E Variance</v>
          </cell>
          <cell r="AA8" t="str">
            <v>A. vs Con. Variance</v>
          </cell>
          <cell r="AJ8" t="str">
            <v>Y/Y Variance</v>
          </cell>
          <cell r="AL8" t="str">
            <v>A vs E Variance</v>
          </cell>
          <cell r="AN8" t="str">
            <v>A. vs Con. Variance</v>
          </cell>
          <cell r="AW8" t="str">
            <v>Variance</v>
          </cell>
          <cell r="AY8" t="str">
            <v>A vs E Variance</v>
          </cell>
          <cell r="BA8" t="str">
            <v>A. vs Con. Variance</v>
          </cell>
          <cell r="BJ8" t="str">
            <v>Variance</v>
          </cell>
          <cell r="BL8" t="str">
            <v>A vs E Variance</v>
          </cell>
          <cell r="BN8" t="str">
            <v>A. vs Con. Variance</v>
          </cell>
          <cell r="BW8" t="str">
            <v>Variance</v>
          </cell>
          <cell r="BY8" t="str">
            <v>A vs E Variance</v>
          </cell>
          <cell r="CA8" t="str">
            <v>A. vs Con. Variance</v>
          </cell>
          <cell r="CK8" t="str">
            <v>Variance</v>
          </cell>
          <cell r="CM8" t="str">
            <v>A vs E Variance</v>
          </cell>
          <cell r="CO8" t="str">
            <v>A vs Con. Variance</v>
          </cell>
          <cell r="CX8" t="str">
            <v>Variance</v>
          </cell>
          <cell r="DF8" t="str">
            <v>Variance</v>
          </cell>
          <cell r="DK8" t="str">
            <v>($USD in Millions)</v>
          </cell>
          <cell r="DL8" t="str">
            <v xml:space="preserve">1Q07A </v>
          </cell>
          <cell r="DM8" t="str">
            <v xml:space="preserve">1Q07E </v>
          </cell>
          <cell r="DN8" t="str">
            <v xml:space="preserve">1Q06A </v>
          </cell>
          <cell r="DO8" t="str">
            <v xml:space="preserve">YoY </v>
          </cell>
          <cell r="DP8" t="str">
            <v xml:space="preserve">% </v>
          </cell>
          <cell r="DT8" t="str">
            <v>($USD in Millions)</v>
          </cell>
          <cell r="DU8" t="str">
            <v xml:space="preserve">2006A </v>
          </cell>
          <cell r="DV8" t="str">
            <v xml:space="preserve">2006E </v>
          </cell>
          <cell r="DW8" t="str">
            <v xml:space="preserve">2005A </v>
          </cell>
          <cell r="DX8" t="str">
            <v xml:space="preserve">YoY </v>
          </cell>
          <cell r="DY8" t="str">
            <v xml:space="preserve">% </v>
          </cell>
          <cell r="EC8" t="str">
            <v>($USD in Millions)</v>
          </cell>
          <cell r="ED8" t="str">
            <v xml:space="preserve">3Q06A </v>
          </cell>
          <cell r="EE8" t="str">
            <v xml:space="preserve">3Q06E </v>
          </cell>
          <cell r="EF8" t="str">
            <v xml:space="preserve">3Q05A </v>
          </cell>
          <cell r="EG8" t="str">
            <v xml:space="preserve">YoY </v>
          </cell>
          <cell r="EH8" t="str">
            <v xml:space="preserve">% </v>
          </cell>
          <cell r="EL8" t="str">
            <v>($USD in Millions)</v>
          </cell>
          <cell r="EM8" t="str">
            <v xml:space="preserve">2Q06A </v>
          </cell>
          <cell r="EN8" t="str">
            <v xml:space="preserve">2Q06E </v>
          </cell>
          <cell r="EO8" t="str">
            <v xml:space="preserve">2Q05A </v>
          </cell>
          <cell r="EP8" t="str">
            <v xml:space="preserve">YoY </v>
          </cell>
          <cell r="EQ8" t="str">
            <v xml:space="preserve">% </v>
          </cell>
          <cell r="EU8" t="str">
            <v>($USD in Millions)</v>
          </cell>
          <cell r="EV8" t="str">
            <v xml:space="preserve">1Q06A </v>
          </cell>
          <cell r="EW8" t="str">
            <v xml:space="preserve">1Q05A </v>
          </cell>
          <cell r="EX8" t="str">
            <v xml:space="preserve">YoY </v>
          </cell>
          <cell r="EY8" t="str">
            <v xml:space="preserve">% </v>
          </cell>
          <cell r="FC8" t="str">
            <v>($USD in Millions)</v>
          </cell>
          <cell r="FD8" t="str">
            <v xml:space="preserve">2005A </v>
          </cell>
          <cell r="FE8" t="str">
            <v xml:space="preserve">2005E </v>
          </cell>
          <cell r="FF8" t="str">
            <v xml:space="preserve">2004A </v>
          </cell>
          <cell r="FG8" t="str">
            <v xml:space="preserve">YoY </v>
          </cell>
          <cell r="FH8" t="str">
            <v xml:space="preserve">% </v>
          </cell>
          <cell r="FK8" t="str">
            <v>($USD in Millions)</v>
          </cell>
          <cell r="FL8" t="str">
            <v xml:space="preserve">3Q05A </v>
          </cell>
          <cell r="FM8" t="str">
            <v xml:space="preserve">3Q05E </v>
          </cell>
          <cell r="FN8" t="str">
            <v xml:space="preserve">3Q04A </v>
          </cell>
          <cell r="FO8" t="str">
            <v xml:space="preserve">YoY </v>
          </cell>
          <cell r="FP8" t="str">
            <v xml:space="preserve">% </v>
          </cell>
          <cell r="FT8" t="str">
            <v>Revenues</v>
          </cell>
          <cell r="FX8" t="str">
            <v>YoY</v>
          </cell>
          <cell r="FY8" t="str">
            <v>%</v>
          </cell>
          <cell r="GC8" t="str">
            <v>Revenues</v>
          </cell>
          <cell r="GG8" t="str">
            <v>YoY</v>
          </cell>
          <cell r="GH8" t="str">
            <v>%</v>
          </cell>
          <cell r="GL8" t="str">
            <v>Revenues</v>
          </cell>
          <cell r="GP8" t="str">
            <v>YoY</v>
          </cell>
          <cell r="GQ8" t="str">
            <v>%</v>
          </cell>
        </row>
        <row r="9">
          <cell r="C9" t="str">
            <v>($USD in Millions)</v>
          </cell>
          <cell r="D9" t="str">
            <v>2Q09A</v>
          </cell>
          <cell r="E9" t="str">
            <v xml:space="preserve">2Q09E </v>
          </cell>
          <cell r="F9" t="str">
            <v>1Q09Con.</v>
          </cell>
          <cell r="G9" t="str">
            <v xml:space="preserve">2Q08A </v>
          </cell>
          <cell r="H9" t="str">
            <v xml:space="preserve">Ch. Y/Y </v>
          </cell>
          <cell r="I9" t="str">
            <v xml:space="preserve">% </v>
          </cell>
          <cell r="J9" t="str">
            <v>A. vs E.</v>
          </cell>
          <cell r="K9" t="str">
            <v xml:space="preserve">% </v>
          </cell>
          <cell r="L9" t="str">
            <v>A. vs. C.</v>
          </cell>
          <cell r="M9" t="str">
            <v xml:space="preserve">% </v>
          </cell>
          <cell r="R9" t="str">
            <v>($USD in Millions)</v>
          </cell>
          <cell r="S9" t="str">
            <v>2008A</v>
          </cell>
          <cell r="T9" t="str">
            <v xml:space="preserve">2008E </v>
          </cell>
          <cell r="U9" t="str">
            <v>2008Con.</v>
          </cell>
          <cell r="V9" t="str">
            <v xml:space="preserve">2007A </v>
          </cell>
          <cell r="W9" t="str">
            <v xml:space="preserve">Ch. Y/Y </v>
          </cell>
          <cell r="X9" t="str">
            <v xml:space="preserve">% </v>
          </cell>
          <cell r="Y9" t="str">
            <v>A. vs E.</v>
          </cell>
          <cell r="Z9" t="str">
            <v xml:space="preserve">% </v>
          </cell>
          <cell r="AA9" t="str">
            <v>A. vs. C.</v>
          </cell>
          <cell r="AB9" t="str">
            <v xml:space="preserve">% </v>
          </cell>
          <cell r="AE9" t="str">
            <v>($USD in Millions)</v>
          </cell>
          <cell r="AF9" t="str">
            <v>4Q08A</v>
          </cell>
          <cell r="AG9" t="str">
            <v xml:space="preserve">4Q08E </v>
          </cell>
          <cell r="AH9" t="str">
            <v>4Q08Con.</v>
          </cell>
          <cell r="AI9" t="str">
            <v xml:space="preserve">4Q07A </v>
          </cell>
          <cell r="AJ9" t="str">
            <v xml:space="preserve">Ch. Y/Y </v>
          </cell>
          <cell r="AK9" t="str">
            <v xml:space="preserve">% </v>
          </cell>
          <cell r="AL9" t="str">
            <v>A. vs E.</v>
          </cell>
          <cell r="AM9" t="str">
            <v xml:space="preserve">% </v>
          </cell>
          <cell r="AN9" t="str">
            <v>A. vs. C.</v>
          </cell>
          <cell r="AO9" t="str">
            <v xml:space="preserve">% </v>
          </cell>
          <cell r="AR9" t="str">
            <v>($USD in Millions)</v>
          </cell>
          <cell r="AS9" t="str">
            <v>3Q08A</v>
          </cell>
          <cell r="AT9" t="str">
            <v xml:space="preserve">3Q08E </v>
          </cell>
          <cell r="AU9" t="str">
            <v>3Q08Con.</v>
          </cell>
          <cell r="AV9" t="str">
            <v xml:space="preserve">3Q07A </v>
          </cell>
          <cell r="AW9" t="str">
            <v xml:space="preserve">Y/Y </v>
          </cell>
          <cell r="AX9" t="str">
            <v xml:space="preserve">% </v>
          </cell>
          <cell r="AY9" t="str">
            <v>A. vs E.</v>
          </cell>
          <cell r="AZ9" t="str">
            <v xml:space="preserve">% </v>
          </cell>
          <cell r="BA9" t="str">
            <v>A. vs. C.</v>
          </cell>
          <cell r="BB9" t="str">
            <v xml:space="preserve">% </v>
          </cell>
          <cell r="BE9" t="str">
            <v>($USD in Millions)</v>
          </cell>
          <cell r="BF9" t="str">
            <v>2Q08A</v>
          </cell>
          <cell r="BG9" t="str">
            <v xml:space="preserve">2Q08E </v>
          </cell>
          <cell r="BH9" t="str">
            <v>2Q08Cons</v>
          </cell>
          <cell r="BI9" t="str">
            <v xml:space="preserve">2Q07A </v>
          </cell>
          <cell r="BJ9" t="str">
            <v xml:space="preserve">YoY </v>
          </cell>
          <cell r="BK9" t="str">
            <v xml:space="preserve">% </v>
          </cell>
          <cell r="BL9" t="str">
            <v>A. vs E.</v>
          </cell>
          <cell r="BM9" t="str">
            <v xml:space="preserve">% </v>
          </cell>
          <cell r="BN9" t="str">
            <v>A vs. C.</v>
          </cell>
          <cell r="BO9" t="str">
            <v xml:space="preserve">% </v>
          </cell>
          <cell r="BR9" t="str">
            <v>($USD in Millions)</v>
          </cell>
          <cell r="BS9" t="str">
            <v>1Q08A</v>
          </cell>
          <cell r="BT9" t="str">
            <v xml:space="preserve">1Q08E </v>
          </cell>
          <cell r="BU9" t="str">
            <v>1Q08Cons</v>
          </cell>
          <cell r="BV9" t="str">
            <v xml:space="preserve">1Q07A </v>
          </cell>
          <cell r="BW9" t="str">
            <v xml:space="preserve">YoY </v>
          </cell>
          <cell r="BX9" t="str">
            <v xml:space="preserve">% </v>
          </cell>
          <cell r="BY9" t="str">
            <v>A. vs E.</v>
          </cell>
          <cell r="BZ9" t="str">
            <v xml:space="preserve">% </v>
          </cell>
          <cell r="CA9" t="str">
            <v>A vs. C.</v>
          </cell>
          <cell r="CB9" t="str">
            <v xml:space="preserve">% </v>
          </cell>
          <cell r="CF9" t="str">
            <v>($USD in Millions)</v>
          </cell>
          <cell r="CG9" t="str">
            <v xml:space="preserve">4Q07A </v>
          </cell>
          <cell r="CH9" t="str">
            <v xml:space="preserve">4Q07E </v>
          </cell>
          <cell r="CI9" t="str">
            <v>4Q07Cons</v>
          </cell>
          <cell r="CJ9" t="str">
            <v xml:space="preserve">4Q06A </v>
          </cell>
          <cell r="CK9" t="str">
            <v xml:space="preserve">YoY </v>
          </cell>
          <cell r="CL9" t="str">
            <v xml:space="preserve">% </v>
          </cell>
          <cell r="CM9" t="str">
            <v xml:space="preserve">YoY </v>
          </cell>
          <cell r="CN9" t="str">
            <v xml:space="preserve">% </v>
          </cell>
          <cell r="CO9" t="str">
            <v xml:space="preserve">YoY </v>
          </cell>
          <cell r="CP9" t="str">
            <v xml:space="preserve">% </v>
          </cell>
          <cell r="CT9" t="str">
            <v>($USD in Millions)</v>
          </cell>
          <cell r="CU9" t="str">
            <v xml:space="preserve">3Q07A </v>
          </cell>
          <cell r="CV9" t="str">
            <v xml:space="preserve">3Q07E </v>
          </cell>
          <cell r="CW9" t="str">
            <v xml:space="preserve">3Q06A </v>
          </cell>
          <cell r="CX9" t="str">
            <v xml:space="preserve">YoY </v>
          </cell>
          <cell r="CY9" t="str">
            <v xml:space="preserve">% </v>
          </cell>
          <cell r="DC9" t="str">
            <v>($USD in Millions)</v>
          </cell>
          <cell r="DD9" t="str">
            <v xml:space="preserve">2Q07A </v>
          </cell>
          <cell r="DE9" t="str">
            <v xml:space="preserve">2Q06A </v>
          </cell>
          <cell r="DF9" t="str">
            <v xml:space="preserve">YoY </v>
          </cell>
          <cell r="DG9" t="str">
            <v xml:space="preserve">% </v>
          </cell>
          <cell r="DK9" t="str">
            <v>Revenues</v>
          </cell>
          <cell r="DT9" t="str">
            <v>Revenues</v>
          </cell>
          <cell r="EC9" t="str">
            <v>Revenues</v>
          </cell>
          <cell r="EL9" t="str">
            <v>Revenues</v>
          </cell>
          <cell r="EU9" t="str">
            <v>Revenues</v>
          </cell>
          <cell r="FC9" t="str">
            <v>Revenues</v>
          </cell>
          <cell r="FK9" t="str">
            <v>Revenues</v>
          </cell>
          <cell r="FT9" t="str">
            <v>Marine Group</v>
          </cell>
          <cell r="FU9">
            <v>1178</v>
          </cell>
          <cell r="FV9">
            <v>1135</v>
          </cell>
          <cell r="FW9">
            <v>1177</v>
          </cell>
          <cell r="FX9">
            <v>1</v>
          </cell>
          <cell r="FY9">
            <v>8.4961767204760896E-4</v>
          </cell>
          <cell r="GC9" t="str">
            <v>Marine Group</v>
          </cell>
          <cell r="GD9">
            <v>1210</v>
          </cell>
          <cell r="GE9">
            <v>1200</v>
          </cell>
          <cell r="GF9">
            <v>1280</v>
          </cell>
          <cell r="GG9">
            <v>-70</v>
          </cell>
          <cell r="GH9">
            <v>-5.46875E-2</v>
          </cell>
          <cell r="GL9" t="str">
            <v>Marine Group</v>
          </cell>
          <cell r="GM9">
            <v>4726</v>
          </cell>
          <cell r="GN9">
            <v>4750</v>
          </cell>
          <cell r="GO9">
            <v>4271</v>
          </cell>
          <cell r="GP9">
            <v>455</v>
          </cell>
          <cell r="GQ9">
            <v>0.10653242800280971</v>
          </cell>
        </row>
        <row r="10">
          <cell r="C10" t="str">
            <v>Revenues</v>
          </cell>
          <cell r="R10" t="str">
            <v>Revenues</v>
          </cell>
          <cell r="AE10" t="str">
            <v>Revenues</v>
          </cell>
          <cell r="AR10" t="str">
            <v>Revenues</v>
          </cell>
          <cell r="BE10" t="str">
            <v>Revenues</v>
          </cell>
          <cell r="BR10" t="str">
            <v>Revenues</v>
          </cell>
          <cell r="CF10" t="str">
            <v>Revenues</v>
          </cell>
          <cell r="CT10" t="str">
            <v>Revenues</v>
          </cell>
          <cell r="DC10" t="str">
            <v>Revenues</v>
          </cell>
          <cell r="DK10" t="str">
            <v>Marine Group</v>
          </cell>
          <cell r="DL10">
            <v>1257</v>
          </cell>
          <cell r="DM10">
            <v>1275</v>
          </cell>
          <cell r="DN10">
            <v>1275</v>
          </cell>
          <cell r="DO10">
            <v>-18</v>
          </cell>
          <cell r="DP10">
            <v>-1.4117647058823568E-2</v>
          </cell>
          <cell r="DT10" t="str">
            <v>Marine Group</v>
          </cell>
          <cell r="DU10">
            <v>4940</v>
          </cell>
          <cell r="DV10">
            <v>4800</v>
          </cell>
          <cell r="DW10">
            <v>4695</v>
          </cell>
          <cell r="DX10">
            <v>245</v>
          </cell>
          <cell r="DY10">
            <v>5.2183173588924436E-2</v>
          </cell>
          <cell r="EC10" t="str">
            <v>Marine Group</v>
          </cell>
          <cell r="ED10">
            <v>1221</v>
          </cell>
          <cell r="EE10">
            <v>1145</v>
          </cell>
          <cell r="EF10">
            <v>1171</v>
          </cell>
          <cell r="EG10">
            <v>50</v>
          </cell>
          <cell r="EH10">
            <v>4.2698548249359591E-2</v>
          </cell>
          <cell r="EL10" t="str">
            <v>Marine Group</v>
          </cell>
          <cell r="EM10">
            <v>1266</v>
          </cell>
          <cell r="EN10">
            <v>1155</v>
          </cell>
          <cell r="EO10">
            <v>1178</v>
          </cell>
          <cell r="EP10">
            <v>88</v>
          </cell>
          <cell r="EQ10">
            <v>7.4702886247877798E-2</v>
          </cell>
          <cell r="EU10" t="str">
            <v>Marine Group</v>
          </cell>
          <cell r="EV10">
            <v>1275</v>
          </cell>
          <cell r="EW10">
            <v>1210</v>
          </cell>
          <cell r="EX10">
            <v>65</v>
          </cell>
          <cell r="EY10">
            <v>5.3719008264462742E-2</v>
          </cell>
          <cell r="FC10" t="str">
            <v>Marine Group</v>
          </cell>
          <cell r="FD10">
            <v>4695</v>
          </cell>
          <cell r="FE10">
            <v>4600</v>
          </cell>
          <cell r="FF10">
            <v>4726</v>
          </cell>
          <cell r="FG10">
            <v>-31</v>
          </cell>
          <cell r="FH10">
            <v>-6.5594583157003727E-3</v>
          </cell>
          <cell r="FK10" t="str">
            <v>Marine Group</v>
          </cell>
          <cell r="FL10">
            <v>1171</v>
          </cell>
          <cell r="FM10">
            <v>1100</v>
          </cell>
          <cell r="FN10">
            <v>1154</v>
          </cell>
          <cell r="FO10">
            <v>17</v>
          </cell>
          <cell r="FP10">
            <v>1.4731369150779994E-2</v>
          </cell>
          <cell r="FT10" t="str">
            <v>Combat Sys</v>
          </cell>
          <cell r="FU10">
            <v>1118</v>
          </cell>
          <cell r="FV10">
            <v>1170</v>
          </cell>
          <cell r="FW10">
            <v>998</v>
          </cell>
          <cell r="FX10">
            <v>120</v>
          </cell>
          <cell r="FY10">
            <v>0.12024048096192375</v>
          </cell>
          <cell r="GC10" t="str">
            <v>Combat Sys</v>
          </cell>
          <cell r="GD10">
            <v>1057</v>
          </cell>
          <cell r="GE10">
            <v>1315</v>
          </cell>
          <cell r="GF10">
            <v>1070</v>
          </cell>
          <cell r="GG10">
            <v>-13</v>
          </cell>
          <cell r="GH10">
            <v>-1.2149532710280408E-2</v>
          </cell>
          <cell r="GL10" t="str">
            <v>Combat Sys</v>
          </cell>
          <cell r="GM10">
            <v>4407</v>
          </cell>
          <cell r="GN10">
            <v>4600</v>
          </cell>
          <cell r="GO10">
            <v>4007</v>
          </cell>
          <cell r="GP10">
            <v>400</v>
          </cell>
          <cell r="GQ10">
            <v>9.9825305714998702E-2</v>
          </cell>
        </row>
        <row r="11">
          <cell r="C11" t="str">
            <v>Marine Group</v>
          </cell>
          <cell r="D11">
            <v>1625</v>
          </cell>
          <cell r="E11">
            <v>1550</v>
          </cell>
          <cell r="G11">
            <v>1394</v>
          </cell>
          <cell r="H11">
            <v>231</v>
          </cell>
          <cell r="I11">
            <v>0.1657101865136299</v>
          </cell>
          <cell r="J11">
            <v>75</v>
          </cell>
          <cell r="K11">
            <v>4.8387096774193505E-2</v>
          </cell>
          <cell r="R11" t="str">
            <v>Marine Group</v>
          </cell>
          <cell r="S11">
            <v>5556</v>
          </cell>
          <cell r="T11">
            <v>5400</v>
          </cell>
          <cell r="V11">
            <v>4993</v>
          </cell>
          <cell r="W11">
            <v>563</v>
          </cell>
          <cell r="X11">
            <v>0.11275786100540763</v>
          </cell>
          <cell r="Y11">
            <v>156</v>
          </cell>
          <cell r="Z11">
            <v>2.8888888888888964E-2</v>
          </cell>
          <cell r="AE11" t="str">
            <v>Marine Group</v>
          </cell>
          <cell r="AF11">
            <v>1380</v>
          </cell>
          <cell r="AG11">
            <v>1224</v>
          </cell>
          <cell r="AI11">
            <v>1218</v>
          </cell>
          <cell r="AJ11">
            <v>162</v>
          </cell>
          <cell r="AK11">
            <v>0.13300492610837433</v>
          </cell>
          <cell r="AL11">
            <v>156</v>
          </cell>
          <cell r="AM11">
            <v>0.12745098039215685</v>
          </cell>
          <cell r="AR11" t="str">
            <v>Marine Group</v>
          </cell>
          <cell r="AS11">
            <v>1404</v>
          </cell>
          <cell r="AT11">
            <v>1315</v>
          </cell>
          <cell r="AV11">
            <v>1246</v>
          </cell>
          <cell r="AW11">
            <v>158</v>
          </cell>
          <cell r="AX11">
            <v>0.12680577849117181</v>
          </cell>
          <cell r="AY11">
            <v>89</v>
          </cell>
          <cell r="AZ11">
            <v>6.768060836501899E-2</v>
          </cell>
          <cell r="BE11" t="str">
            <v>Marine Group</v>
          </cell>
          <cell r="BF11">
            <v>1394</v>
          </cell>
          <cell r="BG11">
            <v>1335</v>
          </cell>
          <cell r="BI11">
            <v>1272</v>
          </cell>
          <cell r="BJ11">
            <v>122</v>
          </cell>
          <cell r="BK11">
            <v>9.5911949685534514E-2</v>
          </cell>
          <cell r="BL11">
            <v>59</v>
          </cell>
          <cell r="BM11">
            <v>4.4194756554307046E-2</v>
          </cell>
          <cell r="BR11" t="str">
            <v>Marine Group</v>
          </cell>
          <cell r="BS11">
            <v>1378</v>
          </cell>
          <cell r="BT11">
            <v>1355</v>
          </cell>
          <cell r="BV11">
            <v>1257</v>
          </cell>
          <cell r="BW11">
            <v>121</v>
          </cell>
          <cell r="BX11">
            <v>9.6260938743038871E-2</v>
          </cell>
          <cell r="BY11">
            <v>23</v>
          </cell>
          <cell r="BZ11">
            <v>1.6974169741697409E-2</v>
          </cell>
          <cell r="CF11" t="str">
            <v>Marine Group</v>
          </cell>
          <cell r="CG11">
            <v>1218</v>
          </cell>
          <cell r="CH11">
            <v>1250</v>
          </cell>
          <cell r="CJ11">
            <v>1178</v>
          </cell>
          <cell r="CK11">
            <v>40</v>
          </cell>
          <cell r="CL11">
            <v>3.395585738539908E-2</v>
          </cell>
          <cell r="CM11">
            <v>-32</v>
          </cell>
          <cell r="CN11">
            <v>-2.5599999999999956E-2</v>
          </cell>
          <cell r="CT11" t="str">
            <v>Marine Group</v>
          </cell>
          <cell r="CU11">
            <v>1246</v>
          </cell>
          <cell r="CV11">
            <v>1220</v>
          </cell>
          <cell r="CW11">
            <v>1221</v>
          </cell>
          <cell r="CX11">
            <v>25</v>
          </cell>
          <cell r="CY11">
            <v>2.0475020475020367E-2</v>
          </cell>
          <cell r="DC11" t="str">
            <v>Marine Group</v>
          </cell>
          <cell r="DD11">
            <v>1272</v>
          </cell>
          <cell r="DE11">
            <v>1266</v>
          </cell>
          <cell r="DF11">
            <v>6</v>
          </cell>
          <cell r="DG11">
            <v>4.7393364928909332E-3</v>
          </cell>
          <cell r="DK11" t="str">
            <v>Combat Sys</v>
          </cell>
          <cell r="DL11">
            <v>1568</v>
          </cell>
          <cell r="DM11">
            <v>1475</v>
          </cell>
          <cell r="DN11">
            <v>1369</v>
          </cell>
          <cell r="DO11">
            <v>199</v>
          </cell>
          <cell r="DP11">
            <v>0.14536157779401027</v>
          </cell>
          <cell r="DT11" t="str">
            <v>Combat Sys</v>
          </cell>
          <cell r="DU11">
            <v>5983</v>
          </cell>
          <cell r="DV11">
            <v>5950</v>
          </cell>
          <cell r="DW11">
            <v>5021</v>
          </cell>
          <cell r="DX11">
            <v>962</v>
          </cell>
          <cell r="DY11">
            <v>0.19159529974108747</v>
          </cell>
          <cell r="EC11" t="str">
            <v>Combat Sys</v>
          </cell>
          <cell r="ED11">
            <v>1365</v>
          </cell>
          <cell r="EE11">
            <v>1450</v>
          </cell>
          <cell r="EF11">
            <v>1240</v>
          </cell>
          <cell r="EG11">
            <v>125</v>
          </cell>
          <cell r="EH11">
            <v>0.10080645161290325</v>
          </cell>
          <cell r="EL11" t="str">
            <v>Combat Sys</v>
          </cell>
          <cell r="EM11">
            <v>1444</v>
          </cell>
          <cell r="EN11">
            <v>1310</v>
          </cell>
          <cell r="EO11">
            <v>1118</v>
          </cell>
          <cell r="EP11">
            <v>326</v>
          </cell>
          <cell r="EQ11">
            <v>0.29159212880143115</v>
          </cell>
          <cell r="EU11" t="str">
            <v>Combat Sys</v>
          </cell>
          <cell r="EV11">
            <v>1369</v>
          </cell>
          <cell r="EW11">
            <v>1057</v>
          </cell>
          <cell r="EX11">
            <v>312</v>
          </cell>
          <cell r="EY11">
            <v>0.29517502365184489</v>
          </cell>
          <cell r="FC11" t="str">
            <v>Combat Sys</v>
          </cell>
          <cell r="FD11">
            <v>5021</v>
          </cell>
          <cell r="FE11">
            <v>5040</v>
          </cell>
          <cell r="FF11">
            <v>4407</v>
          </cell>
          <cell r="FG11">
            <v>614</v>
          </cell>
          <cell r="FH11">
            <v>0.1393238030406172</v>
          </cell>
          <cell r="FK11" t="str">
            <v>Combat Sys</v>
          </cell>
          <cell r="FL11">
            <v>1240</v>
          </cell>
          <cell r="FM11">
            <v>1240</v>
          </cell>
          <cell r="FN11">
            <v>1031</v>
          </cell>
          <cell r="FO11">
            <v>209</v>
          </cell>
          <cell r="FP11">
            <v>0.20271580989330751</v>
          </cell>
          <cell r="FT11" t="str">
            <v>Info Sys &amp; Tech</v>
          </cell>
          <cell r="FU11">
            <v>2013</v>
          </cell>
          <cell r="FV11">
            <v>1835</v>
          </cell>
          <cell r="FW11">
            <v>1641</v>
          </cell>
          <cell r="FX11">
            <v>372</v>
          </cell>
          <cell r="FY11">
            <v>0.2266910420475321</v>
          </cell>
          <cell r="GC11" t="str">
            <v>Info Sys &amp; Tech</v>
          </cell>
          <cell r="GD11">
            <v>1752</v>
          </cell>
          <cell r="GE11">
            <v>1850</v>
          </cell>
          <cell r="GF11">
            <v>1643</v>
          </cell>
          <cell r="GG11">
            <v>109</v>
          </cell>
          <cell r="GH11">
            <v>6.6342057212416261E-2</v>
          </cell>
          <cell r="GL11" t="str">
            <v>Info Sys &amp; Tech</v>
          </cell>
          <cell r="GM11">
            <v>6722</v>
          </cell>
          <cell r="GN11">
            <v>6780</v>
          </cell>
          <cell r="GO11">
            <v>4848</v>
          </cell>
          <cell r="GP11">
            <v>1874</v>
          </cell>
          <cell r="GQ11">
            <v>0.38655115511551164</v>
          </cell>
        </row>
        <row r="12">
          <cell r="C12" t="str">
            <v>Combat Sys</v>
          </cell>
          <cell r="D12">
            <v>2405</v>
          </cell>
          <cell r="E12">
            <v>2425</v>
          </cell>
          <cell r="G12">
            <v>2015</v>
          </cell>
          <cell r="H12">
            <v>390</v>
          </cell>
          <cell r="I12">
            <v>0.19354838709677424</v>
          </cell>
          <cell r="J12">
            <v>-20</v>
          </cell>
          <cell r="K12">
            <v>-8.2474226804123418E-3</v>
          </cell>
          <cell r="R12" t="str">
            <v>Combat Sys</v>
          </cell>
          <cell r="S12">
            <v>8194</v>
          </cell>
          <cell r="T12">
            <v>8250</v>
          </cell>
          <cell r="V12">
            <v>7797</v>
          </cell>
          <cell r="W12">
            <v>397</v>
          </cell>
          <cell r="X12">
            <v>5.0917019366423011E-2</v>
          </cell>
          <cell r="Y12">
            <v>-56</v>
          </cell>
          <cell r="Z12">
            <v>-6.7878787878787872E-3</v>
          </cell>
          <cell r="AE12" t="str">
            <v>Combat Sys</v>
          </cell>
          <cell r="AF12">
            <v>2332</v>
          </cell>
          <cell r="AG12">
            <v>2388</v>
          </cell>
          <cell r="AI12">
            <v>2645</v>
          </cell>
          <cell r="AJ12">
            <v>-313</v>
          </cell>
          <cell r="AK12">
            <v>-0.11833648393194707</v>
          </cell>
          <cell r="AL12">
            <v>-56</v>
          </cell>
          <cell r="AM12">
            <v>-2.345058626465657E-2</v>
          </cell>
          <cell r="AR12" t="str">
            <v>Combat Sys</v>
          </cell>
          <cell r="AS12">
            <v>1850</v>
          </cell>
          <cell r="AT12">
            <v>1980</v>
          </cell>
          <cell r="AV12">
            <v>1872</v>
          </cell>
          <cell r="AW12">
            <v>-22</v>
          </cell>
          <cell r="AX12">
            <v>-1.175213675213671E-2</v>
          </cell>
          <cell r="AY12">
            <v>-130</v>
          </cell>
          <cell r="AZ12">
            <v>-6.5656565656565635E-2</v>
          </cell>
          <cell r="BE12" t="str">
            <v>Combat Sys</v>
          </cell>
          <cell r="BF12">
            <v>2015</v>
          </cell>
          <cell r="BG12">
            <v>1900</v>
          </cell>
          <cell r="BI12">
            <v>1712</v>
          </cell>
          <cell r="BJ12">
            <v>303</v>
          </cell>
          <cell r="BK12">
            <v>0.17698598130841114</v>
          </cell>
          <cell r="BL12">
            <v>115</v>
          </cell>
          <cell r="BM12">
            <v>6.0526315789473761E-2</v>
          </cell>
          <cell r="BR12" t="str">
            <v>Combat Sys</v>
          </cell>
          <cell r="BS12">
            <v>1997</v>
          </cell>
          <cell r="BT12">
            <v>1680</v>
          </cell>
          <cell r="BV12">
            <v>1568</v>
          </cell>
          <cell r="BW12">
            <v>429</v>
          </cell>
          <cell r="BX12">
            <v>0.27359693877551017</v>
          </cell>
          <cell r="BY12">
            <v>317</v>
          </cell>
          <cell r="BZ12">
            <v>0.18869047619047619</v>
          </cell>
          <cell r="CF12" t="str">
            <v>Combat Sys</v>
          </cell>
          <cell r="CG12">
            <v>2645</v>
          </cell>
          <cell r="CH12">
            <v>2398</v>
          </cell>
          <cell r="CJ12">
            <v>1805</v>
          </cell>
          <cell r="CK12">
            <v>840</v>
          </cell>
          <cell r="CL12">
            <v>0.46537396121883656</v>
          </cell>
          <cell r="CM12">
            <v>247</v>
          </cell>
          <cell r="CN12">
            <v>0.10300250208507089</v>
          </cell>
          <cell r="CT12" t="str">
            <v>Combat Sys</v>
          </cell>
          <cell r="CU12">
            <v>1872</v>
          </cell>
          <cell r="CV12">
            <v>1850</v>
          </cell>
          <cell r="CW12">
            <v>1365</v>
          </cell>
          <cell r="CX12">
            <v>507</v>
          </cell>
          <cell r="CY12">
            <v>0.37142857142857144</v>
          </cell>
          <cell r="DC12" t="str">
            <v>Combat Sys</v>
          </cell>
          <cell r="DD12">
            <v>1712</v>
          </cell>
          <cell r="DE12">
            <v>1444</v>
          </cell>
          <cell r="DF12">
            <v>268</v>
          </cell>
          <cell r="DG12">
            <v>0.18559556786703602</v>
          </cell>
          <cell r="DK12" t="str">
            <v>Info Sys &amp; Tech</v>
          </cell>
          <cell r="DL12">
            <v>2381</v>
          </cell>
          <cell r="DM12">
            <v>2210</v>
          </cell>
          <cell r="DN12">
            <v>1973</v>
          </cell>
          <cell r="DO12">
            <v>408</v>
          </cell>
          <cell r="DP12">
            <v>0.20679168778509882</v>
          </cell>
          <cell r="DT12" t="str">
            <v>Info Sys &amp; Tech</v>
          </cell>
          <cell r="DU12">
            <v>9024</v>
          </cell>
          <cell r="DV12">
            <v>9350</v>
          </cell>
          <cell r="DW12">
            <v>7826</v>
          </cell>
          <cell r="DX12">
            <v>1198</v>
          </cell>
          <cell r="DY12">
            <v>0.15307947866087401</v>
          </cell>
          <cell r="EC12" t="str">
            <v>Info Sys &amp; Tech</v>
          </cell>
          <cell r="ED12">
            <v>2396</v>
          </cell>
          <cell r="EE12">
            <v>2480</v>
          </cell>
          <cell r="EF12">
            <v>1985</v>
          </cell>
          <cell r="EG12">
            <v>411</v>
          </cell>
          <cell r="EH12">
            <v>0.2070528967254408</v>
          </cell>
          <cell r="EL12" t="str">
            <v>Info Sys &amp; Tech</v>
          </cell>
          <cell r="EM12">
            <v>2157</v>
          </cell>
          <cell r="EN12">
            <v>2230</v>
          </cell>
          <cell r="EO12">
            <v>2013</v>
          </cell>
          <cell r="EP12">
            <v>144</v>
          </cell>
          <cell r="EQ12">
            <v>7.1535022354694444E-2</v>
          </cell>
          <cell r="EU12" t="str">
            <v>Info Sys &amp; Tech</v>
          </cell>
          <cell r="EV12">
            <v>1973</v>
          </cell>
          <cell r="EW12">
            <v>1752</v>
          </cell>
          <cell r="EX12">
            <v>221</v>
          </cell>
          <cell r="EY12">
            <v>0.12614155251141557</v>
          </cell>
          <cell r="FC12" t="str">
            <v>Info Sys &amp; Tech</v>
          </cell>
          <cell r="FD12">
            <v>7826</v>
          </cell>
          <cell r="FE12">
            <v>7804.9310000000005</v>
          </cell>
          <cell r="FF12">
            <v>6722</v>
          </cell>
          <cell r="FG12">
            <v>1104</v>
          </cell>
          <cell r="FH12">
            <v>0.16423683427551317</v>
          </cell>
          <cell r="FK12" t="str">
            <v>Info Sys &amp; Tech</v>
          </cell>
          <cell r="FL12">
            <v>1985</v>
          </cell>
          <cell r="FM12">
            <v>1750</v>
          </cell>
          <cell r="FN12">
            <v>1590</v>
          </cell>
          <cell r="FO12">
            <v>395</v>
          </cell>
          <cell r="FP12">
            <v>0.2484276729559749</v>
          </cell>
          <cell r="FT12" t="str">
            <v xml:space="preserve">Aerospace </v>
          </cell>
          <cell r="FU12">
            <v>828</v>
          </cell>
          <cell r="FV12">
            <v>830</v>
          </cell>
          <cell r="FW12">
            <v>771</v>
          </cell>
          <cell r="FX12">
            <v>57</v>
          </cell>
          <cell r="FY12">
            <v>7.3929961089494123E-2</v>
          </cell>
          <cell r="GC12" t="str">
            <v xml:space="preserve">Aerospace </v>
          </cell>
          <cell r="GD12">
            <v>753</v>
          </cell>
          <cell r="GE12">
            <v>645</v>
          </cell>
          <cell r="GF12">
            <v>606</v>
          </cell>
          <cell r="GG12">
            <v>147</v>
          </cell>
          <cell r="GH12">
            <v>0.24257425742574257</v>
          </cell>
          <cell r="GL12" t="str">
            <v xml:space="preserve">Aerospace </v>
          </cell>
          <cell r="GM12">
            <v>3012</v>
          </cell>
          <cell r="GN12">
            <v>3010</v>
          </cell>
          <cell r="GO12">
            <v>2946</v>
          </cell>
          <cell r="GP12">
            <v>66</v>
          </cell>
          <cell r="GQ12">
            <v>2.2403258655804503E-2</v>
          </cell>
        </row>
        <row r="13">
          <cell r="C13" t="str">
            <v>Info Sys &amp; Tech</v>
          </cell>
          <cell r="D13">
            <v>2655</v>
          </cell>
          <cell r="E13">
            <v>2700</v>
          </cell>
          <cell r="G13">
            <v>2565</v>
          </cell>
          <cell r="H13">
            <v>90</v>
          </cell>
          <cell r="I13">
            <v>3.5087719298245723E-2</v>
          </cell>
          <cell r="J13">
            <v>-45</v>
          </cell>
          <cell r="K13">
            <v>-1.6666666666666718E-2</v>
          </cell>
          <cell r="R13" t="str">
            <v>Info Sys &amp; Tech</v>
          </cell>
          <cell r="S13">
            <v>10038</v>
          </cell>
          <cell r="T13">
            <v>10000</v>
          </cell>
          <cell r="V13">
            <v>9622</v>
          </cell>
          <cell r="W13">
            <v>416</v>
          </cell>
          <cell r="X13">
            <v>4.3234254832675179E-2</v>
          </cell>
          <cell r="Y13">
            <v>38</v>
          </cell>
          <cell r="Z13">
            <v>3.8000000000000256E-3</v>
          </cell>
          <cell r="AE13" t="str">
            <v>Info Sys &amp; Tech</v>
          </cell>
          <cell r="AF13">
            <v>2608</v>
          </cell>
          <cell r="AG13">
            <v>2570</v>
          </cell>
          <cell r="AI13">
            <v>2441</v>
          </cell>
          <cell r="AJ13">
            <v>167</v>
          </cell>
          <cell r="AK13">
            <v>6.841458418680868E-2</v>
          </cell>
          <cell r="AL13">
            <v>38</v>
          </cell>
          <cell r="AM13">
            <v>1.478599221789878E-2</v>
          </cell>
          <cell r="AR13" t="str">
            <v>Info Sys &amp; Tech</v>
          </cell>
          <cell r="AS13">
            <v>2514</v>
          </cell>
          <cell r="AT13">
            <v>2530</v>
          </cell>
          <cell r="AV13">
            <v>2401</v>
          </cell>
          <cell r="AW13">
            <v>113</v>
          </cell>
          <cell r="AX13">
            <v>4.7063723448563133E-2</v>
          </cell>
          <cell r="AY13">
            <v>-16</v>
          </cell>
          <cell r="AZ13">
            <v>-6.3241106719367224E-3</v>
          </cell>
          <cell r="BE13" t="str">
            <v>Info Sys &amp; Tech</v>
          </cell>
          <cell r="BF13">
            <v>2565</v>
          </cell>
          <cell r="BG13">
            <v>2525</v>
          </cell>
          <cell r="BI13">
            <v>2399</v>
          </cell>
          <cell r="BJ13">
            <v>166</v>
          </cell>
          <cell r="BK13">
            <v>6.9195498124218435E-2</v>
          </cell>
          <cell r="BL13">
            <v>40</v>
          </cell>
          <cell r="BM13">
            <v>1.5841584158415856E-2</v>
          </cell>
          <cell r="BR13" t="str">
            <v>Info Sys &amp; Tech</v>
          </cell>
          <cell r="BS13">
            <v>2351</v>
          </cell>
          <cell r="BT13">
            <v>2500</v>
          </cell>
          <cell r="BV13">
            <v>2381</v>
          </cell>
          <cell r="BW13">
            <v>-30</v>
          </cell>
          <cell r="BX13">
            <v>-1.2599748005039935E-2</v>
          </cell>
          <cell r="BY13">
            <v>-149</v>
          </cell>
          <cell r="BZ13">
            <v>-5.9599999999999986E-2</v>
          </cell>
          <cell r="CF13" t="str">
            <v>Info Sys &amp; Tech</v>
          </cell>
          <cell r="CG13">
            <v>2441</v>
          </cell>
          <cell r="CH13">
            <v>2519</v>
          </cell>
          <cell r="CJ13">
            <v>2498</v>
          </cell>
          <cell r="CK13">
            <v>-57</v>
          </cell>
          <cell r="CL13">
            <v>-2.2818254603682919E-2</v>
          </cell>
          <cell r="CM13">
            <v>-78</v>
          </cell>
          <cell r="CN13">
            <v>-3.0964668519253724E-2</v>
          </cell>
          <cell r="CT13" t="str">
            <v>Info Sys &amp; Tech</v>
          </cell>
          <cell r="CU13">
            <v>2401</v>
          </cell>
          <cell r="CV13">
            <v>2500</v>
          </cell>
          <cell r="CW13">
            <v>2396</v>
          </cell>
          <cell r="CX13">
            <v>5</v>
          </cell>
          <cell r="CY13">
            <v>2.0868113522538589E-3</v>
          </cell>
          <cell r="DC13" t="str">
            <v>Info Sys &amp; Tech</v>
          </cell>
          <cell r="DD13">
            <v>2399</v>
          </cell>
          <cell r="DE13">
            <v>2157</v>
          </cell>
          <cell r="DF13">
            <v>242</v>
          </cell>
          <cell r="DG13">
            <v>0.11219286045433474</v>
          </cell>
          <cell r="DK13" t="str">
            <v xml:space="preserve">Aerospace </v>
          </cell>
          <cell r="DL13">
            <v>1094</v>
          </cell>
          <cell r="DM13">
            <v>1125</v>
          </cell>
          <cell r="DN13">
            <v>929</v>
          </cell>
          <cell r="DO13">
            <v>165</v>
          </cell>
          <cell r="DP13">
            <v>0.17761033369214219</v>
          </cell>
          <cell r="DT13" t="str">
            <v xml:space="preserve">Aerospace </v>
          </cell>
          <cell r="DU13">
            <v>4116</v>
          </cell>
          <cell r="DV13">
            <v>4017</v>
          </cell>
          <cell r="DW13">
            <v>3433</v>
          </cell>
          <cell r="DX13">
            <v>683</v>
          </cell>
          <cell r="DY13">
            <v>0.19895135450043688</v>
          </cell>
          <cell r="EC13" t="str">
            <v xml:space="preserve">Aerospace </v>
          </cell>
          <cell r="ED13">
            <v>1087</v>
          </cell>
          <cell r="EE13">
            <v>1040</v>
          </cell>
          <cell r="EF13">
            <v>906</v>
          </cell>
          <cell r="EG13">
            <v>181</v>
          </cell>
          <cell r="EH13">
            <v>0.19977924944812364</v>
          </cell>
          <cell r="EL13" t="str">
            <v xml:space="preserve">Aerospace </v>
          </cell>
          <cell r="EM13">
            <v>1067</v>
          </cell>
          <cell r="EN13">
            <v>980</v>
          </cell>
          <cell r="EO13">
            <v>828</v>
          </cell>
          <cell r="EP13">
            <v>239</v>
          </cell>
          <cell r="EQ13">
            <v>0.28864734299516903</v>
          </cell>
          <cell r="EU13" t="str">
            <v xml:space="preserve">Aerospace </v>
          </cell>
          <cell r="EV13">
            <v>929</v>
          </cell>
          <cell r="EW13">
            <v>753</v>
          </cell>
          <cell r="EX13">
            <v>176</v>
          </cell>
          <cell r="EY13">
            <v>0.23373173970783534</v>
          </cell>
          <cell r="FC13" t="str">
            <v xml:space="preserve">Aerospace </v>
          </cell>
          <cell r="FD13">
            <v>3433</v>
          </cell>
          <cell r="FE13">
            <v>3449.6435999999999</v>
          </cell>
          <cell r="FF13">
            <v>3012</v>
          </cell>
          <cell r="FG13">
            <v>421</v>
          </cell>
          <cell r="FH13">
            <v>0.1397742363877823</v>
          </cell>
          <cell r="FK13" t="str">
            <v xml:space="preserve">Aerospace </v>
          </cell>
          <cell r="FL13">
            <v>906</v>
          </cell>
          <cell r="FM13">
            <v>820</v>
          </cell>
          <cell r="FN13">
            <v>798</v>
          </cell>
          <cell r="FO13">
            <v>108</v>
          </cell>
          <cell r="FP13">
            <v>0.13533834586466176</v>
          </cell>
          <cell r="FT13" t="str">
            <v>Other</v>
          </cell>
          <cell r="FU13">
            <v>0</v>
          </cell>
          <cell r="FV13">
            <v>65</v>
          </cell>
          <cell r="FW13">
            <v>65</v>
          </cell>
          <cell r="FX13">
            <v>-65</v>
          </cell>
          <cell r="FY13">
            <v>-1</v>
          </cell>
          <cell r="GC13" t="str">
            <v>Other</v>
          </cell>
          <cell r="GD13">
            <v>0</v>
          </cell>
          <cell r="GE13">
            <v>45</v>
          </cell>
          <cell r="GF13">
            <v>47</v>
          </cell>
          <cell r="GG13">
            <v>-47</v>
          </cell>
          <cell r="GH13">
            <v>-1</v>
          </cell>
          <cell r="GL13" t="str">
            <v>Other</v>
          </cell>
          <cell r="GM13">
            <v>1</v>
          </cell>
          <cell r="GN13">
            <v>275</v>
          </cell>
          <cell r="GO13">
            <v>256</v>
          </cell>
          <cell r="GP13">
            <v>-255</v>
          </cell>
          <cell r="GQ13">
            <v>-0.99609375</v>
          </cell>
        </row>
        <row r="14">
          <cell r="C14" t="str">
            <v xml:space="preserve">Aerospace </v>
          </cell>
          <cell r="D14">
            <v>1415</v>
          </cell>
          <cell r="E14">
            <v>1550</v>
          </cell>
          <cell r="G14">
            <v>1329</v>
          </cell>
          <cell r="H14">
            <v>86</v>
          </cell>
          <cell r="I14">
            <v>6.4710308502633485E-2</v>
          </cell>
          <cell r="J14">
            <v>-135</v>
          </cell>
          <cell r="K14">
            <v>-8.7096774193548332E-2</v>
          </cell>
          <cell r="R14" t="str">
            <v xml:space="preserve">Aerospace </v>
          </cell>
          <cell r="S14">
            <v>5512</v>
          </cell>
          <cell r="T14">
            <v>5650</v>
          </cell>
          <cell r="V14">
            <v>4828</v>
          </cell>
          <cell r="W14">
            <v>684</v>
          </cell>
          <cell r="X14">
            <v>0.14167357083678533</v>
          </cell>
          <cell r="Y14">
            <v>-138</v>
          </cell>
          <cell r="Z14">
            <v>-2.4424778761061972E-2</v>
          </cell>
          <cell r="AE14" t="str">
            <v xml:space="preserve">Aerospace </v>
          </cell>
          <cell r="AF14">
            <v>1532</v>
          </cell>
          <cell r="AG14">
            <v>1670</v>
          </cell>
          <cell r="AI14">
            <v>1211</v>
          </cell>
          <cell r="AJ14">
            <v>321</v>
          </cell>
          <cell r="AK14">
            <v>0.26507018992568132</v>
          </cell>
          <cell r="AL14">
            <v>-138</v>
          </cell>
          <cell r="AM14">
            <v>-8.2634730538922119E-2</v>
          </cell>
          <cell r="AR14" t="str">
            <v xml:space="preserve">Aerospace </v>
          </cell>
          <cell r="AS14">
            <v>1372</v>
          </cell>
          <cell r="AT14">
            <v>1450</v>
          </cell>
          <cell r="AV14">
            <v>1315</v>
          </cell>
          <cell r="AW14">
            <v>57</v>
          </cell>
          <cell r="AX14">
            <v>4.3346007604562642E-2</v>
          </cell>
          <cell r="AY14">
            <v>-78</v>
          </cell>
          <cell r="AZ14">
            <v>-5.3793103448275814E-2</v>
          </cell>
          <cell r="BE14" t="str">
            <v xml:space="preserve">Aerospace </v>
          </cell>
          <cell r="BF14">
            <v>1329</v>
          </cell>
          <cell r="BG14">
            <v>1400</v>
          </cell>
          <cell r="BI14">
            <v>1208</v>
          </cell>
          <cell r="BJ14">
            <v>121</v>
          </cell>
          <cell r="BK14">
            <v>0.10016556291390732</v>
          </cell>
          <cell r="BL14">
            <v>-71</v>
          </cell>
          <cell r="BM14">
            <v>-5.0714285714285712E-2</v>
          </cell>
          <cell r="BR14" t="str">
            <v xml:space="preserve">Aerospace </v>
          </cell>
          <cell r="BS14">
            <v>1279</v>
          </cell>
          <cell r="BT14">
            <v>1260</v>
          </cell>
          <cell r="BV14">
            <v>1094</v>
          </cell>
          <cell r="BW14">
            <v>185</v>
          </cell>
          <cell r="BX14">
            <v>0.16910420475319921</v>
          </cell>
          <cell r="BY14">
            <v>19</v>
          </cell>
          <cell r="BZ14">
            <v>1.5079365079365026E-2</v>
          </cell>
          <cell r="CF14" t="str">
            <v xml:space="preserve">Aerospace </v>
          </cell>
          <cell r="CG14">
            <v>1211</v>
          </cell>
          <cell r="CH14">
            <v>1343</v>
          </cell>
          <cell r="CJ14">
            <v>1033</v>
          </cell>
          <cell r="CK14">
            <v>178</v>
          </cell>
          <cell r="CL14">
            <v>0.17231364956437556</v>
          </cell>
          <cell r="CM14">
            <v>-132</v>
          </cell>
          <cell r="CN14">
            <v>-9.8287416232315739E-2</v>
          </cell>
          <cell r="CT14" t="str">
            <v xml:space="preserve">Aerospace </v>
          </cell>
          <cell r="CU14">
            <v>1315</v>
          </cell>
          <cell r="CV14">
            <v>1300</v>
          </cell>
          <cell r="CW14">
            <v>1087</v>
          </cell>
          <cell r="CX14">
            <v>228</v>
          </cell>
          <cell r="CY14">
            <v>0.20975160993560249</v>
          </cell>
          <cell r="DC14" t="str">
            <v xml:space="preserve">Aerospace </v>
          </cell>
          <cell r="DD14">
            <v>1208</v>
          </cell>
          <cell r="DE14">
            <v>1067</v>
          </cell>
          <cell r="DF14">
            <v>141</v>
          </cell>
          <cell r="DG14">
            <v>0.13214620431115276</v>
          </cell>
          <cell r="DK14" t="str">
            <v>Other</v>
          </cell>
          <cell r="DL14">
            <v>0</v>
          </cell>
          <cell r="DM14">
            <v>25</v>
          </cell>
          <cell r="DN14">
            <v>0</v>
          </cell>
          <cell r="DT14" t="str">
            <v>Other</v>
          </cell>
          <cell r="DU14">
            <v>0</v>
          </cell>
          <cell r="DV14">
            <v>33</v>
          </cell>
          <cell r="DW14">
            <v>0</v>
          </cell>
          <cell r="EC14" t="str">
            <v>Other</v>
          </cell>
          <cell r="ED14">
            <v>0</v>
          </cell>
          <cell r="EE14">
            <v>5</v>
          </cell>
          <cell r="EF14">
            <v>0</v>
          </cell>
          <cell r="EG14">
            <v>0</v>
          </cell>
          <cell r="EH14" t="str">
            <v>NA</v>
          </cell>
          <cell r="EL14" t="str">
            <v>Other</v>
          </cell>
          <cell r="EM14">
            <v>0</v>
          </cell>
          <cell r="EN14">
            <v>65</v>
          </cell>
          <cell r="EO14">
            <v>0</v>
          </cell>
          <cell r="EP14">
            <v>0</v>
          </cell>
          <cell r="EQ14" t="str">
            <v>NA</v>
          </cell>
          <cell r="EU14" t="str">
            <v>Other</v>
          </cell>
          <cell r="EV14">
            <v>0</v>
          </cell>
          <cell r="EW14">
            <v>0</v>
          </cell>
          <cell r="EX14">
            <v>0</v>
          </cell>
          <cell r="EY14" t="str">
            <v>NA</v>
          </cell>
          <cell r="FC14" t="str">
            <v>Other</v>
          </cell>
          <cell r="FD14">
            <v>0</v>
          </cell>
          <cell r="FE14">
            <v>254.52</v>
          </cell>
          <cell r="FF14">
            <v>1</v>
          </cell>
          <cell r="FG14">
            <v>-1</v>
          </cell>
          <cell r="FH14">
            <v>-1</v>
          </cell>
          <cell r="FK14" t="str">
            <v>Other</v>
          </cell>
          <cell r="FL14">
            <v>0</v>
          </cell>
          <cell r="FM14">
            <v>75</v>
          </cell>
          <cell r="FN14">
            <v>74</v>
          </cell>
          <cell r="FO14">
            <v>-74</v>
          </cell>
          <cell r="FP14">
            <v>-1</v>
          </cell>
          <cell r="FT14" t="str">
            <v xml:space="preserve"> Total Revs.</v>
          </cell>
          <cell r="FU14">
            <v>5137</v>
          </cell>
          <cell r="FV14">
            <v>5035</v>
          </cell>
          <cell r="FW14">
            <v>4652</v>
          </cell>
          <cell r="FX14">
            <v>485</v>
          </cell>
          <cell r="FY14">
            <v>0.10425623387790206</v>
          </cell>
          <cell r="GC14" t="str">
            <v xml:space="preserve"> Total Revs.</v>
          </cell>
          <cell r="GD14">
            <v>4772</v>
          </cell>
          <cell r="GE14">
            <v>5055</v>
          </cell>
          <cell r="GF14">
            <v>4646</v>
          </cell>
          <cell r="GG14">
            <v>126</v>
          </cell>
          <cell r="GH14">
            <v>2.7120103314679289E-2</v>
          </cell>
          <cell r="GL14" t="str">
            <v xml:space="preserve"> Total Revs.</v>
          </cell>
          <cell r="GM14">
            <v>18868</v>
          </cell>
          <cell r="GN14">
            <v>19415</v>
          </cell>
          <cell r="GO14">
            <v>16328</v>
          </cell>
          <cell r="GP14">
            <v>2540</v>
          </cell>
          <cell r="GQ14">
            <v>0.15556099951004421</v>
          </cell>
        </row>
        <row r="15">
          <cell r="C15" t="str">
            <v>Corporate</v>
          </cell>
          <cell r="D15">
            <v>0</v>
          </cell>
          <cell r="E15">
            <v>0</v>
          </cell>
          <cell r="G15">
            <v>0</v>
          </cell>
          <cell r="R15" t="str">
            <v>Corporate</v>
          </cell>
          <cell r="S15">
            <v>0</v>
          </cell>
          <cell r="T15">
            <v>0</v>
          </cell>
          <cell r="V15">
            <v>0</v>
          </cell>
          <cell r="W15">
            <v>0</v>
          </cell>
          <cell r="Y15">
            <v>0</v>
          </cell>
          <cell r="AE15" t="str">
            <v>Corporate</v>
          </cell>
          <cell r="AF15">
            <v>0</v>
          </cell>
          <cell r="AG15">
            <v>0</v>
          </cell>
          <cell r="AI15">
            <v>0</v>
          </cell>
          <cell r="AJ15">
            <v>0</v>
          </cell>
          <cell r="AL15">
            <v>0</v>
          </cell>
          <cell r="AR15" t="str">
            <v>Corporate</v>
          </cell>
          <cell r="AS15">
            <v>0</v>
          </cell>
          <cell r="AT15">
            <v>0</v>
          </cell>
          <cell r="AV15">
            <v>0</v>
          </cell>
          <cell r="AW15">
            <v>0</v>
          </cell>
          <cell r="AX15" t="str">
            <v>NA</v>
          </cell>
          <cell r="AY15">
            <v>0</v>
          </cell>
          <cell r="AZ15" t="str">
            <v>NA</v>
          </cell>
          <cell r="BE15" t="str">
            <v>Corporate</v>
          </cell>
          <cell r="BF15">
            <v>0</v>
          </cell>
          <cell r="BG15">
            <v>0</v>
          </cell>
          <cell r="BI15">
            <v>0</v>
          </cell>
          <cell r="BJ15">
            <v>0</v>
          </cell>
          <cell r="BL15">
            <v>0</v>
          </cell>
          <cell r="BM15" t="str">
            <v>N/A</v>
          </cell>
          <cell r="BR15" t="str">
            <v>Corporate</v>
          </cell>
          <cell r="BS15">
            <v>0</v>
          </cell>
          <cell r="BT15">
            <v>0</v>
          </cell>
          <cell r="BV15">
            <v>0</v>
          </cell>
          <cell r="BW15">
            <v>0</v>
          </cell>
          <cell r="BY15">
            <v>0</v>
          </cell>
          <cell r="BZ15" t="str">
            <v>N/A</v>
          </cell>
          <cell r="CF15" t="str">
            <v>Corporate</v>
          </cell>
          <cell r="CG15">
            <v>0</v>
          </cell>
          <cell r="CH15">
            <v>0</v>
          </cell>
          <cell r="CJ15">
            <v>0</v>
          </cell>
          <cell r="CK15">
            <v>0</v>
          </cell>
          <cell r="CM15">
            <v>0</v>
          </cell>
          <cell r="CN15" t="str">
            <v>N/A</v>
          </cell>
          <cell r="CT15" t="str">
            <v>Corporate</v>
          </cell>
          <cell r="CU15">
            <v>0</v>
          </cell>
          <cell r="CV15">
            <v>0</v>
          </cell>
          <cell r="CW15">
            <v>0</v>
          </cell>
          <cell r="CX15">
            <v>0</v>
          </cell>
          <cell r="DC15" t="str">
            <v>Other</v>
          </cell>
          <cell r="DD15">
            <v>0</v>
          </cell>
          <cell r="DE15">
            <v>0</v>
          </cell>
          <cell r="DK15" t="str">
            <v>Total Revenues</v>
          </cell>
          <cell r="DL15">
            <v>6300</v>
          </cell>
          <cell r="DM15">
            <v>6110</v>
          </cell>
          <cell r="DN15">
            <v>5546</v>
          </cell>
          <cell r="DO15">
            <v>754</v>
          </cell>
          <cell r="DP15">
            <v>0.13595384060584204</v>
          </cell>
          <cell r="DT15" t="str">
            <v>Total Revenues</v>
          </cell>
          <cell r="DU15">
            <v>24063</v>
          </cell>
          <cell r="DV15">
            <v>24150</v>
          </cell>
          <cell r="DW15">
            <v>20975</v>
          </cell>
          <cell r="DX15">
            <v>3088</v>
          </cell>
          <cell r="DY15">
            <v>0.14722288438617404</v>
          </cell>
          <cell r="EC15" t="str">
            <v>Total Revenues</v>
          </cell>
          <cell r="ED15">
            <v>6069</v>
          </cell>
          <cell r="EE15">
            <v>6120</v>
          </cell>
          <cell r="EF15">
            <v>5302</v>
          </cell>
          <cell r="EG15">
            <v>767</v>
          </cell>
          <cell r="EH15">
            <v>0.14466239155035843</v>
          </cell>
          <cell r="EL15" t="str">
            <v>Total Revenues</v>
          </cell>
          <cell r="EM15">
            <v>5934</v>
          </cell>
          <cell r="EN15">
            <v>5740</v>
          </cell>
          <cell r="EO15">
            <v>5137</v>
          </cell>
          <cell r="EP15">
            <v>797</v>
          </cell>
          <cell r="EQ15">
            <v>0.15514891960288102</v>
          </cell>
          <cell r="EU15" t="str">
            <v>Total Revenues</v>
          </cell>
          <cell r="EV15">
            <v>5546</v>
          </cell>
          <cell r="EW15">
            <v>4772</v>
          </cell>
          <cell r="EX15">
            <v>774</v>
          </cell>
          <cell r="EY15">
            <v>0.16219614417435047</v>
          </cell>
          <cell r="FC15" t="str">
            <v>Total Revenues</v>
          </cell>
          <cell r="FD15">
            <v>20975</v>
          </cell>
          <cell r="FE15">
            <v>21149.0946</v>
          </cell>
          <cell r="FF15">
            <v>18868</v>
          </cell>
          <cell r="FG15">
            <v>2107</v>
          </cell>
          <cell r="FH15">
            <v>0.11167055331778664</v>
          </cell>
          <cell r="FK15" t="str">
            <v>Total Revenues</v>
          </cell>
          <cell r="FL15">
            <v>5302</v>
          </cell>
          <cell r="FM15">
            <v>4985</v>
          </cell>
          <cell r="FN15">
            <v>4647</v>
          </cell>
          <cell r="FO15">
            <v>655</v>
          </cell>
          <cell r="FP15">
            <v>0.14095115128039604</v>
          </cell>
          <cell r="FT15" t="str">
            <v>Operating Profit</v>
          </cell>
          <cell r="GC15" t="str">
            <v>Operating Profit</v>
          </cell>
          <cell r="GL15" t="str">
            <v>Operating Profit</v>
          </cell>
        </row>
        <row r="16">
          <cell r="C16" t="str">
            <v>Total Revenues</v>
          </cell>
          <cell r="D16">
            <v>8100</v>
          </cell>
          <cell r="E16">
            <v>8225</v>
          </cell>
          <cell r="F16">
            <v>8155</v>
          </cell>
          <cell r="G16">
            <v>7303</v>
          </cell>
          <cell r="H16">
            <v>797</v>
          </cell>
          <cell r="I16">
            <v>0.10913323291797883</v>
          </cell>
          <cell r="J16">
            <v>-125</v>
          </cell>
          <cell r="K16">
            <v>-1.5197568389057725E-2</v>
          </cell>
          <cell r="L16">
            <v>-55</v>
          </cell>
          <cell r="M16">
            <v>-6.7443286327406593E-3</v>
          </cell>
          <cell r="R16" t="str">
            <v>Total Revenues</v>
          </cell>
          <cell r="S16">
            <v>29300</v>
          </cell>
          <cell r="T16">
            <v>29300</v>
          </cell>
          <cell r="U16">
            <v>29341</v>
          </cell>
          <cell r="V16">
            <v>27240</v>
          </cell>
          <cell r="W16">
            <v>2060</v>
          </cell>
          <cell r="X16">
            <v>7.562408223201178E-2</v>
          </cell>
          <cell r="Y16">
            <v>0</v>
          </cell>
          <cell r="Z16">
            <v>0</v>
          </cell>
          <cell r="AA16">
            <v>-41</v>
          </cell>
          <cell r="AB16">
            <v>-1.3973620530997044E-3</v>
          </cell>
          <cell r="AE16" t="str">
            <v>Total Revenues</v>
          </cell>
          <cell r="AF16">
            <v>7852</v>
          </cell>
          <cell r="AG16">
            <v>7852</v>
          </cell>
          <cell r="AH16">
            <v>7844</v>
          </cell>
          <cell r="AI16">
            <v>7515</v>
          </cell>
          <cell r="AJ16">
            <v>337</v>
          </cell>
          <cell r="AK16">
            <v>4.4843646041250906E-2</v>
          </cell>
          <cell r="AL16">
            <v>0</v>
          </cell>
          <cell r="AM16">
            <v>0</v>
          </cell>
          <cell r="AN16">
            <v>8</v>
          </cell>
          <cell r="AO16">
            <v>1.0198878123406363E-3</v>
          </cell>
          <cell r="AR16" t="str">
            <v>Total Revenues</v>
          </cell>
          <cell r="AS16">
            <v>7140</v>
          </cell>
          <cell r="AT16">
            <v>7275</v>
          </cell>
          <cell r="AU16">
            <v>7351</v>
          </cell>
          <cell r="AV16">
            <v>6834</v>
          </cell>
          <cell r="AW16">
            <v>306</v>
          </cell>
          <cell r="AX16">
            <v>4.4776119402984982E-2</v>
          </cell>
          <cell r="AY16">
            <v>-135</v>
          </cell>
          <cell r="AZ16">
            <v>-1.855670103092788E-2</v>
          </cell>
          <cell r="BA16">
            <v>-211</v>
          </cell>
          <cell r="BB16">
            <v>-2.8703577744524589E-2</v>
          </cell>
          <cell r="BE16" t="str">
            <v>Total Revenues</v>
          </cell>
          <cell r="BF16">
            <v>7303</v>
          </cell>
          <cell r="BG16">
            <v>7160</v>
          </cell>
          <cell r="BH16">
            <v>7233</v>
          </cell>
          <cell r="BI16">
            <v>6591</v>
          </cell>
          <cell r="BJ16">
            <v>712</v>
          </cell>
          <cell r="BK16">
            <v>0.10802609619177672</v>
          </cell>
          <cell r="BL16">
            <v>143</v>
          </cell>
          <cell r="BM16">
            <v>1.9972067039106145E-2</v>
          </cell>
          <cell r="BN16">
            <v>70</v>
          </cell>
          <cell r="BO16">
            <v>9.6778653394165026E-3</v>
          </cell>
          <cell r="BR16" t="str">
            <v>Total Revenues</v>
          </cell>
          <cell r="BS16">
            <v>7005</v>
          </cell>
          <cell r="BT16">
            <v>6795</v>
          </cell>
          <cell r="BU16">
            <v>6879</v>
          </cell>
          <cell r="BV16">
            <v>6300</v>
          </cell>
          <cell r="BW16">
            <v>705</v>
          </cell>
          <cell r="BX16">
            <v>0.11190476190476195</v>
          </cell>
          <cell r="BY16">
            <v>210</v>
          </cell>
          <cell r="BZ16">
            <v>3.0905077262693093E-2</v>
          </cell>
          <cell r="CA16">
            <v>126</v>
          </cell>
          <cell r="CB16">
            <v>1.8316615787178359E-2</v>
          </cell>
          <cell r="CF16" t="str">
            <v>Total Revenues</v>
          </cell>
          <cell r="CG16">
            <v>7515</v>
          </cell>
          <cell r="CH16">
            <v>7510</v>
          </cell>
          <cell r="CI16">
            <v>7590.915</v>
          </cell>
          <cell r="CJ16">
            <v>6514</v>
          </cell>
          <cell r="CK16">
            <v>1001</v>
          </cell>
          <cell r="CL16">
            <v>0.15366902057107779</v>
          </cell>
          <cell r="CM16">
            <v>5</v>
          </cell>
          <cell r="CN16">
            <v>6.6577896138486636E-4</v>
          </cell>
          <cell r="CO16">
            <v>-75.914999999999964</v>
          </cell>
          <cell r="CP16">
            <v>-1.0000770658082692E-2</v>
          </cell>
          <cell r="CT16" t="str">
            <v>Total Revenues</v>
          </cell>
          <cell r="CU16">
            <v>6834</v>
          </cell>
          <cell r="CV16">
            <v>6870</v>
          </cell>
          <cell r="CW16">
            <v>6069</v>
          </cell>
          <cell r="CX16">
            <v>765</v>
          </cell>
          <cell r="CY16">
            <v>0.12605042016806722</v>
          </cell>
          <cell r="DC16" t="str">
            <v>Total Revenues</v>
          </cell>
          <cell r="DD16">
            <v>6591</v>
          </cell>
          <cell r="DE16">
            <v>5934</v>
          </cell>
          <cell r="DF16">
            <v>657</v>
          </cell>
          <cell r="DG16">
            <v>0.11071789686552069</v>
          </cell>
          <cell r="DK16" t="str">
            <v>% Ch Y/Y</v>
          </cell>
          <cell r="DL16">
            <v>0.13595384060584204</v>
          </cell>
          <cell r="DM16">
            <v>0.10169491525423729</v>
          </cell>
          <cell r="DN16">
            <v>0.16219614417435038</v>
          </cell>
          <cell r="DT16" t="str">
            <v>% Ch Y/Y</v>
          </cell>
          <cell r="DU16">
            <v>0.14722288438617404</v>
          </cell>
          <cell r="DV16">
            <v>0.14305215590284326</v>
          </cell>
          <cell r="DW16">
            <v>0.11167055331778664</v>
          </cell>
          <cell r="EC16" t="str">
            <v>% Ch Y/Y</v>
          </cell>
          <cell r="ED16">
            <v>0.14466239155035834</v>
          </cell>
          <cell r="EE16">
            <v>0.13754646840148699</v>
          </cell>
          <cell r="EF16">
            <v>0.14095115128039595</v>
          </cell>
          <cell r="EL16" t="str">
            <v>% Ch Y/Y</v>
          </cell>
          <cell r="EM16">
            <v>0.15514891960288105</v>
          </cell>
          <cell r="EN16">
            <v>0.10088224012274645</v>
          </cell>
          <cell r="EO16">
            <v>0.10425623387790198</v>
          </cell>
          <cell r="EU16" t="str">
            <v>% Ch Y/Y</v>
          </cell>
          <cell r="EV16">
            <v>0.16219614417435038</v>
          </cell>
          <cell r="EW16">
            <v>2.7120103314679293E-2</v>
          </cell>
          <cell r="FC16" t="str">
            <v>% Ch Y/Y</v>
          </cell>
          <cell r="FD16">
            <v>0.11167055331778664</v>
          </cell>
          <cell r="FE16">
            <v>0.10277894462404835</v>
          </cell>
          <cell r="FF16">
            <v>0.15556099951004421</v>
          </cell>
          <cell r="FK16" t="str">
            <v>% Ch Y/Y</v>
          </cell>
          <cell r="FL16">
            <v>0.14095115128039595</v>
          </cell>
          <cell r="FM16">
            <v>6.9512980047200176E-2</v>
          </cell>
          <cell r="FN16">
            <v>6.7049368541905852E-2</v>
          </cell>
          <cell r="FT16" t="str">
            <v>Marine Group</v>
          </cell>
          <cell r="FU16">
            <v>65</v>
          </cell>
          <cell r="FV16">
            <v>70</v>
          </cell>
          <cell r="FW16">
            <v>81</v>
          </cell>
          <cell r="FX16">
            <v>-16</v>
          </cell>
          <cell r="FY16">
            <v>-0.19753086419753085</v>
          </cell>
          <cell r="GC16" t="str">
            <v>Marine Group</v>
          </cell>
          <cell r="GD16">
            <v>49</v>
          </cell>
          <cell r="GE16">
            <v>90</v>
          </cell>
          <cell r="GF16">
            <v>98</v>
          </cell>
          <cell r="GG16">
            <v>-49</v>
          </cell>
          <cell r="GH16">
            <v>-0.5</v>
          </cell>
          <cell r="GL16" t="str">
            <v>Marine Group</v>
          </cell>
          <cell r="GM16">
            <v>292</v>
          </cell>
          <cell r="GN16">
            <v>318</v>
          </cell>
          <cell r="GO16">
            <v>216</v>
          </cell>
          <cell r="GP16">
            <v>76</v>
          </cell>
          <cell r="GQ16">
            <v>0.35185185185185186</v>
          </cell>
        </row>
        <row r="17">
          <cell r="BE17" t="str">
            <v>% Ch Y/Y</v>
          </cell>
          <cell r="BF17">
            <v>0.10802609619177672</v>
          </cell>
          <cell r="BG17">
            <v>8.6329843726293376E-2</v>
          </cell>
          <cell r="BH17">
            <v>9.7405553026854719E-2</v>
          </cell>
          <cell r="BI17">
            <v>0.11071789686552073</v>
          </cell>
          <cell r="BJ17">
            <v>-26.91800673744013</v>
          </cell>
          <cell r="BL17">
            <v>216.96252465483346</v>
          </cell>
          <cell r="BN17">
            <v>106.20543164922003</v>
          </cell>
          <cell r="BR17" t="str">
            <v>% Ch Y/Y</v>
          </cell>
          <cell r="BS17">
            <v>0.11190476190476195</v>
          </cell>
          <cell r="BT17">
            <v>7.8571428571428514E-2</v>
          </cell>
          <cell r="BU17">
            <v>9.1904761904761934E-2</v>
          </cell>
          <cell r="BV17">
            <v>0.13595384060584204</v>
          </cell>
          <cell r="BW17">
            <v>-240.49078701080083</v>
          </cell>
          <cell r="BY17">
            <v>333.33333333333439</v>
          </cell>
          <cell r="CA17">
            <v>200.00000000000017</v>
          </cell>
          <cell r="CF17" t="str">
            <v>% Ch Y/Y</v>
          </cell>
          <cell r="CG17">
            <v>0.15366902057107767</v>
          </cell>
          <cell r="CH17">
            <v>0.15290144304574763</v>
          </cell>
          <cell r="CI17">
            <v>0.16532315013816401</v>
          </cell>
          <cell r="CJ17">
            <v>0.13011797362942401</v>
          </cell>
          <cell r="CK17">
            <v>235.51046941653664</v>
          </cell>
          <cell r="CM17">
            <v>7.6757752533004879</v>
          </cell>
          <cell r="CO17">
            <v>-116.54129567086335</v>
          </cell>
          <cell r="CT17" t="str">
            <v>% Ch Y/Y</v>
          </cell>
          <cell r="CU17">
            <v>0.12605042016806722</v>
          </cell>
          <cell r="CV17">
            <v>0.13198220464656452</v>
          </cell>
          <cell r="CW17">
            <v>0.14466239155035834</v>
          </cell>
          <cell r="CX17">
            <v>-186.11971382291119</v>
          </cell>
          <cell r="DC17" t="str">
            <v>% Ch Y/Y</v>
          </cell>
          <cell r="DD17">
            <v>0.11071789686552073</v>
          </cell>
          <cell r="DE17">
            <v>0.15514891960288105</v>
          </cell>
          <cell r="DK17" t="str">
            <v>Operating Profit</v>
          </cell>
          <cell r="DT17" t="str">
            <v>Operating Profit</v>
          </cell>
          <cell r="EC17" t="str">
            <v>Operating Profit</v>
          </cell>
          <cell r="EL17" t="str">
            <v>Operating Profit</v>
          </cell>
          <cell r="EU17" t="str">
            <v>Operating Profit</v>
          </cell>
          <cell r="FC17" t="str">
            <v>Operating Profit</v>
          </cell>
          <cell r="FK17" t="str">
            <v>Operating Profit</v>
          </cell>
          <cell r="FT17" t="str">
            <v>Combat Sys</v>
          </cell>
          <cell r="FU17">
            <v>123</v>
          </cell>
          <cell r="FV17">
            <v>136</v>
          </cell>
          <cell r="FW17">
            <v>111</v>
          </cell>
          <cell r="FX17">
            <v>12</v>
          </cell>
          <cell r="FY17">
            <v>0.10810810810810811</v>
          </cell>
          <cell r="GC17" t="str">
            <v>Combat Sys</v>
          </cell>
          <cell r="GD17">
            <v>104</v>
          </cell>
          <cell r="GE17">
            <v>140</v>
          </cell>
          <cell r="GF17">
            <v>112</v>
          </cell>
          <cell r="GG17">
            <v>-8</v>
          </cell>
          <cell r="GH17">
            <v>-7.1428571428571397E-2</v>
          </cell>
          <cell r="GL17" t="str">
            <v>Combat Sys</v>
          </cell>
          <cell r="GM17">
            <v>522</v>
          </cell>
          <cell r="GN17">
            <v>525</v>
          </cell>
          <cell r="GO17">
            <v>443</v>
          </cell>
          <cell r="GP17">
            <v>79</v>
          </cell>
          <cell r="GQ17">
            <v>0.17832957110609482</v>
          </cell>
        </row>
        <row r="18">
          <cell r="C18" t="str">
            <v>Operating Profit</v>
          </cell>
          <cell r="R18" t="str">
            <v>Operating Profit</v>
          </cell>
          <cell r="AE18" t="str">
            <v>Operating Profit</v>
          </cell>
          <cell r="AR18" t="str">
            <v>Operating Profit</v>
          </cell>
          <cell r="CF18" t="str">
            <v>Operating Profit</v>
          </cell>
          <cell r="CT18" t="str">
            <v>Operating Profit</v>
          </cell>
          <cell r="DC18" t="str">
            <v>Operating Profit</v>
          </cell>
          <cell r="DK18" t="str">
            <v>Marine Group</v>
          </cell>
          <cell r="DL18">
            <v>98</v>
          </cell>
          <cell r="DM18">
            <v>100</v>
          </cell>
          <cell r="DN18">
            <v>97</v>
          </cell>
          <cell r="DO18">
            <v>1</v>
          </cell>
          <cell r="DP18">
            <v>1.0309278350515427E-2</v>
          </cell>
          <cell r="DT18" t="str">
            <v>Marine Group</v>
          </cell>
          <cell r="DU18">
            <v>375</v>
          </cell>
          <cell r="DV18">
            <v>360</v>
          </cell>
          <cell r="DW18">
            <v>249</v>
          </cell>
          <cell r="DX18">
            <v>126</v>
          </cell>
          <cell r="DY18">
            <v>0.50602409638554224</v>
          </cell>
          <cell r="EC18" t="str">
            <v>Marine Group</v>
          </cell>
          <cell r="ED18">
            <v>102</v>
          </cell>
          <cell r="EE18">
            <v>86</v>
          </cell>
          <cell r="EF18">
            <v>52</v>
          </cell>
          <cell r="EG18">
            <v>50</v>
          </cell>
          <cell r="EH18">
            <v>0.96153846153846145</v>
          </cell>
          <cell r="EL18" t="str">
            <v>Marine Group</v>
          </cell>
          <cell r="EM18">
            <v>92</v>
          </cell>
          <cell r="EN18">
            <v>77</v>
          </cell>
          <cell r="EO18">
            <v>65</v>
          </cell>
          <cell r="EP18">
            <v>27</v>
          </cell>
          <cell r="EQ18">
            <v>0.41538461538461546</v>
          </cell>
          <cell r="EU18" t="str">
            <v>Marine Group</v>
          </cell>
          <cell r="EV18">
            <v>97</v>
          </cell>
          <cell r="EW18">
            <v>49</v>
          </cell>
          <cell r="EX18">
            <v>48</v>
          </cell>
          <cell r="EY18">
            <v>0.97959183673469385</v>
          </cell>
          <cell r="FC18" t="str">
            <v>Marine Group</v>
          </cell>
          <cell r="FD18">
            <v>249</v>
          </cell>
          <cell r="FE18">
            <v>235.2</v>
          </cell>
          <cell r="FF18">
            <v>292</v>
          </cell>
          <cell r="FG18">
            <v>-43</v>
          </cell>
          <cell r="FH18">
            <v>-0.14726027397260277</v>
          </cell>
          <cell r="FK18" t="str">
            <v>Marine Group</v>
          </cell>
          <cell r="FL18">
            <v>52</v>
          </cell>
          <cell r="FM18">
            <v>75</v>
          </cell>
          <cell r="FN18">
            <v>62</v>
          </cell>
          <cell r="FO18">
            <v>-10</v>
          </cell>
          <cell r="FP18">
            <v>-0.16129032258064513</v>
          </cell>
          <cell r="FT18" t="str">
            <v>Info Sys &amp; Tech</v>
          </cell>
          <cell r="FU18">
            <v>225</v>
          </cell>
          <cell r="FV18">
            <v>194</v>
          </cell>
          <cell r="FW18">
            <v>192</v>
          </cell>
          <cell r="FX18">
            <v>33</v>
          </cell>
          <cell r="FY18">
            <v>0.171875</v>
          </cell>
          <cell r="GC18" t="str">
            <v>Info Sys &amp; Tech</v>
          </cell>
          <cell r="GD18">
            <v>197</v>
          </cell>
          <cell r="GE18">
            <v>180</v>
          </cell>
          <cell r="GF18">
            <v>169</v>
          </cell>
          <cell r="GG18">
            <v>28</v>
          </cell>
          <cell r="GH18">
            <v>0.16568047337278102</v>
          </cell>
          <cell r="GL18" t="str">
            <v>Info Sys &amp; Tech</v>
          </cell>
          <cell r="GM18">
            <v>718</v>
          </cell>
          <cell r="GN18">
            <v>720</v>
          </cell>
          <cell r="GO18">
            <v>533</v>
          </cell>
          <cell r="GP18">
            <v>185</v>
          </cell>
          <cell r="GQ18">
            <v>0.34709193245778613</v>
          </cell>
        </row>
        <row r="19">
          <cell r="C19" t="str">
            <v>Marine Group</v>
          </cell>
          <cell r="D19">
            <v>168</v>
          </cell>
          <cell r="E19">
            <v>150.35</v>
          </cell>
          <cell r="G19">
            <v>127</v>
          </cell>
          <cell r="H19">
            <v>41</v>
          </cell>
          <cell r="I19">
            <v>0.32283464566929143</v>
          </cell>
          <cell r="J19">
            <v>17.650000000000006</v>
          </cell>
          <cell r="K19">
            <v>0.11739275024941809</v>
          </cell>
          <cell r="R19" t="str">
            <v>Marine Group</v>
          </cell>
          <cell r="S19">
            <v>521</v>
          </cell>
          <cell r="T19">
            <v>502.2</v>
          </cell>
          <cell r="V19">
            <v>421</v>
          </cell>
          <cell r="W19">
            <v>100</v>
          </cell>
          <cell r="X19">
            <v>0.23752969121140133</v>
          </cell>
          <cell r="Y19">
            <v>18.800000000000011</v>
          </cell>
          <cell r="Z19">
            <v>3.7435284747112663E-2</v>
          </cell>
          <cell r="AE19" t="str">
            <v>Marine Group</v>
          </cell>
          <cell r="AF19">
            <v>132</v>
          </cell>
          <cell r="AG19">
            <v>113.2</v>
          </cell>
          <cell r="AI19">
            <v>101</v>
          </cell>
          <cell r="AJ19">
            <v>31</v>
          </cell>
          <cell r="AK19">
            <v>0.30693069306930698</v>
          </cell>
          <cell r="AL19">
            <v>18.799999999999997</v>
          </cell>
          <cell r="AM19">
            <v>0.16607773851590113</v>
          </cell>
          <cell r="AR19" t="str">
            <v>Marine Group</v>
          </cell>
          <cell r="AS19">
            <v>140</v>
          </cell>
          <cell r="AT19">
            <v>118.35</v>
          </cell>
          <cell r="AV19">
            <v>110</v>
          </cell>
          <cell r="AW19">
            <v>30</v>
          </cell>
          <cell r="AX19">
            <v>0.27272727272727271</v>
          </cell>
          <cell r="AY19">
            <v>21.650000000000006</v>
          </cell>
          <cell r="AZ19">
            <v>0.18293198141106881</v>
          </cell>
          <cell r="BE19" t="str">
            <v>Operating Profit</v>
          </cell>
          <cell r="BR19" t="str">
            <v>Operating Profit</v>
          </cell>
          <cell r="CF19" t="str">
            <v>Marine Group</v>
          </cell>
          <cell r="CG19">
            <v>101</v>
          </cell>
          <cell r="CH19">
            <v>102.1</v>
          </cell>
          <cell r="CJ19">
            <v>84</v>
          </cell>
          <cell r="CK19">
            <v>17</v>
          </cell>
          <cell r="CL19">
            <v>0.20238095238095233</v>
          </cell>
          <cell r="CM19">
            <v>-1.0999999999999943</v>
          </cell>
          <cell r="CN19">
            <v>-1.0773751224289807E-2</v>
          </cell>
          <cell r="CT19" t="str">
            <v>Marine Group</v>
          </cell>
          <cell r="CU19">
            <v>110</v>
          </cell>
          <cell r="CV19">
            <v>104</v>
          </cell>
          <cell r="CW19">
            <v>102</v>
          </cell>
          <cell r="CX19">
            <v>8</v>
          </cell>
          <cell r="CY19">
            <v>7.8431372549019551E-2</v>
          </cell>
          <cell r="DC19" t="str">
            <v>Marine Group</v>
          </cell>
          <cell r="DD19">
            <v>112</v>
          </cell>
          <cell r="DE19">
            <v>92</v>
          </cell>
          <cell r="DF19">
            <v>20</v>
          </cell>
          <cell r="DG19">
            <v>0.21739130434782616</v>
          </cell>
          <cell r="DK19" t="str">
            <v>Combat Sys</v>
          </cell>
          <cell r="DL19">
            <v>174</v>
          </cell>
          <cell r="DM19">
            <v>160</v>
          </cell>
          <cell r="DN19">
            <v>147</v>
          </cell>
          <cell r="DO19">
            <v>27</v>
          </cell>
          <cell r="DP19">
            <v>0.18367346938775508</v>
          </cell>
          <cell r="DT19" t="str">
            <v>Combat Sys</v>
          </cell>
          <cell r="DU19">
            <v>677</v>
          </cell>
          <cell r="DV19">
            <v>700</v>
          </cell>
          <cell r="DW19">
            <v>576</v>
          </cell>
          <cell r="DX19">
            <v>101</v>
          </cell>
          <cell r="DY19">
            <v>0.17534722222222232</v>
          </cell>
          <cell r="EC19" t="str">
            <v>Combat Sys</v>
          </cell>
          <cell r="ED19">
            <v>164</v>
          </cell>
          <cell r="EE19">
            <v>170</v>
          </cell>
          <cell r="EF19">
            <v>159</v>
          </cell>
          <cell r="EG19">
            <v>5</v>
          </cell>
          <cell r="EH19">
            <v>3.1446540880503138E-2</v>
          </cell>
          <cell r="EL19" t="str">
            <v>Combat Sys</v>
          </cell>
          <cell r="EM19">
            <v>172</v>
          </cell>
          <cell r="EN19">
            <v>145</v>
          </cell>
          <cell r="EO19">
            <v>123</v>
          </cell>
          <cell r="EP19">
            <v>49</v>
          </cell>
          <cell r="EQ19">
            <v>0.39837398373983746</v>
          </cell>
          <cell r="EU19" t="str">
            <v>Combat Sys</v>
          </cell>
          <cell r="EV19">
            <v>147</v>
          </cell>
          <cell r="EW19">
            <v>104</v>
          </cell>
          <cell r="EX19">
            <v>43</v>
          </cell>
          <cell r="EY19">
            <v>0.41346153846153855</v>
          </cell>
          <cell r="FC19" t="str">
            <v>Combat Sys</v>
          </cell>
          <cell r="FD19">
            <v>576</v>
          </cell>
          <cell r="FE19">
            <v>570.18499999999995</v>
          </cell>
          <cell r="FF19">
            <v>522</v>
          </cell>
          <cell r="FG19">
            <v>54</v>
          </cell>
          <cell r="FH19">
            <v>0.10344827586206895</v>
          </cell>
          <cell r="FK19" t="str">
            <v>Combat Sys</v>
          </cell>
          <cell r="FL19">
            <v>159</v>
          </cell>
          <cell r="FM19">
            <v>158</v>
          </cell>
          <cell r="FN19">
            <v>128</v>
          </cell>
          <cell r="FO19">
            <v>31</v>
          </cell>
          <cell r="FP19">
            <v>0.2421875</v>
          </cell>
          <cell r="FT19" t="str">
            <v xml:space="preserve">Aerospace </v>
          </cell>
          <cell r="FU19">
            <v>125</v>
          </cell>
          <cell r="FV19">
            <v>124</v>
          </cell>
          <cell r="FW19">
            <v>94</v>
          </cell>
          <cell r="FX19">
            <v>31</v>
          </cell>
          <cell r="FY19">
            <v>0.32978723404255317</v>
          </cell>
          <cell r="GC19" t="str">
            <v xml:space="preserve">Aerospace </v>
          </cell>
          <cell r="GD19">
            <v>101</v>
          </cell>
          <cell r="GE19">
            <v>80</v>
          </cell>
          <cell r="GF19">
            <v>66</v>
          </cell>
          <cell r="GG19">
            <v>35</v>
          </cell>
          <cell r="GH19">
            <v>0.53030303030303028</v>
          </cell>
          <cell r="GL19" t="str">
            <v xml:space="preserve">Aerospace </v>
          </cell>
          <cell r="GM19">
            <v>393</v>
          </cell>
          <cell r="GN19">
            <v>395</v>
          </cell>
          <cell r="GO19">
            <v>218</v>
          </cell>
          <cell r="GP19">
            <v>175</v>
          </cell>
          <cell r="GQ19">
            <v>0.80275229357798161</v>
          </cell>
        </row>
        <row r="20">
          <cell r="C20" t="str">
            <v>Combat Sys</v>
          </cell>
          <cell r="D20">
            <v>300</v>
          </cell>
          <cell r="E20">
            <v>291</v>
          </cell>
          <cell r="G20">
            <v>282</v>
          </cell>
          <cell r="H20">
            <v>18</v>
          </cell>
          <cell r="I20">
            <v>6.3829787234042534E-2</v>
          </cell>
          <cell r="J20">
            <v>9</v>
          </cell>
          <cell r="K20">
            <v>3.0927835051546282E-2</v>
          </cell>
          <cell r="R20" t="str">
            <v>Combat Sys</v>
          </cell>
          <cell r="S20">
            <v>1111</v>
          </cell>
          <cell r="T20">
            <v>1089</v>
          </cell>
          <cell r="V20">
            <v>916</v>
          </cell>
          <cell r="W20">
            <v>195</v>
          </cell>
          <cell r="X20">
            <v>0.21288209606986896</v>
          </cell>
          <cell r="Y20">
            <v>22</v>
          </cell>
          <cell r="Z20">
            <v>2.020202020202011E-2</v>
          </cell>
          <cell r="AE20" t="str">
            <v>Combat Sys</v>
          </cell>
          <cell r="AF20">
            <v>308</v>
          </cell>
          <cell r="AG20">
            <v>286</v>
          </cell>
          <cell r="AI20">
            <v>323</v>
          </cell>
          <cell r="AJ20">
            <v>-15</v>
          </cell>
          <cell r="AK20">
            <v>-4.6439628482972117E-2</v>
          </cell>
          <cell r="AL20">
            <v>22</v>
          </cell>
          <cell r="AM20">
            <v>7.6923076923076872E-2</v>
          </cell>
          <cell r="AR20" t="str">
            <v>Combat Sys</v>
          </cell>
          <cell r="AS20">
            <v>262</v>
          </cell>
          <cell r="AT20">
            <v>249.48</v>
          </cell>
          <cell r="AV20">
            <v>228</v>
          </cell>
          <cell r="AW20">
            <v>34</v>
          </cell>
          <cell r="AX20">
            <v>0.14912280701754388</v>
          </cell>
          <cell r="AY20">
            <v>12.52000000000001</v>
          </cell>
          <cell r="AZ20">
            <v>5.0184383517716924E-2</v>
          </cell>
          <cell r="BE20" t="str">
            <v>Marine Group</v>
          </cell>
          <cell r="BF20">
            <v>127</v>
          </cell>
          <cell r="BG20">
            <v>117.48</v>
          </cell>
          <cell r="BI20">
            <v>112</v>
          </cell>
          <cell r="BJ20">
            <v>15</v>
          </cell>
          <cell r="BK20">
            <v>0.1339285714285714</v>
          </cell>
          <cell r="BL20">
            <v>9.519999999999996</v>
          </cell>
          <cell r="BM20">
            <v>8.1035069799114678E-2</v>
          </cell>
          <cell r="BR20" t="str">
            <v>Marine Group</v>
          </cell>
          <cell r="BS20">
            <v>122</v>
          </cell>
          <cell r="BT20">
            <v>117.88500000000001</v>
          </cell>
          <cell r="BV20">
            <v>98</v>
          </cell>
          <cell r="BW20">
            <v>24</v>
          </cell>
          <cell r="BX20">
            <v>0.24489795918367352</v>
          </cell>
          <cell r="BY20">
            <v>4.1149999999999949</v>
          </cell>
          <cell r="BZ20">
            <v>3.4906900793145734E-2</v>
          </cell>
          <cell r="CF20" t="str">
            <v>Combat Sys</v>
          </cell>
          <cell r="CG20">
            <v>323</v>
          </cell>
          <cell r="CH20">
            <v>275.25</v>
          </cell>
          <cell r="CJ20">
            <v>194</v>
          </cell>
          <cell r="CK20">
            <v>129</v>
          </cell>
          <cell r="CL20">
            <v>0.6649484536082475</v>
          </cell>
          <cell r="CM20">
            <v>47.75</v>
          </cell>
          <cell r="CN20">
            <v>0.17347865576748411</v>
          </cell>
          <cell r="CT20" t="str">
            <v>Combat Sys</v>
          </cell>
          <cell r="CU20">
            <v>228</v>
          </cell>
          <cell r="CV20">
            <v>214.6</v>
          </cell>
          <cell r="CW20">
            <v>164</v>
          </cell>
          <cell r="CX20">
            <v>64</v>
          </cell>
          <cell r="CY20">
            <v>0.39024390243902429</v>
          </cell>
          <cell r="DC20" t="str">
            <v>Combat Sys</v>
          </cell>
          <cell r="DD20">
            <v>191</v>
          </cell>
          <cell r="DE20">
            <v>172</v>
          </cell>
          <cell r="DF20">
            <v>19</v>
          </cell>
          <cell r="DG20">
            <v>0.11046511627906974</v>
          </cell>
          <cell r="DK20" t="str">
            <v>Info Sys &amp; Tech</v>
          </cell>
          <cell r="DL20">
            <v>250</v>
          </cell>
          <cell r="DM20">
            <v>240</v>
          </cell>
          <cell r="DN20">
            <v>220</v>
          </cell>
          <cell r="DO20">
            <v>30</v>
          </cell>
          <cell r="DP20">
            <v>0.13636363636363646</v>
          </cell>
          <cell r="DT20" t="str">
            <v>Info Sys &amp; Tech</v>
          </cell>
          <cell r="DU20">
            <v>976</v>
          </cell>
          <cell r="DV20">
            <v>1025</v>
          </cell>
          <cell r="DW20">
            <v>865</v>
          </cell>
          <cell r="DX20">
            <v>111</v>
          </cell>
          <cell r="DY20">
            <v>0.12832369942196542</v>
          </cell>
          <cell r="EC20" t="str">
            <v>Info Sys &amp; Tech</v>
          </cell>
          <cell r="ED20">
            <v>258</v>
          </cell>
          <cell r="EE20">
            <v>260</v>
          </cell>
          <cell r="EF20">
            <v>228</v>
          </cell>
          <cell r="EG20">
            <v>30</v>
          </cell>
          <cell r="EH20">
            <v>0.13157894736842102</v>
          </cell>
          <cell r="EL20" t="str">
            <v>Info Sys &amp; Tech</v>
          </cell>
          <cell r="EM20">
            <v>232</v>
          </cell>
          <cell r="EN20">
            <v>250</v>
          </cell>
          <cell r="EO20">
            <v>225</v>
          </cell>
          <cell r="EP20">
            <v>7</v>
          </cell>
          <cell r="EQ20">
            <v>3.1111111111111089E-2</v>
          </cell>
          <cell r="EU20" t="str">
            <v>Info Sys &amp; Tech</v>
          </cell>
          <cell r="EV20">
            <v>220</v>
          </cell>
          <cell r="EW20">
            <v>197</v>
          </cell>
          <cell r="EX20">
            <v>23</v>
          </cell>
          <cell r="EY20">
            <v>0.11675126903553301</v>
          </cell>
          <cell r="FC20" t="str">
            <v>Info Sys &amp; Tech</v>
          </cell>
          <cell r="FD20">
            <v>865</v>
          </cell>
          <cell r="FE20">
            <v>870.15499999999997</v>
          </cell>
          <cell r="FF20">
            <v>718</v>
          </cell>
          <cell r="FG20">
            <v>147</v>
          </cell>
          <cell r="FH20">
            <v>0.20473537604456826</v>
          </cell>
          <cell r="FK20" t="str">
            <v>Info Sys &amp; Tech</v>
          </cell>
          <cell r="FL20">
            <v>228</v>
          </cell>
          <cell r="FM20">
            <v>188</v>
          </cell>
          <cell r="FN20">
            <v>176</v>
          </cell>
          <cell r="FO20">
            <v>52</v>
          </cell>
          <cell r="FP20">
            <v>0.29545454545454541</v>
          </cell>
          <cell r="FT20" t="str">
            <v>Other</v>
          </cell>
          <cell r="FU20">
            <v>1</v>
          </cell>
          <cell r="FV20">
            <v>7</v>
          </cell>
          <cell r="FW20">
            <v>7</v>
          </cell>
          <cell r="FX20">
            <v>-6</v>
          </cell>
          <cell r="FY20">
            <v>-0.85714285714285721</v>
          </cell>
          <cell r="GC20" t="str">
            <v>Other</v>
          </cell>
          <cell r="GD20">
            <v>9</v>
          </cell>
          <cell r="GE20">
            <v>5</v>
          </cell>
          <cell r="GF20">
            <v>-9</v>
          </cell>
          <cell r="GG20">
            <v>18</v>
          </cell>
          <cell r="GH20">
            <v>-2</v>
          </cell>
          <cell r="GL20" t="str">
            <v>Other</v>
          </cell>
          <cell r="GM20">
            <v>6</v>
          </cell>
          <cell r="GN20">
            <v>15</v>
          </cell>
          <cell r="GO20">
            <v>32</v>
          </cell>
          <cell r="GP20">
            <v>-26</v>
          </cell>
          <cell r="GQ20">
            <v>-0.8125</v>
          </cell>
        </row>
        <row r="21">
          <cell r="C21" t="str">
            <v>Info Sys &amp; Tech</v>
          </cell>
          <cell r="D21">
            <v>284</v>
          </cell>
          <cell r="E21">
            <v>299.7</v>
          </cell>
          <cell r="G21">
            <v>292</v>
          </cell>
          <cell r="H21">
            <v>-8</v>
          </cell>
          <cell r="I21">
            <v>-2.7397260273972601E-2</v>
          </cell>
          <cell r="J21">
            <v>-15.699999999999989</v>
          </cell>
          <cell r="K21">
            <v>-5.2385719052385649E-2</v>
          </cell>
          <cell r="R21" t="str">
            <v>Info Sys &amp; Tech</v>
          </cell>
          <cell r="S21">
            <v>1075</v>
          </cell>
          <cell r="T21">
            <v>1070</v>
          </cell>
          <cell r="V21">
            <v>1027</v>
          </cell>
          <cell r="W21">
            <v>48</v>
          </cell>
          <cell r="X21">
            <v>4.6738072054527846E-2</v>
          </cell>
          <cell r="Y21">
            <v>5</v>
          </cell>
          <cell r="Z21">
            <v>4.6728971962617383E-3</v>
          </cell>
          <cell r="AE21" t="str">
            <v>Info Sys &amp; Tech</v>
          </cell>
          <cell r="AF21">
            <v>253</v>
          </cell>
          <cell r="AG21">
            <v>248</v>
          </cell>
          <cell r="AI21">
            <v>254</v>
          </cell>
          <cell r="AJ21">
            <v>-1</v>
          </cell>
          <cell r="AK21">
            <v>-3.937007874015741E-3</v>
          </cell>
          <cell r="AL21">
            <v>5</v>
          </cell>
          <cell r="AM21">
            <v>2.0161290322580738E-2</v>
          </cell>
          <cell r="AR21" t="str">
            <v>Info Sys &amp; Tech</v>
          </cell>
          <cell r="AS21">
            <v>270</v>
          </cell>
          <cell r="AT21">
            <v>270.70999999999998</v>
          </cell>
          <cell r="AV21">
            <v>254</v>
          </cell>
          <cell r="AW21">
            <v>16</v>
          </cell>
          <cell r="AX21">
            <v>6.2992125984252079E-2</v>
          </cell>
          <cell r="AY21">
            <v>-0.70999999999997954</v>
          </cell>
          <cell r="AZ21">
            <v>-2.6227328137120587E-3</v>
          </cell>
          <cell r="BE21" t="str">
            <v>Combat Sys</v>
          </cell>
          <cell r="BF21">
            <v>282</v>
          </cell>
          <cell r="BG21">
            <v>222.3</v>
          </cell>
          <cell r="BI21">
            <v>191</v>
          </cell>
          <cell r="BJ21">
            <v>91</v>
          </cell>
          <cell r="BK21">
            <v>0.47643979057591612</v>
          </cell>
          <cell r="BL21">
            <v>59.699999999999989</v>
          </cell>
          <cell r="BM21">
            <v>0.26855600539811064</v>
          </cell>
          <cell r="BR21" t="str">
            <v>Combat Sys</v>
          </cell>
          <cell r="BS21">
            <v>259</v>
          </cell>
          <cell r="BT21">
            <v>198.24</v>
          </cell>
          <cell r="BV21">
            <v>174</v>
          </cell>
          <cell r="BW21">
            <v>85</v>
          </cell>
          <cell r="BX21">
            <v>0.48850574712643668</v>
          </cell>
          <cell r="BY21">
            <v>60.759999999999991</v>
          </cell>
          <cell r="BZ21">
            <v>0.30649717514124286</v>
          </cell>
          <cell r="CF21" t="str">
            <v>Info Sys &amp; Tech</v>
          </cell>
          <cell r="CG21">
            <v>254</v>
          </cell>
          <cell r="CH21">
            <v>245.5</v>
          </cell>
          <cell r="CJ21">
            <v>266</v>
          </cell>
          <cell r="CK21">
            <v>-12</v>
          </cell>
          <cell r="CL21">
            <v>-4.5112781954887216E-2</v>
          </cell>
          <cell r="CM21">
            <v>8.5</v>
          </cell>
          <cell r="CN21">
            <v>3.4623217922606919E-2</v>
          </cell>
          <cell r="CT21" t="str">
            <v>Info Sys &amp; Tech</v>
          </cell>
          <cell r="CU21">
            <v>254</v>
          </cell>
          <cell r="CV21">
            <v>270</v>
          </cell>
          <cell r="CW21">
            <v>258</v>
          </cell>
          <cell r="CX21">
            <v>-4</v>
          </cell>
          <cell r="CY21">
            <v>-1.5503875968992276E-2</v>
          </cell>
          <cell r="DC21" t="str">
            <v>Info Sys &amp; Tech</v>
          </cell>
          <cell r="DD21">
            <v>269</v>
          </cell>
          <cell r="DE21">
            <v>232</v>
          </cell>
          <cell r="DF21">
            <v>37</v>
          </cell>
          <cell r="DG21">
            <v>0.15948275862068972</v>
          </cell>
          <cell r="DK21" t="str">
            <v xml:space="preserve">Aerospace </v>
          </cell>
          <cell r="DL21">
            <v>173</v>
          </cell>
          <cell r="DM21">
            <v>175</v>
          </cell>
          <cell r="DN21">
            <v>145</v>
          </cell>
          <cell r="DO21">
            <v>28</v>
          </cell>
          <cell r="DP21">
            <v>0.19310344827586201</v>
          </cell>
          <cell r="DT21" t="str">
            <v xml:space="preserve">Aerospace </v>
          </cell>
          <cell r="DU21">
            <v>644</v>
          </cell>
          <cell r="DV21">
            <v>635</v>
          </cell>
          <cell r="DW21">
            <v>495</v>
          </cell>
          <cell r="DX21">
            <v>149</v>
          </cell>
          <cell r="DY21">
            <v>0.30101010101010095</v>
          </cell>
          <cell r="EC21" t="str">
            <v xml:space="preserve">Aerospace </v>
          </cell>
          <cell r="ED21">
            <v>165</v>
          </cell>
          <cell r="EE21">
            <v>175</v>
          </cell>
          <cell r="EF21">
            <v>146</v>
          </cell>
          <cell r="EG21">
            <v>19</v>
          </cell>
          <cell r="EH21">
            <v>0.13013698630136994</v>
          </cell>
          <cell r="EL21" t="str">
            <v xml:space="preserve">Aerospace </v>
          </cell>
          <cell r="EM21">
            <v>166</v>
          </cell>
          <cell r="EN21">
            <v>155</v>
          </cell>
          <cell r="EO21">
            <v>125</v>
          </cell>
          <cell r="EP21">
            <v>41</v>
          </cell>
          <cell r="EQ21">
            <v>0.32800000000000007</v>
          </cell>
          <cell r="EU21" t="str">
            <v xml:space="preserve">Aerospace </v>
          </cell>
          <cell r="EV21">
            <v>145</v>
          </cell>
          <cell r="EW21">
            <v>101</v>
          </cell>
          <cell r="EX21">
            <v>44</v>
          </cell>
          <cell r="EY21">
            <v>0.43564356435643559</v>
          </cell>
          <cell r="FC21" t="str">
            <v xml:space="preserve">Aerospace </v>
          </cell>
          <cell r="FD21">
            <v>495</v>
          </cell>
          <cell r="FE21">
            <v>526.070649</v>
          </cell>
          <cell r="FF21">
            <v>393</v>
          </cell>
          <cell r="FG21">
            <v>102</v>
          </cell>
          <cell r="FH21">
            <v>0.25954198473282442</v>
          </cell>
          <cell r="FK21" t="str">
            <v xml:space="preserve">Aerospace </v>
          </cell>
          <cell r="FL21">
            <v>146</v>
          </cell>
          <cell r="FM21">
            <v>128</v>
          </cell>
          <cell r="FN21">
            <v>117</v>
          </cell>
          <cell r="FO21">
            <v>29</v>
          </cell>
          <cell r="FP21">
            <v>0.24786324786324787</v>
          </cell>
          <cell r="FT21" t="str">
            <v xml:space="preserve"> Total Operating Profit</v>
          </cell>
          <cell r="FU21">
            <v>539</v>
          </cell>
          <cell r="FV21">
            <v>531</v>
          </cell>
          <cell r="FW21">
            <v>485</v>
          </cell>
          <cell r="FX21">
            <v>54</v>
          </cell>
          <cell r="FY21">
            <v>0.11134020618556706</v>
          </cell>
          <cell r="GC21" t="str">
            <v xml:space="preserve"> Total Operating Profit</v>
          </cell>
          <cell r="GD21">
            <v>460</v>
          </cell>
          <cell r="GE21">
            <v>495</v>
          </cell>
          <cell r="GF21">
            <v>436</v>
          </cell>
          <cell r="GG21">
            <v>24</v>
          </cell>
          <cell r="GH21">
            <v>5.504587155963292E-2</v>
          </cell>
          <cell r="GL21" t="str">
            <v xml:space="preserve"> Total Operating Profit</v>
          </cell>
          <cell r="GM21">
            <v>1931</v>
          </cell>
          <cell r="GN21">
            <v>1973</v>
          </cell>
          <cell r="GO21">
            <v>1442</v>
          </cell>
          <cell r="GP21">
            <v>489</v>
          </cell>
          <cell r="GQ21">
            <v>0.33911234396671297</v>
          </cell>
        </row>
        <row r="22">
          <cell r="C22" t="str">
            <v xml:space="preserve">Aerospace </v>
          </cell>
          <cell r="D22">
            <v>215</v>
          </cell>
          <cell r="E22">
            <v>212.35</v>
          </cell>
          <cell r="G22">
            <v>240</v>
          </cell>
          <cell r="H22">
            <v>-25</v>
          </cell>
          <cell r="I22">
            <v>-0.10416666666666663</v>
          </cell>
          <cell r="J22">
            <v>2.6500000000000057</v>
          </cell>
          <cell r="K22">
            <v>1.2479397221568211E-2</v>
          </cell>
          <cell r="R22" t="str">
            <v xml:space="preserve">Aerospace </v>
          </cell>
          <cell r="S22">
            <v>1021</v>
          </cell>
          <cell r="T22">
            <v>1041.8599999999999</v>
          </cell>
          <cell r="V22">
            <v>810</v>
          </cell>
          <cell r="W22">
            <v>211</v>
          </cell>
          <cell r="X22">
            <v>0.26049382716049374</v>
          </cell>
          <cell r="Y22">
            <v>-20.8599999999999</v>
          </cell>
          <cell r="Z22">
            <v>-2.0021883938340923E-2</v>
          </cell>
          <cell r="AE22" t="str">
            <v xml:space="preserve">Aerospace </v>
          </cell>
          <cell r="AF22">
            <v>264</v>
          </cell>
          <cell r="AG22">
            <v>284.86</v>
          </cell>
          <cell r="AI22">
            <v>212</v>
          </cell>
          <cell r="AJ22">
            <v>52</v>
          </cell>
          <cell r="AK22">
            <v>0.24528301886792447</v>
          </cell>
          <cell r="AL22">
            <v>-20.860000000000014</v>
          </cell>
          <cell r="AM22">
            <v>-7.3228954574176885E-2</v>
          </cell>
          <cell r="AR22" t="str">
            <v xml:space="preserve">Aerospace </v>
          </cell>
          <cell r="AS22">
            <v>281</v>
          </cell>
          <cell r="AT22">
            <v>275.5</v>
          </cell>
          <cell r="AV22">
            <v>226</v>
          </cell>
          <cell r="AW22">
            <v>55</v>
          </cell>
          <cell r="AX22">
            <v>0.24336283185840712</v>
          </cell>
          <cell r="AY22">
            <v>5.5</v>
          </cell>
          <cell r="AZ22">
            <v>1.9963702359346636E-2</v>
          </cell>
          <cell r="BE22" t="str">
            <v>Info Sys &amp; Tech</v>
          </cell>
          <cell r="BF22">
            <v>292</v>
          </cell>
          <cell r="BG22">
            <v>260.07499999999999</v>
          </cell>
          <cell r="BI22">
            <v>269</v>
          </cell>
          <cell r="BJ22">
            <v>23</v>
          </cell>
          <cell r="BK22">
            <v>8.5501858736059422E-2</v>
          </cell>
          <cell r="BL22">
            <v>31.925000000000011</v>
          </cell>
          <cell r="BM22">
            <v>0.1227530520042297</v>
          </cell>
          <cell r="BR22" t="str">
            <v>Info Sys &amp; Tech</v>
          </cell>
          <cell r="BS22">
            <v>260</v>
          </cell>
          <cell r="BT22">
            <v>275</v>
          </cell>
          <cell r="BV22">
            <v>250</v>
          </cell>
          <cell r="BW22">
            <v>10</v>
          </cell>
          <cell r="BX22">
            <v>4.0000000000000036E-2</v>
          </cell>
          <cell r="BY22">
            <v>-15</v>
          </cell>
          <cell r="BZ22">
            <v>-5.4545454545454564E-2</v>
          </cell>
          <cell r="CF22" t="str">
            <v xml:space="preserve">Aerospace </v>
          </cell>
          <cell r="CG22">
            <v>212</v>
          </cell>
          <cell r="CH22">
            <v>220.4</v>
          </cell>
          <cell r="CJ22">
            <v>168</v>
          </cell>
          <cell r="CK22">
            <v>44</v>
          </cell>
          <cell r="CL22">
            <v>0.26190476190476186</v>
          </cell>
          <cell r="CM22">
            <v>-8.4000000000000057</v>
          </cell>
          <cell r="CN22">
            <v>-3.8112522686025385E-2</v>
          </cell>
          <cell r="CT22" t="str">
            <v xml:space="preserve">Aerospace </v>
          </cell>
          <cell r="CU22">
            <v>226</v>
          </cell>
          <cell r="CV22">
            <v>222.3</v>
          </cell>
          <cell r="CW22">
            <v>165</v>
          </cell>
          <cell r="CX22">
            <v>61</v>
          </cell>
          <cell r="CY22">
            <v>0.36969696969696964</v>
          </cell>
          <cell r="DC22" t="str">
            <v xml:space="preserve">Aerospace </v>
          </cell>
          <cell r="DD22">
            <v>199</v>
          </cell>
          <cell r="DE22">
            <v>166</v>
          </cell>
          <cell r="DF22">
            <v>33</v>
          </cell>
          <cell r="DG22">
            <v>0.1987951807228916</v>
          </cell>
          <cell r="DK22" t="str">
            <v>Other</v>
          </cell>
          <cell r="DL22">
            <v>-14</v>
          </cell>
          <cell r="DM22">
            <v>-8</v>
          </cell>
          <cell r="DN22">
            <v>-13</v>
          </cell>
          <cell r="DO22">
            <v>-1</v>
          </cell>
          <cell r="DT22" t="str">
            <v>Other</v>
          </cell>
          <cell r="DU22">
            <v>-47</v>
          </cell>
          <cell r="DV22">
            <v>-44</v>
          </cell>
          <cell r="DW22">
            <v>-6</v>
          </cell>
          <cell r="DX22">
            <v>-41</v>
          </cell>
          <cell r="EC22" t="str">
            <v>Other</v>
          </cell>
          <cell r="ED22">
            <v>-12</v>
          </cell>
          <cell r="EE22">
            <v>-8</v>
          </cell>
          <cell r="EF22">
            <v>-10</v>
          </cell>
          <cell r="EG22">
            <v>-2</v>
          </cell>
          <cell r="EH22">
            <v>0.19999999999999996</v>
          </cell>
          <cell r="EL22" t="str">
            <v>Other</v>
          </cell>
          <cell r="EM22">
            <v>-13</v>
          </cell>
          <cell r="EN22">
            <v>-9</v>
          </cell>
          <cell r="EO22">
            <v>1</v>
          </cell>
          <cell r="EP22">
            <v>-14</v>
          </cell>
          <cell r="EQ22">
            <v>-14</v>
          </cell>
          <cell r="EU22" t="str">
            <v>Other</v>
          </cell>
          <cell r="EV22">
            <v>-13</v>
          </cell>
          <cell r="EW22">
            <v>9</v>
          </cell>
          <cell r="EX22">
            <v>-22</v>
          </cell>
          <cell r="EY22">
            <v>-2.4444444444444446</v>
          </cell>
          <cell r="FC22" t="str">
            <v>Other</v>
          </cell>
          <cell r="FD22">
            <v>-6</v>
          </cell>
          <cell r="FE22">
            <v>18</v>
          </cell>
          <cell r="FF22">
            <v>6</v>
          </cell>
          <cell r="FG22">
            <v>-12</v>
          </cell>
          <cell r="FH22">
            <v>-2</v>
          </cell>
          <cell r="FK22" t="str">
            <v>Other</v>
          </cell>
          <cell r="FL22">
            <v>-10</v>
          </cell>
          <cell r="FM22">
            <v>10</v>
          </cell>
          <cell r="FN22">
            <v>10</v>
          </cell>
          <cell r="FO22">
            <v>-20</v>
          </cell>
          <cell r="FP22">
            <v>-2</v>
          </cell>
          <cell r="FT22" t="str">
            <v>Interest, net</v>
          </cell>
          <cell r="FU22">
            <v>0.10492505353319058</v>
          </cell>
          <cell r="FV22">
            <v>-35</v>
          </cell>
          <cell r="FW22">
            <v>0.10425623387790198</v>
          </cell>
          <cell r="FX22">
            <v>6.6881965528860221E-4</v>
          </cell>
          <cell r="FY22">
            <v>6.4151526523763547E-3</v>
          </cell>
          <cell r="GC22" t="str">
            <v>Interest, net</v>
          </cell>
          <cell r="GD22">
            <v>-34</v>
          </cell>
          <cell r="GE22">
            <v>-32</v>
          </cell>
          <cell r="GF22">
            <v>-39</v>
          </cell>
          <cell r="GG22">
            <v>5</v>
          </cell>
          <cell r="GH22">
            <v>-0.12820512820512819</v>
          </cell>
          <cell r="GL22" t="str">
            <v>Interest, net</v>
          </cell>
          <cell r="GM22">
            <v>-148</v>
          </cell>
          <cell r="GN22">
            <v>-145</v>
          </cell>
          <cell r="GO22">
            <v>-98</v>
          </cell>
          <cell r="GP22">
            <v>-50</v>
          </cell>
          <cell r="GQ22">
            <v>0.51020408163265296</v>
          </cell>
        </row>
        <row r="23">
          <cell r="C23" t="str">
            <v>Corporate</v>
          </cell>
          <cell r="D23">
            <v>-22</v>
          </cell>
          <cell r="E23">
            <v>-21</v>
          </cell>
          <cell r="G23">
            <v>-20</v>
          </cell>
          <cell r="R23" t="str">
            <v>Corporate</v>
          </cell>
          <cell r="S23">
            <v>-75</v>
          </cell>
          <cell r="T23">
            <v>-80</v>
          </cell>
          <cell r="V23">
            <v>-61</v>
          </cell>
          <cell r="W23">
            <v>-14</v>
          </cell>
          <cell r="Y23">
            <v>5</v>
          </cell>
          <cell r="AE23" t="str">
            <v>Corporate</v>
          </cell>
          <cell r="AF23">
            <v>-19</v>
          </cell>
          <cell r="AG23">
            <v>-24</v>
          </cell>
          <cell r="AI23">
            <v>-19</v>
          </cell>
          <cell r="AJ23">
            <v>0</v>
          </cell>
          <cell r="AL23">
            <v>5</v>
          </cell>
          <cell r="AR23" t="str">
            <v>Corporate</v>
          </cell>
          <cell r="AS23">
            <v>-20</v>
          </cell>
          <cell r="AT23">
            <v>-18.75</v>
          </cell>
          <cell r="AV23">
            <v>-17</v>
          </cell>
          <cell r="AW23">
            <v>-3</v>
          </cell>
          <cell r="AX23">
            <v>0.17647058823529416</v>
          </cell>
          <cell r="AY23">
            <v>-1.25</v>
          </cell>
          <cell r="AZ23">
            <v>6.6666666666666652E-2</v>
          </cell>
          <cell r="BE23" t="str">
            <v xml:space="preserve">Aerospace </v>
          </cell>
          <cell r="BF23">
            <v>240</v>
          </cell>
          <cell r="BG23">
            <v>264.60000000000002</v>
          </cell>
          <cell r="BI23">
            <v>199</v>
          </cell>
          <cell r="BJ23">
            <v>41</v>
          </cell>
          <cell r="BK23">
            <v>0.20603015075376874</v>
          </cell>
          <cell r="BL23">
            <v>-24.600000000000023</v>
          </cell>
          <cell r="BM23">
            <v>-9.297052154195018E-2</v>
          </cell>
          <cell r="BR23" t="str">
            <v xml:space="preserve">Aerospace </v>
          </cell>
          <cell r="BS23">
            <v>236</v>
          </cell>
          <cell r="BT23">
            <v>205</v>
          </cell>
          <cell r="BV23">
            <v>173</v>
          </cell>
          <cell r="BW23">
            <v>63</v>
          </cell>
          <cell r="BX23">
            <v>0.36416184971098264</v>
          </cell>
          <cell r="BY23">
            <v>31</v>
          </cell>
          <cell r="BZ23">
            <v>0.15121951219512186</v>
          </cell>
          <cell r="CF23" t="str">
            <v>Corporate</v>
          </cell>
          <cell r="CG23">
            <v>-19</v>
          </cell>
          <cell r="CH23">
            <v>7</v>
          </cell>
          <cell r="CJ23">
            <v>-9</v>
          </cell>
          <cell r="CK23">
            <v>-10</v>
          </cell>
          <cell r="CL23">
            <v>1.1111111111111112</v>
          </cell>
          <cell r="CM23">
            <v>-26</v>
          </cell>
          <cell r="CN23" t="str">
            <v>N/A</v>
          </cell>
          <cell r="CT23" t="str">
            <v>Corporate</v>
          </cell>
          <cell r="CU23">
            <v>-17</v>
          </cell>
          <cell r="CV23">
            <v>-9</v>
          </cell>
          <cell r="CW23">
            <v>-12</v>
          </cell>
          <cell r="CX23">
            <v>-5</v>
          </cell>
          <cell r="CY23">
            <v>0.41666666666666674</v>
          </cell>
          <cell r="DC23" t="str">
            <v>Other</v>
          </cell>
          <cell r="DD23">
            <v>-11</v>
          </cell>
          <cell r="DE23">
            <v>-13</v>
          </cell>
          <cell r="DF23">
            <v>2</v>
          </cell>
          <cell r="DK23" t="str">
            <v>Total Operating Profit</v>
          </cell>
          <cell r="DL23">
            <v>681</v>
          </cell>
          <cell r="DM23">
            <v>667</v>
          </cell>
          <cell r="DN23">
            <v>596</v>
          </cell>
          <cell r="DO23">
            <v>85</v>
          </cell>
          <cell r="DP23">
            <v>0.14261744966442946</v>
          </cell>
          <cell r="DT23" t="str">
            <v>Total Operating Profit</v>
          </cell>
          <cell r="DU23">
            <v>2625</v>
          </cell>
          <cell r="DV23">
            <v>2676</v>
          </cell>
          <cell r="DW23">
            <v>2179</v>
          </cell>
          <cell r="DX23">
            <v>446</v>
          </cell>
          <cell r="DY23">
            <v>0.20468104635153739</v>
          </cell>
          <cell r="EC23" t="str">
            <v>Total Operating Profit</v>
          </cell>
          <cell r="ED23">
            <v>677</v>
          </cell>
          <cell r="EE23">
            <v>683</v>
          </cell>
          <cell r="EF23">
            <v>575</v>
          </cell>
          <cell r="EG23">
            <v>102</v>
          </cell>
          <cell r="EH23">
            <v>0.17739130434782613</v>
          </cell>
          <cell r="EL23" t="str">
            <v>Total Operating Profit</v>
          </cell>
          <cell r="EM23">
            <v>649</v>
          </cell>
          <cell r="EN23">
            <v>618</v>
          </cell>
          <cell r="EO23">
            <v>539</v>
          </cell>
          <cell r="EP23">
            <v>110</v>
          </cell>
          <cell r="EQ23">
            <v>0.20408163265306123</v>
          </cell>
          <cell r="EU23" t="str">
            <v>Total Operating Profit</v>
          </cell>
          <cell r="EV23">
            <v>596</v>
          </cell>
          <cell r="EW23">
            <v>460</v>
          </cell>
          <cell r="EX23">
            <v>136</v>
          </cell>
          <cell r="EY23">
            <v>0.29565217391304355</v>
          </cell>
          <cell r="FC23" t="str">
            <v>Total Operating Profit</v>
          </cell>
          <cell r="FD23">
            <v>2179</v>
          </cell>
          <cell r="FE23">
            <v>2219.6106490000002</v>
          </cell>
          <cell r="FF23">
            <v>1931</v>
          </cell>
          <cell r="FG23">
            <v>248</v>
          </cell>
          <cell r="FH23">
            <v>0.12843086483687216</v>
          </cell>
          <cell r="FK23" t="str">
            <v>Total Operating Profit</v>
          </cell>
          <cell r="FL23">
            <v>575</v>
          </cell>
          <cell r="FM23">
            <v>559</v>
          </cell>
          <cell r="FN23">
            <v>493</v>
          </cell>
          <cell r="FO23">
            <v>82</v>
          </cell>
          <cell r="FP23">
            <v>0.16632860040567943</v>
          </cell>
          <cell r="FT23" t="str">
            <v>Other</v>
          </cell>
          <cell r="FU23">
            <v>-29</v>
          </cell>
          <cell r="FV23">
            <v>0</v>
          </cell>
          <cell r="FW23">
            <v>-39</v>
          </cell>
          <cell r="FX23">
            <v>10</v>
          </cell>
          <cell r="GC23" t="str">
            <v>Other</v>
          </cell>
          <cell r="GD23">
            <v>-1</v>
          </cell>
          <cell r="GE23">
            <v>0</v>
          </cell>
          <cell r="GF23">
            <v>0</v>
          </cell>
          <cell r="GG23">
            <v>-1</v>
          </cell>
          <cell r="GL23" t="str">
            <v>Other</v>
          </cell>
          <cell r="GM23">
            <v>-9</v>
          </cell>
          <cell r="GN23">
            <v>-9</v>
          </cell>
          <cell r="GO23">
            <v>3</v>
          </cell>
          <cell r="GP23">
            <v>-12</v>
          </cell>
          <cell r="GQ23">
            <v>-4</v>
          </cell>
        </row>
        <row r="24">
          <cell r="C24" t="str">
            <v>Total Op. Profit</v>
          </cell>
          <cell r="D24">
            <v>945</v>
          </cell>
          <cell r="E24">
            <v>932.4</v>
          </cell>
          <cell r="F24">
            <v>917</v>
          </cell>
          <cell r="G24">
            <v>921</v>
          </cell>
          <cell r="H24">
            <v>24</v>
          </cell>
          <cell r="I24">
            <v>2.6058631921824116E-2</v>
          </cell>
          <cell r="J24">
            <v>12.600000000000023</v>
          </cell>
          <cell r="K24">
            <v>1.3513513513513598E-2</v>
          </cell>
          <cell r="L24">
            <v>28</v>
          </cell>
          <cell r="M24">
            <v>3.0534351145038219E-2</v>
          </cell>
          <cell r="R24" t="str">
            <v>Total Op. Profit</v>
          </cell>
          <cell r="S24">
            <v>3653</v>
          </cell>
          <cell r="T24">
            <v>3623.06</v>
          </cell>
          <cell r="U24">
            <v>3657</v>
          </cell>
          <cell r="V24">
            <v>3113</v>
          </cell>
          <cell r="W24">
            <v>540</v>
          </cell>
          <cell r="X24">
            <v>0.1734661098618695</v>
          </cell>
          <cell r="Y24">
            <v>29.940000000000055</v>
          </cell>
          <cell r="Z24">
            <v>8.2637328666927967E-3</v>
          </cell>
          <cell r="AA24">
            <v>-4</v>
          </cell>
          <cell r="AB24">
            <v>-1.0937927262784086E-3</v>
          </cell>
          <cell r="AE24" t="str">
            <v>Total Op. Profit</v>
          </cell>
          <cell r="AF24">
            <v>938</v>
          </cell>
          <cell r="AG24">
            <v>908.06</v>
          </cell>
          <cell r="AH24">
            <v>939</v>
          </cell>
          <cell r="AI24">
            <v>871</v>
          </cell>
          <cell r="AJ24">
            <v>67</v>
          </cell>
          <cell r="AK24">
            <v>7.6923076923076872E-2</v>
          </cell>
          <cell r="AL24">
            <v>29.940000000000055</v>
          </cell>
          <cell r="AM24">
            <v>3.2971389555756181E-2</v>
          </cell>
          <cell r="AN24">
            <v>-1</v>
          </cell>
          <cell r="AO24">
            <v>-1.0649627263046302E-3</v>
          </cell>
          <cell r="AR24" t="str">
            <v>Total Op. Profit</v>
          </cell>
          <cell r="AS24">
            <v>933</v>
          </cell>
          <cell r="AT24">
            <v>895.29</v>
          </cell>
          <cell r="AU24">
            <v>894</v>
          </cell>
          <cell r="AV24">
            <v>801</v>
          </cell>
          <cell r="AW24">
            <v>132</v>
          </cell>
          <cell r="AX24">
            <v>0.16479400749063666</v>
          </cell>
          <cell r="AY24">
            <v>37.710000000000036</v>
          </cell>
          <cell r="AZ24">
            <v>4.2120430251650243E-2</v>
          </cell>
          <cell r="BA24">
            <v>39</v>
          </cell>
          <cell r="BB24">
            <v>4.3624161073825496E-2</v>
          </cell>
          <cell r="BE24" t="str">
            <v>Corporate</v>
          </cell>
          <cell r="BF24">
            <v>-20</v>
          </cell>
          <cell r="BG24">
            <v>-18.75</v>
          </cell>
          <cell r="BI24">
            <v>-11</v>
          </cell>
          <cell r="BJ24">
            <v>-9</v>
          </cell>
          <cell r="BK24">
            <v>0.81818181818181812</v>
          </cell>
          <cell r="BL24">
            <v>-1.25</v>
          </cell>
          <cell r="BM24" t="str">
            <v>N/A</v>
          </cell>
          <cell r="BR24" t="str">
            <v>Corporate</v>
          </cell>
          <cell r="BS24">
            <v>-16</v>
          </cell>
          <cell r="BT24">
            <v>-16</v>
          </cell>
          <cell r="BV24">
            <v>-14</v>
          </cell>
          <cell r="BW24">
            <v>-2</v>
          </cell>
          <cell r="BX24">
            <v>0.14285714285714279</v>
          </cell>
          <cell r="BY24">
            <v>0</v>
          </cell>
          <cell r="BZ24" t="str">
            <v>N/A</v>
          </cell>
          <cell r="CF24" t="str">
            <v>Total Operating Profit</v>
          </cell>
          <cell r="CG24">
            <v>871</v>
          </cell>
          <cell r="CH24">
            <v>850.25</v>
          </cell>
          <cell r="CI24">
            <v>860.88040000000001</v>
          </cell>
          <cell r="CJ24">
            <v>703</v>
          </cell>
          <cell r="CK24">
            <v>168</v>
          </cell>
          <cell r="CL24">
            <v>0.23897581792318645</v>
          </cell>
          <cell r="CM24">
            <v>20.75</v>
          </cell>
          <cell r="CN24">
            <v>2.4404586886209945E-2</v>
          </cell>
          <cell r="CO24">
            <v>10.119599999999991</v>
          </cell>
          <cell r="CP24">
            <v>1.1754942963041026E-2</v>
          </cell>
          <cell r="CT24" t="str">
            <v>Total Operating Profit</v>
          </cell>
          <cell r="CU24">
            <v>801</v>
          </cell>
          <cell r="CV24">
            <v>801.9</v>
          </cell>
          <cell r="CW24">
            <v>677</v>
          </cell>
          <cell r="CX24">
            <v>124</v>
          </cell>
          <cell r="CY24">
            <v>0.18316100443131456</v>
          </cell>
          <cell r="DC24" t="str">
            <v>Total Operating Profit</v>
          </cell>
          <cell r="DD24">
            <v>760</v>
          </cell>
          <cell r="DE24">
            <v>649</v>
          </cell>
          <cell r="DF24">
            <v>111</v>
          </cell>
          <cell r="DG24">
            <v>0.17103235747303547</v>
          </cell>
          <cell r="DK24" t="str">
            <v>Operating Margins</v>
          </cell>
          <cell r="DT24" t="str">
            <v>Operating Margins</v>
          </cell>
          <cell r="EC24" t="str">
            <v>Interest, net</v>
          </cell>
          <cell r="ED24">
            <v>-34</v>
          </cell>
          <cell r="EE24">
            <v>-35</v>
          </cell>
          <cell r="EF24">
            <v>-30</v>
          </cell>
          <cell r="EG24">
            <v>-4</v>
          </cell>
          <cell r="EH24">
            <v>0.1333333333333333</v>
          </cell>
          <cell r="EL24" t="str">
            <v>Interest, net</v>
          </cell>
          <cell r="EM24">
            <v>-23</v>
          </cell>
          <cell r="EN24">
            <v>-20</v>
          </cell>
          <cell r="EO24">
            <v>-29</v>
          </cell>
          <cell r="EP24">
            <v>6</v>
          </cell>
          <cell r="EQ24">
            <v>-0.2068965517241379</v>
          </cell>
          <cell r="EU24" t="str">
            <v>Interest, net</v>
          </cell>
          <cell r="EV24">
            <v>-17</v>
          </cell>
          <cell r="EW24">
            <v>-34</v>
          </cell>
          <cell r="EX24">
            <v>17</v>
          </cell>
          <cell r="EY24">
            <v>-0.5</v>
          </cell>
          <cell r="FC24" t="str">
            <v>Interest, net</v>
          </cell>
          <cell r="FD24">
            <v>-118</v>
          </cell>
          <cell r="FE24">
            <v>-135.24139999999997</v>
          </cell>
          <cell r="FF24">
            <v>-148</v>
          </cell>
          <cell r="FG24">
            <v>30</v>
          </cell>
          <cell r="FH24">
            <v>-0.20270270270270274</v>
          </cell>
          <cell r="FK24" t="str">
            <v>Interest, net</v>
          </cell>
          <cell r="FL24">
            <v>-30</v>
          </cell>
          <cell r="FM24">
            <v>-32</v>
          </cell>
          <cell r="FN24">
            <v>-33</v>
          </cell>
          <cell r="FO24">
            <v>3</v>
          </cell>
          <cell r="FP24">
            <v>-9.0909090909090939E-2</v>
          </cell>
          <cell r="FT24" t="str">
            <v>Pretax Inc</v>
          </cell>
          <cell r="FU24">
            <v>511</v>
          </cell>
          <cell r="FV24">
            <v>496</v>
          </cell>
          <cell r="FW24">
            <v>434</v>
          </cell>
          <cell r="FX24">
            <v>77</v>
          </cell>
          <cell r="FY24">
            <v>0.17741935483870974</v>
          </cell>
          <cell r="GC24" t="str">
            <v>Pretax Inc</v>
          </cell>
          <cell r="GD24">
            <v>425</v>
          </cell>
          <cell r="GE24">
            <v>463</v>
          </cell>
          <cell r="GF24">
            <v>397</v>
          </cell>
          <cell r="GG24">
            <v>28</v>
          </cell>
          <cell r="GH24">
            <v>7.0528967254408048E-2</v>
          </cell>
          <cell r="GL24" t="str">
            <v>Pretax Inc</v>
          </cell>
          <cell r="GM24">
            <v>1774</v>
          </cell>
          <cell r="GN24">
            <v>1819</v>
          </cell>
          <cell r="GO24">
            <v>1347</v>
          </cell>
          <cell r="GP24">
            <v>427</v>
          </cell>
          <cell r="GQ24">
            <v>0.31700074239049747</v>
          </cell>
        </row>
        <row r="25">
          <cell r="BE25" t="str">
            <v>Total Operating Profit</v>
          </cell>
          <cell r="BF25">
            <v>921</v>
          </cell>
          <cell r="BG25">
            <v>845.70500000000004</v>
          </cell>
          <cell r="BH25">
            <v>872</v>
          </cell>
          <cell r="BI25">
            <v>760</v>
          </cell>
          <cell r="BJ25">
            <v>161</v>
          </cell>
          <cell r="BK25">
            <v>0.21184210526315783</v>
          </cell>
          <cell r="BL25">
            <v>75.294999999999959</v>
          </cell>
          <cell r="BM25">
            <v>8.9032227549795673E-2</v>
          </cell>
          <cell r="BN25">
            <v>49</v>
          </cell>
          <cell r="BO25">
            <v>5.6192660550458795E-2</v>
          </cell>
          <cell r="BR25" t="str">
            <v>Total Operating Profit</v>
          </cell>
          <cell r="BS25">
            <v>861</v>
          </cell>
          <cell r="BT25">
            <v>780.125</v>
          </cell>
          <cell r="BU25">
            <v>784</v>
          </cell>
          <cell r="BV25">
            <v>681</v>
          </cell>
          <cell r="BW25">
            <v>180</v>
          </cell>
          <cell r="BX25">
            <v>0.26431718061674014</v>
          </cell>
          <cell r="BY25">
            <v>80.875</v>
          </cell>
          <cell r="BZ25">
            <v>0.10366928376862683</v>
          </cell>
          <cell r="CA25">
            <v>77</v>
          </cell>
          <cell r="CB25">
            <v>9.8214285714285809E-2</v>
          </cell>
          <cell r="CF25" t="str">
            <v>Interest, net</v>
          </cell>
          <cell r="CG25">
            <v>-11</v>
          </cell>
          <cell r="CH25">
            <v>-11</v>
          </cell>
          <cell r="CJ25">
            <v>-27</v>
          </cell>
          <cell r="CK25">
            <v>16</v>
          </cell>
          <cell r="CL25">
            <v>-0.59259259259259256</v>
          </cell>
          <cell r="CM25">
            <v>0</v>
          </cell>
          <cell r="CN25" t="str">
            <v>N/A</v>
          </cell>
          <cell r="CT25" t="str">
            <v>Interest, net</v>
          </cell>
          <cell r="CU25">
            <v>-12</v>
          </cell>
          <cell r="CV25">
            <v>-21</v>
          </cell>
          <cell r="CW25">
            <v>-34</v>
          </cell>
          <cell r="CX25">
            <v>22</v>
          </cell>
          <cell r="CY25">
            <v>-0.64705882352941169</v>
          </cell>
          <cell r="DC25" t="str">
            <v>Operating Margins</v>
          </cell>
          <cell r="DK25" t="str">
            <v>Marine Group</v>
          </cell>
          <cell r="DL25">
            <v>7.7963404932378674E-2</v>
          </cell>
          <cell r="DM25">
            <v>7.8431372549019607E-2</v>
          </cell>
          <cell r="DN25">
            <v>7.6078431372549021E-2</v>
          </cell>
          <cell r="DO25">
            <v>20.000000000000018</v>
          </cell>
          <cell r="DP25" t="str">
            <v>bps</v>
          </cell>
          <cell r="DT25" t="str">
            <v>Marine Group</v>
          </cell>
          <cell r="DU25">
            <v>7.5910931174089064E-2</v>
          </cell>
          <cell r="DV25">
            <v>7.4999999999999997E-2</v>
          </cell>
          <cell r="DW25">
            <v>5.3035143769968054E-2</v>
          </cell>
          <cell r="DX25">
            <v>2.2875787404121009E-2</v>
          </cell>
          <cell r="EC25" t="str">
            <v>Other</v>
          </cell>
          <cell r="ED25">
            <v>1</v>
          </cell>
          <cell r="EE25">
            <v>0</v>
          </cell>
          <cell r="EF25">
            <v>-4</v>
          </cell>
          <cell r="EG25">
            <v>5</v>
          </cell>
          <cell r="EL25" t="str">
            <v>Other</v>
          </cell>
          <cell r="EM25">
            <v>2</v>
          </cell>
          <cell r="EN25">
            <v>0</v>
          </cell>
          <cell r="EO25">
            <v>1</v>
          </cell>
          <cell r="EP25">
            <v>1</v>
          </cell>
          <cell r="EU25" t="str">
            <v>Other</v>
          </cell>
          <cell r="EV25">
            <v>0</v>
          </cell>
          <cell r="EW25">
            <v>-1</v>
          </cell>
          <cell r="EX25">
            <v>1</v>
          </cell>
          <cell r="FC25" t="str">
            <v>Other</v>
          </cell>
          <cell r="FD25">
            <v>8</v>
          </cell>
          <cell r="FE25">
            <v>0</v>
          </cell>
          <cell r="FF25">
            <v>-9</v>
          </cell>
          <cell r="FG25">
            <v>17</v>
          </cell>
          <cell r="FK25" t="str">
            <v>Other</v>
          </cell>
          <cell r="FL25">
            <v>-4</v>
          </cell>
          <cell r="FM25">
            <v>1</v>
          </cell>
          <cell r="FN25">
            <v>3</v>
          </cell>
          <cell r="FO25">
            <v>-7</v>
          </cell>
          <cell r="FT25" t="str">
            <v>Eff Tax Rate</v>
          </cell>
          <cell r="FU25">
            <v>0.33855185909980429</v>
          </cell>
          <cell r="FV25">
            <v>0.32500000000000001</v>
          </cell>
          <cell r="FW25">
            <v>0.33179723502304148</v>
          </cell>
          <cell r="GC25" t="str">
            <v>Eff Tax Rate</v>
          </cell>
          <cell r="GD25">
            <v>0.16941176470588235</v>
          </cell>
          <cell r="GE25">
            <v>0.32500000000000001</v>
          </cell>
          <cell r="GF25">
            <v>0.33250000000000002</v>
          </cell>
          <cell r="GL25" t="str">
            <v>Eff Tax Rate</v>
          </cell>
          <cell r="GM25">
            <v>0.32694475760992109</v>
          </cell>
          <cell r="GN25">
            <v>0.32500000000000001</v>
          </cell>
          <cell r="GO25">
            <v>0.27319970304380103</v>
          </cell>
        </row>
        <row r="26">
          <cell r="C26" t="str">
            <v>Interest, net</v>
          </cell>
          <cell r="D26">
            <v>-38</v>
          </cell>
          <cell r="E26">
            <v>-37</v>
          </cell>
          <cell r="F26">
            <v>-35</v>
          </cell>
          <cell r="G26">
            <v>-12</v>
          </cell>
          <cell r="H26">
            <v>-26</v>
          </cell>
          <cell r="I26">
            <v>2.1666666666666665</v>
          </cell>
          <cell r="J26">
            <v>-1</v>
          </cell>
          <cell r="K26">
            <v>2.7027027027026973E-2</v>
          </cell>
          <cell r="L26">
            <v>-3</v>
          </cell>
          <cell r="M26">
            <v>8.5714285714285632E-2</v>
          </cell>
          <cell r="R26" t="str">
            <v>Interest, net</v>
          </cell>
          <cell r="S26">
            <v>-66</v>
          </cell>
          <cell r="T26">
            <v>-60.55</v>
          </cell>
          <cell r="U26">
            <v>-54</v>
          </cell>
          <cell r="V26">
            <v>-70</v>
          </cell>
          <cell r="W26">
            <v>4</v>
          </cell>
          <cell r="Y26">
            <v>-5.4500000000000028</v>
          </cell>
          <cell r="AA26">
            <v>-12</v>
          </cell>
          <cell r="AE26" t="str">
            <v>Interest, net</v>
          </cell>
          <cell r="AF26">
            <v>-24</v>
          </cell>
          <cell r="AG26">
            <v>-18.55</v>
          </cell>
          <cell r="AH26">
            <v>-12</v>
          </cell>
          <cell r="AI26">
            <v>-11</v>
          </cell>
          <cell r="AJ26">
            <v>-13</v>
          </cell>
          <cell r="AL26">
            <v>-5.4499999999999993</v>
          </cell>
          <cell r="AN26">
            <v>-12</v>
          </cell>
          <cell r="AO26">
            <v>1</v>
          </cell>
          <cell r="AR26" t="str">
            <v>Interest, net</v>
          </cell>
          <cell r="AS26">
            <v>-11</v>
          </cell>
          <cell r="AT26">
            <v>-12</v>
          </cell>
          <cell r="AV26">
            <v>-12</v>
          </cell>
          <cell r="AW26">
            <v>1</v>
          </cell>
          <cell r="AX26">
            <v>-8.333333333333337E-2</v>
          </cell>
          <cell r="AY26">
            <v>1</v>
          </cell>
          <cell r="AZ26">
            <v>-8.333333333333337E-2</v>
          </cell>
          <cell r="CF26" t="str">
            <v>Other</v>
          </cell>
          <cell r="CG26">
            <v>0</v>
          </cell>
          <cell r="CH26">
            <v>0</v>
          </cell>
          <cell r="CJ26">
            <v>0</v>
          </cell>
          <cell r="CK26">
            <v>0</v>
          </cell>
          <cell r="CL26" t="str">
            <v>N/A</v>
          </cell>
          <cell r="CM26">
            <v>0</v>
          </cell>
          <cell r="CN26" t="str">
            <v>N/A</v>
          </cell>
          <cell r="CT26" t="str">
            <v>Other</v>
          </cell>
          <cell r="CU26">
            <v>2</v>
          </cell>
          <cell r="CV26">
            <v>0</v>
          </cell>
          <cell r="CW26">
            <v>1</v>
          </cell>
          <cell r="CX26">
            <v>1</v>
          </cell>
          <cell r="CY26">
            <v>1</v>
          </cell>
          <cell r="DC26" t="str">
            <v>Marine Group</v>
          </cell>
          <cell r="DD26">
            <v>8.8050314465408799E-2</v>
          </cell>
          <cell r="DE26">
            <v>7.266982622432859E-2</v>
          </cell>
          <cell r="DF26">
            <v>150</v>
          </cell>
          <cell r="DK26" t="str">
            <v>Combat Sys</v>
          </cell>
          <cell r="DL26">
            <v>0.11096938775510204</v>
          </cell>
          <cell r="DM26">
            <v>0.10847457627118644</v>
          </cell>
          <cell r="DN26">
            <v>0.10737764791818846</v>
          </cell>
          <cell r="DO26">
            <v>40.000000000000036</v>
          </cell>
          <cell r="DP26" t="str">
            <v>bps</v>
          </cell>
          <cell r="DT26" t="str">
            <v>Combat Sys</v>
          </cell>
          <cell r="DU26">
            <v>0.1131539361524319</v>
          </cell>
          <cell r="DV26">
            <v>0.11764705882352941</v>
          </cell>
          <cell r="DW26">
            <v>0.11471818362875921</v>
          </cell>
          <cell r="DX26">
            <v>-1.5642474763273156E-3</v>
          </cell>
          <cell r="EC26" t="str">
            <v>Pretax Inc</v>
          </cell>
          <cell r="ED26">
            <v>644</v>
          </cell>
          <cell r="EE26">
            <v>648</v>
          </cell>
          <cell r="EF26">
            <v>541</v>
          </cell>
          <cell r="EG26">
            <v>103</v>
          </cell>
          <cell r="EH26">
            <v>0.19038817005545283</v>
          </cell>
          <cell r="EL26" t="str">
            <v>Pretax Inc</v>
          </cell>
          <cell r="EM26">
            <v>628</v>
          </cell>
          <cell r="EN26">
            <v>598</v>
          </cell>
          <cell r="EO26">
            <v>511</v>
          </cell>
          <cell r="EP26">
            <v>117</v>
          </cell>
          <cell r="EQ26">
            <v>0.22896281800391383</v>
          </cell>
          <cell r="EU26" t="str">
            <v>Pretax Inc</v>
          </cell>
          <cell r="EV26">
            <v>579</v>
          </cell>
          <cell r="EW26">
            <v>425</v>
          </cell>
          <cell r="EX26">
            <v>154</v>
          </cell>
          <cell r="EY26">
            <v>0.36235294117647054</v>
          </cell>
          <cell r="FC26" t="str">
            <v>Pretax Inc</v>
          </cell>
          <cell r="FD26">
            <v>2069</v>
          </cell>
          <cell r="FE26">
            <v>2084.3692490000003</v>
          </cell>
          <cell r="FF26">
            <v>1774</v>
          </cell>
          <cell r="FG26">
            <v>295</v>
          </cell>
          <cell r="FH26">
            <v>0.16629086809470128</v>
          </cell>
          <cell r="FK26" t="str">
            <v>Pretax Inc</v>
          </cell>
          <cell r="FL26">
            <v>541</v>
          </cell>
          <cell r="FM26">
            <v>528</v>
          </cell>
          <cell r="FN26">
            <v>463</v>
          </cell>
          <cell r="FO26">
            <v>78</v>
          </cell>
          <cell r="FP26">
            <v>0.16846652267818585</v>
          </cell>
          <cell r="FT26" t="str">
            <v>Net Income</v>
          </cell>
          <cell r="FU26">
            <v>338.00000000000006</v>
          </cell>
          <cell r="FV26">
            <v>335</v>
          </cell>
          <cell r="FW26">
            <v>290</v>
          </cell>
          <cell r="FX26">
            <v>48.000000000000057</v>
          </cell>
          <cell r="FY26">
            <v>0.16551724137931045</v>
          </cell>
          <cell r="GC26" t="str">
            <v>Net Income</v>
          </cell>
          <cell r="GD26">
            <v>353</v>
          </cell>
          <cell r="GE26">
            <v>313</v>
          </cell>
          <cell r="GF26">
            <v>264.9975</v>
          </cell>
          <cell r="GG26">
            <v>88.002499999999998</v>
          </cell>
          <cell r="GH26">
            <v>0.33208803856640157</v>
          </cell>
          <cell r="GL26" t="str">
            <v>Net Income</v>
          </cell>
          <cell r="GM26">
            <v>1194</v>
          </cell>
          <cell r="GN26">
            <v>1228</v>
          </cell>
          <cell r="GO26">
            <v>979</v>
          </cell>
          <cell r="GP26">
            <v>215</v>
          </cell>
          <cell r="GQ26">
            <v>0.21961184882533202</v>
          </cell>
        </row>
        <row r="27">
          <cell r="C27" t="str">
            <v>Other</v>
          </cell>
          <cell r="D27">
            <v>0</v>
          </cell>
          <cell r="E27">
            <v>0</v>
          </cell>
          <cell r="G27">
            <v>0</v>
          </cell>
          <cell r="R27" t="str">
            <v>Other</v>
          </cell>
          <cell r="S27">
            <v>17</v>
          </cell>
          <cell r="T27">
            <v>3</v>
          </cell>
          <cell r="V27">
            <v>4</v>
          </cell>
          <cell r="W27">
            <v>13</v>
          </cell>
          <cell r="Y27">
            <v>14</v>
          </cell>
          <cell r="AE27" t="str">
            <v>Other</v>
          </cell>
          <cell r="AF27">
            <v>14</v>
          </cell>
          <cell r="AG27">
            <v>0</v>
          </cell>
          <cell r="AI27">
            <v>0</v>
          </cell>
          <cell r="AJ27">
            <v>14</v>
          </cell>
          <cell r="AL27">
            <v>14</v>
          </cell>
          <cell r="AR27" t="str">
            <v>Other</v>
          </cell>
          <cell r="AS27">
            <v>0</v>
          </cell>
          <cell r="AT27">
            <v>2</v>
          </cell>
          <cell r="AV27">
            <v>2</v>
          </cell>
          <cell r="AW27">
            <v>-2</v>
          </cell>
          <cell r="AX27">
            <v>-1</v>
          </cell>
          <cell r="AY27">
            <v>-2</v>
          </cell>
          <cell r="AZ27">
            <v>-1</v>
          </cell>
          <cell r="BE27" t="str">
            <v>Interest, net</v>
          </cell>
          <cell r="BF27">
            <v>-12</v>
          </cell>
          <cell r="BG27">
            <v>-2</v>
          </cell>
          <cell r="BI27">
            <v>-21</v>
          </cell>
          <cell r="BJ27">
            <v>9</v>
          </cell>
          <cell r="BK27">
            <v>-0.4285714285714286</v>
          </cell>
          <cell r="BL27">
            <v>-10</v>
          </cell>
          <cell r="BM27" t="str">
            <v>N/A</v>
          </cell>
          <cell r="BR27" t="str">
            <v>Interest, net</v>
          </cell>
          <cell r="BS27">
            <v>-19</v>
          </cell>
          <cell r="BT27">
            <v>-6</v>
          </cell>
          <cell r="BV27">
            <v>-26</v>
          </cell>
          <cell r="BW27">
            <v>7</v>
          </cell>
          <cell r="BX27">
            <v>-0.26923076923076927</v>
          </cell>
          <cell r="BY27">
            <v>-13</v>
          </cell>
          <cell r="BZ27" t="str">
            <v>N/A</v>
          </cell>
          <cell r="CF27" t="str">
            <v>Pretax Inc</v>
          </cell>
          <cell r="CG27">
            <v>860</v>
          </cell>
          <cell r="CH27">
            <v>839.25</v>
          </cell>
          <cell r="CI27">
            <v>847.55050000000006</v>
          </cell>
          <cell r="CJ27">
            <v>676</v>
          </cell>
          <cell r="CK27">
            <v>184</v>
          </cell>
          <cell r="CL27">
            <v>0.27218934911242609</v>
          </cell>
          <cell r="CM27">
            <v>20.75</v>
          </cell>
          <cell r="CN27">
            <v>2.4724456359844993E-2</v>
          </cell>
          <cell r="CO27">
            <v>12.449499999999944</v>
          </cell>
          <cell r="CP27">
            <v>1.468880025438013E-2</v>
          </cell>
          <cell r="CT27" t="str">
            <v>Pretax Inc</v>
          </cell>
          <cell r="CU27">
            <v>791</v>
          </cell>
          <cell r="CV27">
            <v>780.9</v>
          </cell>
          <cell r="CW27">
            <v>644</v>
          </cell>
          <cell r="CX27">
            <v>147</v>
          </cell>
          <cell r="CY27">
            <v>0.22826086956521729</v>
          </cell>
          <cell r="DC27" t="str">
            <v>Combat Sys</v>
          </cell>
          <cell r="DD27">
            <v>0.11156542056074767</v>
          </cell>
          <cell r="DE27">
            <v>0.11911357340720222</v>
          </cell>
          <cell r="DF27">
            <v>-69.999999999999929</v>
          </cell>
          <cell r="DK27" t="str">
            <v>Info Sys &amp; Tech</v>
          </cell>
          <cell r="DL27">
            <v>0.10499790004199916</v>
          </cell>
          <cell r="DM27">
            <v>0.10859728506787331</v>
          </cell>
          <cell r="DN27">
            <v>0.11150532184490623</v>
          </cell>
          <cell r="DO27">
            <v>-70.000000000000057</v>
          </cell>
          <cell r="DP27" t="str">
            <v>bps</v>
          </cell>
          <cell r="DT27" t="str">
            <v>Info Sys &amp; Tech</v>
          </cell>
          <cell r="DU27">
            <v>0.10815602836879433</v>
          </cell>
          <cell r="DV27">
            <v>0.11</v>
          </cell>
          <cell r="DW27">
            <v>0.11052900587784309</v>
          </cell>
          <cell r="DX27">
            <v>-2.3729775090487598E-3</v>
          </cell>
          <cell r="EC27" t="str">
            <v>Eff Tax Rate</v>
          </cell>
          <cell r="ED27">
            <v>0.31677018633540371</v>
          </cell>
          <cell r="EE27">
            <v>0.33300000000000002</v>
          </cell>
          <cell r="EF27">
            <v>0.32717190388170053</v>
          </cell>
          <cell r="EL27" t="str">
            <v>Eff Tax Rate</v>
          </cell>
          <cell r="EM27">
            <v>0.33121019108280253</v>
          </cell>
          <cell r="EN27">
            <v>0.33500000000000002</v>
          </cell>
          <cell r="EO27">
            <v>0.33855185909980429</v>
          </cell>
          <cell r="EU27" t="str">
            <v>Eff Tax Rate</v>
          </cell>
          <cell r="EV27">
            <v>0.33160621761658032</v>
          </cell>
          <cell r="EW27">
            <v>0.16941176470588235</v>
          </cell>
          <cell r="FC27" t="str">
            <v>Eff Tax Rate</v>
          </cell>
          <cell r="FD27">
            <v>0.3001449975833736</v>
          </cell>
          <cell r="FE27">
            <v>0.30299999999999999</v>
          </cell>
          <cell r="FF27">
            <v>0.32694475760992109</v>
          </cell>
          <cell r="FK27" t="str">
            <v>Eff Tax Rate</v>
          </cell>
          <cell r="FL27">
            <v>0.32717190388170053</v>
          </cell>
          <cell r="FM27">
            <v>0.33100000000000002</v>
          </cell>
          <cell r="FN27">
            <v>0.30885529157667385</v>
          </cell>
          <cell r="FT27" t="str">
            <v>EPS</v>
          </cell>
          <cell r="FU27">
            <v>0.8358111465821999</v>
          </cell>
          <cell r="FV27">
            <v>1.66</v>
          </cell>
          <cell r="FW27">
            <v>0.72139303482587069</v>
          </cell>
          <cell r="FX27">
            <v>0.11441811175632921</v>
          </cell>
          <cell r="FY27">
            <v>0.15860717560704951</v>
          </cell>
          <cell r="GC27" t="str">
            <v>EPS</v>
          </cell>
          <cell r="GD27">
            <v>0.87365955256335326</v>
          </cell>
          <cell r="GE27">
            <v>1.55</v>
          </cell>
          <cell r="GF27">
            <v>0.66149098919457006</v>
          </cell>
          <cell r="GG27">
            <v>0.2121685633687832</v>
          </cell>
          <cell r="GH27">
            <v>0.32074293805138465</v>
          </cell>
          <cell r="GL27" t="str">
            <v>EPS</v>
          </cell>
          <cell r="GM27">
            <v>2.9632644552209539</v>
          </cell>
          <cell r="GN27">
            <v>6.1</v>
          </cell>
          <cell r="GO27">
            <v>2.457921587531132</v>
          </cell>
          <cell r="GP27">
            <v>0.50534286768982195</v>
          </cell>
          <cell r="GQ27">
            <v>0.20559763592678948</v>
          </cell>
        </row>
        <row r="28">
          <cell r="C28" t="str">
            <v>Pretax Inc</v>
          </cell>
          <cell r="D28">
            <v>907</v>
          </cell>
          <cell r="E28">
            <v>895.4</v>
          </cell>
          <cell r="F28">
            <v>882</v>
          </cell>
          <cell r="G28">
            <v>909</v>
          </cell>
          <cell r="H28">
            <v>-2</v>
          </cell>
          <cell r="I28">
            <v>-2.2002200220021528E-3</v>
          </cell>
          <cell r="J28">
            <v>11.600000000000023</v>
          </cell>
          <cell r="K28">
            <v>1.295510386419485E-2</v>
          </cell>
          <cell r="L28">
            <v>25</v>
          </cell>
          <cell r="M28">
            <v>2.8344671201814053E-2</v>
          </cell>
          <cell r="R28" t="str">
            <v>Pretax Inc</v>
          </cell>
          <cell r="S28">
            <v>3604</v>
          </cell>
          <cell r="T28">
            <v>3565.51</v>
          </cell>
          <cell r="U28">
            <v>3603</v>
          </cell>
          <cell r="V28">
            <v>3047</v>
          </cell>
          <cell r="W28">
            <v>557</v>
          </cell>
          <cell r="X28">
            <v>0.18280275680997704</v>
          </cell>
          <cell r="Y28">
            <v>38.489999999999782</v>
          </cell>
          <cell r="Z28">
            <v>1.0795089622522402E-2</v>
          </cell>
          <cell r="AA28">
            <v>1</v>
          </cell>
          <cell r="AB28">
            <v>2.7754648903699497E-4</v>
          </cell>
          <cell r="AE28" t="str">
            <v>Pretax Inc</v>
          </cell>
          <cell r="AF28">
            <v>928</v>
          </cell>
          <cell r="AG28">
            <v>889.51</v>
          </cell>
          <cell r="AH28">
            <v>927</v>
          </cell>
          <cell r="AI28">
            <v>860</v>
          </cell>
          <cell r="AJ28">
            <v>68</v>
          </cell>
          <cell r="AK28">
            <v>7.9069767441860561E-2</v>
          </cell>
          <cell r="AL28">
            <v>38.490000000000009</v>
          </cell>
          <cell r="AM28">
            <v>4.3271014378702954E-2</v>
          </cell>
          <cell r="AN28">
            <v>1</v>
          </cell>
          <cell r="AO28">
            <v>1.0787486515642097E-3</v>
          </cell>
          <cell r="AR28" t="str">
            <v>Pretax Inc</v>
          </cell>
          <cell r="AS28">
            <v>922</v>
          </cell>
          <cell r="AT28">
            <v>885.29</v>
          </cell>
          <cell r="AU28">
            <v>885</v>
          </cell>
          <cell r="AV28">
            <v>791</v>
          </cell>
          <cell r="AW28">
            <v>131</v>
          </cell>
          <cell r="AX28">
            <v>0.16561314791403281</v>
          </cell>
          <cell r="AY28">
            <v>36.710000000000036</v>
          </cell>
          <cell r="AZ28">
            <v>4.1466638050808191E-2</v>
          </cell>
          <cell r="BA28">
            <v>37</v>
          </cell>
          <cell r="BB28">
            <v>4.1807909604519855E-2</v>
          </cell>
          <cell r="BE28" t="str">
            <v>Other</v>
          </cell>
          <cell r="BF28">
            <v>0</v>
          </cell>
          <cell r="BG28">
            <v>2</v>
          </cell>
          <cell r="BI28">
            <v>1</v>
          </cell>
          <cell r="BJ28">
            <v>-1</v>
          </cell>
          <cell r="BK28" t="str">
            <v>N/A</v>
          </cell>
          <cell r="BL28">
            <v>-2</v>
          </cell>
          <cell r="BM28" t="str">
            <v>N/A</v>
          </cell>
          <cell r="BR28" t="str">
            <v>Other</v>
          </cell>
          <cell r="BS28">
            <v>3</v>
          </cell>
          <cell r="BT28">
            <v>0</v>
          </cell>
          <cell r="BV28">
            <v>1</v>
          </cell>
          <cell r="BW28">
            <v>2</v>
          </cell>
          <cell r="BX28">
            <v>2</v>
          </cell>
          <cell r="BY28">
            <v>3</v>
          </cell>
          <cell r="BZ28" t="str">
            <v>N/A</v>
          </cell>
          <cell r="CF28" t="str">
            <v>Eff Tax Rate</v>
          </cell>
          <cell r="CG28">
            <v>0.32790693837209323</v>
          </cell>
          <cell r="CH28">
            <v>0.32325882275841566</v>
          </cell>
          <cell r="CJ28">
            <v>0.3150887573964497</v>
          </cell>
          <cell r="CK28">
            <v>128.18180975643523</v>
          </cell>
          <cell r="CM28">
            <v>46.481156136775617</v>
          </cell>
          <cell r="CT28" t="str">
            <v>Eff Tax Rate</v>
          </cell>
          <cell r="CU28">
            <v>0.31226300000000001</v>
          </cell>
          <cell r="CV28">
            <v>0.32</v>
          </cell>
          <cell r="CW28">
            <v>0.31677018633540371</v>
          </cell>
          <cell r="CX28">
            <v>-45.071863354037013</v>
          </cell>
          <cell r="DC28" t="str">
            <v>Info Sys &amp; Tech</v>
          </cell>
          <cell r="DD28">
            <v>0.11213005418924551</v>
          </cell>
          <cell r="DE28">
            <v>0.10755679184051924</v>
          </cell>
          <cell r="DF28">
            <v>40.000000000000036</v>
          </cell>
          <cell r="DK28" t="str">
            <v>Aerospace</v>
          </cell>
          <cell r="DL28">
            <v>0.15813528336380256</v>
          </cell>
          <cell r="DM28">
            <v>0.15555555555555556</v>
          </cell>
          <cell r="DN28">
            <v>0.15608180839612487</v>
          </cell>
          <cell r="DO28">
            <v>20.000000000000018</v>
          </cell>
          <cell r="DP28" t="str">
            <v>bps</v>
          </cell>
          <cell r="DT28" t="str">
            <v>Aerospace</v>
          </cell>
          <cell r="DU28">
            <v>0.15646258503401361</v>
          </cell>
          <cell r="DV28">
            <v>0.158</v>
          </cell>
          <cell r="DW28">
            <v>0.14418875618992136</v>
          </cell>
          <cell r="DX28">
            <v>1.2273828844092255E-2</v>
          </cell>
          <cell r="EC28" t="str">
            <v>Net Income</v>
          </cell>
          <cell r="ED28">
            <v>440</v>
          </cell>
          <cell r="EE28">
            <v>432.21600000000001</v>
          </cell>
          <cell r="EF28">
            <v>364.00000000000006</v>
          </cell>
          <cell r="EG28">
            <v>75.999999999999943</v>
          </cell>
          <cell r="EH28">
            <v>0.20879120879120849</v>
          </cell>
          <cell r="EL28" t="str">
            <v>Net Income</v>
          </cell>
          <cell r="EM28">
            <v>420.00000000000006</v>
          </cell>
          <cell r="EN28">
            <v>397.67</v>
          </cell>
          <cell r="EO28">
            <v>338.00000000000006</v>
          </cell>
          <cell r="EP28">
            <v>82</v>
          </cell>
          <cell r="EQ28">
            <v>0.24260355029585789</v>
          </cell>
          <cell r="EU28" t="str">
            <v>Net Income</v>
          </cell>
          <cell r="EV28">
            <v>386.99999999999994</v>
          </cell>
          <cell r="EW28">
            <v>353</v>
          </cell>
          <cell r="EX28">
            <v>33.999999999999943</v>
          </cell>
          <cell r="EY28">
            <v>9.6317280453257714E-2</v>
          </cell>
          <cell r="FC28" t="str">
            <v>Net Income</v>
          </cell>
          <cell r="FD28">
            <v>1448</v>
          </cell>
          <cell r="FE28">
            <v>1452.8053665530003</v>
          </cell>
          <cell r="FF28">
            <v>1194</v>
          </cell>
          <cell r="FG28">
            <v>254</v>
          </cell>
          <cell r="FH28">
            <v>0.21273031825795652</v>
          </cell>
          <cell r="FK28" t="str">
            <v>Net Income</v>
          </cell>
          <cell r="FL28">
            <v>364.00000000000006</v>
          </cell>
          <cell r="FM28">
            <v>353.23200000000003</v>
          </cell>
          <cell r="FN28">
            <v>320.00000000000006</v>
          </cell>
          <cell r="FO28">
            <v>44</v>
          </cell>
          <cell r="FP28">
            <v>0.13749999999999996</v>
          </cell>
          <cell r="FT28" t="str">
            <v>Discont Ops</v>
          </cell>
          <cell r="FU28">
            <v>5.0000000000000001E-3</v>
          </cell>
          <cell r="FV28">
            <v>0</v>
          </cell>
          <cell r="FW28">
            <v>2.4875621890547265E-2</v>
          </cell>
          <cell r="GC28" t="str">
            <v>Discont Ops</v>
          </cell>
          <cell r="GD28">
            <v>-4.2074256072456108E-2</v>
          </cell>
          <cell r="GE28">
            <v>0</v>
          </cell>
          <cell r="GF28">
            <v>9.9848638450486527E-3</v>
          </cell>
          <cell r="GL28" t="str">
            <v>Discont Ops</v>
          </cell>
          <cell r="GM28">
            <v>5.459951257526046E-2</v>
          </cell>
          <cell r="GN28">
            <v>0.02</v>
          </cell>
          <cell r="GO28">
            <v>5.5234192978227688E-2</v>
          </cell>
        </row>
        <row r="29">
          <cell r="C29" t="str">
            <v>Eff Tax Rate</v>
          </cell>
          <cell r="D29">
            <v>0.31477398015435504</v>
          </cell>
          <cell r="E29">
            <v>0.316</v>
          </cell>
          <cell r="F29">
            <v>0.31632653061224492</v>
          </cell>
          <cell r="G29">
            <v>0.33333333333333331</v>
          </cell>
          <cell r="H29">
            <v>-185.59353178978279</v>
          </cell>
          <cell r="J29">
            <v>-12.260198456449656</v>
          </cell>
          <cell r="L29">
            <v>-15.525504578898786</v>
          </cell>
          <cell r="R29" t="str">
            <v>Eff Tax Rate</v>
          </cell>
          <cell r="S29">
            <v>0.32214206437291898</v>
          </cell>
          <cell r="T29">
            <v>0.32</v>
          </cell>
          <cell r="U29">
            <v>0.30585623091867886</v>
          </cell>
          <cell r="V29">
            <v>0.31736133902198882</v>
          </cell>
          <cell r="W29">
            <v>47.807253509301596</v>
          </cell>
          <cell r="Y29">
            <v>21.420643729189727</v>
          </cell>
          <cell r="AA29">
            <v>162.85833454240117</v>
          </cell>
          <cell r="AE29" t="str">
            <v>Eff Tax Rate</v>
          </cell>
          <cell r="AF29">
            <v>0.32112068965517238</v>
          </cell>
          <cell r="AG29">
            <v>0.31249024743960219</v>
          </cell>
          <cell r="AH29">
            <v>0.31930960086299892</v>
          </cell>
          <cell r="AI29">
            <v>0.32790693837209323</v>
          </cell>
          <cell r="AJ29">
            <v>-67.862487169208507</v>
          </cell>
          <cell r="AL29">
            <v>86.304422155701886</v>
          </cell>
          <cell r="AN29">
            <v>18.110887921734541</v>
          </cell>
          <cell r="AR29" t="str">
            <v>Eff Tax Rate</v>
          </cell>
          <cell r="AS29">
            <v>0.31236442516268981</v>
          </cell>
          <cell r="AT29">
            <v>0.32500000000000001</v>
          </cell>
          <cell r="AU29">
            <v>0.32203389830508472</v>
          </cell>
          <cell r="AV29">
            <v>0.31226300000000001</v>
          </cell>
          <cell r="AW29">
            <v>1.014251626897944</v>
          </cell>
          <cell r="AY29">
            <v>-126.35574837310205</v>
          </cell>
          <cell r="BA29">
            <v>-96.694731423949136</v>
          </cell>
          <cell r="BE29" t="str">
            <v>Pretax Inc</v>
          </cell>
          <cell r="BF29">
            <v>909</v>
          </cell>
          <cell r="BG29">
            <v>845.70500000000004</v>
          </cell>
          <cell r="BH29">
            <v>859</v>
          </cell>
          <cell r="BI29">
            <v>740</v>
          </cell>
          <cell r="BJ29">
            <v>169</v>
          </cell>
          <cell r="BK29">
            <v>0.22837837837837838</v>
          </cell>
          <cell r="BL29">
            <v>63.294999999999959</v>
          </cell>
          <cell r="BM29">
            <v>7.4842882565433477E-2</v>
          </cell>
          <cell r="BN29">
            <v>50</v>
          </cell>
          <cell r="BO29">
            <v>5.8207217694994151E-2</v>
          </cell>
          <cell r="BR29" t="str">
            <v>Pretax Inc</v>
          </cell>
          <cell r="BS29">
            <v>845</v>
          </cell>
          <cell r="BT29">
            <v>774.125</v>
          </cell>
          <cell r="BU29">
            <v>777</v>
          </cell>
          <cell r="BV29">
            <v>656</v>
          </cell>
          <cell r="BW29">
            <v>189</v>
          </cell>
          <cell r="BX29">
            <v>0.28810975609756095</v>
          </cell>
          <cell r="BY29">
            <v>70.875</v>
          </cell>
          <cell r="BZ29">
            <v>9.1554981430647553E-2</v>
          </cell>
          <cell r="CA29">
            <v>68</v>
          </cell>
          <cell r="CB29">
            <v>8.7516087516087415E-2</v>
          </cell>
          <cell r="CF29" t="str">
            <v>Net Income</v>
          </cell>
          <cell r="CG29">
            <v>578.0000329999998</v>
          </cell>
          <cell r="CH29">
            <v>567.95503299999973</v>
          </cell>
          <cell r="CI29">
            <v>575.62760000000003</v>
          </cell>
          <cell r="CJ29">
            <v>463</v>
          </cell>
          <cell r="CK29">
            <v>115.0000329999998</v>
          </cell>
          <cell r="CL29">
            <v>0.24838020086393042</v>
          </cell>
          <cell r="CM29">
            <v>10.045000000000073</v>
          </cell>
          <cell r="CN29">
            <v>1.7686259327505782E-2</v>
          </cell>
          <cell r="CO29">
            <v>2.3724329999997735</v>
          </cell>
          <cell r="CP29">
            <v>4.1214719377593578E-3</v>
          </cell>
          <cell r="CT29" t="str">
            <v>Net Income</v>
          </cell>
          <cell r="CU29">
            <v>543.99996700000008</v>
          </cell>
          <cell r="CV29">
            <v>531.01200000000006</v>
          </cell>
          <cell r="CW29">
            <v>440</v>
          </cell>
          <cell r="CX29">
            <v>103.99996700000008</v>
          </cell>
          <cell r="CY29">
            <v>0.23636356136363657</v>
          </cell>
          <cell r="DC29" t="str">
            <v>Aerospace</v>
          </cell>
          <cell r="DD29">
            <v>0.16473509933774835</v>
          </cell>
          <cell r="DE29">
            <v>0.15557638238050608</v>
          </cell>
          <cell r="DF29">
            <v>90.000000000000085</v>
          </cell>
          <cell r="DK29" t="str">
            <v>Other</v>
          </cell>
          <cell r="DL29">
            <v>0</v>
          </cell>
          <cell r="DM29">
            <v>0</v>
          </cell>
          <cell r="DN29">
            <v>0</v>
          </cell>
          <cell r="DO29">
            <v>0</v>
          </cell>
          <cell r="DP29" t="str">
            <v>bps</v>
          </cell>
          <cell r="DT29" t="str">
            <v>Other</v>
          </cell>
          <cell r="DU29">
            <v>0</v>
          </cell>
          <cell r="DV29" t="str">
            <v>NMF</v>
          </cell>
          <cell r="DW29">
            <v>0</v>
          </cell>
          <cell r="DX29" t="str">
            <v xml:space="preserve">NA </v>
          </cell>
          <cell r="EC29" t="str">
            <v>EPS, Cont. Ops</v>
          </cell>
          <cell r="ED29">
            <v>1.0806109303643339</v>
          </cell>
          <cell r="EE29">
            <v>1.0778453865336659</v>
          </cell>
          <cell r="EF29">
            <v>0.8974209713957767</v>
          </cell>
          <cell r="EG29">
            <v>0.18318995896855716</v>
          </cell>
          <cell r="EH29">
            <v>0.20412934933271965</v>
          </cell>
          <cell r="EL29" t="str">
            <v>EPS, Cont. Ops</v>
          </cell>
          <cell r="EM29">
            <v>1.0320485247395879</v>
          </cell>
          <cell r="EN29">
            <v>0.98922885572139307</v>
          </cell>
          <cell r="EO29">
            <v>0.8358111465821999</v>
          </cell>
          <cell r="EP29">
            <v>0.19623737815738795</v>
          </cell>
          <cell r="EQ29">
            <v>0.23478674454132631</v>
          </cell>
          <cell r="EU29" t="str">
            <v>EPS, Cont. Ops</v>
          </cell>
          <cell r="EV29">
            <v>0.95673671199011112</v>
          </cell>
          <cell r="EW29">
            <v>0.87365955256335326</v>
          </cell>
          <cell r="EX29">
            <v>8.3077159426757863E-2</v>
          </cell>
          <cell r="EY29">
            <v>9.5090998756902634E-2</v>
          </cell>
          <cell r="FC29" t="str">
            <v>EPS, Cont. Ops</v>
          </cell>
          <cell r="FD29">
            <v>3.5766509900011854</v>
          </cell>
          <cell r="FE29">
            <v>7.1830158817733762</v>
          </cell>
          <cell r="FF29">
            <v>2.9632644552209539</v>
          </cell>
          <cell r="FG29">
            <v>0.61338653478023142</v>
          </cell>
          <cell r="FH29">
            <v>0.20699689280162303</v>
          </cell>
          <cell r="FK29" t="str">
            <v>EPS, Cont. Ops</v>
          </cell>
          <cell r="FL29">
            <v>0.8974209713957767</v>
          </cell>
          <cell r="FM29">
            <v>1.7460800790904598</v>
          </cell>
          <cell r="FN29">
            <v>0.79265871992611958</v>
          </cell>
          <cell r="FO29">
            <v>0.10476225146965712</v>
          </cell>
          <cell r="FP29">
            <v>0.13216564561280753</v>
          </cell>
          <cell r="FT29" t="str">
            <v>Total EPS</v>
          </cell>
          <cell r="FU29">
            <v>0.84081114658219991</v>
          </cell>
          <cell r="FV29">
            <v>1.66</v>
          </cell>
          <cell r="FW29">
            <v>0.74626865671641796</v>
          </cell>
          <cell r="FX29">
            <v>9.4542489865781953E-2</v>
          </cell>
          <cell r="FY29">
            <v>0.12668693642014772</v>
          </cell>
          <cell r="GC29" t="str">
            <v>Total EPS</v>
          </cell>
          <cell r="GD29">
            <v>0.83158529649089719</v>
          </cell>
          <cell r="GE29">
            <v>1.55</v>
          </cell>
          <cell r="GF29">
            <v>0.67147585303961876</v>
          </cell>
          <cell r="GG29">
            <v>0.16010944345127842</v>
          </cell>
          <cell r="GH29">
            <v>0.23844408213117307</v>
          </cell>
          <cell r="GL29" t="str">
            <v>Total EPS</v>
          </cell>
          <cell r="GM29">
            <v>3.0178639677962145</v>
          </cell>
          <cell r="GN29">
            <v>6.12</v>
          </cell>
          <cell r="GO29">
            <v>2.5131557805093596</v>
          </cell>
          <cell r="GP29">
            <v>0.50470818728685485</v>
          </cell>
          <cell r="GQ29">
            <v>0.20082646336573773</v>
          </cell>
        </row>
        <row r="30">
          <cell r="C30" t="str">
            <v>Net Income</v>
          </cell>
          <cell r="D30">
            <v>621.5</v>
          </cell>
          <cell r="E30">
            <v>612.45359999999994</v>
          </cell>
          <cell r="F30">
            <v>603</v>
          </cell>
          <cell r="G30">
            <v>606.00000000000011</v>
          </cell>
          <cell r="H30">
            <v>15.499999999999886</v>
          </cell>
          <cell r="I30">
            <v>2.5577557755775304E-2</v>
          </cell>
          <cell r="J30">
            <v>9.0464000000000624</v>
          </cell>
          <cell r="K30">
            <v>1.4770751612857014E-2</v>
          </cell>
          <cell r="L30">
            <v>18.5</v>
          </cell>
          <cell r="M30">
            <v>3.0679933665008319E-2</v>
          </cell>
          <cell r="R30" t="str">
            <v>Net Income</v>
          </cell>
          <cell r="S30">
            <v>2443</v>
          </cell>
          <cell r="T30">
            <v>2424.5467999999996</v>
          </cell>
          <cell r="U30">
            <v>2501</v>
          </cell>
          <cell r="V30">
            <v>2080</v>
          </cell>
          <cell r="W30">
            <v>363</v>
          </cell>
          <cell r="X30">
            <v>0.1745192307692307</v>
          </cell>
          <cell r="Y30">
            <v>18.453200000000379</v>
          </cell>
          <cell r="Z30">
            <v>7.6109894022258207E-3</v>
          </cell>
          <cell r="AA30">
            <v>-58</v>
          </cell>
          <cell r="AB30">
            <v>-2.3190723710515782E-2</v>
          </cell>
          <cell r="AE30" t="str">
            <v>Net Income</v>
          </cell>
          <cell r="AF30">
            <v>630</v>
          </cell>
          <cell r="AG30">
            <v>611.54679999999962</v>
          </cell>
          <cell r="AH30">
            <v>631</v>
          </cell>
          <cell r="AI30">
            <v>578.00003299999992</v>
          </cell>
          <cell r="AJ30">
            <v>51.999967000000083</v>
          </cell>
          <cell r="AK30">
            <v>8.9965335694020876E-2</v>
          </cell>
          <cell r="AL30">
            <v>18.453200000000379</v>
          </cell>
          <cell r="AM30">
            <v>3.0174632587400385E-2</v>
          </cell>
          <cell r="AN30">
            <v>-1</v>
          </cell>
          <cell r="AO30">
            <v>-1.5847860538826808E-3</v>
          </cell>
          <cell r="AR30" t="str">
            <v>Net Income</v>
          </cell>
          <cell r="AS30">
            <v>634</v>
          </cell>
          <cell r="AT30">
            <v>597.57074999999998</v>
          </cell>
          <cell r="AU30">
            <v>600</v>
          </cell>
          <cell r="AV30">
            <v>543.99996700000008</v>
          </cell>
          <cell r="AW30">
            <v>90.000032999999917</v>
          </cell>
          <cell r="AX30">
            <v>0.16544124716831088</v>
          </cell>
          <cell r="AY30">
            <v>36.429250000000025</v>
          </cell>
          <cell r="AZ30">
            <v>6.0962237525849394E-2</v>
          </cell>
          <cell r="BA30">
            <v>34</v>
          </cell>
          <cell r="BB30">
            <v>5.6666666666666643E-2</v>
          </cell>
          <cell r="BE30" t="str">
            <v>Eff Tax Rate</v>
          </cell>
          <cell r="BF30">
            <v>0.33333333333333331</v>
          </cell>
          <cell r="BG30">
            <v>0.32400000000000001</v>
          </cell>
          <cell r="BH30">
            <v>0.31315483119906867</v>
          </cell>
          <cell r="BI30">
            <v>0.3</v>
          </cell>
          <cell r="BJ30">
            <v>333.33333333333326</v>
          </cell>
          <cell r="BL30">
            <v>93.333333333333044</v>
          </cell>
          <cell r="BR30" t="str">
            <v>Eff Tax Rate</v>
          </cell>
          <cell r="BS30">
            <v>0.32189349112426036</v>
          </cell>
          <cell r="BT30">
            <v>0.32300000000000001</v>
          </cell>
          <cell r="BV30">
            <v>0.32926829268292684</v>
          </cell>
          <cell r="BW30">
            <v>-73.748015586664877</v>
          </cell>
          <cell r="BY30">
            <v>-11.065088757396534</v>
          </cell>
          <cell r="CF30" t="str">
            <v>EPS, Cont. Ops</v>
          </cell>
          <cell r="CG30">
            <v>1.4204965175718847</v>
          </cell>
          <cell r="CH30">
            <v>1.390243737405723</v>
          </cell>
          <cell r="CJ30">
            <v>1.1328602887203327</v>
          </cell>
          <cell r="CK30">
            <v>0.28763622885155193</v>
          </cell>
          <cell r="CL30">
            <v>0.25390264952835695</v>
          </cell>
          <cell r="CM30">
            <v>3.0252780166161619E-2</v>
          </cell>
          <cell r="CN30">
            <v>2.1760774281648798E-2</v>
          </cell>
          <cell r="CT30" t="str">
            <v>EPS, Cont. Ops</v>
          </cell>
          <cell r="CU30">
            <v>1.3356247655290943</v>
          </cell>
          <cell r="CV30">
            <v>1.298317848410758</v>
          </cell>
          <cell r="CW30">
            <v>1.0806109303643339</v>
          </cell>
          <cell r="CX30">
            <v>0.25501383516476039</v>
          </cell>
          <cell r="CY30">
            <v>0.23599042726578845</v>
          </cell>
          <cell r="DC30" t="str">
            <v>Other</v>
          </cell>
          <cell r="DD30">
            <v>0</v>
          </cell>
          <cell r="DE30">
            <v>0</v>
          </cell>
          <cell r="DF30">
            <v>0</v>
          </cell>
          <cell r="DK30" t="str">
            <v>Total Operating Margins</v>
          </cell>
          <cell r="DL30">
            <v>0.10809523809523809</v>
          </cell>
          <cell r="DM30">
            <v>0.10916530278232406</v>
          </cell>
          <cell r="DN30">
            <v>0.10746483952398125</v>
          </cell>
          <cell r="DO30">
            <v>10.000000000000009</v>
          </cell>
          <cell r="DP30" t="str">
            <v>bps</v>
          </cell>
          <cell r="DT30" t="str">
            <v>Total Operating Margins</v>
          </cell>
          <cell r="DU30">
            <v>0.10908864231392594</v>
          </cell>
          <cell r="DV30">
            <v>0.111</v>
          </cell>
          <cell r="DW30">
            <v>0.10388557806912992</v>
          </cell>
          <cell r="DX30">
            <v>5.203064244796024E-3</v>
          </cell>
          <cell r="EC30" t="str">
            <v>EPS, Disc. Opns</v>
          </cell>
          <cell r="ED30">
            <v>-4.9118678652924266E-3</v>
          </cell>
          <cell r="EE30">
            <v>0</v>
          </cell>
          <cell r="EF30">
            <v>2.4654422291092763E-2</v>
          </cell>
          <cell r="EL30" t="str">
            <v>EPS, Disc. Opns</v>
          </cell>
          <cell r="EM30">
            <v>0.5307678127232166</v>
          </cell>
          <cell r="EN30">
            <v>0</v>
          </cell>
          <cell r="EO30">
            <v>5.0000000000000001E-3</v>
          </cell>
          <cell r="EU30" t="str">
            <v>EPS, Disc. Opns</v>
          </cell>
          <cell r="EV30">
            <v>-3.2138442521631644E-2</v>
          </cell>
          <cell r="EW30">
            <v>-4.2074256072456108E-2</v>
          </cell>
          <cell r="FC30" t="str">
            <v>EPS, Disc. Opns</v>
          </cell>
          <cell r="FD30">
            <v>3.2110816899181917E-2</v>
          </cell>
          <cell r="FE30">
            <v>-2.9599299832899863E-2</v>
          </cell>
          <cell r="FF30">
            <v>5.459951257526046E-2</v>
          </cell>
          <cell r="FK30" t="str">
            <v>EPS, Disc. Opns</v>
          </cell>
          <cell r="FL30">
            <v>2.4654422291092763E-2</v>
          </cell>
          <cell r="FM30">
            <v>0</v>
          </cell>
          <cell r="FN30">
            <v>4.954116999538247E-3</v>
          </cell>
          <cell r="FT30" t="str">
            <v xml:space="preserve"> Avg. Shs. (MM)</v>
          </cell>
          <cell r="FU30">
            <v>404.39757400000002</v>
          </cell>
          <cell r="FV30">
            <v>202</v>
          </cell>
          <cell r="FW30">
            <v>402</v>
          </cell>
          <cell r="GC30" t="str">
            <v xml:space="preserve"> Avg. Shs. (MM)</v>
          </cell>
          <cell r="GD30">
            <v>404.04754800000001</v>
          </cell>
          <cell r="GE30">
            <v>201</v>
          </cell>
          <cell r="GF30">
            <v>400.60636399999999</v>
          </cell>
          <cell r="GL30" t="str">
            <v xml:space="preserve"> Avg. Shs. (MM)</v>
          </cell>
          <cell r="GM30">
            <v>402.93400000000003</v>
          </cell>
          <cell r="GN30">
            <v>201.3</v>
          </cell>
          <cell r="GO30">
            <v>398.30399999999997</v>
          </cell>
        </row>
        <row r="31">
          <cell r="C31" t="str">
            <v>EPS, Cont. Ops</v>
          </cell>
          <cell r="D31">
            <v>1.6059431524547803</v>
          </cell>
          <cell r="E31">
            <v>1.5907885714285712</v>
          </cell>
          <cell r="G31">
            <v>1.5082130413140868</v>
          </cell>
          <cell r="H31">
            <v>9.773011114069341E-2</v>
          </cell>
          <cell r="I31">
            <v>6.4798611644109938E-2</v>
          </cell>
          <cell r="J31">
            <v>1.5154581026209035E-2</v>
          </cell>
          <cell r="K31">
            <v>9.5264583228680255E-3</v>
          </cell>
          <cell r="R31" t="str">
            <v>EPS, Cont. Ops</v>
          </cell>
          <cell r="S31">
            <v>6.1274140958113872</v>
          </cell>
          <cell r="T31">
            <v>6.061366999999998</v>
          </cell>
          <cell r="V31">
            <v>5.0962280562055158</v>
          </cell>
          <cell r="W31">
            <v>1.0311860396058714</v>
          </cell>
          <cell r="X31">
            <v>0.20234299333410499</v>
          </cell>
          <cell r="Y31">
            <v>6.6047095811389234E-2</v>
          </cell>
          <cell r="Z31">
            <v>1.0896402711036757E-2</v>
          </cell>
          <cell r="AE31" t="str">
            <v>EPS, Cont. Ops</v>
          </cell>
          <cell r="AF31">
            <v>1.6170431211498972</v>
          </cell>
          <cell r="AG31">
            <v>1.5501820025348525</v>
          </cell>
          <cell r="AH31">
            <v>1.58</v>
          </cell>
          <cell r="AI31">
            <v>1.4204965175718849</v>
          </cell>
          <cell r="AJ31">
            <v>0.19654660357801235</v>
          </cell>
          <cell r="AK31">
            <v>0.13836472046688142</v>
          </cell>
          <cell r="AL31">
            <v>6.6861118615044735E-2</v>
          </cell>
          <cell r="AM31">
            <v>4.3131141056800937E-2</v>
          </cell>
          <cell r="AN31">
            <v>3.7043121149897162E-2</v>
          </cell>
          <cell r="AO31">
            <v>2.3445013386010904E-2</v>
          </cell>
          <cell r="AR31" t="str">
            <v>EPS, Cont. Ops</v>
          </cell>
          <cell r="AS31">
            <v>1.585792896448224</v>
          </cell>
          <cell r="AT31">
            <v>1.4939268749999999</v>
          </cell>
          <cell r="AU31">
            <v>1.51</v>
          </cell>
          <cell r="AV31">
            <v>1.3356247655290943</v>
          </cell>
          <cell r="AW31">
            <v>0.25016813091912971</v>
          </cell>
          <cell r="AX31">
            <v>0.18730420203014742</v>
          </cell>
          <cell r="AY31">
            <v>9.1866021448224089E-2</v>
          </cell>
          <cell r="AZ31">
            <v>6.149298401785841E-2</v>
          </cell>
          <cell r="BA31">
            <v>7.5792896448223956E-2</v>
          </cell>
          <cell r="BB31">
            <v>5.0193971157764139E-2</v>
          </cell>
          <cell r="CF31" t="str">
            <v>EPS, Disc. Opns</v>
          </cell>
          <cell r="CG31">
            <v>2.4576062914721062E-3</v>
          </cell>
          <cell r="CH31">
            <v>-2.5479191372018359E-4</v>
          </cell>
          <cell r="CJ31">
            <v>-0.13457303645705898</v>
          </cell>
          <cell r="CK31">
            <v>0.13703064274853108</v>
          </cell>
          <cell r="CL31">
            <v>-1.0182622489331754</v>
          </cell>
          <cell r="CM31">
            <v>2.7123982051922898E-3</v>
          </cell>
          <cell r="CN31" t="str">
            <v>N/A</v>
          </cell>
          <cell r="CT31" t="str">
            <v>EPS, Disc. Opns</v>
          </cell>
          <cell r="CU31">
            <v>0</v>
          </cell>
          <cell r="CV31">
            <v>0</v>
          </cell>
          <cell r="CW31">
            <v>-4.9118678652924266E-3</v>
          </cell>
          <cell r="CX31">
            <v>4.9118678652924266E-3</v>
          </cell>
          <cell r="CY31" t="str">
            <v>N/A</v>
          </cell>
          <cell r="DC31" t="str">
            <v>Total Operating Margins</v>
          </cell>
          <cell r="DD31">
            <v>0.1153087543620088</v>
          </cell>
          <cell r="DE31">
            <v>0.10936973373778228</v>
          </cell>
          <cell r="DF31">
            <v>60.000000000000057</v>
          </cell>
          <cell r="DK31" t="str">
            <v>Interest, net</v>
          </cell>
          <cell r="DL31">
            <v>-26</v>
          </cell>
          <cell r="DM31">
            <v>-32</v>
          </cell>
          <cell r="DN31">
            <v>-17</v>
          </cell>
          <cell r="DO31">
            <v>-9</v>
          </cell>
          <cell r="DP31">
            <v>0.52941176470588225</v>
          </cell>
          <cell r="DT31" t="str">
            <v>Interest, net</v>
          </cell>
          <cell r="DU31">
            <v>-101</v>
          </cell>
          <cell r="DV31">
            <v>-120</v>
          </cell>
          <cell r="DW31">
            <v>-118</v>
          </cell>
          <cell r="DX31">
            <v>17</v>
          </cell>
          <cell r="DY31">
            <v>-0.14406779661016944</v>
          </cell>
          <cell r="EC31" t="str">
            <v>EPS, Reported (GAAP)</v>
          </cell>
          <cell r="ED31">
            <v>1.0756990624990415</v>
          </cell>
          <cell r="EE31">
            <v>1.0778453865336659</v>
          </cell>
          <cell r="EF31">
            <v>0.92207539368686942</v>
          </cell>
          <cell r="EG31">
            <v>0.15362366881217204</v>
          </cell>
          <cell r="EH31">
            <v>0.16660640752803957</v>
          </cell>
          <cell r="EL31" t="str">
            <v>EPS, Reported (GAAP)</v>
          </cell>
          <cell r="EM31">
            <v>1.5628163374628046</v>
          </cell>
          <cell r="EN31">
            <v>0.98922885572139307</v>
          </cell>
          <cell r="EO31">
            <v>0.84081114658219991</v>
          </cell>
          <cell r="EP31">
            <v>0.72200519088060466</v>
          </cell>
          <cell r="EQ31">
            <v>0.85870078413621442</v>
          </cell>
          <cell r="EU31" t="str">
            <v>EPS, Reported (GAAP)</v>
          </cell>
          <cell r="EV31">
            <v>0.92459826946847945</v>
          </cell>
          <cell r="EW31">
            <v>0.83158529649089719</v>
          </cell>
          <cell r="EX31">
            <v>9.3012972977582264E-2</v>
          </cell>
          <cell r="EY31">
            <v>0.11185018947554282</v>
          </cell>
          <cell r="FC31" t="str">
            <v>EPS, Reported (GAAP)</v>
          </cell>
          <cell r="FD31">
            <v>3.6087618069003673</v>
          </cell>
          <cell r="FE31">
            <v>7.1534165819404762</v>
          </cell>
          <cell r="FF31">
            <v>3.0178639677962145</v>
          </cell>
          <cell r="FG31">
            <v>0.59089783910415283</v>
          </cell>
          <cell r="FH31">
            <v>0.19580002459012569</v>
          </cell>
          <cell r="FK31" t="str">
            <v>EPS, Reported (GAAP)</v>
          </cell>
          <cell r="FL31">
            <v>0.92207539368686942</v>
          </cell>
          <cell r="FM31">
            <v>1.7460800790904598</v>
          </cell>
          <cell r="FN31">
            <v>0.79761283692565776</v>
          </cell>
          <cell r="FO31">
            <v>0.12446255676121165</v>
          </cell>
          <cell r="FP31">
            <v>0.15604382351836743</v>
          </cell>
          <cell r="FT31" t="str">
            <v>Operating Margins</v>
          </cell>
          <cell r="GC31" t="str">
            <v>Operating Margins</v>
          </cell>
          <cell r="GL31" t="str">
            <v>Operating Margins</v>
          </cell>
        </row>
        <row r="32">
          <cell r="C32" t="str">
            <v>EPS, Disc. Opns</v>
          </cell>
          <cell r="D32">
            <v>-7.7519379844961239E-3</v>
          </cell>
          <cell r="E32">
            <v>0</v>
          </cell>
          <cell r="G32">
            <v>8.7108013937282222E-2</v>
          </cell>
          <cell r="R32" t="str">
            <v>EPS, Disc. Opns</v>
          </cell>
          <cell r="S32">
            <v>4.0130423877602212E-2</v>
          </cell>
          <cell r="T32">
            <v>0.09</v>
          </cell>
          <cell r="V32">
            <v>-1.9600877139251984E-2</v>
          </cell>
          <cell r="AE32" t="str">
            <v>EPS, Disc. Opns</v>
          </cell>
          <cell r="AF32">
            <v>-4.8767967145790549E-2</v>
          </cell>
          <cell r="AG32">
            <v>0</v>
          </cell>
          <cell r="AI32">
            <v>2.4576062914721062E-3</v>
          </cell>
          <cell r="AR32" t="str">
            <v>EPS, Disc. Opns</v>
          </cell>
          <cell r="AS32">
            <v>0</v>
          </cell>
          <cell r="AT32">
            <v>0</v>
          </cell>
          <cell r="AV32">
            <v>0</v>
          </cell>
          <cell r="AY32">
            <v>0</v>
          </cell>
          <cell r="BE32" t="str">
            <v>Net Income</v>
          </cell>
          <cell r="BF32">
            <v>606.00000000000011</v>
          </cell>
          <cell r="BG32">
            <v>571.69657999999993</v>
          </cell>
          <cell r="BH32">
            <v>590</v>
          </cell>
          <cell r="BI32">
            <v>518</v>
          </cell>
          <cell r="BJ32">
            <v>88.000000000000114</v>
          </cell>
          <cell r="BK32">
            <v>0.16988416988417021</v>
          </cell>
          <cell r="BL32">
            <v>34.303420000000187</v>
          </cell>
          <cell r="BM32">
            <v>6.0002842766700093E-2</v>
          </cell>
          <cell r="BN32">
            <v>16.000000000000114</v>
          </cell>
          <cell r="BO32">
            <v>2.7118644067796849E-2</v>
          </cell>
          <cell r="BR32" t="str">
            <v>Net Income</v>
          </cell>
          <cell r="BS32">
            <v>573</v>
          </cell>
          <cell r="BT32">
            <v>524.08262500000001</v>
          </cell>
          <cell r="BU32">
            <v>525</v>
          </cell>
          <cell r="BV32">
            <v>439.99999999999994</v>
          </cell>
          <cell r="BW32">
            <v>133.00000000000006</v>
          </cell>
          <cell r="BX32">
            <v>0.30227272727272747</v>
          </cell>
          <cell r="BY32">
            <v>48.917374999999993</v>
          </cell>
          <cell r="BZ32">
            <v>9.3339051261239536E-2</v>
          </cell>
          <cell r="CA32">
            <v>48</v>
          </cell>
          <cell r="CB32">
            <v>9.1428571428571415E-2</v>
          </cell>
          <cell r="CF32" t="str">
            <v>EPS, Reported (GAAP)</v>
          </cell>
          <cell r="CG32">
            <v>1.4229541238633567</v>
          </cell>
          <cell r="CH32">
            <v>1.3899889454920029</v>
          </cell>
          <cell r="CI32">
            <v>1.408096</v>
          </cell>
          <cell r="CJ32">
            <v>0.99828725226327375</v>
          </cell>
          <cell r="CK32">
            <v>0.42466687160008298</v>
          </cell>
          <cell r="CL32">
            <v>0.42539546672292627</v>
          </cell>
          <cell r="CM32">
            <v>3.296517837135382E-2</v>
          </cell>
          <cell r="CN32">
            <v>2.3716144274575912E-2</v>
          </cell>
          <cell r="CO32">
            <v>1.485812386335672E-2</v>
          </cell>
          <cell r="CP32">
            <v>1.0551925339860935E-2</v>
          </cell>
          <cell r="CT32" t="str">
            <v>EPS, Reported (GAAP)</v>
          </cell>
          <cell r="CU32">
            <v>1.3356247655290943</v>
          </cell>
          <cell r="CV32">
            <v>1.298317848410758</v>
          </cell>
          <cell r="CW32">
            <v>1.0756990624990415</v>
          </cell>
          <cell r="CX32">
            <v>0.2599257030300528</v>
          </cell>
          <cell r="CY32">
            <v>0.24163421917111183</v>
          </cell>
          <cell r="DC32" t="str">
            <v>Interest, net</v>
          </cell>
          <cell r="DD32">
            <v>-21</v>
          </cell>
          <cell r="DE32">
            <v>-23</v>
          </cell>
          <cell r="DF32">
            <v>2</v>
          </cell>
          <cell r="DG32">
            <v>-8.6956521739130488E-2</v>
          </cell>
          <cell r="DK32" t="str">
            <v>Other</v>
          </cell>
          <cell r="DL32">
            <v>1</v>
          </cell>
          <cell r="DM32">
            <v>0</v>
          </cell>
          <cell r="DN32">
            <v>0</v>
          </cell>
          <cell r="DO32">
            <v>1</v>
          </cell>
          <cell r="DT32" t="str">
            <v>Other</v>
          </cell>
          <cell r="DU32">
            <v>3</v>
          </cell>
          <cell r="DV32">
            <v>2</v>
          </cell>
          <cell r="DW32">
            <v>8</v>
          </cell>
          <cell r="DX32">
            <v>-5</v>
          </cell>
          <cell r="EC32" t="str">
            <v>% Ch Y/Y</v>
          </cell>
          <cell r="ED32">
            <v>0.2041293493327197</v>
          </cell>
          <cell r="EE32">
            <v>0.16893411744126322</v>
          </cell>
          <cell r="EF32">
            <v>0.13216564561280744</v>
          </cell>
          <cell r="EL32" t="str">
            <v>% Ch Y/Y</v>
          </cell>
          <cell r="EM32">
            <v>0.23478674454132625</v>
          </cell>
          <cell r="EN32">
            <v>0.16</v>
          </cell>
          <cell r="EO32">
            <v>0.15860717560704946</v>
          </cell>
          <cell r="EU32" t="str">
            <v>% Ch Y/Y</v>
          </cell>
          <cell r="EV32">
            <v>9.5090998756902551E-2</v>
          </cell>
          <cell r="EW32">
            <v>0.32074293805138476</v>
          </cell>
          <cell r="FC32" t="str">
            <v>% Ch Y/Y</v>
          </cell>
          <cell r="FD32">
            <v>0.20699689280162303</v>
          </cell>
          <cell r="FE32">
            <v>0.20294319256295679</v>
          </cell>
          <cell r="FF32">
            <v>0.20559763592678948</v>
          </cell>
          <cell r="FK32" t="str">
            <v>% Ch Y/Y</v>
          </cell>
          <cell r="FL32">
            <v>0.13216564561280744</v>
          </cell>
          <cell r="FM32">
            <v>0.11494757140736413</v>
          </cell>
          <cell r="FN32">
            <v>-0.36604503302402636</v>
          </cell>
          <cell r="FT32" t="str">
            <v>Marine Group</v>
          </cell>
          <cell r="FU32">
            <v>5.5178268251273345E-2</v>
          </cell>
          <cell r="FV32">
            <v>6.2E-2</v>
          </cell>
          <cell r="FW32">
            <v>6.881903143585387E-2</v>
          </cell>
          <cell r="FX32">
            <v>-1.3640763184580525E-2</v>
          </cell>
          <cell r="GC32" t="str">
            <v>Marine Group</v>
          </cell>
          <cell r="GD32">
            <v>4.049586776859504E-2</v>
          </cell>
          <cell r="GE32">
            <v>7.4999999999999997E-2</v>
          </cell>
          <cell r="GF32">
            <v>7.6562500000000006E-2</v>
          </cell>
          <cell r="GG32">
            <v>-3.6066632231404966E-2</v>
          </cell>
          <cell r="GL32" t="str">
            <v>Marine Group</v>
          </cell>
          <cell r="GM32">
            <v>6.1785865425306813E-2</v>
          </cell>
          <cell r="GN32">
            <v>6.7000000000000004E-2</v>
          </cell>
          <cell r="GO32">
            <v>5.0573636150784362E-2</v>
          </cell>
          <cell r="GP32">
            <v>1.1212229274522451E-2</v>
          </cell>
        </row>
        <row r="33">
          <cell r="C33" t="str">
            <v>EPS, Reported</v>
          </cell>
          <cell r="D33">
            <v>1.5981912144702841</v>
          </cell>
          <cell r="E33">
            <v>1.5907885714285712</v>
          </cell>
          <cell r="F33">
            <v>1.57</v>
          </cell>
          <cell r="G33">
            <v>1.595321055251369</v>
          </cell>
          <cell r="H33">
            <v>2.8701592189150915E-3</v>
          </cell>
          <cell r="I33">
            <v>1.7991107241186466E-3</v>
          </cell>
          <cell r="J33">
            <v>7.4026430417128974E-3</v>
          </cell>
          <cell r="K33">
            <v>4.6534424339401692E-3</v>
          </cell>
          <cell r="L33">
            <v>2.8191214470284054E-2</v>
          </cell>
          <cell r="M33">
            <v>1.7956187560690395E-2</v>
          </cell>
          <cell r="R33" t="str">
            <v>EPS, Reported</v>
          </cell>
          <cell r="S33">
            <v>6.1675445196889891</v>
          </cell>
          <cell r="T33">
            <v>6.1513669999999978</v>
          </cell>
          <cell r="U33">
            <v>6.18</v>
          </cell>
          <cell r="V33">
            <v>5.0766271790662634</v>
          </cell>
          <cell r="W33">
            <v>1.0909173406227257</v>
          </cell>
          <cell r="X33">
            <v>0.21489018242686408</v>
          </cell>
          <cell r="Y33">
            <v>1.6177519688991282E-2</v>
          </cell>
          <cell r="Z33">
            <v>2.6299064401442696E-3</v>
          </cell>
          <cell r="AA33">
            <v>-1.2455480311010625E-2</v>
          </cell>
          <cell r="AB33">
            <v>-2.0154498885130989E-3</v>
          </cell>
          <cell r="AE33" t="str">
            <v>EPS, Reported</v>
          </cell>
          <cell r="AF33">
            <v>1.5682751540041067</v>
          </cell>
          <cell r="AG33">
            <v>1.5501820025348525</v>
          </cell>
          <cell r="AH33">
            <v>1.58</v>
          </cell>
          <cell r="AI33">
            <v>1.422954123863357</v>
          </cell>
          <cell r="AJ33">
            <v>0.14532103014074971</v>
          </cell>
          <cell r="AK33">
            <v>0.10212629325406453</v>
          </cell>
          <cell r="AL33">
            <v>1.8093151469254165E-2</v>
          </cell>
          <cell r="AM33">
            <v>1.1671630453500503E-2</v>
          </cell>
          <cell r="AN33">
            <v>-1.1724845995893407E-2</v>
          </cell>
          <cell r="AO33">
            <v>-7.4207886049958427E-3</v>
          </cell>
          <cell r="AR33" t="str">
            <v>EPS, Reported</v>
          </cell>
          <cell r="AS33">
            <v>1.585792896448224</v>
          </cell>
          <cell r="AT33">
            <v>1.4939268749999999</v>
          </cell>
          <cell r="AU33">
            <v>1.51</v>
          </cell>
          <cell r="AV33">
            <v>1.3356247655290943</v>
          </cell>
          <cell r="AW33">
            <v>0.25016813091912971</v>
          </cell>
          <cell r="AX33">
            <v>0.18730420203014742</v>
          </cell>
          <cell r="AY33">
            <v>9.1866021448224089E-2</v>
          </cell>
          <cell r="AZ33">
            <v>6.149298401785841E-2</v>
          </cell>
          <cell r="BA33">
            <v>7.5792896448223956E-2</v>
          </cell>
          <cell r="BB33">
            <v>5.0193971157764139E-2</v>
          </cell>
          <cell r="BE33" t="str">
            <v>EPS, Cont. Ops</v>
          </cell>
          <cell r="BF33">
            <v>1.5082130413140868</v>
          </cell>
          <cell r="BG33">
            <v>1.4186019354838708</v>
          </cell>
          <cell r="BH33">
            <v>1.44</v>
          </cell>
          <cell r="BI33">
            <v>1.2668134018097335</v>
          </cell>
          <cell r="BJ33">
            <v>0.24139963950435339</v>
          </cell>
          <cell r="BK33">
            <v>0.19055658801801179</v>
          </cell>
          <cell r="BL33">
            <v>8.9611105830216031E-2</v>
          </cell>
          <cell r="BM33">
            <v>6.3168605363315367E-2</v>
          </cell>
          <cell r="BN33">
            <v>6.8213041314086897E-2</v>
          </cell>
          <cell r="BO33">
            <v>4.7370167579227074E-2</v>
          </cell>
          <cell r="BR33" t="str">
            <v>EPS, Cont. Ops</v>
          </cell>
          <cell r="BS33">
            <v>1.4186679871255261</v>
          </cell>
          <cell r="BT33">
            <v>1.2972342202970297</v>
          </cell>
          <cell r="BU33">
            <v>1.3</v>
          </cell>
          <cell r="BV33">
            <v>1.074743527112848</v>
          </cell>
          <cell r="BW33">
            <v>0.34392446001267807</v>
          </cell>
          <cell r="BX33">
            <v>0.32000607711179629</v>
          </cell>
          <cell r="BY33">
            <v>0.12143376682849638</v>
          </cell>
          <cell r="BZ33">
            <v>9.3609746743106736E-2</v>
          </cell>
          <cell r="CA33">
            <v>0.11866798712552606</v>
          </cell>
          <cell r="CB33">
            <v>9.12830670196354E-2</v>
          </cell>
          <cell r="CF33" t="str">
            <v>% Ch Y/Y</v>
          </cell>
          <cell r="CG33">
            <v>0.25390264952835695</v>
          </cell>
          <cell r="CH33">
            <v>0.22719787360198493</v>
          </cell>
          <cell r="CJ33">
            <v>0.15364577589439724</v>
          </cell>
          <cell r="CK33">
            <v>1002.5687363395972</v>
          </cell>
          <cell r="CM33">
            <v>267.0477592637202</v>
          </cell>
          <cell r="CO33">
            <v>2539.0264952835696</v>
          </cell>
          <cell r="CT33" t="str">
            <v>% Ch Y/Y</v>
          </cell>
          <cell r="CU33">
            <v>0.23599042726578853</v>
          </cell>
          <cell r="CV33">
            <v>0.2014665148473217</v>
          </cell>
          <cell r="CW33">
            <v>0.2041293493327197</v>
          </cell>
          <cell r="CX33">
            <v>318.61077933068833</v>
          </cell>
          <cell r="DC33" t="str">
            <v>Other</v>
          </cell>
          <cell r="DD33">
            <v>1</v>
          </cell>
          <cell r="DE33">
            <v>2</v>
          </cell>
          <cell r="DF33">
            <v>-1</v>
          </cell>
          <cell r="DK33" t="str">
            <v>Pretax Inc</v>
          </cell>
          <cell r="DL33">
            <v>656</v>
          </cell>
          <cell r="DM33">
            <v>635</v>
          </cell>
          <cell r="DN33">
            <v>579</v>
          </cell>
          <cell r="DO33">
            <v>77</v>
          </cell>
          <cell r="DP33">
            <v>0.13298791018998268</v>
          </cell>
          <cell r="DT33" t="str">
            <v>Pretax Inc</v>
          </cell>
          <cell r="DU33">
            <v>2527</v>
          </cell>
          <cell r="DV33">
            <v>2558</v>
          </cell>
          <cell r="DW33">
            <v>2069</v>
          </cell>
          <cell r="DX33">
            <v>458</v>
          </cell>
          <cell r="DY33">
            <v>0.22136297728371201</v>
          </cell>
          <cell r="EC33" t="str">
            <v xml:space="preserve"> Avg. Shs. (MM)</v>
          </cell>
          <cell r="ED33">
            <v>407.177077</v>
          </cell>
          <cell r="EE33">
            <v>401</v>
          </cell>
          <cell r="EF33">
            <v>405.60674599999999</v>
          </cell>
          <cell r="EG33">
            <v>1.5703310000000101</v>
          </cell>
          <cell r="EH33">
            <v>3.8715603610794957E-3</v>
          </cell>
          <cell r="EL33" t="str">
            <v xml:space="preserve"> Avg. Shs. (MM)</v>
          </cell>
          <cell r="EM33">
            <v>406.95760899999999</v>
          </cell>
          <cell r="EN33">
            <v>402</v>
          </cell>
          <cell r="EO33">
            <v>404.39757400000002</v>
          </cell>
          <cell r="EP33">
            <v>2.5600349999999708</v>
          </cell>
          <cell r="EQ33">
            <v>6.3304904989365252E-3</v>
          </cell>
          <cell r="EU33" t="str">
            <v xml:space="preserve"> Avg. Shs. (MM)</v>
          </cell>
          <cell r="EV33">
            <v>404.5</v>
          </cell>
          <cell r="EW33">
            <v>404.04754800000001</v>
          </cell>
          <cell r="EX33">
            <v>0.45245199999999386</v>
          </cell>
          <cell r="EY33">
            <v>1.1197989004996245E-3</v>
          </cell>
          <cell r="FC33" t="str">
            <v xml:space="preserve"> Avg. Shs. (MM)</v>
          </cell>
          <cell r="FD33">
            <v>404.84800000000001</v>
          </cell>
          <cell r="FE33">
            <v>202.25562500000001</v>
          </cell>
          <cell r="FF33">
            <v>402.93400000000003</v>
          </cell>
          <cell r="FG33">
            <v>1.9139999999999873</v>
          </cell>
          <cell r="FH33">
            <v>4.7501575940476215E-3</v>
          </cell>
          <cell r="FK33" t="str">
            <v xml:space="preserve"> Avg. Shs. (MM)</v>
          </cell>
          <cell r="FL33">
            <v>405.60674599999999</v>
          </cell>
          <cell r="FM33">
            <v>202.3</v>
          </cell>
          <cell r="FN33">
            <v>403.70463599999999</v>
          </cell>
          <cell r="FO33">
            <v>1.9021099999999933</v>
          </cell>
          <cell r="FP33">
            <v>4.7116377429958778E-3</v>
          </cell>
          <cell r="FT33" t="str">
            <v>Combat Sys</v>
          </cell>
          <cell r="FU33">
            <v>0.11001788908765653</v>
          </cell>
          <cell r="FV33">
            <v>0.11600000000000001</v>
          </cell>
          <cell r="FW33">
            <v>0.11122244488977956</v>
          </cell>
          <cell r="FX33">
            <v>-1.2045558021230307E-3</v>
          </cell>
          <cell r="GC33" t="str">
            <v>Combat Sys</v>
          </cell>
          <cell r="GD33">
            <v>9.8391674550614955E-2</v>
          </cell>
          <cell r="GE33">
            <v>0.106</v>
          </cell>
          <cell r="GF33">
            <v>0.10467289719626169</v>
          </cell>
          <cell r="GG33">
            <v>-6.2812226456467335E-3</v>
          </cell>
          <cell r="GL33" t="str">
            <v>Combat Sys</v>
          </cell>
          <cell r="GM33">
            <v>0.11844792375765827</v>
          </cell>
          <cell r="GN33">
            <v>0.114</v>
          </cell>
          <cell r="GO33">
            <v>0.11055652607936112</v>
          </cell>
          <cell r="GP33">
            <v>7.891397678297149E-3</v>
          </cell>
        </row>
        <row r="34">
          <cell r="C34" t="str">
            <v>Dil. Shs.</v>
          </cell>
          <cell r="D34">
            <v>387</v>
          </cell>
          <cell r="E34">
            <v>385</v>
          </cell>
          <cell r="F34">
            <v>384.07643312101908</v>
          </cell>
          <cell r="G34">
            <v>401.8</v>
          </cell>
          <cell r="H34">
            <v>-14.800000000000011</v>
          </cell>
          <cell r="I34">
            <v>-3.6834245893479389E-2</v>
          </cell>
          <cell r="J34">
            <v>2</v>
          </cell>
          <cell r="K34">
            <v>5.1948051948051965E-3</v>
          </cell>
          <cell r="L34">
            <v>2.923566878980921</v>
          </cell>
          <cell r="M34">
            <v>7.6119402985075357E-3</v>
          </cell>
          <cell r="R34" t="str">
            <v>Dil. Shs.</v>
          </cell>
          <cell r="S34">
            <v>398.7</v>
          </cell>
          <cell r="T34">
            <v>400</v>
          </cell>
          <cell r="U34">
            <v>404.69255663430425</v>
          </cell>
          <cell r="V34">
            <v>408.14499999999998</v>
          </cell>
          <cell r="W34">
            <v>-9.4449999999999932</v>
          </cell>
          <cell r="X34">
            <v>-2.3141285572529369E-2</v>
          </cell>
          <cell r="Y34">
            <v>-1.3000000000000114</v>
          </cell>
          <cell r="Z34">
            <v>-3.2499999999999751E-3</v>
          </cell>
          <cell r="AA34">
            <v>-5.9925566343042647</v>
          </cell>
          <cell r="AB34">
            <v>-1.4807676929228464E-2</v>
          </cell>
          <cell r="AE34" t="str">
            <v>Dil. Shs.</v>
          </cell>
          <cell r="AF34">
            <v>389.6</v>
          </cell>
          <cell r="AG34">
            <v>394.5</v>
          </cell>
          <cell r="AH34">
            <v>399.36708860759489</v>
          </cell>
          <cell r="AI34">
            <v>406.9</v>
          </cell>
          <cell r="AJ34">
            <v>-17.299999999999955</v>
          </cell>
          <cell r="AK34">
            <v>-4.251658884246734E-2</v>
          </cell>
          <cell r="AL34">
            <v>-4.8999999999999773</v>
          </cell>
          <cell r="AM34">
            <v>-1.2420785804816203E-2</v>
          </cell>
          <cell r="AN34">
            <v>-9.7670886075948715</v>
          </cell>
          <cell r="AO34">
            <v>-2.4456418383518086E-2</v>
          </cell>
          <cell r="AR34" t="str">
            <v>Dil. Shs.</v>
          </cell>
          <cell r="AS34">
            <v>399.8</v>
          </cell>
          <cell r="AT34">
            <v>400</v>
          </cell>
          <cell r="AU34">
            <v>397.35099337748346</v>
          </cell>
          <cell r="AV34">
            <v>407.3</v>
          </cell>
          <cell r="AW34">
            <v>-7.5</v>
          </cell>
          <cell r="AX34">
            <v>-1.8413945494721307E-2</v>
          </cell>
          <cell r="AY34">
            <v>-0.19999999999998863</v>
          </cell>
          <cell r="AZ34">
            <v>-4.9999999999994493E-4</v>
          </cell>
          <cell r="BA34">
            <v>2.4490066225165492</v>
          </cell>
          <cell r="BB34">
            <v>6.1633333333332985E-3</v>
          </cell>
          <cell r="BE34" t="str">
            <v>EPS, Disc. Opns</v>
          </cell>
          <cell r="BF34">
            <v>8.7108013937282222E-2</v>
          </cell>
          <cell r="BG34">
            <v>0</v>
          </cell>
          <cell r="BI34">
            <v>-0.01</v>
          </cell>
          <cell r="BL34">
            <v>8.7108013937282222E-2</v>
          </cell>
          <cell r="BM34" t="str">
            <v>N/A</v>
          </cell>
          <cell r="BR34" t="str">
            <v>EPS, Disc. Opns</v>
          </cell>
          <cell r="BS34">
            <v>2.4758603614756128E-3</v>
          </cell>
          <cell r="BT34">
            <v>0</v>
          </cell>
          <cell r="BV34">
            <v>-1.4655593551538839E-2</v>
          </cell>
          <cell r="BY34">
            <v>2.4758603614756128E-3</v>
          </cell>
          <cell r="BZ34" t="str">
            <v>N/A</v>
          </cell>
          <cell r="CF34" t="str">
            <v>Dil. Shs.</v>
          </cell>
          <cell r="CG34">
            <v>406.9</v>
          </cell>
          <cell r="CH34">
            <v>408</v>
          </cell>
          <cell r="CI34">
            <v>408.79854782628456</v>
          </cell>
          <cell r="CJ34">
            <v>408.7</v>
          </cell>
          <cell r="CK34">
            <v>-1.8000000000000114</v>
          </cell>
          <cell r="CL34">
            <v>-4.4042084658674208E-3</v>
          </cell>
          <cell r="CM34">
            <v>-1.1000000000000227</v>
          </cell>
          <cell r="CN34">
            <v>-2.6960784313726505E-3</v>
          </cell>
          <cell r="CO34">
            <v>-1.8985478262845845</v>
          </cell>
          <cell r="CP34">
            <v>-4.6442137242898029E-3</v>
          </cell>
          <cell r="CT34" t="str">
            <v>Dil. Shs.</v>
          </cell>
          <cell r="CU34">
            <v>407.3</v>
          </cell>
          <cell r="CV34">
            <v>409</v>
          </cell>
          <cell r="CW34">
            <v>407.177077</v>
          </cell>
          <cell r="CX34">
            <v>0.12292300000001433</v>
          </cell>
          <cell r="CY34">
            <v>3.0189076680264826E-4</v>
          </cell>
          <cell r="DC34" t="str">
            <v>Pretax Inc</v>
          </cell>
          <cell r="DD34">
            <v>740</v>
          </cell>
          <cell r="DE34">
            <v>628</v>
          </cell>
          <cell r="DF34">
            <v>112</v>
          </cell>
          <cell r="DG34">
            <v>0.17834394904458595</v>
          </cell>
          <cell r="DK34" t="str">
            <v>Eff Tax Rate</v>
          </cell>
          <cell r="DL34">
            <v>0.32926829268292684</v>
          </cell>
          <cell r="DM34">
            <v>0.32300000000000001</v>
          </cell>
          <cell r="DN34">
            <v>0.33160621761658032</v>
          </cell>
          <cell r="DT34" t="str">
            <v>Eff Tax Rate</v>
          </cell>
          <cell r="DU34">
            <v>0.32330827067669171</v>
          </cell>
          <cell r="DV34">
            <v>0.33300000000000002</v>
          </cell>
          <cell r="DW34">
            <v>0.3001449975833736</v>
          </cell>
          <cell r="EC34" t="str">
            <v>Operating Margins</v>
          </cell>
          <cell r="EL34" t="str">
            <v>Operating Margins</v>
          </cell>
          <cell r="EU34" t="str">
            <v>Operating Margins</v>
          </cell>
          <cell r="FC34" t="str">
            <v>Operating Margins</v>
          </cell>
          <cell r="FK34" t="str">
            <v>Operating Margins</v>
          </cell>
          <cell r="FT34" t="str">
            <v>Info Sys &amp; Tech</v>
          </cell>
          <cell r="FU34">
            <v>0.11177347242921014</v>
          </cell>
          <cell r="FV34">
            <v>0.106</v>
          </cell>
          <cell r="FW34">
            <v>0.1170018281535649</v>
          </cell>
          <cell r="FX34">
            <v>-5.2283557243547607E-3</v>
          </cell>
          <cell r="GC34" t="str">
            <v>Info Sys &amp; Tech</v>
          </cell>
          <cell r="GD34">
            <v>0.11244292237442922</v>
          </cell>
          <cell r="GE34">
            <v>9.7000000000000003E-2</v>
          </cell>
          <cell r="GF34">
            <v>0.10286062081558126</v>
          </cell>
          <cell r="GG34">
            <v>9.5823015588479693E-3</v>
          </cell>
          <cell r="GL34" t="str">
            <v>Info Sys &amp; Tech</v>
          </cell>
          <cell r="GM34">
            <v>0.1068134483784588</v>
          </cell>
          <cell r="GN34">
            <v>0.106</v>
          </cell>
          <cell r="GO34">
            <v>0.10994224422442245</v>
          </cell>
          <cell r="GP34">
            <v>-3.12879584596365E-3</v>
          </cell>
        </row>
        <row r="35">
          <cell r="BE35" t="str">
            <v>EPS, Reported (GAAP)</v>
          </cell>
          <cell r="BF35">
            <v>1.595321055251369</v>
          </cell>
          <cell r="BG35">
            <v>1.4186019354838708</v>
          </cell>
          <cell r="BI35">
            <v>1.2568134018097334</v>
          </cell>
          <cell r="BJ35">
            <v>0.33850765344163558</v>
          </cell>
          <cell r="BK35">
            <v>0.26933803614299912</v>
          </cell>
          <cell r="BL35">
            <v>0.17671911976749821</v>
          </cell>
          <cell r="BM35">
            <v>0.12457273273578395</v>
          </cell>
          <cell r="BR35" t="str">
            <v>EPS, Reported (GAAP)</v>
          </cell>
          <cell r="BS35">
            <v>1.4211438474870017</v>
          </cell>
          <cell r="BT35">
            <v>1.2972342202970297</v>
          </cell>
          <cell r="BV35">
            <v>1.0600879335613091</v>
          </cell>
          <cell r="BW35">
            <v>0.36105591392569258</v>
          </cell>
          <cell r="BX35">
            <v>0.34059053262944361</v>
          </cell>
          <cell r="BY35">
            <v>0.123909627189972</v>
          </cell>
          <cell r="BZ35">
            <v>9.5518315236550189E-2</v>
          </cell>
          <cell r="CF35" t="str">
            <v>Operating Margins</v>
          </cell>
          <cell r="CT35" t="str">
            <v>Operating Margins</v>
          </cell>
          <cell r="DC35" t="str">
            <v>Eff Tax Rate</v>
          </cell>
          <cell r="DD35">
            <v>0.3</v>
          </cell>
          <cell r="DE35">
            <v>0.33121019108280253</v>
          </cell>
          <cell r="DK35" t="str">
            <v>Net Income</v>
          </cell>
          <cell r="DL35">
            <v>439.99999999999994</v>
          </cell>
          <cell r="DM35">
            <v>429.89499999999998</v>
          </cell>
          <cell r="DN35">
            <v>386.99999999999994</v>
          </cell>
          <cell r="DO35">
            <v>53</v>
          </cell>
          <cell r="DP35">
            <v>0.13695090439276481</v>
          </cell>
          <cell r="DT35" t="str">
            <v>Net Income</v>
          </cell>
          <cell r="DU35">
            <v>1710.0000000000002</v>
          </cell>
          <cell r="DV35">
            <v>1707</v>
          </cell>
          <cell r="DW35">
            <v>1448</v>
          </cell>
          <cell r="DX35">
            <v>262.00000000000023</v>
          </cell>
          <cell r="DY35">
            <v>0.18093922651933725</v>
          </cell>
          <cell r="EC35" t="str">
            <v>Marine Group</v>
          </cell>
          <cell r="ED35">
            <v>8.3538083538083535E-2</v>
          </cell>
          <cell r="EE35">
            <v>7.5109170305676862E-2</v>
          </cell>
          <cell r="EF35">
            <v>4.4406490179333902E-2</v>
          </cell>
          <cell r="EG35">
            <v>3.9131593358749633E-2</v>
          </cell>
          <cell r="EL35" t="str">
            <v>Marine Group</v>
          </cell>
          <cell r="EM35">
            <v>7.266982622432859E-2</v>
          </cell>
          <cell r="EN35">
            <v>6.6666666666666666E-2</v>
          </cell>
          <cell r="EO35">
            <v>5.5178268251273345E-2</v>
          </cell>
          <cell r="EP35">
            <v>1.7491557973055245E-2</v>
          </cell>
          <cell r="EU35" t="str">
            <v>Marine Group</v>
          </cell>
          <cell r="EV35">
            <v>7.6078431372549021E-2</v>
          </cell>
          <cell r="EW35">
            <v>4.049586776859504E-2</v>
          </cell>
          <cell r="EX35">
            <v>3.5582563603953982E-2</v>
          </cell>
          <cell r="FC35" t="str">
            <v>Marine Group</v>
          </cell>
          <cell r="FD35">
            <v>5.3035143769968054E-2</v>
          </cell>
          <cell r="FE35">
            <v>5.1130434782608696E-2</v>
          </cell>
          <cell r="FF35">
            <v>6.1785865425306813E-2</v>
          </cell>
          <cell r="FG35">
            <v>-8.7507216553387585E-3</v>
          </cell>
          <cell r="FK35" t="str">
            <v>Marine Group</v>
          </cell>
          <cell r="FL35">
            <v>4.4406490179333902E-2</v>
          </cell>
          <cell r="FM35">
            <v>6.8181818181818177E-2</v>
          </cell>
          <cell r="FN35">
            <v>5.3726169844020795E-2</v>
          </cell>
          <cell r="FO35">
            <v>-9.3196796646868932E-3</v>
          </cell>
          <cell r="FT35" t="str">
            <v>Aerospace</v>
          </cell>
          <cell r="FU35">
            <v>0.15096618357487923</v>
          </cell>
          <cell r="FV35">
            <v>0.14899999999999999</v>
          </cell>
          <cell r="FW35">
            <v>0.12191958495460441</v>
          </cell>
          <cell r="FX35">
            <v>2.9046598620274824E-2</v>
          </cell>
          <cell r="GC35" t="str">
            <v>Aerospace</v>
          </cell>
          <cell r="GD35">
            <v>0.13413014608233731</v>
          </cell>
          <cell r="GE35">
            <v>0.124</v>
          </cell>
          <cell r="GF35">
            <v>0.10891089108910891</v>
          </cell>
          <cell r="GG35">
            <v>2.5219254993228399E-2</v>
          </cell>
          <cell r="GL35" t="str">
            <v>Aerospace</v>
          </cell>
          <cell r="GM35">
            <v>0.13047808764940239</v>
          </cell>
          <cell r="GN35">
            <v>0.13100000000000001</v>
          </cell>
          <cell r="GO35">
            <v>7.3998642226748138E-2</v>
          </cell>
          <cell r="GP35">
            <v>5.6479445422654248E-2</v>
          </cell>
        </row>
        <row r="36">
          <cell r="C36" t="str">
            <v>Operating Margins</v>
          </cell>
          <cell r="R36" t="str">
            <v>Operating Margins</v>
          </cell>
          <cell r="AE36" t="str">
            <v>Operating Margins</v>
          </cell>
          <cell r="AR36" t="str">
            <v>Operating Margins</v>
          </cell>
          <cell r="BE36" t="str">
            <v>% Ch Y/Y</v>
          </cell>
          <cell r="BF36">
            <v>0.26933803614299912</v>
          </cell>
          <cell r="BG36">
            <v>0.12872916014515123</v>
          </cell>
          <cell r="BH36">
            <v>0.13671042471042472</v>
          </cell>
          <cell r="BI36">
            <v>0.22747465011820325</v>
          </cell>
          <cell r="BJ36">
            <v>418.63386024795864</v>
          </cell>
          <cell r="BL36">
            <v>1406.0887599784787</v>
          </cell>
          <cell r="BN36">
            <v>1326.2761143257439</v>
          </cell>
          <cell r="BR36" t="str">
            <v>% Ch Y/Y</v>
          </cell>
          <cell r="BS36">
            <v>0.32000607711179629</v>
          </cell>
          <cell r="BT36">
            <v>0.20701747679455451</v>
          </cell>
          <cell r="BU36">
            <v>0.20959090909090916</v>
          </cell>
          <cell r="BV36">
            <v>0.12334304061278317</v>
          </cell>
          <cell r="BW36">
            <v>1966.6303649901313</v>
          </cell>
          <cell r="BY36">
            <v>1129.8860031724178</v>
          </cell>
          <cell r="CA36">
            <v>1104.1516802088713</v>
          </cell>
          <cell r="CF36" t="str">
            <v>Marine Group</v>
          </cell>
          <cell r="CG36">
            <v>8.2922824302134643E-2</v>
          </cell>
          <cell r="CH36">
            <v>8.1680000000000016E-2</v>
          </cell>
          <cell r="CJ36">
            <v>7.1307300509337868E-2</v>
          </cell>
          <cell r="CK36">
            <v>116.15523792796775</v>
          </cell>
          <cell r="CM36">
            <v>12.428243021346264</v>
          </cell>
          <cell r="CT36" t="str">
            <v>Marine Group</v>
          </cell>
          <cell r="CU36">
            <v>8.8282504012841087E-2</v>
          </cell>
          <cell r="CV36">
            <v>8.5245901639344257E-2</v>
          </cell>
          <cell r="CW36">
            <v>8.3538083538083535E-2</v>
          </cell>
          <cell r="CX36">
            <v>47.444204747575519</v>
          </cell>
          <cell r="DC36" t="str">
            <v>Net Income</v>
          </cell>
          <cell r="DD36">
            <v>518</v>
          </cell>
          <cell r="DE36">
            <v>420.00000000000006</v>
          </cell>
          <cell r="DF36">
            <v>97.999999999999943</v>
          </cell>
          <cell r="DG36">
            <v>0.23333333333333317</v>
          </cell>
          <cell r="DK36" t="str">
            <v>EPS, Cont. Ops</v>
          </cell>
          <cell r="DL36">
            <v>1.074743527112848</v>
          </cell>
          <cell r="DM36">
            <v>1.0498046398046399</v>
          </cell>
          <cell r="DN36">
            <v>0.95673671199011112</v>
          </cell>
          <cell r="DO36">
            <v>0.11800681512273692</v>
          </cell>
          <cell r="DP36">
            <v>0.12334304061278312</v>
          </cell>
          <cell r="DT36" t="str">
            <v>EPS, Cont. Ops</v>
          </cell>
          <cell r="DU36">
            <v>4.2035398230088497</v>
          </cell>
          <cell r="DV36">
            <v>4.1959803921568621</v>
          </cell>
          <cell r="DW36">
            <v>3.5766509900011854</v>
          </cell>
          <cell r="DX36">
            <v>0.62688883300766429</v>
          </cell>
          <cell r="DY36">
            <v>0.17527257615019809</v>
          </cell>
          <cell r="EC36" t="str">
            <v>Combat Sys</v>
          </cell>
          <cell r="ED36">
            <v>0.12014652014652015</v>
          </cell>
          <cell r="EE36">
            <v>0.11724137931034483</v>
          </cell>
          <cell r="EF36">
            <v>0.12822580645161291</v>
          </cell>
          <cell r="EG36">
            <v>-8.0792863050927616E-3</v>
          </cell>
          <cell r="EL36" t="str">
            <v>Combat Sys</v>
          </cell>
          <cell r="EM36">
            <v>0.11911357340720222</v>
          </cell>
          <cell r="EN36">
            <v>0.11068702290076336</v>
          </cell>
          <cell r="EO36">
            <v>0.11001788908765653</v>
          </cell>
          <cell r="EP36">
            <v>9.0956843195456882E-3</v>
          </cell>
          <cell r="EU36" t="str">
            <v>Combat Sys</v>
          </cell>
          <cell r="EV36">
            <v>0.10737764791818846</v>
          </cell>
          <cell r="EW36">
            <v>9.8391674550614955E-2</v>
          </cell>
          <cell r="EX36">
            <v>8.9859733675735076E-3</v>
          </cell>
          <cell r="FC36" t="str">
            <v>Combat Sys</v>
          </cell>
          <cell r="FD36">
            <v>0.11471818362875921</v>
          </cell>
          <cell r="FE36">
            <v>0.11313194444444444</v>
          </cell>
          <cell r="FF36">
            <v>0.11844792375765827</v>
          </cell>
          <cell r="FG36">
            <v>-3.7297401288990534E-3</v>
          </cell>
          <cell r="FK36" t="str">
            <v>Combat Sys</v>
          </cell>
          <cell r="FL36">
            <v>0.12822580645161291</v>
          </cell>
          <cell r="FM36">
            <v>0.12741935483870967</v>
          </cell>
          <cell r="FN36">
            <v>0.12415130940834142</v>
          </cell>
          <cell r="FO36">
            <v>4.0744970432714939E-3</v>
          </cell>
          <cell r="FT36" t="str">
            <v>Other</v>
          </cell>
          <cell r="FU36">
            <v>0</v>
          </cell>
          <cell r="FV36">
            <v>0.108</v>
          </cell>
          <cell r="FW36">
            <v>0.1076923076923077</v>
          </cell>
          <cell r="FX36">
            <v>-0.1076923076923077</v>
          </cell>
          <cell r="GC36" t="str">
            <v>Other</v>
          </cell>
          <cell r="GD36">
            <v>0</v>
          </cell>
          <cell r="GE36">
            <v>0.111</v>
          </cell>
          <cell r="GF36">
            <v>-0.19148936170212766</v>
          </cell>
          <cell r="GG36">
            <v>0.19148936170212766</v>
          </cell>
          <cell r="GL36" t="str">
            <v>Other</v>
          </cell>
          <cell r="GM36">
            <v>6</v>
          </cell>
          <cell r="GN36">
            <v>5.5E-2</v>
          </cell>
          <cell r="GO36">
            <v>0.125</v>
          </cell>
          <cell r="GP36">
            <v>5.875</v>
          </cell>
        </row>
        <row r="37">
          <cell r="C37" t="str">
            <v>Marine Group</v>
          </cell>
          <cell r="D37">
            <v>0.10338461538461538</v>
          </cell>
          <cell r="E37">
            <v>9.7000000000000003E-2</v>
          </cell>
          <cell r="G37">
            <v>9.1104734576757537E-2</v>
          </cell>
          <cell r="H37">
            <v>122.79880807857843</v>
          </cell>
          <cell r="J37">
            <v>63.846153846153776</v>
          </cell>
          <cell r="R37" t="str">
            <v>Marine Group</v>
          </cell>
          <cell r="S37">
            <v>9.3772498200143994E-2</v>
          </cell>
          <cell r="T37">
            <v>9.2999999999999999E-2</v>
          </cell>
          <cell r="V37">
            <v>8.431804526336871E-2</v>
          </cell>
          <cell r="W37">
            <v>94.544529367752844</v>
          </cell>
          <cell r="Y37">
            <v>7.7249820014399511</v>
          </cell>
          <cell r="AE37" t="str">
            <v>Marine Group</v>
          </cell>
          <cell r="AF37">
            <v>9.5652173913043481E-2</v>
          </cell>
          <cell r="AG37">
            <v>9.2483660130718945E-2</v>
          </cell>
          <cell r="AI37">
            <v>8.2922824302134643E-2</v>
          </cell>
          <cell r="AJ37">
            <v>127.29349610908838</v>
          </cell>
          <cell r="AL37">
            <v>31.685137823245363</v>
          </cell>
          <cell r="AR37" t="str">
            <v>Marine Group</v>
          </cell>
          <cell r="AS37">
            <v>9.9715099715099717E-2</v>
          </cell>
          <cell r="AT37">
            <v>0.09</v>
          </cell>
          <cell r="AV37">
            <v>8.8282504012841087E-2</v>
          </cell>
          <cell r="AW37">
            <v>114.32595702258629</v>
          </cell>
          <cell r="AY37">
            <v>97.150997150997199</v>
          </cell>
          <cell r="BE37" t="str">
            <v>Dil. Shs.</v>
          </cell>
          <cell r="BF37">
            <v>401.8</v>
          </cell>
          <cell r="BG37">
            <v>403</v>
          </cell>
          <cell r="BH37">
            <v>409.72222222222223</v>
          </cell>
          <cell r="BI37">
            <v>408.9</v>
          </cell>
          <cell r="BJ37">
            <v>-7.0999999999999659</v>
          </cell>
          <cell r="BK37">
            <v>-1.7363658596233678E-2</v>
          </cell>
          <cell r="BL37">
            <v>-1.1999999999999886</v>
          </cell>
          <cell r="BM37">
            <v>-2.9776674937964653E-3</v>
          </cell>
          <cell r="BN37">
            <v>-7.9222222222222172</v>
          </cell>
          <cell r="BO37">
            <v>-1.9335593220338954E-2</v>
          </cell>
          <cell r="BR37" t="str">
            <v>Dil. Shs.</v>
          </cell>
          <cell r="BS37">
            <v>403.9</v>
          </cell>
          <cell r="BT37">
            <v>404</v>
          </cell>
          <cell r="BU37">
            <v>403.84615384615381</v>
          </cell>
          <cell r="BV37">
            <v>409.4</v>
          </cell>
          <cell r="BW37">
            <v>-5.5</v>
          </cell>
          <cell r="BX37">
            <v>-1.3434294088910614E-2</v>
          </cell>
          <cell r="BY37">
            <v>-0.10000000000002274</v>
          </cell>
          <cell r="BZ37">
            <v>-2.4752475247535877E-4</v>
          </cell>
          <cell r="CA37">
            <v>5.3846153846166089E-2</v>
          </cell>
          <cell r="CB37">
            <v>1.3333333333331865E-4</v>
          </cell>
          <cell r="CF37" t="str">
            <v>Combat Sys</v>
          </cell>
          <cell r="CG37">
            <v>0.12211720226843101</v>
          </cell>
          <cell r="CH37">
            <v>0.11478315262718933</v>
          </cell>
          <cell r="CJ37">
            <v>0.1074792243767313</v>
          </cell>
          <cell r="CK37">
            <v>146.37977891699711</v>
          </cell>
          <cell r="CM37">
            <v>73.340496412416798</v>
          </cell>
          <cell r="CT37" t="str">
            <v>Combat Sys</v>
          </cell>
          <cell r="CU37">
            <v>0.12179487179487179</v>
          </cell>
          <cell r="CV37">
            <v>0.11600000000000001</v>
          </cell>
          <cell r="CW37">
            <v>0.12014652014652015</v>
          </cell>
          <cell r="CX37">
            <v>16.483516483516425</v>
          </cell>
          <cell r="DC37" t="str">
            <v>EPS, Cont. Ops</v>
          </cell>
          <cell r="DD37">
            <v>1.2668134018097335</v>
          </cell>
          <cell r="DE37">
            <v>1.0320485247395879</v>
          </cell>
          <cell r="DF37">
            <v>0.23476487707014559</v>
          </cell>
          <cell r="DG37">
            <v>0.22747465011820323</v>
          </cell>
          <cell r="DK37" t="str">
            <v>EPS, Disc. Opns</v>
          </cell>
          <cell r="DL37">
            <v>-1.4655593551538839E-2</v>
          </cell>
          <cell r="DM37">
            <v>0</v>
          </cell>
          <cell r="DN37">
            <v>-3.2138442521631644E-2</v>
          </cell>
          <cell r="DT37" t="str">
            <v>EPS, Disc. Opns</v>
          </cell>
          <cell r="DU37">
            <v>0.35889872173058013</v>
          </cell>
          <cell r="DV37">
            <v>0.51099045831761647</v>
          </cell>
          <cell r="DW37">
            <v>3.2110816899181917E-2</v>
          </cell>
          <cell r="EC37" t="str">
            <v>Info Sys &amp; Tech</v>
          </cell>
          <cell r="ED37">
            <v>0.10767946577629382</v>
          </cell>
          <cell r="EE37">
            <v>0.10483870967741936</v>
          </cell>
          <cell r="EF37">
            <v>0.11486146095717883</v>
          </cell>
          <cell r="EG37">
            <v>-7.1819951808850119E-3</v>
          </cell>
          <cell r="EL37" t="str">
            <v>Info Sys &amp; Tech</v>
          </cell>
          <cell r="EM37">
            <v>0.10755679184051924</v>
          </cell>
          <cell r="EN37">
            <v>0.11210762331838565</v>
          </cell>
          <cell r="EO37">
            <v>0.11177347242921014</v>
          </cell>
          <cell r="EP37">
            <v>-4.216680588690902E-3</v>
          </cell>
          <cell r="EU37" t="str">
            <v>Info Sys &amp; Tech</v>
          </cell>
          <cell r="EV37">
            <v>0.11150532184490623</v>
          </cell>
          <cell r="EW37">
            <v>0.11244292237442922</v>
          </cell>
          <cell r="EX37">
            <v>-9.3760052952299167E-4</v>
          </cell>
          <cell r="FC37" t="str">
            <v>Info Sys &amp; Tech</v>
          </cell>
          <cell r="FD37">
            <v>0.11052900587784309</v>
          </cell>
          <cell r="FE37">
            <v>0.11148785299959731</v>
          </cell>
          <cell r="FF37">
            <v>0.1068134483784588</v>
          </cell>
          <cell r="FG37">
            <v>3.7155574993842921E-3</v>
          </cell>
          <cell r="FK37" t="str">
            <v>Info Sys &amp; Tech</v>
          </cell>
          <cell r="FL37">
            <v>0.11486146095717883</v>
          </cell>
          <cell r="FM37">
            <v>0.10742857142857143</v>
          </cell>
          <cell r="FN37">
            <v>0.11069182389937107</v>
          </cell>
          <cell r="FO37">
            <v>4.1696370578077624E-3</v>
          </cell>
          <cell r="FT37" t="str">
            <v xml:space="preserve">  Total</v>
          </cell>
          <cell r="FU37">
            <v>0.10492505353319058</v>
          </cell>
          <cell r="FV37">
            <v>0.105</v>
          </cell>
          <cell r="FW37">
            <v>0.10425623387790198</v>
          </cell>
          <cell r="FX37">
            <v>6.6881965528860221E-4</v>
          </cell>
          <cell r="GC37" t="str">
            <v xml:space="preserve">  Total</v>
          </cell>
          <cell r="GD37">
            <v>0.38546061077597654</v>
          </cell>
          <cell r="GE37">
            <v>9.8000000000000004E-2</v>
          </cell>
          <cell r="GF37">
            <v>9.384416702539819E-2</v>
          </cell>
          <cell r="GG37">
            <v>0.29161644375057838</v>
          </cell>
          <cell r="GL37" t="str">
            <v xml:space="preserve">  Total</v>
          </cell>
          <cell r="GM37">
            <v>0.10234259062963748</v>
          </cell>
          <cell r="GN37">
            <v>0.10199999999999999</v>
          </cell>
          <cell r="GO37">
            <v>8.8314551690347867E-2</v>
          </cell>
          <cell r="GP37">
            <v>1.4028038939289611E-2</v>
          </cell>
        </row>
        <row r="38">
          <cell r="C38" t="str">
            <v>Combat Sys</v>
          </cell>
          <cell r="D38">
            <v>0.12474012474012475</v>
          </cell>
          <cell r="E38">
            <v>0.12</v>
          </cell>
          <cell r="G38">
            <v>0.13995037220843673</v>
          </cell>
          <cell r="H38">
            <v>-152.10247468311982</v>
          </cell>
          <cell r="J38">
            <v>47.401247401247517</v>
          </cell>
          <cell r="R38" t="str">
            <v>Combat Sys</v>
          </cell>
          <cell r="S38">
            <v>0.13558701488894312</v>
          </cell>
          <cell r="T38">
            <v>0.13200000000000001</v>
          </cell>
          <cell r="V38">
            <v>0.11748108246761575</v>
          </cell>
          <cell r="W38">
            <v>181.05932421327367</v>
          </cell>
          <cell r="Y38">
            <v>35.870148889431128</v>
          </cell>
          <cell r="AE38" t="str">
            <v>Combat Sys</v>
          </cell>
          <cell r="AF38">
            <v>0.13207547169811321</v>
          </cell>
          <cell r="AG38">
            <v>0.11976549413735343</v>
          </cell>
          <cell r="AI38">
            <v>0.12211720226843101</v>
          </cell>
          <cell r="AJ38">
            <v>99.582694296821984</v>
          </cell>
          <cell r="AL38">
            <v>123.09977560759772</v>
          </cell>
          <cell r="AR38" t="str">
            <v>Combat Sys</v>
          </cell>
          <cell r="AS38">
            <v>0.14162162162162162</v>
          </cell>
          <cell r="AT38">
            <v>0.126</v>
          </cell>
          <cell r="AV38">
            <v>0.12179487179487179</v>
          </cell>
          <cell r="AW38">
            <v>198.26749826749827</v>
          </cell>
          <cell r="AY38">
            <v>156.21621621621617</v>
          </cell>
          <cell r="BE38" t="str">
            <v>Operating Margins</v>
          </cell>
          <cell r="BR38" t="str">
            <v>Operating Margins</v>
          </cell>
          <cell r="CF38" t="str">
            <v>Info Sys &amp; Tech</v>
          </cell>
          <cell r="CG38">
            <v>0.10405571487095452</v>
          </cell>
          <cell r="CH38">
            <v>9.7459309249702267E-2</v>
          </cell>
          <cell r="CJ38">
            <v>0.10648518815052041</v>
          </cell>
          <cell r="CK38">
            <v>-24.294732795658859</v>
          </cell>
          <cell r="CM38">
            <v>65.964056212522578</v>
          </cell>
          <cell r="CT38" t="str">
            <v>Info Sys &amp; Tech</v>
          </cell>
          <cell r="CU38">
            <v>0.10578925447730113</v>
          </cell>
          <cell r="CV38">
            <v>0.108</v>
          </cell>
          <cell r="CW38">
            <v>0.10767946577629382</v>
          </cell>
          <cell r="CX38">
            <v>-18.902112989926945</v>
          </cell>
          <cell r="DC38" t="str">
            <v>EPS, Disc. Opns</v>
          </cell>
          <cell r="DD38">
            <v>-0.01</v>
          </cell>
          <cell r="DE38">
            <v>0.5307678127232166</v>
          </cell>
          <cell r="DK38" t="str">
            <v>EPS, Reported (GAAP)</v>
          </cell>
          <cell r="DL38">
            <v>1.0600879335613091</v>
          </cell>
          <cell r="DM38">
            <v>1.0498046398046399</v>
          </cell>
          <cell r="DN38">
            <v>0.92459826946847945</v>
          </cell>
          <cell r="DO38">
            <v>0.1354896640928297</v>
          </cell>
          <cell r="DP38">
            <v>0.14653895488114865</v>
          </cell>
          <cell r="DT38" t="str">
            <v>EPS, Reported (GAAP)</v>
          </cell>
          <cell r="DU38">
            <v>4.5624385447394298</v>
          </cell>
          <cell r="DV38">
            <v>4.7069708504744785</v>
          </cell>
          <cell r="DW38">
            <v>3.6087618069003673</v>
          </cell>
          <cell r="DX38">
            <v>0.95367673783906248</v>
          </cell>
          <cell r="DY38">
            <v>0.26426702256034829</v>
          </cell>
          <cell r="EC38" t="str">
            <v>Aerospace</v>
          </cell>
          <cell r="ED38">
            <v>0.15179392824287027</v>
          </cell>
          <cell r="EE38">
            <v>0.16826923076923078</v>
          </cell>
          <cell r="EF38">
            <v>0.16114790286975716</v>
          </cell>
          <cell r="EG38">
            <v>-9.3539746268868906E-3</v>
          </cell>
          <cell r="EL38" t="str">
            <v>Aerospace</v>
          </cell>
          <cell r="EM38">
            <v>0.15557638238050608</v>
          </cell>
          <cell r="EN38">
            <v>0.15816326530612246</v>
          </cell>
          <cell r="EO38">
            <v>0.15096618357487923</v>
          </cell>
          <cell r="EP38">
            <v>4.6101988056268528E-3</v>
          </cell>
          <cell r="EU38" t="str">
            <v>Aerospace</v>
          </cell>
          <cell r="EV38">
            <v>0.15608180839612487</v>
          </cell>
          <cell r="EW38">
            <v>0.13413014608233731</v>
          </cell>
          <cell r="EX38">
            <v>2.1951662313787562E-2</v>
          </cell>
          <cell r="FC38" t="str">
            <v>Aerospace</v>
          </cell>
          <cell r="FD38">
            <v>0.14418875618992136</v>
          </cell>
          <cell r="FE38">
            <v>0.1525</v>
          </cell>
          <cell r="FF38">
            <v>0.13047808764940239</v>
          </cell>
          <cell r="FG38">
            <v>1.3710668540518972E-2</v>
          </cell>
          <cell r="FK38" t="str">
            <v>Aerospace</v>
          </cell>
          <cell r="FL38">
            <v>0.16114790286975716</v>
          </cell>
          <cell r="FM38">
            <v>0.15609756097560976</v>
          </cell>
          <cell r="FN38">
            <v>0.14661654135338345</v>
          </cell>
          <cell r="FO38">
            <v>1.4531361516373714E-2</v>
          </cell>
        </row>
        <row r="39">
          <cell r="C39" t="str">
            <v>Info Sys &amp; Tech</v>
          </cell>
          <cell r="D39">
            <v>0.10696798493408663</v>
          </cell>
          <cell r="E39">
            <v>0.111</v>
          </cell>
          <cell r="G39">
            <v>0.1138401559454191</v>
          </cell>
          <cell r="H39">
            <v>-68.721710113324733</v>
          </cell>
          <cell r="J39">
            <v>-40.320150659133716</v>
          </cell>
          <cell r="R39" t="str">
            <v>Info Sys &amp; Tech</v>
          </cell>
          <cell r="S39">
            <v>0.10709304642359035</v>
          </cell>
          <cell r="T39">
            <v>0.107</v>
          </cell>
          <cell r="V39">
            <v>0.1067345666181667</v>
          </cell>
          <cell r="W39">
            <v>3.5847980542365319</v>
          </cell>
          <cell r="Y39">
            <v>0.93046423590356642</v>
          </cell>
          <cell r="AE39" t="str">
            <v>Info Sys &amp; Tech</v>
          </cell>
          <cell r="AF39">
            <v>9.7009202453987725E-2</v>
          </cell>
          <cell r="AG39">
            <v>9.6498054474708175E-2</v>
          </cell>
          <cell r="AI39">
            <v>0.10405571487095452</v>
          </cell>
          <cell r="AJ39">
            <v>-70.465124169667988</v>
          </cell>
          <cell r="AL39">
            <v>5.1114797927954978</v>
          </cell>
          <cell r="AR39" t="str">
            <v>Info Sys &amp; Tech</v>
          </cell>
          <cell r="AS39">
            <v>0.10739856801909307</v>
          </cell>
          <cell r="AT39">
            <v>0.107</v>
          </cell>
          <cell r="AV39">
            <v>0.10578925447730113</v>
          </cell>
          <cell r="AW39">
            <v>16.093135417919456</v>
          </cell>
          <cell r="AY39">
            <v>3.9856801909307626</v>
          </cell>
          <cell r="BE39" t="str">
            <v>Marine Group</v>
          </cell>
          <cell r="BF39">
            <v>9.1104734576757537E-2</v>
          </cell>
          <cell r="BG39">
            <v>8.7999999999999995E-2</v>
          </cell>
          <cell r="BI39">
            <v>8.8050314465408799E-2</v>
          </cell>
          <cell r="BJ39">
            <v>30.544201113487379</v>
          </cell>
          <cell r="BL39">
            <v>31.047345767575425</v>
          </cell>
          <cell r="BR39" t="str">
            <v>Marine Group</v>
          </cell>
          <cell r="BS39">
            <v>8.8534107402031936E-2</v>
          </cell>
          <cell r="BT39">
            <v>8.6999999999999994E-2</v>
          </cell>
          <cell r="BV39">
            <v>7.7963404932378674E-2</v>
          </cell>
          <cell r="BW39">
            <v>105.70702469653261</v>
          </cell>
          <cell r="BY39">
            <v>15.341074020319423</v>
          </cell>
          <cell r="CF39" t="str">
            <v>Aerospace</v>
          </cell>
          <cell r="CG39">
            <v>0.1750619322873658</v>
          </cell>
          <cell r="CH39">
            <v>0.16411020104244237</v>
          </cell>
          <cell r="CJ39">
            <v>0.16263310745401743</v>
          </cell>
          <cell r="CK39">
            <v>124.28824833348368</v>
          </cell>
          <cell r="CM39">
            <v>109.51731244923435</v>
          </cell>
          <cell r="CT39" t="str">
            <v>Aerospace</v>
          </cell>
          <cell r="CU39">
            <v>0.17186311787072242</v>
          </cell>
          <cell r="CV39">
            <v>0.17100000000000001</v>
          </cell>
          <cell r="CW39">
            <v>0.15179392824287027</v>
          </cell>
          <cell r="CX39">
            <v>200.69189627852145</v>
          </cell>
          <cell r="DC39" t="str">
            <v>EPS, Reported (GAAP)</v>
          </cell>
          <cell r="DD39">
            <v>1.2568134018097334</v>
          </cell>
          <cell r="DE39">
            <v>1.5628163374628046</v>
          </cell>
          <cell r="DF39">
            <v>-0.30600293565307113</v>
          </cell>
          <cell r="DG39">
            <v>-0.19580223748483438</v>
          </cell>
          <cell r="DK39" t="str">
            <v>% Ch Y/Y</v>
          </cell>
          <cell r="DL39">
            <v>0.12334304061278317</v>
          </cell>
          <cell r="DM39">
            <v>0.11164703993949326</v>
          </cell>
          <cell r="DN39">
            <v>9.5090998756902551E-2</v>
          </cell>
          <cell r="DT39" t="str">
            <v>% Ch Y/Y</v>
          </cell>
          <cell r="DU39">
            <v>0.17527257615019809</v>
          </cell>
          <cell r="DV39">
            <v>0.1571759331089384</v>
          </cell>
          <cell r="DW39">
            <v>0.20699689280162303</v>
          </cell>
          <cell r="EC39" t="str">
            <v>Other</v>
          </cell>
          <cell r="ED39" t="str">
            <v>NA</v>
          </cell>
          <cell r="EE39" t="str">
            <v>NA</v>
          </cell>
          <cell r="EF39">
            <v>0</v>
          </cell>
          <cell r="EG39" t="str">
            <v xml:space="preserve">NA </v>
          </cell>
          <cell r="EL39" t="str">
            <v>Other</v>
          </cell>
          <cell r="EM39">
            <v>0</v>
          </cell>
          <cell r="EN39">
            <v>-0.13846153846153847</v>
          </cell>
          <cell r="EO39">
            <v>0</v>
          </cell>
          <cell r="EP39" t="str">
            <v xml:space="preserve">NA </v>
          </cell>
          <cell r="EU39" t="str">
            <v>Other</v>
          </cell>
          <cell r="EV39">
            <v>0</v>
          </cell>
          <cell r="EW39">
            <v>0</v>
          </cell>
          <cell r="EX39" t="str">
            <v>NA</v>
          </cell>
          <cell r="FC39" t="str">
            <v>Other</v>
          </cell>
          <cell r="FD39">
            <v>0</v>
          </cell>
          <cell r="FE39">
            <v>7.0721357850070721E-2</v>
          </cell>
          <cell r="FF39">
            <v>0</v>
          </cell>
          <cell r="FG39">
            <v>0</v>
          </cell>
          <cell r="FK39" t="str">
            <v>Other</v>
          </cell>
          <cell r="FL39">
            <v>0</v>
          </cell>
          <cell r="FM39">
            <v>0.13333333333333333</v>
          </cell>
          <cell r="FN39">
            <v>0.13513513513513514</v>
          </cell>
          <cell r="FO39" t="str">
            <v>NA</v>
          </cell>
        </row>
        <row r="40">
          <cell r="C40" t="str">
            <v>Aerospace</v>
          </cell>
          <cell r="D40">
            <v>0.1519434628975265</v>
          </cell>
          <cell r="E40">
            <v>0.13700000000000001</v>
          </cell>
          <cell r="G40">
            <v>0.18058690744920994</v>
          </cell>
          <cell r="H40">
            <v>-286.43444551683439</v>
          </cell>
          <cell r="J40">
            <v>149.43462897526487</v>
          </cell>
          <cell r="R40" t="str">
            <v>Aerospace</v>
          </cell>
          <cell r="S40">
            <v>0.18523222060957911</v>
          </cell>
          <cell r="T40">
            <v>0.18440000000000004</v>
          </cell>
          <cell r="V40">
            <v>0.16777133388566695</v>
          </cell>
          <cell r="W40">
            <v>174.60886723912162</v>
          </cell>
          <cell r="Y40">
            <v>8.3222060957907633</v>
          </cell>
          <cell r="AE40" t="str">
            <v>Aerospace</v>
          </cell>
          <cell r="AF40">
            <v>0.17232375979112272</v>
          </cell>
          <cell r="AG40">
            <v>0.17057485029940128</v>
          </cell>
          <cell r="AI40">
            <v>0.1750619322873658</v>
          </cell>
          <cell r="AJ40">
            <v>-27.381724962430852</v>
          </cell>
          <cell r="AL40">
            <v>17.489094917214342</v>
          </cell>
          <cell r="AR40" t="str">
            <v>Aerospace</v>
          </cell>
          <cell r="AS40">
            <v>0.20481049562682216</v>
          </cell>
          <cell r="AT40">
            <v>0.19</v>
          </cell>
          <cell r="AV40">
            <v>0.17186311787072242</v>
          </cell>
          <cell r="AW40">
            <v>329.47377756099741</v>
          </cell>
          <cell r="AY40">
            <v>148.10495626822157</v>
          </cell>
          <cell r="BE40" t="str">
            <v>Combat Sys</v>
          </cell>
          <cell r="BF40">
            <v>0.13995037220843673</v>
          </cell>
          <cell r="BG40">
            <v>0.11700000000000001</v>
          </cell>
          <cell r="BI40">
            <v>0.11156542056074767</v>
          </cell>
          <cell r="BJ40">
            <v>283.84951647689059</v>
          </cell>
          <cell r="BL40">
            <v>229.50372208436724</v>
          </cell>
          <cell r="BR40" t="str">
            <v>Combat Sys</v>
          </cell>
          <cell r="BS40">
            <v>0.12969454181271908</v>
          </cell>
          <cell r="BT40">
            <v>0.11799999999999999</v>
          </cell>
          <cell r="BV40">
            <v>0.11096938775510204</v>
          </cell>
          <cell r="BW40">
            <v>187.25154057617044</v>
          </cell>
          <cell r="BY40">
            <v>116.94541812719089</v>
          </cell>
          <cell r="CF40" t="str">
            <v>Total Operating Margins</v>
          </cell>
          <cell r="CG40">
            <v>0.11590153027278775</v>
          </cell>
          <cell r="CH40">
            <v>0.1132157123834887</v>
          </cell>
          <cell r="CJ40">
            <v>0.1079214000614062</v>
          </cell>
          <cell r="CK40">
            <v>79.801302113815524</v>
          </cell>
          <cell r="CM40">
            <v>26.85817889299058</v>
          </cell>
          <cell r="CT40" t="str">
            <v>Total Operating Margins</v>
          </cell>
          <cell r="CU40">
            <v>0.11720807726075505</v>
          </cell>
          <cell r="CV40">
            <v>0.11672489082969434</v>
          </cell>
          <cell r="CW40">
            <v>0.11155050255396276</v>
          </cell>
          <cell r="CX40">
            <v>56.575747067922897</v>
          </cell>
          <cell r="DC40" t="str">
            <v>% Ch Y/Y</v>
          </cell>
          <cell r="DD40">
            <v>0.22747465011820325</v>
          </cell>
          <cell r="DE40">
            <v>0.23478674454132625</v>
          </cell>
          <cell r="DK40" t="str">
            <v>Dil. Shs.</v>
          </cell>
          <cell r="DL40">
            <v>409.4</v>
          </cell>
          <cell r="DM40">
            <v>409.5</v>
          </cell>
          <cell r="DN40">
            <v>404.5</v>
          </cell>
          <cell r="DO40">
            <v>4.8999999999999773</v>
          </cell>
          <cell r="DP40">
            <v>1.2113720642768833E-2</v>
          </cell>
          <cell r="DT40" t="str">
            <v xml:space="preserve"> Avg. Shs. (MM)</v>
          </cell>
          <cell r="DU40">
            <v>406.8</v>
          </cell>
          <cell r="DV40">
            <v>407</v>
          </cell>
          <cell r="DW40">
            <v>404.84800000000001</v>
          </cell>
          <cell r="DX40">
            <v>1.9519999999999982</v>
          </cell>
          <cell r="DY40">
            <v>4.8215626605541129E-3</v>
          </cell>
          <cell r="EC40" t="str">
            <v>Total</v>
          </cell>
          <cell r="ED40">
            <v>0.11155050255396276</v>
          </cell>
          <cell r="EE40">
            <v>0.11160130718954249</v>
          </cell>
          <cell r="EF40">
            <v>0.10844964164466239</v>
          </cell>
          <cell r="EG40">
            <v>3.1008609093003681E-3</v>
          </cell>
          <cell r="EL40" t="str">
            <v>Total</v>
          </cell>
          <cell r="EM40">
            <v>0.10936973373778228</v>
          </cell>
          <cell r="EN40">
            <v>0.10766550522648084</v>
          </cell>
          <cell r="EO40">
            <v>0.10492505353319058</v>
          </cell>
          <cell r="EP40">
            <v>4.4446802045916972E-3</v>
          </cell>
          <cell r="EU40" t="str">
            <v>Total</v>
          </cell>
          <cell r="EV40">
            <v>0.10746483952398125</v>
          </cell>
          <cell r="EW40">
            <v>9.6395641240569985E-2</v>
          </cell>
          <cell r="EX40">
            <v>1.1069198283411269E-2</v>
          </cell>
          <cell r="FC40" t="str">
            <v>Total</v>
          </cell>
          <cell r="FD40">
            <v>0.10388557806912992</v>
          </cell>
          <cell r="FE40">
            <v>0.1049506227562101</v>
          </cell>
          <cell r="FF40">
            <v>0.10234259062963748</v>
          </cell>
          <cell r="FG40">
            <v>1.5429874394924381E-3</v>
          </cell>
          <cell r="FK40" t="str">
            <v>Total</v>
          </cell>
          <cell r="FL40">
            <v>0.10844964164466239</v>
          </cell>
          <cell r="FM40">
            <v>0.11213640922768305</v>
          </cell>
          <cell r="FN40">
            <v>0.10608995050570261</v>
          </cell>
          <cell r="FO40">
            <v>2.3596911389597852E-3</v>
          </cell>
        </row>
        <row r="41">
          <cell r="C41" t="str">
            <v>Tot. Op. Margin</v>
          </cell>
          <cell r="D41">
            <v>0.11666666666666667</v>
          </cell>
          <cell r="E41">
            <v>0.11336170212765957</v>
          </cell>
          <cell r="F41">
            <v>0.11244635193133047</v>
          </cell>
          <cell r="G41">
            <v>0.12611255648363687</v>
          </cell>
          <cell r="H41">
            <v>-94.458898169701982</v>
          </cell>
          <cell r="J41">
            <v>33.049645390070964</v>
          </cell>
          <cell r="L41">
            <v>42.203147353361977</v>
          </cell>
          <cell r="R41" t="str">
            <v>Tot. Op. Margin</v>
          </cell>
          <cell r="S41">
            <v>0.12467576791808874</v>
          </cell>
          <cell r="T41">
            <v>0.12365392491467576</v>
          </cell>
          <cell r="U41">
            <v>0.1246378787362394</v>
          </cell>
          <cell r="V41">
            <v>0.11428046989720998</v>
          </cell>
          <cell r="W41">
            <v>103.95298020878754</v>
          </cell>
          <cell r="Y41">
            <v>10.218430034129728</v>
          </cell>
          <cell r="AA41">
            <v>0.37889181849340425</v>
          </cell>
          <cell r="AE41" t="str">
            <v>Tot. Op. Margin</v>
          </cell>
          <cell r="AF41">
            <v>0.11946001018848701</v>
          </cell>
          <cell r="AG41">
            <v>0.11564696892511464</v>
          </cell>
          <cell r="AH41">
            <v>0.11970933197348292</v>
          </cell>
          <cell r="AI41">
            <v>0.11590153027278775</v>
          </cell>
          <cell r="AJ41">
            <v>35.58479915699256</v>
          </cell>
          <cell r="AL41">
            <v>38.130412633723687</v>
          </cell>
          <cell r="AN41">
            <v>-2.4932178499591231</v>
          </cell>
          <cell r="AR41" t="str">
            <v>Total Op. Margins</v>
          </cell>
          <cell r="AS41">
            <v>0.13067226890756303</v>
          </cell>
          <cell r="AT41">
            <v>0.1230639175257732</v>
          </cell>
          <cell r="AU41">
            <v>0.12161610665215616</v>
          </cell>
          <cell r="AV41">
            <v>0.11720807726075505</v>
          </cell>
          <cell r="AW41">
            <v>134.64191646807981</v>
          </cell>
          <cell r="AY41">
            <v>76.08351381789835</v>
          </cell>
          <cell r="BA41">
            <v>90.561622554068691</v>
          </cell>
          <cell r="BE41" t="str">
            <v>Info Sys &amp; Tech</v>
          </cell>
          <cell r="BF41">
            <v>0.1138401559454191</v>
          </cell>
          <cell r="BG41">
            <v>0.10299999999999999</v>
          </cell>
          <cell r="BI41">
            <v>0.11213005418924551</v>
          </cell>
          <cell r="BJ41">
            <v>17.101017561735876</v>
          </cell>
          <cell r="BL41">
            <v>108.40155945419109</v>
          </cell>
          <cell r="BR41" t="str">
            <v>Info Sys &amp; Tech</v>
          </cell>
          <cell r="BS41">
            <v>0.11059123777116121</v>
          </cell>
          <cell r="BT41">
            <v>0.11</v>
          </cell>
          <cell r="BV41">
            <v>0.10499790004199916</v>
          </cell>
          <cell r="BW41">
            <v>55.933377291620538</v>
          </cell>
          <cell r="BY41">
            <v>5.9123777116121268</v>
          </cell>
          <cell r="DC41" t="str">
            <v>Dil. Shs.</v>
          </cell>
          <cell r="DD41">
            <v>408.9</v>
          </cell>
          <cell r="DE41">
            <v>406.95760899999999</v>
          </cell>
          <cell r="DF41">
            <v>1.9423909999999864</v>
          </cell>
          <cell r="DG41">
            <v>4.7729565857557166E-3</v>
          </cell>
        </row>
        <row r="42">
          <cell r="BE42" t="str">
            <v>Aerospace</v>
          </cell>
          <cell r="BF42">
            <v>0.18058690744920994</v>
          </cell>
          <cell r="BG42">
            <v>0.18900000000000003</v>
          </cell>
          <cell r="BI42">
            <v>0.16473509933774835</v>
          </cell>
          <cell r="BJ42">
            <v>158.51808111461585</v>
          </cell>
          <cell r="BL42">
            <v>-84.130925507900912</v>
          </cell>
          <cell r="BR42" t="str">
            <v>Aerospace</v>
          </cell>
          <cell r="BS42">
            <v>0.18451915559030493</v>
          </cell>
          <cell r="BT42">
            <v>0.17100000000000001</v>
          </cell>
          <cell r="BV42">
            <v>0.15813528336380256</v>
          </cell>
          <cell r="BW42">
            <v>263.83872226502376</v>
          </cell>
          <cell r="BY42">
            <v>135.19155590304922</v>
          </cell>
        </row>
        <row r="43">
          <cell r="R43" t="str">
            <v>GD 2008 EPS Walk</v>
          </cell>
          <cell r="AE43" t="str">
            <v>GD 4Q08 EPS Walk</v>
          </cell>
          <cell r="AR43" t="str">
            <v>GD 3Q08 EPS Walk</v>
          </cell>
          <cell r="BE43" t="str">
            <v>Total Operating Margins</v>
          </cell>
          <cell r="BF43">
            <v>0.12611255648363687</v>
          </cell>
          <cell r="BG43">
            <v>0.11811522346368716</v>
          </cell>
          <cell r="BH43">
            <v>0.12055855108530347</v>
          </cell>
          <cell r="BI43">
            <v>0.1153087543620088</v>
          </cell>
          <cell r="BJ43">
            <v>108.0380212162807</v>
          </cell>
          <cell r="BL43">
            <v>79.973330199497042</v>
          </cell>
          <cell r="BN43">
            <v>55.540053983333948</v>
          </cell>
          <cell r="BR43" t="str">
            <v>Total Operating Margins</v>
          </cell>
          <cell r="BS43">
            <v>0.12291220556745182</v>
          </cell>
          <cell r="BT43">
            <v>0.11480868285504046</v>
          </cell>
          <cell r="BU43">
            <v>0.11397005378688763</v>
          </cell>
          <cell r="BV43">
            <v>0.10809523809523809</v>
          </cell>
          <cell r="BW43">
            <v>148.16967472213727</v>
          </cell>
          <cell r="BY43">
            <v>81.035227124113547</v>
          </cell>
          <cell r="CA43">
            <v>89.421517805641926</v>
          </cell>
          <cell r="CF43" t="str">
            <v>GD 4Q07 EPS Walk</v>
          </cell>
          <cell r="CT43" t="str">
            <v>GD 3Q07 EPS Walk</v>
          </cell>
        </row>
        <row r="44">
          <cell r="C44" t="str">
            <v>GD 1Q09 EPS Walk</v>
          </cell>
          <cell r="D44" t="str">
            <v>Actual</v>
          </cell>
          <cell r="E44" t="str">
            <v xml:space="preserve">Est. </v>
          </cell>
          <cell r="F44" t="str">
            <v>Diff.</v>
          </cell>
          <cell r="G44" t="str">
            <v>EPS</v>
          </cell>
          <cell r="S44" t="str">
            <v>Actual</v>
          </cell>
          <cell r="T44" t="str">
            <v xml:space="preserve">Est. </v>
          </cell>
          <cell r="U44" t="str">
            <v>Diff.</v>
          </cell>
          <cell r="V44" t="str">
            <v>EPS</v>
          </cell>
          <cell r="AF44" t="str">
            <v>Actual</v>
          </cell>
          <cell r="AG44" t="str">
            <v xml:space="preserve">Est. </v>
          </cell>
          <cell r="AH44" t="str">
            <v>Diff.</v>
          </cell>
          <cell r="AI44" t="str">
            <v>EPS</v>
          </cell>
          <cell r="AS44" t="str">
            <v>Actual</v>
          </cell>
          <cell r="AT44" t="str">
            <v xml:space="preserve">Est. </v>
          </cell>
          <cell r="AU44" t="str">
            <v>Diff ($MM)</v>
          </cell>
          <cell r="AV44" t="str">
            <v>EPS</v>
          </cell>
          <cell r="CG44" t="str">
            <v>Actual</v>
          </cell>
          <cell r="CH44" t="str">
            <v xml:space="preserve">Est. </v>
          </cell>
          <cell r="CI44" t="str">
            <v>Diff ($MM)</v>
          </cell>
          <cell r="CJ44" t="str">
            <v>EPS</v>
          </cell>
          <cell r="CU44" t="str">
            <v>Actual</v>
          </cell>
          <cell r="CV44" t="str">
            <v xml:space="preserve">Est. </v>
          </cell>
          <cell r="CW44" t="str">
            <v>Diff ($MM)</v>
          </cell>
          <cell r="CX44" t="str">
            <v>EPS</v>
          </cell>
        </row>
        <row r="45">
          <cell r="C45" t="str">
            <v>Morgan Stanley Est. EPS</v>
          </cell>
          <cell r="G45">
            <v>1.5907885714285712</v>
          </cell>
          <cell r="R45" t="str">
            <v>Morgan Stanley Est. EPS</v>
          </cell>
          <cell r="V45">
            <v>6.1513669999999978</v>
          </cell>
          <cell r="AE45" t="str">
            <v>Morgan Stanley Est. EPS</v>
          </cell>
          <cell r="AI45">
            <v>1.5501820025348525</v>
          </cell>
          <cell r="AR45" t="str">
            <v>Morgan Stanley Est. EPS</v>
          </cell>
          <cell r="AV45">
            <v>1.4939268749999999</v>
          </cell>
          <cell r="BE45" t="str">
            <v>GD 2Q08 EPS Walk</v>
          </cell>
          <cell r="BR45" t="str">
            <v>GD 1Q08 EPS Walk</v>
          </cell>
          <cell r="CF45" t="str">
            <v>Morgan Stanley Est. EPS</v>
          </cell>
          <cell r="CJ45">
            <v>1.3899889454920029</v>
          </cell>
          <cell r="CT45" t="str">
            <v>Morgan Stanley Est. EPS</v>
          </cell>
          <cell r="CX45">
            <v>1.3</v>
          </cell>
        </row>
        <row r="46">
          <cell r="BF46" t="str">
            <v>Actual</v>
          </cell>
          <cell r="BG46" t="str">
            <v xml:space="preserve">Est. </v>
          </cell>
          <cell r="BH46" t="str">
            <v>Diff ($MM)</v>
          </cell>
          <cell r="BI46" t="str">
            <v>EPS</v>
          </cell>
          <cell r="BS46" t="str">
            <v>Actual</v>
          </cell>
          <cell r="BT46" t="str">
            <v xml:space="preserve">Est. </v>
          </cell>
          <cell r="BU46" t="str">
            <v>Diff ($MM)</v>
          </cell>
          <cell r="BV46" t="str">
            <v>EPS</v>
          </cell>
        </row>
        <row r="47">
          <cell r="C47" t="str">
            <v>Op Profit</v>
          </cell>
          <cell r="D47">
            <v>945</v>
          </cell>
          <cell r="E47">
            <v>932.4</v>
          </cell>
          <cell r="F47">
            <v>12.600000000000023</v>
          </cell>
          <cell r="G47">
            <v>3.2727272727272785E-2</v>
          </cell>
          <cell r="R47" t="str">
            <v>Op Profit</v>
          </cell>
          <cell r="S47">
            <v>3653</v>
          </cell>
          <cell r="T47">
            <v>3623.06</v>
          </cell>
          <cell r="U47">
            <v>29.940000000000055</v>
          </cell>
          <cell r="V47">
            <v>7.4850000000000139E-2</v>
          </cell>
          <cell r="AE47" t="str">
            <v>Op Profit</v>
          </cell>
          <cell r="AF47">
            <v>938</v>
          </cell>
          <cell r="AG47">
            <v>908.06</v>
          </cell>
          <cell r="AH47">
            <v>29.940000000000055</v>
          </cell>
          <cell r="AI47">
            <v>7.5893536121673141E-2</v>
          </cell>
          <cell r="AR47" t="str">
            <v>Op Profit</v>
          </cell>
          <cell r="AS47">
            <v>933</v>
          </cell>
          <cell r="AT47">
            <v>895.29</v>
          </cell>
          <cell r="AU47">
            <v>37.710000000000036</v>
          </cell>
          <cell r="AV47">
            <v>9.4275000000000095E-2</v>
          </cell>
          <cell r="BE47" t="str">
            <v>Morgan Stanley Est. EPS</v>
          </cell>
          <cell r="BI47">
            <v>1.4186019354838708</v>
          </cell>
          <cell r="BR47" t="str">
            <v>Morgan Stanley Est. EPS</v>
          </cell>
          <cell r="BV47">
            <v>1.2972342202970297</v>
          </cell>
          <cell r="CF47" t="str">
            <v>Op Profit</v>
          </cell>
          <cell r="CG47">
            <v>871</v>
          </cell>
          <cell r="CH47">
            <v>850.25</v>
          </cell>
          <cell r="CI47">
            <v>20.75</v>
          </cell>
          <cell r="CJ47">
            <v>5.0995330548046204E-2</v>
          </cell>
          <cell r="CT47" t="str">
            <v>Op Profit</v>
          </cell>
          <cell r="CU47">
            <v>801</v>
          </cell>
          <cell r="CV47">
            <v>802</v>
          </cell>
          <cell r="CW47">
            <v>-1</v>
          </cell>
          <cell r="CX47">
            <v>-2.4551927326295114E-3</v>
          </cell>
        </row>
        <row r="48">
          <cell r="C48" t="str">
            <v>Non Operational</v>
          </cell>
          <cell r="R48" t="str">
            <v>Non Operational</v>
          </cell>
          <cell r="AE48" t="str">
            <v>Non Operational</v>
          </cell>
          <cell r="AR48" t="str">
            <v>Non Operational</v>
          </cell>
          <cell r="CF48" t="str">
            <v>Non Operational</v>
          </cell>
          <cell r="CT48" t="str">
            <v>Non Operational</v>
          </cell>
        </row>
        <row r="49">
          <cell r="C49" t="str">
            <v>Interest, net</v>
          </cell>
          <cell r="D49">
            <v>-38</v>
          </cell>
          <cell r="E49">
            <v>-37</v>
          </cell>
          <cell r="F49">
            <v>-1</v>
          </cell>
          <cell r="G49">
            <v>-2.5974025974025974E-3</v>
          </cell>
          <cell r="R49" t="str">
            <v>Interest, net</v>
          </cell>
          <cell r="S49">
            <v>-66</v>
          </cell>
          <cell r="T49">
            <v>-60.55</v>
          </cell>
          <cell r="U49">
            <v>-5.4500000000000028</v>
          </cell>
          <cell r="V49">
            <v>-1.3625000000000007E-2</v>
          </cell>
          <cell r="AE49" t="str">
            <v>Interest, net</v>
          </cell>
          <cell r="AF49">
            <v>-24</v>
          </cell>
          <cell r="AG49">
            <v>-18.55</v>
          </cell>
          <cell r="AH49">
            <v>-5.4499999999999993</v>
          </cell>
          <cell r="AI49">
            <v>-1.3814955640050695E-2</v>
          </cell>
          <cell r="AR49" t="str">
            <v>Interest, net</v>
          </cell>
          <cell r="AS49">
            <v>-11</v>
          </cell>
          <cell r="AT49">
            <v>-12</v>
          </cell>
          <cell r="AU49">
            <v>1</v>
          </cell>
          <cell r="AV49">
            <v>2.5000000000000001E-3</v>
          </cell>
          <cell r="BE49" t="str">
            <v>Op Profit</v>
          </cell>
          <cell r="BF49">
            <v>921</v>
          </cell>
          <cell r="BG49">
            <v>845.70500000000004</v>
          </cell>
          <cell r="BH49">
            <v>75.294999999999959</v>
          </cell>
          <cell r="BI49">
            <v>0.18683622828784108</v>
          </cell>
          <cell r="BR49" t="str">
            <v>Op Profit</v>
          </cell>
          <cell r="BS49">
            <v>861</v>
          </cell>
          <cell r="BT49">
            <v>780.125</v>
          </cell>
          <cell r="BU49">
            <v>80.875</v>
          </cell>
          <cell r="BV49">
            <v>0.20018564356435645</v>
          </cell>
          <cell r="CF49" t="str">
            <v>Interest, net</v>
          </cell>
          <cell r="CG49">
            <v>-11</v>
          </cell>
          <cell r="CH49">
            <v>-11</v>
          </cell>
          <cell r="CI49">
            <v>0</v>
          </cell>
          <cell r="CJ49">
            <v>0</v>
          </cell>
          <cell r="CT49" t="str">
            <v>Interest, net</v>
          </cell>
          <cell r="CU49">
            <v>-12</v>
          </cell>
          <cell r="CV49">
            <v>-21</v>
          </cell>
          <cell r="CW49">
            <v>9</v>
          </cell>
          <cell r="CX49">
            <v>2.1242053789731052E-2</v>
          </cell>
        </row>
        <row r="50">
          <cell r="C50" t="str">
            <v>Other, net</v>
          </cell>
          <cell r="D50">
            <v>0</v>
          </cell>
          <cell r="E50">
            <v>0</v>
          </cell>
          <cell r="F50">
            <v>0</v>
          </cell>
          <cell r="G50">
            <v>0</v>
          </cell>
          <cell r="R50" t="str">
            <v>Other, net</v>
          </cell>
          <cell r="S50">
            <v>17</v>
          </cell>
          <cell r="T50">
            <v>3</v>
          </cell>
          <cell r="U50">
            <v>14</v>
          </cell>
          <cell r="V50">
            <v>3.5000000000000003E-2</v>
          </cell>
          <cell r="AE50" t="str">
            <v>Other, net</v>
          </cell>
          <cell r="AF50">
            <v>14</v>
          </cell>
          <cell r="AG50">
            <v>0</v>
          </cell>
          <cell r="AH50">
            <v>14</v>
          </cell>
          <cell r="AI50">
            <v>3.5487959442332066E-2</v>
          </cell>
          <cell r="AR50" t="str">
            <v>Other, net</v>
          </cell>
          <cell r="AS50">
            <v>0</v>
          </cell>
          <cell r="AT50">
            <v>2</v>
          </cell>
          <cell r="AU50">
            <v>-2</v>
          </cell>
          <cell r="AV50">
            <v>-5.0000000000000001E-3</v>
          </cell>
          <cell r="BE50" t="str">
            <v>Non Operational</v>
          </cell>
          <cell r="BR50" t="str">
            <v>Non Operational</v>
          </cell>
          <cell r="CF50" t="str">
            <v>Other, net</v>
          </cell>
          <cell r="CG50">
            <v>0</v>
          </cell>
          <cell r="CH50">
            <v>0</v>
          </cell>
          <cell r="CI50">
            <v>0</v>
          </cell>
          <cell r="CJ50">
            <v>0</v>
          </cell>
          <cell r="CT50" t="str">
            <v>Taxes</v>
          </cell>
          <cell r="CU50">
            <v>246.792</v>
          </cell>
          <cell r="CV50">
            <v>249.92000000000002</v>
          </cell>
          <cell r="CW50">
            <v>-3.1280000000000143</v>
          </cell>
          <cell r="CX50">
            <v>7.6798428676651464E-3</v>
          </cell>
        </row>
        <row r="51">
          <cell r="C51" t="str">
            <v>Taxes</v>
          </cell>
          <cell r="D51">
            <v>-285.5</v>
          </cell>
          <cell r="E51">
            <v>-282.94640000000004</v>
          </cell>
          <cell r="F51">
            <v>-2.5535999999999603</v>
          </cell>
          <cell r="G51">
            <v>-6.6327272727271696E-3</v>
          </cell>
          <cell r="R51" t="str">
            <v>Taxes</v>
          </cell>
          <cell r="S51">
            <v>-1161</v>
          </cell>
          <cell r="T51">
            <v>-1140.9632000000001</v>
          </cell>
          <cell r="U51">
            <v>-20.036799999999857</v>
          </cell>
          <cell r="V51">
            <v>-5.0091999999999644E-2</v>
          </cell>
          <cell r="AE51" t="str">
            <v>Taxes</v>
          </cell>
          <cell r="AF51">
            <v>-297.99999999999994</v>
          </cell>
          <cell r="AG51">
            <v>-277.96320000000054</v>
          </cell>
          <cell r="AH51">
            <v>-20.036799999999403</v>
          </cell>
          <cell r="AI51">
            <v>-5.0790367553864138E-2</v>
          </cell>
          <cell r="AR51" t="str">
            <v>Taxes</v>
          </cell>
          <cell r="AS51">
            <v>-288</v>
          </cell>
          <cell r="AT51">
            <v>-287.71924999999999</v>
          </cell>
          <cell r="AU51">
            <v>-0.28075000000001182</v>
          </cell>
          <cell r="AV51">
            <v>-7.0187500000002952E-4</v>
          </cell>
          <cell r="BE51" t="str">
            <v>Interest, net</v>
          </cell>
          <cell r="BF51">
            <v>-12</v>
          </cell>
          <cell r="BG51">
            <v>-2</v>
          </cell>
          <cell r="BH51">
            <v>-10</v>
          </cell>
          <cell r="BI51">
            <v>-2.4813895781637719E-2</v>
          </cell>
          <cell r="BR51" t="str">
            <v>Interest, net</v>
          </cell>
          <cell r="BS51">
            <v>-19</v>
          </cell>
          <cell r="BT51">
            <v>-6</v>
          </cell>
          <cell r="BU51">
            <v>-13</v>
          </cell>
          <cell r="BV51">
            <v>-3.2178217821782179E-2</v>
          </cell>
          <cell r="CF51" t="str">
            <v>Taxes</v>
          </cell>
          <cell r="CG51">
            <v>281.9999670000002</v>
          </cell>
          <cell r="CH51">
            <v>271.29496700000027</v>
          </cell>
          <cell r="CI51">
            <v>10.704999999999927</v>
          </cell>
          <cell r="CJ51">
            <v>-2.630867535020872E-2</v>
          </cell>
          <cell r="CT51" t="str">
            <v>share count</v>
          </cell>
          <cell r="CU51">
            <v>407.3</v>
          </cell>
          <cell r="CV51">
            <v>409</v>
          </cell>
          <cell r="CW51">
            <v>-1.6999999999999886</v>
          </cell>
          <cell r="CX51">
            <v>0.01</v>
          </cell>
        </row>
        <row r="52">
          <cell r="C52" t="str">
            <v>Non Operational, total</v>
          </cell>
          <cell r="D52">
            <v>-323.5</v>
          </cell>
          <cell r="E52">
            <v>-319.94640000000004</v>
          </cell>
          <cell r="F52">
            <v>-3.5535999999999603</v>
          </cell>
          <cell r="G52">
            <v>-9.230129870129767E-3</v>
          </cell>
          <cell r="R52" t="str">
            <v>Non Operational, total</v>
          </cell>
          <cell r="S52">
            <v>-1210</v>
          </cell>
          <cell r="T52">
            <v>-1198.5132000000001</v>
          </cell>
          <cell r="U52">
            <v>-11.48679999999986</v>
          </cell>
          <cell r="V52">
            <v>-2.8716999999999646E-2</v>
          </cell>
          <cell r="AE52" t="str">
            <v>Non Operational, total</v>
          </cell>
          <cell r="AF52">
            <v>-307.99999999999994</v>
          </cell>
          <cell r="AG52">
            <v>-296.51320000000055</v>
          </cell>
          <cell r="AH52">
            <v>-11.486799999999402</v>
          </cell>
          <cell r="AI52">
            <v>-2.9117363751582769E-2</v>
          </cell>
          <cell r="AR52" t="str">
            <v>Non Operational, total</v>
          </cell>
          <cell r="AV52">
            <v>-3.2018750000000294E-3</v>
          </cell>
          <cell r="BE52" t="str">
            <v>Other, net</v>
          </cell>
          <cell r="BF52">
            <v>0</v>
          </cell>
          <cell r="BG52">
            <v>2</v>
          </cell>
          <cell r="BH52">
            <v>-2</v>
          </cell>
          <cell r="BI52">
            <v>-4.9627791563275434E-3</v>
          </cell>
          <cell r="BR52" t="str">
            <v>Other, net</v>
          </cell>
          <cell r="BS52">
            <v>3</v>
          </cell>
          <cell r="BT52">
            <v>0</v>
          </cell>
          <cell r="BU52">
            <v>3</v>
          </cell>
          <cell r="BV52">
            <v>7.4257425742574254E-3</v>
          </cell>
          <cell r="CF52" t="str">
            <v>Discontinued ops</v>
          </cell>
          <cell r="CG52">
            <v>2.4576062914721062E-3</v>
          </cell>
          <cell r="CH52">
            <v>-2.5479191372018359E-4</v>
          </cell>
          <cell r="CI52">
            <v>2.7123982051922898E-3</v>
          </cell>
          <cell r="CJ52">
            <v>6.6660068940582208E-6</v>
          </cell>
          <cell r="CT52" t="str">
            <v>Non Operational, total</v>
          </cell>
          <cell r="CX52">
            <v>3.8921896657396197E-2</v>
          </cell>
        </row>
        <row r="53">
          <cell r="BE53" t="str">
            <v>Taxes</v>
          </cell>
          <cell r="BF53">
            <v>-302.99999999999989</v>
          </cell>
          <cell r="BG53">
            <v>-274.00842000000011</v>
          </cell>
          <cell r="BH53">
            <v>-28.991579999999772</v>
          </cell>
          <cell r="BI53">
            <v>-7.193940446650067E-2</v>
          </cell>
          <cell r="BR53" t="str">
            <v>Taxes</v>
          </cell>
          <cell r="BS53">
            <v>272</v>
          </cell>
          <cell r="BT53">
            <v>250.04237499999999</v>
          </cell>
          <cell r="BU53">
            <v>21.957625000000007</v>
          </cell>
          <cell r="BV53">
            <v>-5.4350556930693086E-2</v>
          </cell>
          <cell r="CF53" t="str">
            <v>share count</v>
          </cell>
          <cell r="CG53">
            <v>406.9</v>
          </cell>
          <cell r="CH53">
            <v>408</v>
          </cell>
          <cell r="CJ53">
            <v>0.01</v>
          </cell>
        </row>
        <row r="54">
          <cell r="C54" t="str">
            <v>1-Time Items</v>
          </cell>
          <cell r="G54">
            <v>-7.7519379844961239E-3</v>
          </cell>
          <cell r="R54" t="str">
            <v>1-Time Items</v>
          </cell>
          <cell r="V54">
            <v>-4.9869576122397785E-2</v>
          </cell>
          <cell r="AE54" t="str">
            <v>1-Time Items</v>
          </cell>
          <cell r="AI54">
            <v>-4.8767967145790549E-2</v>
          </cell>
          <cell r="AR54" t="str">
            <v>1-Time Items</v>
          </cell>
          <cell r="AV54">
            <v>0</v>
          </cell>
          <cell r="BE54" t="str">
            <v>Non Operational, total</v>
          </cell>
          <cell r="BI54">
            <v>-0.10171607940446593</v>
          </cell>
          <cell r="BR54" t="str">
            <v>share count</v>
          </cell>
          <cell r="BS54">
            <v>403.9</v>
          </cell>
          <cell r="BT54">
            <v>404</v>
          </cell>
          <cell r="BV54">
            <v>3.511554423576424E-4</v>
          </cell>
          <cell r="CF54" t="str">
            <v>Non Operational, total</v>
          </cell>
          <cell r="CJ54">
            <v>-1.6302009343314661E-2</v>
          </cell>
          <cell r="CT54" t="str">
            <v>GD Reported EPS</v>
          </cell>
          <cell r="CX54">
            <v>1.3389218966573961</v>
          </cell>
        </row>
        <row r="55">
          <cell r="C55" t="str">
            <v>Share count</v>
          </cell>
          <cell r="G55">
            <v>-8.3425618309338478E-3</v>
          </cell>
          <cell r="R55" t="str">
            <v>Share count</v>
          </cell>
          <cell r="V55">
            <v>1.9914095811388144E-2</v>
          </cell>
          <cell r="AE55" t="str">
            <v>Share count</v>
          </cell>
          <cell r="AF55">
            <v>389.6</v>
          </cell>
          <cell r="AG55">
            <v>394.5</v>
          </cell>
          <cell r="AI55">
            <v>2.0084946244954383E-2</v>
          </cell>
          <cell r="AR55" t="str">
            <v>Share count</v>
          </cell>
          <cell r="AS55">
            <v>399.8</v>
          </cell>
          <cell r="AT55">
            <v>400</v>
          </cell>
          <cell r="AV55">
            <v>7.9289644822400085E-4</v>
          </cell>
          <cell r="BR55" t="str">
            <v>Non Operational, total</v>
          </cell>
          <cell r="BV55">
            <v>-7.8751876735860205E-2</v>
          </cell>
        </row>
        <row r="56">
          <cell r="BE56" t="str">
            <v>1-Time Items</v>
          </cell>
          <cell r="BF56">
            <v>8.7108013937282222E-2</v>
          </cell>
          <cell r="BG56">
            <v>0</v>
          </cell>
          <cell r="BH56">
            <v>8.7108013937282222E-2</v>
          </cell>
          <cell r="BI56">
            <v>8.5000000000000006E-2</v>
          </cell>
          <cell r="CF56" t="str">
            <v>GD Reported EPS</v>
          </cell>
          <cell r="CJ56">
            <v>1.4246822666967345</v>
          </cell>
        </row>
        <row r="57">
          <cell r="C57" t="str">
            <v>GD Reported EPS</v>
          </cell>
          <cell r="G57">
            <v>1.5981912144702841</v>
          </cell>
          <cell r="R57" t="str">
            <v>GD Reported EPS</v>
          </cell>
          <cell r="V57">
            <v>6.1675445196889891</v>
          </cell>
          <cell r="AE57" t="str">
            <v>GD Reported EPS</v>
          </cell>
          <cell r="AI57">
            <v>1.5682751540041067</v>
          </cell>
          <cell r="AR57" t="str">
            <v>GD Reported EPS</v>
          </cell>
          <cell r="AV57">
            <v>1.585792896448224</v>
          </cell>
          <cell r="BE57" t="str">
            <v>Share count</v>
          </cell>
          <cell r="BF57">
            <v>401.8</v>
          </cell>
          <cell r="BG57">
            <v>403</v>
          </cell>
          <cell r="BI57">
            <v>6.5989708841232009E-3</v>
          </cell>
          <cell r="BR57" t="str">
            <v>GD Reported EPS</v>
          </cell>
          <cell r="BV57">
            <v>1.4186679871255261</v>
          </cell>
        </row>
        <row r="58">
          <cell r="CT58" t="str">
            <v>subtotal:</v>
          </cell>
          <cell r="CX58">
            <v>1.3364667039247666</v>
          </cell>
        </row>
        <row r="59">
          <cell r="BE59" t="str">
            <v>GD Reported EPS</v>
          </cell>
          <cell r="BI59">
            <v>1.595321055251369</v>
          </cell>
          <cell r="CT59" t="str">
            <v xml:space="preserve">Net one-time </v>
          </cell>
          <cell r="CX59">
            <v>0</v>
          </cell>
        </row>
        <row r="60">
          <cell r="CT60" t="str">
            <v>Reported EPS w/ one time items</v>
          </cell>
          <cell r="CX60">
            <v>2.6364667039247669</v>
          </cell>
        </row>
      </sheetData>
      <sheetData sheetId="4" refreshError="1">
        <row r="4">
          <cell r="A4" t="str">
            <v>Est. Value 2011 Operations on EV/EBITDA</v>
          </cell>
        </row>
        <row r="6">
          <cell r="A6" t="str">
            <v>Est. Value 2011 Operations on EV/EBITDA</v>
          </cell>
          <cell r="F6" t="str">
            <v xml:space="preserve">EV/EBITDA </v>
          </cell>
        </row>
        <row r="7">
          <cell r="B7" t="str">
            <v xml:space="preserve">Low </v>
          </cell>
          <cell r="C7" t="str">
            <v xml:space="preserve">High </v>
          </cell>
          <cell r="D7" t="str">
            <v>Low/Sh</v>
          </cell>
          <cell r="E7" t="str">
            <v>High/Sh</v>
          </cell>
          <cell r="F7" t="str">
            <v>Low</v>
          </cell>
          <cell r="G7" t="str">
            <v>High</v>
          </cell>
          <cell r="H7" t="str">
            <v>EBIT</v>
          </cell>
          <cell r="I7" t="str">
            <v>D+A</v>
          </cell>
          <cell r="J7" t="str">
            <v>Unallocated</v>
          </cell>
          <cell r="K7" t="str">
            <v>EBITDA</v>
          </cell>
        </row>
        <row r="8">
          <cell r="A8" t="str">
            <v>Marine</v>
          </cell>
          <cell r="B8">
            <v>3910.9422220847</v>
          </cell>
          <cell r="C8">
            <v>4693.13066650164</v>
          </cell>
          <cell r="D8">
            <v>10.118867327515394</v>
          </cell>
          <cell r="E8">
            <v>12.142640793018474</v>
          </cell>
          <cell r="F8">
            <v>5</v>
          </cell>
          <cell r="G8">
            <v>6</v>
          </cell>
          <cell r="H8">
            <v>692.86</v>
          </cell>
          <cell r="I8">
            <v>101.8344266353116</v>
          </cell>
          <cell r="J8">
            <v>-12.505982218371601</v>
          </cell>
          <cell r="K8">
            <v>782.18844441694</v>
          </cell>
        </row>
        <row r="9">
          <cell r="A9" t="str">
            <v>Combat Sys</v>
          </cell>
          <cell r="B9">
            <v>6556.2442498504442</v>
          </cell>
          <cell r="C9">
            <v>7867.4930998205336</v>
          </cell>
          <cell r="D9">
            <v>16.963115782277992</v>
          </cell>
          <cell r="E9">
            <v>20.355738938733595</v>
          </cell>
          <cell r="F9">
            <v>5</v>
          </cell>
          <cell r="G9">
            <v>6</v>
          </cell>
          <cell r="H9">
            <v>1161.5</v>
          </cell>
          <cell r="I9">
            <v>170.71368896590135</v>
          </cell>
          <cell r="J9">
            <v>-20.96483899581245</v>
          </cell>
          <cell r="K9">
            <v>1311.2488499700889</v>
          </cell>
        </row>
        <row r="10">
          <cell r="A10" t="str">
            <v>IS&amp;T</v>
          </cell>
          <cell r="B10">
            <v>5007.0175629680052</v>
          </cell>
          <cell r="C10">
            <v>5632.8947583390054</v>
          </cell>
          <cell r="D10">
            <v>12.954767303927568</v>
          </cell>
          <cell r="E10">
            <v>14.574113216918514</v>
          </cell>
          <cell r="F10">
            <v>4</v>
          </cell>
          <cell r="G10">
            <v>4.5</v>
          </cell>
          <cell r="H10">
            <v>1108.8</v>
          </cell>
          <cell r="I10">
            <v>162.96800544588154</v>
          </cell>
          <cell r="J10">
            <v>-20.01361470388019</v>
          </cell>
          <cell r="K10">
            <v>1251.7543907420013</v>
          </cell>
        </row>
        <row r="11">
          <cell r="A11" t="str">
            <v>Gulfstream</v>
          </cell>
          <cell r="B11">
            <v>3615.3891020483943</v>
          </cell>
          <cell r="C11">
            <v>5164.8415743548494</v>
          </cell>
          <cell r="D11">
            <v>9.3541762019363368</v>
          </cell>
          <cell r="E11">
            <v>13.363108859909055</v>
          </cell>
          <cell r="F11">
            <v>3.5</v>
          </cell>
          <cell r="G11">
            <v>5</v>
          </cell>
          <cell r="H11">
            <v>915</v>
          </cell>
          <cell r="I11">
            <v>134.48387895290551</v>
          </cell>
          <cell r="J11">
            <v>-16.515564081935764</v>
          </cell>
          <cell r="K11">
            <v>1032.9683148709698</v>
          </cell>
        </row>
        <row r="12">
          <cell r="A12" t="str">
            <v xml:space="preserve">  subtotal</v>
          </cell>
          <cell r="B12">
            <v>19089.593136951542</v>
          </cell>
          <cell r="C12">
            <v>23358.36009901603</v>
          </cell>
          <cell r="D12">
            <v>49.390926615657293</v>
          </cell>
          <cell r="E12">
            <v>60.435601808579634</v>
          </cell>
          <cell r="H12">
            <v>3878.16</v>
          </cell>
          <cell r="I12">
            <v>570</v>
          </cell>
          <cell r="J12">
            <v>-70</v>
          </cell>
          <cell r="K12">
            <v>4378.16</v>
          </cell>
        </row>
        <row r="14">
          <cell r="A14" t="str">
            <v>Less Net Debt (Cash)</v>
          </cell>
          <cell r="B14">
            <v>2756</v>
          </cell>
          <cell r="C14">
            <v>2756</v>
          </cell>
          <cell r="D14">
            <v>7.130659767141009</v>
          </cell>
          <cell r="E14">
            <v>7.130659767141009</v>
          </cell>
          <cell r="G14" t="str">
            <v>From Model</v>
          </cell>
          <cell r="H14">
            <v>3808.16</v>
          </cell>
          <cell r="I14">
            <v>570</v>
          </cell>
          <cell r="J14">
            <v>-70</v>
          </cell>
        </row>
        <row r="15">
          <cell r="K15" t="str">
            <v>tied to calculation</v>
          </cell>
        </row>
        <row r="16">
          <cell r="A16" t="str">
            <v>Implied Equity Value</v>
          </cell>
          <cell r="B16">
            <v>16333.593136951542</v>
          </cell>
          <cell r="C16">
            <v>20602.36009901603</v>
          </cell>
          <cell r="K16" t="str">
            <v>No. of Shares</v>
          </cell>
          <cell r="L16">
            <v>386.5</v>
          </cell>
        </row>
        <row r="18">
          <cell r="A18" t="str">
            <v>Est. GD Value per Share</v>
          </cell>
          <cell r="B18">
            <v>42.260266848516281</v>
          </cell>
          <cell r="C18">
            <v>53.304942041438629</v>
          </cell>
          <cell r="D18">
            <v>42.260266848516281</v>
          </cell>
          <cell r="E18">
            <v>53.304942041438622</v>
          </cell>
        </row>
        <row r="19">
          <cell r="B19" t="str">
            <v>Average:</v>
          </cell>
          <cell r="C19">
            <v>47.782604444977451</v>
          </cell>
        </row>
        <row r="22">
          <cell r="A22" t="str">
            <v>Est. Value 2011 Operations on P/E</v>
          </cell>
        </row>
        <row r="24">
          <cell r="B24" t="str">
            <v>Est. Value/Share</v>
          </cell>
          <cell r="E24" t="str">
            <v>P/E Multiple</v>
          </cell>
          <cell r="I24" t="str">
            <v>Interest</v>
          </cell>
        </row>
        <row r="25">
          <cell r="B25" t="str">
            <v>Low</v>
          </cell>
          <cell r="C25" t="str">
            <v>High</v>
          </cell>
          <cell r="D25" t="str">
            <v>2011 EPS</v>
          </cell>
          <cell r="E25" t="str">
            <v>Low</v>
          </cell>
          <cell r="F25" t="str">
            <v>High</v>
          </cell>
          <cell r="G25" t="str">
            <v>EBIT</v>
          </cell>
          <cell r="H25" t="str">
            <v>Unallocated</v>
          </cell>
          <cell r="I25" t="str">
            <v>&amp; Other</v>
          </cell>
          <cell r="J25" t="str">
            <v>Tax Rate</v>
          </cell>
          <cell r="K25" t="str">
            <v>Econ NI</v>
          </cell>
          <cell r="L25" t="str">
            <v>Per share</v>
          </cell>
          <cell r="M25" t="str">
            <v>EBIT Dist.</v>
          </cell>
        </row>
        <row r="26">
          <cell r="A26" t="str">
            <v>Marine</v>
          </cell>
          <cell r="B26">
            <v>7.6013903290310374</v>
          </cell>
          <cell r="C26">
            <v>8.7708349950358127</v>
          </cell>
          <cell r="D26">
            <v>1.169444666004775</v>
          </cell>
          <cell r="E26">
            <v>6.5</v>
          </cell>
          <cell r="F26">
            <v>7.5</v>
          </cell>
          <cell r="G26">
            <v>692.86</v>
          </cell>
          <cell r="H26">
            <v>-12.505982218371601</v>
          </cell>
          <cell r="I26">
            <v>-16.638359322236965</v>
          </cell>
          <cell r="J26">
            <v>0.31900000000000001</v>
          </cell>
          <cell r="K26">
            <v>451.99036341084559</v>
          </cell>
          <cell r="L26">
            <v>1.169444666004775</v>
          </cell>
          <cell r="M26">
            <v>0.17865688883388001</v>
          </cell>
        </row>
        <row r="27">
          <cell r="A27" t="str">
            <v>Combat Sys</v>
          </cell>
          <cell r="B27">
            <v>12.742855507850866</v>
          </cell>
          <cell r="C27">
            <v>14.703294816750997</v>
          </cell>
          <cell r="D27">
            <v>1.9604393089001331</v>
          </cell>
          <cell r="E27">
            <v>6.5</v>
          </cell>
          <cell r="F27">
            <v>7.5</v>
          </cell>
          <cell r="G27">
            <v>1161.5</v>
          </cell>
          <cell r="H27">
            <v>-20.96483899581245</v>
          </cell>
          <cell r="I27">
            <v>-27.892293324449724</v>
          </cell>
          <cell r="J27">
            <v>0.31900000000000001</v>
          </cell>
          <cell r="K27">
            <v>757.70979288990145</v>
          </cell>
          <cell r="L27">
            <v>1.9604393089001331</v>
          </cell>
          <cell r="M27">
            <v>0.29949769994017783</v>
          </cell>
        </row>
        <row r="28">
          <cell r="A28" t="str">
            <v>IS&amp;T</v>
          </cell>
          <cell r="B28">
            <v>10.293192493669023</v>
          </cell>
          <cell r="C28">
            <v>12.164682037972483</v>
          </cell>
          <cell r="D28">
            <v>1.8714895443034589</v>
          </cell>
          <cell r="E28">
            <v>5.5</v>
          </cell>
          <cell r="F28">
            <v>6.5</v>
          </cell>
          <cell r="G28">
            <v>1108.8</v>
          </cell>
          <cell r="H28">
            <v>-20.01361470388019</v>
          </cell>
          <cell r="I28">
            <v>-26.626754057813045</v>
          </cell>
          <cell r="J28">
            <v>0.31900000000000001</v>
          </cell>
          <cell r="K28">
            <v>723.33070887328688</v>
          </cell>
          <cell r="L28">
            <v>1.8714895443034589</v>
          </cell>
          <cell r="M28">
            <v>0.28590878148400273</v>
          </cell>
        </row>
        <row r="29">
          <cell r="A29" t="str">
            <v>Aerospace</v>
          </cell>
          <cell r="B29">
            <v>7.7219197918365126</v>
          </cell>
          <cell r="C29">
            <v>10.810687708571118</v>
          </cell>
          <cell r="D29">
            <v>1.5443839583673025</v>
          </cell>
          <cell r="E29">
            <v>5</v>
          </cell>
          <cell r="F29">
            <v>7</v>
          </cell>
          <cell r="G29">
            <v>915</v>
          </cell>
          <cell r="H29">
            <v>-16.515564081935764</v>
          </cell>
          <cell r="I29">
            <v>-21.972835464374942</v>
          </cell>
          <cell r="J29">
            <v>0.31900000000000001</v>
          </cell>
          <cell r="K29">
            <v>596.90439990896243</v>
          </cell>
          <cell r="L29">
            <v>1.5443839583673025</v>
          </cell>
          <cell r="M29">
            <v>0.23593662974193949</v>
          </cell>
        </row>
        <row r="30">
          <cell r="A30" t="str">
            <v xml:space="preserve">  subtotal</v>
          </cell>
          <cell r="B30">
            <v>38.359358122387441</v>
          </cell>
          <cell r="C30">
            <v>46.449499558330409</v>
          </cell>
          <cell r="D30">
            <v>6.5457574775756697</v>
          </cell>
          <cell r="G30">
            <v>3878.16</v>
          </cell>
          <cell r="H30">
            <v>-70</v>
          </cell>
          <cell r="I30">
            <v>-93.130242168874673</v>
          </cell>
          <cell r="K30">
            <v>2529.935265082996</v>
          </cell>
          <cell r="L30">
            <v>6.5457574775756697</v>
          </cell>
          <cell r="M30">
            <v>1</v>
          </cell>
        </row>
        <row r="32">
          <cell r="A32" t="str">
            <v>Est. GD Value per Share</v>
          </cell>
          <cell r="B32">
            <v>38.359358122387441</v>
          </cell>
          <cell r="C32">
            <v>46.449499558330409</v>
          </cell>
        </row>
        <row r="33">
          <cell r="B33" t="str">
            <v>Average:</v>
          </cell>
          <cell r="C33">
            <v>42.404428840358925</v>
          </cell>
          <cell r="F33" t="str">
            <v>From Model</v>
          </cell>
          <cell r="G33">
            <v>3808.16</v>
          </cell>
          <cell r="H33">
            <v>-70</v>
          </cell>
          <cell r="I33">
            <v>-93.130242168874673</v>
          </cell>
          <cell r="K33">
            <v>2529.9352650829965</v>
          </cell>
          <cell r="L33">
            <v>6.7478850962203394</v>
          </cell>
        </row>
        <row r="34">
          <cell r="H34" t="str">
            <v>tied to calculation</v>
          </cell>
        </row>
        <row r="35">
          <cell r="J35" t="str">
            <v>No. of Shares</v>
          </cell>
          <cell r="K35">
            <v>386.5</v>
          </cell>
        </row>
        <row r="47">
          <cell r="A47" t="str">
            <v>Est. Value 2012 Operations on EV/EBITDA</v>
          </cell>
        </row>
        <row r="49">
          <cell r="A49" t="str">
            <v>Est. Value 2010 Operations on EV/EBITDA</v>
          </cell>
          <cell r="F49" t="str">
            <v xml:space="preserve">EV/EBITDA </v>
          </cell>
        </row>
        <row r="50">
          <cell r="B50" t="str">
            <v xml:space="preserve">Low </v>
          </cell>
          <cell r="C50" t="str">
            <v xml:space="preserve">High </v>
          </cell>
          <cell r="D50" t="str">
            <v>Low/Sh</v>
          </cell>
          <cell r="E50" t="str">
            <v>High/Sh</v>
          </cell>
          <cell r="F50" t="str">
            <v>Low</v>
          </cell>
          <cell r="G50" t="str">
            <v>High</v>
          </cell>
          <cell r="H50" t="str">
            <v>EBIT</v>
          </cell>
          <cell r="I50" t="str">
            <v>D+A</v>
          </cell>
          <cell r="J50" t="str">
            <v>Unallocated</v>
          </cell>
          <cell r="K50" t="str">
            <v>EBITDA</v>
          </cell>
        </row>
        <row r="51">
          <cell r="A51" t="str">
            <v>Marine</v>
          </cell>
          <cell r="B51">
            <v>3976.5813238063515</v>
          </cell>
          <cell r="C51">
            <v>4699.5961099529613</v>
          </cell>
          <cell r="D51">
            <v>10.549564635990102</v>
          </cell>
          <cell r="E51">
            <v>12.467667297079213</v>
          </cell>
          <cell r="F51">
            <v>5.5</v>
          </cell>
          <cell r="G51">
            <v>6.5</v>
          </cell>
          <cell r="H51">
            <v>643.11</v>
          </cell>
          <cell r="I51">
            <v>91.998483509339394</v>
          </cell>
          <cell r="J51">
            <v>-12.09369736273006</v>
          </cell>
          <cell r="K51">
            <v>723.01478614660937</v>
          </cell>
        </row>
        <row r="52">
          <cell r="A52" t="str">
            <v>Combat Sys</v>
          </cell>
          <cell r="B52">
            <v>7382.933091733581</v>
          </cell>
          <cell r="C52">
            <v>8725.2845629578678</v>
          </cell>
          <cell r="D52">
            <v>19.586354084638991</v>
          </cell>
          <cell r="E52">
            <v>23.14750937275517</v>
          </cell>
          <cell r="F52">
            <v>5.5</v>
          </cell>
          <cell r="G52">
            <v>6.5</v>
          </cell>
          <cell r="H52">
            <v>1194</v>
          </cell>
          <cell r="I52">
            <v>170.8046668690445</v>
          </cell>
          <cell r="J52">
            <v>-22.453195644757024</v>
          </cell>
          <cell r="K52">
            <v>1342.3514712242875</v>
          </cell>
        </row>
        <row r="53">
          <cell r="A53" t="str">
            <v>IS&amp;T</v>
          </cell>
          <cell r="B53">
            <v>5784.084561748974</v>
          </cell>
          <cell r="C53">
            <v>6426.7606241655267</v>
          </cell>
          <cell r="D53">
            <v>15.344731812449353</v>
          </cell>
          <cell r="E53">
            <v>17.049702013832615</v>
          </cell>
          <cell r="F53">
            <v>4.5</v>
          </cell>
          <cell r="G53">
            <v>5</v>
          </cell>
          <cell r="H53">
            <v>1143.3</v>
          </cell>
          <cell r="I53">
            <v>163.5519058889268</v>
          </cell>
          <cell r="J53">
            <v>-21.499781055821362</v>
          </cell>
          <cell r="K53">
            <v>1285.3521248331053</v>
          </cell>
        </row>
        <row r="54">
          <cell r="A54" t="str">
            <v>Gulfstream</v>
          </cell>
          <cell r="B54">
            <v>2502.5748533879937</v>
          </cell>
          <cell r="C54">
            <v>3336.7664711839916</v>
          </cell>
          <cell r="D54">
            <v>6.6391387532216237</v>
          </cell>
          <cell r="E54">
            <v>8.8521850042954977</v>
          </cell>
          <cell r="F54">
            <v>3</v>
          </cell>
          <cell r="G54">
            <v>4</v>
          </cell>
          <cell r="H54">
            <v>742.00000000000011</v>
          </cell>
          <cell r="I54">
            <v>106.14494373268933</v>
          </cell>
          <cell r="J54">
            <v>-13.953325936691556</v>
          </cell>
          <cell r="K54">
            <v>834.1916177959979</v>
          </cell>
        </row>
        <row r="55">
          <cell r="A55" t="str">
            <v xml:space="preserve">  subtotal</v>
          </cell>
          <cell r="B55">
            <v>19646.1738306769</v>
          </cell>
          <cell r="C55">
            <v>23188.407768260346</v>
          </cell>
          <cell r="D55">
            <v>52.119789286300069</v>
          </cell>
          <cell r="E55">
            <v>61.517063687962498</v>
          </cell>
          <cell r="H55">
            <v>3722.41</v>
          </cell>
          <cell r="I55">
            <v>532.5</v>
          </cell>
          <cell r="J55">
            <v>-70</v>
          </cell>
          <cell r="K55">
            <v>4184.91</v>
          </cell>
        </row>
        <row r="57">
          <cell r="A57" t="str">
            <v>Less Net Debt (Cash)</v>
          </cell>
          <cell r="B57">
            <v>2756</v>
          </cell>
          <cell r="C57">
            <v>2756</v>
          </cell>
          <cell r="D57">
            <v>7.3114561904542539</v>
          </cell>
          <cell r="E57">
            <v>7.3114561904542539</v>
          </cell>
          <cell r="G57" t="str">
            <v>From Model</v>
          </cell>
          <cell r="H57">
            <v>3652.41</v>
          </cell>
          <cell r="I57">
            <v>532.5</v>
          </cell>
          <cell r="J57">
            <v>-70</v>
          </cell>
        </row>
        <row r="58">
          <cell r="K58" t="str">
            <v>tied to calculation</v>
          </cell>
        </row>
        <row r="59">
          <cell r="A59" t="str">
            <v>Implied Equity Value</v>
          </cell>
          <cell r="B59">
            <v>16890.1738306769</v>
          </cell>
          <cell r="C59">
            <v>20432.407768260346</v>
          </cell>
          <cell r="K59" t="str">
            <v>No. of Shares</v>
          </cell>
          <cell r="L59">
            <v>376.94269489000004</v>
          </cell>
        </row>
        <row r="61">
          <cell r="A61" t="str">
            <v>Est. GD Value per Share</v>
          </cell>
          <cell r="B61">
            <v>44.808333095845818</v>
          </cell>
          <cell r="C61">
            <v>54.205607497508232</v>
          </cell>
          <cell r="D61">
            <v>44.808333095845818</v>
          </cell>
          <cell r="E61">
            <v>54.205607497508247</v>
          </cell>
        </row>
        <row r="62">
          <cell r="B62" t="str">
            <v>Average:</v>
          </cell>
          <cell r="C62">
            <v>49.506970296677025</v>
          </cell>
          <cell r="J62">
            <v>5.3125704124978324</v>
          </cell>
        </row>
        <row r="65">
          <cell r="A65" t="str">
            <v>Est. Value 2010 Operations on P/E</v>
          </cell>
        </row>
        <row r="67">
          <cell r="B67" t="str">
            <v>Est. Value/Share</v>
          </cell>
          <cell r="E67" t="str">
            <v>P/E Multiple</v>
          </cell>
          <cell r="I67" t="str">
            <v>Interest</v>
          </cell>
        </row>
        <row r="68">
          <cell r="B68" t="str">
            <v>Low</v>
          </cell>
          <cell r="C68" t="str">
            <v>High</v>
          </cell>
          <cell r="D68" t="str">
            <v>2010 EPS</v>
          </cell>
          <cell r="E68" t="str">
            <v>Low</v>
          </cell>
          <cell r="F68" t="str">
            <v>High</v>
          </cell>
          <cell r="G68" t="str">
            <v>EBIT</v>
          </cell>
          <cell r="H68" t="str">
            <v>Unallocated</v>
          </cell>
          <cell r="I68" t="str">
            <v>&amp; Other</v>
          </cell>
          <cell r="J68" t="str">
            <v>Tax Rate</v>
          </cell>
          <cell r="K68" t="str">
            <v>Econ NI</v>
          </cell>
          <cell r="L68" t="str">
            <v>Per share</v>
          </cell>
          <cell r="M68" t="str">
            <v>EBIT Dist.</v>
          </cell>
        </row>
        <row r="69">
          <cell r="A69" t="str">
            <v>Marine</v>
          </cell>
          <cell r="B69">
            <v>7.7346443193794494</v>
          </cell>
          <cell r="C69">
            <v>9.9445426963450068</v>
          </cell>
          <cell r="D69">
            <v>1.1049491884827785</v>
          </cell>
          <cell r="E69">
            <v>7</v>
          </cell>
          <cell r="F69">
            <v>9</v>
          </cell>
          <cell r="G69">
            <v>643.11</v>
          </cell>
          <cell r="H69">
            <v>-12.09369736273006</v>
          </cell>
          <cell r="I69">
            <v>-22.094482720285942</v>
          </cell>
          <cell r="J69">
            <v>0.316</v>
          </cell>
          <cell r="K69">
            <v>416.50252482321707</v>
          </cell>
          <cell r="L69">
            <v>1.1049491884827785</v>
          </cell>
          <cell r="M69">
            <v>0.17276710518185801</v>
          </cell>
        </row>
        <row r="70">
          <cell r="A70" t="str">
            <v>Combat Sys</v>
          </cell>
          <cell r="B70">
            <v>18.463068494403657</v>
          </cell>
          <cell r="C70">
            <v>20.514520549337398</v>
          </cell>
          <cell r="D70">
            <v>2.0514520549337396</v>
          </cell>
          <cell r="E70">
            <v>9</v>
          </cell>
          <cell r="F70">
            <v>10</v>
          </cell>
          <cell r="G70">
            <v>1194</v>
          </cell>
          <cell r="H70">
            <v>-22.453195644757024</v>
          </cell>
          <cell r="I70">
            <v>-41.02068443659936</v>
          </cell>
          <cell r="J70">
            <v>0.316</v>
          </cell>
          <cell r="K70">
            <v>773.27986602435215</v>
          </cell>
          <cell r="L70">
            <v>2.0514520549337396</v>
          </cell>
          <cell r="M70">
            <v>0.32075993778224321</v>
          </cell>
        </row>
        <row r="71">
          <cell r="A71" t="str">
            <v>IS&amp;T</v>
          </cell>
          <cell r="B71">
            <v>21.607769244944045</v>
          </cell>
          <cell r="C71">
            <v>25.536454562206597</v>
          </cell>
          <cell r="D71">
            <v>1.9643426586312767</v>
          </cell>
          <cell r="E71">
            <v>11</v>
          </cell>
          <cell r="F71">
            <v>13</v>
          </cell>
          <cell r="G71">
            <v>1143.3</v>
          </cell>
          <cell r="H71">
            <v>-21.499781055821362</v>
          </cell>
          <cell r="I71">
            <v>-39.278851353738737</v>
          </cell>
          <cell r="J71">
            <v>0.316</v>
          </cell>
          <cell r="K71">
            <v>740.44461543186083</v>
          </cell>
          <cell r="L71">
            <v>1.9643426586312767</v>
          </cell>
          <cell r="M71">
            <v>0.30713972936887662</v>
          </cell>
        </row>
        <row r="72">
          <cell r="A72" t="str">
            <v>Aerospace</v>
          </cell>
          <cell r="B72">
            <v>11.473699181614334</v>
          </cell>
          <cell r="C72">
            <v>12.748554646238148</v>
          </cell>
          <cell r="D72">
            <v>1.2748554646238148</v>
          </cell>
          <cell r="E72">
            <v>9</v>
          </cell>
          <cell r="F72">
            <v>10</v>
          </cell>
          <cell r="G72">
            <v>742.00000000000011</v>
          </cell>
          <cell r="H72">
            <v>-13.953325936691556</v>
          </cell>
          <cell r="I72">
            <v>-25.491916123916859</v>
          </cell>
          <cell r="J72">
            <v>0.316</v>
          </cell>
          <cell r="K72">
            <v>480.54745443054384</v>
          </cell>
          <cell r="L72">
            <v>1.2748554646238148</v>
          </cell>
          <cell r="M72">
            <v>0.19933322766702222</v>
          </cell>
        </row>
        <row r="73">
          <cell r="A73" t="str">
            <v xml:space="preserve">  subtotal</v>
          </cell>
          <cell r="B73">
            <v>59.279181240341487</v>
          </cell>
          <cell r="C73">
            <v>68.744072454127149</v>
          </cell>
          <cell r="D73">
            <v>6.3955993666716093</v>
          </cell>
          <cell r="G73">
            <v>3722.41</v>
          </cell>
          <cell r="H73">
            <v>-70</v>
          </cell>
          <cell r="I73">
            <v>-127.88593463454092</v>
          </cell>
          <cell r="K73">
            <v>2410.7744607099739</v>
          </cell>
          <cell r="L73">
            <v>6.3955993666716093</v>
          </cell>
          <cell r="M73">
            <v>1</v>
          </cell>
        </row>
        <row r="75">
          <cell r="A75" t="str">
            <v>Est. GD Value per Share</v>
          </cell>
          <cell r="B75">
            <v>59.279181240341487</v>
          </cell>
          <cell r="C75">
            <v>68.744072454127149</v>
          </cell>
        </row>
        <row r="76">
          <cell r="B76" t="str">
            <v>Average:</v>
          </cell>
          <cell r="C76">
            <v>64.011626847234311</v>
          </cell>
          <cell r="H76">
            <v>-70</v>
          </cell>
          <cell r="I76">
            <v>-127.88593463454089</v>
          </cell>
          <cell r="K76">
            <v>2410.7744607099739</v>
          </cell>
          <cell r="L76">
            <v>6.3955993666716093</v>
          </cell>
        </row>
        <row r="77">
          <cell r="H77" t="str">
            <v>tied to calculation</v>
          </cell>
        </row>
        <row r="78">
          <cell r="J78" t="str">
            <v>No. of Shares</v>
          </cell>
          <cell r="K78">
            <v>376.94269489000004</v>
          </cell>
        </row>
        <row r="80">
          <cell r="F80" t="str">
            <v>From Model</v>
          </cell>
          <cell r="G80">
            <v>3652.41</v>
          </cell>
        </row>
        <row r="82">
          <cell r="L82" t="str">
            <v>CAI</v>
          </cell>
          <cell r="M82">
            <v>15.1</v>
          </cell>
        </row>
        <row r="83">
          <cell r="L83" t="str">
            <v>SAI</v>
          </cell>
          <cell r="M83">
            <v>14.6</v>
          </cell>
        </row>
        <row r="84">
          <cell r="L84" t="str">
            <v>MANT</v>
          </cell>
          <cell r="M84">
            <v>15.2</v>
          </cell>
        </row>
        <row r="92">
          <cell r="A92" t="str">
            <v>Est. Value 2009 Operations on EV/EBITDA</v>
          </cell>
        </row>
        <row r="94">
          <cell r="A94" t="str">
            <v>Est. Value 2009 Operations on EV/EBITDA</v>
          </cell>
          <cell r="F94" t="str">
            <v xml:space="preserve">EV/EBITDA </v>
          </cell>
        </row>
        <row r="95">
          <cell r="B95" t="str">
            <v xml:space="preserve">Low </v>
          </cell>
          <cell r="C95" t="str">
            <v xml:space="preserve">High </v>
          </cell>
          <cell r="D95" t="str">
            <v>Low/Sh</v>
          </cell>
          <cell r="E95" t="str">
            <v>High/Sh</v>
          </cell>
          <cell r="F95" t="str">
            <v>Low</v>
          </cell>
          <cell r="G95" t="str">
            <v>High</v>
          </cell>
          <cell r="H95" t="str">
            <v>EBIT</v>
          </cell>
          <cell r="I95" t="str">
            <v>D+A</v>
          </cell>
          <cell r="J95" t="str">
            <v>Unallocated</v>
          </cell>
          <cell r="K95" t="str">
            <v>EBITDA</v>
          </cell>
        </row>
        <row r="96">
          <cell r="A96" t="str">
            <v>Marine</v>
          </cell>
          <cell r="B96">
            <v>4192.2832463724735</v>
          </cell>
          <cell r="C96">
            <v>4890.9971207678864</v>
          </cell>
          <cell r="D96">
            <v>10.846787183369919</v>
          </cell>
          <cell r="E96">
            <v>12.654585047264906</v>
          </cell>
          <cell r="F96">
            <v>6</v>
          </cell>
          <cell r="G96">
            <v>7</v>
          </cell>
          <cell r="H96">
            <v>628.875</v>
          </cell>
          <cell r="I96">
            <v>85.239790035441942</v>
          </cell>
          <cell r="J96">
            <v>-15.400915640029661</v>
          </cell>
          <cell r="K96">
            <v>698.71387439541229</v>
          </cell>
        </row>
        <row r="97">
          <cell r="A97" t="str">
            <v>Combat Sys</v>
          </cell>
          <cell r="B97">
            <v>8166.2444473166852</v>
          </cell>
          <cell r="C97">
            <v>9527.2851885361324</v>
          </cell>
          <cell r="D97">
            <v>21.128704908969432</v>
          </cell>
          <cell r="E97">
            <v>24.650155727131004</v>
          </cell>
          <cell r="F97">
            <v>6</v>
          </cell>
          <cell r="G97">
            <v>7</v>
          </cell>
          <cell r="H97">
            <v>1225</v>
          </cell>
          <cell r="I97">
            <v>166.04053713920314</v>
          </cell>
          <cell r="J97">
            <v>-29.999795919755648</v>
          </cell>
          <cell r="K97">
            <v>1361.0407412194475</v>
          </cell>
        </row>
        <row r="98">
          <cell r="A98" t="str">
            <v>IS&amp;T</v>
          </cell>
          <cell r="B98">
            <v>6179.6804919694405</v>
          </cell>
          <cell r="C98">
            <v>6797.6485411663853</v>
          </cell>
          <cell r="D98">
            <v>15.988824041318086</v>
          </cell>
          <cell r="E98">
            <v>17.587706445449896</v>
          </cell>
          <cell r="F98">
            <v>5</v>
          </cell>
          <cell r="G98">
            <v>5.5</v>
          </cell>
          <cell r="H98">
            <v>1112.3999999999999</v>
          </cell>
          <cell r="I98">
            <v>150.77836205195882</v>
          </cell>
          <cell r="J98">
            <v>-27.242263658070353</v>
          </cell>
          <cell r="K98">
            <v>1235.9360983938882</v>
          </cell>
          <cell r="P98" t="str">
            <v>The Positives: Growing Cash Hoard = Compelling Valuation</v>
          </cell>
        </row>
        <row r="99">
          <cell r="A99" t="str">
            <v>Gulfstream</v>
          </cell>
          <cell r="B99">
            <v>2756.1075009693814</v>
          </cell>
          <cell r="C99">
            <v>3937.2964299562591</v>
          </cell>
          <cell r="D99">
            <v>7.1309379067771834</v>
          </cell>
          <cell r="E99">
            <v>10.187054152538833</v>
          </cell>
          <cell r="F99">
            <v>3.5</v>
          </cell>
          <cell r="G99">
            <v>5</v>
          </cell>
          <cell r="H99">
            <v>708.75</v>
          </cell>
          <cell r="I99">
            <v>96.066310773396111</v>
          </cell>
          <cell r="J99">
            <v>-17.357024782144343</v>
          </cell>
          <cell r="K99">
            <v>787.45928599125182</v>
          </cell>
        </row>
        <row r="100">
          <cell r="A100" t="str">
            <v xml:space="preserve">  subtotal</v>
          </cell>
          <cell r="B100">
            <v>21294.315686627982</v>
          </cell>
          <cell r="C100">
            <v>25153.227280426661</v>
          </cell>
          <cell r="D100">
            <v>55.095254040434618</v>
          </cell>
          <cell r="E100">
            <v>65.079501372384641</v>
          </cell>
          <cell r="H100">
            <v>3675.0249999999996</v>
          </cell>
          <cell r="I100">
            <v>498.125</v>
          </cell>
          <cell r="J100">
            <v>-90</v>
          </cell>
          <cell r="K100">
            <v>4083.1499999999996</v>
          </cell>
          <cell r="R100">
            <v>2009</v>
          </cell>
          <cell r="S100">
            <v>2010</v>
          </cell>
          <cell r="T100" t="str">
            <v>Comments</v>
          </cell>
        </row>
        <row r="101">
          <cell r="P101" t="str">
            <v>Stock price</v>
          </cell>
          <cell r="R101">
            <v>54.59</v>
          </cell>
          <cell r="S101">
            <v>54.59</v>
          </cell>
        </row>
        <row r="102">
          <cell r="A102" t="str">
            <v>Less Net Debt (Cash)</v>
          </cell>
          <cell r="B102">
            <v>2756</v>
          </cell>
          <cell r="C102">
            <v>2756</v>
          </cell>
          <cell r="D102">
            <v>7.130659767141009</v>
          </cell>
          <cell r="E102">
            <v>7.130659767141009</v>
          </cell>
          <cell r="F102" t="str">
            <v xml:space="preserve">- 3Q08 </v>
          </cell>
          <cell r="J102" t="str">
            <v>From Model</v>
          </cell>
          <cell r="K102">
            <v>3585.0249999999996</v>
          </cell>
          <cell r="L102">
            <v>498.125</v>
          </cell>
          <cell r="M102">
            <v>-90</v>
          </cell>
          <cell r="P102" t="str">
            <v>less cash/share</v>
          </cell>
          <cell r="R102">
            <v>-1.0123993647657794</v>
          </cell>
          <cell r="S102">
            <v>3.8415995619144265</v>
          </cell>
          <cell r="T102" t="str">
            <v>- assumed YE09, rises to $10 YE10</v>
          </cell>
        </row>
        <row r="103">
          <cell r="K103" t="str">
            <v>tied to calculation</v>
          </cell>
          <cell r="P103" t="str">
            <v>Net, stock price</v>
          </cell>
          <cell r="R103">
            <v>55.60239936476578</v>
          </cell>
          <cell r="S103">
            <v>50.748400438085575</v>
          </cell>
        </row>
        <row r="104">
          <cell r="A104" t="str">
            <v>Implied Equity Value</v>
          </cell>
          <cell r="B104">
            <v>18538.315686627982</v>
          </cell>
          <cell r="C104">
            <v>22397.227280426661</v>
          </cell>
          <cell r="K104" t="str">
            <v>No. of Shares</v>
          </cell>
          <cell r="L104">
            <v>386.5</v>
          </cell>
        </row>
        <row r="105">
          <cell r="P105" t="str">
            <v>2009 EPS</v>
          </cell>
          <cell r="R105">
            <v>6.1034251981705649</v>
          </cell>
          <cell r="S105">
            <v>6.3955993666716093</v>
          </cell>
        </row>
        <row r="106">
          <cell r="A106" t="str">
            <v>Est. GD Value per Share</v>
          </cell>
          <cell r="B106">
            <v>47.964594273293613</v>
          </cell>
          <cell r="C106">
            <v>57.948841605243622</v>
          </cell>
          <cell r="D106">
            <v>47.964594273293606</v>
          </cell>
          <cell r="E106">
            <v>57.948841605243629</v>
          </cell>
        </row>
        <row r="107">
          <cell r="B107" t="str">
            <v>Average:</v>
          </cell>
          <cell r="C107">
            <v>52.956717939268614</v>
          </cell>
          <cell r="J107">
            <v>5.5659123470849723</v>
          </cell>
          <cell r="P107" t="str">
            <v>2009 P/E adjusted</v>
          </cell>
          <cell r="R107">
            <v>9.1100320818926388</v>
          </cell>
          <cell r="S107">
            <v>7.9348935930137854</v>
          </cell>
          <cell r="T107" t="str">
            <v>- extremely cheap, even vs. peers</v>
          </cell>
        </row>
        <row r="110">
          <cell r="A110" t="str">
            <v>Est. Value 2009 Operations on P/E</v>
          </cell>
          <cell r="P110" t="str">
            <v>The Negatives: Dearth Of Catalysts Ahead, Mgmt Transition MidStorm</v>
          </cell>
        </row>
        <row r="112">
          <cell r="B112" t="str">
            <v>Est. Value/Share</v>
          </cell>
          <cell r="E112" t="str">
            <v>P/E Multiple</v>
          </cell>
          <cell r="I112" t="str">
            <v>Interest</v>
          </cell>
        </row>
        <row r="113">
          <cell r="B113" t="str">
            <v>Low</v>
          </cell>
          <cell r="C113" t="str">
            <v>High</v>
          </cell>
          <cell r="D113" t="str">
            <v>2009 EPS</v>
          </cell>
          <cell r="E113" t="str">
            <v>Low</v>
          </cell>
          <cell r="F113" t="str">
            <v>High</v>
          </cell>
          <cell r="G113" t="str">
            <v>EBIT</v>
          </cell>
          <cell r="H113" t="str">
            <v>Unallocated</v>
          </cell>
          <cell r="I113" t="str">
            <v>&amp; Other</v>
          </cell>
          <cell r="J113" t="str">
            <v>Tax Rate</v>
          </cell>
          <cell r="K113" t="str">
            <v>Econ NI</v>
          </cell>
          <cell r="L113" t="str">
            <v>Per share</v>
          </cell>
          <cell r="M113" t="str">
            <v>EBIT Dist.</v>
          </cell>
        </row>
        <row r="114">
          <cell r="A114" t="str">
            <v>Marine</v>
          </cell>
          <cell r="B114">
            <v>8.3446280178813854</v>
          </cell>
          <cell r="C114">
            <v>9.3877065201165593</v>
          </cell>
          <cell r="D114">
            <v>1.0430785022351732</v>
          </cell>
          <cell r="E114">
            <v>8</v>
          </cell>
          <cell r="F114">
            <v>9</v>
          </cell>
          <cell r="G114">
            <v>628.875</v>
          </cell>
          <cell r="H114">
            <v>-15.400915640029661</v>
          </cell>
          <cell r="I114">
            <v>-25.105956639750755</v>
          </cell>
          <cell r="J114">
            <v>0.31480000000000002</v>
          </cell>
          <cell r="K114">
            <v>403.14984111389447</v>
          </cell>
          <cell r="L114">
            <v>1.0430785022351732</v>
          </cell>
          <cell r="M114">
            <v>0.17112128488921846</v>
          </cell>
        </row>
        <row r="115">
          <cell r="A115" t="str">
            <v>Combat Sys</v>
          </cell>
          <cell r="B115">
            <v>16.254691825728006</v>
          </cell>
          <cell r="C115">
            <v>18.286528303944007</v>
          </cell>
          <cell r="D115">
            <v>2.0318364782160008</v>
          </cell>
          <cell r="E115">
            <v>8</v>
          </cell>
          <cell r="F115">
            <v>9</v>
          </cell>
          <cell r="G115">
            <v>1225</v>
          </cell>
          <cell r="H115">
            <v>-29.999795919755648</v>
          </cell>
          <cell r="I115">
            <v>-48.904467316548875</v>
          </cell>
          <cell r="J115">
            <v>0.31480000000000002</v>
          </cell>
          <cell r="K115">
            <v>785.30479883048429</v>
          </cell>
          <cell r="L115">
            <v>2.0318364782160008</v>
          </cell>
          <cell r="M115">
            <v>0.33333106577506277</v>
          </cell>
        </row>
        <row r="116">
          <cell r="A116" t="str">
            <v>IS&amp;T</v>
          </cell>
          <cell r="B116">
            <v>12.91551370495702</v>
          </cell>
          <cell r="C116">
            <v>14.760587091379451</v>
          </cell>
          <cell r="D116">
            <v>1.8450733864224313</v>
          </cell>
          <cell r="E116">
            <v>7</v>
          </cell>
          <cell r="F116">
            <v>8</v>
          </cell>
          <cell r="G116">
            <v>1112.3999999999999</v>
          </cell>
          <cell r="H116">
            <v>-27.242263658070353</v>
          </cell>
          <cell r="I116">
            <v>-44.409248524839967</v>
          </cell>
          <cell r="J116">
            <v>0.31480000000000002</v>
          </cell>
          <cell r="K116">
            <v>713.12086385226974</v>
          </cell>
          <cell r="L116">
            <v>1.8450733864224313</v>
          </cell>
          <cell r="M116">
            <v>0.30269181842300391</v>
          </cell>
        </row>
        <row r="117">
          <cell r="A117" t="str">
            <v>Aerospace</v>
          </cell>
          <cell r="B117">
            <v>7.0533752029498302</v>
          </cell>
          <cell r="C117">
            <v>9.4045002705997742</v>
          </cell>
          <cell r="D117">
            <v>1.1755625338249718</v>
          </cell>
          <cell r="E117">
            <v>6</v>
          </cell>
          <cell r="F117">
            <v>8</v>
          </cell>
          <cell r="G117">
            <v>708.75</v>
          </cell>
          <cell r="H117">
            <v>-17.357024782144343</v>
          </cell>
          <cell r="I117">
            <v>-28.294727518860423</v>
          </cell>
          <cell r="J117">
            <v>0.31480000000000002</v>
          </cell>
          <cell r="K117">
            <v>454.35491932335157</v>
          </cell>
          <cell r="L117">
            <v>1.1755625338249718</v>
          </cell>
          <cell r="M117">
            <v>0.19285583091271491</v>
          </cell>
        </row>
        <row r="118">
          <cell r="A118" t="str">
            <v xml:space="preserve">  subtotal</v>
          </cell>
          <cell r="B118">
            <v>44.568208751516245</v>
          </cell>
          <cell r="C118">
            <v>51.839322186039794</v>
          </cell>
          <cell r="D118">
            <v>6.0955509006985773</v>
          </cell>
          <cell r="G118">
            <v>3675.0249999999996</v>
          </cell>
          <cell r="H118">
            <v>-90</v>
          </cell>
          <cell r="I118">
            <v>-146.71440000000001</v>
          </cell>
          <cell r="K118">
            <v>2355.9304231200003</v>
          </cell>
          <cell r="L118">
            <v>6.0955509006985782</v>
          </cell>
          <cell r="M118">
            <v>1</v>
          </cell>
        </row>
        <row r="120">
          <cell r="A120" t="str">
            <v>Est. GD Value per Share</v>
          </cell>
          <cell r="B120">
            <v>44.568208751516245</v>
          </cell>
          <cell r="C120">
            <v>51.839322186039794</v>
          </cell>
        </row>
        <row r="121">
          <cell r="B121" t="str">
            <v>Average:</v>
          </cell>
          <cell r="C121">
            <v>48.203765468778016</v>
          </cell>
          <cell r="H121" t="str">
            <v>From Model</v>
          </cell>
          <cell r="I121">
            <v>3585.0249999999996</v>
          </cell>
          <cell r="J121">
            <v>-90</v>
          </cell>
          <cell r="K121">
            <v>-146.71440000000001</v>
          </cell>
          <cell r="M121">
            <v>2355.9304231199999</v>
          </cell>
          <cell r="N121">
            <v>5.8634405752115475</v>
          </cell>
        </row>
        <row r="122">
          <cell r="A122" t="str">
            <v>A-12 Liability</v>
          </cell>
          <cell r="H122" t="str">
            <v>tied to calculation</v>
          </cell>
        </row>
        <row r="123">
          <cell r="A123" t="str">
            <v>Est GD w/ A-12</v>
          </cell>
          <cell r="B123">
            <v>44.568208751516245</v>
          </cell>
          <cell r="C123">
            <v>51.839322186039794</v>
          </cell>
          <cell r="J123" t="str">
            <v>No. of Shares</v>
          </cell>
          <cell r="K123">
            <v>386.5</v>
          </cell>
        </row>
        <row r="124">
          <cell r="B124" t="str">
            <v>Average:</v>
          </cell>
          <cell r="C124">
            <v>48.203765468778016</v>
          </cell>
        </row>
        <row r="125">
          <cell r="H125" t="str">
            <v>- Assumes $690MM aftertax charge spread 2008/09</v>
          </cell>
        </row>
        <row r="128">
          <cell r="A128" t="str">
            <v>Not Used</v>
          </cell>
        </row>
        <row r="130">
          <cell r="A130" t="str">
            <v>Est. Value 2008 Operations on EV/EBITDA</v>
          </cell>
        </row>
        <row r="132">
          <cell r="F132" t="str">
            <v>EV/EBITDA Multiple</v>
          </cell>
        </row>
        <row r="133">
          <cell r="B133" t="str">
            <v xml:space="preserve">Low </v>
          </cell>
          <cell r="C133" t="str">
            <v xml:space="preserve">High </v>
          </cell>
          <cell r="D133" t="str">
            <v>Low/Sh</v>
          </cell>
          <cell r="E133" t="str">
            <v>High/Sh</v>
          </cell>
          <cell r="F133" t="str">
            <v>Low</v>
          </cell>
          <cell r="G133" t="str">
            <v>High</v>
          </cell>
          <cell r="H133" t="str">
            <v>EBIT</v>
          </cell>
          <cell r="I133" t="str">
            <v>D+A</v>
          </cell>
          <cell r="J133" t="str">
            <v>Unallocated</v>
          </cell>
          <cell r="K133" t="str">
            <v>EBITDA</v>
          </cell>
        </row>
        <row r="134">
          <cell r="A134" t="str">
            <v>Marine</v>
          </cell>
          <cell r="B134">
            <v>3417.8047210300429</v>
          </cell>
          <cell r="C134">
            <v>3987.4388412017165</v>
          </cell>
          <cell r="D134">
            <v>8.3739963028581581</v>
          </cell>
          <cell r="E134">
            <v>9.7696623533345175</v>
          </cell>
          <cell r="F134">
            <v>6</v>
          </cell>
          <cell r="G134">
            <v>7</v>
          </cell>
          <cell r="H134">
            <v>521</v>
          </cell>
          <cell r="I134">
            <v>59.115611587982833</v>
          </cell>
          <cell r="J134">
            <v>-10.481491416309014</v>
          </cell>
          <cell r="K134">
            <v>569.63412017167377</v>
          </cell>
        </row>
        <row r="135">
          <cell r="A135" t="str">
            <v>Combat Sys</v>
          </cell>
          <cell r="B135">
            <v>7288.255364806867</v>
          </cell>
          <cell r="C135">
            <v>8502.9645922746786</v>
          </cell>
          <cell r="D135">
            <v>17.857024745634192</v>
          </cell>
          <cell r="E135">
            <v>20.833195536573225</v>
          </cell>
          <cell r="F135">
            <v>6</v>
          </cell>
          <cell r="G135">
            <v>7</v>
          </cell>
          <cell r="H135">
            <v>1111</v>
          </cell>
          <cell r="I135">
            <v>126.06035407725322</v>
          </cell>
          <cell r="J135">
            <v>-22.351126609442062</v>
          </cell>
          <cell r="K135">
            <v>1214.7092274678112</v>
          </cell>
        </row>
        <row r="136">
          <cell r="A136" t="str">
            <v>IS&amp;T</v>
          </cell>
          <cell r="B136">
            <v>7052.0922746781125</v>
          </cell>
          <cell r="C136">
            <v>8227.4409871244643</v>
          </cell>
          <cell r="D136">
            <v>17.278399281329214</v>
          </cell>
          <cell r="E136">
            <v>20.158132494884086</v>
          </cell>
          <cell r="F136">
            <v>6</v>
          </cell>
          <cell r="G136">
            <v>7</v>
          </cell>
          <cell r="H136">
            <v>1075</v>
          </cell>
          <cell r="I136">
            <v>121.97559012875536</v>
          </cell>
          <cell r="J136">
            <v>-21.626877682403432</v>
          </cell>
          <cell r="K136">
            <v>1175.348712446352</v>
          </cell>
        </row>
        <row r="137">
          <cell r="A137" t="str">
            <v>Gulfstream</v>
          </cell>
          <cell r="B137">
            <v>5581.5396995708143</v>
          </cell>
          <cell r="C137">
            <v>2790.7698497854071</v>
          </cell>
          <cell r="D137">
            <v>13.67538423739312</v>
          </cell>
          <cell r="E137">
            <v>6.8376921186965598</v>
          </cell>
          <cell r="F137">
            <v>5</v>
          </cell>
          <cell r="G137">
            <v>2.5</v>
          </cell>
          <cell r="H137">
            <v>1021</v>
          </cell>
          <cell r="I137">
            <v>115.84844420600858</v>
          </cell>
          <cell r="J137">
            <v>-20.540504291845494</v>
          </cell>
          <cell r="K137">
            <v>1116.3079399141629</v>
          </cell>
        </row>
        <row r="138">
          <cell r="A138" t="str">
            <v xml:space="preserve">  subtotal</v>
          </cell>
          <cell r="B138">
            <v>23339.692060085836</v>
          </cell>
          <cell r="C138">
            <v>23508.614270386264</v>
          </cell>
          <cell r="D138">
            <v>57.184804567214684</v>
          </cell>
          <cell r="E138">
            <v>57.598682503488384</v>
          </cell>
          <cell r="H138">
            <v>3728</v>
          </cell>
          <cell r="I138">
            <v>423</v>
          </cell>
          <cell r="J138">
            <v>-75</v>
          </cell>
          <cell r="K138">
            <v>4075.9999999999995</v>
          </cell>
        </row>
        <row r="140">
          <cell r="A140" t="str">
            <v>Less Net Debt (Cash)</v>
          </cell>
          <cell r="B140">
            <v>-451</v>
          </cell>
          <cell r="C140">
            <v>-451</v>
          </cell>
          <cell r="D140">
            <v>-1.1049994487253305</v>
          </cell>
          <cell r="E140">
            <v>-1.1049994487253305</v>
          </cell>
          <cell r="G140" t="str">
            <v>From Model</v>
          </cell>
          <cell r="H140">
            <v>3113</v>
          </cell>
          <cell r="I140">
            <v>423</v>
          </cell>
          <cell r="J140">
            <v>-75</v>
          </cell>
        </row>
        <row r="141">
          <cell r="G141" t="str">
            <v>tied to calculation</v>
          </cell>
        </row>
        <row r="142">
          <cell r="A142" t="str">
            <v>Implied Equity Value</v>
          </cell>
          <cell r="B142">
            <v>23790.692060085836</v>
          </cell>
          <cell r="C142">
            <v>23959.614270386264</v>
          </cell>
          <cell r="H142" t="str">
            <v>No. of Shares</v>
          </cell>
          <cell r="I142">
            <v>408.14499999999998</v>
          </cell>
        </row>
        <row r="144">
          <cell r="A144" t="str">
            <v>Est. GD Value per Share</v>
          </cell>
          <cell r="B144">
            <v>58.289804015940014</v>
          </cell>
          <cell r="C144">
            <v>58.703681952213714</v>
          </cell>
          <cell r="D144">
            <v>56.079805118489354</v>
          </cell>
          <cell r="E144">
            <v>56.493683054763054</v>
          </cell>
        </row>
        <row r="145">
          <cell r="B145" t="str">
            <v>Average:</v>
          </cell>
          <cell r="C145">
            <v>58.49674298407686</v>
          </cell>
        </row>
        <row r="148">
          <cell r="A148" t="str">
            <v>Est. Value 2008 Operations on P/E</v>
          </cell>
        </row>
        <row r="150">
          <cell r="B150" t="str">
            <v>Est. Value/Share</v>
          </cell>
          <cell r="E150" t="str">
            <v>P/E Multiple</v>
          </cell>
        </row>
        <row r="151">
          <cell r="B151" t="str">
            <v>Low</v>
          </cell>
          <cell r="C151" t="str">
            <v>High</v>
          </cell>
          <cell r="D151" t="str">
            <v>2008 EPS</v>
          </cell>
          <cell r="E151" t="str">
            <v>Low</v>
          </cell>
          <cell r="F151" t="str">
            <v>High</v>
          </cell>
          <cell r="G151" t="str">
            <v>EBIT</v>
          </cell>
          <cell r="H151" t="str">
            <v>Unallocated</v>
          </cell>
          <cell r="I151" t="str">
            <v>Interest &amp; Other</v>
          </cell>
          <cell r="J151" t="str">
            <v>Tax Rate</v>
          </cell>
          <cell r="K151" t="str">
            <v>Econ NI</v>
          </cell>
          <cell r="L151" t="str">
            <v>Per share</v>
          </cell>
          <cell r="M151" t="str">
            <v>EBIT Dist.</v>
          </cell>
        </row>
        <row r="152">
          <cell r="A152" t="str">
            <v>Marine</v>
          </cell>
          <cell r="B152">
            <v>8.3650936244203802</v>
          </cell>
          <cell r="C152">
            <v>10.456367030525476</v>
          </cell>
          <cell r="D152">
            <v>0.836509362442038</v>
          </cell>
          <cell r="E152">
            <v>10</v>
          </cell>
          <cell r="F152">
            <v>12.5</v>
          </cell>
          <cell r="G152">
            <v>521</v>
          </cell>
          <cell r="H152">
            <v>-10.481491416309014</v>
          </cell>
          <cell r="I152">
            <v>-6.847907725321889</v>
          </cell>
          <cell r="J152">
            <v>0.32214206437291898</v>
          </cell>
          <cell r="K152">
            <v>341.41711373390558</v>
          </cell>
          <cell r="L152">
            <v>0.836509362442038</v>
          </cell>
          <cell r="M152">
            <v>0.13975321888412018</v>
          </cell>
        </row>
        <row r="153">
          <cell r="A153" t="str">
            <v>Combat Sys</v>
          </cell>
          <cell r="B153">
            <v>17.838040339215052</v>
          </cell>
          <cell r="C153">
            <v>22.297550424018816</v>
          </cell>
          <cell r="D153">
            <v>1.7838040339215053</v>
          </cell>
          <cell r="E153">
            <v>10</v>
          </cell>
          <cell r="F153">
            <v>12.5</v>
          </cell>
          <cell r="G153">
            <v>1111</v>
          </cell>
          <cell r="H153">
            <v>-22.351126609442062</v>
          </cell>
          <cell r="I153">
            <v>-14.602736051502147</v>
          </cell>
          <cell r="J153">
            <v>0.32214206437291898</v>
          </cell>
          <cell r="K153">
            <v>728.05069742489275</v>
          </cell>
          <cell r="L153">
            <v>1.7838040339215053</v>
          </cell>
          <cell r="M153">
            <v>0.29801502145922748</v>
          </cell>
        </row>
        <row r="154">
          <cell r="A154" t="str">
            <v>IS&amp;T</v>
          </cell>
          <cell r="B154">
            <v>17.260030031193686</v>
          </cell>
          <cell r="C154">
            <v>21.57503753899211</v>
          </cell>
          <cell r="D154">
            <v>1.7260030031193687</v>
          </cell>
          <cell r="E154">
            <v>10</v>
          </cell>
          <cell r="F154">
            <v>12.5</v>
          </cell>
          <cell r="G154">
            <v>1075</v>
          </cell>
          <cell r="H154">
            <v>-21.626877682403432</v>
          </cell>
          <cell r="I154">
            <v>-14.129560085836909</v>
          </cell>
          <cell r="J154">
            <v>0.32214206437291898</v>
          </cell>
          <cell r="K154">
            <v>704.45949570815469</v>
          </cell>
          <cell r="L154">
            <v>1.7260030031193687</v>
          </cell>
          <cell r="M154">
            <v>0.28835836909871243</v>
          </cell>
        </row>
        <row r="155">
          <cell r="A155" t="str">
            <v>Aerospace</v>
          </cell>
          <cell r="B155">
            <v>18.03231602607779</v>
          </cell>
          <cell r="C155">
            <v>6.5572058276646512</v>
          </cell>
          <cell r="D155">
            <v>1.6393014569161628</v>
          </cell>
          <cell r="E155">
            <v>11</v>
          </cell>
          <cell r="F155">
            <v>4</v>
          </cell>
          <cell r="G155">
            <v>1021</v>
          </cell>
          <cell r="H155">
            <v>-20.540504291845494</v>
          </cell>
          <cell r="I155">
            <v>-13.419796137339056</v>
          </cell>
          <cell r="J155">
            <v>0.32214206437291898</v>
          </cell>
          <cell r="K155">
            <v>669.07269313304721</v>
          </cell>
          <cell r="L155">
            <v>1.6393014569161628</v>
          </cell>
          <cell r="M155">
            <v>0.27387339055793991</v>
          </cell>
        </row>
        <row r="156">
          <cell r="A156" t="str">
            <v xml:space="preserve">  subtotal</v>
          </cell>
          <cell r="B156">
            <v>61.495480020906911</v>
          </cell>
          <cell r="C156">
            <v>60.886160821201052</v>
          </cell>
          <cell r="D156">
            <v>5.9856178563990756</v>
          </cell>
          <cell r="G156">
            <v>3728</v>
          </cell>
          <cell r="H156">
            <v>-75</v>
          </cell>
          <cell r="I156">
            <v>-49</v>
          </cell>
          <cell r="K156">
            <v>2443</v>
          </cell>
          <cell r="L156">
            <v>5.9856178563990738</v>
          </cell>
          <cell r="M156">
            <v>1</v>
          </cell>
        </row>
        <row r="157">
          <cell r="A157" t="str">
            <v>Est. GD Value per Share</v>
          </cell>
          <cell r="B157">
            <v>61.495480020906911</v>
          </cell>
          <cell r="C157">
            <v>60.886160821201052</v>
          </cell>
        </row>
        <row r="158">
          <cell r="B158" t="str">
            <v>Average:</v>
          </cell>
          <cell r="C158">
            <v>61.190820421053985</v>
          </cell>
          <cell r="F158" t="str">
            <v>From Model</v>
          </cell>
          <cell r="G158">
            <v>3728</v>
          </cell>
          <cell r="H158">
            <v>-75</v>
          </cell>
          <cell r="I158">
            <v>-49</v>
          </cell>
          <cell r="K158">
            <v>2443</v>
          </cell>
          <cell r="L158">
            <v>6.0801393728222992</v>
          </cell>
        </row>
        <row r="159">
          <cell r="A159" t="str">
            <v>A-12 Liability</v>
          </cell>
          <cell r="B159">
            <v>-2.5358634798907254</v>
          </cell>
          <cell r="C159">
            <v>-2.5358634798907254</v>
          </cell>
          <cell r="D159">
            <v>-0.84528782663024171</v>
          </cell>
          <cell r="G159" t="str">
            <v>tied to calculation</v>
          </cell>
        </row>
        <row r="160">
          <cell r="A160" t="str">
            <v>Est GD w/ A-12</v>
          </cell>
          <cell r="B160">
            <v>58.959616541016189</v>
          </cell>
          <cell r="C160">
            <v>58.350297341310323</v>
          </cell>
          <cell r="D160">
            <v>5.1403300297688341</v>
          </cell>
          <cell r="G160" t="str">
            <v>No. of Shares</v>
          </cell>
          <cell r="H160">
            <v>408.14499999999998</v>
          </cell>
        </row>
        <row r="161">
          <cell r="B161" t="str">
            <v>Average:</v>
          </cell>
          <cell r="C161">
            <v>58.654956941163256</v>
          </cell>
        </row>
        <row r="168">
          <cell r="A168" t="str">
            <v>Est. Value 2006 Operations on EV/EBITDA</v>
          </cell>
        </row>
        <row r="170">
          <cell r="H170" t="str">
            <v>EV/EBITDA Multiple</v>
          </cell>
        </row>
        <row r="171">
          <cell r="B171" t="str">
            <v xml:space="preserve">Low </v>
          </cell>
          <cell r="C171" t="str">
            <v xml:space="preserve">High </v>
          </cell>
          <cell r="D171" t="str">
            <v>Low/Sh</v>
          </cell>
          <cell r="E171" t="str">
            <v>High/Sh</v>
          </cell>
          <cell r="F171" t="str">
            <v>Comments</v>
          </cell>
          <cell r="G171" t="str">
            <v>Comps</v>
          </cell>
          <cell r="H171" t="str">
            <v>Low</v>
          </cell>
          <cell r="I171" t="str">
            <v>High</v>
          </cell>
          <cell r="J171" t="str">
            <v>EBIT</v>
          </cell>
          <cell r="K171" t="str">
            <v>D+A</v>
          </cell>
          <cell r="L171" t="str">
            <v>EBITDA</v>
          </cell>
        </row>
        <row r="172">
          <cell r="A172" t="str">
            <v>Marine</v>
          </cell>
          <cell r="B172">
            <v>3223.9285714285711</v>
          </cell>
          <cell r="C172">
            <v>3868.7142857142853</v>
          </cell>
          <cell r="D172">
            <v>7.9250948166877357</v>
          </cell>
          <cell r="E172">
            <v>9.510113780025284</v>
          </cell>
          <cell r="F172" t="str">
            <v>- Est. 7.5-9X EBITDA</v>
          </cell>
          <cell r="G172" t="str">
            <v>LLL, LMT, NOC, RTN</v>
          </cell>
          <cell r="H172">
            <v>7.5</v>
          </cell>
          <cell r="I172">
            <v>9</v>
          </cell>
          <cell r="J172">
            <v>375</v>
          </cell>
          <cell r="K172">
            <v>54.857142857142854</v>
          </cell>
          <cell r="L172">
            <v>429.85714285714283</v>
          </cell>
        </row>
        <row r="173">
          <cell r="A173" t="str">
            <v>Combat Sys</v>
          </cell>
          <cell r="B173">
            <v>5820.2657142857142</v>
          </cell>
          <cell r="C173">
            <v>6984.3188571428573</v>
          </cell>
          <cell r="D173">
            <v>14.307437842393593</v>
          </cell>
          <cell r="E173">
            <v>17.168925410872312</v>
          </cell>
          <cell r="F173" t="str">
            <v>- Est. 7.5-9X EBITDA</v>
          </cell>
          <cell r="G173" t="str">
            <v>LLL, LMT, NOC, RTN</v>
          </cell>
          <cell r="H173">
            <v>7.5</v>
          </cell>
          <cell r="I173">
            <v>9</v>
          </cell>
          <cell r="J173">
            <v>677</v>
          </cell>
          <cell r="K173">
            <v>99.035428571428582</v>
          </cell>
          <cell r="L173">
            <v>776.03542857142861</v>
          </cell>
        </row>
        <row r="174">
          <cell r="A174" t="str">
            <v>IS&amp;T</v>
          </cell>
          <cell r="B174">
            <v>12865.910857142857</v>
          </cell>
          <cell r="C174">
            <v>15662.848</v>
          </cell>
          <cell r="D174">
            <v>31.627116168001123</v>
          </cell>
          <cell r="E174">
            <v>38.502576204523109</v>
          </cell>
          <cell r="F174" t="str">
            <v>- Est. 11.5-14X EBITDA</v>
          </cell>
          <cell r="G174" t="str">
            <v>CACI, CSC, Anteon, et al</v>
          </cell>
          <cell r="H174">
            <v>11.5</v>
          </cell>
          <cell r="I174">
            <v>14</v>
          </cell>
          <cell r="J174">
            <v>976</v>
          </cell>
          <cell r="K174">
            <v>142.77485714285714</v>
          </cell>
          <cell r="L174">
            <v>1118.7748571428572</v>
          </cell>
        </row>
        <row r="175">
          <cell r="A175" t="str">
            <v>Gulfstream</v>
          </cell>
          <cell r="B175">
            <v>5167.4560000000001</v>
          </cell>
          <cell r="C175">
            <v>6643.8719999999994</v>
          </cell>
          <cell r="D175">
            <v>12.702694198623401</v>
          </cell>
          <cell r="E175">
            <v>16.332035398230087</v>
          </cell>
          <cell r="F175" t="str">
            <v>- Est. 7-9X EBITDA</v>
          </cell>
          <cell r="G175" t="str">
            <v>BA, COL, ERJ, UTX</v>
          </cell>
          <cell r="H175">
            <v>7</v>
          </cell>
          <cell r="I175">
            <v>9</v>
          </cell>
          <cell r="J175">
            <v>644</v>
          </cell>
          <cell r="K175">
            <v>94.207999999999998</v>
          </cell>
          <cell r="L175">
            <v>738.20799999999997</v>
          </cell>
        </row>
        <row r="176">
          <cell r="A176" t="str">
            <v>Other</v>
          </cell>
          <cell r="B176">
            <v>-242.43942857142858</v>
          </cell>
          <cell r="C176">
            <v>-350.19028571428572</v>
          </cell>
          <cell r="D176">
            <v>-0.59596713021491787</v>
          </cell>
          <cell r="E176">
            <v>-0.86084141031043682</v>
          </cell>
          <cell r="F176" t="str">
            <v>- Est. 4.5-6.5X EBITDA</v>
          </cell>
          <cell r="H176">
            <v>4.5</v>
          </cell>
          <cell r="I176">
            <v>6.5</v>
          </cell>
          <cell r="J176">
            <v>-47</v>
          </cell>
          <cell r="K176">
            <v>-6.8754285714285714</v>
          </cell>
          <cell r="L176">
            <v>-53.875428571428571</v>
          </cell>
        </row>
        <row r="177">
          <cell r="A177" t="str">
            <v xml:space="preserve">  subtotal</v>
          </cell>
          <cell r="B177">
            <v>26835.121714285713</v>
          </cell>
          <cell r="C177">
            <v>32809.562857142853</v>
          </cell>
          <cell r="D177">
            <v>65.966375895490941</v>
          </cell>
          <cell r="E177">
            <v>80.652809383340355</v>
          </cell>
          <cell r="J177">
            <v>2625</v>
          </cell>
          <cell r="K177">
            <v>383.99999999999994</v>
          </cell>
          <cell r="L177">
            <v>3009.0000000000005</v>
          </cell>
        </row>
        <row r="179">
          <cell r="A179" t="str">
            <v>Less 2006E Net Debt</v>
          </cell>
          <cell r="B179">
            <v>1177</v>
          </cell>
          <cell r="C179">
            <v>1177</v>
          </cell>
          <cell r="D179">
            <v>2.8933136676499509</v>
          </cell>
          <cell r="E179">
            <v>2.8933136676499509</v>
          </cell>
          <cell r="F179" t="str">
            <v>- Net cash in 2006E</v>
          </cell>
          <cell r="I179" t="str">
            <v>From Model</v>
          </cell>
          <cell r="J179">
            <v>2625</v>
          </cell>
          <cell r="K179">
            <v>384</v>
          </cell>
        </row>
        <row r="180">
          <cell r="J180" t="str">
            <v>tied to calculation</v>
          </cell>
        </row>
        <row r="181">
          <cell r="A181" t="str">
            <v>Implied Equity Value</v>
          </cell>
          <cell r="B181">
            <v>25658.121714285713</v>
          </cell>
          <cell r="C181">
            <v>31632.562857142853</v>
          </cell>
          <cell r="J181" t="str">
            <v>Share Price</v>
          </cell>
          <cell r="K181">
            <v>69</v>
          </cell>
        </row>
        <row r="182">
          <cell r="J182" t="str">
            <v>No. of Shares</v>
          </cell>
          <cell r="K182">
            <v>406.8</v>
          </cell>
        </row>
        <row r="183">
          <cell r="A183" t="str">
            <v>Est. GD Value per Share</v>
          </cell>
          <cell r="B183">
            <v>63.073062227840985</v>
          </cell>
          <cell r="C183">
            <v>77.759495715690392</v>
          </cell>
          <cell r="D183">
            <v>68.85968956314089</v>
          </cell>
          <cell r="E183">
            <v>83.546123050990303</v>
          </cell>
        </row>
        <row r="184">
          <cell r="B184" t="str">
            <v>Average:</v>
          </cell>
          <cell r="C184">
            <v>76.202906307065604</v>
          </cell>
        </row>
        <row r="187">
          <cell r="A187" t="str">
            <v>Est. Value 2006 Operations on P/E</v>
          </cell>
        </row>
        <row r="189">
          <cell r="B189" t="str">
            <v>Est. Value/Share</v>
          </cell>
          <cell r="H189" t="str">
            <v>P/E Multiple</v>
          </cell>
        </row>
        <row r="190">
          <cell r="B190" t="str">
            <v>Low</v>
          </cell>
          <cell r="C190" t="str">
            <v>High</v>
          </cell>
          <cell r="D190" t="str">
            <v>2006 EPS</v>
          </cell>
          <cell r="F190" t="str">
            <v>Comments</v>
          </cell>
          <cell r="G190" t="str">
            <v>Comps</v>
          </cell>
          <cell r="H190" t="str">
            <v>Low</v>
          </cell>
          <cell r="I190" t="str">
            <v>High</v>
          </cell>
          <cell r="J190" t="str">
            <v>EBIT</v>
          </cell>
          <cell r="K190" t="str">
            <v>Interest</v>
          </cell>
          <cell r="L190" t="str">
            <v>Tax Rate</v>
          </cell>
          <cell r="M190" t="str">
            <v>Econ NI</v>
          </cell>
          <cell r="N190" t="str">
            <v>Per share</v>
          </cell>
        </row>
        <row r="191">
          <cell r="A191" t="str">
            <v>Marine</v>
          </cell>
          <cell r="B191">
            <v>6.005056890012642</v>
          </cell>
          <cell r="C191">
            <v>7.2060682680151711</v>
          </cell>
          <cell r="D191">
            <v>0.60050568900126422</v>
          </cell>
          <cell r="F191" t="str">
            <v>- Est. 10-12X Econ P/E</v>
          </cell>
          <cell r="G191" t="str">
            <v>Discount to Def Peers</v>
          </cell>
          <cell r="H191">
            <v>10</v>
          </cell>
          <cell r="I191">
            <v>12</v>
          </cell>
          <cell r="J191">
            <v>375</v>
          </cell>
          <cell r="K191">
            <v>-14</v>
          </cell>
          <cell r="L191">
            <v>0.32330827067669171</v>
          </cell>
          <cell r="M191">
            <v>244.28571428571431</v>
          </cell>
          <cell r="N191">
            <v>0.60050568900126422</v>
          </cell>
        </row>
        <row r="192">
          <cell r="A192" t="str">
            <v>Combat Sys</v>
          </cell>
          <cell r="B192">
            <v>15.177581120943955</v>
          </cell>
          <cell r="C192">
            <v>19.514032869785083</v>
          </cell>
          <cell r="D192">
            <v>1.0841129372102825</v>
          </cell>
          <cell r="F192" t="str">
            <v>- Est. 14-18X Econ P/E</v>
          </cell>
          <cell r="G192" t="str">
            <v>LLL, LMT, NOC, RTN</v>
          </cell>
          <cell r="H192">
            <v>14</v>
          </cell>
          <cell r="I192">
            <v>18</v>
          </cell>
          <cell r="J192">
            <v>677</v>
          </cell>
          <cell r="K192">
            <v>-25.274666666666668</v>
          </cell>
          <cell r="L192">
            <v>0.32330827067669171</v>
          </cell>
          <cell r="M192">
            <v>441.01714285714291</v>
          </cell>
          <cell r="N192">
            <v>1.0841129372102825</v>
          </cell>
        </row>
        <row r="193">
          <cell r="A193" t="str">
            <v>IS&amp;T</v>
          </cell>
          <cell r="B193">
            <v>26.56957437842394</v>
          </cell>
          <cell r="C193">
            <v>37.509987357774975</v>
          </cell>
          <cell r="D193">
            <v>1.5629161399072906</v>
          </cell>
          <cell r="F193" t="str">
            <v>- Est. 17-24X P/E</v>
          </cell>
          <cell r="G193" t="str">
            <v>CACI, CSC, Anteon, et al</v>
          </cell>
          <cell r="H193">
            <v>17</v>
          </cell>
          <cell r="I193">
            <v>24</v>
          </cell>
          <cell r="J193">
            <v>976</v>
          </cell>
          <cell r="K193">
            <v>-36.437333333333335</v>
          </cell>
          <cell r="L193">
            <v>0.32330827067669171</v>
          </cell>
          <cell r="M193">
            <v>635.79428571428582</v>
          </cell>
          <cell r="N193">
            <v>1.5629161399072906</v>
          </cell>
        </row>
        <row r="194">
          <cell r="A194" t="str">
            <v>Aerospace</v>
          </cell>
          <cell r="B194">
            <v>17.53156342182891</v>
          </cell>
          <cell r="C194">
            <v>24.75044247787611</v>
          </cell>
          <cell r="D194">
            <v>1.0312684365781712</v>
          </cell>
          <cell r="F194" t="str">
            <v>- Est. 16-24X P/E</v>
          </cell>
          <cell r="G194" t="str">
            <v>BA, COL, HON, UTX</v>
          </cell>
          <cell r="H194">
            <v>17</v>
          </cell>
          <cell r="I194">
            <v>24</v>
          </cell>
          <cell r="J194">
            <v>644</v>
          </cell>
          <cell r="K194">
            <v>-24.042666666666666</v>
          </cell>
          <cell r="L194">
            <v>0.32330827067669171</v>
          </cell>
          <cell r="M194">
            <v>419.52000000000004</v>
          </cell>
          <cell r="N194">
            <v>1.0312684365781712</v>
          </cell>
        </row>
        <row r="195">
          <cell r="A195" t="str">
            <v>Other</v>
          </cell>
          <cell r="B195">
            <v>-0.30105351875263386</v>
          </cell>
          <cell r="C195">
            <v>-0.4515802781289508</v>
          </cell>
          <cell r="D195">
            <v>-7.5263379688158466E-2</v>
          </cell>
          <cell r="F195" t="str">
            <v>- Est. 4-6X P/E</v>
          </cell>
          <cell r="H195">
            <v>4</v>
          </cell>
          <cell r="I195">
            <v>6</v>
          </cell>
          <cell r="J195">
            <v>-47</v>
          </cell>
          <cell r="K195">
            <v>1.7546666666666668</v>
          </cell>
          <cell r="L195">
            <v>0.32330827067669171</v>
          </cell>
          <cell r="M195">
            <v>-30.617142857142863</v>
          </cell>
          <cell r="N195">
            <v>-7.5263379688158466E-2</v>
          </cell>
        </row>
        <row r="196">
          <cell r="A196" t="str">
            <v xml:space="preserve">  subtotal</v>
          </cell>
          <cell r="B196">
            <v>64.982722292456813</v>
          </cell>
          <cell r="C196">
            <v>88.528950695322393</v>
          </cell>
          <cell r="D196">
            <v>4.2035398230088497</v>
          </cell>
          <cell r="J196">
            <v>2625</v>
          </cell>
          <cell r="K196">
            <v>-98</v>
          </cell>
          <cell r="M196">
            <v>1710</v>
          </cell>
          <cell r="N196">
            <v>4.2035398230088497</v>
          </cell>
        </row>
        <row r="197">
          <cell r="A197" t="str">
            <v>Est. GD Value per Share</v>
          </cell>
          <cell r="B197">
            <v>64.982722292456813</v>
          </cell>
          <cell r="C197">
            <v>88.528950695322393</v>
          </cell>
        </row>
        <row r="198">
          <cell r="B198" t="str">
            <v>Average:</v>
          </cell>
          <cell r="C198">
            <v>76.755836493889603</v>
          </cell>
          <cell r="I198" t="str">
            <v>From Model</v>
          </cell>
          <cell r="J198">
            <v>2625</v>
          </cell>
          <cell r="K198">
            <v>-98</v>
          </cell>
          <cell r="M198">
            <v>1710.0000000000002</v>
          </cell>
          <cell r="N198">
            <v>4.2035398230088497</v>
          </cell>
        </row>
        <row r="199">
          <cell r="A199" t="str">
            <v>A-12 Liability</v>
          </cell>
          <cell r="B199">
            <v>-2.5565150377425603</v>
          </cell>
          <cell r="C199">
            <v>-2.5565150377425603</v>
          </cell>
          <cell r="D199">
            <v>-0.85217167924752002</v>
          </cell>
          <cell r="F199" t="str">
            <v>- Assumes $690MM aftertax charge spread 2006/07</v>
          </cell>
          <cell r="J199" t="str">
            <v>tied to calculation</v>
          </cell>
        </row>
        <row r="200">
          <cell r="A200" t="str">
            <v>Est GD w/ A-12</v>
          </cell>
          <cell r="B200">
            <v>62.426207254714257</v>
          </cell>
          <cell r="C200">
            <v>85.972435657579837</v>
          </cell>
          <cell r="D200">
            <v>3.3513681437613299</v>
          </cell>
          <cell r="J200" t="str">
            <v>Share Price</v>
          </cell>
          <cell r="K200">
            <v>69</v>
          </cell>
        </row>
        <row r="201">
          <cell r="B201" t="str">
            <v>Average:</v>
          </cell>
          <cell r="C201">
            <v>74.199321456147047</v>
          </cell>
          <cell r="J201" t="str">
            <v>No. of Shares</v>
          </cell>
          <cell r="K201">
            <v>406.8</v>
          </cell>
        </row>
        <row r="207">
          <cell r="D207" t="str">
            <v>Price</v>
          </cell>
          <cell r="E207">
            <v>97</v>
          </cell>
        </row>
        <row r="208">
          <cell r="D208" t="str">
            <v>No. of shares</v>
          </cell>
          <cell r="E208">
            <v>201</v>
          </cell>
        </row>
        <row r="210">
          <cell r="A210" t="str">
            <v>Possible GD Valuation Range</v>
          </cell>
        </row>
        <row r="212">
          <cell r="A212" t="str">
            <v>Est. Value 2003 Operations</v>
          </cell>
        </row>
        <row r="213">
          <cell r="D213" t="str">
            <v>Per Share</v>
          </cell>
          <cell r="E213" t="str">
            <v>Per Share</v>
          </cell>
          <cell r="F213" t="str">
            <v>Comments</v>
          </cell>
          <cell r="K213" t="str">
            <v>EV/EBITDA Multiple</v>
          </cell>
        </row>
        <row r="214">
          <cell r="B214" t="str">
            <v>Low</v>
          </cell>
          <cell r="C214" t="str">
            <v>High</v>
          </cell>
          <cell r="D214" t="str">
            <v>Low</v>
          </cell>
          <cell r="E214" t="str">
            <v>High</v>
          </cell>
          <cell r="H214" t="str">
            <v>EBIT</v>
          </cell>
          <cell r="I214" t="str">
            <v>Dep</v>
          </cell>
          <cell r="J214" t="str">
            <v>EBITDA</v>
          </cell>
          <cell r="K214" t="str">
            <v>Low</v>
          </cell>
          <cell r="L214" t="str">
            <v>High</v>
          </cell>
        </row>
        <row r="215">
          <cell r="A215" t="str">
            <v>Defense</v>
          </cell>
          <cell r="B215">
            <v>12096</v>
          </cell>
          <cell r="C215">
            <v>14784</v>
          </cell>
          <cell r="D215">
            <v>60.179104477611943</v>
          </cell>
          <cell r="E215">
            <v>73.552238805970148</v>
          </cell>
          <cell r="F215" t="str">
            <v>- Est. 9-11X EBITDA</v>
          </cell>
          <cell r="H215">
            <v>1224</v>
          </cell>
          <cell r="I215">
            <v>120</v>
          </cell>
          <cell r="J215">
            <v>1344</v>
          </cell>
          <cell r="K215">
            <v>9</v>
          </cell>
          <cell r="L215">
            <v>11</v>
          </cell>
        </row>
        <row r="216">
          <cell r="A216" t="str">
            <v>Gulfstream</v>
          </cell>
          <cell r="B216">
            <v>1840</v>
          </cell>
          <cell r="C216">
            <v>2576</v>
          </cell>
          <cell r="D216">
            <v>9.1542288557213922</v>
          </cell>
          <cell r="E216">
            <v>12.815920398009951</v>
          </cell>
          <cell r="F216" t="str">
            <v>- Est. 5 -7X EBITDA</v>
          </cell>
          <cell r="H216">
            <v>218</v>
          </cell>
          <cell r="I216">
            <v>150</v>
          </cell>
          <cell r="J216">
            <v>368</v>
          </cell>
          <cell r="K216">
            <v>5</v>
          </cell>
          <cell r="L216">
            <v>7</v>
          </cell>
        </row>
        <row r="217">
          <cell r="A217" t="str">
            <v xml:space="preserve">  subtotal</v>
          </cell>
          <cell r="B217">
            <v>13936</v>
          </cell>
          <cell r="C217">
            <v>17360</v>
          </cell>
          <cell r="D217">
            <v>69.333333333333343</v>
          </cell>
          <cell r="E217">
            <v>86.368159203980099</v>
          </cell>
          <cell r="H217">
            <v>1442</v>
          </cell>
          <cell r="I217">
            <v>270</v>
          </cell>
          <cell r="J217">
            <v>1712</v>
          </cell>
        </row>
        <row r="219">
          <cell r="A219" t="str">
            <v>Less 1Q03 Net Debt</v>
          </cell>
          <cell r="B219">
            <v>-2352</v>
          </cell>
          <cell r="C219">
            <v>-2352</v>
          </cell>
          <cell r="D219">
            <v>-11.701492537313433</v>
          </cell>
          <cell r="E219">
            <v>-11.701492537313433</v>
          </cell>
        </row>
        <row r="221">
          <cell r="A221" t="str">
            <v>Implied Equity Value</v>
          </cell>
          <cell r="B221">
            <v>11584</v>
          </cell>
          <cell r="C221">
            <v>15008</v>
          </cell>
        </row>
        <row r="223">
          <cell r="A223" t="str">
            <v>Est. GD Value per Share</v>
          </cell>
          <cell r="B223">
            <v>57.631840796019901</v>
          </cell>
          <cell r="C223">
            <v>74.666666666666671</v>
          </cell>
          <cell r="D223">
            <v>57.631840796019908</v>
          </cell>
          <cell r="E223">
            <v>74.666666666666671</v>
          </cell>
        </row>
        <row r="224">
          <cell r="C224" t="str">
            <v>Average</v>
          </cell>
          <cell r="D224">
            <v>66.149253731343293</v>
          </cell>
        </row>
        <row r="226">
          <cell r="A226" t="str">
            <v>GD Bottom Up Analysis</v>
          </cell>
        </row>
        <row r="227">
          <cell r="A227" t="str">
            <v>Defense only/ share</v>
          </cell>
          <cell r="D227">
            <v>60.179104477611943</v>
          </cell>
          <cell r="E227">
            <v>73.552238805970148</v>
          </cell>
        </row>
        <row r="228">
          <cell r="A228" t="str">
            <v>Net Debt/ share</v>
          </cell>
          <cell r="D228">
            <v>-11.701492537313433</v>
          </cell>
          <cell r="E228">
            <v>-11.701492537313433</v>
          </cell>
        </row>
        <row r="229">
          <cell r="A229" t="str">
            <v xml:space="preserve">  subtotal</v>
          </cell>
          <cell r="D229">
            <v>48.477611940298509</v>
          </cell>
          <cell r="E229">
            <v>61.850746268656714</v>
          </cell>
        </row>
        <row r="231">
          <cell r="A231" t="str">
            <v>GD stock price</v>
          </cell>
          <cell r="D231">
            <v>97</v>
          </cell>
          <cell r="E231">
            <v>97</v>
          </cell>
        </row>
        <row r="233">
          <cell r="A233" t="str">
            <v>Implied Gulfstream Value/ share</v>
          </cell>
          <cell r="D233">
            <v>48.522388059701491</v>
          </cell>
          <cell r="E233">
            <v>35.149253731343286</v>
          </cell>
        </row>
        <row r="235">
          <cell r="A235" t="str">
            <v>Est. Value 2004 Operations on EV/EBITDA</v>
          </cell>
        </row>
        <row r="236">
          <cell r="D236" t="str">
            <v>Per Share</v>
          </cell>
          <cell r="E236" t="str">
            <v>Per Share</v>
          </cell>
          <cell r="F236" t="str">
            <v>Comments</v>
          </cell>
          <cell r="G236" t="str">
            <v>Comps</v>
          </cell>
          <cell r="K236" t="str">
            <v>EV/EBITDA Multiple</v>
          </cell>
        </row>
        <row r="237">
          <cell r="B237" t="str">
            <v>Low</v>
          </cell>
          <cell r="C237" t="str">
            <v>High</v>
          </cell>
          <cell r="D237" t="str">
            <v>Low</v>
          </cell>
          <cell r="E237" t="str">
            <v>High</v>
          </cell>
          <cell r="H237" t="str">
            <v>EBIT</v>
          </cell>
          <cell r="I237" t="str">
            <v>Dep</v>
          </cell>
          <cell r="J237" t="str">
            <v>EBITDA</v>
          </cell>
          <cell r="K237" t="str">
            <v>Low</v>
          </cell>
          <cell r="L237" t="str">
            <v>High</v>
          </cell>
        </row>
        <row r="238">
          <cell r="A238" t="str">
            <v>Marine</v>
          </cell>
          <cell r="B238">
            <v>2490</v>
          </cell>
          <cell r="C238">
            <v>2988</v>
          </cell>
          <cell r="D238">
            <v>12.388059701492537</v>
          </cell>
          <cell r="E238">
            <v>14.865671641791044</v>
          </cell>
          <cell r="F238" t="str">
            <v>- Est. 7.5-9X EBITDA</v>
          </cell>
          <cell r="G238" t="str">
            <v>LLL, LMT, NOC, RTN</v>
          </cell>
          <cell r="H238">
            <v>292</v>
          </cell>
          <cell r="I238">
            <v>40</v>
          </cell>
          <cell r="J238">
            <v>332</v>
          </cell>
          <cell r="K238">
            <v>7.5</v>
          </cell>
          <cell r="L238">
            <v>9</v>
          </cell>
        </row>
        <row r="239">
          <cell r="A239" t="str">
            <v>Combat Sys</v>
          </cell>
          <cell r="B239">
            <v>4215</v>
          </cell>
          <cell r="C239">
            <v>5058</v>
          </cell>
          <cell r="D239">
            <v>20.970149253731343</v>
          </cell>
          <cell r="E239">
            <v>25.164179104477611</v>
          </cell>
          <cell r="F239" t="str">
            <v>- Est. 7.5-9X EBITDA</v>
          </cell>
          <cell r="G239" t="str">
            <v>LLL, LMT, NOC, RTN</v>
          </cell>
          <cell r="H239">
            <v>522</v>
          </cell>
          <cell r="I239">
            <v>40</v>
          </cell>
          <cell r="J239">
            <v>562</v>
          </cell>
          <cell r="K239">
            <v>7.5</v>
          </cell>
          <cell r="L239">
            <v>9</v>
          </cell>
        </row>
        <row r="240">
          <cell r="A240" t="str">
            <v>IS&amp;T</v>
          </cell>
          <cell r="B240">
            <v>8717</v>
          </cell>
          <cell r="C240">
            <v>10612</v>
          </cell>
          <cell r="D240">
            <v>43.368159203980099</v>
          </cell>
          <cell r="E240">
            <v>52.796019900497512</v>
          </cell>
          <cell r="F240" t="str">
            <v>- Est. 11.5-14X EBITDA</v>
          </cell>
          <cell r="G240" t="str">
            <v>CACI, CSC, Anteon, et al</v>
          </cell>
          <cell r="H240">
            <v>718</v>
          </cell>
          <cell r="I240">
            <v>40</v>
          </cell>
          <cell r="J240">
            <v>758</v>
          </cell>
          <cell r="K240">
            <v>11.5</v>
          </cell>
          <cell r="L240">
            <v>14</v>
          </cell>
        </row>
        <row r="241">
          <cell r="A241" t="str">
            <v>Gulfstream</v>
          </cell>
          <cell r="B241">
            <v>3591</v>
          </cell>
          <cell r="C241">
            <v>4617</v>
          </cell>
          <cell r="D241">
            <v>17.865671641791046</v>
          </cell>
          <cell r="E241">
            <v>22.970149253731343</v>
          </cell>
          <cell r="F241" t="str">
            <v>- Est. 7-9X EBITDA</v>
          </cell>
          <cell r="G241" t="str">
            <v>BA, COL, ERJ, UTX</v>
          </cell>
          <cell r="H241">
            <v>393</v>
          </cell>
          <cell r="I241">
            <v>120</v>
          </cell>
          <cell r="J241">
            <v>513</v>
          </cell>
          <cell r="K241">
            <v>7</v>
          </cell>
          <cell r="L241">
            <v>9</v>
          </cell>
        </row>
        <row r="242">
          <cell r="A242" t="str">
            <v>Other</v>
          </cell>
          <cell r="B242">
            <v>324</v>
          </cell>
          <cell r="C242">
            <v>468</v>
          </cell>
          <cell r="D242">
            <v>1.6119402985074627</v>
          </cell>
          <cell r="E242">
            <v>2.3283582089552239</v>
          </cell>
          <cell r="F242" t="str">
            <v>- Est. 4.5-6.5X EBITDA</v>
          </cell>
          <cell r="H242">
            <v>6</v>
          </cell>
          <cell r="I242">
            <v>66</v>
          </cell>
          <cell r="J242">
            <v>72</v>
          </cell>
          <cell r="K242">
            <v>4.5</v>
          </cell>
          <cell r="L242">
            <v>6.5</v>
          </cell>
        </row>
        <row r="243">
          <cell r="A243" t="str">
            <v xml:space="preserve">  subtotal</v>
          </cell>
          <cell r="B243">
            <v>19337</v>
          </cell>
          <cell r="C243">
            <v>23743</v>
          </cell>
          <cell r="D243">
            <v>96.203980099502488</v>
          </cell>
          <cell r="E243">
            <v>118.12437810945272</v>
          </cell>
          <cell r="H243">
            <v>1931</v>
          </cell>
          <cell r="I243">
            <v>306</v>
          </cell>
          <cell r="J243">
            <v>2237</v>
          </cell>
        </row>
        <row r="245">
          <cell r="A245" t="str">
            <v>Less 1Q03 Net Debt</v>
          </cell>
          <cell r="B245">
            <v>-2352</v>
          </cell>
          <cell r="C245">
            <v>-2352</v>
          </cell>
          <cell r="D245">
            <v>-11.701492537313433</v>
          </cell>
          <cell r="E245">
            <v>-11.701492537313433</v>
          </cell>
        </row>
        <row r="247">
          <cell r="A247" t="str">
            <v>Implied Equity Value</v>
          </cell>
          <cell r="B247">
            <v>16985</v>
          </cell>
          <cell r="C247">
            <v>21391</v>
          </cell>
        </row>
        <row r="249">
          <cell r="A249" t="str">
            <v>Est. GD Value per Share</v>
          </cell>
          <cell r="B249">
            <v>84.50248756218906</v>
          </cell>
          <cell r="C249">
            <v>106.42288557213931</v>
          </cell>
          <cell r="D249">
            <v>84.50248756218906</v>
          </cell>
          <cell r="E249">
            <v>106.42288557213929</v>
          </cell>
        </row>
        <row r="250">
          <cell r="C250" t="str">
            <v>Average</v>
          </cell>
          <cell r="D250">
            <v>95.462686567164184</v>
          </cell>
        </row>
        <row r="252">
          <cell r="A252" t="str">
            <v>GD Bottom Up Analysis</v>
          </cell>
        </row>
        <row r="253">
          <cell r="A253" t="str">
            <v>Defense,Other only/ share</v>
          </cell>
          <cell r="D253">
            <v>78.338308457711449</v>
          </cell>
          <cell r="E253">
            <v>95.154228855721385</v>
          </cell>
        </row>
        <row r="254">
          <cell r="A254" t="str">
            <v>Net Debt/ share</v>
          </cell>
          <cell r="D254">
            <v>-11.701492537313433</v>
          </cell>
          <cell r="E254">
            <v>-11.701492537313433</v>
          </cell>
        </row>
        <row r="255">
          <cell r="A255" t="str">
            <v xml:space="preserve">  subtotal</v>
          </cell>
          <cell r="D255">
            <v>66.636815920398021</v>
          </cell>
          <cell r="E255">
            <v>83.452736318407958</v>
          </cell>
        </row>
        <row r="257">
          <cell r="A257" t="str">
            <v>GD stock price</v>
          </cell>
          <cell r="D257">
            <v>97</v>
          </cell>
          <cell r="E257">
            <v>97</v>
          </cell>
        </row>
        <row r="259">
          <cell r="A259" t="str">
            <v>Implied Gulfstream Value/ share</v>
          </cell>
          <cell r="D259">
            <v>30.363184079601979</v>
          </cell>
          <cell r="E259">
            <v>13.547263681592042</v>
          </cell>
        </row>
        <row r="264">
          <cell r="A264" t="str">
            <v>Est. Value 2004 Operations on P/E</v>
          </cell>
        </row>
        <row r="265">
          <cell r="B265" t="str">
            <v>Est. Value/Share</v>
          </cell>
          <cell r="D265" t="str">
            <v>2004 Earnings</v>
          </cell>
          <cell r="G265" t="str">
            <v>P/E Multiple</v>
          </cell>
        </row>
        <row r="266">
          <cell r="B266" t="str">
            <v>Low</v>
          </cell>
          <cell r="C266" t="str">
            <v>High</v>
          </cell>
          <cell r="D266" t="str">
            <v>Per Share</v>
          </cell>
          <cell r="E266" t="str">
            <v>Comments</v>
          </cell>
          <cell r="F266" t="str">
            <v>Comps</v>
          </cell>
          <cell r="G266" t="str">
            <v>Low</v>
          </cell>
          <cell r="H266" t="str">
            <v>High</v>
          </cell>
          <cell r="I266" t="str">
            <v>EBIT</v>
          </cell>
          <cell r="J266" t="str">
            <v xml:space="preserve">Interest Allocation </v>
          </cell>
          <cell r="K266" t="str">
            <v>Tax Rate</v>
          </cell>
          <cell r="L266" t="str">
            <v>Econ Net Income</v>
          </cell>
          <cell r="M266" t="str">
            <v>Per share</v>
          </cell>
        </row>
        <row r="267">
          <cell r="A267" t="str">
            <v>Marine</v>
          </cell>
          <cell r="B267">
            <v>5.3798981570131303</v>
          </cell>
          <cell r="C267">
            <v>6.724872696266412</v>
          </cell>
          <cell r="D267">
            <v>0.44832484641776083</v>
          </cell>
          <cell r="E267" t="str">
            <v>- Est. 12-15X P/E</v>
          </cell>
          <cell r="F267" t="str">
            <v>Discount to Def Peers</v>
          </cell>
          <cell r="G267">
            <v>12</v>
          </cell>
          <cell r="H267">
            <v>15</v>
          </cell>
          <cell r="I267">
            <v>292</v>
          </cell>
          <cell r="J267">
            <v>-22.380113930605905</v>
          </cell>
          <cell r="K267">
            <v>0.33</v>
          </cell>
          <cell r="L267">
            <v>180.64532366649405</v>
          </cell>
          <cell r="M267">
            <v>0.44832484641776083</v>
          </cell>
        </row>
        <row r="268">
          <cell r="A268" t="str">
            <v>Combat Sys</v>
          </cell>
          <cell r="B268">
            <v>11.220404032948615</v>
          </cell>
          <cell r="C268">
            <v>13.624776325723317</v>
          </cell>
          <cell r="D268">
            <v>0.80145743092490107</v>
          </cell>
          <cell r="E268" t="str">
            <v>- Est. 14-17X P/E</v>
          </cell>
          <cell r="F268" t="str">
            <v>LLL, LMT, NOC, RTN</v>
          </cell>
          <cell r="G268">
            <v>14</v>
          </cell>
          <cell r="H268">
            <v>17</v>
          </cell>
          <cell r="I268">
            <v>522</v>
          </cell>
          <cell r="J268">
            <v>-40.00828586224754</v>
          </cell>
          <cell r="K268">
            <v>0.33</v>
          </cell>
          <cell r="L268">
            <v>322.93444847229409</v>
          </cell>
          <cell r="M268">
            <v>0.80145743092490107</v>
          </cell>
        </row>
        <row r="269">
          <cell r="A269" t="str">
            <v>IS&amp;T</v>
          </cell>
          <cell r="B269">
            <v>19.84298053117514</v>
          </cell>
          <cell r="C269">
            <v>27.559695182187692</v>
          </cell>
          <cell r="D269">
            <v>1.1023878072875077</v>
          </cell>
          <cell r="E269" t="str">
            <v>- Est. 18-25X P/E</v>
          </cell>
          <cell r="F269" t="str">
            <v>CACI, CSC, Anteon, et al</v>
          </cell>
          <cell r="G269">
            <v>18</v>
          </cell>
          <cell r="H269">
            <v>25</v>
          </cell>
          <cell r="I269">
            <v>718</v>
          </cell>
          <cell r="J269">
            <v>-55.030554117037802</v>
          </cell>
          <cell r="K269">
            <v>0.33</v>
          </cell>
          <cell r="L269">
            <v>444.18952874158464</v>
          </cell>
          <cell r="M269">
            <v>1.1023878072875077</v>
          </cell>
        </row>
        <row r="270">
          <cell r="A270" t="str">
            <v>Gulfstream</v>
          </cell>
          <cell r="B270">
            <v>10.25773390040089</v>
          </cell>
          <cell r="C270">
            <v>13.274714459342329</v>
          </cell>
          <cell r="D270">
            <v>0.60339611178828767</v>
          </cell>
          <cell r="E270" t="str">
            <v>- Est. 17-22X P/E</v>
          </cell>
          <cell r="F270" t="str">
            <v>BA, COL, HON, UTX</v>
          </cell>
          <cell r="G270">
            <v>17</v>
          </cell>
          <cell r="H270">
            <v>22</v>
          </cell>
          <cell r="I270">
            <v>393</v>
          </cell>
          <cell r="J270">
            <v>-30.121180735370277</v>
          </cell>
          <cell r="K270">
            <v>0.33</v>
          </cell>
          <cell r="L270">
            <v>243.1288089073019</v>
          </cell>
          <cell r="M270">
            <v>0.60339611178828767</v>
          </cell>
        </row>
        <row r="271">
          <cell r="A271" t="str">
            <v>Other</v>
          </cell>
          <cell r="B271">
            <v>5.527292627068283E-2</v>
          </cell>
          <cell r="C271">
            <v>7.3697235027577107E-2</v>
          </cell>
          <cell r="D271">
            <v>9.2121543784471384E-3</v>
          </cell>
          <cell r="E271" t="str">
            <v>- Est. 6-8X P/E</v>
          </cell>
          <cell r="G271">
            <v>6</v>
          </cell>
          <cell r="H271">
            <v>8</v>
          </cell>
          <cell r="I271">
            <v>6</v>
          </cell>
          <cell r="J271">
            <v>-0.45986535473847745</v>
          </cell>
          <cell r="K271">
            <v>0.33</v>
          </cell>
          <cell r="L271">
            <v>3.7118902123252195</v>
          </cell>
          <cell r="M271">
            <v>9.2121543784471384E-3</v>
          </cell>
        </row>
        <row r="272">
          <cell r="A272" t="str">
            <v xml:space="preserve">  subtotal</v>
          </cell>
          <cell r="B272">
            <v>46.756289547808457</v>
          </cell>
          <cell r="C272">
            <v>61.25775589854733</v>
          </cell>
          <cell r="D272">
            <v>2.9647783507969043</v>
          </cell>
          <cell r="I272">
            <v>1931</v>
          </cell>
          <cell r="J272">
            <v>-148</v>
          </cell>
          <cell r="L272">
            <v>1194.6099999999999</v>
          </cell>
          <cell r="M272">
            <v>2.9647783507969043</v>
          </cell>
        </row>
        <row r="273">
          <cell r="H273" t="str">
            <v>From Model</v>
          </cell>
          <cell r="I273">
            <v>1931</v>
          </cell>
          <cell r="J273">
            <v>-148</v>
          </cell>
          <cell r="L273">
            <v>1194</v>
          </cell>
          <cell r="M273">
            <v>2.9632644552209539</v>
          </cell>
        </row>
        <row r="274">
          <cell r="A274" t="str">
            <v>Est. GD Value per Share</v>
          </cell>
          <cell r="B274">
            <v>46.756289547808457</v>
          </cell>
          <cell r="C274">
            <v>61.25775589854733</v>
          </cell>
        </row>
        <row r="275">
          <cell r="B275" t="str">
            <v>Midpoint</v>
          </cell>
          <cell r="C275">
            <v>54.007022723177897</v>
          </cell>
          <cell r="I275" t="str">
            <v>tied to calculation</v>
          </cell>
        </row>
        <row r="276">
          <cell r="I276" t="str">
            <v>Price</v>
          </cell>
          <cell r="J276">
            <v>97</v>
          </cell>
        </row>
        <row r="277">
          <cell r="I277" t="str">
            <v>No. of shares</v>
          </cell>
          <cell r="J277">
            <v>402.93400000000003</v>
          </cell>
        </row>
      </sheetData>
      <sheetData sheetId="5" refreshError="1">
        <row r="1">
          <cell r="G1" t="str">
            <v>last updated 4/07</v>
          </cell>
          <cell r="J1" t="str">
            <v>Gulfstream Team</v>
          </cell>
          <cell r="M1" t="str">
            <v>Prez</v>
          </cell>
          <cell r="N1" t="str">
            <v>Joe Lombardo</v>
          </cell>
          <cell r="AH1" t="str">
            <v>Sales</v>
          </cell>
          <cell r="AI1" t="str">
            <v>Op Pr</v>
          </cell>
          <cell r="AJ1" t="str">
            <v>% sales</v>
          </cell>
        </row>
        <row r="2">
          <cell r="A2" t="str">
            <v>Gulfstream</v>
          </cell>
          <cell r="M2" t="str">
            <v>Aviation Svs</v>
          </cell>
          <cell r="N2" t="str">
            <v>Larry Flynn</v>
          </cell>
          <cell r="AH2">
            <v>4828</v>
          </cell>
          <cell r="AI2">
            <v>810</v>
          </cell>
          <cell r="AJ2">
            <v>0.16777133388566695</v>
          </cell>
          <cell r="AK2" t="str">
            <v>reported</v>
          </cell>
        </row>
        <row r="3">
          <cell r="A3" t="str">
            <v>P&amp;L Model</v>
          </cell>
          <cell r="M3" t="str">
            <v>COO</v>
          </cell>
          <cell r="N3" t="str">
            <v>Dennis Stuligross</v>
          </cell>
          <cell r="AG3" t="str">
            <v>used</v>
          </cell>
          <cell r="AH3">
            <v>78</v>
          </cell>
          <cell r="AI3">
            <v>6</v>
          </cell>
        </row>
        <row r="4">
          <cell r="A4" t="str">
            <v>($USD in Millions, Except EPS)</v>
          </cell>
          <cell r="M4" t="str">
            <v>Progs/Enging</v>
          </cell>
          <cell r="N4" t="str">
            <v>Preston Henne</v>
          </cell>
          <cell r="AG4" t="str">
            <v>net sales</v>
          </cell>
          <cell r="AH4">
            <v>4750</v>
          </cell>
          <cell r="AI4">
            <v>804</v>
          </cell>
          <cell r="AJ4">
            <v>0.16926315789473684</v>
          </cell>
          <cell r="AK4" t="str">
            <v>manufacturing basis</v>
          </cell>
        </row>
        <row r="5">
          <cell r="AK5">
            <v>3341</v>
          </cell>
        </row>
        <row r="6">
          <cell r="B6">
            <v>2002</v>
          </cell>
          <cell r="F6">
            <v>2003</v>
          </cell>
          <cell r="J6">
            <v>2004</v>
          </cell>
          <cell r="N6">
            <v>2005</v>
          </cell>
          <cell r="R6" t="str">
            <v>2006A</v>
          </cell>
          <cell r="V6" t="str">
            <v>2007E</v>
          </cell>
          <cell r="Z6" t="str">
            <v>Gulfstream Standalone</v>
          </cell>
          <cell r="AE6" t="str">
            <v>Division of GD</v>
          </cell>
          <cell r="AG6" t="str">
            <v>downcycle</v>
          </cell>
          <cell r="AH6" t="str">
            <v>trough</v>
          </cell>
          <cell r="AI6" t="str">
            <v>upcycle</v>
          </cell>
          <cell r="BS6">
            <v>1998</v>
          </cell>
          <cell r="BW6">
            <v>1999</v>
          </cell>
          <cell r="CA6">
            <v>2000</v>
          </cell>
          <cell r="CE6">
            <v>2001</v>
          </cell>
        </row>
        <row r="7">
          <cell r="B7" t="str">
            <v xml:space="preserve">Q1 </v>
          </cell>
          <cell r="C7" t="str">
            <v xml:space="preserve">Q2 </v>
          </cell>
          <cell r="D7" t="str">
            <v xml:space="preserve">Q3 </v>
          </cell>
          <cell r="E7" t="str">
            <v xml:space="preserve">Q4 </v>
          </cell>
          <cell r="F7" t="str">
            <v xml:space="preserve">Q1 </v>
          </cell>
          <cell r="G7" t="str">
            <v xml:space="preserve">Q2 </v>
          </cell>
          <cell r="H7" t="str">
            <v xml:space="preserve">Q3 </v>
          </cell>
          <cell r="I7" t="str">
            <v xml:space="preserve">Q4 </v>
          </cell>
          <cell r="J7" t="str">
            <v xml:space="preserve">Q1 </v>
          </cell>
          <cell r="K7" t="str">
            <v xml:space="preserve">Q2 </v>
          </cell>
          <cell r="L7" t="str">
            <v xml:space="preserve">Q3 </v>
          </cell>
          <cell r="M7" t="str">
            <v xml:space="preserve">Q4 </v>
          </cell>
          <cell r="N7" t="str">
            <v xml:space="preserve">Q1 </v>
          </cell>
          <cell r="O7" t="str">
            <v xml:space="preserve">Q2 </v>
          </cell>
          <cell r="P7" t="str">
            <v xml:space="preserve">Q3 </v>
          </cell>
          <cell r="Q7" t="str">
            <v xml:space="preserve">Q4 </v>
          </cell>
          <cell r="R7" t="str">
            <v xml:space="preserve">Q1 </v>
          </cell>
          <cell r="S7" t="str">
            <v xml:space="preserve">Q2 </v>
          </cell>
          <cell r="T7" t="str">
            <v xml:space="preserve">Q3 </v>
          </cell>
          <cell r="U7" t="str">
            <v xml:space="preserve">Q4 </v>
          </cell>
          <cell r="V7" t="str">
            <v xml:space="preserve">Q1A </v>
          </cell>
          <cell r="W7" t="str">
            <v xml:space="preserve">Q2A </v>
          </cell>
          <cell r="X7" t="str">
            <v>Q3A</v>
          </cell>
          <cell r="Y7" t="str">
            <v xml:space="preserve">Q4E </v>
          </cell>
          <cell r="Z7">
            <v>1995</v>
          </cell>
          <cell r="AA7">
            <v>1996</v>
          </cell>
          <cell r="AB7">
            <v>1997</v>
          </cell>
          <cell r="AC7">
            <v>1998</v>
          </cell>
          <cell r="AD7">
            <v>1999</v>
          </cell>
          <cell r="AE7">
            <v>2000</v>
          </cell>
          <cell r="AF7">
            <v>2001</v>
          </cell>
          <cell r="AG7">
            <v>2002</v>
          </cell>
          <cell r="AH7">
            <v>2003</v>
          </cell>
          <cell r="AI7">
            <v>2004</v>
          </cell>
          <cell r="AJ7">
            <v>2005</v>
          </cell>
          <cell r="AK7">
            <v>2006</v>
          </cell>
          <cell r="AL7" t="str">
            <v>2007A</v>
          </cell>
          <cell r="AM7" t="str">
            <v>2008E</v>
          </cell>
          <cell r="AN7" t="str">
            <v>2009E</v>
          </cell>
          <cell r="AO7" t="str">
            <v>2010E</v>
          </cell>
          <cell r="AP7" t="str">
            <v>Comments</v>
          </cell>
          <cell r="BR7" t="str">
            <v>Q1</v>
          </cell>
          <cell r="BS7" t="str">
            <v>Q2</v>
          </cell>
          <cell r="BT7" t="str">
            <v>Q3</v>
          </cell>
          <cell r="BU7" t="str">
            <v>Q4</v>
          </cell>
          <cell r="BV7" t="str">
            <v>Q1</v>
          </cell>
          <cell r="BW7" t="str">
            <v>Q2</v>
          </cell>
          <cell r="BX7" t="str">
            <v>Q3</v>
          </cell>
          <cell r="BY7" t="str">
            <v>Q4</v>
          </cell>
          <cell r="BZ7" t="str">
            <v>Q1</v>
          </cell>
          <cell r="CA7" t="str">
            <v>Q2</v>
          </cell>
          <cell r="CB7" t="str">
            <v>Q3</v>
          </cell>
          <cell r="CC7" t="str">
            <v>Q4</v>
          </cell>
          <cell r="CD7" t="str">
            <v>Q1</v>
          </cell>
          <cell r="CE7" t="str">
            <v>Q2</v>
          </cell>
          <cell r="CF7" t="str">
            <v>Q3</v>
          </cell>
          <cell r="CG7" t="str">
            <v>Q4</v>
          </cell>
        </row>
        <row r="8">
          <cell r="A8" t="str">
            <v>Sales</v>
          </cell>
        </row>
        <row r="9">
          <cell r="A9" t="str">
            <v>New Aircraft - Gulfstream</v>
          </cell>
          <cell r="B9">
            <v>371</v>
          </cell>
          <cell r="C9">
            <v>574</v>
          </cell>
          <cell r="D9">
            <v>537</v>
          </cell>
          <cell r="E9">
            <v>571.75000000000091</v>
          </cell>
          <cell r="F9">
            <v>392</v>
          </cell>
          <cell r="G9">
            <v>349</v>
          </cell>
          <cell r="H9">
            <v>482</v>
          </cell>
          <cell r="I9">
            <v>390.09375000000273</v>
          </cell>
          <cell r="J9">
            <v>411</v>
          </cell>
          <cell r="K9">
            <v>400</v>
          </cell>
          <cell r="L9">
            <v>510</v>
          </cell>
          <cell r="M9">
            <v>527.64843749999977</v>
          </cell>
          <cell r="N9">
            <v>470</v>
          </cell>
          <cell r="O9">
            <v>541</v>
          </cell>
          <cell r="P9">
            <v>587</v>
          </cell>
          <cell r="Q9">
            <v>673.06962500000054</v>
          </cell>
          <cell r="R9">
            <v>623</v>
          </cell>
          <cell r="S9">
            <v>637</v>
          </cell>
          <cell r="T9">
            <v>736</v>
          </cell>
          <cell r="U9">
            <v>646.70677109375038</v>
          </cell>
          <cell r="Z9">
            <v>672.0139999999999</v>
          </cell>
          <cell r="AA9">
            <v>740.5</v>
          </cell>
          <cell r="AB9">
            <v>1492</v>
          </cell>
          <cell r="AC9">
            <v>1909</v>
          </cell>
          <cell r="AD9">
            <v>2251</v>
          </cell>
          <cell r="AE9">
            <v>2353</v>
          </cell>
          <cell r="AF9">
            <v>2495.0000000000036</v>
          </cell>
          <cell r="AG9">
            <v>2053.7500000000009</v>
          </cell>
          <cell r="AH9">
            <v>1613.0937500000027</v>
          </cell>
          <cell r="AI9">
            <v>1848.6484374999998</v>
          </cell>
          <cell r="AJ9">
            <v>2271.0696250000005</v>
          </cell>
          <cell r="AK9">
            <v>2642.7067710937504</v>
          </cell>
          <cell r="AL9">
            <v>3167.5049744124999</v>
          </cell>
          <cell r="AM9">
            <v>3434.4781963762503</v>
          </cell>
          <cell r="AN9">
            <v>3610.5249072750626</v>
          </cell>
          <cell r="AO9">
            <v>3762.9941377512159</v>
          </cell>
          <cell r="AP9" t="str">
            <v>- Gulfstream only</v>
          </cell>
          <cell r="BR9">
            <v>386.8</v>
          </cell>
          <cell r="BV9">
            <v>489.4</v>
          </cell>
          <cell r="BW9">
            <v>556</v>
          </cell>
          <cell r="BX9">
            <v>560</v>
          </cell>
          <cell r="BY9">
            <v>645.59999999999991</v>
          </cell>
          <cell r="BZ9">
            <v>565</v>
          </cell>
          <cell r="CA9">
            <v>600</v>
          </cell>
          <cell r="CB9">
            <v>567</v>
          </cell>
          <cell r="CC9">
            <v>621</v>
          </cell>
          <cell r="CD9">
            <v>592</v>
          </cell>
          <cell r="CE9">
            <v>625</v>
          </cell>
          <cell r="CF9">
            <v>688</v>
          </cell>
          <cell r="CG9">
            <v>789.00000000000364</v>
          </cell>
        </row>
        <row r="10">
          <cell r="A10" t="str">
            <v>Used Aircraft - "</v>
          </cell>
          <cell r="B10">
            <v>75</v>
          </cell>
          <cell r="C10">
            <v>70</v>
          </cell>
          <cell r="D10">
            <v>60</v>
          </cell>
          <cell r="E10">
            <v>230</v>
          </cell>
          <cell r="F10">
            <v>45</v>
          </cell>
          <cell r="G10">
            <v>149</v>
          </cell>
          <cell r="H10">
            <v>135</v>
          </cell>
          <cell r="I10">
            <v>130</v>
          </cell>
          <cell r="J10">
            <v>25</v>
          </cell>
          <cell r="K10">
            <v>80</v>
          </cell>
          <cell r="L10">
            <v>100</v>
          </cell>
          <cell r="M10">
            <v>73</v>
          </cell>
          <cell r="N10">
            <v>48</v>
          </cell>
          <cell r="O10">
            <v>28</v>
          </cell>
          <cell r="P10">
            <v>56</v>
          </cell>
          <cell r="Q10">
            <v>87</v>
          </cell>
          <cell r="R10">
            <v>33</v>
          </cell>
          <cell r="S10">
            <v>117</v>
          </cell>
          <cell r="T10">
            <v>54</v>
          </cell>
          <cell r="U10">
            <v>13</v>
          </cell>
          <cell r="V10">
            <v>21</v>
          </cell>
          <cell r="W10">
            <v>22</v>
          </cell>
          <cell r="X10">
            <v>35</v>
          </cell>
          <cell r="Z10">
            <v>45</v>
          </cell>
          <cell r="AA10">
            <v>153.30000000000001</v>
          </cell>
          <cell r="AB10">
            <v>210.4</v>
          </cell>
          <cell r="AC10">
            <v>237.2</v>
          </cell>
          <cell r="AD10">
            <v>318</v>
          </cell>
          <cell r="AE10">
            <v>255</v>
          </cell>
          <cell r="AF10">
            <v>177</v>
          </cell>
          <cell r="AG10">
            <v>435</v>
          </cell>
          <cell r="AH10">
            <v>459</v>
          </cell>
          <cell r="AI10">
            <v>278</v>
          </cell>
          <cell r="AJ10">
            <v>219</v>
          </cell>
          <cell r="AK10">
            <v>217</v>
          </cell>
          <cell r="AL10">
            <v>250</v>
          </cell>
          <cell r="AM10">
            <v>250</v>
          </cell>
          <cell r="AN10">
            <v>250</v>
          </cell>
          <cell r="AO10">
            <v>250</v>
          </cell>
          <cell r="AP10" t="str">
            <v>- decreased emphasis (HW 4-04)</v>
          </cell>
          <cell r="BR10">
            <v>66.7</v>
          </cell>
          <cell r="BV10">
            <v>52.6</v>
          </cell>
          <cell r="BW10">
            <v>70.799999999999955</v>
          </cell>
          <cell r="BX10">
            <v>65</v>
          </cell>
          <cell r="BY10">
            <v>129.60000000000005</v>
          </cell>
          <cell r="BZ10">
            <v>60</v>
          </cell>
          <cell r="CA10">
            <v>114</v>
          </cell>
          <cell r="CB10">
            <v>60</v>
          </cell>
          <cell r="CC10">
            <v>21</v>
          </cell>
          <cell r="CD10">
            <v>20</v>
          </cell>
          <cell r="CE10">
            <v>20</v>
          </cell>
          <cell r="CF10">
            <v>70</v>
          </cell>
          <cell r="CG10">
            <v>67</v>
          </cell>
        </row>
        <row r="11">
          <cell r="A11" t="str">
            <v>Spares/support - "</v>
          </cell>
          <cell r="B11">
            <v>100</v>
          </cell>
          <cell r="C11">
            <v>120</v>
          </cell>
          <cell r="D11">
            <v>95</v>
          </cell>
          <cell r="E11">
            <v>48</v>
          </cell>
          <cell r="F11">
            <v>95</v>
          </cell>
          <cell r="G11">
            <v>98</v>
          </cell>
          <cell r="H11">
            <v>105</v>
          </cell>
          <cell r="I11">
            <v>110</v>
          </cell>
          <cell r="J11">
            <v>105</v>
          </cell>
          <cell r="K11">
            <v>100</v>
          </cell>
          <cell r="L11">
            <v>105</v>
          </cell>
          <cell r="M11">
            <v>135</v>
          </cell>
          <cell r="N11">
            <v>115</v>
          </cell>
          <cell r="O11">
            <v>125</v>
          </cell>
          <cell r="P11">
            <v>123</v>
          </cell>
          <cell r="Q11">
            <v>121</v>
          </cell>
          <cell r="R11">
            <v>125</v>
          </cell>
          <cell r="S11">
            <v>145</v>
          </cell>
          <cell r="T11">
            <v>139</v>
          </cell>
          <cell r="U11">
            <v>149</v>
          </cell>
          <cell r="V11">
            <v>150</v>
          </cell>
          <cell r="W11">
            <v>172</v>
          </cell>
          <cell r="X11">
            <v>175</v>
          </cell>
          <cell r="Z11">
            <v>324.5</v>
          </cell>
          <cell r="AA11">
            <v>169.9</v>
          </cell>
          <cell r="AB11">
            <v>201.1</v>
          </cell>
          <cell r="AC11">
            <v>281.8</v>
          </cell>
          <cell r="AD11">
            <v>340</v>
          </cell>
          <cell r="AE11">
            <v>421</v>
          </cell>
          <cell r="AF11">
            <v>394</v>
          </cell>
          <cell r="AG11">
            <v>363</v>
          </cell>
          <cell r="AH11">
            <v>408</v>
          </cell>
          <cell r="AI11">
            <v>445</v>
          </cell>
          <cell r="AJ11">
            <v>484</v>
          </cell>
          <cell r="AK11">
            <v>558</v>
          </cell>
          <cell r="AL11">
            <v>550</v>
          </cell>
          <cell r="AM11">
            <v>600</v>
          </cell>
          <cell r="AN11">
            <v>600</v>
          </cell>
          <cell r="AO11">
            <v>600</v>
          </cell>
          <cell r="AP11" t="str">
            <v>- Rises w/ fleet</v>
          </cell>
          <cell r="BR11">
            <v>49.9</v>
          </cell>
          <cell r="BV11">
            <v>83.1</v>
          </cell>
          <cell r="BW11">
            <v>81</v>
          </cell>
          <cell r="BX11">
            <v>85</v>
          </cell>
          <cell r="BY11">
            <v>90.9</v>
          </cell>
          <cell r="BZ11">
            <v>105</v>
          </cell>
          <cell r="CA11">
            <v>107</v>
          </cell>
          <cell r="CB11">
            <v>106</v>
          </cell>
          <cell r="CC11">
            <v>103</v>
          </cell>
          <cell r="CD11">
            <v>100</v>
          </cell>
          <cell r="CE11">
            <v>120</v>
          </cell>
          <cell r="CF11">
            <v>80</v>
          </cell>
          <cell r="CG11">
            <v>94</v>
          </cell>
        </row>
        <row r="12">
          <cell r="A12" t="str">
            <v>Galaxy</v>
          </cell>
          <cell r="B12">
            <v>217</v>
          </cell>
          <cell r="C12">
            <v>116</v>
          </cell>
          <cell r="D12">
            <v>47</v>
          </cell>
          <cell r="E12">
            <v>57.25</v>
          </cell>
          <cell r="F12">
            <v>62</v>
          </cell>
          <cell r="G12">
            <v>119</v>
          </cell>
          <cell r="H12">
            <v>86</v>
          </cell>
          <cell r="I12">
            <v>198.90625</v>
          </cell>
          <cell r="J12">
            <v>65</v>
          </cell>
          <cell r="K12">
            <v>125</v>
          </cell>
          <cell r="L12">
            <v>105</v>
          </cell>
          <cell r="M12">
            <v>145.3515625</v>
          </cell>
          <cell r="N12">
            <v>120</v>
          </cell>
          <cell r="O12">
            <v>134</v>
          </cell>
          <cell r="P12">
            <v>140</v>
          </cell>
          <cell r="Q12">
            <v>64.930375000000026</v>
          </cell>
          <cell r="R12">
            <v>148</v>
          </cell>
          <cell r="S12">
            <v>168</v>
          </cell>
          <cell r="T12">
            <v>158</v>
          </cell>
          <cell r="U12">
            <v>224.29322890625008</v>
          </cell>
          <cell r="AF12">
            <v>199</v>
          </cell>
          <cell r="AG12">
            <v>437.25</v>
          </cell>
          <cell r="AH12">
            <v>465.90625</v>
          </cell>
          <cell r="AI12">
            <v>440.3515625</v>
          </cell>
          <cell r="AJ12">
            <v>458.93037500000003</v>
          </cell>
          <cell r="AK12">
            <v>698.29322890625008</v>
          </cell>
          <cell r="AL12">
            <v>1009.9286076562499</v>
          </cell>
          <cell r="AM12">
            <v>1125.8297401523439</v>
          </cell>
          <cell r="AN12">
            <v>1257.318123159961</v>
          </cell>
          <cell r="AO12">
            <v>1092.5593521179592</v>
          </cell>
          <cell r="AP12" t="str">
            <v>- Galaxy jets</v>
          </cell>
        </row>
        <row r="13">
          <cell r="A13" t="str">
            <v>Total</v>
          </cell>
          <cell r="B13">
            <v>763</v>
          </cell>
          <cell r="C13">
            <v>880</v>
          </cell>
          <cell r="D13">
            <v>739</v>
          </cell>
          <cell r="E13">
            <v>907.00000000000091</v>
          </cell>
          <cell r="F13">
            <v>594</v>
          </cell>
          <cell r="G13">
            <v>715</v>
          </cell>
          <cell r="H13">
            <v>808</v>
          </cell>
          <cell r="I13">
            <v>829.00000000000273</v>
          </cell>
          <cell r="J13">
            <v>606</v>
          </cell>
          <cell r="K13">
            <v>705</v>
          </cell>
          <cell r="L13">
            <v>820</v>
          </cell>
          <cell r="M13">
            <v>880.99999999999977</v>
          </cell>
          <cell r="N13">
            <v>753</v>
          </cell>
          <cell r="O13">
            <v>828</v>
          </cell>
          <cell r="P13">
            <v>906</v>
          </cell>
          <cell r="Q13">
            <v>946.00000000000057</v>
          </cell>
          <cell r="R13">
            <v>929</v>
          </cell>
          <cell r="S13">
            <v>1067</v>
          </cell>
          <cell r="T13">
            <v>1087</v>
          </cell>
          <cell r="U13">
            <v>1033.0000000000005</v>
          </cell>
          <cell r="V13">
            <v>171</v>
          </cell>
          <cell r="W13">
            <v>194</v>
          </cell>
          <cell r="X13">
            <v>210</v>
          </cell>
          <cell r="Y13">
            <v>0</v>
          </cell>
          <cell r="Z13">
            <v>1041.5139999999999</v>
          </cell>
          <cell r="AA13">
            <v>1063.7</v>
          </cell>
          <cell r="AB13">
            <v>1903.5</v>
          </cell>
          <cell r="AC13">
            <v>2428</v>
          </cell>
          <cell r="AD13">
            <v>2909</v>
          </cell>
          <cell r="AE13">
            <v>3029</v>
          </cell>
          <cell r="AF13">
            <v>3265.0000000000036</v>
          </cell>
          <cell r="AG13">
            <v>3289.0000000000009</v>
          </cell>
          <cell r="AH13">
            <v>2946.0000000000027</v>
          </cell>
          <cell r="AI13">
            <v>3012</v>
          </cell>
          <cell r="AJ13">
            <v>3433.0000000000005</v>
          </cell>
          <cell r="AK13">
            <v>4116</v>
          </cell>
          <cell r="AL13">
            <v>4977.4335820687502</v>
          </cell>
          <cell r="AM13">
            <v>5410.3079365285948</v>
          </cell>
          <cell r="AN13">
            <v>5717.843030435024</v>
          </cell>
          <cell r="AO13">
            <v>5705.5534898691749</v>
          </cell>
          <cell r="BR13">
            <v>503.4</v>
          </cell>
          <cell r="BS13">
            <v>557</v>
          </cell>
          <cell r="BT13">
            <v>626.20000000000005</v>
          </cell>
          <cell r="BU13">
            <v>741.39999999999986</v>
          </cell>
          <cell r="BV13">
            <v>625.1</v>
          </cell>
          <cell r="BW13">
            <v>707.8</v>
          </cell>
          <cell r="BX13">
            <v>710</v>
          </cell>
          <cell r="BY13">
            <v>866.09999999999991</v>
          </cell>
          <cell r="BZ13">
            <v>730</v>
          </cell>
          <cell r="CA13">
            <v>821</v>
          </cell>
          <cell r="CB13">
            <v>733</v>
          </cell>
          <cell r="CC13">
            <v>745</v>
          </cell>
          <cell r="CD13">
            <v>712</v>
          </cell>
          <cell r="CE13">
            <v>765</v>
          </cell>
          <cell r="CF13">
            <v>838</v>
          </cell>
          <cell r="CG13">
            <v>950.00000000000364</v>
          </cell>
        </row>
        <row r="14">
          <cell r="A14" t="str">
            <v>% Change</v>
          </cell>
          <cell r="B14">
            <v>7.1629213483145993E-2</v>
          </cell>
          <cell r="C14">
            <v>0.15032679738562083</v>
          </cell>
          <cell r="D14">
            <v>-0.11813842482100234</v>
          </cell>
          <cell r="E14">
            <v>-4.5263157894739559E-2</v>
          </cell>
          <cell r="F14">
            <v>-0.22149410222804722</v>
          </cell>
          <cell r="G14">
            <v>-0.1875</v>
          </cell>
          <cell r="H14">
            <v>9.3369418132611681E-2</v>
          </cell>
          <cell r="I14">
            <v>-8.5997794928333038E-2</v>
          </cell>
          <cell r="J14">
            <v>2.020202020202011E-2</v>
          </cell>
          <cell r="K14">
            <v>-1.3986013986013957E-2</v>
          </cell>
          <cell r="L14">
            <v>1.4851485148514865E-2</v>
          </cell>
          <cell r="M14">
            <v>6.2726176115798449E-2</v>
          </cell>
          <cell r="N14">
            <v>0.24257425742574257</v>
          </cell>
          <cell r="O14">
            <v>0.1744680851063829</v>
          </cell>
          <cell r="P14">
            <v>0.1048780487804879</v>
          </cell>
          <cell r="Q14">
            <v>7.3779795686720551E-2</v>
          </cell>
          <cell r="R14">
            <v>0.23373173970783534</v>
          </cell>
          <cell r="S14">
            <v>0.28864734299516903</v>
          </cell>
          <cell r="T14">
            <v>0.19977924944812364</v>
          </cell>
          <cell r="U14">
            <v>9.1966173361522019E-2</v>
          </cell>
          <cell r="V14">
            <v>-0.81593110871905272</v>
          </cell>
          <cell r="W14">
            <v>-0.81818181818181812</v>
          </cell>
          <cell r="X14">
            <v>-0.80680772769089237</v>
          </cell>
          <cell r="Y14">
            <v>-1</v>
          </cell>
          <cell r="AA14">
            <v>2.1301681974510434E-2</v>
          </cell>
          <cell r="AB14">
            <v>0.78950832001504168</v>
          </cell>
          <cell r="AC14">
            <v>0.27554504859469398</v>
          </cell>
          <cell r="AD14">
            <v>0.19810543657331148</v>
          </cell>
          <cell r="AE14">
            <v>0.24752883031301476</v>
          </cell>
          <cell r="AF14">
            <v>7.7913502806207902E-2</v>
          </cell>
          <cell r="AG14">
            <v>7.3506891271049035E-3</v>
          </cell>
          <cell r="AH14">
            <v>-0.10428701733049506</v>
          </cell>
          <cell r="AI14">
            <v>2.2403258655803615E-2</v>
          </cell>
          <cell r="AJ14">
            <v>0.1397742363877823</v>
          </cell>
          <cell r="AK14">
            <v>0.19895135450043688</v>
          </cell>
          <cell r="AL14">
            <v>0.20928901410805389</v>
          </cell>
          <cell r="AM14">
            <v>8.6967379337672845E-2</v>
          </cell>
          <cell r="AN14">
            <v>5.684243808565026E-2</v>
          </cell>
          <cell r="AO14">
            <v>-2.1493315749373521E-3</v>
          </cell>
          <cell r="BU14">
            <v>0.27554504859469398</v>
          </cell>
          <cell r="BV14">
            <v>0.24175605880015905</v>
          </cell>
          <cell r="BW14">
            <v>0.27073608617594247</v>
          </cell>
          <cell r="BX14">
            <v>0.13382305972532738</v>
          </cell>
          <cell r="BY14">
            <v>0.16819530617750211</v>
          </cell>
          <cell r="BZ14">
            <v>0.1678131498960167</v>
          </cell>
          <cell r="CA14">
            <v>0.15993218423283428</v>
          </cell>
          <cell r="CB14">
            <v>3.2394366197183055E-2</v>
          </cell>
          <cell r="CC14">
            <v>-0.1398221914328599</v>
          </cell>
          <cell r="CD14">
            <v>-2.4657534246575352E-2</v>
          </cell>
          <cell r="CE14">
            <v>-6.8209500609013429E-2</v>
          </cell>
          <cell r="CF14">
            <v>0.14324693042291958</v>
          </cell>
          <cell r="CG14">
            <v>0.27516778523490415</v>
          </cell>
        </row>
        <row r="15">
          <cell r="A15" t="str">
            <v>cushion</v>
          </cell>
          <cell r="B15">
            <v>0</v>
          </cell>
          <cell r="C15">
            <v>0</v>
          </cell>
          <cell r="D15">
            <v>0</v>
          </cell>
          <cell r="E15">
            <v>-9.0949470177292824E-13</v>
          </cell>
          <cell r="F15">
            <v>0</v>
          </cell>
          <cell r="G15">
            <v>0</v>
          </cell>
          <cell r="H15">
            <v>0</v>
          </cell>
          <cell r="I15">
            <v>-2.7284841053187847E-12</v>
          </cell>
          <cell r="J15">
            <v>0</v>
          </cell>
          <cell r="K15">
            <v>66</v>
          </cell>
          <cell r="L15">
            <v>-22</v>
          </cell>
          <cell r="M15">
            <v>-43.999999999999773</v>
          </cell>
          <cell r="N15">
            <v>0</v>
          </cell>
          <cell r="O15">
            <v>0</v>
          </cell>
          <cell r="P15">
            <v>0</v>
          </cell>
          <cell r="Q15">
            <v>0</v>
          </cell>
          <cell r="R15">
            <v>0</v>
          </cell>
          <cell r="S15">
            <v>0</v>
          </cell>
          <cell r="T15">
            <v>0</v>
          </cell>
          <cell r="U15">
            <v>0</v>
          </cell>
          <cell r="V15">
            <v>923</v>
          </cell>
          <cell r="W15">
            <v>1014</v>
          </cell>
          <cell r="X15">
            <v>1105</v>
          </cell>
          <cell r="Y15">
            <v>1211</v>
          </cell>
          <cell r="AB15">
            <v>0.5</v>
          </cell>
          <cell r="AC15">
            <v>0</v>
          </cell>
          <cell r="AD15">
            <v>0</v>
          </cell>
          <cell r="AE15">
            <v>0</v>
          </cell>
          <cell r="AF15">
            <v>-3.637978807091713E-12</v>
          </cell>
          <cell r="AG15">
            <v>0</v>
          </cell>
          <cell r="AH15">
            <v>0</v>
          </cell>
          <cell r="AI15">
            <v>0</v>
          </cell>
          <cell r="AJ15">
            <v>0</v>
          </cell>
          <cell r="AK15">
            <v>0</v>
          </cell>
          <cell r="AL15">
            <v>-149.43358206875018</v>
          </cell>
          <cell r="AM15">
            <v>101.69206347140516</v>
          </cell>
          <cell r="AN15">
            <v>-467.84303043502405</v>
          </cell>
          <cell r="AO15">
            <v>-405.55348986917488</v>
          </cell>
        </row>
        <row r="16">
          <cell r="A16" t="str">
            <v>per Main</v>
          </cell>
          <cell r="B16">
            <v>763</v>
          </cell>
          <cell r="C16">
            <v>880</v>
          </cell>
          <cell r="D16">
            <v>739</v>
          </cell>
          <cell r="E16">
            <v>907</v>
          </cell>
          <cell r="F16">
            <v>594</v>
          </cell>
          <cell r="G16">
            <v>715</v>
          </cell>
          <cell r="H16">
            <v>808</v>
          </cell>
          <cell r="I16">
            <v>829</v>
          </cell>
          <cell r="J16">
            <v>606</v>
          </cell>
          <cell r="K16">
            <v>771</v>
          </cell>
          <cell r="L16">
            <v>798</v>
          </cell>
          <cell r="M16">
            <v>837</v>
          </cell>
          <cell r="N16">
            <v>753</v>
          </cell>
          <cell r="O16">
            <v>828</v>
          </cell>
          <cell r="P16">
            <v>906</v>
          </cell>
          <cell r="Q16">
            <v>946</v>
          </cell>
          <cell r="R16">
            <v>929</v>
          </cell>
          <cell r="S16">
            <v>1067</v>
          </cell>
          <cell r="T16">
            <v>1087</v>
          </cell>
          <cell r="U16">
            <v>1033</v>
          </cell>
          <cell r="V16">
            <v>1094</v>
          </cell>
          <cell r="W16">
            <v>1208</v>
          </cell>
          <cell r="X16">
            <v>1315</v>
          </cell>
          <cell r="Y16">
            <v>1211</v>
          </cell>
          <cell r="AB16">
            <v>1904</v>
          </cell>
          <cell r="AC16">
            <v>2428</v>
          </cell>
          <cell r="AD16">
            <v>2909</v>
          </cell>
          <cell r="AE16">
            <v>3029</v>
          </cell>
          <cell r="AF16">
            <v>3265</v>
          </cell>
          <cell r="AG16">
            <v>3289</v>
          </cell>
          <cell r="AH16">
            <v>2946</v>
          </cell>
          <cell r="AI16">
            <v>3012</v>
          </cell>
          <cell r="AJ16">
            <v>3433</v>
          </cell>
          <cell r="AK16">
            <v>4116</v>
          </cell>
          <cell r="AL16">
            <v>4828</v>
          </cell>
          <cell r="AM16">
            <v>5512</v>
          </cell>
          <cell r="AN16">
            <v>5250</v>
          </cell>
          <cell r="AO16">
            <v>5300</v>
          </cell>
          <cell r="CD16">
            <v>712</v>
          </cell>
          <cell r="CE16">
            <v>765</v>
          </cell>
          <cell r="CF16">
            <v>838</v>
          </cell>
          <cell r="CG16">
            <v>950</v>
          </cell>
        </row>
        <row r="17">
          <cell r="A17" t="str">
            <v>Expenses</v>
          </cell>
        </row>
        <row r="18">
          <cell r="A18" t="str">
            <v>COGS</v>
          </cell>
          <cell r="B18">
            <v>569.5</v>
          </cell>
          <cell r="C18">
            <v>666.5</v>
          </cell>
          <cell r="D18">
            <v>574.5</v>
          </cell>
          <cell r="E18">
            <v>743.5</v>
          </cell>
          <cell r="F18">
            <v>499.5</v>
          </cell>
          <cell r="G18">
            <v>606.5</v>
          </cell>
          <cell r="H18">
            <v>693.5</v>
          </cell>
          <cell r="I18">
            <v>711.5</v>
          </cell>
          <cell r="J18">
            <v>507</v>
          </cell>
          <cell r="K18">
            <v>603</v>
          </cell>
          <cell r="L18">
            <v>686</v>
          </cell>
          <cell r="M18">
            <v>707</v>
          </cell>
          <cell r="N18">
            <v>580</v>
          </cell>
          <cell r="O18">
            <v>640</v>
          </cell>
          <cell r="P18">
            <v>705</v>
          </cell>
          <cell r="Q18">
            <v>733</v>
          </cell>
          <cell r="R18">
            <v>710</v>
          </cell>
          <cell r="S18">
            <v>820</v>
          </cell>
          <cell r="T18">
            <v>840</v>
          </cell>
          <cell r="U18">
            <v>792</v>
          </cell>
          <cell r="Z18">
            <v>835.54700000000003</v>
          </cell>
          <cell r="AA18">
            <v>839.3</v>
          </cell>
          <cell r="AB18">
            <v>1557.5</v>
          </cell>
          <cell r="AC18">
            <v>1907.7</v>
          </cell>
          <cell r="AD18">
            <v>2263</v>
          </cell>
          <cell r="AE18">
            <v>2272</v>
          </cell>
          <cell r="AF18">
            <v>2455</v>
          </cell>
          <cell r="AG18">
            <v>2554</v>
          </cell>
          <cell r="AH18">
            <v>2511</v>
          </cell>
          <cell r="AI18">
            <v>2503</v>
          </cell>
          <cell r="AJ18">
            <v>2658</v>
          </cell>
          <cell r="AK18">
            <v>3162</v>
          </cell>
          <cell r="AL18">
            <v>3725</v>
          </cell>
          <cell r="AM18">
            <v>3975</v>
          </cell>
          <cell r="AN18">
            <v>4170</v>
          </cell>
          <cell r="AO18">
            <v>4300</v>
          </cell>
          <cell r="BR18">
            <v>404.4</v>
          </cell>
          <cell r="BS18">
            <v>431.2</v>
          </cell>
          <cell r="BT18">
            <v>487.4</v>
          </cell>
          <cell r="BU18">
            <v>584.70000000000005</v>
          </cell>
          <cell r="BV18">
            <v>490.40600000000001</v>
          </cell>
          <cell r="BW18">
            <v>554</v>
          </cell>
          <cell r="BX18">
            <v>543</v>
          </cell>
          <cell r="BY18">
            <v>675.59400000000005</v>
          </cell>
          <cell r="BZ18">
            <v>500</v>
          </cell>
          <cell r="CA18">
            <v>550</v>
          </cell>
          <cell r="CB18">
            <v>540</v>
          </cell>
          <cell r="CC18">
            <v>682</v>
          </cell>
          <cell r="CD18">
            <v>500</v>
          </cell>
          <cell r="CE18">
            <v>550</v>
          </cell>
          <cell r="CF18">
            <v>540</v>
          </cell>
          <cell r="CG18">
            <v>865</v>
          </cell>
        </row>
        <row r="19">
          <cell r="A19" t="str">
            <v>SGA</v>
          </cell>
          <cell r="B19">
            <v>32</v>
          </cell>
          <cell r="C19">
            <v>40</v>
          </cell>
          <cell r="D19">
            <v>41</v>
          </cell>
          <cell r="E19">
            <v>52</v>
          </cell>
          <cell r="F19">
            <v>33</v>
          </cell>
          <cell r="G19">
            <v>40</v>
          </cell>
          <cell r="H19">
            <v>41</v>
          </cell>
          <cell r="I19">
            <v>41</v>
          </cell>
          <cell r="J19">
            <v>33</v>
          </cell>
          <cell r="K19">
            <v>40</v>
          </cell>
          <cell r="L19">
            <v>40</v>
          </cell>
          <cell r="M19">
            <v>47</v>
          </cell>
          <cell r="N19">
            <v>50</v>
          </cell>
          <cell r="O19">
            <v>55</v>
          </cell>
          <cell r="P19">
            <v>70</v>
          </cell>
          <cell r="Q19">
            <v>80</v>
          </cell>
          <cell r="R19">
            <v>55</v>
          </cell>
          <cell r="S19">
            <v>65</v>
          </cell>
          <cell r="T19">
            <v>80</v>
          </cell>
          <cell r="U19">
            <v>85</v>
          </cell>
          <cell r="Z19">
            <v>93.239000000000004</v>
          </cell>
          <cell r="AA19">
            <v>99.5</v>
          </cell>
          <cell r="AB19">
            <v>97.5</v>
          </cell>
          <cell r="AC19">
            <v>121.3</v>
          </cell>
          <cell r="AD19">
            <v>134</v>
          </cell>
          <cell r="AE19">
            <v>135</v>
          </cell>
          <cell r="AF19">
            <v>151</v>
          </cell>
          <cell r="AG19">
            <v>165</v>
          </cell>
          <cell r="AH19">
            <v>155</v>
          </cell>
          <cell r="AI19">
            <v>160</v>
          </cell>
          <cell r="AJ19">
            <v>255</v>
          </cell>
          <cell r="AK19">
            <v>285</v>
          </cell>
          <cell r="AL19">
            <v>335</v>
          </cell>
          <cell r="AM19">
            <v>360</v>
          </cell>
          <cell r="AN19">
            <v>370</v>
          </cell>
          <cell r="AO19">
            <v>380</v>
          </cell>
          <cell r="BR19">
            <v>25.9</v>
          </cell>
          <cell r="BS19">
            <v>29.6</v>
          </cell>
          <cell r="BT19">
            <v>29.9</v>
          </cell>
          <cell r="BU19">
            <v>35.899999999999991</v>
          </cell>
          <cell r="BV19">
            <v>30.914999999999999</v>
          </cell>
          <cell r="BW19">
            <v>32.4</v>
          </cell>
          <cell r="BX19">
            <v>34</v>
          </cell>
          <cell r="BY19">
            <v>36.685000000000002</v>
          </cell>
          <cell r="BZ19">
            <v>20</v>
          </cell>
          <cell r="CA19">
            <v>33</v>
          </cell>
          <cell r="CB19">
            <v>38</v>
          </cell>
          <cell r="CC19">
            <v>44</v>
          </cell>
          <cell r="CD19">
            <v>20</v>
          </cell>
          <cell r="CE19">
            <v>33</v>
          </cell>
          <cell r="CF19">
            <v>38</v>
          </cell>
          <cell r="CG19">
            <v>60</v>
          </cell>
        </row>
        <row r="20">
          <cell r="A20" t="str">
            <v>Restructuring (Charges)/Benefit</v>
          </cell>
          <cell r="J20">
            <v>-15</v>
          </cell>
          <cell r="K20">
            <v>-15</v>
          </cell>
          <cell r="L20">
            <v>-15</v>
          </cell>
          <cell r="M20">
            <v>-20</v>
          </cell>
          <cell r="N20">
            <v>-10</v>
          </cell>
          <cell r="O20">
            <v>-10</v>
          </cell>
          <cell r="P20">
            <v>-10</v>
          </cell>
          <cell r="Q20">
            <v>-15</v>
          </cell>
          <cell r="R20">
            <v>-10</v>
          </cell>
          <cell r="S20">
            <v>-12</v>
          </cell>
          <cell r="T20">
            <v>-12</v>
          </cell>
          <cell r="U20">
            <v>-16</v>
          </cell>
          <cell r="AI20">
            <v>-65</v>
          </cell>
          <cell r="AJ20">
            <v>-45</v>
          </cell>
          <cell r="AK20">
            <v>-50</v>
          </cell>
          <cell r="AL20">
            <v>-55</v>
          </cell>
          <cell r="AM20">
            <v>-65</v>
          </cell>
          <cell r="AN20">
            <v>-65</v>
          </cell>
          <cell r="AO20">
            <v>-65</v>
          </cell>
          <cell r="AP20" t="str">
            <v>- (55)-(65) range</v>
          </cell>
        </row>
        <row r="21">
          <cell r="A21" t="str">
            <v>R&amp;D</v>
          </cell>
          <cell r="B21">
            <v>14</v>
          </cell>
          <cell r="C21">
            <v>20</v>
          </cell>
          <cell r="D21">
            <v>20</v>
          </cell>
          <cell r="E21">
            <v>25</v>
          </cell>
          <cell r="F21">
            <v>18</v>
          </cell>
          <cell r="G21">
            <v>20</v>
          </cell>
          <cell r="H21">
            <v>20</v>
          </cell>
          <cell r="I21">
            <v>14</v>
          </cell>
          <cell r="J21">
            <v>15</v>
          </cell>
          <cell r="K21">
            <v>15</v>
          </cell>
          <cell r="L21">
            <v>15</v>
          </cell>
          <cell r="M21">
            <v>17</v>
          </cell>
          <cell r="N21">
            <v>15</v>
          </cell>
          <cell r="O21">
            <v>15</v>
          </cell>
          <cell r="P21">
            <v>15</v>
          </cell>
          <cell r="Q21">
            <v>25</v>
          </cell>
          <cell r="R21">
            <v>15</v>
          </cell>
          <cell r="S21">
            <v>22</v>
          </cell>
          <cell r="T21">
            <v>27</v>
          </cell>
          <cell r="U21">
            <v>11</v>
          </cell>
          <cell r="V21">
            <v>18</v>
          </cell>
          <cell r="Z21">
            <v>63.097999999999999</v>
          </cell>
          <cell r="AA21">
            <v>58.1</v>
          </cell>
          <cell r="AB21">
            <v>10.8</v>
          </cell>
          <cell r="AC21">
            <v>10</v>
          </cell>
          <cell r="AD21">
            <v>16</v>
          </cell>
          <cell r="AE21">
            <v>16</v>
          </cell>
          <cell r="AF21">
            <v>20</v>
          </cell>
          <cell r="AG21">
            <v>79</v>
          </cell>
          <cell r="AH21">
            <v>72</v>
          </cell>
          <cell r="AI21">
            <v>62</v>
          </cell>
          <cell r="AJ21">
            <v>70</v>
          </cell>
          <cell r="AK21">
            <v>75</v>
          </cell>
          <cell r="AL21">
            <v>100</v>
          </cell>
          <cell r="AM21">
            <v>105</v>
          </cell>
          <cell r="AN21">
            <v>110</v>
          </cell>
          <cell r="AO21">
            <v>115</v>
          </cell>
          <cell r="AP21" t="str">
            <v>- R&amp;D higher 2H06/1H07: 2% sls guid</v>
          </cell>
          <cell r="BR21">
            <v>1.9</v>
          </cell>
          <cell r="BS21">
            <v>2.2999999999999998</v>
          </cell>
          <cell r="BT21">
            <v>2.7</v>
          </cell>
          <cell r="BU21">
            <v>3.1000000000000005</v>
          </cell>
          <cell r="BV21">
            <v>3.2679999999999998</v>
          </cell>
          <cell r="BW21">
            <v>2.5</v>
          </cell>
          <cell r="BX21">
            <v>4</v>
          </cell>
          <cell r="BY21">
            <v>6.2319999999999993</v>
          </cell>
          <cell r="BZ21">
            <v>3</v>
          </cell>
          <cell r="CA21">
            <v>3</v>
          </cell>
          <cell r="CB21">
            <v>3</v>
          </cell>
          <cell r="CC21">
            <v>7</v>
          </cell>
          <cell r="CD21">
            <v>3</v>
          </cell>
          <cell r="CE21">
            <v>3</v>
          </cell>
          <cell r="CF21">
            <v>3</v>
          </cell>
          <cell r="CG21">
            <v>11</v>
          </cell>
        </row>
        <row r="22">
          <cell r="A22" t="str">
            <v>Stk Opn Exp</v>
          </cell>
          <cell r="B22">
            <v>0.5</v>
          </cell>
          <cell r="C22">
            <v>0.5</v>
          </cell>
          <cell r="D22">
            <v>0.5</v>
          </cell>
          <cell r="E22">
            <v>0.5</v>
          </cell>
          <cell r="F22">
            <v>0.5</v>
          </cell>
          <cell r="G22">
            <v>0.5</v>
          </cell>
          <cell r="H22">
            <v>0.5</v>
          </cell>
          <cell r="I22">
            <v>0.5</v>
          </cell>
          <cell r="J22">
            <v>0.5</v>
          </cell>
          <cell r="K22">
            <v>0.5</v>
          </cell>
          <cell r="L22">
            <v>0.5</v>
          </cell>
          <cell r="M22">
            <v>0.5</v>
          </cell>
          <cell r="N22">
            <v>0</v>
          </cell>
          <cell r="O22">
            <v>0</v>
          </cell>
          <cell r="P22">
            <v>0</v>
          </cell>
          <cell r="Q22">
            <v>0</v>
          </cell>
          <cell r="R22">
            <v>0</v>
          </cell>
          <cell r="S22">
            <v>0</v>
          </cell>
          <cell r="T22">
            <v>0</v>
          </cell>
          <cell r="U22">
            <v>0</v>
          </cell>
          <cell r="Z22">
            <v>0</v>
          </cell>
          <cell r="AA22">
            <v>7.1859999999999999</v>
          </cell>
          <cell r="AB22">
            <v>1.64</v>
          </cell>
          <cell r="AC22">
            <v>6.9080000000000004</v>
          </cell>
          <cell r="AD22">
            <v>2</v>
          </cell>
          <cell r="AE22">
            <v>2</v>
          </cell>
          <cell r="AF22">
            <v>2</v>
          </cell>
          <cell r="AG22">
            <v>2</v>
          </cell>
          <cell r="AH22">
            <v>2</v>
          </cell>
          <cell r="AI22">
            <v>2</v>
          </cell>
          <cell r="AJ22">
            <v>0</v>
          </cell>
          <cell r="AK22">
            <v>0</v>
          </cell>
          <cell r="AL22">
            <v>0</v>
          </cell>
          <cell r="AM22">
            <v>0</v>
          </cell>
          <cell r="AN22">
            <v>0</v>
          </cell>
          <cell r="AO22">
            <v>0</v>
          </cell>
          <cell r="AP22" t="str">
            <v>- in corp line</v>
          </cell>
          <cell r="BR22">
            <v>0.32900000000000001</v>
          </cell>
          <cell r="BS22">
            <v>0</v>
          </cell>
          <cell r="BU22">
            <v>6.5790000000000006</v>
          </cell>
          <cell r="BV22">
            <v>5.1999999999999998E-2</v>
          </cell>
          <cell r="BW22">
            <v>0</v>
          </cell>
          <cell r="BX22">
            <v>0</v>
          </cell>
          <cell r="BY22">
            <v>1.948</v>
          </cell>
          <cell r="BZ22">
            <v>0.5</v>
          </cell>
          <cell r="CA22">
            <v>0.5</v>
          </cell>
          <cell r="CB22">
            <v>0.5</v>
          </cell>
          <cell r="CC22">
            <v>0.5</v>
          </cell>
          <cell r="CD22">
            <v>0.5</v>
          </cell>
          <cell r="CE22">
            <v>0.5</v>
          </cell>
          <cell r="CF22">
            <v>0.5</v>
          </cell>
          <cell r="CG22">
            <v>0.5</v>
          </cell>
        </row>
        <row r="23">
          <cell r="A23" t="str">
            <v>Amort</v>
          </cell>
          <cell r="B23">
            <v>3</v>
          </cell>
          <cell r="C23">
            <v>3</v>
          </cell>
          <cell r="D23">
            <v>3</v>
          </cell>
          <cell r="E23">
            <v>3</v>
          </cell>
          <cell r="F23">
            <v>3</v>
          </cell>
          <cell r="G23">
            <v>3</v>
          </cell>
          <cell r="H23">
            <v>3</v>
          </cell>
          <cell r="I23">
            <v>3</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v>
          </cell>
          <cell r="Z23">
            <v>7.54</v>
          </cell>
          <cell r="AA23">
            <v>9.4</v>
          </cell>
          <cell r="AB23">
            <v>7.3</v>
          </cell>
          <cell r="AC23">
            <v>9.3000000000000007</v>
          </cell>
          <cell r="AD23">
            <v>12</v>
          </cell>
          <cell r="AE23">
            <v>12</v>
          </cell>
          <cell r="AF23">
            <v>12</v>
          </cell>
          <cell r="AG23">
            <v>12</v>
          </cell>
          <cell r="AH23">
            <v>12</v>
          </cell>
          <cell r="AI23">
            <v>0</v>
          </cell>
          <cell r="AJ23">
            <v>0</v>
          </cell>
          <cell r="AK23">
            <v>0</v>
          </cell>
          <cell r="AL23">
            <v>0</v>
          </cell>
          <cell r="AM23">
            <v>0</v>
          </cell>
          <cell r="AN23">
            <v>0</v>
          </cell>
          <cell r="AO23">
            <v>0</v>
          </cell>
          <cell r="AP23" t="str">
            <v>- in corp line</v>
          </cell>
          <cell r="BR23">
            <v>1.8759999999999999</v>
          </cell>
          <cell r="BS23">
            <v>1.9</v>
          </cell>
          <cell r="BT23">
            <v>2.4</v>
          </cell>
          <cell r="BU23">
            <v>3.1240000000000006</v>
          </cell>
          <cell r="BV23">
            <v>3.1469999999999998</v>
          </cell>
          <cell r="BW23">
            <v>3.3</v>
          </cell>
          <cell r="BX23">
            <v>3</v>
          </cell>
          <cell r="BY23">
            <v>2.5530000000000008</v>
          </cell>
          <cell r="BZ23">
            <v>3</v>
          </cell>
          <cell r="CA23">
            <v>3</v>
          </cell>
          <cell r="CB23">
            <v>3</v>
          </cell>
          <cell r="CC23">
            <v>3</v>
          </cell>
          <cell r="CD23">
            <v>3</v>
          </cell>
          <cell r="CE23">
            <v>3</v>
          </cell>
          <cell r="CF23">
            <v>3</v>
          </cell>
          <cell r="CG23">
            <v>3</v>
          </cell>
        </row>
        <row r="24">
          <cell r="A24" t="str">
            <v>Total Exp</v>
          </cell>
          <cell r="B24">
            <v>619</v>
          </cell>
          <cell r="C24">
            <v>730</v>
          </cell>
          <cell r="D24">
            <v>639</v>
          </cell>
          <cell r="E24">
            <v>824</v>
          </cell>
          <cell r="F24">
            <v>554</v>
          </cell>
          <cell r="G24">
            <v>670</v>
          </cell>
          <cell r="H24">
            <v>758</v>
          </cell>
          <cell r="I24">
            <v>770</v>
          </cell>
          <cell r="J24">
            <v>540.5</v>
          </cell>
          <cell r="K24">
            <v>643.5</v>
          </cell>
          <cell r="L24">
            <v>726.5</v>
          </cell>
          <cell r="M24">
            <v>751.5</v>
          </cell>
          <cell r="N24">
            <v>635</v>
          </cell>
          <cell r="O24">
            <v>700</v>
          </cell>
          <cell r="P24">
            <v>780</v>
          </cell>
          <cell r="Q24">
            <v>823</v>
          </cell>
          <cell r="R24">
            <v>770</v>
          </cell>
          <cell r="S24">
            <v>895</v>
          </cell>
          <cell r="T24">
            <v>935</v>
          </cell>
          <cell r="U24">
            <v>872</v>
          </cell>
          <cell r="V24">
            <v>18</v>
          </cell>
          <cell r="W24">
            <v>0</v>
          </cell>
          <cell r="X24">
            <v>0</v>
          </cell>
          <cell r="Y24">
            <v>0</v>
          </cell>
          <cell r="Z24">
            <v>999.42399999999998</v>
          </cell>
          <cell r="AA24">
            <v>1013.486</v>
          </cell>
          <cell r="AB24">
            <v>1674.74</v>
          </cell>
          <cell r="AC24">
            <v>2055.2080000000001</v>
          </cell>
          <cell r="AD24">
            <v>2427</v>
          </cell>
          <cell r="AE24">
            <v>2437</v>
          </cell>
          <cell r="AF24">
            <v>2640</v>
          </cell>
          <cell r="AG24">
            <v>2812</v>
          </cell>
          <cell r="AH24">
            <v>2752</v>
          </cell>
          <cell r="AI24">
            <v>2662</v>
          </cell>
          <cell r="AJ24">
            <v>2938</v>
          </cell>
          <cell r="AK24">
            <v>3472</v>
          </cell>
          <cell r="AL24">
            <v>4105</v>
          </cell>
          <cell r="AM24">
            <v>4375</v>
          </cell>
          <cell r="AN24">
            <v>4585</v>
          </cell>
          <cell r="AO24">
            <v>4730</v>
          </cell>
          <cell r="BR24">
            <v>434.40499999999992</v>
          </cell>
          <cell r="BS24">
            <v>465</v>
          </cell>
          <cell r="BT24">
            <v>522.4</v>
          </cell>
          <cell r="BU24">
            <v>633.40300000000002</v>
          </cell>
          <cell r="BV24">
            <v>527.78800000000012</v>
          </cell>
          <cell r="BW24">
            <v>592.19999999999993</v>
          </cell>
          <cell r="BX24">
            <v>584</v>
          </cell>
          <cell r="BY24">
            <v>723.01199999999994</v>
          </cell>
          <cell r="BZ24">
            <v>526.5</v>
          </cell>
          <cell r="CA24">
            <v>589.5</v>
          </cell>
          <cell r="CB24">
            <v>584.5</v>
          </cell>
          <cell r="CC24">
            <v>736.5</v>
          </cell>
          <cell r="CD24">
            <v>526.5</v>
          </cell>
          <cell r="CE24">
            <v>589.5</v>
          </cell>
          <cell r="CF24">
            <v>584.5</v>
          </cell>
          <cell r="CG24">
            <v>939.5</v>
          </cell>
        </row>
        <row r="26">
          <cell r="A26" t="str">
            <v>Exp as % Sales</v>
          </cell>
          <cell r="BZ26">
            <v>203.5</v>
          </cell>
          <cell r="CA26">
            <v>231.5</v>
          </cell>
          <cell r="CB26">
            <v>148.5</v>
          </cell>
          <cell r="CC26">
            <v>8.5</v>
          </cell>
          <cell r="CD26">
            <v>185.5</v>
          </cell>
          <cell r="CE26">
            <v>175.5</v>
          </cell>
          <cell r="CF26">
            <v>253.5</v>
          </cell>
          <cell r="CG26">
            <v>10.500000000003638</v>
          </cell>
        </row>
        <row r="27">
          <cell r="A27" t="str">
            <v>COGS</v>
          </cell>
          <cell r="B27">
            <v>0.7463958060288336</v>
          </cell>
          <cell r="C27">
            <v>0.75738636363636369</v>
          </cell>
          <cell r="D27">
            <v>0.77740189445196206</v>
          </cell>
          <cell r="E27">
            <v>0.81973539140021967</v>
          </cell>
          <cell r="F27">
            <v>0.84090909090909094</v>
          </cell>
          <cell r="G27">
            <v>0.84825174825174821</v>
          </cell>
          <cell r="H27">
            <v>0.85829207920792083</v>
          </cell>
          <cell r="I27">
            <v>0.85826296743063646</v>
          </cell>
          <cell r="J27">
            <v>0.8366336633663366</v>
          </cell>
          <cell r="K27">
            <v>0.85531914893617023</v>
          </cell>
          <cell r="L27">
            <v>0.8365853658536585</v>
          </cell>
          <cell r="M27">
            <v>0.80249716231555068</v>
          </cell>
          <cell r="N27">
            <v>0.77025232403718458</v>
          </cell>
          <cell r="O27">
            <v>0.77294685990338163</v>
          </cell>
          <cell r="P27">
            <v>0.77814569536423839</v>
          </cell>
          <cell r="Q27">
            <v>0.77484143763213487</v>
          </cell>
          <cell r="R27">
            <v>0.76426264800861143</v>
          </cell>
          <cell r="S27">
            <v>0.76850984067478911</v>
          </cell>
          <cell r="T27">
            <v>0.77276908923643051</v>
          </cell>
          <cell r="U27">
            <v>0.76669893514036758</v>
          </cell>
          <cell r="Z27">
            <v>0.80224269668962689</v>
          </cell>
          <cell r="AA27">
            <v>0.78903826266804544</v>
          </cell>
          <cell r="AB27">
            <v>0.81822957709482536</v>
          </cell>
          <cell r="AC27">
            <v>0.78570840197693581</v>
          </cell>
          <cell r="AD27">
            <v>0.77793056033001029</v>
          </cell>
          <cell r="AE27">
            <v>0.75008253549026083</v>
          </cell>
          <cell r="AF27">
            <v>0.75191424196018297</v>
          </cell>
          <cell r="AG27">
            <v>0.77652782000608067</v>
          </cell>
          <cell r="AH27">
            <v>0.85234215885946973</v>
          </cell>
          <cell r="AI27">
            <v>0.83100929614873842</v>
          </cell>
          <cell r="AJ27">
            <v>0.77424992717739571</v>
          </cell>
          <cell r="AK27">
            <v>0.76822157434402327</v>
          </cell>
          <cell r="AL27">
            <v>0.7483776405212812</v>
          </cell>
          <cell r="AM27">
            <v>0.73470864258245372</v>
          </cell>
          <cell r="AN27">
            <v>0.72929599112879784</v>
          </cell>
          <cell r="AO27">
            <v>0.75365168473753041</v>
          </cell>
          <cell r="BR27">
            <v>0.80333730631704414</v>
          </cell>
          <cell r="BS27">
            <v>0.77414721723518853</v>
          </cell>
          <cell r="BT27">
            <v>0.77834557649313307</v>
          </cell>
          <cell r="BU27">
            <v>0.78864310763420575</v>
          </cell>
          <cell r="BV27">
            <v>0.78452407614781638</v>
          </cell>
          <cell r="BW27">
            <v>0.78270697937270417</v>
          </cell>
          <cell r="BX27">
            <v>0.76478873239436618</v>
          </cell>
          <cell r="BY27">
            <v>0.78004156563907179</v>
          </cell>
          <cell r="BZ27">
            <v>0.68493150684931503</v>
          </cell>
          <cell r="CA27">
            <v>0.66991473812423874</v>
          </cell>
          <cell r="CB27">
            <v>0.73669849931787179</v>
          </cell>
          <cell r="CC27">
            <v>0.91543624161073822</v>
          </cell>
          <cell r="CD27">
            <v>0.702247191011236</v>
          </cell>
          <cell r="CE27">
            <v>0.71895424836601307</v>
          </cell>
          <cell r="CF27">
            <v>0.64439140811455842</v>
          </cell>
          <cell r="CG27">
            <v>0.91052631578947019</v>
          </cell>
        </row>
        <row r="28">
          <cell r="A28" t="str">
            <v>SGA</v>
          </cell>
          <cell r="B28">
            <v>4.1939711664482307E-2</v>
          </cell>
          <cell r="C28">
            <v>4.5454545454545456E-2</v>
          </cell>
          <cell r="D28">
            <v>5.5480378890392423E-2</v>
          </cell>
          <cell r="E28">
            <v>5.7331863285556721E-2</v>
          </cell>
          <cell r="F28">
            <v>5.5555555555555552E-2</v>
          </cell>
          <cell r="G28">
            <v>5.5944055944055944E-2</v>
          </cell>
          <cell r="H28">
            <v>5.0742574257425746E-2</v>
          </cell>
          <cell r="I28">
            <v>4.9457177322074629E-2</v>
          </cell>
          <cell r="J28">
            <v>5.4455445544554455E-2</v>
          </cell>
          <cell r="K28">
            <v>5.6737588652482268E-2</v>
          </cell>
          <cell r="L28">
            <v>4.878048780487805E-2</v>
          </cell>
          <cell r="M28">
            <v>5.3348467650397288E-2</v>
          </cell>
          <cell r="N28">
            <v>6.6401062416998669E-2</v>
          </cell>
          <cell r="O28">
            <v>6.6425120772946863E-2</v>
          </cell>
          <cell r="P28">
            <v>7.7262693156732898E-2</v>
          </cell>
          <cell r="Q28">
            <v>8.4566596194503116E-2</v>
          </cell>
          <cell r="R28">
            <v>5.9203444564047365E-2</v>
          </cell>
          <cell r="S28">
            <v>6.0918462980318652E-2</v>
          </cell>
          <cell r="T28">
            <v>7.3597056117755286E-2</v>
          </cell>
          <cell r="U28">
            <v>8.2284607938044499E-2</v>
          </cell>
          <cell r="Z28">
            <v>8.9522560426456108E-2</v>
          </cell>
          <cell r="AA28">
            <v>9.3541412052270373E-2</v>
          </cell>
          <cell r="AB28">
            <v>5.1221434200157602E-2</v>
          </cell>
          <cell r="AC28">
            <v>4.9958813838550248E-2</v>
          </cell>
          <cell r="AD28">
            <v>4.6063939498109316E-2</v>
          </cell>
          <cell r="AE28">
            <v>4.4569164740838559E-2</v>
          </cell>
          <cell r="AF28">
            <v>4.6248085758039764E-2</v>
          </cell>
          <cell r="AG28">
            <v>5.0167224080267546E-2</v>
          </cell>
          <cell r="AH28">
            <v>5.2613713509843806E-2</v>
          </cell>
          <cell r="AI28">
            <v>5.3120849933598939E-2</v>
          </cell>
          <cell r="AJ28">
            <v>7.4279056219050385E-2</v>
          </cell>
          <cell r="AK28">
            <v>6.9241982507288635E-2</v>
          </cell>
          <cell r="AL28">
            <v>6.7303760959632003E-2</v>
          </cell>
          <cell r="AM28">
            <v>6.6539650648976933E-2</v>
          </cell>
          <cell r="AN28">
            <v>6.470971623924586E-2</v>
          </cell>
          <cell r="AO28">
            <v>6.6601776790758502E-2</v>
          </cell>
          <cell r="BR28">
            <v>5.1450139054429876E-2</v>
          </cell>
          <cell r="BS28">
            <v>5.3141831238779177E-2</v>
          </cell>
          <cell r="BT28">
            <v>4.7748323219418708E-2</v>
          </cell>
          <cell r="BU28">
            <v>4.8421904504990558E-2</v>
          </cell>
          <cell r="BV28">
            <v>4.9456087026075825E-2</v>
          </cell>
          <cell r="BW28">
            <v>4.5775642836959597E-2</v>
          </cell>
          <cell r="BX28">
            <v>4.788732394366197E-2</v>
          </cell>
          <cell r="BY28">
            <v>4.235654081514837E-2</v>
          </cell>
          <cell r="BZ28">
            <v>2.7397260273972601E-2</v>
          </cell>
          <cell r="CA28">
            <v>4.0194884287454324E-2</v>
          </cell>
          <cell r="CB28">
            <v>5.1841746248294678E-2</v>
          </cell>
          <cell r="CC28">
            <v>5.9060402684563758E-2</v>
          </cell>
          <cell r="CD28">
            <v>2.8089887640449437E-2</v>
          </cell>
          <cell r="CE28">
            <v>4.3137254901960784E-2</v>
          </cell>
          <cell r="CF28">
            <v>4.5346062052505964E-2</v>
          </cell>
          <cell r="CG28">
            <v>6.3157894736841858E-2</v>
          </cell>
        </row>
        <row r="29">
          <cell r="A29" t="str">
            <v>R&amp;D</v>
          </cell>
          <cell r="B29">
            <v>1.834862385321101E-2</v>
          </cell>
          <cell r="C29">
            <v>2.2727272727272728E-2</v>
          </cell>
          <cell r="D29">
            <v>2.7063599458728011E-2</v>
          </cell>
          <cell r="E29">
            <v>2.7563395810363808E-2</v>
          </cell>
          <cell r="F29">
            <v>3.0303030303030304E-2</v>
          </cell>
          <cell r="G29">
            <v>2.7972027972027972E-2</v>
          </cell>
          <cell r="H29">
            <v>2.4752475247524754E-2</v>
          </cell>
          <cell r="I29">
            <v>1.6887816646562068E-2</v>
          </cell>
          <cell r="J29">
            <v>2.4752475247524754E-2</v>
          </cell>
          <cell r="K29">
            <v>2.1276595744680851E-2</v>
          </cell>
          <cell r="L29">
            <v>1.8292682926829267E-2</v>
          </cell>
          <cell r="M29">
            <v>1.9296254256526681E-2</v>
          </cell>
          <cell r="N29">
            <v>1.9920318725099601E-2</v>
          </cell>
          <cell r="O29">
            <v>1.8115942028985508E-2</v>
          </cell>
          <cell r="P29">
            <v>1.6556291390728478E-2</v>
          </cell>
          <cell r="Q29">
            <v>2.6427061310782225E-2</v>
          </cell>
          <cell r="R29">
            <v>1.6146393972012917E-2</v>
          </cell>
          <cell r="S29">
            <v>2.0618556701030927E-2</v>
          </cell>
          <cell r="T29">
            <v>2.4839006439742409E-2</v>
          </cell>
          <cell r="U29">
            <v>1.0648596321393993E-2</v>
          </cell>
          <cell r="Z29">
            <v>6.0582959038476686E-2</v>
          </cell>
          <cell r="AA29">
            <v>5.4620663720973961E-2</v>
          </cell>
          <cell r="AB29">
            <v>5.6737588652482273E-3</v>
          </cell>
          <cell r="AC29">
            <v>4.1186161449752881E-3</v>
          </cell>
          <cell r="AD29">
            <v>5.5001718803712619E-3</v>
          </cell>
          <cell r="AE29">
            <v>5.2822713766919778E-3</v>
          </cell>
          <cell r="AF29">
            <v>6.1255742725880484E-3</v>
          </cell>
          <cell r="AG29">
            <v>2.4019458802067493E-2</v>
          </cell>
          <cell r="AH29">
            <v>2.4439918533604867E-2</v>
          </cell>
          <cell r="AI29">
            <v>2.0584329349269587E-2</v>
          </cell>
          <cell r="AJ29">
            <v>2.0390329158170694E-2</v>
          </cell>
          <cell r="AK29">
            <v>1.8221574344023325E-2</v>
          </cell>
          <cell r="AL29">
            <v>2.0090674913322986E-2</v>
          </cell>
          <cell r="AM29">
            <v>1.9407398105951608E-2</v>
          </cell>
          <cell r="AN29">
            <v>1.9238023746802821E-2</v>
          </cell>
          <cell r="AO29">
            <v>2.0155800870887444E-2</v>
          </cell>
          <cell r="AP29" t="str">
            <v>- R&amp;D~2% sls guid</v>
          </cell>
          <cell r="BR29">
            <v>3.7743345252284465E-3</v>
          </cell>
          <cell r="BS29">
            <v>4.1292639138240574E-3</v>
          </cell>
          <cell r="BT29">
            <v>4.3117214947301181E-3</v>
          </cell>
          <cell r="BU29">
            <v>4.1812786619908294E-3</v>
          </cell>
          <cell r="BV29">
            <v>5.2279635258358657E-3</v>
          </cell>
          <cell r="BW29">
            <v>3.5320712065555243E-3</v>
          </cell>
          <cell r="BX29">
            <v>5.6338028169014088E-3</v>
          </cell>
          <cell r="BY29">
            <v>7.1954739637455261E-3</v>
          </cell>
          <cell r="BZ29">
            <v>4.10958904109589E-3</v>
          </cell>
          <cell r="CA29">
            <v>3.6540803897685747E-3</v>
          </cell>
          <cell r="CB29">
            <v>4.0927694406548429E-3</v>
          </cell>
          <cell r="CC29">
            <v>9.3959731543624154E-3</v>
          </cell>
          <cell r="CD29">
            <v>4.2134831460674156E-3</v>
          </cell>
          <cell r="CE29">
            <v>3.9215686274509803E-3</v>
          </cell>
          <cell r="CF29">
            <v>3.5799522673031028E-3</v>
          </cell>
          <cell r="CG29">
            <v>1.1578947368421008E-2</v>
          </cell>
        </row>
        <row r="30">
          <cell r="A30" t="str">
            <v>Stk Opn Exp</v>
          </cell>
          <cell r="B30">
            <v>6.5530799475753605E-4</v>
          </cell>
          <cell r="C30">
            <v>5.6818181818181815E-4</v>
          </cell>
          <cell r="D30">
            <v>6.7658998646820032E-4</v>
          </cell>
          <cell r="E30">
            <v>5.512679162072762E-4</v>
          </cell>
          <cell r="F30">
            <v>8.4175084175084171E-4</v>
          </cell>
          <cell r="G30">
            <v>6.993006993006993E-4</v>
          </cell>
          <cell r="H30">
            <v>6.1881188118811882E-4</v>
          </cell>
          <cell r="I30">
            <v>6.0313630880578812E-4</v>
          </cell>
          <cell r="J30">
            <v>8.2508250825082509E-4</v>
          </cell>
          <cell r="K30">
            <v>7.0921985815602842E-4</v>
          </cell>
          <cell r="L30">
            <v>6.0975609756097561E-4</v>
          </cell>
          <cell r="M30">
            <v>5.6753688989784345E-4</v>
          </cell>
          <cell r="N30">
            <v>0</v>
          </cell>
          <cell r="O30">
            <v>0</v>
          </cell>
          <cell r="P30">
            <v>0</v>
          </cell>
          <cell r="Q30">
            <v>0</v>
          </cell>
          <cell r="R30">
            <v>0</v>
          </cell>
          <cell r="S30">
            <v>0</v>
          </cell>
          <cell r="T30">
            <v>0</v>
          </cell>
          <cell r="U30">
            <v>0</v>
          </cell>
          <cell r="Z30">
            <v>0</v>
          </cell>
          <cell r="AA30">
            <v>6.7556641910313051E-3</v>
          </cell>
          <cell r="AB30">
            <v>8.6157079064880476E-4</v>
          </cell>
          <cell r="AC30">
            <v>2.8451400329489295E-3</v>
          </cell>
          <cell r="AD30">
            <v>6.8752148504640774E-4</v>
          </cell>
          <cell r="AE30">
            <v>6.6028392208649722E-4</v>
          </cell>
          <cell r="AF30">
            <v>6.1255742725880484E-4</v>
          </cell>
          <cell r="AG30">
            <v>6.0808756460930353E-4</v>
          </cell>
          <cell r="AH30">
            <v>6.7888662593346843E-4</v>
          </cell>
          <cell r="AI30">
            <v>6.6401062416998667E-4</v>
          </cell>
          <cell r="AJ30">
            <v>0</v>
          </cell>
          <cell r="AK30">
            <v>0</v>
          </cell>
          <cell r="AL30">
            <v>0</v>
          </cell>
          <cell r="AM30">
            <v>0</v>
          </cell>
          <cell r="AN30">
            <v>0</v>
          </cell>
          <cell r="AO30">
            <v>0</v>
          </cell>
          <cell r="BR30">
            <v>6.535558204211363E-4</v>
          </cell>
          <cell r="BS30">
            <v>0</v>
          </cell>
          <cell r="BT30">
            <v>0</v>
          </cell>
          <cell r="BU30">
            <v>8.8737523603992473E-3</v>
          </cell>
          <cell r="BV30">
            <v>8.3186690129579256E-5</v>
          </cell>
          <cell r="BW30">
            <v>0</v>
          </cell>
          <cell r="BX30">
            <v>0</v>
          </cell>
          <cell r="BY30">
            <v>2.2491629142131395E-3</v>
          </cell>
          <cell r="BZ30">
            <v>6.8493150684931507E-4</v>
          </cell>
          <cell r="CA30">
            <v>6.0901339829476245E-4</v>
          </cell>
          <cell r="CB30">
            <v>6.8212824010914052E-4</v>
          </cell>
          <cell r="CC30">
            <v>6.711409395973154E-4</v>
          </cell>
          <cell r="CD30">
            <v>7.0224719101123594E-4</v>
          </cell>
          <cell r="CE30">
            <v>6.5359477124183002E-4</v>
          </cell>
          <cell r="CF30">
            <v>5.966587112171838E-4</v>
          </cell>
          <cell r="CG30">
            <v>5.2631578947368225E-4</v>
          </cell>
        </row>
        <row r="31">
          <cell r="A31" t="str">
            <v>Amort</v>
          </cell>
          <cell r="B31">
            <v>3.9318479685452159E-3</v>
          </cell>
          <cell r="C31">
            <v>3.4090909090909089E-3</v>
          </cell>
          <cell r="D31">
            <v>4.0595399188092015E-3</v>
          </cell>
          <cell r="E31">
            <v>3.307607497243657E-3</v>
          </cell>
          <cell r="F31">
            <v>5.0505050505050509E-3</v>
          </cell>
          <cell r="G31">
            <v>4.1958041958041958E-3</v>
          </cell>
          <cell r="H31">
            <v>3.7128712871287127E-3</v>
          </cell>
          <cell r="I31">
            <v>3.6188178528347289E-3</v>
          </cell>
          <cell r="J31">
            <v>0</v>
          </cell>
          <cell r="K31">
            <v>0</v>
          </cell>
          <cell r="L31">
            <v>0</v>
          </cell>
          <cell r="M31">
            <v>0</v>
          </cell>
          <cell r="N31">
            <v>0</v>
          </cell>
          <cell r="O31">
            <v>0</v>
          </cell>
          <cell r="P31">
            <v>0</v>
          </cell>
          <cell r="Q31">
            <v>0</v>
          </cell>
          <cell r="R31">
            <v>0</v>
          </cell>
          <cell r="S31">
            <v>0</v>
          </cell>
          <cell r="T31">
            <v>0</v>
          </cell>
          <cell r="U31">
            <v>0</v>
          </cell>
          <cell r="Z31">
            <v>7.2394610154064183E-3</v>
          </cell>
          <cell r="AA31">
            <v>8.8370781235310707E-3</v>
          </cell>
          <cell r="AB31">
            <v>3.8350407144733386E-3</v>
          </cell>
          <cell r="AC31">
            <v>3.8303130148270182E-3</v>
          </cell>
          <cell r="AD31">
            <v>4.125128910278446E-3</v>
          </cell>
          <cell r="AE31">
            <v>3.9617035325189833E-3</v>
          </cell>
          <cell r="AF31">
            <v>3.6753445635528291E-3</v>
          </cell>
          <cell r="AG31">
            <v>3.6485253876558216E-3</v>
          </cell>
          <cell r="AH31">
            <v>4.0733197556008108E-3</v>
          </cell>
          <cell r="AI31">
            <v>0</v>
          </cell>
          <cell r="AJ31">
            <v>0</v>
          </cell>
          <cell r="AK31">
            <v>0</v>
          </cell>
          <cell r="AL31">
            <v>0</v>
          </cell>
          <cell r="AM31">
            <v>0</v>
          </cell>
          <cell r="AN31">
            <v>0</v>
          </cell>
          <cell r="AO31">
            <v>0</v>
          </cell>
          <cell r="BR31">
            <v>3.726658720699245E-3</v>
          </cell>
          <cell r="BS31">
            <v>3.4111310592459605E-3</v>
          </cell>
          <cell r="BT31">
            <v>3.8326413286489933E-3</v>
          </cell>
          <cell r="BU31">
            <v>4.2136498516320486E-3</v>
          </cell>
          <cell r="BV31">
            <v>5.0343944968804987E-3</v>
          </cell>
          <cell r="BW31">
            <v>4.6623339926532923E-3</v>
          </cell>
          <cell r="BX31">
            <v>4.2253521126760559E-3</v>
          </cell>
          <cell r="BY31">
            <v>2.947696570834778E-3</v>
          </cell>
          <cell r="BZ31">
            <v>4.10958904109589E-3</v>
          </cell>
          <cell r="CA31">
            <v>3.6540803897685747E-3</v>
          </cell>
          <cell r="CB31">
            <v>4.0927694406548429E-3</v>
          </cell>
          <cell r="CC31">
            <v>4.0268456375838931E-3</v>
          </cell>
          <cell r="CD31">
            <v>4.2134831460674156E-3</v>
          </cell>
          <cell r="CE31">
            <v>3.9215686274509803E-3</v>
          </cell>
          <cell r="CF31">
            <v>3.5799522673031028E-3</v>
          </cell>
          <cell r="CG31">
            <v>3.157894736842093E-3</v>
          </cell>
        </row>
        <row r="32">
          <cell r="A32" t="str">
            <v>Total Exp/Sales</v>
          </cell>
          <cell r="B32">
            <v>0.81127129750982963</v>
          </cell>
          <cell r="C32">
            <v>0.82954545454545459</v>
          </cell>
          <cell r="D32">
            <v>0.86468200270635998</v>
          </cell>
          <cell r="E32">
            <v>0.9084895259095912</v>
          </cell>
          <cell r="F32">
            <v>0.93265993265993263</v>
          </cell>
          <cell r="G32">
            <v>0.93706293706293708</v>
          </cell>
          <cell r="H32">
            <v>0.93811881188118806</v>
          </cell>
          <cell r="I32">
            <v>0.92882991556091365</v>
          </cell>
          <cell r="J32">
            <v>0.89191419141914197</v>
          </cell>
          <cell r="K32">
            <v>0.91276595744680855</v>
          </cell>
          <cell r="L32">
            <v>0.88597560975609757</v>
          </cell>
          <cell r="M32">
            <v>0.85300794551645875</v>
          </cell>
          <cell r="N32">
            <v>0.84329349269588316</v>
          </cell>
          <cell r="O32">
            <v>0.84541062801932365</v>
          </cell>
          <cell r="P32">
            <v>0.86092715231788075</v>
          </cell>
          <cell r="Q32">
            <v>0.8699788583509509</v>
          </cell>
          <cell r="R32">
            <v>0.82884822389666313</v>
          </cell>
          <cell r="S32">
            <v>0.83880037488284909</v>
          </cell>
          <cell r="T32">
            <v>0.86016559337626497</v>
          </cell>
          <cell r="U32">
            <v>0.84414327202323292</v>
          </cell>
          <cell r="Z32">
            <v>0.95958767716996607</v>
          </cell>
          <cell r="AA32">
            <v>0.95279308075585212</v>
          </cell>
          <cell r="AB32">
            <v>0.87982138166535329</v>
          </cell>
          <cell r="AC32">
            <v>0.84646128500823725</v>
          </cell>
          <cell r="AD32">
            <v>0.83430732210381575</v>
          </cell>
          <cell r="AE32">
            <v>0.80455595906239685</v>
          </cell>
          <cell r="AF32">
            <v>0.80857580398162232</v>
          </cell>
          <cell r="AG32">
            <v>0.85497111584068086</v>
          </cell>
          <cell r="AH32">
            <v>0.93414799728445264</v>
          </cell>
          <cell r="AI32">
            <v>0.88379814077025232</v>
          </cell>
          <cell r="AJ32">
            <v>0.85581124381007856</v>
          </cell>
          <cell r="AK32">
            <v>0.84353741496598644</v>
          </cell>
          <cell r="AL32">
            <v>0.82472220519190853</v>
          </cell>
          <cell r="AM32">
            <v>0.80864158774798367</v>
          </cell>
          <cell r="AN32">
            <v>0.80187580799173575</v>
          </cell>
          <cell r="AO32">
            <v>0.82901685321128349</v>
          </cell>
          <cell r="BR32">
            <v>0.86294199443782271</v>
          </cell>
          <cell r="BS32">
            <v>0.83482944344703769</v>
          </cell>
          <cell r="BT32">
            <v>0.83423826253593092</v>
          </cell>
          <cell r="BU32">
            <v>0.85433369301321838</v>
          </cell>
          <cell r="BV32">
            <v>0.84432570788673833</v>
          </cell>
          <cell r="BW32">
            <v>0.83667702740887251</v>
          </cell>
          <cell r="BX32">
            <v>0.82253521126760565</v>
          </cell>
          <cell r="BY32">
            <v>0.83479043990301349</v>
          </cell>
          <cell r="BZ32">
            <v>0.72123287671232872</v>
          </cell>
          <cell r="CA32">
            <v>0.71802679658952495</v>
          </cell>
          <cell r="CB32">
            <v>0.79740791268758526</v>
          </cell>
          <cell r="CC32">
            <v>0.98859060402684562</v>
          </cell>
          <cell r="CD32">
            <v>0.7394662921348315</v>
          </cell>
          <cell r="CE32">
            <v>0.77058823529411768</v>
          </cell>
          <cell r="CF32">
            <v>0.69749403341288785</v>
          </cell>
          <cell r="CG32">
            <v>0.9889473684210488</v>
          </cell>
        </row>
        <row r="33">
          <cell r="A33" t="str">
            <v>Operating Profit</v>
          </cell>
        </row>
        <row r="34">
          <cell r="A34" t="str">
            <v>New Aircraft</v>
          </cell>
          <cell r="B34">
            <v>130</v>
          </cell>
          <cell r="C34">
            <v>162</v>
          </cell>
          <cell r="D34">
            <v>122</v>
          </cell>
          <cell r="E34">
            <v>89</v>
          </cell>
          <cell r="F34">
            <v>56</v>
          </cell>
          <cell r="G34">
            <v>58</v>
          </cell>
          <cell r="H34">
            <v>58</v>
          </cell>
          <cell r="I34">
            <v>70</v>
          </cell>
          <cell r="J34">
            <v>57.5</v>
          </cell>
          <cell r="K34">
            <v>71</v>
          </cell>
          <cell r="L34">
            <v>79</v>
          </cell>
          <cell r="M34">
            <v>114.5</v>
          </cell>
          <cell r="N34">
            <v>77</v>
          </cell>
          <cell r="O34">
            <v>100</v>
          </cell>
          <cell r="P34">
            <v>110</v>
          </cell>
          <cell r="Q34">
            <v>90</v>
          </cell>
          <cell r="R34">
            <v>121</v>
          </cell>
          <cell r="S34">
            <v>127</v>
          </cell>
          <cell r="T34">
            <v>133</v>
          </cell>
          <cell r="U34">
            <v>135</v>
          </cell>
          <cell r="V34">
            <v>145</v>
          </cell>
          <cell r="AA34">
            <v>193.9</v>
          </cell>
          <cell r="AB34">
            <v>297.5</v>
          </cell>
          <cell r="AC34">
            <v>464.3</v>
          </cell>
          <cell r="AD34">
            <v>536</v>
          </cell>
          <cell r="AE34">
            <v>565</v>
          </cell>
          <cell r="AF34">
            <v>570</v>
          </cell>
          <cell r="AG34">
            <v>503</v>
          </cell>
          <cell r="AH34">
            <v>242</v>
          </cell>
          <cell r="AI34">
            <v>322</v>
          </cell>
          <cell r="AJ34">
            <v>377</v>
          </cell>
          <cell r="AK34">
            <v>516</v>
          </cell>
          <cell r="AL34">
            <v>430</v>
          </cell>
          <cell r="AM34">
            <v>430</v>
          </cell>
          <cell r="AN34">
            <v>430</v>
          </cell>
          <cell r="AO34">
            <v>430</v>
          </cell>
          <cell r="BR34">
            <v>87.4</v>
          </cell>
          <cell r="BV34">
            <v>120.8</v>
          </cell>
          <cell r="BW34">
            <v>135.4</v>
          </cell>
          <cell r="BX34">
            <v>138</v>
          </cell>
          <cell r="BY34">
            <v>141.80000000000001</v>
          </cell>
          <cell r="BZ34">
            <v>123</v>
          </cell>
          <cell r="CA34">
            <v>142</v>
          </cell>
          <cell r="CB34">
            <v>140</v>
          </cell>
          <cell r="CC34">
            <v>160</v>
          </cell>
          <cell r="CD34">
            <v>123</v>
          </cell>
          <cell r="CE34">
            <v>142</v>
          </cell>
          <cell r="CF34">
            <v>155</v>
          </cell>
          <cell r="CG34">
            <v>150</v>
          </cell>
        </row>
        <row r="35">
          <cell r="A35" t="str">
            <v>Used Aircraft</v>
          </cell>
          <cell r="B35">
            <v>6</v>
          </cell>
          <cell r="C35">
            <v>-25</v>
          </cell>
          <cell r="D35">
            <v>-25</v>
          </cell>
          <cell r="E35">
            <v>-37</v>
          </cell>
          <cell r="F35">
            <v>-24</v>
          </cell>
          <cell r="G35">
            <v>-24</v>
          </cell>
          <cell r="H35">
            <v>-11</v>
          </cell>
          <cell r="I35">
            <v>-5</v>
          </cell>
          <cell r="J35">
            <v>0</v>
          </cell>
          <cell r="K35">
            <v>0</v>
          </cell>
          <cell r="L35">
            <v>0</v>
          </cell>
          <cell r="M35">
            <v>6</v>
          </cell>
          <cell r="N35">
            <v>2</v>
          </cell>
          <cell r="O35">
            <v>0</v>
          </cell>
          <cell r="P35">
            <v>8</v>
          </cell>
          <cell r="Q35">
            <v>3</v>
          </cell>
          <cell r="R35">
            <v>0</v>
          </cell>
          <cell r="S35">
            <v>13</v>
          </cell>
          <cell r="T35">
            <v>4</v>
          </cell>
          <cell r="U35">
            <v>3</v>
          </cell>
          <cell r="V35">
            <v>2</v>
          </cell>
          <cell r="W35">
            <v>0</v>
          </cell>
          <cell r="X35">
            <v>4</v>
          </cell>
          <cell r="AA35">
            <v>-1.7</v>
          </cell>
          <cell r="AB35">
            <v>8.1999999999999993</v>
          </cell>
          <cell r="AC35">
            <v>11.4</v>
          </cell>
          <cell r="AD35">
            <v>-8</v>
          </cell>
          <cell r="AE35">
            <v>0</v>
          </cell>
          <cell r="AF35">
            <v>0</v>
          </cell>
          <cell r="AG35">
            <v>-81</v>
          </cell>
          <cell r="AH35">
            <v>-64</v>
          </cell>
          <cell r="AI35">
            <v>6</v>
          </cell>
          <cell r="AJ35">
            <v>13</v>
          </cell>
          <cell r="AK35">
            <v>20</v>
          </cell>
          <cell r="AL35">
            <v>0</v>
          </cell>
          <cell r="AM35">
            <v>0</v>
          </cell>
          <cell r="AN35">
            <v>0</v>
          </cell>
          <cell r="AO35">
            <v>0</v>
          </cell>
          <cell r="BR35">
            <v>2.7</v>
          </cell>
          <cell r="BV35">
            <v>-1.6</v>
          </cell>
          <cell r="BW35">
            <v>0</v>
          </cell>
          <cell r="BX35">
            <v>4.5</v>
          </cell>
          <cell r="BY35">
            <v>-10.9</v>
          </cell>
          <cell r="BZ35">
            <v>0</v>
          </cell>
          <cell r="CA35">
            <v>1</v>
          </cell>
          <cell r="CB35">
            <v>0</v>
          </cell>
          <cell r="CC35">
            <v>1</v>
          </cell>
          <cell r="CD35">
            <v>0</v>
          </cell>
          <cell r="CE35">
            <v>1</v>
          </cell>
          <cell r="CF35">
            <v>5</v>
          </cell>
          <cell r="CG35">
            <v>-6</v>
          </cell>
        </row>
        <row r="36">
          <cell r="A36" t="str">
            <v>Spares/support</v>
          </cell>
          <cell r="B36">
            <v>20</v>
          </cell>
          <cell r="C36">
            <v>25</v>
          </cell>
          <cell r="D36">
            <v>15</v>
          </cell>
          <cell r="E36">
            <v>10</v>
          </cell>
          <cell r="F36">
            <v>16</v>
          </cell>
          <cell r="G36">
            <v>19</v>
          </cell>
          <cell r="H36">
            <v>17</v>
          </cell>
          <cell r="I36">
            <v>28</v>
          </cell>
          <cell r="J36">
            <v>15</v>
          </cell>
          <cell r="K36">
            <v>20</v>
          </cell>
          <cell r="L36">
            <v>22</v>
          </cell>
          <cell r="M36">
            <v>23</v>
          </cell>
          <cell r="N36">
            <v>22</v>
          </cell>
          <cell r="O36">
            <v>25</v>
          </cell>
          <cell r="P36">
            <v>28</v>
          </cell>
          <cell r="Q36">
            <v>30</v>
          </cell>
          <cell r="R36">
            <v>24</v>
          </cell>
          <cell r="S36">
            <v>26</v>
          </cell>
          <cell r="T36">
            <v>28</v>
          </cell>
          <cell r="U36">
            <v>30</v>
          </cell>
          <cell r="V36">
            <v>26</v>
          </cell>
          <cell r="W36">
            <v>29</v>
          </cell>
          <cell r="X36">
            <v>32</v>
          </cell>
          <cell r="AA36">
            <v>36.5</v>
          </cell>
          <cell r="AB36">
            <v>45</v>
          </cell>
          <cell r="AC36">
            <v>53.7</v>
          </cell>
          <cell r="AD36">
            <v>68</v>
          </cell>
          <cell r="AE36">
            <v>80</v>
          </cell>
          <cell r="AF36">
            <v>96</v>
          </cell>
          <cell r="AG36">
            <v>70</v>
          </cell>
          <cell r="AH36">
            <v>80</v>
          </cell>
          <cell r="AI36">
            <v>80</v>
          </cell>
          <cell r="AJ36">
            <v>105</v>
          </cell>
          <cell r="AK36">
            <v>108</v>
          </cell>
          <cell r="AL36">
            <v>80</v>
          </cell>
          <cell r="AM36">
            <v>80</v>
          </cell>
          <cell r="AN36">
            <v>80</v>
          </cell>
          <cell r="AO36">
            <v>80</v>
          </cell>
          <cell r="BR36">
            <v>9.9</v>
          </cell>
          <cell r="BV36">
            <v>15.8</v>
          </cell>
          <cell r="BW36">
            <v>19.2</v>
          </cell>
          <cell r="BX36">
            <v>19</v>
          </cell>
          <cell r="BY36">
            <v>14</v>
          </cell>
          <cell r="BZ36">
            <v>20</v>
          </cell>
          <cell r="CA36">
            <v>23</v>
          </cell>
          <cell r="CB36">
            <v>20</v>
          </cell>
          <cell r="CC36">
            <v>17</v>
          </cell>
          <cell r="CD36">
            <v>20</v>
          </cell>
          <cell r="CE36">
            <v>23</v>
          </cell>
          <cell r="CF36">
            <v>10</v>
          </cell>
          <cell r="CG36">
            <v>43</v>
          </cell>
        </row>
        <row r="37">
          <cell r="A37" t="str">
            <v>Unallocated Exp</v>
          </cell>
          <cell r="B37">
            <v>-12</v>
          </cell>
          <cell r="C37">
            <v>-12</v>
          </cell>
          <cell r="D37">
            <v>-12</v>
          </cell>
          <cell r="E37">
            <v>-9</v>
          </cell>
          <cell r="F37">
            <v>-8</v>
          </cell>
          <cell r="G37">
            <v>-8</v>
          </cell>
          <cell r="H37">
            <v>-14</v>
          </cell>
          <cell r="I37">
            <v>-10</v>
          </cell>
          <cell r="J37">
            <v>-7</v>
          </cell>
          <cell r="K37">
            <v>-4</v>
          </cell>
          <cell r="L37">
            <v>-4</v>
          </cell>
          <cell r="M37">
            <v>0</v>
          </cell>
          <cell r="N37">
            <v>0</v>
          </cell>
          <cell r="O37">
            <v>0</v>
          </cell>
          <cell r="P37">
            <v>0</v>
          </cell>
          <cell r="Q37">
            <v>0</v>
          </cell>
          <cell r="R37">
            <v>0</v>
          </cell>
          <cell r="S37">
            <v>0</v>
          </cell>
          <cell r="T37">
            <v>0</v>
          </cell>
          <cell r="U37">
            <v>0</v>
          </cell>
          <cell r="V37">
            <v>0</v>
          </cell>
          <cell r="AA37">
            <v>-178.4</v>
          </cell>
          <cell r="AB37">
            <v>-122</v>
          </cell>
          <cell r="AC37">
            <v>-301</v>
          </cell>
          <cell r="AD37">
            <v>-175</v>
          </cell>
          <cell r="AE37">
            <v>-53</v>
          </cell>
          <cell r="AF37">
            <v>-41</v>
          </cell>
          <cell r="AG37">
            <v>-45</v>
          </cell>
          <cell r="AH37">
            <v>-40</v>
          </cell>
          <cell r="AI37">
            <v>-15</v>
          </cell>
          <cell r="AJ37">
            <v>0</v>
          </cell>
          <cell r="AK37">
            <v>0</v>
          </cell>
          <cell r="AL37">
            <v>0</v>
          </cell>
          <cell r="AM37">
            <v>0</v>
          </cell>
          <cell r="AN37">
            <v>0</v>
          </cell>
          <cell r="AO37">
            <v>0</v>
          </cell>
          <cell r="AP37" t="str">
            <v>- add'l costs not attrib ~corp exp</v>
          </cell>
          <cell r="BR37">
            <v>-30.8</v>
          </cell>
          <cell r="BV37">
            <v>-37.688000000000102</v>
          </cell>
          <cell r="BW37">
            <v>-38.999999999999986</v>
          </cell>
          <cell r="BX37">
            <v>-35.5</v>
          </cell>
          <cell r="BY37">
            <v>-1.8120000000000402</v>
          </cell>
          <cell r="BZ37">
            <v>-25</v>
          </cell>
          <cell r="CA37">
            <v>-25</v>
          </cell>
          <cell r="CB37">
            <v>-25</v>
          </cell>
          <cell r="CC37">
            <v>-169.5</v>
          </cell>
          <cell r="CD37">
            <v>-25</v>
          </cell>
          <cell r="CE37">
            <v>-25</v>
          </cell>
          <cell r="CF37">
            <v>-15</v>
          </cell>
          <cell r="CG37">
            <v>24</v>
          </cell>
        </row>
        <row r="38">
          <cell r="A38" t="str">
            <v>Total</v>
          </cell>
          <cell r="B38">
            <v>144</v>
          </cell>
          <cell r="C38">
            <v>150</v>
          </cell>
          <cell r="D38">
            <v>100</v>
          </cell>
          <cell r="E38">
            <v>53</v>
          </cell>
          <cell r="F38">
            <v>40</v>
          </cell>
          <cell r="G38">
            <v>45</v>
          </cell>
          <cell r="H38">
            <v>50</v>
          </cell>
          <cell r="I38">
            <v>83</v>
          </cell>
          <cell r="J38">
            <v>65.5</v>
          </cell>
          <cell r="K38">
            <v>87</v>
          </cell>
          <cell r="L38">
            <v>97</v>
          </cell>
          <cell r="M38">
            <v>143.5</v>
          </cell>
          <cell r="N38">
            <v>101</v>
          </cell>
          <cell r="O38">
            <v>125</v>
          </cell>
          <cell r="P38">
            <v>146</v>
          </cell>
          <cell r="Q38">
            <v>123</v>
          </cell>
          <cell r="R38">
            <v>145</v>
          </cell>
          <cell r="S38">
            <v>166</v>
          </cell>
          <cell r="T38">
            <v>165</v>
          </cell>
          <cell r="U38">
            <v>168</v>
          </cell>
          <cell r="V38">
            <v>173</v>
          </cell>
          <cell r="W38">
            <v>29</v>
          </cell>
          <cell r="X38">
            <v>36</v>
          </cell>
          <cell r="Y38">
            <v>0</v>
          </cell>
          <cell r="Z38">
            <v>42</v>
          </cell>
          <cell r="AA38">
            <v>50.300000000000011</v>
          </cell>
          <cell r="AB38">
            <v>228.7</v>
          </cell>
          <cell r="AC38">
            <v>228.39999999999998</v>
          </cell>
          <cell r="AD38">
            <v>421</v>
          </cell>
          <cell r="AE38">
            <v>592</v>
          </cell>
          <cell r="AF38">
            <v>625</v>
          </cell>
          <cell r="AG38">
            <v>447</v>
          </cell>
          <cell r="AH38">
            <v>218</v>
          </cell>
          <cell r="AI38">
            <v>393</v>
          </cell>
          <cell r="AJ38">
            <v>495</v>
          </cell>
          <cell r="AK38">
            <v>644</v>
          </cell>
          <cell r="AL38">
            <v>510</v>
          </cell>
          <cell r="AM38">
            <v>510</v>
          </cell>
          <cell r="AN38">
            <v>510</v>
          </cell>
          <cell r="AO38">
            <v>510</v>
          </cell>
          <cell r="BR38">
            <v>69.200000000000017</v>
          </cell>
          <cell r="BS38">
            <v>91.6</v>
          </cell>
          <cell r="BT38">
            <v>103.1</v>
          </cell>
          <cell r="BU38">
            <v>-35.5</v>
          </cell>
          <cell r="BV38">
            <v>97.311999999999898</v>
          </cell>
          <cell r="BW38">
            <v>115.60000000000002</v>
          </cell>
          <cell r="BX38">
            <v>126</v>
          </cell>
          <cell r="BY38">
            <v>143.08799999999997</v>
          </cell>
          <cell r="BZ38">
            <v>203.5</v>
          </cell>
          <cell r="CA38">
            <v>231.5</v>
          </cell>
          <cell r="CB38">
            <v>148.5</v>
          </cell>
          <cell r="CC38">
            <v>8.5</v>
          </cell>
          <cell r="CD38">
            <v>185.5</v>
          </cell>
          <cell r="CE38">
            <v>175.5</v>
          </cell>
          <cell r="CF38">
            <v>155</v>
          </cell>
          <cell r="CG38">
            <v>109</v>
          </cell>
        </row>
        <row r="39">
          <cell r="A39" t="str">
            <v>per Main</v>
          </cell>
          <cell r="B39">
            <v>144</v>
          </cell>
          <cell r="C39">
            <v>150</v>
          </cell>
          <cell r="D39">
            <v>100</v>
          </cell>
          <cell r="E39">
            <v>53</v>
          </cell>
          <cell r="F39">
            <v>40</v>
          </cell>
          <cell r="G39">
            <v>45</v>
          </cell>
          <cell r="H39">
            <v>50</v>
          </cell>
          <cell r="I39">
            <v>83</v>
          </cell>
          <cell r="J39">
            <v>66</v>
          </cell>
          <cell r="K39">
            <v>94</v>
          </cell>
          <cell r="L39">
            <v>117</v>
          </cell>
          <cell r="M39">
            <v>116</v>
          </cell>
          <cell r="N39">
            <v>101</v>
          </cell>
          <cell r="O39">
            <v>125</v>
          </cell>
          <cell r="P39">
            <v>146</v>
          </cell>
          <cell r="Q39">
            <v>123</v>
          </cell>
          <cell r="R39">
            <v>145</v>
          </cell>
          <cell r="S39">
            <v>166</v>
          </cell>
          <cell r="T39">
            <v>165</v>
          </cell>
          <cell r="U39">
            <v>168</v>
          </cell>
          <cell r="V39">
            <v>173</v>
          </cell>
          <cell r="W39">
            <v>199</v>
          </cell>
          <cell r="X39">
            <v>226</v>
          </cell>
          <cell r="Y39">
            <v>212</v>
          </cell>
          <cell r="Z39">
            <v>49.655000000000001</v>
          </cell>
          <cell r="AA39">
            <v>58.289000000000001</v>
          </cell>
          <cell r="AB39">
            <v>229</v>
          </cell>
          <cell r="AC39">
            <v>228.39999999999998</v>
          </cell>
          <cell r="AD39">
            <v>482</v>
          </cell>
          <cell r="AE39">
            <v>592</v>
          </cell>
          <cell r="AF39">
            <v>625</v>
          </cell>
          <cell r="AG39">
            <v>447</v>
          </cell>
          <cell r="AH39">
            <v>218</v>
          </cell>
          <cell r="AI39">
            <v>393</v>
          </cell>
          <cell r="AJ39">
            <v>495</v>
          </cell>
          <cell r="AK39">
            <v>644</v>
          </cell>
          <cell r="AL39">
            <v>810</v>
          </cell>
          <cell r="AM39">
            <v>1021</v>
          </cell>
          <cell r="AN39">
            <v>708.75</v>
          </cell>
          <cell r="AO39">
            <v>742.00000000000011</v>
          </cell>
          <cell r="BV39">
            <v>97.311999999999898</v>
          </cell>
          <cell r="BW39">
            <v>115.60000000000002</v>
          </cell>
          <cell r="BX39">
            <v>128</v>
          </cell>
          <cell r="BY39">
            <v>141.08800000000008</v>
          </cell>
          <cell r="BZ39">
            <v>131</v>
          </cell>
          <cell r="CA39">
            <v>151</v>
          </cell>
          <cell r="CB39">
            <v>149</v>
          </cell>
          <cell r="CC39">
            <v>161</v>
          </cell>
          <cell r="CD39">
            <v>144</v>
          </cell>
          <cell r="CE39">
            <v>157</v>
          </cell>
          <cell r="CF39">
            <v>161</v>
          </cell>
          <cell r="CG39">
            <v>163</v>
          </cell>
        </row>
        <row r="40">
          <cell r="A40" t="str">
            <v>(Sales - expenses)</v>
          </cell>
          <cell r="B40">
            <v>144</v>
          </cell>
          <cell r="C40">
            <v>150</v>
          </cell>
          <cell r="D40">
            <v>100</v>
          </cell>
          <cell r="E40">
            <v>83.000000000000909</v>
          </cell>
          <cell r="F40">
            <v>40</v>
          </cell>
          <cell r="G40">
            <v>45</v>
          </cell>
          <cell r="H40">
            <v>50</v>
          </cell>
          <cell r="I40">
            <v>59.000000000002728</v>
          </cell>
          <cell r="J40">
            <v>65.5</v>
          </cell>
          <cell r="K40">
            <v>61.5</v>
          </cell>
          <cell r="L40">
            <v>93.5</v>
          </cell>
          <cell r="M40">
            <v>129.49999999999977</v>
          </cell>
          <cell r="N40">
            <v>118</v>
          </cell>
          <cell r="O40">
            <v>128</v>
          </cell>
          <cell r="P40">
            <v>126</v>
          </cell>
          <cell r="Q40">
            <v>123.00000000000057</v>
          </cell>
          <cell r="R40">
            <v>159</v>
          </cell>
          <cell r="S40">
            <v>172</v>
          </cell>
          <cell r="T40">
            <v>152</v>
          </cell>
          <cell r="U40">
            <v>161.00000000000045</v>
          </cell>
          <cell r="V40">
            <v>153</v>
          </cell>
          <cell r="W40">
            <v>194</v>
          </cell>
          <cell r="X40">
            <v>210</v>
          </cell>
          <cell r="Y40">
            <v>0</v>
          </cell>
          <cell r="Z40">
            <v>42.089999999999918</v>
          </cell>
          <cell r="AA40">
            <v>50.214000000000055</v>
          </cell>
          <cell r="AB40">
            <v>228.76</v>
          </cell>
          <cell r="AC40">
            <v>372.79199999999992</v>
          </cell>
          <cell r="AD40">
            <v>482</v>
          </cell>
          <cell r="AE40">
            <v>592</v>
          </cell>
          <cell r="AF40">
            <v>625.00000000000364</v>
          </cell>
          <cell r="AG40">
            <v>477.00000000000091</v>
          </cell>
          <cell r="AH40">
            <v>194.00000000000273</v>
          </cell>
          <cell r="AI40">
            <v>350</v>
          </cell>
          <cell r="AJ40">
            <v>495.00000000000045</v>
          </cell>
          <cell r="AK40">
            <v>644</v>
          </cell>
          <cell r="AL40">
            <v>872.43358206875018</v>
          </cell>
          <cell r="AM40">
            <v>1035.3079365285948</v>
          </cell>
          <cell r="AN40">
            <v>1132.843030435024</v>
          </cell>
          <cell r="AO40">
            <v>975.55348986917488</v>
          </cell>
        </row>
        <row r="41">
          <cell r="A41" t="str">
            <v>Operating Margin</v>
          </cell>
        </row>
        <row r="42">
          <cell r="A42" t="str">
            <v>New Aircraft</v>
          </cell>
          <cell r="B42">
            <v>0.35040431266846361</v>
          </cell>
          <cell r="C42">
            <v>0.28222996515679444</v>
          </cell>
          <cell r="D42">
            <v>0.2271880819366853</v>
          </cell>
          <cell r="E42">
            <v>0.15566243987756861</v>
          </cell>
          <cell r="F42">
            <v>0.14285714285714285</v>
          </cell>
          <cell r="G42">
            <v>0.166189111747851</v>
          </cell>
          <cell r="H42">
            <v>0.12033195020746888</v>
          </cell>
          <cell r="I42">
            <v>0.17944404389970234</v>
          </cell>
          <cell r="J42">
            <v>0.13990267639902676</v>
          </cell>
          <cell r="K42">
            <v>0.17749999999999999</v>
          </cell>
          <cell r="L42">
            <v>0.15490196078431373</v>
          </cell>
          <cell r="M42">
            <v>0.21700054783162331</v>
          </cell>
          <cell r="N42">
            <v>0.16382978723404254</v>
          </cell>
          <cell r="O42">
            <v>0.18484288354898337</v>
          </cell>
          <cell r="P42">
            <v>0.18739352640545145</v>
          </cell>
          <cell r="Q42">
            <v>0.13371573557490421</v>
          </cell>
          <cell r="R42">
            <v>0.1942215088282504</v>
          </cell>
          <cell r="S42">
            <v>0.19937205651491366</v>
          </cell>
          <cell r="T42">
            <v>0.18070652173913043</v>
          </cell>
          <cell r="U42">
            <v>0.20874994052046134</v>
          </cell>
          <cell r="V42" t="str">
            <v>=V34/V9</v>
          </cell>
          <cell r="W42" t="str">
            <v>=W34/W9</v>
          </cell>
          <cell r="X42" t="str">
            <v>=X34/X9</v>
          </cell>
          <cell r="Y42" t="str">
            <v>=Y34/Y9</v>
          </cell>
          <cell r="AA42">
            <v>0.26185010128291697</v>
          </cell>
          <cell r="AB42">
            <v>0.19939678284182305</v>
          </cell>
          <cell r="AC42">
            <v>0.24321634363541123</v>
          </cell>
          <cell r="AD42">
            <v>0.23811639271434917</v>
          </cell>
          <cell r="AE42">
            <v>0.24011899702507436</v>
          </cell>
          <cell r="AF42">
            <v>0.21158129175946519</v>
          </cell>
          <cell r="AG42">
            <v>0.2019269369731031</v>
          </cell>
          <cell r="AH42">
            <v>0.11640211640211624</v>
          </cell>
          <cell r="AI42">
            <v>0.14067278287461774</v>
          </cell>
          <cell r="AJ42">
            <v>0.13809523809523808</v>
          </cell>
          <cell r="AK42">
            <v>0.15444477701287038</v>
          </cell>
          <cell r="AL42">
            <v>0.10293401236724277</v>
          </cell>
          <cell r="AM42">
            <v>9.4291878089119874E-2</v>
          </cell>
          <cell r="AN42">
            <v>8.8334812217963452E-2</v>
          </cell>
          <cell r="AO42">
            <v>8.8558390077911733E-2</v>
          </cell>
          <cell r="BR42">
            <v>0.22595656670113753</v>
          </cell>
          <cell r="BV42">
            <v>0.24683285655905191</v>
          </cell>
          <cell r="BW42">
            <v>0.24352517985611513</v>
          </cell>
          <cell r="BX42">
            <v>0.24642857142857144</v>
          </cell>
          <cell r="BY42">
            <v>0.219640644361834</v>
          </cell>
          <cell r="BZ42">
            <v>0.2176991150442478</v>
          </cell>
          <cell r="CA42">
            <v>0.23666666666666666</v>
          </cell>
          <cell r="CB42">
            <v>0.24691358024691357</v>
          </cell>
          <cell r="CC42">
            <v>0.25764895330112719</v>
          </cell>
          <cell r="CD42">
            <v>0.20777027027027026</v>
          </cell>
          <cell r="CE42">
            <v>0.22720000000000001</v>
          </cell>
          <cell r="CF42">
            <v>0.22529069767441862</v>
          </cell>
          <cell r="CG42">
            <v>0.19011406844106377</v>
          </cell>
        </row>
        <row r="43">
          <cell r="A43" t="str">
            <v>Used Aircraft</v>
          </cell>
          <cell r="B43">
            <v>0.08</v>
          </cell>
          <cell r="C43">
            <v>-0.35714285714285715</v>
          </cell>
          <cell r="D43">
            <v>-0.41666666666666669</v>
          </cell>
          <cell r="E43">
            <v>-0.16086956521739129</v>
          </cell>
          <cell r="F43">
            <v>-0.53333333333333333</v>
          </cell>
          <cell r="G43">
            <v>-0.16107382550335569</v>
          </cell>
          <cell r="H43">
            <v>-8.1481481481481488E-2</v>
          </cell>
          <cell r="I43">
            <v>-3.8461538461538464E-2</v>
          </cell>
          <cell r="J43">
            <v>0</v>
          </cell>
          <cell r="K43">
            <v>0</v>
          </cell>
          <cell r="L43">
            <v>0</v>
          </cell>
          <cell r="M43">
            <v>8.2191780821917804E-2</v>
          </cell>
          <cell r="N43">
            <v>4.1666666666666664E-2</v>
          </cell>
          <cell r="O43">
            <v>0</v>
          </cell>
          <cell r="P43">
            <v>0.14285714285714285</v>
          </cell>
          <cell r="Q43">
            <v>3.4482758620689655E-2</v>
          </cell>
          <cell r="R43">
            <v>0</v>
          </cell>
          <cell r="S43">
            <v>0.1111111111111111</v>
          </cell>
          <cell r="T43">
            <v>7.407407407407407E-2</v>
          </cell>
          <cell r="U43">
            <v>0.23076923076923078</v>
          </cell>
          <cell r="V43">
            <v>9.5238095238095233E-2</v>
          </cell>
          <cell r="W43">
            <v>0</v>
          </cell>
          <cell r="X43">
            <v>0.11428571428571428</v>
          </cell>
          <cell r="Y43" t="str">
            <v>=Y35/Y10</v>
          </cell>
          <cell r="AA43">
            <v>-1.1089367253750815E-2</v>
          </cell>
          <cell r="AB43">
            <v>3.8973384030418244E-2</v>
          </cell>
          <cell r="AC43">
            <v>4.8060708263069143E-2</v>
          </cell>
          <cell r="AD43">
            <v>-2.5157232704402517E-2</v>
          </cell>
          <cell r="AE43">
            <v>0</v>
          </cell>
          <cell r="AF43">
            <v>0</v>
          </cell>
          <cell r="AG43">
            <v>-0.18620689655172415</v>
          </cell>
          <cell r="AH43">
            <v>-0.13943355119825709</v>
          </cell>
          <cell r="AI43">
            <v>2.1582733812949641E-2</v>
          </cell>
          <cell r="AJ43">
            <v>5.9360730593607303E-2</v>
          </cell>
          <cell r="AK43">
            <v>9.2165898617511524E-2</v>
          </cell>
          <cell r="AL43">
            <v>0</v>
          </cell>
          <cell r="AM43">
            <v>0</v>
          </cell>
          <cell r="AN43">
            <v>0</v>
          </cell>
          <cell r="AO43">
            <v>0</v>
          </cell>
          <cell r="BR43">
            <v>4.0479760119940034E-2</v>
          </cell>
          <cell r="BV43">
            <v>-3.0418250950570342E-2</v>
          </cell>
          <cell r="BW43">
            <v>0</v>
          </cell>
          <cell r="BX43">
            <v>6.9230769230769235E-2</v>
          </cell>
          <cell r="BY43">
            <v>-8.4104938271604909E-2</v>
          </cell>
          <cell r="BZ43">
            <v>0</v>
          </cell>
          <cell r="CA43">
            <v>8.771929824561403E-3</v>
          </cell>
          <cell r="CB43">
            <v>0</v>
          </cell>
          <cell r="CC43">
            <v>4.7619047619047616E-2</v>
          </cell>
          <cell r="CD43">
            <v>0</v>
          </cell>
          <cell r="CE43">
            <v>0.05</v>
          </cell>
          <cell r="CF43">
            <v>7.1428571428571425E-2</v>
          </cell>
          <cell r="CG43">
            <v>-8.9552238805970144E-2</v>
          </cell>
        </row>
        <row r="44">
          <cell r="A44" t="str">
            <v>Spares/support</v>
          </cell>
          <cell r="B44">
            <v>0.2</v>
          </cell>
          <cell r="C44">
            <v>0.20833333333333334</v>
          </cell>
          <cell r="D44">
            <v>0.15789473684210525</v>
          </cell>
          <cell r="E44">
            <v>0.20833333333333334</v>
          </cell>
          <cell r="F44">
            <v>0.16842105263157894</v>
          </cell>
          <cell r="G44">
            <v>0.19387755102040816</v>
          </cell>
          <cell r="H44">
            <v>0.16190476190476191</v>
          </cell>
          <cell r="I44">
            <v>0.25454545454545452</v>
          </cell>
          <cell r="J44">
            <v>0.14285714285714285</v>
          </cell>
          <cell r="K44">
            <v>0.2</v>
          </cell>
          <cell r="L44">
            <v>0.20952380952380953</v>
          </cell>
          <cell r="M44">
            <v>0.17037037037037037</v>
          </cell>
          <cell r="N44">
            <v>0.19130434782608696</v>
          </cell>
          <cell r="O44">
            <v>0.2</v>
          </cell>
          <cell r="P44">
            <v>0.22764227642276422</v>
          </cell>
          <cell r="Q44">
            <v>0.24793388429752067</v>
          </cell>
          <cell r="R44">
            <v>0.192</v>
          </cell>
          <cell r="S44">
            <v>0.1793103448275862</v>
          </cell>
          <cell r="T44">
            <v>0.20143884892086331</v>
          </cell>
          <cell r="U44">
            <v>0.20134228187919462</v>
          </cell>
          <cell r="V44">
            <v>0.17333333333333334</v>
          </cell>
          <cell r="W44">
            <v>0.16860465116279069</v>
          </cell>
          <cell r="X44">
            <v>0.18285714285714286</v>
          </cell>
          <cell r="Y44" t="str">
            <v>=Y36/Y11</v>
          </cell>
          <cell r="AA44">
            <v>0.214832254267216</v>
          </cell>
          <cell r="AB44">
            <v>0.22376926902038788</v>
          </cell>
          <cell r="AC44">
            <v>0.19056068133427964</v>
          </cell>
          <cell r="AD44">
            <v>0.2</v>
          </cell>
          <cell r="AE44">
            <v>0.19002375296912113</v>
          </cell>
          <cell r="AF44">
            <v>0.24365482233502539</v>
          </cell>
          <cell r="AG44">
            <v>0.1928374655647383</v>
          </cell>
          <cell r="AH44">
            <v>0.19607843137254902</v>
          </cell>
          <cell r="AI44">
            <v>0.1797752808988764</v>
          </cell>
          <cell r="AJ44">
            <v>0.21694214876033058</v>
          </cell>
          <cell r="AK44">
            <v>0.19354838709677419</v>
          </cell>
          <cell r="AL44">
            <v>0.14545454545454545</v>
          </cell>
          <cell r="AM44">
            <v>0.13333333333333333</v>
          </cell>
          <cell r="AN44">
            <v>0.13333333333333333</v>
          </cell>
          <cell r="AO44">
            <v>0.13333333333333333</v>
          </cell>
          <cell r="AP44" t="str">
            <v>20-30% range</v>
          </cell>
          <cell r="BR44">
            <v>0.19839679358717435</v>
          </cell>
          <cell r="BV44">
            <v>0.19013237063778582</v>
          </cell>
          <cell r="BW44">
            <v>0.23703703703703702</v>
          </cell>
          <cell r="BX44">
            <v>0.22352941176470589</v>
          </cell>
          <cell r="BY44">
            <v>0.154015401540154</v>
          </cell>
          <cell r="BZ44">
            <v>0.19047619047619047</v>
          </cell>
          <cell r="CA44">
            <v>0.21495327102803738</v>
          </cell>
          <cell r="CB44">
            <v>0.18867924528301888</v>
          </cell>
          <cell r="CC44">
            <v>0.1650485436893204</v>
          </cell>
          <cell r="CD44">
            <v>0.2</v>
          </cell>
          <cell r="CE44">
            <v>0.19166666666666668</v>
          </cell>
          <cell r="CF44">
            <v>0.125</v>
          </cell>
          <cell r="CG44">
            <v>0.45744680851063829</v>
          </cell>
        </row>
        <row r="45">
          <cell r="A45" t="str">
            <v>Total</v>
          </cell>
          <cell r="B45">
            <v>0.18872870249017037</v>
          </cell>
          <cell r="C45">
            <v>0.17045454545454544</v>
          </cell>
          <cell r="D45">
            <v>0.13531799729364005</v>
          </cell>
          <cell r="E45">
            <v>5.8434399117971277E-2</v>
          </cell>
          <cell r="F45">
            <v>6.7340067340067339E-2</v>
          </cell>
          <cell r="G45">
            <v>6.2937062937062943E-2</v>
          </cell>
          <cell r="H45">
            <v>6.1881188118811881E-2</v>
          </cell>
          <cell r="I45">
            <v>0.10012062726176083</v>
          </cell>
          <cell r="J45">
            <v>0.10808580858085809</v>
          </cell>
          <cell r="K45">
            <v>0.12340425531914893</v>
          </cell>
          <cell r="L45">
            <v>0.11829268292682926</v>
          </cell>
          <cell r="M45">
            <v>0.16288308740068108</v>
          </cell>
          <cell r="N45">
            <v>0.13413014608233731</v>
          </cell>
          <cell r="O45">
            <v>0.15096618357487923</v>
          </cell>
          <cell r="P45">
            <v>0.16114790286975716</v>
          </cell>
          <cell r="Q45">
            <v>0.13002114164904854</v>
          </cell>
          <cell r="R45">
            <v>0.15608180839612487</v>
          </cell>
          <cell r="S45">
            <v>0.15557638238050608</v>
          </cell>
          <cell r="T45">
            <v>0.15179392824287027</v>
          </cell>
          <cell r="U45">
            <v>0.16263310745401735</v>
          </cell>
          <cell r="V45">
            <v>1.0116959064327486</v>
          </cell>
          <cell r="W45">
            <v>0.14948453608247422</v>
          </cell>
          <cell r="X45">
            <v>0.17142857142857143</v>
          </cell>
          <cell r="Y45" t="str">
            <v>=Y38/Y13</v>
          </cell>
          <cell r="Z45">
            <v>4.0325910165393844E-2</v>
          </cell>
          <cell r="AA45">
            <v>4.7287769107831161E-2</v>
          </cell>
          <cell r="AB45">
            <v>0.12014709745206198</v>
          </cell>
          <cell r="AC45">
            <v>9.406919275123557E-2</v>
          </cell>
          <cell r="AD45">
            <v>0.14472327260226883</v>
          </cell>
          <cell r="AE45">
            <v>0.19544404093760318</v>
          </cell>
          <cell r="AF45">
            <v>0.19142419601837651</v>
          </cell>
          <cell r="AG45">
            <v>0.13590757069017934</v>
          </cell>
          <cell r="AH45">
            <v>7.3998642226748068E-2</v>
          </cell>
          <cell r="AI45">
            <v>0.13047808764940239</v>
          </cell>
          <cell r="AJ45">
            <v>0.14418875618992133</v>
          </cell>
          <cell r="AK45">
            <v>0.15646258503401361</v>
          </cell>
          <cell r="AL45">
            <v>0.10246244205794722</v>
          </cell>
          <cell r="AM45">
            <v>9.4264505086050665E-2</v>
          </cell>
          <cell r="AN45">
            <v>8.9194473735176721E-2</v>
          </cell>
          <cell r="AO45">
            <v>8.9386595166544305E-2</v>
          </cell>
          <cell r="BR45">
            <v>0.13746523639253083</v>
          </cell>
          <cell r="BS45">
            <v>0.1644524236983842</v>
          </cell>
          <cell r="BT45">
            <v>0.16464388374321301</v>
          </cell>
          <cell r="BU45">
            <v>-4.7882384677636912E-2</v>
          </cell>
          <cell r="BV45">
            <v>0.1556742921132617</v>
          </cell>
          <cell r="BW45">
            <v>0.16332297259112749</v>
          </cell>
          <cell r="BX45">
            <v>0.17746478873239438</v>
          </cell>
          <cell r="BY45">
            <v>0.16520956009698648</v>
          </cell>
          <cell r="BZ45">
            <v>0.27876712328767123</v>
          </cell>
          <cell r="CA45">
            <v>0.28197320341047505</v>
          </cell>
          <cell r="CB45">
            <v>0.20259208731241474</v>
          </cell>
          <cell r="CC45">
            <v>1.1409395973154362E-2</v>
          </cell>
          <cell r="CD45">
            <v>0.26053370786516855</v>
          </cell>
          <cell r="CE45">
            <v>0.22941176470588234</v>
          </cell>
          <cell r="CF45">
            <v>0.18496420047732698</v>
          </cell>
          <cell r="CG45">
            <v>0.11473684210526272</v>
          </cell>
        </row>
        <row r="46">
          <cell r="A46" t="str">
            <v>GM ex. Used</v>
          </cell>
          <cell r="B46">
            <v>0.2005813953488372</v>
          </cell>
          <cell r="C46">
            <v>0.21604938271604937</v>
          </cell>
          <cell r="D46">
            <v>0.18409425625920472</v>
          </cell>
          <cell r="E46">
            <v>0.13293943870014754</v>
          </cell>
          <cell r="F46">
            <v>0.11657559198542805</v>
          </cell>
          <cell r="G46">
            <v>0.12190812720848057</v>
          </cell>
          <cell r="H46">
            <v>9.0638930163447248E-2</v>
          </cell>
          <cell r="I46">
            <v>0.12589413447782496</v>
          </cell>
          <cell r="J46">
            <v>0.11273666092943202</v>
          </cell>
          <cell r="K46">
            <v>0.13919999999999999</v>
          </cell>
          <cell r="L46">
            <v>0.13472222222222222</v>
          </cell>
          <cell r="M46">
            <v>0.17017326732673271</v>
          </cell>
          <cell r="N46">
            <v>0.14042553191489363</v>
          </cell>
          <cell r="O46">
            <v>0.15625</v>
          </cell>
          <cell r="P46">
            <v>0.16235294117647059</v>
          </cell>
          <cell r="Q46">
            <v>0.13969732246798594</v>
          </cell>
          <cell r="R46">
            <v>0.16183035714285715</v>
          </cell>
          <cell r="S46">
            <v>0.16105263157894736</v>
          </cell>
          <cell r="T46">
            <v>0.1558567279767667</v>
          </cell>
          <cell r="U46">
            <v>0.16176470588235287</v>
          </cell>
          <cell r="V46">
            <v>1.1399999999999999</v>
          </cell>
          <cell r="W46">
            <v>0.16860465116279069</v>
          </cell>
          <cell r="X46">
            <v>0.18285714285714286</v>
          </cell>
          <cell r="Y46" t="str">
            <v>=(+Y34+Y36+Y37)/(+Y9+Y11+Y12)</v>
          </cell>
          <cell r="AA46">
            <v>5.7117750439367315E-2</v>
          </cell>
          <cell r="AB46">
            <v>0.13023448112928948</v>
          </cell>
          <cell r="AC46">
            <v>9.9050575132371727E-2</v>
          </cell>
          <cell r="AD46">
            <v>0.16557313778463914</v>
          </cell>
          <cell r="AE46">
            <v>0.21341023792357605</v>
          </cell>
          <cell r="AF46">
            <v>0.20239637305699459</v>
          </cell>
          <cell r="AG46">
            <v>0.18500350385423961</v>
          </cell>
          <cell r="AH46">
            <v>0.11338962605548841</v>
          </cell>
          <cell r="AI46">
            <v>0.1415508412582297</v>
          </cell>
          <cell r="AJ46">
            <v>0.14996888612321094</v>
          </cell>
          <cell r="AK46">
            <v>0.16004103616311874</v>
          </cell>
          <cell r="AL46">
            <v>0.10788094452229645</v>
          </cell>
          <cell r="AM46">
            <v>9.8831311284706708E-2</v>
          </cell>
          <cell r="AN46">
            <v>9.3272611733959038E-2</v>
          </cell>
          <cell r="AO46">
            <v>9.3482723787248562E-2</v>
          </cell>
          <cell r="BR46">
            <v>0.1522784520265629</v>
          </cell>
          <cell r="BV46">
            <v>0.17277205240174653</v>
          </cell>
          <cell r="BW46">
            <v>0.18147566718995292</v>
          </cell>
          <cell r="BX46">
            <v>0.1883720930232558</v>
          </cell>
          <cell r="BY46">
            <v>0.20908078750848608</v>
          </cell>
          <cell r="BZ46">
            <v>0.17611940298507461</v>
          </cell>
          <cell r="CA46">
            <v>0.19801980198019803</v>
          </cell>
          <cell r="CB46">
            <v>0.20059435364041606</v>
          </cell>
          <cell r="CC46">
            <v>1.0359116022099447E-2</v>
          </cell>
          <cell r="CD46">
            <v>0.17052023121387283</v>
          </cell>
          <cell r="CE46">
            <v>0.18791946308724833</v>
          </cell>
          <cell r="CF46">
            <v>0.1953125</v>
          </cell>
          <cell r="CG46">
            <v>0.24575311438278494</v>
          </cell>
        </row>
        <row r="47">
          <cell r="A47" t="str">
            <v>GM ex. Used, R&amp;D, SG&amp;A</v>
          </cell>
          <cell r="B47">
            <v>0.26744186046511625</v>
          </cell>
          <cell r="C47">
            <v>0.29012345679012347</v>
          </cell>
          <cell r="D47">
            <v>0.27393225331369664</v>
          </cell>
          <cell r="E47">
            <v>0.24667651403249596</v>
          </cell>
          <cell r="F47">
            <v>0.20947176684881602</v>
          </cell>
          <cell r="G47">
            <v>0.22791519434628976</v>
          </cell>
          <cell r="H47">
            <v>0.1812778603268945</v>
          </cell>
          <cell r="I47">
            <v>0.20457796852646559</v>
          </cell>
          <cell r="J47">
            <v>0.19535283993115318</v>
          </cell>
          <cell r="K47">
            <v>0.22720000000000001</v>
          </cell>
          <cell r="L47">
            <v>0.21111111111111111</v>
          </cell>
          <cell r="M47">
            <v>0.24938118811881196</v>
          </cell>
          <cell r="N47">
            <v>0.23262411347517731</v>
          </cell>
          <cell r="O47">
            <v>0.24374999999999999</v>
          </cell>
          <cell r="P47">
            <v>0.26235294117647057</v>
          </cell>
          <cell r="Q47">
            <v>0.26193247962747362</v>
          </cell>
          <cell r="R47">
            <v>0.23995535714285715</v>
          </cell>
          <cell r="S47">
            <v>0.25263157894736843</v>
          </cell>
          <cell r="T47">
            <v>0.25943852855759925</v>
          </cell>
          <cell r="U47">
            <v>0.25588235294117634</v>
          </cell>
          <cell r="V47">
            <v>1.26</v>
          </cell>
          <cell r="W47">
            <v>0.16860465116279069</v>
          </cell>
          <cell r="X47">
            <v>0.18285714285714286</v>
          </cell>
          <cell r="Y47" t="str">
            <v>=(Y34+Y36+Y37+Y19+Y21)/(Y9+Y11+Y12)</v>
          </cell>
          <cell r="AA47">
            <v>0.23022847100175747</v>
          </cell>
          <cell r="AB47">
            <v>0.19419998818734865</v>
          </cell>
          <cell r="AC47">
            <v>0.15898301990140587</v>
          </cell>
          <cell r="AD47">
            <v>0.22346584330374372</v>
          </cell>
          <cell r="AE47">
            <v>0.26784426820475848</v>
          </cell>
          <cell r="AF47">
            <v>0.2577720207253883</v>
          </cell>
          <cell r="AG47">
            <v>0.27049754730203213</v>
          </cell>
          <cell r="AH47">
            <v>0.20466425412143122</v>
          </cell>
          <cell r="AI47">
            <v>0.22275054864667154</v>
          </cell>
          <cell r="AJ47">
            <v>0.25108898568761662</v>
          </cell>
          <cell r="AK47">
            <v>0.25237240318030263</v>
          </cell>
          <cell r="AL47">
            <v>0.19989704426190225</v>
          </cell>
          <cell r="AM47">
            <v>0.18894221275017459</v>
          </cell>
          <cell r="AN47">
            <v>0.18105859924827344</v>
          </cell>
          <cell r="AO47">
            <v>0.18421595569840157</v>
          </cell>
        </row>
        <row r="48">
          <cell r="A48" t="str">
            <v>Interest, net</v>
          </cell>
          <cell r="Z48">
            <v>-13</v>
          </cell>
          <cell r="AA48">
            <v>-3</v>
          </cell>
          <cell r="AB48">
            <v>-20</v>
          </cell>
          <cell r="AC48">
            <v>-21</v>
          </cell>
          <cell r="AD48">
            <v>-28</v>
          </cell>
          <cell r="AE48">
            <v>-17</v>
          </cell>
          <cell r="BR48">
            <v>-4.4770000000000003</v>
          </cell>
          <cell r="BS48">
            <v>-3.9</v>
          </cell>
          <cell r="BT48">
            <v>-4.9000000000000004</v>
          </cell>
          <cell r="BU48">
            <v>-7.722999999999999</v>
          </cell>
          <cell r="BV48">
            <v>-5.1590000000000007</v>
          </cell>
          <cell r="BW48">
            <v>-5.6</v>
          </cell>
          <cell r="BX48">
            <v>-8</v>
          </cell>
          <cell r="BY48">
            <v>-9.2409999999999997</v>
          </cell>
          <cell r="BZ48">
            <v>-3</v>
          </cell>
          <cell r="CA48">
            <v>-4</v>
          </cell>
          <cell r="CB48">
            <v>-4</v>
          </cell>
          <cell r="CC48">
            <v>-6</v>
          </cell>
          <cell r="CD48">
            <v>-3</v>
          </cell>
          <cell r="CE48">
            <v>-4</v>
          </cell>
          <cell r="CF48">
            <v>-4</v>
          </cell>
          <cell r="CG48">
            <v>11</v>
          </cell>
        </row>
        <row r="49">
          <cell r="A49" t="str">
            <v>Pretax Inc.</v>
          </cell>
          <cell r="Z49">
            <v>29</v>
          </cell>
          <cell r="AA49">
            <v>47.300000000000011</v>
          </cell>
          <cell r="AB49">
            <v>208.7</v>
          </cell>
          <cell r="AC49">
            <v>207.39999999999998</v>
          </cell>
          <cell r="AD49">
            <v>393</v>
          </cell>
          <cell r="AE49">
            <v>575</v>
          </cell>
          <cell r="BR49">
            <v>64.723000000000013</v>
          </cell>
          <cell r="BS49">
            <v>87.699999999999989</v>
          </cell>
          <cell r="BT49">
            <v>98.199999999999989</v>
          </cell>
          <cell r="BU49">
            <v>-43.223000000000013</v>
          </cell>
          <cell r="BV49">
            <v>92.152999999999892</v>
          </cell>
          <cell r="BW49">
            <v>110.00000000000003</v>
          </cell>
          <cell r="BX49">
            <v>118</v>
          </cell>
          <cell r="BY49">
            <v>72.847000000000094</v>
          </cell>
          <cell r="BZ49">
            <v>200.5</v>
          </cell>
          <cell r="CA49">
            <v>227.5</v>
          </cell>
          <cell r="CB49">
            <v>144.5</v>
          </cell>
          <cell r="CC49">
            <v>2.5</v>
          </cell>
          <cell r="CD49">
            <v>182.5</v>
          </cell>
          <cell r="CE49">
            <v>171.5</v>
          </cell>
          <cell r="CF49">
            <v>151</v>
          </cell>
          <cell r="CG49">
            <v>-505</v>
          </cell>
        </row>
        <row r="50">
          <cell r="A50" t="str">
            <v>Tax Rate</v>
          </cell>
          <cell r="Z50">
            <v>0</v>
          </cell>
          <cell r="AA50">
            <v>0</v>
          </cell>
          <cell r="AB50">
            <v>-0.16400000000000001</v>
          </cell>
          <cell r="AC50">
            <v>0.36</v>
          </cell>
          <cell r="AD50">
            <v>0.36499999999999999</v>
          </cell>
          <cell r="AE50">
            <v>0.36499999999999999</v>
          </cell>
          <cell r="BR50">
            <v>0.3752607264805401</v>
          </cell>
          <cell r="BS50">
            <v>0.36599999999999999</v>
          </cell>
          <cell r="BT50">
            <v>0.34499999999999997</v>
          </cell>
          <cell r="BU50">
            <v>0.36094671818244917</v>
          </cell>
          <cell r="BV50">
            <v>0.36489316679869388</v>
          </cell>
          <cell r="BW50">
            <v>0.36499999999999999</v>
          </cell>
          <cell r="BX50">
            <v>0.36499999999999999</v>
          </cell>
          <cell r="BY50">
            <v>0.36513514626546029</v>
          </cell>
          <cell r="BZ50">
            <v>0.36499999999999999</v>
          </cell>
          <cell r="CA50">
            <v>0.36499999999999999</v>
          </cell>
          <cell r="CB50">
            <v>0.36499999999999999</v>
          </cell>
          <cell r="CC50">
            <v>0.36499999999999999</v>
          </cell>
          <cell r="CD50">
            <v>0.36499999999999999</v>
          </cell>
          <cell r="CE50">
            <v>0.36499999999999999</v>
          </cell>
          <cell r="CF50">
            <v>0.36499999999999999</v>
          </cell>
          <cell r="CG50">
            <v>0.36499999999999999</v>
          </cell>
        </row>
        <row r="51">
          <cell r="A51" t="str">
            <v>Net Income</v>
          </cell>
          <cell r="Z51">
            <v>29</v>
          </cell>
          <cell r="AA51">
            <v>47.300000000000011</v>
          </cell>
          <cell r="AB51">
            <v>242.92679999999996</v>
          </cell>
          <cell r="AC51">
            <v>132.73599999999999</v>
          </cell>
          <cell r="AD51">
            <v>249.55500000000001</v>
          </cell>
          <cell r="AE51">
            <v>365.125</v>
          </cell>
          <cell r="BR51">
            <v>40.435000000000009</v>
          </cell>
          <cell r="BS51">
            <v>55.60179999999999</v>
          </cell>
          <cell r="BT51">
            <v>64.320999999999998</v>
          </cell>
          <cell r="BU51">
            <v>-27.621800000000007</v>
          </cell>
          <cell r="BV51">
            <v>58.526999999999894</v>
          </cell>
          <cell r="BW51">
            <v>69.850000000000023</v>
          </cell>
          <cell r="BX51">
            <v>74.930000000000007</v>
          </cell>
          <cell r="BY51">
            <v>46.248000000000076</v>
          </cell>
          <cell r="BZ51">
            <v>127.3175</v>
          </cell>
          <cell r="CA51">
            <v>144.46250000000001</v>
          </cell>
          <cell r="CB51">
            <v>91.757500000000007</v>
          </cell>
          <cell r="CC51">
            <v>1.5875000000000341</v>
          </cell>
          <cell r="CD51">
            <v>115.8875</v>
          </cell>
          <cell r="CE51">
            <v>108.9025</v>
          </cell>
          <cell r="CF51">
            <v>95.885000000000005</v>
          </cell>
          <cell r="CG51">
            <v>-320.67500000000001</v>
          </cell>
        </row>
        <row r="52">
          <cell r="A52" t="str">
            <v>EPS Reported</v>
          </cell>
          <cell r="Z52">
            <v>0.36942675159235666</v>
          </cell>
          <cell r="AA52">
            <v>0.60254777070063714</v>
          </cell>
          <cell r="AB52">
            <v>3.1184441591784333</v>
          </cell>
          <cell r="AC52">
            <v>1.7698133333333332</v>
          </cell>
          <cell r="AD52">
            <v>3.363274932614555</v>
          </cell>
          <cell r="AE52">
            <v>4.9341216216216219</v>
          </cell>
          <cell r="BR52">
            <v>0.53627320954907165</v>
          </cell>
          <cell r="BS52">
            <v>0.73256653491436086</v>
          </cell>
          <cell r="BT52">
            <v>0.85990641711229943</v>
          </cell>
          <cell r="BU52">
            <v>-0.35893282824239869</v>
          </cell>
          <cell r="BV52">
            <v>0.79197564276048571</v>
          </cell>
          <cell r="BW52">
            <v>0.95163487738419639</v>
          </cell>
          <cell r="BX52">
            <v>1.0125675675675676</v>
          </cell>
          <cell r="BY52">
            <v>0.60709684490230531</v>
          </cell>
          <cell r="BZ52">
            <v>1.7205067567567567</v>
          </cell>
          <cell r="CA52">
            <v>1.9521959459459459</v>
          </cell>
          <cell r="CB52">
            <v>1.2399662162162164</v>
          </cell>
          <cell r="CC52">
            <v>2.1452702702703164E-2</v>
          </cell>
          <cell r="CD52">
            <v>1.5660472972972974</v>
          </cell>
          <cell r="CE52">
            <v>1.4716554054054054</v>
          </cell>
          <cell r="CF52">
            <v>1.2957432432432434</v>
          </cell>
          <cell r="CG52">
            <v>-4.3334459459459458</v>
          </cell>
        </row>
        <row r="53">
          <cell r="A53" t="str">
            <v>Extraordinary</v>
          </cell>
          <cell r="AB53">
            <v>-1.44</v>
          </cell>
        </row>
        <row r="54">
          <cell r="A54" t="str">
            <v>Opns EPS</v>
          </cell>
          <cell r="Z54">
            <v>0.36942675159235666</v>
          </cell>
          <cell r="AA54">
            <v>0.60254777070063714</v>
          </cell>
          <cell r="AB54">
            <v>1.6784441591784334</v>
          </cell>
          <cell r="AC54">
            <v>1.7698133333333332</v>
          </cell>
          <cell r="AD54">
            <v>3.363274932614555</v>
          </cell>
          <cell r="AE54">
            <v>4.9341216216216219</v>
          </cell>
          <cell r="BR54">
            <v>0.53627320954907165</v>
          </cell>
          <cell r="BS54">
            <v>0.73256653491436086</v>
          </cell>
          <cell r="BT54">
            <v>0.85990641711229943</v>
          </cell>
          <cell r="BU54">
            <v>-0.35893282824239869</v>
          </cell>
          <cell r="BV54">
            <v>0.79197564276048571</v>
          </cell>
          <cell r="BW54">
            <v>0.95163487738419639</v>
          </cell>
          <cell r="BX54">
            <v>1.0125675675675676</v>
          </cell>
          <cell r="BY54">
            <v>0.60709684490230531</v>
          </cell>
          <cell r="BZ54">
            <v>1.7205067567567567</v>
          </cell>
          <cell r="CA54">
            <v>1.9521959459459459</v>
          </cell>
          <cell r="CB54">
            <v>1.2399662162162164</v>
          </cell>
          <cell r="CC54">
            <v>2.1452702702703164E-2</v>
          </cell>
          <cell r="CD54">
            <v>1.5660472972972974</v>
          </cell>
          <cell r="CE54">
            <v>1.4716554054054054</v>
          </cell>
          <cell r="CF54">
            <v>1.2957432432432434</v>
          </cell>
          <cell r="CG54">
            <v>-4.3334459459459458</v>
          </cell>
        </row>
        <row r="55">
          <cell r="A55" t="str">
            <v>Avg. Shs</v>
          </cell>
          <cell r="Z55">
            <v>78.5</v>
          </cell>
          <cell r="AA55">
            <v>78.5</v>
          </cell>
          <cell r="AB55">
            <v>77.900000000000006</v>
          </cell>
          <cell r="AC55">
            <v>75</v>
          </cell>
          <cell r="AD55">
            <v>74.2</v>
          </cell>
          <cell r="AE55">
            <v>74</v>
          </cell>
          <cell r="BR55">
            <v>75.400000000000006</v>
          </cell>
          <cell r="BS55">
            <v>75.900000000000006</v>
          </cell>
          <cell r="BT55">
            <v>74.8</v>
          </cell>
          <cell r="BU55">
            <v>75</v>
          </cell>
          <cell r="BV55">
            <v>73.900000000000006</v>
          </cell>
          <cell r="BW55">
            <v>73.400000000000006</v>
          </cell>
          <cell r="BX55">
            <v>74</v>
          </cell>
          <cell r="BY55">
            <v>74</v>
          </cell>
          <cell r="BZ55">
            <v>74</v>
          </cell>
          <cell r="CA55">
            <v>74</v>
          </cell>
          <cell r="CB55">
            <v>74</v>
          </cell>
          <cell r="CC55">
            <v>74</v>
          </cell>
          <cell r="CD55">
            <v>74</v>
          </cell>
          <cell r="CE55">
            <v>74</v>
          </cell>
          <cell r="CF55">
            <v>74</v>
          </cell>
          <cell r="CG55">
            <v>74</v>
          </cell>
        </row>
        <row r="56">
          <cell r="A56" t="str">
            <v>% Ch. EPS Opns</v>
          </cell>
          <cell r="AA56">
            <v>0.6310344827586214</v>
          </cell>
          <cell r="AB56">
            <v>1.7855785728436993</v>
          </cell>
          <cell r="AC56">
            <v>5.4436826900230884E-2</v>
          </cell>
          <cell r="AD56">
            <v>0.90035574332578672</v>
          </cell>
          <cell r="AE56">
            <v>1.787933353586229</v>
          </cell>
          <cell r="BR56">
            <v>0.05</v>
          </cell>
          <cell r="BS56">
            <v>0.46</v>
          </cell>
          <cell r="BT56">
            <v>0.19</v>
          </cell>
          <cell r="BV56">
            <v>0.47681373721134213</v>
          </cell>
          <cell r="BW56">
            <v>0.29904224671612289</v>
          </cell>
          <cell r="BX56">
            <v>0.17753228423149614</v>
          </cell>
          <cell r="BY56">
            <v>-2.6913940356893562</v>
          </cell>
          <cell r="BZ56">
            <v>1.1724238270255531</v>
          </cell>
          <cell r="CA56">
            <v>1.0514127764127759</v>
          </cell>
          <cell r="CB56">
            <v>0.22457627118644075</v>
          </cell>
          <cell r="CC56">
            <v>-0.96466345874988801</v>
          </cell>
          <cell r="CD56">
            <v>-8.9775561097256706E-2</v>
          </cell>
          <cell r="CE56">
            <v>-0.24615384615384617</v>
          </cell>
          <cell r="CF56">
            <v>4.4982698961937739E-2</v>
          </cell>
          <cell r="CG56">
            <v>-202.99999999999565</v>
          </cell>
        </row>
        <row r="58">
          <cell r="A58" t="str">
            <v>Balance Sheet</v>
          </cell>
        </row>
        <row r="59">
          <cell r="A59" t="str">
            <v>Cash</v>
          </cell>
          <cell r="AB59">
            <v>306.5</v>
          </cell>
          <cell r="AC59">
            <v>38.1</v>
          </cell>
          <cell r="BR59">
            <v>183.2</v>
          </cell>
          <cell r="BS59">
            <v>255.5</v>
          </cell>
          <cell r="BT59">
            <v>0.1</v>
          </cell>
          <cell r="BU59">
            <v>38.149000000000001</v>
          </cell>
          <cell r="BV59">
            <v>75.159000000000006</v>
          </cell>
          <cell r="BW59">
            <v>118.6</v>
          </cell>
        </row>
        <row r="60">
          <cell r="A60" t="str">
            <v>LT Debt</v>
          </cell>
          <cell r="AB60">
            <v>380</v>
          </cell>
          <cell r="AC60">
            <v>361</v>
          </cell>
          <cell r="BR60">
            <v>361.3</v>
          </cell>
          <cell r="BS60">
            <v>342.5</v>
          </cell>
          <cell r="BT60">
            <v>373.8</v>
          </cell>
          <cell r="BU60">
            <v>361</v>
          </cell>
          <cell r="BV60">
            <v>342.25</v>
          </cell>
          <cell r="BW60">
            <v>323.5</v>
          </cell>
        </row>
        <row r="61">
          <cell r="A61" t="str">
            <v>Net Debt</v>
          </cell>
          <cell r="AB61">
            <v>73.5</v>
          </cell>
          <cell r="AC61">
            <v>322.89999999999998</v>
          </cell>
          <cell r="BR61">
            <v>178</v>
          </cell>
          <cell r="BS61">
            <v>87</v>
          </cell>
          <cell r="BT61">
            <v>373.7</v>
          </cell>
          <cell r="BU61">
            <v>322.851</v>
          </cell>
          <cell r="BV61">
            <v>267.09100000000001</v>
          </cell>
          <cell r="BW61">
            <v>204.9</v>
          </cell>
        </row>
        <row r="62">
          <cell r="A62" t="str">
            <v>Equity</v>
          </cell>
          <cell r="AB62">
            <v>92.8</v>
          </cell>
          <cell r="AC62">
            <v>195.7</v>
          </cell>
          <cell r="BR62">
            <v>69</v>
          </cell>
          <cell r="BS62">
            <v>109.8</v>
          </cell>
          <cell r="BT62">
            <v>125.3</v>
          </cell>
          <cell r="BU62">
            <v>195.68</v>
          </cell>
          <cell r="BV62">
            <v>215.20599999999999</v>
          </cell>
          <cell r="BW62">
            <v>280.10000000000002</v>
          </cell>
        </row>
        <row r="63">
          <cell r="A63" t="str">
            <v>Net debt/cap</v>
          </cell>
          <cell r="AB63">
            <v>0.44</v>
          </cell>
          <cell r="AC63">
            <v>0.62</v>
          </cell>
          <cell r="BR63">
            <v>0.72064777327935226</v>
          </cell>
          <cell r="BS63">
            <v>0.44207317073170727</v>
          </cell>
          <cell r="BT63">
            <v>0.7488977955911823</v>
          </cell>
          <cell r="BU63">
            <v>0.62262622678296964</v>
          </cell>
          <cell r="BV63">
            <v>0.55378946997389578</v>
          </cell>
          <cell r="BW63">
            <v>0.42247422680412372</v>
          </cell>
        </row>
        <row r="65">
          <cell r="A65" t="str">
            <v>Orders</v>
          </cell>
        </row>
        <row r="66">
          <cell r="A66" t="str">
            <v>G100</v>
          </cell>
          <cell r="AG66">
            <v>10</v>
          </cell>
        </row>
        <row r="67">
          <cell r="A67" t="str">
            <v>G150</v>
          </cell>
          <cell r="D67">
            <v>50</v>
          </cell>
          <cell r="AG67">
            <v>50</v>
          </cell>
        </row>
        <row r="68">
          <cell r="A68" t="str">
            <v>G200</v>
          </cell>
          <cell r="AG68">
            <v>11</v>
          </cell>
          <cell r="CG68">
            <v>4</v>
          </cell>
        </row>
        <row r="69">
          <cell r="A69" t="str">
            <v>-subtotal Midsize</v>
          </cell>
          <cell r="D69">
            <v>52</v>
          </cell>
          <cell r="E69">
            <v>5</v>
          </cell>
          <cell r="H69">
            <v>5</v>
          </cell>
          <cell r="I69">
            <v>8</v>
          </cell>
          <cell r="M69">
            <v>10</v>
          </cell>
          <cell r="Q69">
            <v>12</v>
          </cell>
          <cell r="Z69">
            <v>0</v>
          </cell>
          <cell r="AA69">
            <v>0</v>
          </cell>
          <cell r="AB69">
            <v>0</v>
          </cell>
          <cell r="AC69">
            <v>0</v>
          </cell>
          <cell r="AD69">
            <v>0</v>
          </cell>
          <cell r="AE69">
            <v>0</v>
          </cell>
          <cell r="AF69">
            <v>53</v>
          </cell>
          <cell r="AG69">
            <v>71</v>
          </cell>
          <cell r="AH69">
            <v>18</v>
          </cell>
          <cell r="AI69">
            <v>24</v>
          </cell>
          <cell r="AJ69">
            <v>32</v>
          </cell>
          <cell r="AK69">
            <v>45</v>
          </cell>
        </row>
        <row r="70">
          <cell r="A70" t="str">
            <v>G300/350</v>
          </cell>
        </row>
        <row r="71">
          <cell r="A71" t="str">
            <v>G400 (GIV/IVSP)</v>
          </cell>
          <cell r="Z71">
            <v>30</v>
          </cell>
          <cell r="AA71">
            <v>44</v>
          </cell>
          <cell r="AB71">
            <v>39</v>
          </cell>
          <cell r="AC71">
            <v>50</v>
          </cell>
          <cell r="AD71">
            <v>26</v>
          </cell>
          <cell r="AE71">
            <v>35</v>
          </cell>
          <cell r="AF71">
            <v>26</v>
          </cell>
          <cell r="AG71">
            <v>32</v>
          </cell>
          <cell r="BV71">
            <v>7</v>
          </cell>
          <cell r="BW71">
            <v>5</v>
          </cell>
          <cell r="CD71">
            <v>9</v>
          </cell>
          <cell r="CG71">
            <v>5</v>
          </cell>
        </row>
        <row r="72">
          <cell r="A72" t="str">
            <v>G450</v>
          </cell>
        </row>
        <row r="73">
          <cell r="A73" t="str">
            <v>GV</v>
          </cell>
          <cell r="Z73">
            <v>12</v>
          </cell>
          <cell r="AA73">
            <v>21</v>
          </cell>
          <cell r="AB73">
            <v>7</v>
          </cell>
          <cell r="AC73">
            <v>40</v>
          </cell>
          <cell r="AD73">
            <v>18</v>
          </cell>
          <cell r="AE73">
            <v>20</v>
          </cell>
          <cell r="AF73">
            <v>24</v>
          </cell>
          <cell r="BV73">
            <v>4</v>
          </cell>
          <cell r="BW73">
            <v>5</v>
          </cell>
          <cell r="CD73">
            <v>9</v>
          </cell>
          <cell r="CG73">
            <v>9</v>
          </cell>
        </row>
        <row r="74">
          <cell r="A74" t="str">
            <v xml:space="preserve">G500 </v>
          </cell>
        </row>
        <row r="75">
          <cell r="A75" t="str">
            <v>G550 (GVSP)</v>
          </cell>
          <cell r="AE75">
            <v>27</v>
          </cell>
          <cell r="AF75">
            <v>20</v>
          </cell>
          <cell r="AG75">
            <v>30</v>
          </cell>
          <cell r="CD75">
            <v>5</v>
          </cell>
          <cell r="CG75">
            <v>3</v>
          </cell>
        </row>
        <row r="76">
          <cell r="A76" t="str">
            <v>-subotal Large Cabin</v>
          </cell>
          <cell r="B76">
            <v>19</v>
          </cell>
          <cell r="C76">
            <v>15</v>
          </cell>
          <cell r="D76">
            <v>6</v>
          </cell>
          <cell r="E76">
            <v>18</v>
          </cell>
          <cell r="H76">
            <v>12</v>
          </cell>
          <cell r="I76">
            <v>26</v>
          </cell>
          <cell r="M76">
            <v>33</v>
          </cell>
          <cell r="Q76">
            <v>32</v>
          </cell>
          <cell r="Z76">
            <v>42</v>
          </cell>
          <cell r="AA76">
            <v>65</v>
          </cell>
          <cell r="AB76">
            <v>46</v>
          </cell>
          <cell r="AC76">
            <v>90</v>
          </cell>
          <cell r="AD76">
            <v>44</v>
          </cell>
          <cell r="AE76">
            <v>82</v>
          </cell>
          <cell r="AF76">
            <v>70</v>
          </cell>
          <cell r="AG76">
            <v>62</v>
          </cell>
          <cell r="AH76">
            <v>41</v>
          </cell>
          <cell r="AI76">
            <v>71</v>
          </cell>
          <cell r="AJ76">
            <v>92</v>
          </cell>
          <cell r="AK76">
            <v>114</v>
          </cell>
        </row>
        <row r="77">
          <cell r="A77" t="str">
            <v>Total</v>
          </cell>
          <cell r="D77">
            <v>58</v>
          </cell>
          <cell r="E77">
            <v>23</v>
          </cell>
          <cell r="H77">
            <v>17</v>
          </cell>
          <cell r="I77">
            <v>34</v>
          </cell>
          <cell r="M77">
            <v>43</v>
          </cell>
          <cell r="Q77">
            <v>44</v>
          </cell>
          <cell r="Z77">
            <v>42</v>
          </cell>
          <cell r="AA77">
            <v>65</v>
          </cell>
          <cell r="AB77">
            <v>46</v>
          </cell>
          <cell r="AC77">
            <v>90</v>
          </cell>
          <cell r="AD77">
            <v>44</v>
          </cell>
          <cell r="AE77">
            <v>82</v>
          </cell>
          <cell r="AF77">
            <v>123</v>
          </cell>
          <cell r="AG77">
            <v>133</v>
          </cell>
          <cell r="AH77">
            <v>59</v>
          </cell>
          <cell r="AI77">
            <v>95</v>
          </cell>
          <cell r="AJ77">
            <v>124</v>
          </cell>
          <cell r="AK77">
            <v>159</v>
          </cell>
          <cell r="BR77">
            <v>0</v>
          </cell>
          <cell r="BS77">
            <v>0</v>
          </cell>
          <cell r="BT77">
            <v>0</v>
          </cell>
          <cell r="BU77">
            <v>0</v>
          </cell>
          <cell r="BV77">
            <v>11</v>
          </cell>
          <cell r="BW77">
            <v>10</v>
          </cell>
          <cell r="BX77">
            <v>0</v>
          </cell>
          <cell r="BY77">
            <v>0</v>
          </cell>
          <cell r="BZ77">
            <v>0</v>
          </cell>
          <cell r="CA77">
            <v>0</v>
          </cell>
          <cell r="CB77">
            <v>0</v>
          </cell>
          <cell r="CC77">
            <v>0</v>
          </cell>
          <cell r="CD77">
            <v>23</v>
          </cell>
          <cell r="CE77">
            <v>0</v>
          </cell>
          <cell r="CF77">
            <v>0</v>
          </cell>
          <cell r="CG77">
            <v>17</v>
          </cell>
        </row>
        <row r="78">
          <cell r="A78" t="str">
            <v>Cancellations</v>
          </cell>
          <cell r="AG78">
            <v>-6</v>
          </cell>
          <cell r="AH78">
            <v>-19</v>
          </cell>
          <cell r="AI78">
            <v>-2</v>
          </cell>
        </row>
        <row r="79">
          <cell r="A79" t="str">
            <v>Gross Orders</v>
          </cell>
          <cell r="AG79">
            <v>127</v>
          </cell>
          <cell r="AH79">
            <v>78</v>
          </cell>
          <cell r="AI79">
            <v>97</v>
          </cell>
        </row>
        <row r="80">
          <cell r="AG80" t="str">
            <v>reversed</v>
          </cell>
        </row>
        <row r="81">
          <cell r="A81" t="str">
            <v>Deliveries(Green)</v>
          </cell>
        </row>
        <row r="82">
          <cell r="A82" t="str">
            <v>G100</v>
          </cell>
          <cell r="B82">
            <v>4</v>
          </cell>
          <cell r="C82">
            <v>2</v>
          </cell>
          <cell r="D82">
            <v>2</v>
          </cell>
          <cell r="E82">
            <v>1</v>
          </cell>
          <cell r="F82">
            <v>3</v>
          </cell>
          <cell r="G82">
            <v>1</v>
          </cell>
          <cell r="H82">
            <v>0</v>
          </cell>
          <cell r="I82">
            <v>1</v>
          </cell>
          <cell r="J82">
            <v>0</v>
          </cell>
          <cell r="K82">
            <v>1</v>
          </cell>
          <cell r="L82">
            <v>2</v>
          </cell>
          <cell r="M82">
            <v>1</v>
          </cell>
          <cell r="N82">
            <v>0</v>
          </cell>
          <cell r="O82">
            <v>1</v>
          </cell>
          <cell r="P82">
            <v>1</v>
          </cell>
          <cell r="Q82">
            <v>2</v>
          </cell>
          <cell r="R82">
            <v>1</v>
          </cell>
          <cell r="S82">
            <v>0</v>
          </cell>
          <cell r="T82">
            <v>0</v>
          </cell>
          <cell r="U82">
            <v>0</v>
          </cell>
          <cell r="AF82">
            <v>5</v>
          </cell>
          <cell r="AG82">
            <v>9</v>
          </cell>
          <cell r="AH82">
            <v>5</v>
          </cell>
          <cell r="AI82">
            <v>4</v>
          </cell>
          <cell r="AJ82">
            <v>4</v>
          </cell>
          <cell r="AK82">
            <v>1</v>
          </cell>
          <cell r="AL82">
            <v>0</v>
          </cell>
          <cell r="AM82">
            <v>0</v>
          </cell>
          <cell r="AN82">
            <v>0</v>
          </cell>
          <cell r="AO82">
            <v>0</v>
          </cell>
          <cell r="AS82" t="str">
            <v>-last del 2006</v>
          </cell>
        </row>
        <row r="83">
          <cell r="A83" t="str">
            <v>G150</v>
          </cell>
          <cell r="N83">
            <v>0</v>
          </cell>
          <cell r="O83">
            <v>0</v>
          </cell>
          <cell r="P83">
            <v>0</v>
          </cell>
          <cell r="Q83">
            <v>0</v>
          </cell>
          <cell r="R83">
            <v>0</v>
          </cell>
          <cell r="S83">
            <v>5</v>
          </cell>
          <cell r="T83">
            <v>4</v>
          </cell>
          <cell r="U83">
            <v>5</v>
          </cell>
          <cell r="AK83">
            <v>14</v>
          </cell>
          <cell r="AL83">
            <v>37</v>
          </cell>
          <cell r="AM83">
            <v>44</v>
          </cell>
          <cell r="AN83">
            <v>44</v>
          </cell>
          <cell r="AO83">
            <v>30</v>
          </cell>
          <cell r="AS83" t="str">
            <v>-1st del 2006</v>
          </cell>
        </row>
        <row r="84">
          <cell r="A84" t="str">
            <v>G200</v>
          </cell>
          <cell r="B84">
            <v>8</v>
          </cell>
          <cell r="C84">
            <v>4</v>
          </cell>
          <cell r="D84">
            <v>1</v>
          </cell>
          <cell r="E84">
            <v>2</v>
          </cell>
          <cell r="F84">
            <v>1</v>
          </cell>
          <cell r="G84">
            <v>6</v>
          </cell>
          <cell r="H84">
            <v>5</v>
          </cell>
          <cell r="I84">
            <v>7</v>
          </cell>
          <cell r="J84">
            <v>4</v>
          </cell>
          <cell r="K84">
            <v>5</v>
          </cell>
          <cell r="L84">
            <v>4</v>
          </cell>
          <cell r="M84">
            <v>5</v>
          </cell>
          <cell r="N84">
            <v>6</v>
          </cell>
          <cell r="O84">
            <v>5</v>
          </cell>
          <cell r="P84">
            <v>6</v>
          </cell>
          <cell r="Q84">
            <v>5</v>
          </cell>
          <cell r="R84">
            <v>6</v>
          </cell>
          <cell r="S84">
            <v>8</v>
          </cell>
          <cell r="T84">
            <v>7</v>
          </cell>
          <cell r="U84">
            <v>6</v>
          </cell>
          <cell r="AF84">
            <v>8</v>
          </cell>
          <cell r="AG84">
            <v>15</v>
          </cell>
          <cell r="AH84">
            <v>19</v>
          </cell>
          <cell r="AI84">
            <v>18</v>
          </cell>
          <cell r="AJ84">
            <v>22</v>
          </cell>
          <cell r="AK84">
            <v>27</v>
          </cell>
          <cell r="AL84">
            <v>24</v>
          </cell>
          <cell r="AM84">
            <v>24</v>
          </cell>
          <cell r="AN84">
            <v>30</v>
          </cell>
          <cell r="AO84">
            <v>30</v>
          </cell>
          <cell r="CG84">
            <v>7</v>
          </cell>
        </row>
        <row r="85">
          <cell r="A85" t="str">
            <v>subtotal Midsize</v>
          </cell>
          <cell r="B85">
            <v>12</v>
          </cell>
          <cell r="C85">
            <v>6</v>
          </cell>
          <cell r="D85">
            <v>3</v>
          </cell>
          <cell r="E85">
            <v>3</v>
          </cell>
          <cell r="F85">
            <v>4</v>
          </cell>
          <cell r="G85">
            <v>7</v>
          </cell>
          <cell r="H85">
            <v>5</v>
          </cell>
          <cell r="I85">
            <v>8</v>
          </cell>
          <cell r="J85">
            <v>4</v>
          </cell>
          <cell r="K85">
            <v>6</v>
          </cell>
          <cell r="L85">
            <v>6</v>
          </cell>
          <cell r="M85">
            <v>6</v>
          </cell>
          <cell r="N85">
            <v>6</v>
          </cell>
          <cell r="O85">
            <v>6</v>
          </cell>
          <cell r="P85">
            <v>7</v>
          </cell>
          <cell r="Q85">
            <v>7</v>
          </cell>
          <cell r="R85">
            <v>7</v>
          </cell>
          <cell r="S85">
            <v>13</v>
          </cell>
          <cell r="T85">
            <v>11</v>
          </cell>
          <cell r="U85">
            <v>11</v>
          </cell>
          <cell r="V85">
            <v>11</v>
          </cell>
          <cell r="AF85">
            <v>13</v>
          </cell>
          <cell r="AG85">
            <v>24</v>
          </cell>
          <cell r="AH85">
            <v>24</v>
          </cell>
          <cell r="AI85">
            <v>22</v>
          </cell>
          <cell r="AJ85">
            <v>26</v>
          </cell>
          <cell r="AK85">
            <v>42</v>
          </cell>
          <cell r="AL85">
            <v>61</v>
          </cell>
          <cell r="AM85">
            <v>68</v>
          </cell>
          <cell r="AN85">
            <v>74</v>
          </cell>
          <cell r="AO85">
            <v>60</v>
          </cell>
        </row>
        <row r="87">
          <cell r="A87" t="str">
            <v>G300/350</v>
          </cell>
          <cell r="F87">
            <v>2</v>
          </cell>
          <cell r="G87">
            <v>4</v>
          </cell>
          <cell r="H87">
            <v>1</v>
          </cell>
          <cell r="I87">
            <v>1</v>
          </cell>
          <cell r="J87">
            <v>1</v>
          </cell>
          <cell r="K87">
            <v>2</v>
          </cell>
          <cell r="L87">
            <v>2</v>
          </cell>
          <cell r="M87">
            <v>0</v>
          </cell>
          <cell r="N87">
            <v>4</v>
          </cell>
          <cell r="O87">
            <v>1</v>
          </cell>
          <cell r="P87">
            <v>2</v>
          </cell>
          <cell r="Q87">
            <v>0</v>
          </cell>
          <cell r="R87">
            <v>2</v>
          </cell>
          <cell r="S87">
            <v>0</v>
          </cell>
          <cell r="T87">
            <v>0</v>
          </cell>
          <cell r="U87">
            <v>0</v>
          </cell>
          <cell r="AH87">
            <v>8</v>
          </cell>
          <cell r="AI87">
            <v>5</v>
          </cell>
          <cell r="AJ87">
            <v>7</v>
          </cell>
          <cell r="AK87">
            <v>2</v>
          </cell>
          <cell r="AL87">
            <v>8</v>
          </cell>
          <cell r="AM87">
            <v>9</v>
          </cell>
          <cell r="AN87">
            <v>9</v>
          </cell>
          <cell r="AO87">
            <v>9</v>
          </cell>
        </row>
        <row r="88">
          <cell r="A88" t="str">
            <v>G400 (GIV/IVSP)</v>
          </cell>
          <cell r="B88">
            <v>8</v>
          </cell>
          <cell r="C88">
            <v>9</v>
          </cell>
          <cell r="D88">
            <v>6</v>
          </cell>
          <cell r="E88">
            <v>6</v>
          </cell>
          <cell r="F88">
            <v>2</v>
          </cell>
          <cell r="G88">
            <v>3</v>
          </cell>
          <cell r="H88">
            <v>4</v>
          </cell>
          <cell r="I88">
            <v>4</v>
          </cell>
          <cell r="J88">
            <v>4</v>
          </cell>
          <cell r="K88">
            <v>4</v>
          </cell>
          <cell r="L88">
            <v>3</v>
          </cell>
          <cell r="M88">
            <v>0</v>
          </cell>
          <cell r="N88">
            <v>0</v>
          </cell>
          <cell r="O88">
            <v>0</v>
          </cell>
          <cell r="P88">
            <v>0</v>
          </cell>
          <cell r="Q88">
            <v>0</v>
          </cell>
          <cell r="Z88">
            <v>26</v>
          </cell>
          <cell r="AA88">
            <v>24</v>
          </cell>
          <cell r="AB88">
            <v>22</v>
          </cell>
          <cell r="AC88">
            <v>32</v>
          </cell>
          <cell r="AD88">
            <v>39</v>
          </cell>
          <cell r="AE88">
            <v>38</v>
          </cell>
          <cell r="AF88">
            <v>36</v>
          </cell>
          <cell r="AG88">
            <v>29</v>
          </cell>
          <cell r="AH88">
            <v>13</v>
          </cell>
          <cell r="AI88">
            <v>11</v>
          </cell>
          <cell r="BR88">
            <v>6</v>
          </cell>
          <cell r="BS88">
            <v>8</v>
          </cell>
          <cell r="BT88">
            <v>9</v>
          </cell>
          <cell r="BU88">
            <v>9</v>
          </cell>
          <cell r="BV88">
            <v>11</v>
          </cell>
          <cell r="BW88">
            <v>9</v>
          </cell>
          <cell r="BX88">
            <v>10</v>
          </cell>
          <cell r="BY88">
            <v>9</v>
          </cell>
          <cell r="BZ88">
            <v>9</v>
          </cell>
          <cell r="CA88">
            <v>10</v>
          </cell>
          <cell r="CB88">
            <v>9</v>
          </cell>
          <cell r="CC88">
            <v>9</v>
          </cell>
          <cell r="CD88">
            <v>10</v>
          </cell>
          <cell r="CF88">
            <v>8</v>
          </cell>
          <cell r="CG88">
            <v>9</v>
          </cell>
        </row>
        <row r="89">
          <cell r="A89" t="str">
            <v>G450</v>
          </cell>
          <cell r="J89">
            <v>0</v>
          </cell>
          <cell r="K89">
            <v>0</v>
          </cell>
          <cell r="L89">
            <v>1</v>
          </cell>
          <cell r="M89">
            <v>7</v>
          </cell>
          <cell r="N89">
            <v>2</v>
          </cell>
          <cell r="O89">
            <v>5</v>
          </cell>
          <cell r="P89">
            <v>5</v>
          </cell>
          <cell r="Q89">
            <v>8</v>
          </cell>
          <cell r="R89">
            <v>6</v>
          </cell>
          <cell r="S89">
            <v>7</v>
          </cell>
          <cell r="T89">
            <v>8</v>
          </cell>
          <cell r="U89">
            <v>9</v>
          </cell>
          <cell r="AI89">
            <v>8</v>
          </cell>
          <cell r="AJ89">
            <v>20</v>
          </cell>
          <cell r="AK89">
            <v>30</v>
          </cell>
          <cell r="AL89">
            <v>32</v>
          </cell>
          <cell r="AM89">
            <v>36</v>
          </cell>
          <cell r="AN89">
            <v>35</v>
          </cell>
          <cell r="AO89">
            <v>35</v>
          </cell>
        </row>
        <row r="90">
          <cell r="A90" t="str">
            <v>GV</v>
          </cell>
          <cell r="B90">
            <v>7</v>
          </cell>
          <cell r="C90">
            <v>9</v>
          </cell>
          <cell r="D90">
            <v>8</v>
          </cell>
          <cell r="E90">
            <v>7</v>
          </cell>
          <cell r="F90">
            <v>0</v>
          </cell>
          <cell r="G90">
            <v>0</v>
          </cell>
          <cell r="H90">
            <v>1</v>
          </cell>
          <cell r="I90">
            <v>0</v>
          </cell>
          <cell r="Z90">
            <v>0</v>
          </cell>
          <cell r="AA90">
            <v>3</v>
          </cell>
          <cell r="AB90">
            <v>29</v>
          </cell>
          <cell r="AC90">
            <v>29</v>
          </cell>
          <cell r="AD90">
            <v>31</v>
          </cell>
          <cell r="AE90">
            <v>33</v>
          </cell>
          <cell r="AF90">
            <v>35</v>
          </cell>
          <cell r="AG90">
            <v>31</v>
          </cell>
          <cell r="AH90">
            <v>1</v>
          </cell>
          <cell r="BR90">
            <v>7</v>
          </cell>
          <cell r="BS90">
            <v>7</v>
          </cell>
          <cell r="BT90">
            <v>7</v>
          </cell>
          <cell r="BU90">
            <v>8</v>
          </cell>
          <cell r="BV90">
            <v>6</v>
          </cell>
          <cell r="BW90">
            <v>8</v>
          </cell>
          <cell r="BX90">
            <v>8</v>
          </cell>
          <cell r="BY90">
            <v>9</v>
          </cell>
          <cell r="BZ90">
            <v>9</v>
          </cell>
          <cell r="CA90">
            <v>8</v>
          </cell>
          <cell r="CB90">
            <v>8</v>
          </cell>
          <cell r="CC90">
            <v>9</v>
          </cell>
          <cell r="CD90">
            <v>8</v>
          </cell>
          <cell r="CF90">
            <v>10</v>
          </cell>
          <cell r="CG90">
            <v>9</v>
          </cell>
        </row>
        <row r="91">
          <cell r="A91" t="str">
            <v>G500</v>
          </cell>
          <cell r="N91">
            <v>1</v>
          </cell>
          <cell r="O91">
            <v>0</v>
          </cell>
          <cell r="P91">
            <v>0</v>
          </cell>
          <cell r="Q91">
            <v>0</v>
          </cell>
          <cell r="R91">
            <v>2</v>
          </cell>
          <cell r="S91">
            <v>0</v>
          </cell>
          <cell r="T91">
            <v>0</v>
          </cell>
          <cell r="U91">
            <v>1</v>
          </cell>
          <cell r="AJ91">
            <v>1</v>
          </cell>
          <cell r="AK91">
            <v>3</v>
          </cell>
          <cell r="AL91">
            <v>6</v>
          </cell>
          <cell r="AM91">
            <v>7</v>
          </cell>
          <cell r="AN91">
            <v>6</v>
          </cell>
          <cell r="AO91">
            <v>6</v>
          </cell>
        </row>
        <row r="92">
          <cell r="A92" t="str">
            <v>G550 (GVSP)</v>
          </cell>
          <cell r="B92">
            <v>0</v>
          </cell>
          <cell r="C92">
            <v>0</v>
          </cell>
          <cell r="D92">
            <v>0</v>
          </cell>
          <cell r="E92">
            <v>1</v>
          </cell>
          <cell r="F92">
            <v>7</v>
          </cell>
          <cell r="G92">
            <v>5</v>
          </cell>
          <cell r="H92">
            <v>8</v>
          </cell>
          <cell r="I92">
            <v>8</v>
          </cell>
          <cell r="J92">
            <v>8</v>
          </cell>
          <cell r="K92">
            <v>8</v>
          </cell>
          <cell r="L92">
            <v>8</v>
          </cell>
          <cell r="M92">
            <v>8</v>
          </cell>
          <cell r="N92">
            <v>7</v>
          </cell>
          <cell r="O92">
            <v>9</v>
          </cell>
          <cell r="P92">
            <v>10</v>
          </cell>
          <cell r="Q92">
            <v>9</v>
          </cell>
          <cell r="R92">
            <v>8</v>
          </cell>
          <cell r="S92">
            <v>9</v>
          </cell>
          <cell r="T92">
            <v>10</v>
          </cell>
          <cell r="U92">
            <v>9</v>
          </cell>
          <cell r="AG92">
            <v>1</v>
          </cell>
          <cell r="AH92">
            <v>28</v>
          </cell>
          <cell r="AI92">
            <v>32</v>
          </cell>
          <cell r="AJ92">
            <v>35</v>
          </cell>
          <cell r="AK92">
            <v>36</v>
          </cell>
          <cell r="AL92">
            <v>37</v>
          </cell>
          <cell r="AM92">
            <v>38</v>
          </cell>
          <cell r="AN92">
            <v>40</v>
          </cell>
          <cell r="AO92">
            <v>42</v>
          </cell>
          <cell r="AS92" t="str">
            <v>- GVSP dels 03</v>
          </cell>
        </row>
        <row r="93">
          <cell r="A93" t="str">
            <v>-subotal Large Cabin</v>
          </cell>
          <cell r="B93">
            <v>15</v>
          </cell>
          <cell r="C93">
            <v>18</v>
          </cell>
          <cell r="D93">
            <v>14</v>
          </cell>
          <cell r="E93">
            <v>14</v>
          </cell>
          <cell r="F93">
            <v>11</v>
          </cell>
          <cell r="G93">
            <v>12</v>
          </cell>
          <cell r="H93">
            <v>14</v>
          </cell>
          <cell r="I93">
            <v>13</v>
          </cell>
          <cell r="J93">
            <v>13</v>
          </cell>
          <cell r="K93">
            <v>14</v>
          </cell>
          <cell r="L93">
            <v>14</v>
          </cell>
          <cell r="M93">
            <v>15</v>
          </cell>
          <cell r="N93">
            <v>14</v>
          </cell>
          <cell r="O93">
            <v>15</v>
          </cell>
          <cell r="P93">
            <v>17</v>
          </cell>
          <cell r="Q93">
            <v>17</v>
          </cell>
          <cell r="R93">
            <v>18</v>
          </cell>
          <cell r="S93">
            <v>16</v>
          </cell>
          <cell r="T93">
            <v>18</v>
          </cell>
          <cell r="U93">
            <v>19</v>
          </cell>
          <cell r="V93">
            <v>19</v>
          </cell>
          <cell r="Z93">
            <v>26</v>
          </cell>
          <cell r="AA93">
            <v>27</v>
          </cell>
          <cell r="AB93">
            <v>51</v>
          </cell>
          <cell r="AC93">
            <v>61</v>
          </cell>
          <cell r="AD93">
            <v>70</v>
          </cell>
          <cell r="AE93">
            <v>71</v>
          </cell>
          <cell r="AF93">
            <v>71</v>
          </cell>
          <cell r="AG93">
            <v>61</v>
          </cell>
          <cell r="AH93">
            <v>50</v>
          </cell>
          <cell r="AI93">
            <v>56</v>
          </cell>
          <cell r="AJ93">
            <v>63</v>
          </cell>
          <cell r="AK93">
            <v>71</v>
          </cell>
          <cell r="AL93">
            <v>83</v>
          </cell>
          <cell r="AM93">
            <v>90</v>
          </cell>
          <cell r="AN93">
            <v>90</v>
          </cell>
          <cell r="AO93">
            <v>92</v>
          </cell>
        </row>
        <row r="94">
          <cell r="A94" t="str">
            <v>Total</v>
          </cell>
          <cell r="B94">
            <v>27</v>
          </cell>
          <cell r="C94">
            <v>24</v>
          </cell>
          <cell r="D94">
            <v>17</v>
          </cell>
          <cell r="E94">
            <v>17</v>
          </cell>
          <cell r="F94">
            <v>15</v>
          </cell>
          <cell r="G94">
            <v>19</v>
          </cell>
          <cell r="H94">
            <v>19</v>
          </cell>
          <cell r="I94">
            <v>21</v>
          </cell>
          <cell r="J94">
            <v>17</v>
          </cell>
          <cell r="K94">
            <v>20</v>
          </cell>
          <cell r="L94">
            <v>20</v>
          </cell>
          <cell r="M94">
            <v>21</v>
          </cell>
          <cell r="N94">
            <v>20</v>
          </cell>
          <cell r="O94">
            <v>21</v>
          </cell>
          <cell r="P94">
            <v>24</v>
          </cell>
          <cell r="Q94">
            <v>24</v>
          </cell>
          <cell r="R94">
            <v>25</v>
          </cell>
          <cell r="S94">
            <v>29</v>
          </cell>
          <cell r="T94">
            <v>29</v>
          </cell>
          <cell r="U94">
            <v>30</v>
          </cell>
          <cell r="V94">
            <v>30</v>
          </cell>
          <cell r="Z94">
            <v>26</v>
          </cell>
          <cell r="AA94">
            <v>27</v>
          </cell>
          <cell r="AB94">
            <v>51</v>
          </cell>
          <cell r="AC94">
            <v>61</v>
          </cell>
          <cell r="AD94">
            <v>70</v>
          </cell>
          <cell r="AE94">
            <v>71</v>
          </cell>
          <cell r="AF94">
            <v>84</v>
          </cell>
          <cell r="AG94">
            <v>85</v>
          </cell>
          <cell r="AH94">
            <v>74</v>
          </cell>
          <cell r="AI94">
            <v>78</v>
          </cell>
          <cell r="AJ94">
            <v>89</v>
          </cell>
          <cell r="AK94">
            <v>113</v>
          </cell>
          <cell r="AL94">
            <v>144</v>
          </cell>
          <cell r="AM94">
            <v>158</v>
          </cell>
          <cell r="AN94">
            <v>164</v>
          </cell>
          <cell r="AO94">
            <v>152</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row>
        <row r="96">
          <cell r="A96" t="str">
            <v>BOOK:BILL</v>
          </cell>
          <cell r="Z96">
            <v>1.6153846153846154</v>
          </cell>
          <cell r="AA96">
            <v>2.4074074074074074</v>
          </cell>
          <cell r="AB96">
            <v>0.90196078431372551</v>
          </cell>
          <cell r="AC96">
            <v>1.4754098360655739</v>
          </cell>
          <cell r="AD96">
            <v>0.62857142857142856</v>
          </cell>
          <cell r="AE96">
            <v>1.1549295774647887</v>
          </cell>
          <cell r="AF96">
            <v>1.4642857142857142</v>
          </cell>
          <cell r="AG96">
            <v>1.5647058823529412</v>
          </cell>
          <cell r="AH96">
            <v>0.79729729729729726</v>
          </cell>
          <cell r="AI96">
            <v>1.2179487179487178</v>
          </cell>
          <cell r="AJ96">
            <v>1.3932584269662922</v>
          </cell>
          <cell r="AK96">
            <v>1.4070796460176991</v>
          </cell>
        </row>
        <row r="97">
          <cell r="A97" t="str">
            <v>Preowned Sales</v>
          </cell>
          <cell r="B97">
            <v>2</v>
          </cell>
          <cell r="C97">
            <v>4</v>
          </cell>
          <cell r="D97">
            <v>9</v>
          </cell>
          <cell r="E97">
            <v>21</v>
          </cell>
          <cell r="F97">
            <v>4</v>
          </cell>
          <cell r="G97">
            <v>11</v>
          </cell>
          <cell r="H97">
            <v>9</v>
          </cell>
          <cell r="I97">
            <v>7</v>
          </cell>
          <cell r="J97">
            <v>3</v>
          </cell>
          <cell r="K97">
            <v>0</v>
          </cell>
          <cell r="L97">
            <v>5</v>
          </cell>
          <cell r="M97">
            <v>3</v>
          </cell>
          <cell r="N97">
            <v>3</v>
          </cell>
          <cell r="O97">
            <v>2</v>
          </cell>
          <cell r="P97">
            <v>3</v>
          </cell>
          <cell r="Q97">
            <v>4</v>
          </cell>
          <cell r="R97">
            <v>3</v>
          </cell>
          <cell r="S97">
            <v>5</v>
          </cell>
          <cell r="T97">
            <v>2</v>
          </cell>
          <cell r="U97">
            <v>1</v>
          </cell>
          <cell r="V97">
            <v>2</v>
          </cell>
          <cell r="Z97">
            <v>21</v>
          </cell>
          <cell r="AA97">
            <v>16</v>
          </cell>
          <cell r="AB97">
            <v>14</v>
          </cell>
          <cell r="AC97">
            <v>12</v>
          </cell>
          <cell r="AD97">
            <v>17</v>
          </cell>
          <cell r="AE97">
            <v>16</v>
          </cell>
          <cell r="AF97">
            <v>13</v>
          </cell>
          <cell r="AG97">
            <v>36</v>
          </cell>
          <cell r="AH97">
            <v>31</v>
          </cell>
          <cell r="AI97">
            <v>15</v>
          </cell>
          <cell r="AJ97">
            <v>12</v>
          </cell>
          <cell r="AK97">
            <v>11</v>
          </cell>
        </row>
        <row r="98">
          <cell r="A98" t="str">
            <v>Implied ASP on Preowned</v>
          </cell>
          <cell r="B98">
            <v>37.5</v>
          </cell>
          <cell r="C98">
            <v>17.5</v>
          </cell>
          <cell r="D98">
            <v>6.666666666666667</v>
          </cell>
          <cell r="E98">
            <v>10.952380952380953</v>
          </cell>
          <cell r="F98">
            <v>11.25</v>
          </cell>
          <cell r="G98">
            <v>13.545454545454545</v>
          </cell>
          <cell r="H98">
            <v>15</v>
          </cell>
          <cell r="I98">
            <v>18.571428571428573</v>
          </cell>
          <cell r="J98">
            <v>8.3333333333333339</v>
          </cell>
          <cell r="K98" t="str">
            <v>NM</v>
          </cell>
          <cell r="L98">
            <v>20</v>
          </cell>
          <cell r="M98">
            <v>24.333333333333332</v>
          </cell>
          <cell r="N98">
            <v>16</v>
          </cell>
          <cell r="O98">
            <v>14</v>
          </cell>
          <cell r="P98">
            <v>18.666666666666668</v>
          </cell>
          <cell r="Q98">
            <v>21.75</v>
          </cell>
          <cell r="R98">
            <v>11</v>
          </cell>
          <cell r="S98">
            <v>23.4</v>
          </cell>
          <cell r="T98">
            <v>27</v>
          </cell>
          <cell r="U98">
            <v>13</v>
          </cell>
          <cell r="V98">
            <v>10.5</v>
          </cell>
          <cell r="Z98">
            <v>2.1428571428571428</v>
          </cell>
          <cell r="AA98">
            <v>9.5812500000000007</v>
          </cell>
          <cell r="AB98">
            <v>15.028571428571428</v>
          </cell>
          <cell r="AC98">
            <v>19.766666666666666</v>
          </cell>
          <cell r="AD98">
            <v>18.705882352941178</v>
          </cell>
          <cell r="AE98">
            <v>15.9375</v>
          </cell>
          <cell r="AF98">
            <v>13.615384615384615</v>
          </cell>
          <cell r="AG98">
            <v>12.083333333333334</v>
          </cell>
          <cell r="AH98">
            <v>14.806451612903226</v>
          </cell>
          <cell r="AI98">
            <v>18.533333333333335</v>
          </cell>
          <cell r="AJ98">
            <v>18.25</v>
          </cell>
          <cell r="AK98">
            <v>19.727272727272727</v>
          </cell>
        </row>
        <row r="100">
          <cell r="A100" t="str">
            <v>Backlog (Units)</v>
          </cell>
        </row>
        <row r="101">
          <cell r="A101" t="str">
            <v>G100</v>
          </cell>
          <cell r="AE101">
            <v>0</v>
          </cell>
          <cell r="AF101">
            <v>2</v>
          </cell>
          <cell r="AG101">
            <v>1</v>
          </cell>
        </row>
        <row r="102">
          <cell r="A102" t="str">
            <v>G150</v>
          </cell>
          <cell r="AG102">
            <v>50</v>
          </cell>
        </row>
        <row r="103">
          <cell r="A103" t="str">
            <v>G200</v>
          </cell>
          <cell r="AE103">
            <v>0</v>
          </cell>
          <cell r="AF103">
            <v>55</v>
          </cell>
          <cell r="AG103">
            <v>50</v>
          </cell>
          <cell r="CD103">
            <v>5</v>
          </cell>
        </row>
        <row r="104">
          <cell r="A104" t="str">
            <v>subtotal Midsize</v>
          </cell>
          <cell r="AH104">
            <v>84</v>
          </cell>
        </row>
        <row r="105">
          <cell r="A105" t="str">
            <v>G300</v>
          </cell>
          <cell r="AG105">
            <v>3</v>
          </cell>
        </row>
        <row r="106">
          <cell r="A106" t="str">
            <v>G400 (IV/IVSP)</v>
          </cell>
          <cell r="Z106">
            <v>7</v>
          </cell>
          <cell r="AA106">
            <v>27</v>
          </cell>
          <cell r="AB106">
            <v>55</v>
          </cell>
          <cell r="AC106">
            <v>61</v>
          </cell>
          <cell r="AD106">
            <v>39</v>
          </cell>
          <cell r="AE106">
            <v>34</v>
          </cell>
          <cell r="AF106">
            <v>13</v>
          </cell>
          <cell r="AG106">
            <v>13</v>
          </cell>
          <cell r="BU106">
            <v>61</v>
          </cell>
          <cell r="BV106">
            <v>57</v>
          </cell>
          <cell r="BW106">
            <v>53</v>
          </cell>
          <cell r="CD106">
            <v>33</v>
          </cell>
        </row>
        <row r="107">
          <cell r="A107" t="str">
            <v>G450</v>
          </cell>
          <cell r="AG107">
            <v>0</v>
          </cell>
        </row>
        <row r="108">
          <cell r="A108" t="str">
            <v>GV</v>
          </cell>
          <cell r="Z108">
            <v>50</v>
          </cell>
          <cell r="AA108">
            <v>67</v>
          </cell>
          <cell r="AB108">
            <v>45</v>
          </cell>
          <cell r="AC108">
            <v>56</v>
          </cell>
          <cell r="AD108">
            <v>43</v>
          </cell>
          <cell r="AE108">
            <v>25</v>
          </cell>
          <cell r="AF108">
            <v>10</v>
          </cell>
          <cell r="AG108">
            <v>0</v>
          </cell>
          <cell r="BU108">
            <v>56</v>
          </cell>
          <cell r="BV108">
            <v>54</v>
          </cell>
          <cell r="BW108">
            <v>51</v>
          </cell>
          <cell r="CD108">
            <v>26</v>
          </cell>
        </row>
        <row r="109">
          <cell r="A109" t="str">
            <v>G500</v>
          </cell>
          <cell r="AG109">
            <v>0</v>
          </cell>
        </row>
        <row r="110">
          <cell r="A110" t="str">
            <v>G550 (VSP)</v>
          </cell>
          <cell r="AE110">
            <v>48</v>
          </cell>
          <cell r="AF110">
            <v>51</v>
          </cell>
          <cell r="AG110">
            <v>56</v>
          </cell>
        </row>
        <row r="111">
          <cell r="A111" t="str">
            <v>-subotal Large Cabin</v>
          </cell>
          <cell r="AH111">
            <v>93</v>
          </cell>
        </row>
        <row r="112">
          <cell r="A112" t="str">
            <v>Total</v>
          </cell>
          <cell r="Z112">
            <v>57</v>
          </cell>
          <cell r="AA112">
            <v>94</v>
          </cell>
          <cell r="AB112">
            <v>100</v>
          </cell>
          <cell r="AC112">
            <v>117</v>
          </cell>
          <cell r="AD112">
            <v>91</v>
          </cell>
          <cell r="AE112">
            <v>107</v>
          </cell>
          <cell r="AF112">
            <v>131</v>
          </cell>
          <cell r="AG112">
            <v>173</v>
          </cell>
          <cell r="AH112">
            <v>177</v>
          </cell>
          <cell r="AI112">
            <v>173</v>
          </cell>
          <cell r="BR112">
            <v>100</v>
          </cell>
          <cell r="BS112">
            <v>106</v>
          </cell>
          <cell r="BU112">
            <v>117</v>
          </cell>
          <cell r="BV112">
            <v>111</v>
          </cell>
          <cell r="BW112">
            <v>104</v>
          </cell>
          <cell r="CD112">
            <v>64</v>
          </cell>
          <cell r="CE112">
            <v>90</v>
          </cell>
        </row>
        <row r="114">
          <cell r="A114" t="str">
            <v>Backlog ($B), Firm - Total</v>
          </cell>
          <cell r="C114">
            <v>4.3</v>
          </cell>
          <cell r="D114">
            <v>4.5999999999999996</v>
          </cell>
          <cell r="E114">
            <v>4.4980000000000002</v>
          </cell>
          <cell r="F114">
            <v>4.28</v>
          </cell>
          <cell r="G114">
            <v>4.13</v>
          </cell>
          <cell r="H114">
            <v>3.831</v>
          </cell>
          <cell r="I114">
            <v>4.1269999999999998</v>
          </cell>
          <cell r="J114">
            <v>4.0940000000000003</v>
          </cell>
          <cell r="K114">
            <v>3.97</v>
          </cell>
          <cell r="L114">
            <v>4.0659999999999998</v>
          </cell>
          <cell r="M114">
            <v>4.6520000000000001</v>
          </cell>
          <cell r="N114">
            <v>4.7249999999999996</v>
          </cell>
          <cell r="O114">
            <v>4.9770000000000003</v>
          </cell>
          <cell r="P114">
            <v>5.1559999999999997</v>
          </cell>
          <cell r="Q114">
            <v>5.8529999999999998</v>
          </cell>
          <cell r="R114">
            <v>5.798</v>
          </cell>
          <cell r="S114">
            <v>6.2939999999999996</v>
          </cell>
          <cell r="T114">
            <v>6.5</v>
          </cell>
          <cell r="U114">
            <v>6.9409999999999998</v>
          </cell>
          <cell r="V114">
            <v>7.7160000000000002</v>
          </cell>
          <cell r="Z114">
            <v>1.9</v>
          </cell>
          <cell r="AA114">
            <v>3.1040000000000001</v>
          </cell>
          <cell r="AB114">
            <v>2.782</v>
          </cell>
          <cell r="AC114">
            <v>3.302</v>
          </cell>
          <cell r="AD114">
            <v>2.5739999999999998</v>
          </cell>
          <cell r="AE114">
            <v>3.3359999999999999</v>
          </cell>
          <cell r="AF114">
            <v>4.1980000000000004</v>
          </cell>
          <cell r="AG114">
            <v>4.5</v>
          </cell>
          <cell r="AH114">
            <v>4.1269999999999998</v>
          </cell>
          <cell r="AI114">
            <v>4.6520000000000001</v>
          </cell>
          <cell r="AJ114">
            <v>5.8529999999999998</v>
          </cell>
          <cell r="AK114">
            <v>6.9409999999999998</v>
          </cell>
          <cell r="BR114">
            <v>2.8</v>
          </cell>
          <cell r="BS114">
            <v>3.3</v>
          </cell>
          <cell r="BU114">
            <v>3.302</v>
          </cell>
          <cell r="BV114">
            <v>3.2</v>
          </cell>
          <cell r="BW114">
            <v>3</v>
          </cell>
          <cell r="BX114">
            <v>3.5</v>
          </cell>
        </row>
        <row r="116">
          <cell r="A116" t="str">
            <v>Backlog By Green Plane Type</v>
          </cell>
        </row>
        <row r="117">
          <cell r="A117" t="str">
            <v>G100</v>
          </cell>
          <cell r="AG117">
            <v>12</v>
          </cell>
        </row>
        <row r="118">
          <cell r="A118" t="str">
            <v>G150</v>
          </cell>
          <cell r="AG118">
            <v>700</v>
          </cell>
        </row>
        <row r="119">
          <cell r="A119" t="str">
            <v>G200</v>
          </cell>
          <cell r="AF119">
            <v>1045</v>
          </cell>
          <cell r="AG119">
            <v>950</v>
          </cell>
        </row>
        <row r="120">
          <cell r="A120" t="str">
            <v>G300</v>
          </cell>
          <cell r="AG120">
            <v>75</v>
          </cell>
        </row>
        <row r="121">
          <cell r="A121" t="str">
            <v>G400 (IV/IVSP)</v>
          </cell>
          <cell r="AD121">
            <v>1111.5</v>
          </cell>
          <cell r="AE121">
            <v>901</v>
          </cell>
          <cell r="AF121">
            <v>390</v>
          </cell>
          <cell r="AG121">
            <v>390</v>
          </cell>
          <cell r="CD121">
            <v>924</v>
          </cell>
        </row>
        <row r="122">
          <cell r="A122" t="str">
            <v>G450</v>
          </cell>
          <cell r="AG122">
            <v>0</v>
          </cell>
        </row>
        <row r="123">
          <cell r="A123" t="str">
            <v>GV</v>
          </cell>
          <cell r="AD123">
            <v>1483.5</v>
          </cell>
          <cell r="AE123">
            <v>762.5</v>
          </cell>
          <cell r="AF123">
            <v>350</v>
          </cell>
          <cell r="AG123">
            <v>0</v>
          </cell>
          <cell r="CD123">
            <v>832</v>
          </cell>
        </row>
        <row r="124">
          <cell r="A124" t="str">
            <v>G500</v>
          </cell>
          <cell r="AG124">
            <v>0</v>
          </cell>
        </row>
        <row r="125">
          <cell r="A125" t="str">
            <v>G5550 (GVSP)</v>
          </cell>
          <cell r="AE125">
            <v>1656</v>
          </cell>
          <cell r="AF125">
            <v>2040</v>
          </cell>
          <cell r="AG125">
            <v>2240</v>
          </cell>
          <cell r="CD125">
            <v>192.5</v>
          </cell>
        </row>
        <row r="126">
          <cell r="A126" t="str">
            <v>Total</v>
          </cell>
          <cell r="AD126">
            <v>2595</v>
          </cell>
          <cell r="AE126">
            <v>3319.5</v>
          </cell>
          <cell r="AF126">
            <v>3825</v>
          </cell>
          <cell r="AG126">
            <v>2630</v>
          </cell>
          <cell r="CD126">
            <v>1948.5</v>
          </cell>
          <cell r="CE126">
            <v>3319.5</v>
          </cell>
          <cell r="CF126">
            <v>-1371</v>
          </cell>
        </row>
        <row r="127">
          <cell r="A127" t="str">
            <v>Implied Svc/Completions B-L</v>
          </cell>
          <cell r="AD127">
            <v>-21</v>
          </cell>
          <cell r="AE127">
            <v>16.5</v>
          </cell>
          <cell r="AF127">
            <v>373</v>
          </cell>
          <cell r="AG127">
            <v>1870</v>
          </cell>
        </row>
        <row r="129">
          <cell r="A129" t="str">
            <v>Option Commitments</v>
          </cell>
          <cell r="AG129">
            <v>551</v>
          </cell>
          <cell r="AH129">
            <v>229</v>
          </cell>
          <cell r="AI129" t="str">
            <v>- last thru 2005</v>
          </cell>
        </row>
        <row r="130">
          <cell r="A130" t="str">
            <v>Warranty Breakdown</v>
          </cell>
        </row>
        <row r="131">
          <cell r="A131" t="str">
            <v xml:space="preserve">   Expense</v>
          </cell>
          <cell r="AG131">
            <v>86</v>
          </cell>
        </row>
        <row r="132">
          <cell r="A132" t="str">
            <v xml:space="preserve">   Payments</v>
          </cell>
          <cell r="AG132">
            <v>-60</v>
          </cell>
        </row>
        <row r="133">
          <cell r="A133" t="str">
            <v xml:space="preserve">   Adjusts</v>
          </cell>
          <cell r="AG133">
            <v>51</v>
          </cell>
        </row>
        <row r="134">
          <cell r="A134" t="str">
            <v>Warranty Liabilities</v>
          </cell>
          <cell r="AF134">
            <v>137</v>
          </cell>
          <cell r="AG134">
            <v>214</v>
          </cell>
        </row>
        <row r="137">
          <cell r="A137" t="str">
            <v>Gulfstream Est. New Aircraft Revenue Model ($MM)</v>
          </cell>
        </row>
        <row r="138">
          <cell r="B138">
            <v>2002</v>
          </cell>
          <cell r="F138">
            <v>2003</v>
          </cell>
          <cell r="J138">
            <v>2004</v>
          </cell>
          <cell r="N138">
            <v>2005</v>
          </cell>
          <cell r="R138" t="str">
            <v>2006A</v>
          </cell>
          <cell r="V138" t="str">
            <v>2007E</v>
          </cell>
        </row>
        <row r="139">
          <cell r="A139" t="str">
            <v>Revenues</v>
          </cell>
          <cell r="B139" t="str">
            <v xml:space="preserve">Q1 </v>
          </cell>
          <cell r="C139" t="str">
            <v xml:space="preserve">Q2 </v>
          </cell>
          <cell r="D139" t="str">
            <v xml:space="preserve">Q3 </v>
          </cell>
          <cell r="E139" t="str">
            <v xml:space="preserve">Q4 </v>
          </cell>
          <cell r="F139" t="str">
            <v xml:space="preserve">Q1 </v>
          </cell>
          <cell r="G139" t="str">
            <v xml:space="preserve">Q2 </v>
          </cell>
          <cell r="H139" t="str">
            <v xml:space="preserve">Q3 </v>
          </cell>
          <cell r="I139" t="str">
            <v xml:space="preserve">Q4 </v>
          </cell>
          <cell r="J139" t="str">
            <v xml:space="preserve">Q1 </v>
          </cell>
          <cell r="K139" t="str">
            <v xml:space="preserve">Q2 </v>
          </cell>
          <cell r="L139" t="str">
            <v xml:space="preserve">Q3 </v>
          </cell>
          <cell r="M139" t="str">
            <v xml:space="preserve">Q4 </v>
          </cell>
          <cell r="N139" t="str">
            <v xml:space="preserve">Q1 </v>
          </cell>
          <cell r="O139" t="str">
            <v xml:space="preserve">Q2 </v>
          </cell>
          <cell r="P139" t="str">
            <v xml:space="preserve">Q3 </v>
          </cell>
          <cell r="Q139" t="str">
            <v xml:space="preserve">Q4 </v>
          </cell>
          <cell r="R139" t="str">
            <v xml:space="preserve">Q1 </v>
          </cell>
          <cell r="S139" t="str">
            <v xml:space="preserve">Q2 </v>
          </cell>
          <cell r="T139" t="str">
            <v xml:space="preserve">Q3 </v>
          </cell>
          <cell r="U139" t="str">
            <v xml:space="preserve">Q4 </v>
          </cell>
          <cell r="V139" t="str">
            <v xml:space="preserve">Q1A </v>
          </cell>
          <cell r="W139" t="str">
            <v xml:space="preserve">Q2A </v>
          </cell>
          <cell r="X139" t="str">
            <v>Q3A</v>
          </cell>
          <cell r="Y139" t="str">
            <v xml:space="preserve">Q4E </v>
          </cell>
          <cell r="Z139">
            <v>1995</v>
          </cell>
          <cell r="AA139">
            <v>1996</v>
          </cell>
          <cell r="AB139">
            <v>1997</v>
          </cell>
          <cell r="AC139">
            <v>1998</v>
          </cell>
          <cell r="AD139">
            <v>1999</v>
          </cell>
          <cell r="AE139">
            <v>2000</v>
          </cell>
          <cell r="AF139">
            <v>2001</v>
          </cell>
          <cell r="AG139">
            <v>2002</v>
          </cell>
          <cell r="AH139">
            <v>2003</v>
          </cell>
          <cell r="AI139">
            <v>2004</v>
          </cell>
          <cell r="AJ139">
            <v>2005</v>
          </cell>
          <cell r="AK139">
            <v>2006</v>
          </cell>
          <cell r="AL139" t="str">
            <v>2007A</v>
          </cell>
          <cell r="AM139" t="str">
            <v>2008E</v>
          </cell>
          <cell r="AN139" t="str">
            <v>2009E</v>
          </cell>
          <cell r="AO139" t="str">
            <v>2010E</v>
          </cell>
          <cell r="AP139" t="str">
            <v>Comments</v>
          </cell>
        </row>
        <row r="140">
          <cell r="A140" t="str">
            <v>G100</v>
          </cell>
          <cell r="B140">
            <v>48</v>
          </cell>
          <cell r="C140">
            <v>24</v>
          </cell>
          <cell r="D140">
            <v>24</v>
          </cell>
          <cell r="E140">
            <v>12</v>
          </cell>
          <cell r="F140">
            <v>36</v>
          </cell>
          <cell r="G140">
            <v>12</v>
          </cell>
          <cell r="H140">
            <v>0</v>
          </cell>
          <cell r="I140">
            <v>12</v>
          </cell>
          <cell r="J140">
            <v>0</v>
          </cell>
          <cell r="K140">
            <v>12</v>
          </cell>
          <cell r="L140">
            <v>24</v>
          </cell>
          <cell r="M140">
            <v>12</v>
          </cell>
          <cell r="N140">
            <v>0</v>
          </cell>
          <cell r="O140">
            <v>12</v>
          </cell>
          <cell r="P140">
            <v>12</v>
          </cell>
          <cell r="Q140">
            <v>24</v>
          </cell>
          <cell r="R140">
            <v>12</v>
          </cell>
          <cell r="S140">
            <v>0</v>
          </cell>
          <cell r="T140">
            <v>0</v>
          </cell>
          <cell r="U140">
            <v>0</v>
          </cell>
          <cell r="Z140">
            <v>0</v>
          </cell>
          <cell r="AA140">
            <v>0</v>
          </cell>
          <cell r="AB140">
            <v>0</v>
          </cell>
          <cell r="AC140">
            <v>0</v>
          </cell>
          <cell r="AD140">
            <v>0</v>
          </cell>
          <cell r="AE140">
            <v>0</v>
          </cell>
          <cell r="AF140">
            <v>55</v>
          </cell>
          <cell r="AG140">
            <v>99</v>
          </cell>
          <cell r="AH140">
            <v>55</v>
          </cell>
          <cell r="AI140">
            <v>44</v>
          </cell>
          <cell r="AJ140">
            <v>44</v>
          </cell>
          <cell r="AK140">
            <v>11</v>
          </cell>
          <cell r="AL140">
            <v>0</v>
          </cell>
          <cell r="AM140">
            <v>0</v>
          </cell>
          <cell r="AN140">
            <v>0</v>
          </cell>
          <cell r="AO140">
            <v>0</v>
          </cell>
        </row>
        <row r="141">
          <cell r="A141" t="str">
            <v>G150</v>
          </cell>
          <cell r="B141">
            <v>0</v>
          </cell>
          <cell r="C141">
            <v>0</v>
          </cell>
          <cell r="D141">
            <v>0</v>
          </cell>
          <cell r="E141">
            <v>0</v>
          </cell>
          <cell r="F141">
            <v>0</v>
          </cell>
          <cell r="G141">
            <v>0</v>
          </cell>
          <cell r="H141">
            <v>0</v>
          </cell>
          <cell r="I141">
            <v>0</v>
          </cell>
          <cell r="J141">
            <v>0</v>
          </cell>
          <cell r="K141">
            <v>0</v>
          </cell>
          <cell r="L141">
            <v>0</v>
          </cell>
          <cell r="M141">
            <v>0</v>
          </cell>
          <cell r="N141">
            <v>0</v>
          </cell>
          <cell r="O141">
            <v>0</v>
          </cell>
          <cell r="P141">
            <v>0</v>
          </cell>
          <cell r="Q141">
            <v>0</v>
          </cell>
          <cell r="R141">
            <v>0</v>
          </cell>
          <cell r="S141">
            <v>0</v>
          </cell>
          <cell r="T141">
            <v>0</v>
          </cell>
          <cell r="U141">
            <v>0</v>
          </cell>
          <cell r="Z141">
            <v>0</v>
          </cell>
          <cell r="AA141">
            <v>0</v>
          </cell>
          <cell r="AB141">
            <v>0</v>
          </cell>
          <cell r="AC141">
            <v>0</v>
          </cell>
          <cell r="AD141">
            <v>0</v>
          </cell>
          <cell r="AE141">
            <v>0</v>
          </cell>
          <cell r="AF141">
            <v>0</v>
          </cell>
          <cell r="AG141">
            <v>0</v>
          </cell>
          <cell r="AH141">
            <v>0</v>
          </cell>
          <cell r="AI141">
            <v>0</v>
          </cell>
          <cell r="AJ141">
            <v>0</v>
          </cell>
          <cell r="AK141">
            <v>168</v>
          </cell>
          <cell r="AL141">
            <v>457.32</v>
          </cell>
          <cell r="AM141">
            <v>560.15520000000004</v>
          </cell>
          <cell r="AN141">
            <v>576.95985599999995</v>
          </cell>
          <cell r="AO141">
            <v>405.18317160000004</v>
          </cell>
        </row>
        <row r="142">
          <cell r="A142" t="str">
            <v>G200</v>
          </cell>
          <cell r="B142">
            <v>144</v>
          </cell>
          <cell r="C142">
            <v>72</v>
          </cell>
          <cell r="D142">
            <v>18</v>
          </cell>
          <cell r="E142">
            <v>36</v>
          </cell>
          <cell r="F142">
            <v>18</v>
          </cell>
          <cell r="G142">
            <v>108</v>
          </cell>
          <cell r="H142">
            <v>90</v>
          </cell>
          <cell r="I142">
            <v>126</v>
          </cell>
          <cell r="J142">
            <v>72</v>
          </cell>
          <cell r="K142">
            <v>90</v>
          </cell>
          <cell r="L142">
            <v>72</v>
          </cell>
          <cell r="M142">
            <v>90</v>
          </cell>
          <cell r="N142">
            <v>108</v>
          </cell>
          <cell r="O142">
            <v>90</v>
          </cell>
          <cell r="P142">
            <v>108</v>
          </cell>
          <cell r="Q142">
            <v>90</v>
          </cell>
          <cell r="R142">
            <v>108</v>
          </cell>
          <cell r="S142">
            <v>144</v>
          </cell>
          <cell r="T142">
            <v>126</v>
          </cell>
          <cell r="U142">
            <v>108</v>
          </cell>
          <cell r="Z142">
            <v>0</v>
          </cell>
          <cell r="AA142">
            <v>0</v>
          </cell>
          <cell r="AB142">
            <v>0</v>
          </cell>
          <cell r="AC142">
            <v>0</v>
          </cell>
          <cell r="AD142">
            <v>0</v>
          </cell>
          <cell r="AE142">
            <v>0</v>
          </cell>
          <cell r="AF142">
            <v>144</v>
          </cell>
          <cell r="AG142">
            <v>270</v>
          </cell>
          <cell r="AH142">
            <v>342</v>
          </cell>
          <cell r="AI142">
            <v>324</v>
          </cell>
          <cell r="AJ142">
            <v>342</v>
          </cell>
          <cell r="AK142">
            <v>414</v>
          </cell>
          <cell r="AL142">
            <v>432</v>
          </cell>
          <cell r="AM142">
            <v>432</v>
          </cell>
          <cell r="AN142">
            <v>540</v>
          </cell>
          <cell r="AO142">
            <v>540</v>
          </cell>
        </row>
        <row r="143">
          <cell r="A143" t="str">
            <v>-subtotal Midsize Green</v>
          </cell>
          <cell r="B143">
            <v>192</v>
          </cell>
          <cell r="C143">
            <v>96</v>
          </cell>
          <cell r="D143">
            <v>42</v>
          </cell>
          <cell r="E143">
            <v>48</v>
          </cell>
          <cell r="F143">
            <v>54</v>
          </cell>
          <cell r="G143">
            <v>120</v>
          </cell>
          <cell r="H143">
            <v>90</v>
          </cell>
          <cell r="I143">
            <v>138</v>
          </cell>
          <cell r="J143">
            <v>72</v>
          </cell>
          <cell r="K143">
            <v>102</v>
          </cell>
          <cell r="L143">
            <v>96</v>
          </cell>
          <cell r="M143">
            <v>102</v>
          </cell>
          <cell r="N143">
            <v>108</v>
          </cell>
          <cell r="O143">
            <v>102</v>
          </cell>
          <cell r="P143">
            <v>120</v>
          </cell>
          <cell r="Q143">
            <v>114</v>
          </cell>
          <cell r="R143">
            <v>120</v>
          </cell>
          <cell r="S143">
            <v>144</v>
          </cell>
          <cell r="T143">
            <v>126</v>
          </cell>
          <cell r="U143">
            <v>108</v>
          </cell>
          <cell r="Z143">
            <v>0</v>
          </cell>
          <cell r="AA143">
            <v>0</v>
          </cell>
          <cell r="AB143">
            <v>0</v>
          </cell>
          <cell r="AC143">
            <v>0</v>
          </cell>
          <cell r="AD143">
            <v>0</v>
          </cell>
          <cell r="AE143">
            <v>0</v>
          </cell>
          <cell r="AF143">
            <v>199</v>
          </cell>
          <cell r="AG143">
            <v>369</v>
          </cell>
          <cell r="AH143">
            <v>397</v>
          </cell>
          <cell r="AI143">
            <v>368</v>
          </cell>
          <cell r="AJ143">
            <v>386</v>
          </cell>
          <cell r="AK143">
            <v>593</v>
          </cell>
          <cell r="AL143">
            <v>889.31999999999994</v>
          </cell>
          <cell r="AM143">
            <v>992.15520000000004</v>
          </cell>
          <cell r="AN143">
            <v>1116.9598559999999</v>
          </cell>
          <cell r="AO143">
            <v>945.18317160000004</v>
          </cell>
        </row>
        <row r="145">
          <cell r="A145" t="str">
            <v>G300/G350</v>
          </cell>
          <cell r="B145">
            <v>0</v>
          </cell>
          <cell r="C145">
            <v>0</v>
          </cell>
          <cell r="D145">
            <v>0</v>
          </cell>
          <cell r="E145">
            <v>0</v>
          </cell>
          <cell r="F145">
            <v>42</v>
          </cell>
          <cell r="G145">
            <v>84</v>
          </cell>
          <cell r="H145">
            <v>22</v>
          </cell>
          <cell r="I145">
            <v>22</v>
          </cell>
          <cell r="J145">
            <v>22</v>
          </cell>
          <cell r="K145">
            <v>44</v>
          </cell>
          <cell r="L145">
            <v>44</v>
          </cell>
          <cell r="M145">
            <v>0</v>
          </cell>
          <cell r="N145">
            <v>92</v>
          </cell>
          <cell r="O145">
            <v>23</v>
          </cell>
          <cell r="P145">
            <v>46</v>
          </cell>
          <cell r="Q145">
            <v>0</v>
          </cell>
          <cell r="R145">
            <v>46</v>
          </cell>
          <cell r="S145">
            <v>0</v>
          </cell>
          <cell r="T145">
            <v>0</v>
          </cell>
          <cell r="U145">
            <v>0</v>
          </cell>
          <cell r="Z145">
            <v>0</v>
          </cell>
          <cell r="AA145">
            <v>0</v>
          </cell>
          <cell r="AB145">
            <v>0</v>
          </cell>
          <cell r="AC145">
            <v>0</v>
          </cell>
          <cell r="AD145">
            <v>0</v>
          </cell>
          <cell r="AE145">
            <v>0</v>
          </cell>
          <cell r="AF145">
            <v>0</v>
          </cell>
          <cell r="AG145">
            <v>0</v>
          </cell>
          <cell r="AH145">
            <v>168</v>
          </cell>
          <cell r="AI145">
            <v>110</v>
          </cell>
          <cell r="AJ145">
            <v>154</v>
          </cell>
          <cell r="AK145">
            <v>45.32</v>
          </cell>
          <cell r="AL145">
            <v>186.7184</v>
          </cell>
          <cell r="AM145">
            <v>216.35994600000001</v>
          </cell>
          <cell r="AN145">
            <v>222.85074437999998</v>
          </cell>
          <cell r="AO145">
            <v>229.53626671139997</v>
          </cell>
        </row>
        <row r="146">
          <cell r="A146" t="str">
            <v>G400 (IV/IVSP)</v>
          </cell>
          <cell r="B146">
            <v>193.36</v>
          </cell>
          <cell r="C146">
            <v>217.53000000000003</v>
          </cell>
          <cell r="D146">
            <v>145.02000000000001</v>
          </cell>
          <cell r="E146">
            <v>145.02000000000001</v>
          </cell>
          <cell r="F146">
            <v>42</v>
          </cell>
          <cell r="G146">
            <v>63</v>
          </cell>
          <cell r="H146">
            <v>92</v>
          </cell>
          <cell r="I146">
            <v>96</v>
          </cell>
          <cell r="J146">
            <v>92</v>
          </cell>
          <cell r="K146">
            <v>92</v>
          </cell>
          <cell r="L146">
            <v>69</v>
          </cell>
          <cell r="M146">
            <v>0</v>
          </cell>
          <cell r="N146">
            <v>0</v>
          </cell>
          <cell r="O146">
            <v>0</v>
          </cell>
          <cell r="P146">
            <v>0</v>
          </cell>
          <cell r="Q146">
            <v>0</v>
          </cell>
          <cell r="R146">
            <v>0</v>
          </cell>
          <cell r="S146">
            <v>0</v>
          </cell>
          <cell r="T146">
            <v>0</v>
          </cell>
          <cell r="U146">
            <v>0</v>
          </cell>
          <cell r="Z146">
            <v>613.6</v>
          </cell>
          <cell r="AA146">
            <v>576</v>
          </cell>
          <cell r="AB146">
            <v>531.29999999999995</v>
          </cell>
          <cell r="AC146">
            <v>782.4</v>
          </cell>
          <cell r="AD146">
            <v>955.5</v>
          </cell>
          <cell r="AE146">
            <v>922.99999999999989</v>
          </cell>
          <cell r="AF146">
            <v>864</v>
          </cell>
          <cell r="AG146">
            <v>696</v>
          </cell>
          <cell r="AH146">
            <v>255.2132500000028</v>
          </cell>
          <cell r="AI146">
            <v>134.83873749999984</v>
          </cell>
          <cell r="AJ146">
            <v>0</v>
          </cell>
          <cell r="AK146">
            <v>0</v>
          </cell>
          <cell r="AL146">
            <v>0</v>
          </cell>
          <cell r="AM146">
            <v>0</v>
          </cell>
          <cell r="AN146">
            <v>0</v>
          </cell>
          <cell r="AO146">
            <v>0</v>
          </cell>
        </row>
        <row r="147">
          <cell r="A147" t="str">
            <v>G450</v>
          </cell>
          <cell r="B147">
            <v>0</v>
          </cell>
          <cell r="C147">
            <v>0</v>
          </cell>
          <cell r="D147">
            <v>0</v>
          </cell>
          <cell r="E147">
            <v>0</v>
          </cell>
          <cell r="F147">
            <v>0</v>
          </cell>
          <cell r="G147">
            <v>0</v>
          </cell>
          <cell r="H147">
            <v>0</v>
          </cell>
          <cell r="I147">
            <v>0</v>
          </cell>
          <cell r="J147">
            <v>0</v>
          </cell>
          <cell r="K147">
            <v>0</v>
          </cell>
          <cell r="L147">
            <v>0</v>
          </cell>
          <cell r="M147">
            <v>0</v>
          </cell>
          <cell r="N147">
            <v>0</v>
          </cell>
          <cell r="O147">
            <v>0</v>
          </cell>
          <cell r="P147">
            <v>0</v>
          </cell>
          <cell r="Q147">
            <v>0</v>
          </cell>
          <cell r="R147">
            <v>0</v>
          </cell>
          <cell r="S147">
            <v>0</v>
          </cell>
          <cell r="T147">
            <v>0</v>
          </cell>
          <cell r="U147">
            <v>0</v>
          </cell>
          <cell r="Z147">
            <v>0</v>
          </cell>
          <cell r="AA147">
            <v>0</v>
          </cell>
          <cell r="AB147">
            <v>0</v>
          </cell>
          <cell r="AC147">
            <v>0</v>
          </cell>
          <cell r="AD147">
            <v>0</v>
          </cell>
          <cell r="AE147">
            <v>0</v>
          </cell>
          <cell r="AF147">
            <v>0</v>
          </cell>
          <cell r="AG147">
            <v>0</v>
          </cell>
          <cell r="AH147">
            <v>0</v>
          </cell>
          <cell r="AI147">
            <v>160</v>
          </cell>
          <cell r="AJ147">
            <v>458.0309500000007</v>
          </cell>
          <cell r="AK147">
            <v>750</v>
          </cell>
          <cell r="AL147">
            <v>960</v>
          </cell>
          <cell r="AM147">
            <v>1080</v>
          </cell>
          <cell r="AN147">
            <v>1120</v>
          </cell>
          <cell r="AO147">
            <v>1120</v>
          </cell>
        </row>
        <row r="148">
          <cell r="A148" t="str">
            <v>GV</v>
          </cell>
          <cell r="B148">
            <v>210</v>
          </cell>
          <cell r="C148">
            <v>270</v>
          </cell>
          <cell r="D148">
            <v>240</v>
          </cell>
          <cell r="E148">
            <v>210</v>
          </cell>
          <cell r="F148">
            <v>0</v>
          </cell>
          <cell r="G148">
            <v>0</v>
          </cell>
          <cell r="H148">
            <v>32</v>
          </cell>
          <cell r="I148">
            <v>0</v>
          </cell>
          <cell r="J148">
            <v>0</v>
          </cell>
          <cell r="K148">
            <v>0</v>
          </cell>
          <cell r="L148">
            <v>0</v>
          </cell>
          <cell r="M148">
            <v>0</v>
          </cell>
          <cell r="N148">
            <v>0</v>
          </cell>
          <cell r="O148">
            <v>0</v>
          </cell>
          <cell r="P148">
            <v>0</v>
          </cell>
          <cell r="Q148">
            <v>0</v>
          </cell>
          <cell r="R148">
            <v>0</v>
          </cell>
          <cell r="S148">
            <v>0</v>
          </cell>
          <cell r="T148">
            <v>0</v>
          </cell>
          <cell r="U148">
            <v>0</v>
          </cell>
          <cell r="Z148">
            <v>0</v>
          </cell>
          <cell r="AA148">
            <v>90</v>
          </cell>
          <cell r="AB148">
            <v>870</v>
          </cell>
          <cell r="AC148">
            <v>957</v>
          </cell>
          <cell r="AD148">
            <v>1023</v>
          </cell>
          <cell r="AE148">
            <v>1122</v>
          </cell>
          <cell r="AF148">
            <v>1275.4320000000032</v>
          </cell>
          <cell r="AG148">
            <v>979.63000000000113</v>
          </cell>
          <cell r="AH148">
            <v>32</v>
          </cell>
          <cell r="AI148">
            <v>0</v>
          </cell>
          <cell r="AJ148">
            <v>0</v>
          </cell>
          <cell r="AK148">
            <v>0</v>
          </cell>
          <cell r="AL148">
            <v>0</v>
          </cell>
          <cell r="AM148">
            <v>0</v>
          </cell>
          <cell r="AN148">
            <v>0</v>
          </cell>
          <cell r="AO148">
            <v>0</v>
          </cell>
        </row>
        <row r="149">
          <cell r="A149" t="str">
            <v>G500</v>
          </cell>
          <cell r="B149">
            <v>0</v>
          </cell>
          <cell r="C149">
            <v>0</v>
          </cell>
          <cell r="D149">
            <v>0</v>
          </cell>
          <cell r="E149">
            <v>0</v>
          </cell>
          <cell r="F149">
            <v>0</v>
          </cell>
          <cell r="G149">
            <v>0</v>
          </cell>
          <cell r="H149">
            <v>0</v>
          </cell>
          <cell r="I149">
            <v>0</v>
          </cell>
          <cell r="J149">
            <v>0</v>
          </cell>
          <cell r="K149">
            <v>0</v>
          </cell>
          <cell r="L149">
            <v>0</v>
          </cell>
          <cell r="M149">
            <v>0</v>
          </cell>
          <cell r="N149">
            <v>0</v>
          </cell>
          <cell r="O149">
            <v>0</v>
          </cell>
          <cell r="P149">
            <v>0</v>
          </cell>
          <cell r="Q149">
            <v>0</v>
          </cell>
          <cell r="R149">
            <v>0</v>
          </cell>
          <cell r="S149">
            <v>0</v>
          </cell>
          <cell r="T149">
            <v>0</v>
          </cell>
          <cell r="U149">
            <v>0</v>
          </cell>
          <cell r="Z149">
            <v>0</v>
          </cell>
          <cell r="AA149">
            <v>0</v>
          </cell>
          <cell r="AB149">
            <v>0</v>
          </cell>
          <cell r="AC149">
            <v>0</v>
          </cell>
          <cell r="AD149">
            <v>0</v>
          </cell>
          <cell r="AE149">
            <v>0</v>
          </cell>
          <cell r="AF149">
            <v>0</v>
          </cell>
          <cell r="AG149">
            <v>0</v>
          </cell>
          <cell r="AH149">
            <v>0</v>
          </cell>
          <cell r="AI149">
            <v>0</v>
          </cell>
          <cell r="AJ149">
            <v>28</v>
          </cell>
          <cell r="AK149">
            <v>84</v>
          </cell>
          <cell r="AL149">
            <v>173.04</v>
          </cell>
          <cell r="AM149">
            <v>203</v>
          </cell>
          <cell r="AN149">
            <v>192</v>
          </cell>
          <cell r="AO149">
            <v>192</v>
          </cell>
        </row>
        <row r="150">
          <cell r="A150" t="str">
            <v>G550 (GVSP)</v>
          </cell>
          <cell r="B150">
            <v>0</v>
          </cell>
          <cell r="C150">
            <v>0</v>
          </cell>
          <cell r="D150">
            <v>0</v>
          </cell>
          <cell r="E150">
            <v>32</v>
          </cell>
          <cell r="F150">
            <v>224</v>
          </cell>
          <cell r="G150">
            <v>160</v>
          </cell>
          <cell r="H150">
            <v>272</v>
          </cell>
          <cell r="I150">
            <v>280</v>
          </cell>
          <cell r="J150">
            <v>272</v>
          </cell>
          <cell r="K150">
            <v>272</v>
          </cell>
          <cell r="L150">
            <v>272</v>
          </cell>
          <cell r="M150">
            <v>272</v>
          </cell>
          <cell r="N150">
            <v>238</v>
          </cell>
          <cell r="O150">
            <v>306</v>
          </cell>
          <cell r="P150">
            <v>340</v>
          </cell>
          <cell r="Q150">
            <v>306</v>
          </cell>
          <cell r="R150">
            <v>272</v>
          </cell>
          <cell r="S150">
            <v>306</v>
          </cell>
          <cell r="T150">
            <v>340</v>
          </cell>
          <cell r="U150">
            <v>306</v>
          </cell>
          <cell r="Z150">
            <v>0</v>
          </cell>
          <cell r="AA150">
            <v>0</v>
          </cell>
          <cell r="AB150">
            <v>0</v>
          </cell>
          <cell r="AC150">
            <v>0</v>
          </cell>
          <cell r="AD150">
            <v>0</v>
          </cell>
          <cell r="AE150">
            <v>0</v>
          </cell>
          <cell r="AF150">
            <v>0</v>
          </cell>
          <cell r="AG150">
            <v>32</v>
          </cell>
          <cell r="AH150">
            <v>896</v>
          </cell>
          <cell r="AI150">
            <v>1152</v>
          </cell>
          <cell r="AJ150">
            <v>1277.5</v>
          </cell>
          <cell r="AK150">
            <v>1324.1149674062503</v>
          </cell>
          <cell r="AL150">
            <v>1406</v>
          </cell>
          <cell r="AM150">
            <v>1444</v>
          </cell>
          <cell r="AN150">
            <v>1560</v>
          </cell>
          <cell r="AO150">
            <v>1680</v>
          </cell>
        </row>
        <row r="151">
          <cell r="A151" t="str">
            <v>-subtotal Large Green</v>
          </cell>
          <cell r="B151">
            <v>403.36</v>
          </cell>
          <cell r="C151">
            <v>487.53000000000003</v>
          </cell>
          <cell r="D151">
            <v>385.02</v>
          </cell>
          <cell r="E151">
            <v>387.02</v>
          </cell>
          <cell r="F151">
            <v>308</v>
          </cell>
          <cell r="G151">
            <v>307</v>
          </cell>
          <cell r="H151">
            <v>418</v>
          </cell>
          <cell r="I151">
            <v>398</v>
          </cell>
          <cell r="J151">
            <v>386</v>
          </cell>
          <cell r="K151">
            <v>408</v>
          </cell>
          <cell r="L151">
            <v>385</v>
          </cell>
          <cell r="M151">
            <v>272</v>
          </cell>
          <cell r="N151">
            <v>330</v>
          </cell>
          <cell r="O151">
            <v>329</v>
          </cell>
          <cell r="P151">
            <v>386</v>
          </cell>
          <cell r="Q151">
            <v>306</v>
          </cell>
          <cell r="R151">
            <v>318</v>
          </cell>
          <cell r="S151">
            <v>306</v>
          </cell>
          <cell r="T151">
            <v>340</v>
          </cell>
          <cell r="U151">
            <v>306</v>
          </cell>
          <cell r="Z151">
            <v>613.6</v>
          </cell>
          <cell r="AA151">
            <v>666</v>
          </cell>
          <cell r="AB151">
            <v>1401.3</v>
          </cell>
          <cell r="AC151">
            <v>1739.4</v>
          </cell>
          <cell r="AD151">
            <v>1978.5</v>
          </cell>
          <cell r="AE151">
            <v>2045</v>
          </cell>
          <cell r="AF151">
            <v>2139.4320000000034</v>
          </cell>
          <cell r="AG151">
            <v>1707.630000000001</v>
          </cell>
          <cell r="AH151">
            <v>1351.2132500000027</v>
          </cell>
          <cell r="AI151">
            <v>1556.8387374999998</v>
          </cell>
          <cell r="AJ151">
            <v>1917.5309500000008</v>
          </cell>
          <cell r="AK151">
            <v>2203.4349674062505</v>
          </cell>
          <cell r="AL151">
            <v>2725.7583999999997</v>
          </cell>
          <cell r="AM151">
            <v>2943.359946</v>
          </cell>
          <cell r="AN151">
            <v>3094.8507443799999</v>
          </cell>
          <cell r="AO151">
            <v>3221.5362667114</v>
          </cell>
        </row>
        <row r="153">
          <cell r="A153" t="str">
            <v>GAC  Completions</v>
          </cell>
          <cell r="B153">
            <v>76.349999999999994</v>
          </cell>
          <cell r="C153">
            <v>106.89</v>
          </cell>
          <cell r="D153">
            <v>86.53</v>
          </cell>
          <cell r="E153">
            <v>76.349999999999994</v>
          </cell>
          <cell r="F153">
            <v>84</v>
          </cell>
          <cell r="G153">
            <v>66</v>
          </cell>
          <cell r="H153">
            <v>84</v>
          </cell>
          <cell r="I153">
            <v>84</v>
          </cell>
          <cell r="J153">
            <v>49</v>
          </cell>
          <cell r="K153">
            <v>105</v>
          </cell>
          <cell r="L153">
            <v>98</v>
          </cell>
          <cell r="M153">
            <v>112</v>
          </cell>
          <cell r="N153">
            <v>84</v>
          </cell>
          <cell r="O153">
            <v>98</v>
          </cell>
          <cell r="P153">
            <v>119</v>
          </cell>
          <cell r="Q153">
            <v>119</v>
          </cell>
          <cell r="R153">
            <v>112</v>
          </cell>
          <cell r="S153">
            <v>140</v>
          </cell>
          <cell r="T153">
            <v>126</v>
          </cell>
          <cell r="U153">
            <v>119</v>
          </cell>
          <cell r="Z153">
            <v>58</v>
          </cell>
          <cell r="AA153">
            <v>75.059999999999988</v>
          </cell>
          <cell r="AB153">
            <v>91</v>
          </cell>
          <cell r="AC153">
            <v>184</v>
          </cell>
          <cell r="AD153">
            <v>275.39999999999998</v>
          </cell>
          <cell r="AE153">
            <v>308</v>
          </cell>
          <cell r="AF153">
            <v>355.56799999999998</v>
          </cell>
          <cell r="AG153">
            <v>346.12</v>
          </cell>
          <cell r="AH153">
            <v>261.88049999999998</v>
          </cell>
          <cell r="AI153">
            <v>291.80970000000002</v>
          </cell>
          <cell r="AJ153">
            <v>353.53867499999996</v>
          </cell>
          <cell r="AK153">
            <v>439.27180368750004</v>
          </cell>
          <cell r="AL153">
            <v>441.74657441250002</v>
          </cell>
          <cell r="AM153">
            <v>491.11825037625005</v>
          </cell>
          <cell r="AN153">
            <v>515.67416289506252</v>
          </cell>
          <cell r="AO153">
            <v>541.4578710398157</v>
          </cell>
        </row>
        <row r="154">
          <cell r="A154" t="str">
            <v>Galaxy  Completions</v>
          </cell>
          <cell r="B154">
            <v>25</v>
          </cell>
          <cell r="C154">
            <v>20</v>
          </cell>
          <cell r="D154">
            <v>5</v>
          </cell>
          <cell r="E154">
            <v>15</v>
          </cell>
          <cell r="F154">
            <v>7.5</v>
          </cell>
          <cell r="G154">
            <v>5</v>
          </cell>
          <cell r="H154">
            <v>32</v>
          </cell>
          <cell r="I154">
            <v>48</v>
          </cell>
          <cell r="J154">
            <v>20</v>
          </cell>
          <cell r="K154">
            <v>12</v>
          </cell>
          <cell r="L154">
            <v>28</v>
          </cell>
          <cell r="M154">
            <v>40</v>
          </cell>
          <cell r="N154">
            <v>12</v>
          </cell>
          <cell r="O154">
            <v>32</v>
          </cell>
          <cell r="P154">
            <v>20</v>
          </cell>
          <cell r="Q154">
            <v>32</v>
          </cell>
          <cell r="R154">
            <v>28</v>
          </cell>
          <cell r="S154">
            <v>24</v>
          </cell>
          <cell r="T154">
            <v>32</v>
          </cell>
          <cell r="U154">
            <v>48</v>
          </cell>
          <cell r="Z154">
            <v>0</v>
          </cell>
          <cell r="AA154">
            <v>0</v>
          </cell>
          <cell r="AB154">
            <v>0</v>
          </cell>
          <cell r="AC154">
            <v>0</v>
          </cell>
          <cell r="AD154">
            <v>0</v>
          </cell>
          <cell r="AE154">
            <v>0</v>
          </cell>
          <cell r="AF154">
            <v>0</v>
          </cell>
          <cell r="AG154">
            <v>68.25</v>
          </cell>
          <cell r="AH154">
            <v>68.90625</v>
          </cell>
          <cell r="AI154">
            <v>72.351562500000014</v>
          </cell>
          <cell r="AJ154">
            <v>72.930375000000012</v>
          </cell>
          <cell r="AK154">
            <v>105.29322890625002</v>
          </cell>
          <cell r="AL154">
            <v>120.60860765625003</v>
          </cell>
          <cell r="AM154">
            <v>133.67454015234378</v>
          </cell>
          <cell r="AN154">
            <v>140.358267159961</v>
          </cell>
          <cell r="AO154">
            <v>147.37618051795906</v>
          </cell>
        </row>
        <row r="155">
          <cell r="A155" t="str">
            <v>New Aircraft</v>
          </cell>
          <cell r="B155">
            <v>696.71</v>
          </cell>
          <cell r="C155">
            <v>710.42000000000007</v>
          </cell>
          <cell r="D155">
            <v>518.54999999999995</v>
          </cell>
          <cell r="E155">
            <v>526.37</v>
          </cell>
          <cell r="F155">
            <v>453.5</v>
          </cell>
          <cell r="G155">
            <v>498</v>
          </cell>
          <cell r="H155">
            <v>624</v>
          </cell>
          <cell r="I155">
            <v>668</v>
          </cell>
          <cell r="J155">
            <v>527</v>
          </cell>
          <cell r="K155">
            <v>627</v>
          </cell>
          <cell r="L155">
            <v>607</v>
          </cell>
          <cell r="M155">
            <v>526</v>
          </cell>
          <cell r="N155">
            <v>534</v>
          </cell>
          <cell r="O155">
            <v>561</v>
          </cell>
          <cell r="P155">
            <v>645</v>
          </cell>
          <cell r="Q155">
            <v>571</v>
          </cell>
          <cell r="R155">
            <v>578</v>
          </cell>
          <cell r="S155">
            <v>614</v>
          </cell>
          <cell r="T155">
            <v>624</v>
          </cell>
          <cell r="U155">
            <v>581</v>
          </cell>
          <cell r="V155">
            <v>160</v>
          </cell>
          <cell r="W155">
            <v>175</v>
          </cell>
          <cell r="X155">
            <v>180</v>
          </cell>
          <cell r="Z155">
            <v>671.6</v>
          </cell>
          <cell r="AA155">
            <v>741.06</v>
          </cell>
          <cell r="AB155">
            <v>1492.3</v>
          </cell>
          <cell r="AC155">
            <v>1923.4</v>
          </cell>
          <cell r="AD155">
            <v>2253.9</v>
          </cell>
          <cell r="AE155">
            <v>2353</v>
          </cell>
          <cell r="AF155">
            <v>2694.0000000000036</v>
          </cell>
          <cell r="AG155">
            <v>2491.0000000000009</v>
          </cell>
          <cell r="AH155">
            <v>2079.0000000000027</v>
          </cell>
          <cell r="AI155">
            <v>2289</v>
          </cell>
          <cell r="AJ155">
            <v>2730.0000000000009</v>
          </cell>
          <cell r="AK155">
            <v>3341.0000000000005</v>
          </cell>
          <cell r="AL155">
            <v>4177.4335820687502</v>
          </cell>
          <cell r="AM155">
            <v>4560.3079365285939</v>
          </cell>
          <cell r="AN155">
            <v>4867.8430304350231</v>
          </cell>
          <cell r="AO155">
            <v>4855.5534898691749</v>
          </cell>
          <cell r="AP155" t="str">
            <v>- ~80/20 green/completion</v>
          </cell>
        </row>
        <row r="156">
          <cell r="A156" t="str">
            <v>% Ch Y/Y</v>
          </cell>
          <cell r="F156">
            <v>-0.34908354982704426</v>
          </cell>
          <cell r="G156">
            <v>-0.29900622167168722</v>
          </cell>
          <cell r="H156">
            <v>0.2033555105582876</v>
          </cell>
          <cell r="I156">
            <v>0.26906928586355594</v>
          </cell>
          <cell r="J156">
            <v>0.16207276736493936</v>
          </cell>
          <cell r="K156">
            <v>0.25903614457831314</v>
          </cell>
          <cell r="L156">
            <v>-2.7243589743589758E-2</v>
          </cell>
          <cell r="M156">
            <v>-0.21257485029940115</v>
          </cell>
          <cell r="N156">
            <v>1.3282732447817747E-2</v>
          </cell>
          <cell r="O156">
            <v>-0.10526315789473684</v>
          </cell>
          <cell r="P156">
            <v>6.2602965403624422E-2</v>
          </cell>
          <cell r="Q156">
            <v>8.5551330798478986E-2</v>
          </cell>
          <cell r="R156">
            <v>8.2397003745318331E-2</v>
          </cell>
          <cell r="S156">
            <v>9.4474153297682717E-2</v>
          </cell>
          <cell r="T156">
            <v>-3.2558139534883734E-2</v>
          </cell>
          <cell r="U156">
            <v>1.7513134851138368E-2</v>
          </cell>
          <cell r="AA156">
            <v>0.10342465753424657</v>
          </cell>
          <cell r="AB156">
            <v>1.0137370793188136</v>
          </cell>
          <cell r="AC156">
            <v>0.28888293238624962</v>
          </cell>
          <cell r="AD156">
            <v>0.17183113236976189</v>
          </cell>
          <cell r="AE156">
            <v>4.3968232840853494E-2</v>
          </cell>
          <cell r="AF156">
            <v>0.1449213769655775</v>
          </cell>
          <cell r="AG156">
            <v>-7.5352635486266695E-2</v>
          </cell>
          <cell r="AH156">
            <v>-0.16539542352468806</v>
          </cell>
          <cell r="AI156">
            <v>0.10101010101009966</v>
          </cell>
          <cell r="AJ156">
            <v>0.192660550458716</v>
          </cell>
          <cell r="AK156">
            <v>0.22380952380952346</v>
          </cell>
          <cell r="AL156">
            <v>0.25035425982303194</v>
          </cell>
          <cell r="AM156">
            <v>9.1653008225743404E-2</v>
          </cell>
          <cell r="AN156">
            <v>6.7437352518025628E-2</v>
          </cell>
          <cell r="AO156">
            <v>-2.524637809602881E-3</v>
          </cell>
        </row>
        <row r="157">
          <cell r="A157" t="str">
            <v>per above</v>
          </cell>
          <cell r="B157">
            <v>588</v>
          </cell>
          <cell r="C157">
            <v>690</v>
          </cell>
          <cell r="D157">
            <v>584</v>
          </cell>
          <cell r="E157">
            <v>629.00000000000091</v>
          </cell>
          <cell r="F157">
            <v>454</v>
          </cell>
          <cell r="G157">
            <v>468</v>
          </cell>
          <cell r="H157">
            <v>568</v>
          </cell>
          <cell r="I157">
            <v>589.00000000000273</v>
          </cell>
          <cell r="J157">
            <v>476</v>
          </cell>
          <cell r="K157">
            <v>525</v>
          </cell>
          <cell r="L157">
            <v>615</v>
          </cell>
          <cell r="M157">
            <v>672.99999999999977</v>
          </cell>
          <cell r="N157">
            <v>590</v>
          </cell>
          <cell r="O157">
            <v>675</v>
          </cell>
          <cell r="P157">
            <v>727</v>
          </cell>
          <cell r="Q157">
            <v>738.00000000000057</v>
          </cell>
          <cell r="R157">
            <v>771</v>
          </cell>
          <cell r="S157">
            <v>805</v>
          </cell>
          <cell r="T157">
            <v>894</v>
          </cell>
          <cell r="U157">
            <v>871.00000000000045</v>
          </cell>
          <cell r="Z157">
            <v>672.0139999999999</v>
          </cell>
          <cell r="AA157">
            <v>740.5</v>
          </cell>
          <cell r="AB157">
            <v>1492</v>
          </cell>
          <cell r="AC157">
            <v>1908.9999999999998</v>
          </cell>
          <cell r="AD157">
            <v>2251</v>
          </cell>
          <cell r="AE157">
            <v>2353</v>
          </cell>
          <cell r="AF157">
            <v>2694.0000000000036</v>
          </cell>
          <cell r="AG157">
            <v>2491.0000000000009</v>
          </cell>
          <cell r="AH157">
            <v>2079.0000000000027</v>
          </cell>
          <cell r="AI157">
            <v>2289</v>
          </cell>
          <cell r="AJ157">
            <v>2730.0000000000005</v>
          </cell>
          <cell r="AK157">
            <v>3341</v>
          </cell>
          <cell r="AL157">
            <v>4177.4335820687502</v>
          </cell>
          <cell r="AM157">
            <v>4560.3079365285948</v>
          </cell>
          <cell r="AN157">
            <v>4867.843030435024</v>
          </cell>
          <cell r="AO157">
            <v>4855.5534898691749</v>
          </cell>
        </row>
        <row r="158">
          <cell r="A158" t="str">
            <v>Net Profit</v>
          </cell>
        </row>
        <row r="159">
          <cell r="A159" t="str">
            <v>G100</v>
          </cell>
          <cell r="B159">
            <v>4</v>
          </cell>
          <cell r="C159">
            <v>3</v>
          </cell>
          <cell r="D159">
            <v>2</v>
          </cell>
          <cell r="E159">
            <v>1</v>
          </cell>
          <cell r="F159">
            <v>3</v>
          </cell>
          <cell r="G159">
            <v>2.5</v>
          </cell>
          <cell r="H159">
            <v>1.2</v>
          </cell>
          <cell r="I159">
            <v>3.3</v>
          </cell>
          <cell r="J159">
            <v>2</v>
          </cell>
          <cell r="K159">
            <v>1</v>
          </cell>
          <cell r="L159">
            <v>2</v>
          </cell>
          <cell r="M159">
            <v>3</v>
          </cell>
          <cell r="N159">
            <v>2</v>
          </cell>
          <cell r="O159">
            <v>1</v>
          </cell>
          <cell r="P159">
            <v>2</v>
          </cell>
          <cell r="Q159">
            <v>6</v>
          </cell>
          <cell r="R159">
            <v>2</v>
          </cell>
          <cell r="S159">
            <v>1</v>
          </cell>
          <cell r="T159">
            <v>2</v>
          </cell>
          <cell r="U159">
            <v>8</v>
          </cell>
          <cell r="Z159">
            <v>0</v>
          </cell>
          <cell r="AA159">
            <v>0</v>
          </cell>
          <cell r="AB159">
            <v>0</v>
          </cell>
          <cell r="AC159">
            <v>0</v>
          </cell>
          <cell r="AD159">
            <v>0</v>
          </cell>
          <cell r="AE159">
            <v>0</v>
          </cell>
          <cell r="AF159">
            <v>0</v>
          </cell>
          <cell r="AG159">
            <v>10</v>
          </cell>
          <cell r="AH159">
            <v>10</v>
          </cell>
          <cell r="AI159">
            <v>8</v>
          </cell>
          <cell r="AJ159">
            <v>11</v>
          </cell>
          <cell r="AK159">
            <v>13</v>
          </cell>
          <cell r="AL159">
            <v>4</v>
          </cell>
          <cell r="AM159">
            <v>11</v>
          </cell>
          <cell r="AN159">
            <v>11</v>
          </cell>
          <cell r="AO159">
            <v>11</v>
          </cell>
        </row>
        <row r="160">
          <cell r="A160" t="str">
            <v>G150</v>
          </cell>
          <cell r="B160">
            <v>0</v>
          </cell>
          <cell r="C160">
            <v>0</v>
          </cell>
          <cell r="D160">
            <v>0</v>
          </cell>
          <cell r="E160">
            <v>0</v>
          </cell>
          <cell r="F160">
            <v>0</v>
          </cell>
          <cell r="G160">
            <v>0</v>
          </cell>
          <cell r="H160">
            <v>0</v>
          </cell>
          <cell r="I160">
            <v>0</v>
          </cell>
          <cell r="J160">
            <v>0</v>
          </cell>
          <cell r="K160">
            <v>0</v>
          </cell>
          <cell r="L160">
            <v>0</v>
          </cell>
          <cell r="M160">
            <v>0</v>
          </cell>
          <cell r="N160">
            <v>0</v>
          </cell>
          <cell r="O160">
            <v>0</v>
          </cell>
          <cell r="P160">
            <v>0</v>
          </cell>
          <cell r="Q160">
            <v>0</v>
          </cell>
          <cell r="R160">
            <v>0</v>
          </cell>
          <cell r="S160">
            <v>0</v>
          </cell>
          <cell r="T160">
            <v>0</v>
          </cell>
          <cell r="U160">
            <v>15</v>
          </cell>
          <cell r="Z160">
            <v>0</v>
          </cell>
          <cell r="AA160">
            <v>0</v>
          </cell>
          <cell r="AB160">
            <v>0</v>
          </cell>
          <cell r="AC160">
            <v>0</v>
          </cell>
          <cell r="AD160">
            <v>0</v>
          </cell>
          <cell r="AE160">
            <v>0</v>
          </cell>
          <cell r="AF160">
            <v>0</v>
          </cell>
          <cell r="AG160">
            <v>0</v>
          </cell>
          <cell r="AH160">
            <v>0</v>
          </cell>
          <cell r="AI160">
            <v>0</v>
          </cell>
          <cell r="AJ160">
            <v>0</v>
          </cell>
          <cell r="AK160">
            <v>15</v>
          </cell>
          <cell r="AL160">
            <v>30</v>
          </cell>
          <cell r="AM160">
            <v>35</v>
          </cell>
          <cell r="AN160">
            <v>35</v>
          </cell>
          <cell r="AO160">
            <v>35</v>
          </cell>
        </row>
        <row r="161">
          <cell r="A161" t="str">
            <v>G200</v>
          </cell>
          <cell r="B161">
            <v>16</v>
          </cell>
          <cell r="C161">
            <v>8</v>
          </cell>
          <cell r="D161">
            <v>2</v>
          </cell>
          <cell r="E161">
            <v>4</v>
          </cell>
          <cell r="F161">
            <v>2</v>
          </cell>
          <cell r="G161">
            <v>9</v>
          </cell>
          <cell r="H161">
            <v>5</v>
          </cell>
          <cell r="I161">
            <v>5</v>
          </cell>
          <cell r="J161">
            <v>6</v>
          </cell>
          <cell r="K161">
            <v>6</v>
          </cell>
          <cell r="L161">
            <v>6</v>
          </cell>
          <cell r="M161">
            <v>6</v>
          </cell>
          <cell r="N161">
            <v>6</v>
          </cell>
          <cell r="O161">
            <v>6</v>
          </cell>
          <cell r="P161">
            <v>6</v>
          </cell>
          <cell r="Q161">
            <v>12</v>
          </cell>
          <cell r="R161">
            <v>6</v>
          </cell>
          <cell r="S161">
            <v>6</v>
          </cell>
          <cell r="T161">
            <v>6</v>
          </cell>
          <cell r="U161">
            <v>15</v>
          </cell>
          <cell r="Z161">
            <v>0</v>
          </cell>
          <cell r="AA161">
            <v>0</v>
          </cell>
          <cell r="AB161">
            <v>0</v>
          </cell>
          <cell r="AC161">
            <v>0</v>
          </cell>
          <cell r="AD161">
            <v>0</v>
          </cell>
          <cell r="AE161">
            <v>0</v>
          </cell>
          <cell r="AF161">
            <v>0</v>
          </cell>
          <cell r="AG161">
            <v>30</v>
          </cell>
          <cell r="AH161">
            <v>21</v>
          </cell>
          <cell r="AI161">
            <v>24</v>
          </cell>
          <cell r="AJ161">
            <v>30</v>
          </cell>
          <cell r="AK161">
            <v>33</v>
          </cell>
          <cell r="AL161">
            <v>35</v>
          </cell>
          <cell r="AM161">
            <v>42</v>
          </cell>
          <cell r="AN161">
            <v>42</v>
          </cell>
          <cell r="AO161">
            <v>42</v>
          </cell>
        </row>
        <row r="162">
          <cell r="A162" t="str">
            <v>-subtotal Midsize Green</v>
          </cell>
          <cell r="B162">
            <v>20</v>
          </cell>
          <cell r="C162">
            <v>11</v>
          </cell>
          <cell r="D162">
            <v>4</v>
          </cell>
          <cell r="E162">
            <v>5</v>
          </cell>
          <cell r="F162">
            <v>5</v>
          </cell>
          <cell r="G162">
            <v>11.5</v>
          </cell>
          <cell r="H162">
            <v>6.2</v>
          </cell>
          <cell r="I162">
            <v>8.3000000000000007</v>
          </cell>
          <cell r="J162">
            <v>8</v>
          </cell>
          <cell r="K162">
            <v>7</v>
          </cell>
          <cell r="L162">
            <v>8</v>
          </cell>
          <cell r="M162">
            <v>9</v>
          </cell>
          <cell r="N162">
            <v>8</v>
          </cell>
          <cell r="O162">
            <v>7</v>
          </cell>
          <cell r="P162">
            <v>8</v>
          </cell>
          <cell r="Q162">
            <v>18</v>
          </cell>
          <cell r="R162">
            <v>8</v>
          </cell>
          <cell r="S162">
            <v>7</v>
          </cell>
          <cell r="T162">
            <v>8</v>
          </cell>
          <cell r="U162">
            <v>38</v>
          </cell>
          <cell r="Z162">
            <v>0</v>
          </cell>
          <cell r="AA162">
            <v>0</v>
          </cell>
          <cell r="AB162">
            <v>0</v>
          </cell>
          <cell r="AC162">
            <v>0</v>
          </cell>
          <cell r="AD162">
            <v>0</v>
          </cell>
          <cell r="AE162">
            <v>0</v>
          </cell>
          <cell r="AF162">
            <v>0</v>
          </cell>
          <cell r="AG162">
            <v>40</v>
          </cell>
          <cell r="AH162">
            <v>31</v>
          </cell>
          <cell r="AI162">
            <v>32</v>
          </cell>
          <cell r="AJ162">
            <v>41</v>
          </cell>
          <cell r="AK162">
            <v>61</v>
          </cell>
          <cell r="AL162">
            <v>69</v>
          </cell>
          <cell r="AM162">
            <v>88</v>
          </cell>
          <cell r="AN162">
            <v>88</v>
          </cell>
          <cell r="AO162">
            <v>88</v>
          </cell>
        </row>
        <row r="164">
          <cell r="A164" t="str">
            <v>G300/350</v>
          </cell>
          <cell r="B164">
            <v>0</v>
          </cell>
          <cell r="C164">
            <v>0</v>
          </cell>
          <cell r="D164">
            <v>0</v>
          </cell>
          <cell r="E164">
            <v>0</v>
          </cell>
          <cell r="F164">
            <v>0</v>
          </cell>
          <cell r="G164">
            <v>0</v>
          </cell>
          <cell r="H164">
            <v>0</v>
          </cell>
          <cell r="I164">
            <v>0</v>
          </cell>
          <cell r="J164">
            <v>0</v>
          </cell>
          <cell r="K164">
            <v>0</v>
          </cell>
          <cell r="L164">
            <v>0</v>
          </cell>
          <cell r="M164">
            <v>10</v>
          </cell>
          <cell r="N164">
            <v>0</v>
          </cell>
          <cell r="O164">
            <v>0</v>
          </cell>
          <cell r="P164">
            <v>0</v>
          </cell>
          <cell r="Q164">
            <v>15</v>
          </cell>
          <cell r="R164">
            <v>0</v>
          </cell>
          <cell r="S164">
            <v>0</v>
          </cell>
          <cell r="T164">
            <v>0</v>
          </cell>
          <cell r="U164">
            <v>20</v>
          </cell>
          <cell r="Z164">
            <v>0</v>
          </cell>
          <cell r="AA164">
            <v>0</v>
          </cell>
          <cell r="AB164">
            <v>0</v>
          </cell>
          <cell r="AC164">
            <v>0</v>
          </cell>
          <cell r="AD164">
            <v>0</v>
          </cell>
          <cell r="AE164">
            <v>0</v>
          </cell>
          <cell r="AF164">
            <v>0</v>
          </cell>
          <cell r="AG164">
            <v>0</v>
          </cell>
          <cell r="AH164">
            <v>0</v>
          </cell>
          <cell r="AI164">
            <v>10</v>
          </cell>
          <cell r="AJ164">
            <v>15</v>
          </cell>
          <cell r="AK164">
            <v>20</v>
          </cell>
          <cell r="AL164">
            <v>22</v>
          </cell>
          <cell r="AM164">
            <v>25</v>
          </cell>
          <cell r="AN164">
            <v>25</v>
          </cell>
          <cell r="AO164">
            <v>25</v>
          </cell>
        </row>
        <row r="165">
          <cell r="A165" t="str">
            <v>G400 (IV/IVSP)</v>
          </cell>
          <cell r="B165">
            <v>42</v>
          </cell>
          <cell r="C165">
            <v>60</v>
          </cell>
          <cell r="D165">
            <v>38</v>
          </cell>
          <cell r="E165">
            <v>30</v>
          </cell>
          <cell r="F165">
            <v>12</v>
          </cell>
          <cell r="G165">
            <v>20</v>
          </cell>
          <cell r="H165">
            <v>17</v>
          </cell>
          <cell r="I165">
            <v>16</v>
          </cell>
          <cell r="J165">
            <v>16</v>
          </cell>
          <cell r="K165">
            <v>20</v>
          </cell>
          <cell r="L165">
            <v>22</v>
          </cell>
          <cell r="M165">
            <v>42</v>
          </cell>
          <cell r="N165">
            <v>16</v>
          </cell>
          <cell r="O165">
            <v>20</v>
          </cell>
          <cell r="P165">
            <v>22</v>
          </cell>
          <cell r="Q165">
            <v>62</v>
          </cell>
          <cell r="R165">
            <v>16</v>
          </cell>
          <cell r="S165">
            <v>20</v>
          </cell>
          <cell r="T165">
            <v>22</v>
          </cell>
          <cell r="U165">
            <v>67</v>
          </cell>
          <cell r="Z165">
            <v>40</v>
          </cell>
          <cell r="AA165">
            <v>62</v>
          </cell>
          <cell r="AB165">
            <v>102</v>
          </cell>
          <cell r="AC165">
            <v>190</v>
          </cell>
          <cell r="AD165">
            <v>214</v>
          </cell>
          <cell r="AE165">
            <v>220</v>
          </cell>
          <cell r="AF165">
            <v>205</v>
          </cell>
          <cell r="AG165">
            <v>170</v>
          </cell>
          <cell r="AH165">
            <v>65</v>
          </cell>
          <cell r="AI165">
            <v>100</v>
          </cell>
          <cell r="AJ165">
            <v>120</v>
          </cell>
          <cell r="AK165">
            <v>125</v>
          </cell>
          <cell r="AL165">
            <v>150</v>
          </cell>
          <cell r="AM165">
            <v>150</v>
          </cell>
          <cell r="AN165">
            <v>150</v>
          </cell>
          <cell r="AO165">
            <v>150</v>
          </cell>
        </row>
        <row r="166">
          <cell r="A166" t="str">
            <v>G450</v>
          </cell>
          <cell r="B166">
            <v>0</v>
          </cell>
          <cell r="C166">
            <v>0</v>
          </cell>
          <cell r="D166">
            <v>0</v>
          </cell>
          <cell r="E166">
            <v>0</v>
          </cell>
          <cell r="F166">
            <v>0</v>
          </cell>
          <cell r="G166">
            <v>0</v>
          </cell>
          <cell r="H166">
            <v>0</v>
          </cell>
          <cell r="I166">
            <v>0</v>
          </cell>
          <cell r="J166">
            <v>0</v>
          </cell>
          <cell r="K166">
            <v>0</v>
          </cell>
          <cell r="L166">
            <v>0</v>
          </cell>
          <cell r="M166">
            <v>0</v>
          </cell>
          <cell r="N166">
            <v>0</v>
          </cell>
          <cell r="O166">
            <v>0</v>
          </cell>
          <cell r="P166">
            <v>0</v>
          </cell>
          <cell r="Q166">
            <v>7</v>
          </cell>
          <cell r="R166">
            <v>0</v>
          </cell>
          <cell r="S166">
            <v>0</v>
          </cell>
          <cell r="T166">
            <v>0</v>
          </cell>
          <cell r="U166">
            <v>14</v>
          </cell>
          <cell r="Z166">
            <v>0</v>
          </cell>
          <cell r="AA166">
            <v>0</v>
          </cell>
          <cell r="AB166">
            <v>0</v>
          </cell>
          <cell r="AC166">
            <v>0</v>
          </cell>
          <cell r="AD166">
            <v>0</v>
          </cell>
          <cell r="AE166">
            <v>0</v>
          </cell>
          <cell r="AF166">
            <v>0</v>
          </cell>
          <cell r="AG166">
            <v>0</v>
          </cell>
          <cell r="AH166">
            <v>0</v>
          </cell>
          <cell r="AI166">
            <v>0</v>
          </cell>
          <cell r="AJ166">
            <v>7</v>
          </cell>
          <cell r="AK166">
            <v>14</v>
          </cell>
          <cell r="AL166">
            <v>21</v>
          </cell>
          <cell r="AM166">
            <v>33</v>
          </cell>
          <cell r="AN166">
            <v>33</v>
          </cell>
          <cell r="AO166">
            <v>33</v>
          </cell>
        </row>
        <row r="167">
          <cell r="A167" t="str">
            <v>GV</v>
          </cell>
          <cell r="B167">
            <v>46</v>
          </cell>
          <cell r="C167">
            <v>68</v>
          </cell>
          <cell r="D167">
            <v>58</v>
          </cell>
          <cell r="E167">
            <v>31</v>
          </cell>
          <cell r="F167">
            <v>0</v>
          </cell>
          <cell r="G167">
            <v>10</v>
          </cell>
          <cell r="H167">
            <v>3</v>
          </cell>
          <cell r="I167">
            <v>2</v>
          </cell>
          <cell r="J167">
            <v>0</v>
          </cell>
          <cell r="K167">
            <v>0</v>
          </cell>
          <cell r="L167">
            <v>0</v>
          </cell>
          <cell r="M167">
            <v>0</v>
          </cell>
          <cell r="N167">
            <v>0</v>
          </cell>
          <cell r="O167">
            <v>0</v>
          </cell>
          <cell r="P167">
            <v>0</v>
          </cell>
          <cell r="Q167">
            <v>0</v>
          </cell>
          <cell r="R167">
            <v>0</v>
          </cell>
          <cell r="S167">
            <v>0</v>
          </cell>
          <cell r="T167">
            <v>0</v>
          </cell>
          <cell r="U167">
            <v>0</v>
          </cell>
          <cell r="Z167">
            <v>0</v>
          </cell>
          <cell r="AA167">
            <v>2</v>
          </cell>
          <cell r="AB167">
            <v>90</v>
          </cell>
          <cell r="AC167">
            <v>130</v>
          </cell>
          <cell r="AD167">
            <v>172</v>
          </cell>
          <cell r="AE167">
            <v>250</v>
          </cell>
          <cell r="AF167">
            <v>262</v>
          </cell>
          <cell r="AG167">
            <v>203</v>
          </cell>
          <cell r="AH167">
            <v>15</v>
          </cell>
          <cell r="AI167">
            <v>0</v>
          </cell>
          <cell r="AJ167">
            <v>0</v>
          </cell>
          <cell r="AK167">
            <v>0</v>
          </cell>
          <cell r="AL167">
            <v>0</v>
          </cell>
          <cell r="AM167">
            <v>0</v>
          </cell>
          <cell r="AN167">
            <v>0</v>
          </cell>
          <cell r="AO167">
            <v>0</v>
          </cell>
        </row>
        <row r="168">
          <cell r="A168" t="str">
            <v>G500</v>
          </cell>
          <cell r="B168">
            <v>0</v>
          </cell>
          <cell r="C168">
            <v>0</v>
          </cell>
          <cell r="D168">
            <v>0</v>
          </cell>
          <cell r="E168">
            <v>0</v>
          </cell>
          <cell r="F168">
            <v>0</v>
          </cell>
          <cell r="G168">
            <v>0</v>
          </cell>
          <cell r="H168">
            <v>0</v>
          </cell>
          <cell r="I168">
            <v>0</v>
          </cell>
          <cell r="J168">
            <v>0</v>
          </cell>
          <cell r="K168">
            <v>0</v>
          </cell>
          <cell r="L168">
            <v>0</v>
          </cell>
          <cell r="M168">
            <v>5</v>
          </cell>
          <cell r="N168">
            <v>0</v>
          </cell>
          <cell r="O168">
            <v>0</v>
          </cell>
          <cell r="P168">
            <v>0</v>
          </cell>
          <cell r="Q168">
            <v>15</v>
          </cell>
          <cell r="R168">
            <v>0</v>
          </cell>
          <cell r="S168">
            <v>0</v>
          </cell>
          <cell r="T168">
            <v>0</v>
          </cell>
          <cell r="U168">
            <v>16</v>
          </cell>
          <cell r="Z168">
            <v>0</v>
          </cell>
          <cell r="AA168">
            <v>0</v>
          </cell>
          <cell r="AB168">
            <v>0</v>
          </cell>
          <cell r="AC168">
            <v>0</v>
          </cell>
          <cell r="AD168">
            <v>0</v>
          </cell>
          <cell r="AE168">
            <v>0</v>
          </cell>
          <cell r="AF168">
            <v>0</v>
          </cell>
          <cell r="AG168">
            <v>0</v>
          </cell>
          <cell r="AH168">
            <v>0</v>
          </cell>
          <cell r="AI168">
            <v>5</v>
          </cell>
          <cell r="AJ168">
            <v>15</v>
          </cell>
          <cell r="AK168">
            <v>16</v>
          </cell>
          <cell r="AL168">
            <v>25</v>
          </cell>
          <cell r="AM168">
            <v>30</v>
          </cell>
          <cell r="AN168">
            <v>30</v>
          </cell>
          <cell r="AO168">
            <v>30</v>
          </cell>
        </row>
        <row r="169">
          <cell r="A169" t="str">
            <v>G550 (GVSP)</v>
          </cell>
          <cell r="B169">
            <v>0</v>
          </cell>
          <cell r="C169">
            <v>0</v>
          </cell>
          <cell r="D169">
            <v>0</v>
          </cell>
          <cell r="E169">
            <v>0</v>
          </cell>
          <cell r="F169">
            <v>25</v>
          </cell>
          <cell r="G169">
            <v>4</v>
          </cell>
          <cell r="H169">
            <v>15</v>
          </cell>
          <cell r="I169">
            <v>19</v>
          </cell>
          <cell r="J169">
            <v>30</v>
          </cell>
          <cell r="K169">
            <v>22</v>
          </cell>
          <cell r="L169">
            <v>22</v>
          </cell>
          <cell r="M169">
            <v>56</v>
          </cell>
          <cell r="N169">
            <v>30</v>
          </cell>
          <cell r="O169">
            <v>22</v>
          </cell>
          <cell r="P169">
            <v>22</v>
          </cell>
          <cell r="Q169">
            <v>156</v>
          </cell>
          <cell r="R169">
            <v>30</v>
          </cell>
          <cell r="S169">
            <v>22</v>
          </cell>
          <cell r="T169">
            <v>22</v>
          </cell>
          <cell r="U169">
            <v>156</v>
          </cell>
          <cell r="Z169">
            <v>0</v>
          </cell>
          <cell r="AA169">
            <v>0</v>
          </cell>
          <cell r="AB169">
            <v>0</v>
          </cell>
          <cell r="AC169">
            <v>0</v>
          </cell>
          <cell r="AD169">
            <v>0</v>
          </cell>
          <cell r="AE169">
            <v>0</v>
          </cell>
          <cell r="AF169">
            <v>0</v>
          </cell>
          <cell r="AG169">
            <v>0</v>
          </cell>
          <cell r="AH169">
            <v>63</v>
          </cell>
          <cell r="AI169">
            <v>130</v>
          </cell>
          <cell r="AJ169">
            <v>230</v>
          </cell>
          <cell r="AK169">
            <v>230</v>
          </cell>
          <cell r="AL169">
            <v>230</v>
          </cell>
          <cell r="AM169">
            <v>230</v>
          </cell>
          <cell r="AN169">
            <v>230</v>
          </cell>
          <cell r="AO169">
            <v>230</v>
          </cell>
        </row>
        <row r="170">
          <cell r="A170" t="str">
            <v>-subtotal Large Green</v>
          </cell>
          <cell r="B170">
            <v>88</v>
          </cell>
          <cell r="C170">
            <v>128</v>
          </cell>
          <cell r="D170">
            <v>96</v>
          </cell>
          <cell r="E170">
            <v>61</v>
          </cell>
          <cell r="F170">
            <v>37</v>
          </cell>
          <cell r="G170">
            <v>34</v>
          </cell>
          <cell r="H170">
            <v>35</v>
          </cell>
          <cell r="I170">
            <v>37</v>
          </cell>
          <cell r="J170">
            <v>46</v>
          </cell>
          <cell r="K170">
            <v>42</v>
          </cell>
          <cell r="L170">
            <v>44</v>
          </cell>
          <cell r="M170">
            <v>113</v>
          </cell>
          <cell r="N170">
            <v>46</v>
          </cell>
          <cell r="O170">
            <v>42</v>
          </cell>
          <cell r="P170">
            <v>44</v>
          </cell>
          <cell r="Q170">
            <v>255</v>
          </cell>
          <cell r="R170">
            <v>46</v>
          </cell>
          <cell r="S170">
            <v>42</v>
          </cell>
          <cell r="T170">
            <v>44</v>
          </cell>
          <cell r="U170">
            <v>273</v>
          </cell>
          <cell r="Z170">
            <v>40</v>
          </cell>
          <cell r="AA170">
            <v>64</v>
          </cell>
          <cell r="AB170">
            <v>192</v>
          </cell>
          <cell r="AC170">
            <v>320</v>
          </cell>
          <cell r="AD170">
            <v>386</v>
          </cell>
          <cell r="AE170">
            <v>470</v>
          </cell>
          <cell r="AF170">
            <v>467</v>
          </cell>
          <cell r="AG170">
            <v>373</v>
          </cell>
          <cell r="AH170">
            <v>143</v>
          </cell>
          <cell r="AI170">
            <v>245</v>
          </cell>
          <cell r="AJ170">
            <v>387</v>
          </cell>
          <cell r="AK170">
            <v>405</v>
          </cell>
          <cell r="AL170">
            <v>448</v>
          </cell>
          <cell r="AM170">
            <v>468</v>
          </cell>
          <cell r="AN170">
            <v>468</v>
          </cell>
          <cell r="AO170">
            <v>468</v>
          </cell>
        </row>
        <row r="172">
          <cell r="A172" t="str">
            <v>GAC  Completions</v>
          </cell>
          <cell r="B172">
            <v>11</v>
          </cell>
          <cell r="C172">
            <v>12</v>
          </cell>
          <cell r="D172">
            <v>12</v>
          </cell>
          <cell r="E172">
            <v>15</v>
          </cell>
          <cell r="F172">
            <v>7</v>
          </cell>
          <cell r="G172">
            <v>6</v>
          </cell>
          <cell r="H172">
            <v>5</v>
          </cell>
          <cell r="I172">
            <v>7</v>
          </cell>
          <cell r="J172">
            <v>7</v>
          </cell>
          <cell r="K172">
            <v>6</v>
          </cell>
          <cell r="L172">
            <v>5</v>
          </cell>
          <cell r="M172">
            <v>27</v>
          </cell>
          <cell r="N172">
            <v>7</v>
          </cell>
          <cell r="O172">
            <v>6</v>
          </cell>
          <cell r="P172">
            <v>5</v>
          </cell>
          <cell r="Q172">
            <v>32</v>
          </cell>
          <cell r="R172">
            <v>7</v>
          </cell>
          <cell r="S172">
            <v>6</v>
          </cell>
          <cell r="T172">
            <v>5</v>
          </cell>
          <cell r="U172">
            <v>32</v>
          </cell>
          <cell r="Z172">
            <v>2</v>
          </cell>
          <cell r="AA172">
            <v>5</v>
          </cell>
          <cell r="AB172">
            <v>10</v>
          </cell>
          <cell r="AC172">
            <v>20.7</v>
          </cell>
          <cell r="AD172">
            <v>14</v>
          </cell>
          <cell r="AE172">
            <v>55</v>
          </cell>
          <cell r="AF172">
            <v>72</v>
          </cell>
          <cell r="AG172">
            <v>50</v>
          </cell>
          <cell r="AH172">
            <v>25</v>
          </cell>
          <cell r="AI172">
            <v>45</v>
          </cell>
          <cell r="AJ172">
            <v>50</v>
          </cell>
          <cell r="AK172">
            <v>50</v>
          </cell>
          <cell r="AL172">
            <v>50</v>
          </cell>
          <cell r="AM172">
            <v>50</v>
          </cell>
          <cell r="AN172">
            <v>50</v>
          </cell>
          <cell r="AO172">
            <v>50</v>
          </cell>
        </row>
        <row r="173">
          <cell r="A173" t="str">
            <v>Galaxy  Completions</v>
          </cell>
          <cell r="B173">
            <v>2</v>
          </cell>
          <cell r="C173">
            <v>2</v>
          </cell>
          <cell r="D173">
            <v>0.5</v>
          </cell>
          <cell r="E173">
            <v>0.5</v>
          </cell>
          <cell r="F173">
            <v>0.5</v>
          </cell>
          <cell r="G173">
            <v>0.5</v>
          </cell>
          <cell r="H173">
            <v>2</v>
          </cell>
          <cell r="I173">
            <v>1</v>
          </cell>
          <cell r="J173">
            <v>1</v>
          </cell>
          <cell r="K173">
            <v>0.5</v>
          </cell>
          <cell r="L173">
            <v>2</v>
          </cell>
          <cell r="M173">
            <v>6.5</v>
          </cell>
          <cell r="N173">
            <v>1</v>
          </cell>
          <cell r="O173">
            <v>0.5</v>
          </cell>
          <cell r="P173">
            <v>2</v>
          </cell>
          <cell r="Q173">
            <v>6.5</v>
          </cell>
          <cell r="R173">
            <v>1</v>
          </cell>
          <cell r="S173">
            <v>0.5</v>
          </cell>
          <cell r="T173">
            <v>2</v>
          </cell>
          <cell r="U173">
            <v>6.5</v>
          </cell>
          <cell r="AG173">
            <v>5</v>
          </cell>
          <cell r="AH173">
            <v>4</v>
          </cell>
          <cell r="AI173">
            <v>10</v>
          </cell>
          <cell r="AJ173">
            <v>10</v>
          </cell>
          <cell r="AK173">
            <v>10</v>
          </cell>
          <cell r="AL173">
            <v>10</v>
          </cell>
          <cell r="AM173">
            <v>10</v>
          </cell>
          <cell r="AN173">
            <v>10</v>
          </cell>
          <cell r="AO173">
            <v>10</v>
          </cell>
        </row>
        <row r="174">
          <cell r="A174" t="str">
            <v>New Aircraft</v>
          </cell>
          <cell r="B174">
            <v>121</v>
          </cell>
          <cell r="C174">
            <v>153</v>
          </cell>
          <cell r="D174">
            <v>112.5</v>
          </cell>
          <cell r="E174">
            <v>81.5</v>
          </cell>
          <cell r="F174">
            <v>49.5</v>
          </cell>
          <cell r="G174">
            <v>52</v>
          </cell>
          <cell r="H174">
            <v>48.2</v>
          </cell>
          <cell r="I174">
            <v>53.3</v>
          </cell>
          <cell r="J174">
            <v>62</v>
          </cell>
          <cell r="K174">
            <v>55.5</v>
          </cell>
          <cell r="L174">
            <v>59</v>
          </cell>
          <cell r="M174">
            <v>155.5</v>
          </cell>
          <cell r="N174">
            <v>62</v>
          </cell>
          <cell r="O174">
            <v>55.5</v>
          </cell>
          <cell r="P174">
            <v>59</v>
          </cell>
          <cell r="Q174">
            <v>311.5</v>
          </cell>
          <cell r="R174">
            <v>62</v>
          </cell>
          <cell r="S174">
            <v>55.5</v>
          </cell>
          <cell r="T174">
            <v>59</v>
          </cell>
          <cell r="U174">
            <v>349.5</v>
          </cell>
          <cell r="Z174">
            <v>42</v>
          </cell>
          <cell r="AA174">
            <v>69</v>
          </cell>
          <cell r="AB174">
            <v>202</v>
          </cell>
          <cell r="AC174">
            <v>340.7</v>
          </cell>
          <cell r="AD174">
            <v>400</v>
          </cell>
          <cell r="AE174">
            <v>525</v>
          </cell>
          <cell r="AF174">
            <v>539</v>
          </cell>
          <cell r="AG174">
            <v>468</v>
          </cell>
          <cell r="AH174">
            <v>203</v>
          </cell>
          <cell r="AI174">
            <v>332</v>
          </cell>
          <cell r="AJ174">
            <v>488</v>
          </cell>
          <cell r="AK174">
            <v>526</v>
          </cell>
          <cell r="AL174">
            <v>577</v>
          </cell>
          <cell r="AM174">
            <v>616</v>
          </cell>
          <cell r="AN174">
            <v>616</v>
          </cell>
          <cell r="AO174">
            <v>616</v>
          </cell>
        </row>
        <row r="175">
          <cell r="A175" t="str">
            <v>per above</v>
          </cell>
          <cell r="B175">
            <v>121</v>
          </cell>
          <cell r="C175">
            <v>153</v>
          </cell>
          <cell r="D175">
            <v>113</v>
          </cell>
          <cell r="E175">
            <v>82.25</v>
          </cell>
          <cell r="F175">
            <v>50</v>
          </cell>
          <cell r="G175">
            <v>52</v>
          </cell>
          <cell r="H175">
            <v>47.5</v>
          </cell>
          <cell r="I175">
            <v>62.5</v>
          </cell>
          <cell r="J175">
            <v>52.25</v>
          </cell>
          <cell r="K175">
            <v>68</v>
          </cell>
          <cell r="L175">
            <v>76</v>
          </cell>
          <cell r="M175">
            <v>114.5</v>
          </cell>
          <cell r="N175">
            <v>77</v>
          </cell>
          <cell r="O175">
            <v>100</v>
          </cell>
          <cell r="P175">
            <v>110</v>
          </cell>
          <cell r="Q175">
            <v>90</v>
          </cell>
          <cell r="R175">
            <v>121</v>
          </cell>
          <cell r="S175">
            <v>127</v>
          </cell>
          <cell r="T175">
            <v>133</v>
          </cell>
          <cell r="U175">
            <v>135</v>
          </cell>
          <cell r="Z175">
            <v>42</v>
          </cell>
          <cell r="AA175">
            <v>69.02000000000001</v>
          </cell>
          <cell r="AB175">
            <v>202.34</v>
          </cell>
          <cell r="AC175">
            <v>226.51</v>
          </cell>
          <cell r="AD175">
            <v>399.5</v>
          </cell>
          <cell r="AE175">
            <v>524.72</v>
          </cell>
          <cell r="AF175">
            <v>539.25</v>
          </cell>
          <cell r="AG175">
            <v>469.25</v>
          </cell>
          <cell r="AH175">
            <v>212</v>
          </cell>
          <cell r="AI175">
            <v>310.75</v>
          </cell>
          <cell r="AJ175">
            <v>377</v>
          </cell>
          <cell r="AK175">
            <v>516</v>
          </cell>
          <cell r="AL175">
            <v>430</v>
          </cell>
          <cell r="AM175">
            <v>430</v>
          </cell>
          <cell r="AN175">
            <v>430</v>
          </cell>
          <cell r="AO175">
            <v>430</v>
          </cell>
          <cell r="AP175" t="str">
            <v>- Gross profit + %unalloc exp.</v>
          </cell>
        </row>
        <row r="176">
          <cell r="A176" t="str">
            <v>Net Margin</v>
          </cell>
        </row>
        <row r="177">
          <cell r="A177" t="str">
            <v>G100</v>
          </cell>
          <cell r="B177">
            <v>8.3333333333333329E-2</v>
          </cell>
          <cell r="C177">
            <v>0.125</v>
          </cell>
          <cell r="D177">
            <v>8.3333333333333329E-2</v>
          </cell>
          <cell r="E177">
            <v>8.3333333333333329E-2</v>
          </cell>
          <cell r="F177">
            <v>8.3333333333333329E-2</v>
          </cell>
          <cell r="G177">
            <v>0.20833333333333334</v>
          </cell>
          <cell r="H177" t="str">
            <v>--</v>
          </cell>
          <cell r="I177">
            <v>0.27499999999999997</v>
          </cell>
          <cell r="J177" t="str">
            <v>--</v>
          </cell>
          <cell r="K177">
            <v>8.3333333333333329E-2</v>
          </cell>
          <cell r="L177">
            <v>8.3333333333333329E-2</v>
          </cell>
          <cell r="M177">
            <v>0.25</v>
          </cell>
          <cell r="N177" t="str">
            <v>--</v>
          </cell>
          <cell r="O177">
            <v>8.3333333333333329E-2</v>
          </cell>
          <cell r="P177">
            <v>0.16666666666666666</v>
          </cell>
          <cell r="Q177">
            <v>0.25</v>
          </cell>
          <cell r="R177">
            <v>0.16666666666666666</v>
          </cell>
          <cell r="S177" t="str">
            <v>--</v>
          </cell>
          <cell r="T177" t="str">
            <v>--</v>
          </cell>
          <cell r="U177" t="str">
            <v>--</v>
          </cell>
          <cell r="Z177" t="str">
            <v>--</v>
          </cell>
          <cell r="AA177" t="str">
            <v>--</v>
          </cell>
          <cell r="AB177" t="str">
            <v>--</v>
          </cell>
          <cell r="AC177" t="str">
            <v>--</v>
          </cell>
          <cell r="AD177" t="str">
            <v>--</v>
          </cell>
          <cell r="AE177" t="str">
            <v>--</v>
          </cell>
          <cell r="AF177">
            <v>0</v>
          </cell>
          <cell r="AG177">
            <v>0.10101010101010101</v>
          </cell>
          <cell r="AH177">
            <v>0.18181818181818182</v>
          </cell>
          <cell r="AI177">
            <v>0.18181818181818182</v>
          </cell>
          <cell r="AJ177">
            <v>0.25</v>
          </cell>
          <cell r="AK177">
            <v>1.1818181818181819</v>
          </cell>
          <cell r="AL177" t="str">
            <v>--</v>
          </cell>
          <cell r="AM177" t="str">
            <v>--</v>
          </cell>
          <cell r="AN177" t="str">
            <v>--</v>
          </cell>
          <cell r="AO177" t="str">
            <v>--</v>
          </cell>
        </row>
        <row r="178">
          <cell r="A178" t="str">
            <v>G150</v>
          </cell>
          <cell r="B178" t="str">
            <v>--</v>
          </cell>
          <cell r="C178" t="str">
            <v>--</v>
          </cell>
          <cell r="D178" t="str">
            <v>--</v>
          </cell>
          <cell r="E178" t="str">
            <v>--</v>
          </cell>
          <cell r="F178" t="str">
            <v>--</v>
          </cell>
          <cell r="G178" t="str">
            <v>--</v>
          </cell>
          <cell r="H178" t="str">
            <v>--</v>
          </cell>
          <cell r="I178" t="str">
            <v>--</v>
          </cell>
          <cell r="J178" t="str">
            <v>--</v>
          </cell>
          <cell r="K178" t="str">
            <v>--</v>
          </cell>
          <cell r="L178" t="str">
            <v>--</v>
          </cell>
          <cell r="M178" t="str">
            <v>--</v>
          </cell>
          <cell r="N178" t="str">
            <v>--</v>
          </cell>
          <cell r="O178" t="str">
            <v>--</v>
          </cell>
          <cell r="P178" t="str">
            <v>--</v>
          </cell>
          <cell r="Q178" t="str">
            <v>--</v>
          </cell>
          <cell r="R178" t="str">
            <v>--</v>
          </cell>
          <cell r="S178" t="str">
            <v>--</v>
          </cell>
          <cell r="T178" t="str">
            <v>--</v>
          </cell>
          <cell r="U178" t="str">
            <v>--</v>
          </cell>
          <cell r="Z178" t="str">
            <v>--</v>
          </cell>
          <cell r="AA178" t="str">
            <v>--</v>
          </cell>
          <cell r="AB178" t="str">
            <v>--</v>
          </cell>
          <cell r="AC178" t="str">
            <v>--</v>
          </cell>
          <cell r="AD178" t="str">
            <v>--</v>
          </cell>
          <cell r="AE178" t="str">
            <v>--</v>
          </cell>
          <cell r="AF178" t="str">
            <v>--</v>
          </cell>
          <cell r="AG178" t="str">
            <v>--</v>
          </cell>
          <cell r="AH178" t="str">
            <v>--</v>
          </cell>
          <cell r="AI178" t="str">
            <v>--</v>
          </cell>
          <cell r="AJ178" t="str">
            <v>--</v>
          </cell>
          <cell r="AK178">
            <v>8.9285714285714288E-2</v>
          </cell>
          <cell r="AL178">
            <v>6.5599580162686966E-2</v>
          </cell>
          <cell r="AM178">
            <v>6.2482683370608715E-2</v>
          </cell>
          <cell r="AN178">
            <v>6.0662799388940508E-2</v>
          </cell>
          <cell r="AO178">
            <v>8.6380685214025296E-2</v>
          </cell>
        </row>
        <row r="179">
          <cell r="A179" t="str">
            <v>G200</v>
          </cell>
          <cell r="B179">
            <v>0.1111111111111111</v>
          </cell>
          <cell r="C179">
            <v>0.1111111111111111</v>
          </cell>
          <cell r="D179">
            <v>0.1111111111111111</v>
          </cell>
          <cell r="E179">
            <v>0.1111111111111111</v>
          </cell>
          <cell r="F179">
            <v>0.1111111111111111</v>
          </cell>
          <cell r="G179">
            <v>8.3333333333333329E-2</v>
          </cell>
          <cell r="H179">
            <v>5.5555555555555552E-2</v>
          </cell>
          <cell r="I179">
            <v>3.968253968253968E-2</v>
          </cell>
          <cell r="J179">
            <v>8.3333333333333329E-2</v>
          </cell>
          <cell r="K179">
            <v>6.6666666666666666E-2</v>
          </cell>
          <cell r="L179">
            <v>8.3333333333333329E-2</v>
          </cell>
          <cell r="M179">
            <v>6.6666666666666666E-2</v>
          </cell>
          <cell r="N179">
            <v>5.5555555555555552E-2</v>
          </cell>
          <cell r="O179">
            <v>6.6666666666666666E-2</v>
          </cell>
          <cell r="P179">
            <v>5.5555555555555552E-2</v>
          </cell>
          <cell r="Q179">
            <v>0.13333333333333333</v>
          </cell>
          <cell r="R179">
            <v>5.5555555555555552E-2</v>
          </cell>
          <cell r="S179">
            <v>4.1666666666666664E-2</v>
          </cell>
          <cell r="T179">
            <v>4.7619047619047616E-2</v>
          </cell>
          <cell r="U179">
            <v>0.1388888888888889</v>
          </cell>
          <cell r="Z179" t="str">
            <v>--</v>
          </cell>
          <cell r="AA179" t="str">
            <v>--</v>
          </cell>
          <cell r="AB179" t="str">
            <v>--</v>
          </cell>
          <cell r="AC179" t="str">
            <v>--</v>
          </cell>
          <cell r="AD179" t="str">
            <v>--</v>
          </cell>
          <cell r="AE179" t="str">
            <v>--</v>
          </cell>
          <cell r="AF179">
            <v>0</v>
          </cell>
          <cell r="AG179">
            <v>0.1111111111111111</v>
          </cell>
          <cell r="AH179">
            <v>6.1403508771929821E-2</v>
          </cell>
          <cell r="AI179">
            <v>7.407407407407407E-2</v>
          </cell>
          <cell r="AJ179">
            <v>8.771929824561403E-2</v>
          </cell>
          <cell r="AK179">
            <v>7.9710144927536225E-2</v>
          </cell>
          <cell r="AL179">
            <v>8.1018518518518517E-2</v>
          </cell>
          <cell r="AM179">
            <v>9.7222222222222224E-2</v>
          </cell>
          <cell r="AN179">
            <v>7.7777777777777779E-2</v>
          </cell>
          <cell r="AO179">
            <v>7.7777777777777779E-2</v>
          </cell>
        </row>
        <row r="180">
          <cell r="A180" t="str">
            <v>-subtotal Midsize Green</v>
          </cell>
          <cell r="B180">
            <v>0.10416666666666667</v>
          </cell>
          <cell r="C180">
            <v>0.11458333333333333</v>
          </cell>
          <cell r="D180">
            <v>9.5238095238095233E-2</v>
          </cell>
          <cell r="E180">
            <v>0.10416666666666667</v>
          </cell>
          <cell r="F180">
            <v>9.2592592592592587E-2</v>
          </cell>
          <cell r="G180">
            <v>9.583333333333334E-2</v>
          </cell>
          <cell r="H180">
            <v>6.8888888888888888E-2</v>
          </cell>
          <cell r="I180">
            <v>6.0144927536231886E-2</v>
          </cell>
          <cell r="J180">
            <v>0.1111111111111111</v>
          </cell>
          <cell r="K180">
            <v>6.8627450980392163E-2</v>
          </cell>
          <cell r="L180">
            <v>8.3333333333333329E-2</v>
          </cell>
          <cell r="M180">
            <v>8.8235294117647065E-2</v>
          </cell>
          <cell r="N180">
            <v>7.407407407407407E-2</v>
          </cell>
          <cell r="O180">
            <v>6.8627450980392163E-2</v>
          </cell>
          <cell r="P180">
            <v>6.6666666666666666E-2</v>
          </cell>
          <cell r="Q180">
            <v>0.15789473684210525</v>
          </cell>
          <cell r="R180">
            <v>6.6666666666666666E-2</v>
          </cell>
          <cell r="S180">
            <v>4.8611111111111112E-2</v>
          </cell>
          <cell r="T180">
            <v>6.3492063492063489E-2</v>
          </cell>
          <cell r="U180">
            <v>0.35185185185185186</v>
          </cell>
          <cell r="Z180" t="str">
            <v>--</v>
          </cell>
          <cell r="AA180" t="str">
            <v>--</v>
          </cell>
          <cell r="AB180" t="str">
            <v>--</v>
          </cell>
          <cell r="AC180" t="str">
            <v>--</v>
          </cell>
          <cell r="AD180" t="str">
            <v>--</v>
          </cell>
          <cell r="AE180" t="str">
            <v>--</v>
          </cell>
          <cell r="AF180">
            <v>0</v>
          </cell>
          <cell r="AG180">
            <v>0.10840108401084012</v>
          </cell>
          <cell r="AH180">
            <v>7.8085642317380355E-2</v>
          </cell>
          <cell r="AI180">
            <v>8.6956521739130432E-2</v>
          </cell>
          <cell r="AJ180">
            <v>0.10621761658031088</v>
          </cell>
          <cell r="AK180">
            <v>0.10286677908937605</v>
          </cell>
          <cell r="AL180">
            <v>7.758737012548915E-2</v>
          </cell>
          <cell r="AM180">
            <v>8.8695800818259077E-2</v>
          </cell>
          <cell r="AN180">
            <v>7.878528447310644E-2</v>
          </cell>
          <cell r="AO180">
            <v>9.3103646620193381E-2</v>
          </cell>
        </row>
        <row r="182">
          <cell r="A182" t="str">
            <v>G300/350</v>
          </cell>
          <cell r="B182" t="str">
            <v>--</v>
          </cell>
          <cell r="C182" t="str">
            <v>--</v>
          </cell>
          <cell r="D182" t="str">
            <v>--</v>
          </cell>
          <cell r="E182" t="str">
            <v>--</v>
          </cell>
          <cell r="F182">
            <v>0</v>
          </cell>
          <cell r="G182">
            <v>0</v>
          </cell>
          <cell r="H182">
            <v>0</v>
          </cell>
          <cell r="I182">
            <v>0</v>
          </cell>
          <cell r="J182">
            <v>0</v>
          </cell>
          <cell r="K182">
            <v>0</v>
          </cell>
          <cell r="L182">
            <v>0</v>
          </cell>
          <cell r="M182" t="str">
            <v>--</v>
          </cell>
          <cell r="N182">
            <v>0</v>
          </cell>
          <cell r="O182">
            <v>0</v>
          </cell>
          <cell r="P182">
            <v>0</v>
          </cell>
          <cell r="Q182" t="str">
            <v>--</v>
          </cell>
          <cell r="R182">
            <v>0</v>
          </cell>
          <cell r="S182" t="str">
            <v>--</v>
          </cell>
          <cell r="T182" t="str">
            <v>--</v>
          </cell>
          <cell r="U182" t="str">
            <v>--</v>
          </cell>
          <cell r="Z182" t="str">
            <v>--</v>
          </cell>
          <cell r="AA182" t="str">
            <v>--</v>
          </cell>
          <cell r="AB182" t="str">
            <v>--</v>
          </cell>
          <cell r="AC182" t="str">
            <v>--</v>
          </cell>
          <cell r="AD182" t="str">
            <v>--</v>
          </cell>
          <cell r="AE182" t="str">
            <v>--</v>
          </cell>
          <cell r="AF182" t="str">
            <v>--</v>
          </cell>
          <cell r="AG182" t="str">
            <v>--</v>
          </cell>
          <cell r="AH182">
            <v>0</v>
          </cell>
          <cell r="AI182">
            <v>9.0909090909090912E-2</v>
          </cell>
          <cell r="AJ182">
            <v>9.7402597402597407E-2</v>
          </cell>
          <cell r="AK182">
            <v>0.44130626654898497</v>
          </cell>
          <cell r="AL182">
            <v>0.11782448864171929</v>
          </cell>
          <cell r="AM182">
            <v>0.11554818931226762</v>
          </cell>
          <cell r="AN182">
            <v>0.11218270807016276</v>
          </cell>
          <cell r="AO182">
            <v>0.10891525055355607</v>
          </cell>
        </row>
        <row r="183">
          <cell r="A183" t="str">
            <v>G400 (IV/IVSP)</v>
          </cell>
          <cell r="B183">
            <v>0.21721141911460487</v>
          </cell>
          <cell r="C183">
            <v>0.27582402427251412</v>
          </cell>
          <cell r="D183">
            <v>0.26203282305888842</v>
          </cell>
          <cell r="E183">
            <v>0.20686801820438558</v>
          </cell>
          <cell r="F183">
            <v>0.2857142857142857</v>
          </cell>
          <cell r="G183">
            <v>0.31746031746031744</v>
          </cell>
          <cell r="H183">
            <v>0.18478260869565216</v>
          </cell>
          <cell r="I183">
            <v>0.16666666666666666</v>
          </cell>
          <cell r="J183">
            <v>0.17391304347826086</v>
          </cell>
          <cell r="K183">
            <v>0.21739130434782608</v>
          </cell>
          <cell r="L183">
            <v>0.3188405797101449</v>
          </cell>
          <cell r="M183" t="str">
            <v>--</v>
          </cell>
          <cell r="N183" t="str">
            <v>--</v>
          </cell>
          <cell r="O183" t="str">
            <v>--</v>
          </cell>
          <cell r="P183" t="str">
            <v>--</v>
          </cell>
          <cell r="Q183" t="str">
            <v>--</v>
          </cell>
          <cell r="R183" t="str">
            <v>--</v>
          </cell>
          <cell r="S183" t="str">
            <v>--</v>
          </cell>
          <cell r="T183" t="str">
            <v>--</v>
          </cell>
          <cell r="U183" t="str">
            <v>--</v>
          </cell>
          <cell r="Z183">
            <v>6.51890482398957E-2</v>
          </cell>
          <cell r="AA183">
            <v>0.1076388888888889</v>
          </cell>
          <cell r="AB183">
            <v>0.19198193111236592</v>
          </cell>
          <cell r="AC183">
            <v>0.24284253578732107</v>
          </cell>
          <cell r="AD183">
            <v>0.2239665096807954</v>
          </cell>
          <cell r="AE183">
            <v>0.23835319609967501</v>
          </cell>
          <cell r="AF183">
            <v>0.23726851851851852</v>
          </cell>
          <cell r="AG183">
            <v>0.2442528735632184</v>
          </cell>
          <cell r="AH183">
            <v>0.2546889708900274</v>
          </cell>
          <cell r="AI183">
            <v>0.74162664123134581</v>
          </cell>
          <cell r="AJ183" t="str">
            <v>--</v>
          </cell>
          <cell r="AK183" t="str">
            <v>--</v>
          </cell>
          <cell r="AL183" t="str">
            <v>--</v>
          </cell>
          <cell r="AM183" t="str">
            <v>--</v>
          </cell>
          <cell r="AN183" t="str">
            <v>--</v>
          </cell>
          <cell r="AO183" t="str">
            <v>--</v>
          </cell>
        </row>
        <row r="184">
          <cell r="A184" t="str">
            <v>G450</v>
          </cell>
          <cell r="B184" t="str">
            <v>--</v>
          </cell>
          <cell r="C184" t="str">
            <v>--</v>
          </cell>
          <cell r="D184" t="str">
            <v>--</v>
          </cell>
          <cell r="E184" t="str">
            <v>--</v>
          </cell>
          <cell r="F184" t="str">
            <v>--</v>
          </cell>
          <cell r="G184" t="str">
            <v>--</v>
          </cell>
          <cell r="H184" t="str">
            <v>--</v>
          </cell>
          <cell r="I184" t="str">
            <v>--</v>
          </cell>
          <cell r="J184" t="str">
            <v>--</v>
          </cell>
          <cell r="K184" t="str">
            <v>--</v>
          </cell>
          <cell r="L184" t="str">
            <v>--</v>
          </cell>
          <cell r="M184" t="str">
            <v>--</v>
          </cell>
          <cell r="N184" t="str">
            <v>--</v>
          </cell>
          <cell r="O184" t="str">
            <v>--</v>
          </cell>
          <cell r="P184" t="str">
            <v>--</v>
          </cell>
          <cell r="Q184" t="str">
            <v>--</v>
          </cell>
          <cell r="R184" t="str">
            <v>--</v>
          </cell>
          <cell r="S184" t="str">
            <v>--</v>
          </cell>
          <cell r="T184" t="str">
            <v>--</v>
          </cell>
          <cell r="U184" t="str">
            <v>--</v>
          </cell>
          <cell r="Z184" t="str">
            <v>--</v>
          </cell>
          <cell r="AA184" t="str">
            <v>--</v>
          </cell>
          <cell r="AB184" t="str">
            <v>--</v>
          </cell>
          <cell r="AC184" t="str">
            <v>--</v>
          </cell>
          <cell r="AD184" t="str">
            <v>--</v>
          </cell>
          <cell r="AE184" t="str">
            <v>--</v>
          </cell>
          <cell r="AF184" t="str">
            <v>--</v>
          </cell>
          <cell r="AG184" t="str">
            <v>--</v>
          </cell>
          <cell r="AH184" t="str">
            <v>--</v>
          </cell>
          <cell r="AI184">
            <v>0</v>
          </cell>
          <cell r="AJ184">
            <v>1.5282810037181961E-2</v>
          </cell>
          <cell r="AK184">
            <v>1.8666666666666668E-2</v>
          </cell>
          <cell r="AL184">
            <v>2.1874999999999999E-2</v>
          </cell>
          <cell r="AM184">
            <v>3.0555555555555555E-2</v>
          </cell>
          <cell r="AN184">
            <v>2.9464285714285714E-2</v>
          </cell>
          <cell r="AO184">
            <v>2.9464285714285714E-2</v>
          </cell>
        </row>
        <row r="185">
          <cell r="A185" t="str">
            <v>GV</v>
          </cell>
          <cell r="B185">
            <v>0.21904761904761905</v>
          </cell>
          <cell r="C185">
            <v>0.25185185185185183</v>
          </cell>
          <cell r="D185">
            <v>0.24166666666666667</v>
          </cell>
          <cell r="E185">
            <v>0.14761904761904762</v>
          </cell>
          <cell r="F185" t="str">
            <v>--</v>
          </cell>
          <cell r="G185" t="str">
            <v>--</v>
          </cell>
          <cell r="H185">
            <v>9.375E-2</v>
          </cell>
          <cell r="I185" t="str">
            <v>--</v>
          </cell>
          <cell r="J185" t="str">
            <v>--</v>
          </cell>
          <cell r="K185" t="str">
            <v>--</v>
          </cell>
          <cell r="L185" t="str">
            <v>--</v>
          </cell>
          <cell r="M185" t="str">
            <v>--</v>
          </cell>
          <cell r="N185" t="str">
            <v>--</v>
          </cell>
          <cell r="O185" t="str">
            <v>--</v>
          </cell>
          <cell r="P185" t="str">
            <v>--</v>
          </cell>
          <cell r="Q185" t="str">
            <v>--</v>
          </cell>
          <cell r="R185" t="str">
            <v>--</v>
          </cell>
          <cell r="S185" t="str">
            <v>--</v>
          </cell>
          <cell r="T185" t="str">
            <v>--</v>
          </cell>
          <cell r="U185" t="str">
            <v>--</v>
          </cell>
          <cell r="Z185" t="str">
            <v>--</v>
          </cell>
          <cell r="AA185">
            <v>2.2222222222222223E-2</v>
          </cell>
          <cell r="AB185">
            <v>0.10344827586206896</v>
          </cell>
          <cell r="AC185">
            <v>0.13584117032392895</v>
          </cell>
          <cell r="AD185">
            <v>0.1681329423264907</v>
          </cell>
          <cell r="AE185">
            <v>0.22281639928698752</v>
          </cell>
          <cell r="AF185">
            <v>0.20542059474750465</v>
          </cell>
          <cell r="AG185">
            <v>0.20722109367822522</v>
          </cell>
          <cell r="AH185">
            <v>0.46875</v>
          </cell>
          <cell r="AI185" t="str">
            <v>--</v>
          </cell>
          <cell r="AJ185" t="str">
            <v>--</v>
          </cell>
          <cell r="AK185" t="str">
            <v>--</v>
          </cell>
          <cell r="AL185" t="str">
            <v>--</v>
          </cell>
          <cell r="AM185" t="str">
            <v>--</v>
          </cell>
          <cell r="AN185" t="str">
            <v>--</v>
          </cell>
          <cell r="AO185" t="str">
            <v>--</v>
          </cell>
        </row>
        <row r="186">
          <cell r="A186" t="str">
            <v>G500</v>
          </cell>
          <cell r="B186" t="str">
            <v>--</v>
          </cell>
          <cell r="C186" t="str">
            <v>--</v>
          </cell>
          <cell r="D186" t="str">
            <v>--</v>
          </cell>
          <cell r="E186" t="str">
            <v>--</v>
          </cell>
          <cell r="F186" t="str">
            <v>--</v>
          </cell>
          <cell r="G186" t="str">
            <v>--</v>
          </cell>
          <cell r="H186" t="str">
            <v>--</v>
          </cell>
          <cell r="I186" t="str">
            <v>--</v>
          </cell>
          <cell r="J186" t="str">
            <v>--</v>
          </cell>
          <cell r="K186" t="str">
            <v>--</v>
          </cell>
          <cell r="L186" t="str">
            <v>--</v>
          </cell>
          <cell r="M186" t="str">
            <v>--</v>
          </cell>
          <cell r="N186" t="str">
            <v>--</v>
          </cell>
          <cell r="O186" t="str">
            <v>--</v>
          </cell>
          <cell r="P186" t="str">
            <v>--</v>
          </cell>
          <cell r="Q186" t="str">
            <v>--</v>
          </cell>
          <cell r="R186" t="str">
            <v>--</v>
          </cell>
          <cell r="S186" t="str">
            <v>--</v>
          </cell>
          <cell r="T186" t="str">
            <v>--</v>
          </cell>
          <cell r="U186" t="str">
            <v>--</v>
          </cell>
          <cell r="Z186" t="str">
            <v>--</v>
          </cell>
          <cell r="AA186" t="str">
            <v>--</v>
          </cell>
          <cell r="AB186" t="str">
            <v>--</v>
          </cell>
          <cell r="AC186" t="str">
            <v>--</v>
          </cell>
          <cell r="AD186" t="str">
            <v>--</v>
          </cell>
          <cell r="AE186" t="str">
            <v>--</v>
          </cell>
          <cell r="AF186" t="str">
            <v>--</v>
          </cell>
          <cell r="AG186" t="str">
            <v>--</v>
          </cell>
          <cell r="AH186" t="str">
            <v>--</v>
          </cell>
          <cell r="AI186" t="str">
            <v>--</v>
          </cell>
          <cell r="AJ186">
            <v>0.5357142857142857</v>
          </cell>
          <cell r="AK186">
            <v>0.19047619047619047</v>
          </cell>
          <cell r="AL186">
            <v>0.14447526583448914</v>
          </cell>
          <cell r="AM186">
            <v>0.14778325123152711</v>
          </cell>
          <cell r="AN186">
            <v>0.15625</v>
          </cell>
          <cell r="AO186">
            <v>0.15625</v>
          </cell>
        </row>
        <row r="187">
          <cell r="A187" t="str">
            <v>G550 (GVSP)</v>
          </cell>
          <cell r="B187" t="str">
            <v>--</v>
          </cell>
          <cell r="C187" t="str">
            <v>--</v>
          </cell>
          <cell r="D187" t="str">
            <v>--</v>
          </cell>
          <cell r="E187">
            <v>0</v>
          </cell>
          <cell r="F187">
            <v>0.11160714285714286</v>
          </cell>
          <cell r="G187">
            <v>2.5000000000000001E-2</v>
          </cell>
          <cell r="H187">
            <v>5.514705882352941E-2</v>
          </cell>
          <cell r="I187">
            <v>6.7857142857142852E-2</v>
          </cell>
          <cell r="J187">
            <v>0.11029411764705882</v>
          </cell>
          <cell r="K187">
            <v>8.0882352941176475E-2</v>
          </cell>
          <cell r="L187">
            <v>8.0882352941176475E-2</v>
          </cell>
          <cell r="M187">
            <v>0.20588235294117646</v>
          </cell>
          <cell r="N187">
            <v>0.12605042016806722</v>
          </cell>
          <cell r="O187">
            <v>7.1895424836601302E-2</v>
          </cell>
          <cell r="P187">
            <v>6.4705882352941183E-2</v>
          </cell>
          <cell r="Q187">
            <v>0.50980392156862742</v>
          </cell>
          <cell r="R187">
            <v>0.11029411764705882</v>
          </cell>
          <cell r="S187">
            <v>7.1895424836601302E-2</v>
          </cell>
          <cell r="T187">
            <v>6.4705882352941183E-2</v>
          </cell>
          <cell r="U187">
            <v>0.50980392156862742</v>
          </cell>
          <cell r="Z187" t="str">
            <v>--</v>
          </cell>
          <cell r="AA187" t="str">
            <v>--</v>
          </cell>
          <cell r="AB187" t="str">
            <v>--</v>
          </cell>
          <cell r="AC187" t="str">
            <v>--</v>
          </cell>
          <cell r="AD187" t="str">
            <v>--</v>
          </cell>
          <cell r="AE187" t="str">
            <v>--</v>
          </cell>
          <cell r="AF187" t="str">
            <v>--</v>
          </cell>
          <cell r="AG187">
            <v>0</v>
          </cell>
          <cell r="AH187">
            <v>7.03125E-2</v>
          </cell>
          <cell r="AI187">
            <v>0.11284722222222222</v>
          </cell>
          <cell r="AJ187">
            <v>0.18003913894324852</v>
          </cell>
          <cell r="AK187">
            <v>0.17370092904435386</v>
          </cell>
          <cell r="AL187">
            <v>0.16358463726884778</v>
          </cell>
          <cell r="AM187">
            <v>0.15927977839335181</v>
          </cell>
          <cell r="AN187">
            <v>0.14743589743589744</v>
          </cell>
          <cell r="AO187">
            <v>0.13690476190476192</v>
          </cell>
        </row>
        <row r="188">
          <cell r="A188" t="str">
            <v>-subtotal Large Green</v>
          </cell>
          <cell r="B188">
            <v>0.21816739389131296</v>
          </cell>
          <cell r="C188">
            <v>0.26254794576743995</v>
          </cell>
          <cell r="D188">
            <v>0.24933769674302636</v>
          </cell>
          <cell r="E188">
            <v>0.15761459356105628</v>
          </cell>
          <cell r="F188">
            <v>0.12012987012987013</v>
          </cell>
          <cell r="G188">
            <v>0.11074918566775244</v>
          </cell>
          <cell r="H188">
            <v>8.3732057416267949E-2</v>
          </cell>
          <cell r="I188">
            <v>9.2964824120603015E-2</v>
          </cell>
          <cell r="J188">
            <v>0.11917098445595854</v>
          </cell>
          <cell r="K188">
            <v>0.10294117647058823</v>
          </cell>
          <cell r="L188">
            <v>0.11428571428571428</v>
          </cell>
          <cell r="M188">
            <v>0.41544117647058826</v>
          </cell>
          <cell r="N188">
            <v>0.1393939393939394</v>
          </cell>
          <cell r="O188">
            <v>0.1276595744680851</v>
          </cell>
          <cell r="P188">
            <v>0.11398963730569948</v>
          </cell>
          <cell r="Q188">
            <v>0.83333333333333337</v>
          </cell>
          <cell r="R188">
            <v>0.14465408805031446</v>
          </cell>
          <cell r="S188">
            <v>0.13725490196078433</v>
          </cell>
          <cell r="T188">
            <v>0.12941176470588237</v>
          </cell>
          <cell r="U188">
            <v>0.89215686274509809</v>
          </cell>
          <cell r="Z188">
            <v>6.51890482398957E-2</v>
          </cell>
          <cell r="AA188">
            <v>9.6096096096096095E-2</v>
          </cell>
          <cell r="AB188">
            <v>0.13701562834510811</v>
          </cell>
          <cell r="AC188">
            <v>0.1839714844199149</v>
          </cell>
          <cell r="AD188">
            <v>0.19509729593126104</v>
          </cell>
          <cell r="AE188">
            <v>0.22982885085574573</v>
          </cell>
          <cell r="AF188">
            <v>0.21828223565881003</v>
          </cell>
          <cell r="AG188">
            <v>0.21843139321750016</v>
          </cell>
          <cell r="AH188">
            <v>0.10583081538017756</v>
          </cell>
          <cell r="AI188">
            <v>0.15737018491293805</v>
          </cell>
          <cell r="AJ188">
            <v>0.20182203577991784</v>
          </cell>
          <cell r="AK188">
            <v>0.18380392704611626</v>
          </cell>
          <cell r="AL188">
            <v>0.16435792695346735</v>
          </cell>
          <cell r="AM188">
            <v>0.15900195986427273</v>
          </cell>
          <cell r="AN188">
            <v>0.15121892415970314</v>
          </cell>
          <cell r="AO188">
            <v>0.14527230527742668</v>
          </cell>
        </row>
        <row r="190">
          <cell r="A190" t="str">
            <v>GAC  Completions</v>
          </cell>
          <cell r="B190">
            <v>0.1440733464309103</v>
          </cell>
          <cell r="C190">
            <v>0.11226494527083918</v>
          </cell>
          <cell r="D190">
            <v>0.13868022651103662</v>
          </cell>
          <cell r="E190">
            <v>0.19646365422396858</v>
          </cell>
          <cell r="F190">
            <v>8.3333333333333329E-2</v>
          </cell>
          <cell r="G190">
            <v>9.0909090909090912E-2</v>
          </cell>
          <cell r="H190">
            <v>5.9523809523809521E-2</v>
          </cell>
          <cell r="I190">
            <v>8.3333333333333329E-2</v>
          </cell>
          <cell r="J190">
            <v>0.14285714285714285</v>
          </cell>
          <cell r="K190">
            <v>5.7142857142857141E-2</v>
          </cell>
          <cell r="L190">
            <v>5.1020408163265307E-2</v>
          </cell>
          <cell r="M190">
            <v>0.24107142857142858</v>
          </cell>
          <cell r="N190">
            <v>8.3333333333333329E-2</v>
          </cell>
          <cell r="O190">
            <v>6.1224489795918366E-2</v>
          </cell>
          <cell r="P190">
            <v>4.2016806722689079E-2</v>
          </cell>
          <cell r="Q190">
            <v>0.26890756302521007</v>
          </cell>
          <cell r="R190">
            <v>6.25E-2</v>
          </cell>
          <cell r="S190">
            <v>4.2857142857142858E-2</v>
          </cell>
          <cell r="T190">
            <v>3.968253968253968E-2</v>
          </cell>
          <cell r="U190">
            <v>0.26890756302521007</v>
          </cell>
          <cell r="Z190">
            <v>3.4482758620689655E-2</v>
          </cell>
          <cell r="AA190">
            <v>6.6613375965893964E-2</v>
          </cell>
          <cell r="AB190">
            <v>0.10989010989010989</v>
          </cell>
          <cell r="AC190">
            <v>0.1125</v>
          </cell>
          <cell r="AD190">
            <v>5.0835148874364564E-2</v>
          </cell>
          <cell r="AE190">
            <v>0.17857142857142858</v>
          </cell>
          <cell r="AF190">
            <v>0.20249291274805384</v>
          </cell>
          <cell r="AG190">
            <v>0.14445856928232984</v>
          </cell>
          <cell r="AH190">
            <v>9.5463388835747606E-2</v>
          </cell>
          <cell r="AI190">
            <v>0.1542100896577461</v>
          </cell>
          <cell r="AJ190">
            <v>0.14142724271962609</v>
          </cell>
          <cell r="AK190">
            <v>0.1138247426314898</v>
          </cell>
          <cell r="AL190">
            <v>0.11318706900330218</v>
          </cell>
          <cell r="AM190">
            <v>0.10180847476487496</v>
          </cell>
          <cell r="AN190">
            <v>9.6960452157023785E-2</v>
          </cell>
          <cell r="AO190">
            <v>9.2343287768594073E-2</v>
          </cell>
        </row>
        <row r="191">
          <cell r="A191" t="str">
            <v>Galaxy  Completions</v>
          </cell>
          <cell r="B191">
            <v>0.08</v>
          </cell>
          <cell r="C191">
            <v>0.1</v>
          </cell>
          <cell r="D191">
            <v>0.1</v>
          </cell>
          <cell r="E191">
            <v>3.3333333333333333E-2</v>
          </cell>
          <cell r="F191">
            <v>6.6666666666666666E-2</v>
          </cell>
          <cell r="G191">
            <v>0.1</v>
          </cell>
          <cell r="H191">
            <v>6.25E-2</v>
          </cell>
          <cell r="I191">
            <v>2.0833333333333332E-2</v>
          </cell>
          <cell r="J191">
            <v>0.05</v>
          </cell>
          <cell r="K191">
            <v>4.1666666666666664E-2</v>
          </cell>
          <cell r="L191">
            <v>7.1428571428571425E-2</v>
          </cell>
          <cell r="M191">
            <v>0.16250000000000001</v>
          </cell>
          <cell r="N191">
            <v>8.3333333333333329E-2</v>
          </cell>
          <cell r="O191">
            <v>1.5625E-2</v>
          </cell>
          <cell r="P191">
            <v>0.1</v>
          </cell>
          <cell r="Q191">
            <v>0.203125</v>
          </cell>
          <cell r="R191">
            <v>3.5714285714285712E-2</v>
          </cell>
          <cell r="S191">
            <v>2.0833333333333332E-2</v>
          </cell>
          <cell r="T191">
            <v>6.25E-2</v>
          </cell>
          <cell r="U191">
            <v>0.13541666666666666</v>
          </cell>
          <cell r="Z191" t="str">
            <v>--</v>
          </cell>
          <cell r="AA191" t="str">
            <v>--</v>
          </cell>
          <cell r="AB191" t="str">
            <v>--</v>
          </cell>
          <cell r="AC191" t="str">
            <v>--</v>
          </cell>
          <cell r="AD191" t="str">
            <v>--</v>
          </cell>
          <cell r="AE191" t="str">
            <v>--</v>
          </cell>
          <cell r="AF191" t="str">
            <v>--</v>
          </cell>
          <cell r="AG191">
            <v>7.3260073260073263E-2</v>
          </cell>
          <cell r="AH191">
            <v>5.8049886621315196E-2</v>
          </cell>
          <cell r="AI191">
            <v>0.13821401576503614</v>
          </cell>
          <cell r="AJ191">
            <v>0.13711707913198032</v>
          </cell>
          <cell r="AK191">
            <v>9.4972868662843504E-2</v>
          </cell>
          <cell r="AL191">
            <v>8.2912821848514159E-2</v>
          </cell>
          <cell r="AM191">
            <v>7.4808561066328563E-2</v>
          </cell>
          <cell r="AN191">
            <v>7.1246248634598622E-2</v>
          </cell>
          <cell r="AO191">
            <v>6.7853570128189156E-2</v>
          </cell>
        </row>
        <row r="192">
          <cell r="A192" t="str">
            <v>New Aircraft</v>
          </cell>
          <cell r="B192">
            <v>0.17367340787415136</v>
          </cell>
          <cell r="C192">
            <v>0.215365558402072</v>
          </cell>
          <cell r="D192">
            <v>0.2169511136823836</v>
          </cell>
          <cell r="E192">
            <v>0.15483405209263446</v>
          </cell>
          <cell r="F192">
            <v>0.10915104740904079</v>
          </cell>
          <cell r="G192">
            <v>0.10441767068273092</v>
          </cell>
          <cell r="H192">
            <v>7.7243589743589747E-2</v>
          </cell>
          <cell r="I192">
            <v>7.9790419161676646E-2</v>
          </cell>
          <cell r="J192">
            <v>0.11764705882352941</v>
          </cell>
          <cell r="K192">
            <v>8.8516746411483258E-2</v>
          </cell>
          <cell r="L192">
            <v>9.7199341021416807E-2</v>
          </cell>
          <cell r="M192">
            <v>0.29562737642585551</v>
          </cell>
          <cell r="N192">
            <v>0.11610486891385768</v>
          </cell>
          <cell r="O192">
            <v>9.8930481283422467E-2</v>
          </cell>
          <cell r="P192">
            <v>9.1472868217054262E-2</v>
          </cell>
          <cell r="Q192">
            <v>0.54553415061295973</v>
          </cell>
          <cell r="R192">
            <v>0.10726643598615918</v>
          </cell>
          <cell r="S192">
            <v>9.039087947882736E-2</v>
          </cell>
          <cell r="T192">
            <v>9.4551282051282048E-2</v>
          </cell>
          <cell r="U192">
            <v>0.60154905335628228</v>
          </cell>
          <cell r="Z192">
            <v>6.2537224538415717E-2</v>
          </cell>
          <cell r="AA192">
            <v>9.3109869646182508E-2</v>
          </cell>
          <cell r="AB192">
            <v>0.13536152248207464</v>
          </cell>
          <cell r="AC192">
            <v>0.17713424144743681</v>
          </cell>
          <cell r="AD192">
            <v>0.1774701628288744</v>
          </cell>
          <cell r="AE192">
            <v>0.22311942201444965</v>
          </cell>
          <cell r="AF192">
            <v>0.20007423904973989</v>
          </cell>
          <cell r="AG192">
            <v>0.18787635487755913</v>
          </cell>
          <cell r="AH192">
            <v>9.7643097643097518E-2</v>
          </cell>
          <cell r="AI192">
            <v>0.14504150283966799</v>
          </cell>
          <cell r="AJ192">
            <v>0.1787545787545787</v>
          </cell>
          <cell r="AK192">
            <v>0.15743789284645313</v>
          </cell>
          <cell r="AL192">
            <v>0.1381230817113932</v>
          </cell>
          <cell r="AM192">
            <v>0.13507859744859962</v>
          </cell>
          <cell r="AN192">
            <v>0.12654475424712905</v>
          </cell>
          <cell r="AO192">
            <v>0.12686504253021774</v>
          </cell>
        </row>
        <row r="193">
          <cell r="A193" t="str">
            <v>Avg Sell'g Prix - Green Aircraft/Completions</v>
          </cell>
        </row>
        <row r="194">
          <cell r="A194" t="str">
            <v>G100</v>
          </cell>
          <cell r="B194">
            <v>12</v>
          </cell>
          <cell r="C194">
            <v>12</v>
          </cell>
          <cell r="D194">
            <v>12</v>
          </cell>
          <cell r="E194">
            <v>12</v>
          </cell>
          <cell r="F194">
            <v>12</v>
          </cell>
          <cell r="G194">
            <v>12</v>
          </cell>
          <cell r="H194">
            <v>12</v>
          </cell>
          <cell r="I194">
            <v>12</v>
          </cell>
          <cell r="J194">
            <v>12</v>
          </cell>
          <cell r="K194">
            <v>12</v>
          </cell>
          <cell r="L194">
            <v>12</v>
          </cell>
          <cell r="M194">
            <v>12</v>
          </cell>
          <cell r="N194">
            <v>12</v>
          </cell>
          <cell r="O194">
            <v>12</v>
          </cell>
          <cell r="P194">
            <v>12</v>
          </cell>
          <cell r="Q194">
            <v>12</v>
          </cell>
          <cell r="R194">
            <v>12</v>
          </cell>
          <cell r="S194">
            <v>12</v>
          </cell>
          <cell r="T194">
            <v>12</v>
          </cell>
          <cell r="U194">
            <v>12</v>
          </cell>
          <cell r="Z194">
            <v>0</v>
          </cell>
          <cell r="AA194">
            <v>0</v>
          </cell>
          <cell r="AB194">
            <v>0</v>
          </cell>
          <cell r="AC194">
            <v>0</v>
          </cell>
          <cell r="AD194">
            <v>0</v>
          </cell>
          <cell r="AE194">
            <v>0</v>
          </cell>
          <cell r="AF194">
            <v>11</v>
          </cell>
          <cell r="AG194">
            <v>11</v>
          </cell>
          <cell r="AH194">
            <v>11</v>
          </cell>
          <cell r="AI194">
            <v>11</v>
          </cell>
          <cell r="AJ194">
            <v>11</v>
          </cell>
          <cell r="AK194">
            <v>11</v>
          </cell>
          <cell r="AL194">
            <v>0</v>
          </cell>
          <cell r="AM194">
            <v>0</v>
          </cell>
          <cell r="AN194">
            <v>0</v>
          </cell>
          <cell r="AO194">
            <v>0</v>
          </cell>
          <cell r="AP194" t="str">
            <v>- normal config</v>
          </cell>
        </row>
        <row r="195">
          <cell r="A195" t="str">
            <v>G150</v>
          </cell>
          <cell r="B195">
            <v>0</v>
          </cell>
          <cell r="C195">
            <v>0</v>
          </cell>
          <cell r="D195">
            <v>0</v>
          </cell>
          <cell r="E195">
            <v>0</v>
          </cell>
          <cell r="F195">
            <v>0</v>
          </cell>
          <cell r="G195">
            <v>0</v>
          </cell>
          <cell r="H195">
            <v>0</v>
          </cell>
          <cell r="I195">
            <v>0</v>
          </cell>
          <cell r="J195">
            <v>0</v>
          </cell>
          <cell r="K195">
            <v>0</v>
          </cell>
          <cell r="L195">
            <v>0</v>
          </cell>
          <cell r="M195">
            <v>0</v>
          </cell>
          <cell r="N195">
            <v>0</v>
          </cell>
          <cell r="O195">
            <v>0</v>
          </cell>
          <cell r="P195">
            <v>0</v>
          </cell>
          <cell r="Q195">
            <v>0</v>
          </cell>
          <cell r="R195">
            <v>0</v>
          </cell>
          <cell r="S195">
            <v>0</v>
          </cell>
          <cell r="T195">
            <v>0</v>
          </cell>
          <cell r="U195">
            <v>0</v>
          </cell>
          <cell r="Z195">
            <v>0</v>
          </cell>
          <cell r="AA195">
            <v>0</v>
          </cell>
          <cell r="AB195">
            <v>0</v>
          </cell>
          <cell r="AC195">
            <v>0</v>
          </cell>
          <cell r="AD195">
            <v>0</v>
          </cell>
          <cell r="AE195">
            <v>0</v>
          </cell>
          <cell r="AF195">
            <v>0</v>
          </cell>
          <cell r="AG195">
            <v>0</v>
          </cell>
          <cell r="AH195">
            <v>0</v>
          </cell>
          <cell r="AI195">
            <v>0</v>
          </cell>
          <cell r="AJ195">
            <v>0</v>
          </cell>
          <cell r="AK195">
            <v>12</v>
          </cell>
          <cell r="AL195">
            <v>12.36</v>
          </cell>
          <cell r="AM195">
            <v>12.7308</v>
          </cell>
          <cell r="AN195">
            <v>13.112724</v>
          </cell>
          <cell r="AO195">
            <v>13.506105720000001</v>
          </cell>
        </row>
        <row r="196">
          <cell r="A196" t="str">
            <v>G200</v>
          </cell>
          <cell r="B196">
            <v>18</v>
          </cell>
          <cell r="C196">
            <v>18</v>
          </cell>
          <cell r="D196">
            <v>18</v>
          </cell>
          <cell r="E196">
            <v>18</v>
          </cell>
          <cell r="F196">
            <v>18</v>
          </cell>
          <cell r="G196">
            <v>18</v>
          </cell>
          <cell r="H196">
            <v>18</v>
          </cell>
          <cell r="I196">
            <v>18</v>
          </cell>
          <cell r="J196">
            <v>18</v>
          </cell>
          <cell r="K196">
            <v>18</v>
          </cell>
          <cell r="L196">
            <v>18</v>
          </cell>
          <cell r="M196">
            <v>18</v>
          </cell>
          <cell r="N196">
            <v>18</v>
          </cell>
          <cell r="O196">
            <v>18</v>
          </cell>
          <cell r="P196">
            <v>18</v>
          </cell>
          <cell r="Q196">
            <v>18</v>
          </cell>
          <cell r="R196">
            <v>18</v>
          </cell>
          <cell r="S196">
            <v>18</v>
          </cell>
          <cell r="T196">
            <v>18</v>
          </cell>
          <cell r="U196">
            <v>18</v>
          </cell>
          <cell r="Z196">
            <v>0</v>
          </cell>
          <cell r="AA196">
            <v>0</v>
          </cell>
          <cell r="AB196">
            <v>0</v>
          </cell>
          <cell r="AC196">
            <v>0</v>
          </cell>
          <cell r="AD196">
            <v>0</v>
          </cell>
          <cell r="AE196">
            <v>0</v>
          </cell>
          <cell r="AF196">
            <v>18</v>
          </cell>
          <cell r="AG196">
            <v>18</v>
          </cell>
          <cell r="AH196">
            <v>18</v>
          </cell>
          <cell r="AI196">
            <v>18</v>
          </cell>
          <cell r="AJ196">
            <v>18</v>
          </cell>
          <cell r="AK196">
            <v>18</v>
          </cell>
          <cell r="AL196">
            <v>18</v>
          </cell>
          <cell r="AM196">
            <v>18</v>
          </cell>
          <cell r="AN196">
            <v>18</v>
          </cell>
          <cell r="AO196">
            <v>18</v>
          </cell>
        </row>
        <row r="197">
          <cell r="A197" t="str">
            <v>G300/350</v>
          </cell>
          <cell r="B197">
            <v>0</v>
          </cell>
          <cell r="C197">
            <v>0</v>
          </cell>
          <cell r="D197">
            <v>0</v>
          </cell>
          <cell r="E197">
            <v>0</v>
          </cell>
          <cell r="F197">
            <v>21</v>
          </cell>
          <cell r="G197">
            <v>21</v>
          </cell>
          <cell r="H197">
            <v>22</v>
          </cell>
          <cell r="I197">
            <v>22</v>
          </cell>
          <cell r="J197">
            <v>22</v>
          </cell>
          <cell r="K197">
            <v>22</v>
          </cell>
          <cell r="L197">
            <v>22</v>
          </cell>
          <cell r="M197">
            <v>22</v>
          </cell>
          <cell r="N197">
            <v>23</v>
          </cell>
          <cell r="O197">
            <v>23</v>
          </cell>
          <cell r="P197">
            <v>23</v>
          </cell>
          <cell r="Q197">
            <v>23</v>
          </cell>
          <cell r="R197">
            <v>23</v>
          </cell>
          <cell r="S197">
            <v>23</v>
          </cell>
          <cell r="T197">
            <v>23</v>
          </cell>
          <cell r="U197">
            <v>23</v>
          </cell>
          <cell r="Z197">
            <v>0</v>
          </cell>
          <cell r="AA197">
            <v>0</v>
          </cell>
          <cell r="AB197">
            <v>0</v>
          </cell>
          <cell r="AC197">
            <v>0</v>
          </cell>
          <cell r="AD197">
            <v>0</v>
          </cell>
          <cell r="AE197">
            <v>0</v>
          </cell>
          <cell r="AF197">
            <v>0</v>
          </cell>
          <cell r="AG197">
            <v>0</v>
          </cell>
          <cell r="AH197">
            <v>21</v>
          </cell>
          <cell r="AI197">
            <v>22</v>
          </cell>
          <cell r="AJ197">
            <v>22</v>
          </cell>
          <cell r="AK197">
            <v>22.66</v>
          </cell>
          <cell r="AL197">
            <v>23.3398</v>
          </cell>
          <cell r="AM197">
            <v>24.039994</v>
          </cell>
          <cell r="AN197">
            <v>24.761193819999999</v>
          </cell>
          <cell r="AO197">
            <v>25.504029634599998</v>
          </cell>
        </row>
        <row r="198">
          <cell r="A198" t="str">
            <v>G400 (GIV/IVSP)</v>
          </cell>
          <cell r="B198">
            <v>24.17</v>
          </cell>
          <cell r="C198">
            <v>24.17</v>
          </cell>
          <cell r="D198">
            <v>24.17</v>
          </cell>
          <cell r="E198">
            <v>24.17</v>
          </cell>
          <cell r="F198">
            <v>21</v>
          </cell>
          <cell r="G198">
            <v>21</v>
          </cell>
          <cell r="H198">
            <v>23</v>
          </cell>
          <cell r="I198">
            <v>24</v>
          </cell>
          <cell r="J198">
            <v>23</v>
          </cell>
          <cell r="K198">
            <v>23</v>
          </cell>
          <cell r="L198">
            <v>23</v>
          </cell>
          <cell r="M198">
            <v>23</v>
          </cell>
          <cell r="N198">
            <v>23</v>
          </cell>
          <cell r="O198">
            <v>23</v>
          </cell>
          <cell r="P198">
            <v>23</v>
          </cell>
          <cell r="Q198">
            <v>23</v>
          </cell>
          <cell r="R198">
            <v>23</v>
          </cell>
          <cell r="S198">
            <v>23</v>
          </cell>
          <cell r="T198">
            <v>23</v>
          </cell>
          <cell r="U198">
            <v>23</v>
          </cell>
          <cell r="Z198">
            <v>23.6</v>
          </cell>
          <cell r="AA198">
            <v>24</v>
          </cell>
          <cell r="AB198">
            <v>24.15</v>
          </cell>
          <cell r="AC198">
            <v>24.45</v>
          </cell>
          <cell r="AD198">
            <v>24.5</v>
          </cell>
          <cell r="AE198">
            <v>24.289473684210524</v>
          </cell>
          <cell r="AF198">
            <v>24</v>
          </cell>
          <cell r="AG198">
            <v>24</v>
          </cell>
          <cell r="AH198">
            <v>19.631788461538676</v>
          </cell>
          <cell r="AI198">
            <v>12.258067045454531</v>
          </cell>
          <cell r="AJ198">
            <v>0</v>
          </cell>
          <cell r="AK198">
            <v>0</v>
          </cell>
          <cell r="AL198">
            <v>0</v>
          </cell>
          <cell r="AM198">
            <v>0</v>
          </cell>
          <cell r="AN198">
            <v>0</v>
          </cell>
          <cell r="AO198">
            <v>0</v>
          </cell>
        </row>
        <row r="199">
          <cell r="A199" t="str">
            <v>G450</v>
          </cell>
          <cell r="B199">
            <v>0</v>
          </cell>
          <cell r="C199">
            <v>0</v>
          </cell>
          <cell r="D199">
            <v>0</v>
          </cell>
          <cell r="E199">
            <v>0</v>
          </cell>
          <cell r="F199">
            <v>0</v>
          </cell>
          <cell r="G199">
            <v>0</v>
          </cell>
          <cell r="H199">
            <v>0</v>
          </cell>
          <cell r="I199">
            <v>0</v>
          </cell>
          <cell r="J199">
            <v>0</v>
          </cell>
          <cell r="K199">
            <v>0</v>
          </cell>
          <cell r="L199">
            <v>0</v>
          </cell>
          <cell r="M199">
            <v>0</v>
          </cell>
          <cell r="N199">
            <v>0</v>
          </cell>
          <cell r="O199">
            <v>0</v>
          </cell>
          <cell r="P199">
            <v>0</v>
          </cell>
          <cell r="Q199">
            <v>0</v>
          </cell>
          <cell r="R199">
            <v>0</v>
          </cell>
          <cell r="S199">
            <v>0</v>
          </cell>
          <cell r="T199">
            <v>0</v>
          </cell>
          <cell r="U199">
            <v>0</v>
          </cell>
          <cell r="Z199">
            <v>0</v>
          </cell>
          <cell r="AA199">
            <v>0</v>
          </cell>
          <cell r="AB199">
            <v>0</v>
          </cell>
          <cell r="AC199">
            <v>0</v>
          </cell>
          <cell r="AD199">
            <v>0</v>
          </cell>
          <cell r="AE199">
            <v>0</v>
          </cell>
          <cell r="AF199">
            <v>0</v>
          </cell>
          <cell r="AG199">
            <v>0</v>
          </cell>
          <cell r="AH199">
            <v>0</v>
          </cell>
          <cell r="AI199">
            <v>20</v>
          </cell>
          <cell r="AJ199">
            <v>22.901547500000035</v>
          </cell>
          <cell r="AK199">
            <v>25</v>
          </cell>
          <cell r="AL199">
            <v>30</v>
          </cell>
          <cell r="AM199">
            <v>30</v>
          </cell>
          <cell r="AN199">
            <v>32</v>
          </cell>
          <cell r="AO199">
            <v>32</v>
          </cell>
        </row>
        <row r="200">
          <cell r="A200" t="str">
            <v>GV</v>
          </cell>
          <cell r="B200">
            <v>30</v>
          </cell>
          <cell r="C200">
            <v>30</v>
          </cell>
          <cell r="D200">
            <v>30</v>
          </cell>
          <cell r="E200">
            <v>30</v>
          </cell>
          <cell r="F200">
            <v>30</v>
          </cell>
          <cell r="G200">
            <v>31</v>
          </cell>
          <cell r="H200">
            <v>32</v>
          </cell>
          <cell r="I200">
            <v>32</v>
          </cell>
          <cell r="J200">
            <v>32</v>
          </cell>
          <cell r="K200">
            <v>32</v>
          </cell>
          <cell r="L200">
            <v>32</v>
          </cell>
          <cell r="M200">
            <v>32</v>
          </cell>
          <cell r="N200">
            <v>32</v>
          </cell>
          <cell r="O200">
            <v>32</v>
          </cell>
          <cell r="P200">
            <v>32</v>
          </cell>
          <cell r="Q200">
            <v>32</v>
          </cell>
          <cell r="R200">
            <v>32</v>
          </cell>
          <cell r="S200">
            <v>32</v>
          </cell>
          <cell r="T200">
            <v>32</v>
          </cell>
          <cell r="U200">
            <v>32</v>
          </cell>
          <cell r="Z200">
            <v>0</v>
          </cell>
          <cell r="AA200">
            <v>30</v>
          </cell>
          <cell r="AB200">
            <v>30</v>
          </cell>
          <cell r="AC200">
            <v>33</v>
          </cell>
          <cell r="AD200">
            <v>33</v>
          </cell>
          <cell r="AE200">
            <v>34</v>
          </cell>
          <cell r="AF200">
            <v>36.440914285714378</v>
          </cell>
          <cell r="AG200">
            <v>31.60096774193552</v>
          </cell>
          <cell r="AH200">
            <v>32</v>
          </cell>
          <cell r="AI200">
            <v>0</v>
          </cell>
          <cell r="AJ200">
            <v>0</v>
          </cell>
          <cell r="AK200">
            <v>0</v>
          </cell>
          <cell r="AL200">
            <v>0</v>
          </cell>
          <cell r="AM200">
            <v>0</v>
          </cell>
          <cell r="AN200">
            <v>0</v>
          </cell>
          <cell r="AO200">
            <v>0</v>
          </cell>
        </row>
        <row r="201">
          <cell r="A201" t="str">
            <v>G500</v>
          </cell>
          <cell r="B201">
            <v>0</v>
          </cell>
          <cell r="C201">
            <v>0</v>
          </cell>
          <cell r="D201">
            <v>0</v>
          </cell>
          <cell r="E201">
            <v>0</v>
          </cell>
          <cell r="F201">
            <v>0</v>
          </cell>
          <cell r="G201">
            <v>0</v>
          </cell>
          <cell r="H201">
            <v>0</v>
          </cell>
          <cell r="I201">
            <v>0</v>
          </cell>
          <cell r="J201">
            <v>0</v>
          </cell>
          <cell r="K201">
            <v>0</v>
          </cell>
          <cell r="L201">
            <v>0</v>
          </cell>
          <cell r="M201">
            <v>0</v>
          </cell>
          <cell r="N201">
            <v>0</v>
          </cell>
          <cell r="O201">
            <v>0</v>
          </cell>
          <cell r="P201">
            <v>0</v>
          </cell>
          <cell r="Q201">
            <v>0</v>
          </cell>
          <cell r="R201">
            <v>0</v>
          </cell>
          <cell r="S201">
            <v>0</v>
          </cell>
          <cell r="T201">
            <v>0</v>
          </cell>
          <cell r="U201">
            <v>0</v>
          </cell>
          <cell r="Z201">
            <v>0</v>
          </cell>
          <cell r="AA201">
            <v>0</v>
          </cell>
          <cell r="AB201">
            <v>0</v>
          </cell>
          <cell r="AC201">
            <v>0</v>
          </cell>
          <cell r="AD201">
            <v>0</v>
          </cell>
          <cell r="AE201">
            <v>0</v>
          </cell>
          <cell r="AF201">
            <v>0</v>
          </cell>
          <cell r="AG201">
            <v>0</v>
          </cell>
          <cell r="AH201">
            <v>0</v>
          </cell>
          <cell r="AI201">
            <v>0</v>
          </cell>
          <cell r="AJ201">
            <v>28</v>
          </cell>
          <cell r="AK201">
            <v>28</v>
          </cell>
          <cell r="AL201">
            <v>28.84</v>
          </cell>
          <cell r="AM201">
            <v>29</v>
          </cell>
          <cell r="AN201">
            <v>32</v>
          </cell>
          <cell r="AO201">
            <v>32</v>
          </cell>
        </row>
        <row r="202">
          <cell r="A202" t="str">
            <v>G550 (GVSP)</v>
          </cell>
          <cell r="B202">
            <v>32</v>
          </cell>
          <cell r="C202">
            <v>32</v>
          </cell>
          <cell r="D202">
            <v>32</v>
          </cell>
          <cell r="E202">
            <v>32</v>
          </cell>
          <cell r="F202">
            <v>32</v>
          </cell>
          <cell r="G202">
            <v>32</v>
          </cell>
          <cell r="H202">
            <v>34</v>
          </cell>
          <cell r="I202">
            <v>35</v>
          </cell>
          <cell r="J202">
            <v>34</v>
          </cell>
          <cell r="K202">
            <v>34</v>
          </cell>
          <cell r="L202">
            <v>34</v>
          </cell>
          <cell r="M202">
            <v>34</v>
          </cell>
          <cell r="N202">
            <v>34</v>
          </cell>
          <cell r="O202">
            <v>34</v>
          </cell>
          <cell r="P202">
            <v>34</v>
          </cell>
          <cell r="Q202">
            <v>34</v>
          </cell>
          <cell r="R202">
            <v>34</v>
          </cell>
          <cell r="S202">
            <v>34</v>
          </cell>
          <cell r="T202">
            <v>34</v>
          </cell>
          <cell r="U202">
            <v>34</v>
          </cell>
          <cell r="Z202">
            <v>0</v>
          </cell>
          <cell r="AA202">
            <v>0</v>
          </cell>
          <cell r="AB202">
            <v>0</v>
          </cell>
          <cell r="AC202">
            <v>0</v>
          </cell>
          <cell r="AD202">
            <v>0</v>
          </cell>
          <cell r="AE202">
            <v>0</v>
          </cell>
          <cell r="AF202">
            <v>0</v>
          </cell>
          <cell r="AG202">
            <v>32</v>
          </cell>
          <cell r="AH202">
            <v>32</v>
          </cell>
          <cell r="AI202">
            <v>36</v>
          </cell>
          <cell r="AJ202">
            <v>36.5</v>
          </cell>
          <cell r="AK202">
            <v>36.780971316840287</v>
          </cell>
          <cell r="AL202">
            <v>38</v>
          </cell>
          <cell r="AM202">
            <v>38</v>
          </cell>
          <cell r="AN202">
            <v>39</v>
          </cell>
          <cell r="AO202">
            <v>40</v>
          </cell>
        </row>
        <row r="203">
          <cell r="A203" t="str">
            <v>Large cabin completions</v>
          </cell>
          <cell r="B203">
            <v>5.09</v>
          </cell>
          <cell r="C203">
            <v>5.09</v>
          </cell>
          <cell r="D203">
            <v>5.09</v>
          </cell>
          <cell r="E203">
            <v>5.09</v>
          </cell>
          <cell r="F203">
            <v>6</v>
          </cell>
          <cell r="G203">
            <v>6</v>
          </cell>
          <cell r="H203">
            <v>7</v>
          </cell>
          <cell r="I203">
            <v>7</v>
          </cell>
          <cell r="J203">
            <v>7</v>
          </cell>
          <cell r="K203">
            <v>7</v>
          </cell>
          <cell r="L203">
            <v>7</v>
          </cell>
          <cell r="M203">
            <v>7</v>
          </cell>
          <cell r="N203">
            <v>7</v>
          </cell>
          <cell r="O203">
            <v>7</v>
          </cell>
          <cell r="P203">
            <v>7</v>
          </cell>
          <cell r="Q203">
            <v>7</v>
          </cell>
          <cell r="R203">
            <v>7</v>
          </cell>
          <cell r="S203">
            <v>7</v>
          </cell>
          <cell r="T203">
            <v>7</v>
          </cell>
          <cell r="U203">
            <v>7</v>
          </cell>
          <cell r="Z203">
            <v>2</v>
          </cell>
          <cell r="AA203">
            <v>2.78</v>
          </cell>
          <cell r="AB203">
            <v>3.5</v>
          </cell>
          <cell r="AC203">
            <v>4</v>
          </cell>
          <cell r="AD203">
            <v>4.05</v>
          </cell>
          <cell r="AE203">
            <v>4</v>
          </cell>
          <cell r="AF203">
            <v>5.008</v>
          </cell>
          <cell r="AG203">
            <v>5.09</v>
          </cell>
          <cell r="AH203">
            <v>5.3445</v>
          </cell>
          <cell r="AI203">
            <v>5.6117249999999999</v>
          </cell>
          <cell r="AJ203">
            <v>5.8923112499999997</v>
          </cell>
          <cell r="AK203">
            <v>6.1869268125000003</v>
          </cell>
          <cell r="AL203">
            <v>6.4962731531250002</v>
          </cell>
          <cell r="AM203">
            <v>6.8210868107812503</v>
          </cell>
          <cell r="AN203">
            <v>7.1621411513203128</v>
          </cell>
          <cell r="AO203">
            <v>7.5202482088863292</v>
          </cell>
          <cell r="AP203" t="str">
            <v>- 5% price y/y gr</v>
          </cell>
        </row>
        <row r="204">
          <cell r="A204" t="str">
            <v>Midsize cabin completions</v>
          </cell>
          <cell r="B204">
            <v>2.5</v>
          </cell>
          <cell r="C204">
            <v>2.5</v>
          </cell>
          <cell r="D204">
            <v>2.5</v>
          </cell>
          <cell r="E204">
            <v>2.5</v>
          </cell>
          <cell r="F204">
            <v>2.5</v>
          </cell>
          <cell r="G204">
            <v>2.5</v>
          </cell>
          <cell r="H204">
            <v>4</v>
          </cell>
          <cell r="I204">
            <v>4</v>
          </cell>
          <cell r="J204">
            <v>4</v>
          </cell>
          <cell r="K204">
            <v>4</v>
          </cell>
          <cell r="L204">
            <v>4</v>
          </cell>
          <cell r="M204">
            <v>4</v>
          </cell>
          <cell r="N204">
            <v>4</v>
          </cell>
          <cell r="O204">
            <v>4</v>
          </cell>
          <cell r="P204">
            <v>4</v>
          </cell>
          <cell r="Q204">
            <v>4</v>
          </cell>
          <cell r="R204">
            <v>4</v>
          </cell>
          <cell r="S204">
            <v>4</v>
          </cell>
          <cell r="T204">
            <v>4</v>
          </cell>
          <cell r="U204">
            <v>4</v>
          </cell>
          <cell r="Z204">
            <v>0</v>
          </cell>
          <cell r="AA204">
            <v>0</v>
          </cell>
          <cell r="AB204">
            <v>0</v>
          </cell>
          <cell r="AC204">
            <v>0</v>
          </cell>
          <cell r="AD204">
            <v>0</v>
          </cell>
          <cell r="AE204">
            <v>0</v>
          </cell>
          <cell r="AF204">
            <v>2.5</v>
          </cell>
          <cell r="AG204">
            <v>2.625</v>
          </cell>
          <cell r="AH204">
            <v>2.7562500000000001</v>
          </cell>
          <cell r="AI204">
            <v>2.8940625000000004</v>
          </cell>
          <cell r="AJ204">
            <v>3.0387656250000004</v>
          </cell>
          <cell r="AK204">
            <v>3.1907039062500004</v>
          </cell>
          <cell r="AL204">
            <v>3.3502391015625008</v>
          </cell>
          <cell r="AM204">
            <v>3.517751056640626</v>
          </cell>
          <cell r="AN204">
            <v>3.6936386094726577</v>
          </cell>
          <cell r="AO204">
            <v>3.8783205399462908</v>
          </cell>
          <cell r="AP204" t="str">
            <v>- 5% price y/y gr</v>
          </cell>
        </row>
        <row r="205">
          <cell r="A205" t="str">
            <v>Green Units Delivered</v>
          </cell>
        </row>
        <row r="206">
          <cell r="A206" t="str">
            <v>G100</v>
          </cell>
          <cell r="B206">
            <v>4</v>
          </cell>
          <cell r="C206">
            <v>2</v>
          </cell>
          <cell r="D206">
            <v>2</v>
          </cell>
          <cell r="E206">
            <v>1</v>
          </cell>
          <cell r="F206">
            <v>3</v>
          </cell>
          <cell r="G206">
            <v>1</v>
          </cell>
          <cell r="H206">
            <v>0</v>
          </cell>
          <cell r="I206">
            <v>1</v>
          </cell>
          <cell r="J206">
            <v>0</v>
          </cell>
          <cell r="K206">
            <v>1</v>
          </cell>
          <cell r="L206">
            <v>2</v>
          </cell>
          <cell r="M206">
            <v>1</v>
          </cell>
          <cell r="N206">
            <v>0</v>
          </cell>
          <cell r="O206">
            <v>1</v>
          </cell>
          <cell r="P206">
            <v>1</v>
          </cell>
          <cell r="Q206">
            <v>2</v>
          </cell>
          <cell r="R206">
            <v>1</v>
          </cell>
          <cell r="S206">
            <v>0</v>
          </cell>
          <cell r="T206">
            <v>0</v>
          </cell>
          <cell r="U206">
            <v>0</v>
          </cell>
          <cell r="V206">
            <v>0</v>
          </cell>
          <cell r="Z206">
            <v>0</v>
          </cell>
          <cell r="AA206">
            <v>0</v>
          </cell>
          <cell r="AB206">
            <v>0</v>
          </cell>
          <cell r="AC206">
            <v>0</v>
          </cell>
          <cell r="AD206">
            <v>0</v>
          </cell>
          <cell r="AE206">
            <v>0</v>
          </cell>
          <cell r="AF206">
            <v>5</v>
          </cell>
          <cell r="AG206">
            <v>9</v>
          </cell>
          <cell r="AH206">
            <v>5</v>
          </cell>
          <cell r="AI206">
            <v>4</v>
          </cell>
          <cell r="AJ206">
            <v>4</v>
          </cell>
          <cell r="AK206">
            <v>1</v>
          </cell>
          <cell r="AL206">
            <v>0</v>
          </cell>
          <cell r="AM206">
            <v>0</v>
          </cell>
          <cell r="AN206">
            <v>0</v>
          </cell>
          <cell r="AO206">
            <v>0</v>
          </cell>
        </row>
        <row r="207">
          <cell r="A207" t="str">
            <v>G150</v>
          </cell>
          <cell r="B207">
            <v>0</v>
          </cell>
          <cell r="C207">
            <v>0</v>
          </cell>
          <cell r="D207">
            <v>0</v>
          </cell>
          <cell r="E207">
            <v>0</v>
          </cell>
          <cell r="F207">
            <v>0</v>
          </cell>
          <cell r="G207">
            <v>0</v>
          </cell>
          <cell r="H207">
            <v>0</v>
          </cell>
          <cell r="I207">
            <v>0</v>
          </cell>
          <cell r="J207">
            <v>0</v>
          </cell>
          <cell r="K207">
            <v>0</v>
          </cell>
          <cell r="L207">
            <v>0</v>
          </cell>
          <cell r="M207">
            <v>0</v>
          </cell>
          <cell r="N207">
            <v>0</v>
          </cell>
          <cell r="O207">
            <v>0</v>
          </cell>
          <cell r="P207">
            <v>0</v>
          </cell>
          <cell r="Q207">
            <v>0</v>
          </cell>
          <cell r="R207">
            <v>0</v>
          </cell>
          <cell r="S207">
            <v>5</v>
          </cell>
          <cell r="T207">
            <v>4</v>
          </cell>
          <cell r="U207">
            <v>5</v>
          </cell>
          <cell r="V207">
            <v>0</v>
          </cell>
          <cell r="Z207">
            <v>0</v>
          </cell>
          <cell r="AA207">
            <v>0</v>
          </cell>
          <cell r="AB207">
            <v>0</v>
          </cell>
          <cell r="AC207">
            <v>0</v>
          </cell>
          <cell r="AD207">
            <v>0</v>
          </cell>
          <cell r="AE207">
            <v>0</v>
          </cell>
          <cell r="AF207">
            <v>0</v>
          </cell>
          <cell r="AG207">
            <v>0</v>
          </cell>
          <cell r="AH207">
            <v>0</v>
          </cell>
          <cell r="AI207">
            <v>0</v>
          </cell>
          <cell r="AJ207">
            <v>0</v>
          </cell>
          <cell r="AK207">
            <v>14</v>
          </cell>
          <cell r="AL207">
            <v>37</v>
          </cell>
          <cell r="AM207">
            <v>44</v>
          </cell>
          <cell r="AN207">
            <v>44</v>
          </cell>
          <cell r="AO207">
            <v>30</v>
          </cell>
        </row>
        <row r="208">
          <cell r="A208" t="str">
            <v>G200</v>
          </cell>
          <cell r="B208">
            <v>8</v>
          </cell>
          <cell r="C208">
            <v>4</v>
          </cell>
          <cell r="D208">
            <v>1</v>
          </cell>
          <cell r="E208">
            <v>2</v>
          </cell>
          <cell r="F208">
            <v>1</v>
          </cell>
          <cell r="G208">
            <v>6</v>
          </cell>
          <cell r="H208">
            <v>5</v>
          </cell>
          <cell r="I208">
            <v>7</v>
          </cell>
          <cell r="J208">
            <v>4</v>
          </cell>
          <cell r="K208">
            <v>5</v>
          </cell>
          <cell r="L208">
            <v>4</v>
          </cell>
          <cell r="M208">
            <v>5</v>
          </cell>
          <cell r="N208">
            <v>6</v>
          </cell>
          <cell r="O208">
            <v>5</v>
          </cell>
          <cell r="P208">
            <v>6</v>
          </cell>
          <cell r="Q208">
            <v>5</v>
          </cell>
          <cell r="R208">
            <v>6</v>
          </cell>
          <cell r="S208">
            <v>8</v>
          </cell>
          <cell r="T208">
            <v>7</v>
          </cell>
          <cell r="U208">
            <v>6</v>
          </cell>
          <cell r="V208">
            <v>0</v>
          </cell>
          <cell r="Z208">
            <v>0</v>
          </cell>
          <cell r="AA208">
            <v>0</v>
          </cell>
          <cell r="AB208">
            <v>0</v>
          </cell>
          <cell r="AC208">
            <v>0</v>
          </cell>
          <cell r="AD208">
            <v>0</v>
          </cell>
          <cell r="AE208">
            <v>0</v>
          </cell>
          <cell r="AF208">
            <v>8</v>
          </cell>
          <cell r="AG208">
            <v>15</v>
          </cell>
          <cell r="AH208">
            <v>19</v>
          </cell>
          <cell r="AI208">
            <v>18</v>
          </cell>
          <cell r="AJ208">
            <v>19</v>
          </cell>
          <cell r="AK208">
            <v>23</v>
          </cell>
          <cell r="AL208">
            <v>24</v>
          </cell>
          <cell r="AM208">
            <v>24</v>
          </cell>
          <cell r="AN208">
            <v>30</v>
          </cell>
          <cell r="AO208">
            <v>30</v>
          </cell>
        </row>
        <row r="209">
          <cell r="A209" t="str">
            <v>-subtotal Midsize Green</v>
          </cell>
          <cell r="B209">
            <v>12</v>
          </cell>
          <cell r="C209">
            <v>6</v>
          </cell>
          <cell r="D209">
            <v>3</v>
          </cell>
          <cell r="E209">
            <v>3</v>
          </cell>
          <cell r="F209">
            <v>4</v>
          </cell>
          <cell r="G209">
            <v>7</v>
          </cell>
          <cell r="H209">
            <v>5</v>
          </cell>
          <cell r="I209">
            <v>8</v>
          </cell>
          <cell r="J209">
            <v>4</v>
          </cell>
          <cell r="K209">
            <v>6</v>
          </cell>
          <cell r="L209">
            <v>6</v>
          </cell>
          <cell r="M209">
            <v>6</v>
          </cell>
          <cell r="N209">
            <v>6</v>
          </cell>
          <cell r="O209">
            <v>6</v>
          </cell>
          <cell r="P209">
            <v>7</v>
          </cell>
          <cell r="Q209">
            <v>7</v>
          </cell>
          <cell r="R209">
            <v>7</v>
          </cell>
          <cell r="S209">
            <v>13</v>
          </cell>
          <cell r="T209">
            <v>11</v>
          </cell>
          <cell r="U209">
            <v>11</v>
          </cell>
          <cell r="V209">
            <v>11</v>
          </cell>
          <cell r="Z209">
            <v>0</v>
          </cell>
          <cell r="AA209">
            <v>0</v>
          </cell>
          <cell r="AB209">
            <v>0</v>
          </cell>
          <cell r="AC209">
            <v>0</v>
          </cell>
          <cell r="AD209">
            <v>0</v>
          </cell>
          <cell r="AE209">
            <v>0</v>
          </cell>
          <cell r="AF209">
            <v>13</v>
          </cell>
          <cell r="AG209">
            <v>24</v>
          </cell>
          <cell r="AH209">
            <v>24</v>
          </cell>
          <cell r="AI209">
            <v>22</v>
          </cell>
          <cell r="AJ209">
            <v>26</v>
          </cell>
          <cell r="AK209">
            <v>42</v>
          </cell>
          <cell r="AL209">
            <v>61</v>
          </cell>
          <cell r="AM209">
            <v>68</v>
          </cell>
          <cell r="AN209">
            <v>74</v>
          </cell>
          <cell r="AO209">
            <v>60</v>
          </cell>
        </row>
        <row r="211">
          <cell r="A211" t="str">
            <v>G300/350</v>
          </cell>
          <cell r="B211">
            <v>0</v>
          </cell>
          <cell r="C211">
            <v>0</v>
          </cell>
          <cell r="D211">
            <v>0</v>
          </cell>
          <cell r="E211">
            <v>0</v>
          </cell>
          <cell r="F211">
            <v>2</v>
          </cell>
          <cell r="G211">
            <v>4</v>
          </cell>
          <cell r="H211">
            <v>1</v>
          </cell>
          <cell r="I211">
            <v>1</v>
          </cell>
          <cell r="J211">
            <v>1</v>
          </cell>
          <cell r="K211">
            <v>2</v>
          </cell>
          <cell r="L211">
            <v>2</v>
          </cell>
          <cell r="M211">
            <v>0</v>
          </cell>
          <cell r="N211">
            <v>4</v>
          </cell>
          <cell r="O211">
            <v>1</v>
          </cell>
          <cell r="P211">
            <v>2</v>
          </cell>
          <cell r="Q211">
            <v>0</v>
          </cell>
          <cell r="R211">
            <v>2</v>
          </cell>
          <cell r="S211">
            <v>0</v>
          </cell>
          <cell r="T211">
            <v>0</v>
          </cell>
          <cell r="U211">
            <v>0</v>
          </cell>
          <cell r="V211">
            <v>0</v>
          </cell>
          <cell r="Z211">
            <v>0</v>
          </cell>
          <cell r="AA211">
            <v>0</v>
          </cell>
          <cell r="AB211">
            <v>0</v>
          </cell>
          <cell r="AC211">
            <v>0</v>
          </cell>
          <cell r="AD211">
            <v>0</v>
          </cell>
          <cell r="AE211">
            <v>0</v>
          </cell>
          <cell r="AF211">
            <v>0</v>
          </cell>
          <cell r="AG211">
            <v>0</v>
          </cell>
          <cell r="AH211">
            <v>8</v>
          </cell>
          <cell r="AI211">
            <v>5</v>
          </cell>
          <cell r="AJ211">
            <v>7</v>
          </cell>
          <cell r="AK211">
            <v>2</v>
          </cell>
          <cell r="AL211">
            <v>8</v>
          </cell>
          <cell r="AM211">
            <v>9</v>
          </cell>
          <cell r="AN211">
            <v>9</v>
          </cell>
          <cell r="AO211">
            <v>9</v>
          </cell>
        </row>
        <row r="212">
          <cell r="A212" t="str">
            <v>G400 (GIV/IVSP)</v>
          </cell>
          <cell r="B212">
            <v>8</v>
          </cell>
          <cell r="C212">
            <v>9</v>
          </cell>
          <cell r="D212">
            <v>6</v>
          </cell>
          <cell r="E212">
            <v>6</v>
          </cell>
          <cell r="F212">
            <v>2</v>
          </cell>
          <cell r="G212">
            <v>3</v>
          </cell>
          <cell r="H212">
            <v>4</v>
          </cell>
          <cell r="I212">
            <v>4</v>
          </cell>
          <cell r="J212">
            <v>4</v>
          </cell>
          <cell r="K212">
            <v>4</v>
          </cell>
          <cell r="L212">
            <v>3</v>
          </cell>
          <cell r="M212">
            <v>0</v>
          </cell>
          <cell r="N212">
            <v>0</v>
          </cell>
          <cell r="O212">
            <v>0</v>
          </cell>
          <cell r="P212">
            <v>0</v>
          </cell>
          <cell r="Q212">
            <v>0</v>
          </cell>
          <cell r="R212">
            <v>0</v>
          </cell>
          <cell r="S212">
            <v>0</v>
          </cell>
          <cell r="T212">
            <v>0</v>
          </cell>
          <cell r="U212">
            <v>0</v>
          </cell>
          <cell r="V212">
            <v>0</v>
          </cell>
          <cell r="Z212">
            <v>26</v>
          </cell>
          <cell r="AA212">
            <v>24</v>
          </cell>
          <cell r="AB212">
            <v>22</v>
          </cell>
          <cell r="AC212">
            <v>32</v>
          </cell>
          <cell r="AD212">
            <v>39</v>
          </cell>
          <cell r="AE212">
            <v>38</v>
          </cell>
          <cell r="AF212">
            <v>36</v>
          </cell>
          <cell r="AG212">
            <v>29</v>
          </cell>
          <cell r="AH212">
            <v>13</v>
          </cell>
          <cell r="AI212">
            <v>11</v>
          </cell>
          <cell r="AJ212">
            <v>0</v>
          </cell>
          <cell r="AK212">
            <v>0</v>
          </cell>
          <cell r="AL212">
            <v>0</v>
          </cell>
          <cell r="AM212">
            <v>0</v>
          </cell>
          <cell r="AN212">
            <v>0</v>
          </cell>
          <cell r="AO212">
            <v>0</v>
          </cell>
        </row>
        <row r="213">
          <cell r="A213" t="str">
            <v>G450</v>
          </cell>
          <cell r="B213">
            <v>0</v>
          </cell>
          <cell r="C213">
            <v>0</v>
          </cell>
          <cell r="D213">
            <v>0</v>
          </cell>
          <cell r="E213">
            <v>0</v>
          </cell>
          <cell r="F213">
            <v>0</v>
          </cell>
          <cell r="G213">
            <v>0</v>
          </cell>
          <cell r="H213">
            <v>0</v>
          </cell>
          <cell r="I213">
            <v>0</v>
          </cell>
          <cell r="J213">
            <v>0</v>
          </cell>
          <cell r="K213">
            <v>0</v>
          </cell>
          <cell r="L213">
            <v>1</v>
          </cell>
          <cell r="M213">
            <v>7</v>
          </cell>
          <cell r="N213">
            <v>2</v>
          </cell>
          <cell r="O213">
            <v>5</v>
          </cell>
          <cell r="P213">
            <v>5</v>
          </cell>
          <cell r="Q213">
            <v>8</v>
          </cell>
          <cell r="R213">
            <v>6</v>
          </cell>
          <cell r="S213">
            <v>7</v>
          </cell>
          <cell r="T213">
            <v>8</v>
          </cell>
          <cell r="U213">
            <v>9</v>
          </cell>
          <cell r="V213">
            <v>0</v>
          </cell>
          <cell r="Z213">
            <v>0</v>
          </cell>
          <cell r="AA213">
            <v>0</v>
          </cell>
          <cell r="AB213">
            <v>0</v>
          </cell>
          <cell r="AC213">
            <v>0</v>
          </cell>
          <cell r="AD213">
            <v>0</v>
          </cell>
          <cell r="AE213">
            <v>0</v>
          </cell>
          <cell r="AF213">
            <v>0</v>
          </cell>
          <cell r="AG213">
            <v>0</v>
          </cell>
          <cell r="AH213">
            <v>0</v>
          </cell>
          <cell r="AI213">
            <v>8</v>
          </cell>
          <cell r="AJ213">
            <v>20</v>
          </cell>
          <cell r="AK213">
            <v>30</v>
          </cell>
          <cell r="AL213">
            <v>32</v>
          </cell>
          <cell r="AM213">
            <v>36</v>
          </cell>
          <cell r="AN213">
            <v>35</v>
          </cell>
          <cell r="AO213">
            <v>35</v>
          </cell>
        </row>
        <row r="214">
          <cell r="A214" t="str">
            <v>GV</v>
          </cell>
          <cell r="B214">
            <v>7</v>
          </cell>
          <cell r="C214">
            <v>9</v>
          </cell>
          <cell r="D214">
            <v>8</v>
          </cell>
          <cell r="E214">
            <v>7</v>
          </cell>
          <cell r="F214">
            <v>0</v>
          </cell>
          <cell r="G214">
            <v>0</v>
          </cell>
          <cell r="H214">
            <v>1</v>
          </cell>
          <cell r="I214">
            <v>0</v>
          </cell>
          <cell r="J214">
            <v>0</v>
          </cell>
          <cell r="K214">
            <v>0</v>
          </cell>
          <cell r="L214">
            <v>0</v>
          </cell>
          <cell r="M214">
            <v>0</v>
          </cell>
          <cell r="N214">
            <v>0</v>
          </cell>
          <cell r="O214">
            <v>0</v>
          </cell>
          <cell r="P214">
            <v>0</v>
          </cell>
          <cell r="Q214">
            <v>0</v>
          </cell>
          <cell r="R214">
            <v>0</v>
          </cell>
          <cell r="S214">
            <v>0</v>
          </cell>
          <cell r="T214">
            <v>0</v>
          </cell>
          <cell r="U214">
            <v>0</v>
          </cell>
          <cell r="V214">
            <v>0</v>
          </cell>
          <cell r="Z214">
            <v>0</v>
          </cell>
          <cell r="AA214">
            <v>3</v>
          </cell>
          <cell r="AB214">
            <v>29</v>
          </cell>
          <cell r="AC214">
            <v>29</v>
          </cell>
          <cell r="AD214">
            <v>31</v>
          </cell>
          <cell r="AE214">
            <v>33</v>
          </cell>
          <cell r="AF214">
            <v>35</v>
          </cell>
          <cell r="AG214">
            <v>31</v>
          </cell>
          <cell r="AH214">
            <v>1</v>
          </cell>
          <cell r="AI214">
            <v>0</v>
          </cell>
          <cell r="AJ214">
            <v>0</v>
          </cell>
          <cell r="AK214">
            <v>0</v>
          </cell>
          <cell r="AL214">
            <v>0</v>
          </cell>
          <cell r="AM214">
            <v>0</v>
          </cell>
          <cell r="AN214">
            <v>0</v>
          </cell>
          <cell r="AO214">
            <v>0</v>
          </cell>
        </row>
        <row r="215">
          <cell r="A215" t="str">
            <v>G500</v>
          </cell>
          <cell r="B215">
            <v>0</v>
          </cell>
          <cell r="C215">
            <v>0</v>
          </cell>
          <cell r="D215">
            <v>0</v>
          </cell>
          <cell r="E215">
            <v>0</v>
          </cell>
          <cell r="F215">
            <v>0</v>
          </cell>
          <cell r="G215">
            <v>0</v>
          </cell>
          <cell r="H215">
            <v>0</v>
          </cell>
          <cell r="I215">
            <v>0</v>
          </cell>
          <cell r="J215">
            <v>0</v>
          </cell>
          <cell r="K215">
            <v>0</v>
          </cell>
          <cell r="L215">
            <v>0</v>
          </cell>
          <cell r="M215">
            <v>0</v>
          </cell>
          <cell r="N215">
            <v>1</v>
          </cell>
          <cell r="O215">
            <v>0</v>
          </cell>
          <cell r="P215">
            <v>0</v>
          </cell>
          <cell r="Q215">
            <v>0</v>
          </cell>
          <cell r="R215">
            <v>2</v>
          </cell>
          <cell r="S215">
            <v>0</v>
          </cell>
          <cell r="T215">
            <v>0</v>
          </cell>
          <cell r="U215">
            <v>1</v>
          </cell>
          <cell r="V215">
            <v>0</v>
          </cell>
          <cell r="Z215">
            <v>0</v>
          </cell>
          <cell r="AA215">
            <v>0</v>
          </cell>
          <cell r="AB215">
            <v>0</v>
          </cell>
          <cell r="AC215">
            <v>0</v>
          </cell>
          <cell r="AD215">
            <v>0</v>
          </cell>
          <cell r="AE215">
            <v>0</v>
          </cell>
          <cell r="AF215">
            <v>0</v>
          </cell>
          <cell r="AG215">
            <v>0</v>
          </cell>
          <cell r="AH215">
            <v>0</v>
          </cell>
          <cell r="AI215">
            <v>0</v>
          </cell>
          <cell r="AJ215">
            <v>1</v>
          </cell>
          <cell r="AK215">
            <v>3</v>
          </cell>
          <cell r="AL215">
            <v>6</v>
          </cell>
          <cell r="AM215">
            <v>7</v>
          </cell>
          <cell r="AN215">
            <v>6</v>
          </cell>
          <cell r="AO215">
            <v>6</v>
          </cell>
        </row>
        <row r="216">
          <cell r="A216" t="str">
            <v>G550 (GVSP)</v>
          </cell>
          <cell r="B216">
            <v>0</v>
          </cell>
          <cell r="C216">
            <v>0</v>
          </cell>
          <cell r="D216">
            <v>0</v>
          </cell>
          <cell r="E216">
            <v>1</v>
          </cell>
          <cell r="F216">
            <v>7</v>
          </cell>
          <cell r="G216">
            <v>5</v>
          </cell>
          <cell r="H216">
            <v>8</v>
          </cell>
          <cell r="I216">
            <v>8</v>
          </cell>
          <cell r="J216">
            <v>8</v>
          </cell>
          <cell r="K216">
            <v>8</v>
          </cell>
          <cell r="L216">
            <v>8</v>
          </cell>
          <cell r="M216">
            <v>8</v>
          </cell>
          <cell r="N216">
            <v>7</v>
          </cell>
          <cell r="O216">
            <v>9</v>
          </cell>
          <cell r="P216">
            <v>10</v>
          </cell>
          <cell r="Q216">
            <v>9</v>
          </cell>
          <cell r="R216">
            <v>8</v>
          </cell>
          <cell r="S216">
            <v>9</v>
          </cell>
          <cell r="T216">
            <v>10</v>
          </cell>
          <cell r="U216">
            <v>9</v>
          </cell>
          <cell r="V216">
            <v>0</v>
          </cell>
          <cell r="Z216">
            <v>0</v>
          </cell>
          <cell r="AA216">
            <v>0</v>
          </cell>
          <cell r="AB216">
            <v>0</v>
          </cell>
          <cell r="AC216">
            <v>0</v>
          </cell>
          <cell r="AD216">
            <v>0</v>
          </cell>
          <cell r="AE216">
            <v>0</v>
          </cell>
          <cell r="AF216">
            <v>0</v>
          </cell>
          <cell r="AG216">
            <v>1</v>
          </cell>
          <cell r="AH216">
            <v>28</v>
          </cell>
          <cell r="AI216">
            <v>32</v>
          </cell>
          <cell r="AJ216">
            <v>35</v>
          </cell>
          <cell r="AK216">
            <v>36</v>
          </cell>
          <cell r="AL216">
            <v>37</v>
          </cell>
          <cell r="AM216">
            <v>38</v>
          </cell>
          <cell r="AN216">
            <v>40</v>
          </cell>
          <cell r="AO216">
            <v>42</v>
          </cell>
        </row>
        <row r="217">
          <cell r="A217" t="str">
            <v>-subtotal Large Green</v>
          </cell>
          <cell r="B217">
            <v>15</v>
          </cell>
          <cell r="C217">
            <v>18</v>
          </cell>
          <cell r="D217">
            <v>14</v>
          </cell>
          <cell r="E217">
            <v>14</v>
          </cell>
          <cell r="F217">
            <v>11</v>
          </cell>
          <cell r="G217">
            <v>12</v>
          </cell>
          <cell r="H217">
            <v>14</v>
          </cell>
          <cell r="I217">
            <v>13</v>
          </cell>
          <cell r="J217">
            <v>13</v>
          </cell>
          <cell r="K217">
            <v>14</v>
          </cell>
          <cell r="L217">
            <v>14</v>
          </cell>
          <cell r="M217">
            <v>15</v>
          </cell>
          <cell r="N217">
            <v>14</v>
          </cell>
          <cell r="O217">
            <v>15</v>
          </cell>
          <cell r="P217">
            <v>17</v>
          </cell>
          <cell r="Q217">
            <v>17</v>
          </cell>
          <cell r="R217">
            <v>18</v>
          </cell>
          <cell r="S217">
            <v>16</v>
          </cell>
          <cell r="T217">
            <v>18</v>
          </cell>
          <cell r="U217">
            <v>19</v>
          </cell>
          <cell r="V217">
            <v>19</v>
          </cell>
          <cell r="Z217">
            <v>26</v>
          </cell>
          <cell r="AA217">
            <v>27</v>
          </cell>
          <cell r="AB217">
            <v>51</v>
          </cell>
          <cell r="AC217">
            <v>61</v>
          </cell>
          <cell r="AD217">
            <v>70</v>
          </cell>
          <cell r="AE217">
            <v>71</v>
          </cell>
          <cell r="AF217">
            <v>71</v>
          </cell>
          <cell r="AG217">
            <v>61</v>
          </cell>
          <cell r="AH217">
            <v>50</v>
          </cell>
          <cell r="AI217">
            <v>56</v>
          </cell>
          <cell r="AJ217">
            <v>63</v>
          </cell>
          <cell r="AK217">
            <v>71</v>
          </cell>
          <cell r="AL217">
            <v>83</v>
          </cell>
          <cell r="AM217">
            <v>90</v>
          </cell>
          <cell r="AN217">
            <v>90</v>
          </cell>
          <cell r="AO217">
            <v>92</v>
          </cell>
        </row>
        <row r="219">
          <cell r="A219" t="str">
            <v>TOTAL</v>
          </cell>
          <cell r="B219">
            <v>27</v>
          </cell>
          <cell r="C219">
            <v>24</v>
          </cell>
          <cell r="D219">
            <v>17</v>
          </cell>
          <cell r="E219">
            <v>17</v>
          </cell>
          <cell r="F219">
            <v>15</v>
          </cell>
          <cell r="G219">
            <v>19</v>
          </cell>
          <cell r="H219">
            <v>19</v>
          </cell>
          <cell r="I219">
            <v>21</v>
          </cell>
          <cell r="J219">
            <v>17</v>
          </cell>
          <cell r="K219">
            <v>20</v>
          </cell>
          <cell r="L219">
            <v>20</v>
          </cell>
          <cell r="M219">
            <v>21</v>
          </cell>
          <cell r="N219">
            <v>20</v>
          </cell>
          <cell r="O219">
            <v>21</v>
          </cell>
          <cell r="P219">
            <v>24</v>
          </cell>
          <cell r="Q219">
            <v>24</v>
          </cell>
          <cell r="R219">
            <v>25</v>
          </cell>
          <cell r="S219">
            <v>29</v>
          </cell>
          <cell r="T219">
            <v>29</v>
          </cell>
          <cell r="U219">
            <v>30</v>
          </cell>
          <cell r="V219">
            <v>30</v>
          </cell>
          <cell r="Z219">
            <v>26</v>
          </cell>
          <cell r="AA219">
            <v>27</v>
          </cell>
          <cell r="AB219">
            <v>51</v>
          </cell>
          <cell r="AC219">
            <v>61</v>
          </cell>
          <cell r="AD219">
            <v>70</v>
          </cell>
          <cell r="AE219">
            <v>71</v>
          </cell>
          <cell r="AF219">
            <v>84</v>
          </cell>
          <cell r="AG219">
            <v>85</v>
          </cell>
          <cell r="AH219">
            <v>74</v>
          </cell>
          <cell r="AI219">
            <v>78</v>
          </cell>
          <cell r="AJ219">
            <v>89</v>
          </cell>
          <cell r="AK219">
            <v>113</v>
          </cell>
          <cell r="AL219">
            <v>144</v>
          </cell>
          <cell r="AM219">
            <v>158</v>
          </cell>
          <cell r="AN219">
            <v>164</v>
          </cell>
          <cell r="AO219">
            <v>152</v>
          </cell>
        </row>
        <row r="220">
          <cell r="A220" t="str">
            <v>Completions</v>
          </cell>
        </row>
        <row r="221">
          <cell r="A221" t="str">
            <v>Large cabin completions</v>
          </cell>
          <cell r="B221">
            <v>15</v>
          </cell>
          <cell r="C221">
            <v>21</v>
          </cell>
          <cell r="D221">
            <v>17</v>
          </cell>
          <cell r="E221">
            <v>15</v>
          </cell>
          <cell r="F221">
            <v>14</v>
          </cell>
          <cell r="G221">
            <v>11</v>
          </cell>
          <cell r="H221">
            <v>12</v>
          </cell>
          <cell r="I221">
            <v>12</v>
          </cell>
          <cell r="J221">
            <v>7</v>
          </cell>
          <cell r="K221">
            <v>15</v>
          </cell>
          <cell r="L221">
            <v>14</v>
          </cell>
          <cell r="M221">
            <v>16</v>
          </cell>
          <cell r="N221">
            <v>12</v>
          </cell>
          <cell r="O221">
            <v>14</v>
          </cell>
          <cell r="P221">
            <v>17</v>
          </cell>
          <cell r="Q221">
            <v>17</v>
          </cell>
          <cell r="R221">
            <v>16</v>
          </cell>
          <cell r="S221">
            <v>20</v>
          </cell>
          <cell r="T221">
            <v>18</v>
          </cell>
          <cell r="U221">
            <v>17</v>
          </cell>
          <cell r="V221">
            <v>20</v>
          </cell>
          <cell r="Z221">
            <v>29</v>
          </cell>
          <cell r="AA221">
            <v>27</v>
          </cell>
          <cell r="AB221">
            <v>26</v>
          </cell>
          <cell r="AC221">
            <v>46</v>
          </cell>
          <cell r="AD221">
            <v>68</v>
          </cell>
          <cell r="AE221">
            <v>77</v>
          </cell>
          <cell r="AF221">
            <v>71</v>
          </cell>
          <cell r="AG221">
            <v>68</v>
          </cell>
          <cell r="AH221">
            <v>49</v>
          </cell>
          <cell r="AI221">
            <v>52</v>
          </cell>
          <cell r="AJ221">
            <v>60</v>
          </cell>
          <cell r="AK221">
            <v>71</v>
          </cell>
          <cell r="AL221">
            <v>68</v>
          </cell>
          <cell r="AM221">
            <v>72</v>
          </cell>
          <cell r="AN221">
            <v>72</v>
          </cell>
          <cell r="AO221">
            <v>72</v>
          </cell>
        </row>
        <row r="222">
          <cell r="A222" t="str">
            <v>Midsize cabin completions</v>
          </cell>
          <cell r="B222">
            <v>10</v>
          </cell>
          <cell r="C222">
            <v>8</v>
          </cell>
          <cell r="D222">
            <v>2</v>
          </cell>
          <cell r="E222">
            <v>6</v>
          </cell>
          <cell r="F222">
            <v>3</v>
          </cell>
          <cell r="G222">
            <v>2</v>
          </cell>
          <cell r="H222">
            <v>8</v>
          </cell>
          <cell r="I222">
            <v>12</v>
          </cell>
          <cell r="J222">
            <v>5</v>
          </cell>
          <cell r="K222">
            <v>3</v>
          </cell>
          <cell r="L222">
            <v>7</v>
          </cell>
          <cell r="M222">
            <v>10</v>
          </cell>
          <cell r="N222">
            <v>3</v>
          </cell>
          <cell r="O222">
            <v>8</v>
          </cell>
          <cell r="P222">
            <v>5</v>
          </cell>
          <cell r="Q222">
            <v>8</v>
          </cell>
          <cell r="R222">
            <v>7</v>
          </cell>
          <cell r="S222">
            <v>6</v>
          </cell>
          <cell r="T222">
            <v>8</v>
          </cell>
          <cell r="U222">
            <v>12</v>
          </cell>
          <cell r="V222">
            <v>10</v>
          </cell>
          <cell r="Z222">
            <v>0</v>
          </cell>
          <cell r="AA222">
            <v>0</v>
          </cell>
          <cell r="AB222">
            <v>0</v>
          </cell>
          <cell r="AC222">
            <v>0</v>
          </cell>
          <cell r="AD222">
            <v>0</v>
          </cell>
          <cell r="AE222">
            <v>0</v>
          </cell>
          <cell r="AF222">
            <v>0</v>
          </cell>
          <cell r="AG222">
            <v>26</v>
          </cell>
          <cell r="AH222">
            <v>25</v>
          </cell>
          <cell r="AI222">
            <v>25</v>
          </cell>
          <cell r="AJ222">
            <v>24</v>
          </cell>
          <cell r="AK222">
            <v>33</v>
          </cell>
          <cell r="AL222">
            <v>36</v>
          </cell>
          <cell r="AM222">
            <v>38</v>
          </cell>
          <cell r="AN222">
            <v>38</v>
          </cell>
          <cell r="AO222">
            <v>38</v>
          </cell>
        </row>
        <row r="223">
          <cell r="A223" t="str">
            <v>TOTAL COMPLETIONS</v>
          </cell>
          <cell r="B223">
            <v>25</v>
          </cell>
          <cell r="C223">
            <v>29</v>
          </cell>
          <cell r="D223">
            <v>19</v>
          </cell>
          <cell r="E223">
            <v>21</v>
          </cell>
          <cell r="F223">
            <v>17</v>
          </cell>
          <cell r="G223">
            <v>13</v>
          </cell>
          <cell r="H223">
            <v>20</v>
          </cell>
          <cell r="I223">
            <v>24</v>
          </cell>
          <cell r="J223">
            <v>12</v>
          </cell>
          <cell r="K223">
            <v>18</v>
          </cell>
          <cell r="L223">
            <v>21</v>
          </cell>
          <cell r="M223">
            <v>26</v>
          </cell>
          <cell r="N223">
            <v>15</v>
          </cell>
          <cell r="O223">
            <v>22</v>
          </cell>
          <cell r="P223">
            <v>22</v>
          </cell>
          <cell r="Q223">
            <v>25</v>
          </cell>
          <cell r="R223">
            <v>23</v>
          </cell>
          <cell r="S223">
            <v>26</v>
          </cell>
          <cell r="T223">
            <v>26</v>
          </cell>
          <cell r="U223">
            <v>29</v>
          </cell>
          <cell r="V223">
            <v>30</v>
          </cell>
          <cell r="Z223">
            <v>29</v>
          </cell>
          <cell r="AA223">
            <v>27</v>
          </cell>
          <cell r="AB223">
            <v>26</v>
          </cell>
          <cell r="AC223">
            <v>46</v>
          </cell>
          <cell r="AD223">
            <v>68</v>
          </cell>
          <cell r="AE223">
            <v>77</v>
          </cell>
          <cell r="AF223">
            <v>71</v>
          </cell>
          <cell r="AG223">
            <v>94</v>
          </cell>
          <cell r="AH223">
            <v>74</v>
          </cell>
          <cell r="AI223">
            <v>77</v>
          </cell>
          <cell r="AJ223">
            <v>84</v>
          </cell>
          <cell r="AK223">
            <v>104</v>
          </cell>
          <cell r="AL223">
            <v>104</v>
          </cell>
          <cell r="AM223">
            <v>110</v>
          </cell>
          <cell r="AN223">
            <v>110</v>
          </cell>
          <cell r="AO223">
            <v>110</v>
          </cell>
        </row>
        <row r="224">
          <cell r="A224" t="str">
            <v>Completions/Dels</v>
          </cell>
          <cell r="B224">
            <v>0.92592592592592593</v>
          </cell>
          <cell r="C224">
            <v>1.2083333333333333</v>
          </cell>
          <cell r="D224">
            <v>1.1176470588235294</v>
          </cell>
          <cell r="E224">
            <v>1.2352941176470589</v>
          </cell>
          <cell r="F224">
            <v>1.1333333333333333</v>
          </cell>
          <cell r="G224">
            <v>0.68421052631578949</v>
          </cell>
          <cell r="H224">
            <v>1.0526315789473684</v>
          </cell>
          <cell r="I224">
            <v>1.1428571428571428</v>
          </cell>
          <cell r="J224">
            <v>0.70588235294117652</v>
          </cell>
          <cell r="K224">
            <v>0.9</v>
          </cell>
          <cell r="L224">
            <v>1.05</v>
          </cell>
          <cell r="M224">
            <v>1.2380952380952381</v>
          </cell>
          <cell r="N224">
            <v>0.75</v>
          </cell>
          <cell r="O224">
            <v>1.0476190476190477</v>
          </cell>
          <cell r="P224">
            <v>0.91666666666666663</v>
          </cell>
          <cell r="Q224">
            <v>1.0416666666666667</v>
          </cell>
          <cell r="R224">
            <v>0.92</v>
          </cell>
          <cell r="S224">
            <v>0.89655172413793105</v>
          </cell>
          <cell r="T224">
            <v>0.89655172413793105</v>
          </cell>
          <cell r="U224">
            <v>0.96666666666666667</v>
          </cell>
          <cell r="V224">
            <v>1</v>
          </cell>
          <cell r="Z224">
            <v>1.1153846153846154</v>
          </cell>
          <cell r="AA224">
            <v>1</v>
          </cell>
          <cell r="AB224">
            <v>0.50980392156862742</v>
          </cell>
          <cell r="AC224">
            <v>0.75409836065573765</v>
          </cell>
          <cell r="AD224">
            <v>0.97142857142857142</v>
          </cell>
          <cell r="AE224">
            <v>1.0845070422535212</v>
          </cell>
          <cell r="AF224">
            <v>0.84523809523809523</v>
          </cell>
          <cell r="AG224">
            <v>1.1058823529411765</v>
          </cell>
          <cell r="AH224">
            <v>1</v>
          </cell>
          <cell r="AI224">
            <v>0.98717948717948723</v>
          </cell>
          <cell r="AJ224">
            <v>0.9438202247191011</v>
          </cell>
          <cell r="AK224">
            <v>0.92035398230088494</v>
          </cell>
          <cell r="AL224">
            <v>0.72222222222222221</v>
          </cell>
          <cell r="AM224">
            <v>0.69620253164556967</v>
          </cell>
          <cell r="AN224">
            <v>0.67073170731707321</v>
          </cell>
          <cell r="AO224">
            <v>0.72368421052631582</v>
          </cell>
          <cell r="AP224" t="str">
            <v>- about 90% avg vs. dels (HW - 4/04)</v>
          </cell>
        </row>
        <row r="227">
          <cell r="C227" t="str">
            <v>GAC Est. Cash flow ($MM)</v>
          </cell>
        </row>
        <row r="229">
          <cell r="D229">
            <v>1996</v>
          </cell>
          <cell r="E229">
            <v>1997</v>
          </cell>
          <cell r="F229">
            <v>1998</v>
          </cell>
          <cell r="G229">
            <v>1999</v>
          </cell>
          <cell r="H229">
            <v>2000</v>
          </cell>
          <cell r="I229">
            <v>2001</v>
          </cell>
        </row>
        <row r="230">
          <cell r="B230" t="str">
            <v>Net Income</v>
          </cell>
          <cell r="D230">
            <v>47.300000000000011</v>
          </cell>
          <cell r="E230">
            <v>242.92679999999996</v>
          </cell>
          <cell r="F230">
            <v>132.73599999999999</v>
          </cell>
          <cell r="G230">
            <v>249.55500000000001</v>
          </cell>
          <cell r="H230">
            <v>365.125</v>
          </cell>
          <cell r="I230">
            <v>0</v>
          </cell>
        </row>
        <row r="231">
          <cell r="B231" t="str">
            <v>DA</v>
          </cell>
          <cell r="D231">
            <v>27</v>
          </cell>
          <cell r="E231">
            <v>33</v>
          </cell>
          <cell r="F231">
            <v>34.799999999999997</v>
          </cell>
          <cell r="G231">
            <v>37</v>
          </cell>
          <cell r="H231">
            <v>40</v>
          </cell>
          <cell r="I231">
            <v>40</v>
          </cell>
        </row>
        <row r="232">
          <cell r="B232" t="str">
            <v>Post retire benefit</v>
          </cell>
          <cell r="D232">
            <v>7</v>
          </cell>
          <cell r="E232">
            <v>7</v>
          </cell>
          <cell r="F232">
            <v>7</v>
          </cell>
          <cell r="G232">
            <v>7</v>
          </cell>
          <cell r="H232">
            <v>7</v>
          </cell>
          <cell r="I232">
            <v>7</v>
          </cell>
        </row>
        <row r="233">
          <cell r="B233" t="str">
            <v>Deferred taxes</v>
          </cell>
          <cell r="D233">
            <v>0</v>
          </cell>
          <cell r="E233">
            <v>-37.866999999999997</v>
          </cell>
          <cell r="F233">
            <v>62.802999999999997</v>
          </cell>
          <cell r="G233">
            <v>-23</v>
          </cell>
          <cell r="H233">
            <v>-33</v>
          </cell>
          <cell r="I233">
            <v>0</v>
          </cell>
        </row>
        <row r="234">
          <cell r="B234" t="str">
            <v>Other</v>
          </cell>
          <cell r="D234">
            <v>8</v>
          </cell>
          <cell r="E234">
            <v>1</v>
          </cell>
          <cell r="F234">
            <v>14</v>
          </cell>
          <cell r="G234">
            <v>1</v>
          </cell>
          <cell r="H234">
            <v>1</v>
          </cell>
          <cell r="I234">
            <v>1</v>
          </cell>
        </row>
        <row r="235">
          <cell r="B235" t="str">
            <v>W.C. change</v>
          </cell>
          <cell r="D235">
            <v>154</v>
          </cell>
          <cell r="E235">
            <v>-126</v>
          </cell>
          <cell r="F235">
            <v>-150</v>
          </cell>
          <cell r="G235">
            <v>-135</v>
          </cell>
          <cell r="H235">
            <v>-150</v>
          </cell>
          <cell r="I235">
            <v>-130</v>
          </cell>
        </row>
        <row r="236">
          <cell r="B236" t="str">
            <v>Capx</v>
          </cell>
          <cell r="D236">
            <v>-18</v>
          </cell>
          <cell r="E236">
            <v>-30</v>
          </cell>
          <cell r="F236">
            <v>-28</v>
          </cell>
          <cell r="G236">
            <v>-25</v>
          </cell>
          <cell r="H236">
            <v>-20</v>
          </cell>
          <cell r="I236">
            <v>-20</v>
          </cell>
        </row>
        <row r="237">
          <cell r="B237" t="str">
            <v>Acquis</v>
          </cell>
          <cell r="F237">
            <v>-250</v>
          </cell>
        </row>
        <row r="238">
          <cell r="B238" t="str">
            <v>Mideast shs</v>
          </cell>
          <cell r="G238">
            <v>-50</v>
          </cell>
          <cell r="AL238" t="str">
            <v>- KC aviation</v>
          </cell>
        </row>
        <row r="239">
          <cell r="B239" t="str">
            <v>Other</v>
          </cell>
          <cell r="F239">
            <v>1</v>
          </cell>
        </row>
        <row r="240">
          <cell r="B240" t="str">
            <v>Stock, net</v>
          </cell>
          <cell r="D240">
            <v>-369</v>
          </cell>
          <cell r="F240">
            <v>-198</v>
          </cell>
        </row>
        <row r="241">
          <cell r="B241" t="str">
            <v>Opns/other</v>
          </cell>
          <cell r="D241">
            <v>153</v>
          </cell>
          <cell r="E241">
            <v>-16</v>
          </cell>
          <cell r="F241">
            <v>13</v>
          </cell>
          <cell r="G241">
            <v>-74</v>
          </cell>
          <cell r="H241">
            <v>7</v>
          </cell>
        </row>
        <row r="242">
          <cell r="B242" t="str">
            <v>Net Cash Flow</v>
          </cell>
          <cell r="D242">
            <v>9.3000000000000114</v>
          </cell>
          <cell r="E242">
            <v>74.059799999999967</v>
          </cell>
          <cell r="F242">
            <v>-360.661</v>
          </cell>
          <cell r="G242">
            <v>-12.444999999999993</v>
          </cell>
          <cell r="H242">
            <v>217.125</v>
          </cell>
          <cell r="I242">
            <v>-102</v>
          </cell>
        </row>
        <row r="243">
          <cell r="B243" t="str">
            <v>Cash begin yr</v>
          </cell>
          <cell r="D243">
            <v>223</v>
          </cell>
          <cell r="E243">
            <v>232.3</v>
          </cell>
          <cell r="F243">
            <v>306.35979999999995</v>
          </cell>
          <cell r="G243">
            <v>-54.301200000000051</v>
          </cell>
          <cell r="H243">
            <v>-66.746200000000044</v>
          </cell>
          <cell r="I243">
            <v>150.37879999999996</v>
          </cell>
        </row>
        <row r="244">
          <cell r="B244" t="str">
            <v>Cash yearend</v>
          </cell>
          <cell r="D244">
            <v>232.3</v>
          </cell>
          <cell r="E244">
            <v>306.35979999999995</v>
          </cell>
          <cell r="F244">
            <v>-54.301200000000051</v>
          </cell>
          <cell r="G244">
            <v>-66.746200000000044</v>
          </cell>
          <cell r="H244">
            <v>150.37879999999996</v>
          </cell>
          <cell r="I244">
            <v>48.378799999999956</v>
          </cell>
        </row>
        <row r="245">
          <cell r="B245" t="str">
            <v>Net Debt</v>
          </cell>
          <cell r="D245">
            <v>167.7</v>
          </cell>
          <cell r="E245">
            <v>73.64020000000005</v>
          </cell>
          <cell r="F245">
            <v>415.30120000000005</v>
          </cell>
          <cell r="G245">
            <v>296.74620000000004</v>
          </cell>
          <cell r="H245">
            <v>49.621200000000044</v>
          </cell>
          <cell r="I245">
            <v>151.62120000000004</v>
          </cell>
        </row>
        <row r="246">
          <cell r="B246" t="str">
            <v>Debt</v>
          </cell>
          <cell r="D246">
            <v>400</v>
          </cell>
          <cell r="E246">
            <v>380</v>
          </cell>
          <cell r="F246">
            <v>361</v>
          </cell>
          <cell r="G246">
            <v>230</v>
          </cell>
          <cell r="H246">
            <v>200</v>
          </cell>
          <cell r="I246">
            <v>200</v>
          </cell>
        </row>
        <row r="247">
          <cell r="B247" t="str">
            <v>Equity</v>
          </cell>
          <cell r="D247">
            <v>-189</v>
          </cell>
          <cell r="E247">
            <v>53.926799999999957</v>
          </cell>
          <cell r="F247">
            <v>196</v>
          </cell>
          <cell r="G247">
            <v>445.55500000000001</v>
          </cell>
          <cell r="H247">
            <v>810.68000000000006</v>
          </cell>
          <cell r="I247">
            <v>810.68000000000006</v>
          </cell>
        </row>
        <row r="248">
          <cell r="B248" t="str">
            <v>N. Debt/cap</v>
          </cell>
          <cell r="E248">
            <v>0.57726684800928174</v>
          </cell>
          <cell r="F248">
            <v>0.679372459926465</v>
          </cell>
          <cell r="G248">
            <v>0.39976521659940734</v>
          </cell>
          <cell r="H248">
            <v>5.7678868749689104E-2</v>
          </cell>
          <cell r="I248">
            <v>0.1575610630018959</v>
          </cell>
        </row>
        <row r="249">
          <cell r="B249" t="str">
            <v>ROE</v>
          </cell>
        </row>
        <row r="252">
          <cell r="A252" t="str">
            <v>Revs vs. COGS Growth Analysis</v>
          </cell>
        </row>
        <row r="253">
          <cell r="A253" t="str">
            <v>Y/Y Change</v>
          </cell>
          <cell r="B253" t="str">
            <v>Q1:98</v>
          </cell>
          <cell r="C253" t="str">
            <v>Q2:98</v>
          </cell>
          <cell r="D253" t="str">
            <v>Q3:98</v>
          </cell>
          <cell r="E253" t="str">
            <v>Q4:98</v>
          </cell>
          <cell r="F253" t="str">
            <v>Q1:99</v>
          </cell>
          <cell r="G253" t="str">
            <v>Q2:99</v>
          </cell>
          <cell r="H253" t="str">
            <v>Q3:99</v>
          </cell>
          <cell r="I253" t="str">
            <v>Q4:99</v>
          </cell>
        </row>
        <row r="254">
          <cell r="A254" t="str">
            <v>Sales</v>
          </cell>
          <cell r="B254">
            <v>0</v>
          </cell>
          <cell r="C254">
            <v>0</v>
          </cell>
          <cell r="D254">
            <v>0</v>
          </cell>
          <cell r="E254">
            <v>0.27554504859469398</v>
          </cell>
          <cell r="F254">
            <v>0.24175605880015905</v>
          </cell>
          <cell r="G254">
            <v>0.27073608617594247</v>
          </cell>
          <cell r="H254">
            <v>0.13382305972532738</v>
          </cell>
          <cell r="I254">
            <v>0.16819530617750211</v>
          </cell>
        </row>
        <row r="255">
          <cell r="A255" t="str">
            <v>COGS</v>
          </cell>
          <cell r="F255">
            <v>0.21267556874381799</v>
          </cell>
          <cell r="G255">
            <v>0.2847866419294991</v>
          </cell>
          <cell r="H255">
            <v>0.11407468198604853</v>
          </cell>
          <cell r="I255">
            <v>0.15545407901487951</v>
          </cell>
        </row>
        <row r="256">
          <cell r="A256" t="str">
            <v xml:space="preserve">A/R </v>
          </cell>
          <cell r="F256" t="e">
            <v>#REF!</v>
          </cell>
        </row>
        <row r="257">
          <cell r="A257" t="str">
            <v>Inventories</v>
          </cell>
          <cell r="F257" t="e">
            <v>#REF!</v>
          </cell>
        </row>
        <row r="259">
          <cell r="A259" t="str">
            <v>Inventory components</v>
          </cell>
        </row>
        <row r="260">
          <cell r="A260" t="str">
            <v>Raw+WIP</v>
          </cell>
          <cell r="B260" t="e">
            <v>#REF!</v>
          </cell>
          <cell r="C260" t="e">
            <v>#REF!</v>
          </cell>
          <cell r="D260" t="e">
            <v>#REF!</v>
          </cell>
          <cell r="E260" t="e">
            <v>#REF!</v>
          </cell>
          <cell r="F260" t="e">
            <v>#REF!</v>
          </cell>
        </row>
        <row r="261">
          <cell r="A261" t="str">
            <v>Finished goods</v>
          </cell>
          <cell r="B261" t="e">
            <v>#REF!</v>
          </cell>
          <cell r="C261" t="e">
            <v>#REF!</v>
          </cell>
          <cell r="D261" t="e">
            <v>#REF!</v>
          </cell>
          <cell r="E261" t="e">
            <v>#REF!</v>
          </cell>
          <cell r="F261" t="e">
            <v>#REF!</v>
          </cell>
        </row>
        <row r="262">
          <cell r="A262" t="str">
            <v>% Inv.</v>
          </cell>
        </row>
        <row r="263">
          <cell r="A263" t="str">
            <v>Raw+WIP</v>
          </cell>
          <cell r="B263" t="e">
            <v>#REF!</v>
          </cell>
          <cell r="C263" t="e">
            <v>#REF!</v>
          </cell>
          <cell r="D263" t="e">
            <v>#REF!</v>
          </cell>
          <cell r="E263" t="e">
            <v>#REF!</v>
          </cell>
          <cell r="F263" t="e">
            <v>#REF!</v>
          </cell>
        </row>
        <row r="264">
          <cell r="A264" t="str">
            <v>Finished goods</v>
          </cell>
          <cell r="B264" t="e">
            <v>#REF!</v>
          </cell>
          <cell r="C264" t="e">
            <v>#REF!</v>
          </cell>
          <cell r="D264" t="e">
            <v>#REF!</v>
          </cell>
          <cell r="E264" t="e">
            <v>#REF!</v>
          </cell>
          <cell r="F264" t="e">
            <v>#REF!</v>
          </cell>
          <cell r="G264" t="str">
            <v>- positive inventory divergence</v>
          </cell>
        </row>
        <row r="266">
          <cell r="A266" t="str">
            <v>COGS/Sls</v>
          </cell>
          <cell r="B266">
            <v>0.80333730631704414</v>
          </cell>
          <cell r="C266">
            <v>0.77414721723518853</v>
          </cell>
          <cell r="D266">
            <v>0.77834557649313307</v>
          </cell>
          <cell r="E266">
            <v>0.78864310763420575</v>
          </cell>
          <cell r="F266">
            <v>0.78452407614781638</v>
          </cell>
          <cell r="G266">
            <v>0.78270697937270417</v>
          </cell>
          <cell r="H266">
            <v>0.76478873239436618</v>
          </cell>
          <cell r="I266">
            <v>0.78004156563907179</v>
          </cell>
        </row>
        <row r="289">
          <cell r="A289" t="str">
            <v>Gulfstream Book:Bill History</v>
          </cell>
          <cell r="B289">
            <v>1995</v>
          </cell>
          <cell r="C289">
            <v>1996</v>
          </cell>
          <cell r="D289">
            <v>1997</v>
          </cell>
          <cell r="E289">
            <v>1998</v>
          </cell>
          <cell r="F289">
            <v>1999</v>
          </cell>
          <cell r="G289">
            <v>2000</v>
          </cell>
          <cell r="H289">
            <v>2001</v>
          </cell>
          <cell r="I289">
            <v>2002</v>
          </cell>
          <cell r="J289">
            <v>2003</v>
          </cell>
          <cell r="K289">
            <v>2004</v>
          </cell>
          <cell r="L289">
            <v>2005</v>
          </cell>
          <cell r="M289" t="str">
            <v>2006A</v>
          </cell>
        </row>
        <row r="290">
          <cell r="A290" t="str">
            <v>Total Company</v>
          </cell>
        </row>
        <row r="291">
          <cell r="A291" t="str">
            <v>Orders</v>
          </cell>
          <cell r="B291">
            <v>42</v>
          </cell>
          <cell r="C291">
            <v>65</v>
          </cell>
          <cell r="D291">
            <v>46</v>
          </cell>
          <cell r="E291">
            <v>90</v>
          </cell>
          <cell r="F291">
            <v>44</v>
          </cell>
          <cell r="G291">
            <v>82</v>
          </cell>
          <cell r="H291">
            <v>123</v>
          </cell>
          <cell r="I291">
            <v>133</v>
          </cell>
          <cell r="J291">
            <v>59</v>
          </cell>
          <cell r="K291">
            <v>95</v>
          </cell>
          <cell r="L291">
            <v>124</v>
          </cell>
          <cell r="M291">
            <v>159</v>
          </cell>
        </row>
        <row r="292">
          <cell r="A292" t="str">
            <v>Deliveries</v>
          </cell>
          <cell r="B292">
            <v>26</v>
          </cell>
          <cell r="C292">
            <v>27</v>
          </cell>
          <cell r="D292">
            <v>51</v>
          </cell>
          <cell r="E292">
            <v>61</v>
          </cell>
          <cell r="F292">
            <v>70</v>
          </cell>
          <cell r="G292">
            <v>71</v>
          </cell>
          <cell r="H292">
            <v>84</v>
          </cell>
          <cell r="I292">
            <v>85</v>
          </cell>
          <cell r="J292">
            <v>74</v>
          </cell>
          <cell r="K292">
            <v>78</v>
          </cell>
          <cell r="L292">
            <v>89</v>
          </cell>
          <cell r="M292">
            <v>113</v>
          </cell>
        </row>
        <row r="293">
          <cell r="A293" t="str">
            <v>Book:bill</v>
          </cell>
          <cell r="B293">
            <v>1.6153846153846154</v>
          </cell>
          <cell r="C293">
            <v>2.4074074074074074</v>
          </cell>
          <cell r="D293">
            <v>0.90196078431372551</v>
          </cell>
          <cell r="E293">
            <v>1.4754098360655739</v>
          </cell>
          <cell r="F293">
            <v>0.62857142857142856</v>
          </cell>
          <cell r="G293">
            <v>1.1549295774647887</v>
          </cell>
          <cell r="H293">
            <v>1.4642857142857142</v>
          </cell>
          <cell r="I293">
            <v>1.5647058823529412</v>
          </cell>
          <cell r="J293">
            <v>0.79729729729729726</v>
          </cell>
          <cell r="K293">
            <v>1.2179487179487178</v>
          </cell>
          <cell r="L293">
            <v>1.3932584269662922</v>
          </cell>
          <cell r="M293">
            <v>1.4070796460176991</v>
          </cell>
        </row>
        <row r="294">
          <cell r="A294" t="str">
            <v>Large Cabin Only</v>
          </cell>
        </row>
        <row r="295">
          <cell r="A295" t="str">
            <v>Orders</v>
          </cell>
          <cell r="B295">
            <v>42</v>
          </cell>
          <cell r="C295">
            <v>65</v>
          </cell>
          <cell r="D295">
            <v>46</v>
          </cell>
          <cell r="E295">
            <v>90</v>
          </cell>
          <cell r="F295">
            <v>44</v>
          </cell>
          <cell r="G295">
            <v>82</v>
          </cell>
          <cell r="H295">
            <v>70</v>
          </cell>
          <cell r="I295">
            <v>62</v>
          </cell>
          <cell r="J295">
            <v>41</v>
          </cell>
          <cell r="K295">
            <v>71</v>
          </cell>
          <cell r="L295">
            <v>92</v>
          </cell>
          <cell r="M295">
            <v>114</v>
          </cell>
          <cell r="AC295" t="str">
            <v>New Gulfstream Portfolio Certification Status</v>
          </cell>
        </row>
        <row r="296">
          <cell r="A296" t="str">
            <v>Deliveries</v>
          </cell>
          <cell r="B296">
            <v>26</v>
          </cell>
          <cell r="C296">
            <v>27</v>
          </cell>
          <cell r="D296">
            <v>51</v>
          </cell>
          <cell r="E296">
            <v>61</v>
          </cell>
          <cell r="F296">
            <v>70</v>
          </cell>
          <cell r="G296">
            <v>71</v>
          </cell>
          <cell r="H296">
            <v>71</v>
          </cell>
          <cell r="I296">
            <v>61</v>
          </cell>
          <cell r="J296">
            <v>50</v>
          </cell>
          <cell r="K296">
            <v>56</v>
          </cell>
          <cell r="L296">
            <v>63</v>
          </cell>
          <cell r="M296">
            <v>71</v>
          </cell>
          <cell r="AD296" t="str">
            <v>ProvType</v>
          </cell>
          <cell r="AE296" t="str">
            <v>Type</v>
          </cell>
          <cell r="AF296" t="str">
            <v>JAA Cert</v>
          </cell>
          <cell r="AG296" t="str">
            <v>Air-Wor</v>
          </cell>
          <cell r="AH296" t="str">
            <v>Prices</v>
          </cell>
          <cell r="AJ296" t="str">
            <v>Comp</v>
          </cell>
          <cell r="AM296" t="str">
            <v>Est In Service</v>
          </cell>
          <cell r="AN296" t="str">
            <v>Est In Service</v>
          </cell>
          <cell r="AO296" t="str">
            <v>Est In Service</v>
          </cell>
        </row>
        <row r="297">
          <cell r="A297" t="str">
            <v>Book:bill</v>
          </cell>
          <cell r="B297">
            <v>1.6153846153846154</v>
          </cell>
          <cell r="C297">
            <v>2.4074074074074074</v>
          </cell>
          <cell r="D297">
            <v>0.90196078431372551</v>
          </cell>
          <cell r="E297">
            <v>1.4754098360655739</v>
          </cell>
          <cell r="F297">
            <v>0.62857142857142856</v>
          </cell>
          <cell r="G297">
            <v>1.1549295774647887</v>
          </cell>
          <cell r="H297">
            <v>0.9859154929577465</v>
          </cell>
          <cell r="I297">
            <v>1.0163934426229508</v>
          </cell>
          <cell r="J297">
            <v>0.82</v>
          </cell>
          <cell r="K297">
            <v>1.2678571428571428</v>
          </cell>
          <cell r="L297">
            <v>1.4603174603174602</v>
          </cell>
          <cell r="M297">
            <v>1.6056338028169015</v>
          </cell>
          <cell r="AC297" t="str">
            <v>G100</v>
          </cell>
          <cell r="AH297" t="str">
            <v>$12-14MM</v>
          </cell>
          <cell r="AM297" t="str">
            <v>-NA</v>
          </cell>
          <cell r="AN297" t="str">
            <v>-NA</v>
          </cell>
          <cell r="AO297" t="str">
            <v>-NA</v>
          </cell>
        </row>
        <row r="298">
          <cell r="B298" t="str">
            <v>Number of Gulfstreams in operation (Units)</v>
          </cell>
          <cell r="AC298" t="str">
            <v>G150</v>
          </cell>
          <cell r="AH298" t="str">
            <v>$12-14MM</v>
          </cell>
          <cell r="AJ298" t="str">
            <v>HawkXP, Lear60, Cit Sovereign</v>
          </cell>
          <cell r="AM298" t="str">
            <v>-dev looks pushed out to 2006, was 2Q05</v>
          </cell>
          <cell r="AN298" t="str">
            <v>-dev looks pushed out to 2006, was 2Q05</v>
          </cell>
          <cell r="AO298" t="str">
            <v>-dev looks pushed out to 2006, was 2Q05</v>
          </cell>
        </row>
        <row r="299">
          <cell r="D299" t="str">
            <v>ao 1999</v>
          </cell>
          <cell r="H299" t="str">
            <v>ao 2002</v>
          </cell>
          <cell r="AC299" t="str">
            <v>G200</v>
          </cell>
          <cell r="AH299" t="str">
            <v>$16-21MM</v>
          </cell>
          <cell r="AJ299" t="str">
            <v>Challenger 300, Hawker Horizon, Falcon 50EX, CitX, Legacy</v>
          </cell>
          <cell r="AM299" t="str">
            <v>-NA</v>
          </cell>
          <cell r="AN299" t="str">
            <v>-NA</v>
          </cell>
          <cell r="AO299" t="str">
            <v>-NA</v>
          </cell>
        </row>
        <row r="300">
          <cell r="B300" t="str">
            <v>GII</v>
          </cell>
          <cell r="D300">
            <v>202</v>
          </cell>
          <cell r="G300" t="str">
            <v>G-II</v>
          </cell>
          <cell r="H300">
            <v>239</v>
          </cell>
          <cell r="AC300" t="str">
            <v>G300</v>
          </cell>
          <cell r="AE300" t="str">
            <v>1/03</v>
          </cell>
          <cell r="AF300" t="str">
            <v>7/03</v>
          </cell>
          <cell r="AH300" t="str">
            <v>$21-27MM</v>
          </cell>
          <cell r="AJ300" t="str">
            <v>Challenger 604, Falcon 200EX</v>
          </cell>
          <cell r="AM300" t="str">
            <v>-Company says remain on schedule for June dels, first 300 serial #1503</v>
          </cell>
          <cell r="AN300" t="str">
            <v>-Company says remain on schedule for June dels, first 300 serial #1503</v>
          </cell>
          <cell r="AO300" t="str">
            <v>-Company says remain on schedule for June dels, first 300 serial #1503</v>
          </cell>
        </row>
        <row r="301">
          <cell r="B301" t="str">
            <v>GIIB</v>
          </cell>
          <cell r="D301">
            <v>42</v>
          </cell>
          <cell r="G301" t="str">
            <v>G-IIB</v>
          </cell>
          <cell r="H301">
            <v>44</v>
          </cell>
          <cell r="AC301" t="str">
            <v>G350</v>
          </cell>
          <cell r="AD301" t="str">
            <v>replaces 300</v>
          </cell>
          <cell r="AM301" t="str">
            <v>-First Del 3Q05</v>
          </cell>
          <cell r="AN301" t="str">
            <v>-First Del 3Q05</v>
          </cell>
          <cell r="AO301" t="str">
            <v>-First Del 3Q05</v>
          </cell>
        </row>
        <row r="302">
          <cell r="B302" t="str">
            <v>GIII</v>
          </cell>
          <cell r="D302">
            <v>198</v>
          </cell>
          <cell r="G302" t="str">
            <v>G-III</v>
          </cell>
          <cell r="H302">
            <v>195</v>
          </cell>
          <cell r="AC302" t="str">
            <v>G400</v>
          </cell>
          <cell r="AE302" t="str">
            <v>1/03</v>
          </cell>
          <cell r="AF302" t="str">
            <v>7/03</v>
          </cell>
          <cell r="AH302" t="str">
            <v>$29-33MM</v>
          </cell>
          <cell r="AJ302" t="str">
            <v>Falcon 900C &amp; 900EX</v>
          </cell>
          <cell r="AM302" t="str">
            <v>-Company says remain on schedule for June dels, first 400 serial #1500</v>
          </cell>
          <cell r="AN302" t="str">
            <v>-Company says remain on schedule for June dels, first 400 serial #1500</v>
          </cell>
          <cell r="AO302" t="str">
            <v>-Company says remain on schedule for June dels, first 400 serial #1500</v>
          </cell>
        </row>
        <row r="303">
          <cell r="B303" t="str">
            <v>GIV</v>
          </cell>
          <cell r="D303">
            <v>207</v>
          </cell>
          <cell r="G303" t="str">
            <v>G-IV</v>
          </cell>
          <cell r="H303">
            <v>228</v>
          </cell>
          <cell r="AC303" t="str">
            <v>G450</v>
          </cell>
          <cell r="AD303" t="str">
            <v>replaces 400</v>
          </cell>
          <cell r="AH303" t="str">
            <v>$33MM</v>
          </cell>
          <cell r="AJ303" t="str">
            <v>Falcon 900EX</v>
          </cell>
          <cell r="AM303" t="str">
            <v>-First del 2Q05</v>
          </cell>
          <cell r="AN303" t="str">
            <v>-First del 2Q05</v>
          </cell>
          <cell r="AO303" t="str">
            <v>-First del 2Q05</v>
          </cell>
        </row>
        <row r="304">
          <cell r="B304" t="str">
            <v>GIV-SP</v>
          </cell>
          <cell r="D304">
            <v>139</v>
          </cell>
          <cell r="G304" t="str">
            <v>G-IVSP</v>
          </cell>
          <cell r="H304">
            <v>225</v>
          </cell>
          <cell r="AC304" t="str">
            <v>G500</v>
          </cell>
          <cell r="AE304">
            <v>2004</v>
          </cell>
          <cell r="AH304" t="str">
            <v>$35-38MM</v>
          </cell>
          <cell r="AM304" t="str">
            <v>-First del 2004 (was est 1Q04)</v>
          </cell>
          <cell r="AN304" t="str">
            <v>-First del 2004 (was est 1Q04)</v>
          </cell>
          <cell r="AO304" t="str">
            <v>-First del 2004 (was est 1Q04)</v>
          </cell>
        </row>
        <row r="305">
          <cell r="B305" t="str">
            <v>GV</v>
          </cell>
          <cell r="D305">
            <v>43</v>
          </cell>
          <cell r="G305" t="str">
            <v>G-V</v>
          </cell>
          <cell r="H305">
            <v>140</v>
          </cell>
          <cell r="AC305" t="str">
            <v>G550</v>
          </cell>
          <cell r="AD305" t="str">
            <v>12/02</v>
          </cell>
          <cell r="AE305" t="str">
            <v>due summer</v>
          </cell>
          <cell r="AH305" t="str">
            <v>$43-46MM</v>
          </cell>
          <cell r="AJ305" t="str">
            <v>GEX, BBJ</v>
          </cell>
          <cell r="AM305" t="str">
            <v>-First Del 3Q03</v>
          </cell>
          <cell r="AN305" t="str">
            <v>-First Del 3Q03</v>
          </cell>
          <cell r="AO305" t="str">
            <v>-First Del 3Q03</v>
          </cell>
        </row>
        <row r="306">
          <cell r="G306" t="str">
            <v>G-VSP</v>
          </cell>
          <cell r="H306">
            <v>2</v>
          </cell>
          <cell r="AC306" t="str">
            <v>Myles:</v>
          </cell>
          <cell r="AG306" t="str">
            <v>10/03</v>
          </cell>
        </row>
        <row r="307">
          <cell r="B307" t="str">
            <v>TOTAL</v>
          </cell>
          <cell r="D307">
            <v>831</v>
          </cell>
          <cell r="G307" t="str">
            <v>Total</v>
          </cell>
          <cell r="H307">
            <v>1073</v>
          </cell>
          <cell r="AC307" t="str">
            <v>1)  1st dels G550s -- are they getting out door?... First One has been delivered according to Airclaims to Deerport Aviation</v>
          </cell>
        </row>
        <row r="308">
          <cell r="B308" t="str">
            <v>GIV-Vs</v>
          </cell>
          <cell r="D308">
            <v>389</v>
          </cell>
          <cell r="G308" t="str">
            <v>GIV-Vs</v>
          </cell>
          <cell r="H308">
            <v>595</v>
          </cell>
          <cell r="AC308" t="str">
            <v>2) how is G500 schedules 2004 looking?</v>
          </cell>
        </row>
        <row r="309">
          <cell r="B309" t="str">
            <v xml:space="preserve">Int'l </v>
          </cell>
          <cell r="D309">
            <v>0.15042117930204574</v>
          </cell>
          <cell r="G309" t="str">
            <v>Int'l</v>
          </cell>
          <cell r="H309">
            <v>0.27731092436974791</v>
          </cell>
        </row>
        <row r="310">
          <cell r="B310" t="str">
            <v>U.S.</v>
          </cell>
          <cell r="D310">
            <v>0.84957882069795421</v>
          </cell>
          <cell r="G310" t="str">
            <v>U.S.</v>
          </cell>
          <cell r="H310">
            <v>0.72268907563025209</v>
          </cell>
        </row>
        <row r="311">
          <cell r="AO311" t="str">
            <v>A/o 1991</v>
          </cell>
          <cell r="AX311" t="str">
            <v>EPS add/aircraft:</v>
          </cell>
          <cell r="AZ311" t="str">
            <v>1999</v>
          </cell>
          <cell r="BA311" t="str">
            <v>2000</v>
          </cell>
          <cell r="BB311" t="str">
            <v>2001</v>
          </cell>
        </row>
        <row r="312">
          <cell r="A312" t="str">
            <v>Fractional Ownership</v>
          </cell>
          <cell r="D312" t="str">
            <v>Q1:99</v>
          </cell>
          <cell r="G312" t="str">
            <v>Fractional As % Fleet</v>
          </cell>
          <cell r="N312" t="str">
            <v>*assumes -- 7% 2001 dels=fractional, 11% in 2002=fractional</v>
          </cell>
          <cell r="U312" t="str">
            <v>A/O 10/2008</v>
          </cell>
          <cell r="AR312" t="str">
            <v>Gulfstream Users By Sector</v>
          </cell>
        </row>
        <row r="313">
          <cell r="A313" t="str">
            <v>Firm orders</v>
          </cell>
          <cell r="C313" t="str">
            <v>Ords</v>
          </cell>
          <cell r="D313" t="str">
            <v>Dels</v>
          </cell>
          <cell r="E313" t="str">
            <v>Backlog</v>
          </cell>
          <cell r="G313" t="str">
            <v>GIV -- GIVSP --  GVs</v>
          </cell>
          <cell r="J313" t="str">
            <v>1997</v>
          </cell>
          <cell r="K313" t="str">
            <v>1998</v>
          </cell>
          <cell r="L313" t="str">
            <v>1999</v>
          </cell>
          <cell r="M313" t="str">
            <v>2000</v>
          </cell>
          <cell r="N313" t="str">
            <v>2001</v>
          </cell>
          <cell r="O313" t="str">
            <v>2002</v>
          </cell>
          <cell r="P313" t="str">
            <v>2003E</v>
          </cell>
          <cell r="Q313" t="str">
            <v>Comments/Assumptions</v>
          </cell>
          <cell r="U313" t="str">
            <v>Gulfstream Users By Industry</v>
          </cell>
          <cell r="AE313" t="str">
            <v>Most modern fleet</v>
          </cell>
        </row>
        <row r="314">
          <cell r="A314" t="str">
            <v>M.E. Shs</v>
          </cell>
          <cell r="C314">
            <v>12</v>
          </cell>
          <cell r="D314">
            <v>2</v>
          </cell>
          <cell r="E314">
            <v>10</v>
          </cell>
          <cell r="G314" t="str">
            <v>Beginning fleet</v>
          </cell>
          <cell r="J314">
            <v>293</v>
          </cell>
          <cell r="K314">
            <v>339</v>
          </cell>
          <cell r="L314">
            <v>393.30500000000001</v>
          </cell>
          <cell r="M314">
            <v>459.33847500000002</v>
          </cell>
          <cell r="N314">
            <v>527.541782625</v>
          </cell>
          <cell r="O314">
            <v>595.90407371187496</v>
          </cell>
          <cell r="P314">
            <v>657.43479315903585</v>
          </cell>
          <cell r="W314" t="str">
            <v>GII</v>
          </cell>
          <cell r="X314" t="str">
            <v>GIII</v>
          </cell>
          <cell r="Y314" t="str">
            <v>GIV</v>
          </cell>
          <cell r="Z314" t="str">
            <v>GV</v>
          </cell>
          <cell r="AA314" t="str">
            <v>Other</v>
          </cell>
          <cell r="AB314" t="str">
            <v>Total</v>
          </cell>
          <cell r="AC314" t="str">
            <v>% Total</v>
          </cell>
          <cell r="AE314" t="str">
            <v>% GIV/GVs</v>
          </cell>
          <cell r="AF314" t="str">
            <v>Significant Owners - Examples</v>
          </cell>
          <cell r="AR314" t="str">
            <v>GIII</v>
          </cell>
          <cell r="AS314" t="str">
            <v>GIV</v>
          </cell>
          <cell r="AT314" t="str">
            <v>GV</v>
          </cell>
          <cell r="AU314" t="str">
            <v>Total</v>
          </cell>
          <cell r="AV314" t="str">
            <v>% of Known</v>
          </cell>
          <cell r="AW314" t="str">
            <v>Significant Owners</v>
          </cell>
        </row>
        <row r="315">
          <cell r="A315" t="str">
            <v>Gulfstream shs</v>
          </cell>
          <cell r="C315">
            <v>56</v>
          </cell>
          <cell r="D315">
            <v>19</v>
          </cell>
          <cell r="E315">
            <v>37</v>
          </cell>
          <cell r="G315" t="str">
            <v>Green Deliveries</v>
          </cell>
          <cell r="U315" t="str">
            <v>Consumer Discretionary</v>
          </cell>
          <cell r="W315">
            <v>15</v>
          </cell>
          <cell r="X315">
            <v>16</v>
          </cell>
          <cell r="Y315">
            <v>44</v>
          </cell>
          <cell r="Z315">
            <v>31</v>
          </cell>
          <cell r="AA315">
            <v>5</v>
          </cell>
          <cell r="AB315">
            <v>111</v>
          </cell>
          <cell r="AC315">
            <v>0.1008174386920981</v>
          </cell>
          <cell r="AE315">
            <v>7.3891625615763554E-2</v>
          </cell>
          <cell r="AF315" t="str">
            <v>AOL/Time Warner, Whirlpool Corp., Entertainment Industry</v>
          </cell>
          <cell r="AP315" t="str">
            <v>Consumer Discretionary</v>
          </cell>
          <cell r="AR315">
            <v>6</v>
          </cell>
          <cell r="AS315">
            <v>26</v>
          </cell>
          <cell r="AT315">
            <v>16</v>
          </cell>
          <cell r="AU315">
            <v>48</v>
          </cell>
          <cell r="AV315">
            <v>9.375E-2</v>
          </cell>
          <cell r="AW315" t="str">
            <v>AOL, Ford, GM</v>
          </cell>
        </row>
        <row r="316">
          <cell r="A316" t="str">
            <v>Total Fractional</v>
          </cell>
          <cell r="C316">
            <v>68</v>
          </cell>
          <cell r="D316">
            <v>21</v>
          </cell>
          <cell r="E316">
            <v>47</v>
          </cell>
          <cell r="G316" t="str">
            <v>Fractional</v>
          </cell>
          <cell r="J316">
            <v>4</v>
          </cell>
          <cell r="K316">
            <v>4</v>
          </cell>
          <cell r="L316">
            <v>4</v>
          </cell>
          <cell r="M316">
            <v>4</v>
          </cell>
          <cell r="N316">
            <v>4</v>
          </cell>
          <cell r="O316">
            <v>7</v>
          </cell>
          <cell r="P316">
            <v>5</v>
          </cell>
          <cell r="U316" t="str">
            <v>Consumer Staples</v>
          </cell>
          <cell r="W316">
            <v>6</v>
          </cell>
          <cell r="X316">
            <v>6</v>
          </cell>
          <cell r="Y316">
            <v>8</v>
          </cell>
          <cell r="Z316">
            <v>8</v>
          </cell>
          <cell r="AA316">
            <v>0</v>
          </cell>
          <cell r="AB316">
            <v>28</v>
          </cell>
          <cell r="AC316">
            <v>2.5431425976385105E-2</v>
          </cell>
          <cell r="AE316">
            <v>1.5763546798029555E-2</v>
          </cell>
          <cell r="AF316" t="str">
            <v>Coca-Cola, Proctor &amp; Gamble</v>
          </cell>
          <cell r="AP316" t="str">
            <v>Consumer Staples</v>
          </cell>
          <cell r="AR316">
            <v>4</v>
          </cell>
          <cell r="AS316">
            <v>20</v>
          </cell>
          <cell r="AT316">
            <v>8</v>
          </cell>
          <cell r="AU316">
            <v>32</v>
          </cell>
          <cell r="AV316">
            <v>6.25E-2</v>
          </cell>
          <cell r="AW316" t="str">
            <v>P&amp;G, Coca Cola</v>
          </cell>
        </row>
        <row r="317">
          <cell r="A317" t="str">
            <v xml:space="preserve">Fractional % </v>
          </cell>
          <cell r="E317">
            <v>0.42342342342342343</v>
          </cell>
          <cell r="G317" t="str">
            <v>ME shs</v>
          </cell>
          <cell r="K317">
            <v>1</v>
          </cell>
          <cell r="L317">
            <v>4</v>
          </cell>
          <cell r="M317">
            <v>4</v>
          </cell>
          <cell r="N317">
            <v>1</v>
          </cell>
          <cell r="O317">
            <v>0</v>
          </cell>
          <cell r="P317">
            <v>0</v>
          </cell>
          <cell r="U317" t="str">
            <v>Energy</v>
          </cell>
          <cell r="W317">
            <v>8</v>
          </cell>
          <cell r="X317">
            <v>3</v>
          </cell>
          <cell r="Y317">
            <v>18</v>
          </cell>
          <cell r="Z317">
            <v>12</v>
          </cell>
          <cell r="AA317">
            <v>1</v>
          </cell>
          <cell r="AB317">
            <v>42</v>
          </cell>
          <cell r="AC317">
            <v>3.8147138964577658E-2</v>
          </cell>
          <cell r="AE317">
            <v>2.9556650246305417E-2</v>
          </cell>
          <cell r="AF317" t="str">
            <v>Chevron, Valero</v>
          </cell>
          <cell r="AP317" t="str">
            <v>Energy</v>
          </cell>
          <cell r="AR317">
            <v>7</v>
          </cell>
          <cell r="AS317">
            <v>34</v>
          </cell>
          <cell r="AT317">
            <v>10</v>
          </cell>
          <cell r="AU317">
            <v>51</v>
          </cell>
          <cell r="AV317">
            <v>9.9609375E-2</v>
          </cell>
          <cell r="AW317" t="str">
            <v>El Paso, Marathon, Chevron, Conoco</v>
          </cell>
        </row>
        <row r="318">
          <cell r="G318" t="str">
            <v>Single owner</v>
          </cell>
          <cell r="J318">
            <v>47</v>
          </cell>
          <cell r="K318">
            <v>56</v>
          </cell>
          <cell r="L318">
            <v>62</v>
          </cell>
          <cell r="M318">
            <v>63</v>
          </cell>
          <cell r="N318">
            <v>66</v>
          </cell>
          <cell r="O318">
            <v>54</v>
          </cell>
          <cell r="P318">
            <v>45</v>
          </cell>
          <cell r="U318" t="str">
            <v>Financials</v>
          </cell>
          <cell r="W318">
            <v>12</v>
          </cell>
          <cell r="X318">
            <v>16</v>
          </cell>
          <cell r="Y318">
            <v>73</v>
          </cell>
          <cell r="Z318">
            <v>38</v>
          </cell>
          <cell r="AA318">
            <v>2</v>
          </cell>
          <cell r="AB318">
            <v>141</v>
          </cell>
          <cell r="AC318">
            <v>0.12806539509536785</v>
          </cell>
          <cell r="AE318">
            <v>0.10935960591133005</v>
          </cell>
          <cell r="AF318" t="str">
            <v>Bank of America, JP Morgan Chase, Societe Generale, Wachovia</v>
          </cell>
          <cell r="AP318" t="str">
            <v>Financials</v>
          </cell>
          <cell r="AR318">
            <v>2</v>
          </cell>
          <cell r="AS318">
            <v>20</v>
          </cell>
          <cell r="AT318">
            <v>8</v>
          </cell>
          <cell r="AU318">
            <v>30</v>
          </cell>
          <cell r="AV318">
            <v>5.859375E-2</v>
          </cell>
          <cell r="AW318" t="str">
            <v>Chase, Banc of America</v>
          </cell>
        </row>
        <row r="319">
          <cell r="G319" t="str">
            <v>Total</v>
          </cell>
          <cell r="J319">
            <v>51</v>
          </cell>
          <cell r="K319">
            <v>61</v>
          </cell>
          <cell r="L319">
            <v>70</v>
          </cell>
          <cell r="M319">
            <v>71</v>
          </cell>
          <cell r="N319">
            <v>71</v>
          </cell>
          <cell r="O319">
            <v>61</v>
          </cell>
          <cell r="P319">
            <v>50</v>
          </cell>
          <cell r="U319" t="str">
            <v>Fractionals/Dealers/Leassors</v>
          </cell>
          <cell r="W319">
            <v>47</v>
          </cell>
          <cell r="X319">
            <v>61</v>
          </cell>
          <cell r="Y319">
            <v>215</v>
          </cell>
          <cell r="Z319">
            <v>120</v>
          </cell>
          <cell r="AA319">
            <v>24</v>
          </cell>
          <cell r="AB319">
            <v>467</v>
          </cell>
          <cell r="AC319">
            <v>0.42415985467756584</v>
          </cell>
          <cell r="AE319">
            <v>0.33004926108374383</v>
          </cell>
          <cell r="AF319" t="str">
            <v>Bank of America Leasing, CIT Leasing, GE Capital, Netjets</v>
          </cell>
          <cell r="AP319" t="str">
            <v>Health Care</v>
          </cell>
          <cell r="AR319">
            <v>1</v>
          </cell>
          <cell r="AS319">
            <v>18</v>
          </cell>
          <cell r="AT319">
            <v>6</v>
          </cell>
          <cell r="AU319">
            <v>25</v>
          </cell>
          <cell r="AV319">
            <v>4.8828125E-2</v>
          </cell>
          <cell r="AW319" t="str">
            <v>Schering Plough, Bristol Myers, J&amp;J</v>
          </cell>
        </row>
        <row r="320">
          <cell r="A320" t="str">
            <v>GAC's Q1:99 Firm Backlog</v>
          </cell>
          <cell r="G320" t="str">
            <v>Completed Deliveries</v>
          </cell>
          <cell r="J320">
            <v>47</v>
          </cell>
          <cell r="K320">
            <v>56</v>
          </cell>
          <cell r="L320">
            <v>68</v>
          </cell>
          <cell r="M320">
            <v>70.5</v>
          </cell>
          <cell r="N320">
            <v>71</v>
          </cell>
          <cell r="O320">
            <v>66</v>
          </cell>
          <cell r="P320">
            <v>55.5</v>
          </cell>
          <cell r="U320" t="str">
            <v>Health Care</v>
          </cell>
          <cell r="W320">
            <v>2</v>
          </cell>
          <cell r="X320">
            <v>2</v>
          </cell>
          <cell r="Y320">
            <v>15</v>
          </cell>
          <cell r="Z320">
            <v>10</v>
          </cell>
          <cell r="AA320">
            <v>0</v>
          </cell>
          <cell r="AB320">
            <v>29</v>
          </cell>
          <cell r="AC320">
            <v>2.633969118982743E-2</v>
          </cell>
          <cell r="AE320">
            <v>2.4630541871921183E-2</v>
          </cell>
          <cell r="AF320" t="str">
            <v>Abbott Labs, Amgen, Johnson &amp; Johnson</v>
          </cell>
          <cell r="AP320" t="str">
            <v>Industrials</v>
          </cell>
          <cell r="AR320">
            <v>6</v>
          </cell>
          <cell r="AS320">
            <v>21</v>
          </cell>
          <cell r="AT320">
            <v>12</v>
          </cell>
          <cell r="AU320">
            <v>39</v>
          </cell>
          <cell r="AV320">
            <v>7.6171875E-2</v>
          </cell>
          <cell r="AW320" t="str">
            <v>GE, 3M</v>
          </cell>
        </row>
        <row r="321">
          <cell r="A321" t="str">
            <v>U.S.</v>
          </cell>
          <cell r="B321" t="str">
            <v>Units</v>
          </cell>
          <cell r="C321" t="str">
            <v>% Total</v>
          </cell>
          <cell r="G321" t="str">
            <v>Retires (GIVs)</v>
          </cell>
          <cell r="J321">
            <v>-1</v>
          </cell>
          <cell r="K321">
            <v>-1.6950000000000001</v>
          </cell>
          <cell r="L321">
            <v>-1.9665250000000001</v>
          </cell>
          <cell r="M321">
            <v>-2.2966923750000001</v>
          </cell>
          <cell r="N321">
            <v>-2.637708913125</v>
          </cell>
          <cell r="O321">
            <v>-4.469280552839062</v>
          </cell>
          <cell r="P321">
            <v>-4.930760948692769</v>
          </cell>
          <cell r="U321" t="str">
            <v>Industrials</v>
          </cell>
          <cell r="W321">
            <v>20</v>
          </cell>
          <cell r="X321">
            <v>15</v>
          </cell>
          <cell r="Y321">
            <v>47</v>
          </cell>
          <cell r="Z321">
            <v>29</v>
          </cell>
          <cell r="AA321">
            <v>3</v>
          </cell>
          <cell r="AB321">
            <v>114</v>
          </cell>
          <cell r="AC321">
            <v>0.10354223433242507</v>
          </cell>
          <cell r="AE321">
            <v>7.4876847290640397E-2</v>
          </cell>
          <cell r="AF321" t="str">
            <v>3M, General Dynamics, Honeywell, US Steel</v>
          </cell>
          <cell r="AP321" t="str">
            <v>Information Technology</v>
          </cell>
          <cell r="AR321">
            <v>2</v>
          </cell>
          <cell r="AS321">
            <v>11</v>
          </cell>
          <cell r="AT321">
            <v>7</v>
          </cell>
          <cell r="AU321">
            <v>20</v>
          </cell>
          <cell r="AV321">
            <v>3.90625E-2</v>
          </cell>
          <cell r="AW321" t="str">
            <v>CA, HPQ, IBM</v>
          </cell>
        </row>
        <row r="322">
          <cell r="A322" t="str">
            <v xml:space="preserve">  Individuals</v>
          </cell>
          <cell r="B322">
            <v>2.5641000000000003</v>
          </cell>
          <cell r="C322">
            <v>2.3100000000000002E-2</v>
          </cell>
          <cell r="G322" t="str">
            <v xml:space="preserve">Est. Ending fleet </v>
          </cell>
          <cell r="J322">
            <v>339</v>
          </cell>
          <cell r="K322">
            <v>393.30500000000001</v>
          </cell>
          <cell r="L322">
            <v>459.33847500000002</v>
          </cell>
          <cell r="M322">
            <v>527.541782625</v>
          </cell>
          <cell r="N322">
            <v>595.90407371187496</v>
          </cell>
          <cell r="O322">
            <v>657.43479315903585</v>
          </cell>
          <cell r="P322">
            <v>708.0040322103431</v>
          </cell>
          <cell r="U322" t="str">
            <v>Information Technology</v>
          </cell>
          <cell r="W322">
            <v>2</v>
          </cell>
          <cell r="X322">
            <v>0</v>
          </cell>
          <cell r="Y322">
            <v>10</v>
          </cell>
          <cell r="Z322">
            <v>11</v>
          </cell>
          <cell r="AA322">
            <v>0</v>
          </cell>
          <cell r="AB322">
            <v>23</v>
          </cell>
          <cell r="AC322">
            <v>2.0890099909173478E-2</v>
          </cell>
          <cell r="AE322">
            <v>2.0689655172413793E-2</v>
          </cell>
          <cell r="AF322" t="str">
            <v>HP, Motorola</v>
          </cell>
          <cell r="AP322" t="str">
            <v>Materials</v>
          </cell>
          <cell r="AR322">
            <v>4</v>
          </cell>
          <cell r="AS322">
            <v>14</v>
          </cell>
          <cell r="AT322">
            <v>8</v>
          </cell>
          <cell r="AU322">
            <v>26</v>
          </cell>
          <cell r="AV322">
            <v>5.078125E-2</v>
          </cell>
          <cell r="AW322" t="str">
            <v>Alcoa, Phelps Dodge</v>
          </cell>
        </row>
        <row r="323">
          <cell r="A323" t="str">
            <v xml:space="preserve">  Corporations</v>
          </cell>
          <cell r="B323">
            <v>42.734999999999999</v>
          </cell>
          <cell r="C323">
            <v>0.38500000000000001</v>
          </cell>
          <cell r="G323" t="str">
            <v>Cumulative  fract fleet</v>
          </cell>
          <cell r="J323">
            <v>15</v>
          </cell>
          <cell r="K323">
            <v>19</v>
          </cell>
          <cell r="L323">
            <v>25.5</v>
          </cell>
          <cell r="M323">
            <v>33.5</v>
          </cell>
          <cell r="N323">
            <v>40</v>
          </cell>
          <cell r="O323">
            <v>46</v>
          </cell>
          <cell r="P323">
            <v>52</v>
          </cell>
          <cell r="Q323" t="str">
            <v>- 6 mos:  green --&gt; in svc</v>
          </cell>
          <cell r="U323" t="str">
            <v>International Govts/Agencies</v>
          </cell>
          <cell r="W323">
            <v>10</v>
          </cell>
          <cell r="X323">
            <v>10</v>
          </cell>
          <cell r="Y323">
            <v>42</v>
          </cell>
          <cell r="Z323">
            <v>16</v>
          </cell>
          <cell r="AA323">
            <v>0</v>
          </cell>
          <cell r="AB323">
            <v>78</v>
          </cell>
          <cell r="AC323">
            <v>7.0844686648501368E-2</v>
          </cell>
          <cell r="AE323">
            <v>5.7142857142857141E-2</v>
          </cell>
          <cell r="AF323" t="str">
            <v>Algeria, Egypt, Israel, Japan, Saudi Arabia, Sweden</v>
          </cell>
          <cell r="AP323" t="str">
            <v>Telecommunications</v>
          </cell>
          <cell r="AR323">
            <v>2</v>
          </cell>
          <cell r="AS323">
            <v>12</v>
          </cell>
          <cell r="AT323">
            <v>4</v>
          </cell>
          <cell r="AU323">
            <v>18</v>
          </cell>
          <cell r="AV323">
            <v>3.515625E-2</v>
          </cell>
          <cell r="AW323" t="str">
            <v>AT&amp;T</v>
          </cell>
        </row>
        <row r="324">
          <cell r="A324" t="str">
            <v xml:space="preserve">  GAC shares</v>
          </cell>
          <cell r="B324">
            <v>37</v>
          </cell>
          <cell r="C324">
            <v>0.33333333333333331</v>
          </cell>
          <cell r="G324" t="str">
            <v>Fractl %  Total Fleet</v>
          </cell>
          <cell r="J324">
            <v>1.1799410029498525E-2</v>
          </cell>
          <cell r="K324">
            <v>4.8308564599992374E-2</v>
          </cell>
          <cell r="L324">
            <v>5.5514618060244138E-2</v>
          </cell>
          <cell r="M324">
            <v>6.3502079083304158E-2</v>
          </cell>
          <cell r="N324">
            <v>6.7124897721945034E-2</v>
          </cell>
          <cell r="O324">
            <v>6.9968916276800144E-2</v>
          </cell>
          <cell r="P324">
            <v>7.3445909393565656E-2</v>
          </cell>
          <cell r="Q324" t="str">
            <v>- includes older GIVs</v>
          </cell>
          <cell r="U324" t="str">
            <v>Materials</v>
          </cell>
          <cell r="W324">
            <v>3</v>
          </cell>
          <cell r="X324">
            <v>0</v>
          </cell>
          <cell r="Y324">
            <v>2</v>
          </cell>
          <cell r="Z324">
            <v>1</v>
          </cell>
          <cell r="AA324">
            <v>0</v>
          </cell>
          <cell r="AB324">
            <v>6</v>
          </cell>
          <cell r="AC324">
            <v>5.4495912806539508E-3</v>
          </cell>
          <cell r="AE324">
            <v>2.9556650246305421E-3</v>
          </cell>
          <cell r="AF324" t="str">
            <v>Antair</v>
          </cell>
          <cell r="AP324" t="str">
            <v>Utilities</v>
          </cell>
          <cell r="AR324">
            <v>2</v>
          </cell>
          <cell r="AS324">
            <v>11</v>
          </cell>
          <cell r="AT324">
            <v>6</v>
          </cell>
          <cell r="AU324">
            <v>19</v>
          </cell>
          <cell r="AV324">
            <v>3.7109375E-2</v>
          </cell>
        </row>
        <row r="325">
          <cell r="A325" t="str">
            <v>U.S. total</v>
          </cell>
          <cell r="B325">
            <v>85.47</v>
          </cell>
          <cell r="C325">
            <v>0.77</v>
          </cell>
          <cell r="G325" t="str">
            <v>Fractl dels/In prodn fleet</v>
          </cell>
          <cell r="K325">
            <v>0.1043956043956044</v>
          </cell>
          <cell r="L325">
            <v>0.10199999999999999</v>
          </cell>
          <cell r="M325">
            <v>0.10452418096723869</v>
          </cell>
          <cell r="N325">
            <v>0.10217113665389528</v>
          </cell>
          <cell r="O325">
            <v>0.11810012836970475</v>
          </cell>
          <cell r="P325">
            <v>0.13885180240320427</v>
          </cell>
          <cell r="Q325" t="str">
            <v>- excludes older GIVs</v>
          </cell>
          <cell r="U325" t="str">
            <v>Telecommunications</v>
          </cell>
          <cell r="W325">
            <v>0</v>
          </cell>
          <cell r="X325">
            <v>0</v>
          </cell>
          <cell r="Y325">
            <v>5</v>
          </cell>
          <cell r="Z325">
            <v>4</v>
          </cell>
          <cell r="AA325">
            <v>0</v>
          </cell>
          <cell r="AB325">
            <v>9</v>
          </cell>
          <cell r="AC325">
            <v>8.1743869209809257E-3</v>
          </cell>
          <cell r="AE325">
            <v>8.8669950738916262E-3</v>
          </cell>
          <cell r="AF325" t="str">
            <v>MCI, Qualcomm, Verizon</v>
          </cell>
          <cell r="AP325" t="str">
            <v>Fractional Jet Companies</v>
          </cell>
          <cell r="AR325">
            <v>2</v>
          </cell>
          <cell r="AS325">
            <v>30</v>
          </cell>
          <cell r="AT325">
            <v>12</v>
          </cell>
          <cell r="AU325">
            <v>44</v>
          </cell>
          <cell r="AV325">
            <v>8.59375E-2</v>
          </cell>
          <cell r="AW325" t="str">
            <v>Netjets</v>
          </cell>
        </row>
        <row r="326">
          <cell r="A326" t="str">
            <v>Military</v>
          </cell>
          <cell r="B326">
            <v>4.4400000000000004</v>
          </cell>
          <cell r="C326">
            <v>0.04</v>
          </cell>
          <cell r="G326" t="str">
            <v>Fractl as % of Green dels</v>
          </cell>
          <cell r="K326">
            <v>8.1967213114754092E-2</v>
          </cell>
          <cell r="L326">
            <v>0.11428571428571428</v>
          </cell>
          <cell r="M326">
            <v>0.11267605633802817</v>
          </cell>
          <cell r="N326">
            <v>7.0422535211267609E-2</v>
          </cell>
          <cell r="O326">
            <v>0.11475409836065574</v>
          </cell>
          <cell r="P326">
            <v>0.1</v>
          </cell>
          <cell r="U326" t="str">
            <v>US Government Agencies</v>
          </cell>
          <cell r="W326">
            <v>9</v>
          </cell>
          <cell r="X326">
            <v>17</v>
          </cell>
          <cell r="Y326">
            <v>11</v>
          </cell>
          <cell r="Z326">
            <v>14</v>
          </cell>
          <cell r="AA326">
            <v>0</v>
          </cell>
          <cell r="AB326">
            <v>51</v>
          </cell>
          <cell r="AC326">
            <v>4.632152588555858E-2</v>
          </cell>
          <cell r="AE326">
            <v>2.4630541871921183E-2</v>
          </cell>
          <cell r="AF326" t="str">
            <v>NASA, USAF, USN</v>
          </cell>
          <cell r="AP326" t="str">
            <v>International Govts/Agencies</v>
          </cell>
          <cell r="AR326">
            <v>22</v>
          </cell>
          <cell r="AS326">
            <v>58</v>
          </cell>
          <cell r="AT326">
            <v>22</v>
          </cell>
          <cell r="AU326">
            <v>102</v>
          </cell>
          <cell r="AV326">
            <v>0.19921875</v>
          </cell>
          <cell r="AW326" t="str">
            <v>Kuwait, Saudi Arabia, Egypt, Algeria</v>
          </cell>
        </row>
        <row r="327">
          <cell r="A327" t="str">
            <v>International</v>
          </cell>
          <cell r="U327" t="str">
            <v>Utilities</v>
          </cell>
          <cell r="W327">
            <v>0</v>
          </cell>
          <cell r="X327">
            <v>0</v>
          </cell>
          <cell r="Y327">
            <v>1</v>
          </cell>
          <cell r="Z327">
            <v>0</v>
          </cell>
          <cell r="AA327">
            <v>1</v>
          </cell>
          <cell r="AB327">
            <v>2</v>
          </cell>
          <cell r="AC327">
            <v>1.8165304268846503E-3</v>
          </cell>
          <cell r="AE327">
            <v>9.8522167487684722E-4</v>
          </cell>
          <cell r="AP327" t="str">
            <v>US Government Agencies</v>
          </cell>
          <cell r="AR327">
            <v>22</v>
          </cell>
          <cell r="AS327">
            <v>26</v>
          </cell>
          <cell r="AT327">
            <v>10</v>
          </cell>
          <cell r="AU327">
            <v>58</v>
          </cell>
          <cell r="AV327">
            <v>0.11328125</v>
          </cell>
          <cell r="AW327" t="str">
            <v>USAF</v>
          </cell>
        </row>
        <row r="328">
          <cell r="A328" t="str">
            <v xml:space="preserve">   ME Shs</v>
          </cell>
          <cell r="B328">
            <v>10</v>
          </cell>
          <cell r="C328">
            <v>9.0090090090090086E-2</v>
          </cell>
          <cell r="U328" t="str">
            <v>Not Available</v>
          </cell>
          <cell r="W328">
            <v>68</v>
          </cell>
          <cell r="X328">
            <v>70</v>
          </cell>
          <cell r="Y328">
            <v>139</v>
          </cell>
          <cell r="Z328">
            <v>91</v>
          </cell>
          <cell r="AA328">
            <v>11</v>
          </cell>
          <cell r="AB328">
            <v>379</v>
          </cell>
          <cell r="AE328">
            <v>0.22660098522167488</v>
          </cell>
          <cell r="AP328" t="str">
            <v>Not Available</v>
          </cell>
          <cell r="AR328">
            <v>113</v>
          </cell>
          <cell r="AS328">
            <v>163</v>
          </cell>
          <cell r="AT328">
            <v>19</v>
          </cell>
          <cell r="AU328">
            <v>295</v>
          </cell>
        </row>
        <row r="329">
          <cell r="A329" t="str">
            <v xml:space="preserve">   Other</v>
          </cell>
          <cell r="B329">
            <v>11</v>
          </cell>
          <cell r="C329">
            <v>9.90990990990991E-2</v>
          </cell>
          <cell r="G329" t="str">
            <v>GAC Projected Deliveries/Backlog</v>
          </cell>
          <cell r="U329" t="str">
            <v>Total</v>
          </cell>
          <cell r="W329">
            <v>202</v>
          </cell>
          <cell r="X329">
            <v>216</v>
          </cell>
          <cell r="Y329">
            <v>630</v>
          </cell>
          <cell r="Z329">
            <v>385</v>
          </cell>
          <cell r="AA329">
            <v>47</v>
          </cell>
          <cell r="AB329">
            <v>1480</v>
          </cell>
          <cell r="AE329">
            <v>0.68581081081081086</v>
          </cell>
          <cell r="AP329" t="str">
            <v>TOTAL</v>
          </cell>
          <cell r="AR329">
            <v>195</v>
          </cell>
          <cell r="AS329">
            <v>464</v>
          </cell>
          <cell r="AT329">
            <v>148</v>
          </cell>
          <cell r="AU329">
            <v>807</v>
          </cell>
        </row>
        <row r="330">
          <cell r="A330" t="str">
            <v>Intl total</v>
          </cell>
          <cell r="B330">
            <v>21</v>
          </cell>
          <cell r="C330">
            <v>0.1891891891891892</v>
          </cell>
          <cell r="J330">
            <v>1999</v>
          </cell>
          <cell r="K330">
            <v>2000</v>
          </cell>
          <cell r="L330">
            <v>2001</v>
          </cell>
          <cell r="M330">
            <v>2002</v>
          </cell>
          <cell r="N330" t="str">
            <v>2003E</v>
          </cell>
          <cell r="O330" t="str">
            <v>2004E</v>
          </cell>
          <cell r="P330" t="str">
            <v>2005E</v>
          </cell>
          <cell r="U330" t="str">
            <v>Source: Ascend Worldwide, Company Websites, SEC Filings</v>
          </cell>
          <cell r="AU330">
            <v>53.8</v>
          </cell>
        </row>
        <row r="331">
          <cell r="A331" t="str">
            <v>Total</v>
          </cell>
          <cell r="B331">
            <v>111</v>
          </cell>
          <cell r="G331" t="str">
            <v>Beginning backlog</v>
          </cell>
          <cell r="J331">
            <v>117</v>
          </cell>
          <cell r="K331">
            <v>91</v>
          </cell>
          <cell r="L331">
            <v>102</v>
          </cell>
          <cell r="M331">
            <v>141</v>
          </cell>
          <cell r="N331">
            <v>189</v>
          </cell>
          <cell r="O331">
            <v>176</v>
          </cell>
          <cell r="P331">
            <v>152</v>
          </cell>
        </row>
        <row r="332">
          <cell r="A332" t="str">
            <v>Fractional total</v>
          </cell>
          <cell r="B332">
            <v>47</v>
          </cell>
          <cell r="C332">
            <v>0.42342342342342343</v>
          </cell>
        </row>
        <row r="333">
          <cell r="G333" t="str">
            <v>Deliveries</v>
          </cell>
          <cell r="J333">
            <v>70</v>
          </cell>
          <cell r="K333">
            <v>71</v>
          </cell>
          <cell r="L333">
            <v>84</v>
          </cell>
          <cell r="M333">
            <v>85</v>
          </cell>
          <cell r="N333">
            <v>74</v>
          </cell>
          <cell r="O333">
            <v>78</v>
          </cell>
          <cell r="P333">
            <v>89</v>
          </cell>
        </row>
        <row r="334">
          <cell r="G334" t="str">
            <v xml:space="preserve"> - filled delivery slots</v>
          </cell>
          <cell r="J334">
            <v>70</v>
          </cell>
          <cell r="K334">
            <v>71</v>
          </cell>
          <cell r="L334">
            <v>84</v>
          </cell>
          <cell r="M334">
            <v>85</v>
          </cell>
          <cell r="N334">
            <v>60</v>
          </cell>
          <cell r="O334">
            <v>50</v>
          </cell>
          <cell r="P334">
            <v>35</v>
          </cell>
        </row>
        <row r="336">
          <cell r="G336" t="str">
            <v>Orders</v>
          </cell>
          <cell r="J336">
            <v>44</v>
          </cell>
          <cell r="K336">
            <v>82</v>
          </cell>
          <cell r="L336">
            <v>123</v>
          </cell>
          <cell r="M336">
            <v>133</v>
          </cell>
          <cell r="N336">
            <v>75</v>
          </cell>
          <cell r="O336">
            <v>82</v>
          </cell>
          <cell r="P336">
            <v>82</v>
          </cell>
        </row>
        <row r="337">
          <cell r="A337" t="str">
            <v>Fraction shs</v>
          </cell>
          <cell r="C337" t="str">
            <v>Q1:99</v>
          </cell>
          <cell r="D337" t="str">
            <v>% Breakdown</v>
          </cell>
          <cell r="G337" t="str">
            <v>- implied unfilled</v>
          </cell>
          <cell r="J337">
            <v>0</v>
          </cell>
          <cell r="K337">
            <v>0</v>
          </cell>
          <cell r="L337">
            <v>0</v>
          </cell>
          <cell r="M337">
            <v>0</v>
          </cell>
          <cell r="N337">
            <v>14</v>
          </cell>
          <cell r="O337">
            <v>28</v>
          </cell>
          <cell r="P337">
            <v>54</v>
          </cell>
        </row>
        <row r="338">
          <cell r="A338" t="str">
            <v>A.c. in operation</v>
          </cell>
          <cell r="C338">
            <v>19</v>
          </cell>
          <cell r="G338" t="str">
            <v>- net backlog add</v>
          </cell>
          <cell r="J338">
            <v>44</v>
          </cell>
          <cell r="K338">
            <v>82</v>
          </cell>
          <cell r="L338">
            <v>123</v>
          </cell>
          <cell r="M338">
            <v>133</v>
          </cell>
          <cell r="N338">
            <v>61</v>
          </cell>
          <cell r="O338">
            <v>54</v>
          </cell>
          <cell r="P338">
            <v>28</v>
          </cell>
        </row>
        <row r="339">
          <cell r="A339" t="str">
            <v>Number of shs</v>
          </cell>
          <cell r="C339">
            <v>116</v>
          </cell>
        </row>
        <row r="340">
          <cell r="A340" t="str">
            <v xml:space="preserve">  - 1st  time buyer</v>
          </cell>
          <cell r="C340">
            <v>52.2</v>
          </cell>
          <cell r="D340">
            <v>0.45</v>
          </cell>
          <cell r="G340" t="str">
            <v>Ending backlog</v>
          </cell>
          <cell r="J340">
            <v>91</v>
          </cell>
          <cell r="K340">
            <v>102</v>
          </cell>
          <cell r="L340">
            <v>141</v>
          </cell>
          <cell r="M340">
            <v>189</v>
          </cell>
          <cell r="N340">
            <v>176</v>
          </cell>
          <cell r="O340">
            <v>152</v>
          </cell>
          <cell r="P340">
            <v>91</v>
          </cell>
        </row>
        <row r="341">
          <cell r="A341" t="str">
            <v xml:space="preserve">  - new GAC owner</v>
          </cell>
          <cell r="C341">
            <v>54.230000000000004</v>
          </cell>
          <cell r="D341">
            <v>0.46750000000000003</v>
          </cell>
          <cell r="G341" t="str">
            <v>Backlog/dels</v>
          </cell>
          <cell r="J341">
            <v>1.3</v>
          </cell>
          <cell r="K341">
            <v>1.4366197183098592</v>
          </cell>
          <cell r="L341">
            <v>1.6785714285714286</v>
          </cell>
          <cell r="M341">
            <v>2.223529411764706</v>
          </cell>
          <cell r="N341">
            <v>2.3783783783783785</v>
          </cell>
          <cell r="O341">
            <v>1.9487179487179487</v>
          </cell>
          <cell r="P341">
            <v>1.0224719101123596</v>
          </cell>
        </row>
        <row r="342">
          <cell r="A342" t="str">
            <v xml:space="preserve">  - prior GAC owner</v>
          </cell>
          <cell r="C342">
            <v>9.57</v>
          </cell>
          <cell r="D342">
            <v>8.2500000000000004E-2</v>
          </cell>
          <cell r="L342">
            <v>2</v>
          </cell>
          <cell r="AD342">
            <v>2</v>
          </cell>
          <cell r="AI342">
            <v>1.99</v>
          </cell>
          <cell r="AJ342">
            <v>1</v>
          </cell>
          <cell r="AK342">
            <v>1</v>
          </cell>
          <cell r="AL342">
            <v>1</v>
          </cell>
        </row>
        <row r="343">
          <cell r="A343">
            <v>1968</v>
          </cell>
          <cell r="L343">
            <v>35</v>
          </cell>
          <cell r="AD343">
            <v>37</v>
          </cell>
          <cell r="AI343">
            <v>36.814999999999998</v>
          </cell>
          <cell r="AJ343">
            <v>2</v>
          </cell>
          <cell r="AK343">
            <v>11</v>
          </cell>
          <cell r="AL343">
            <v>2</v>
          </cell>
        </row>
        <row r="344">
          <cell r="A344">
            <v>1969</v>
          </cell>
          <cell r="L344">
            <v>37</v>
          </cell>
          <cell r="AD344">
            <v>74</v>
          </cell>
          <cell r="AI344">
            <v>73.63</v>
          </cell>
          <cell r="AJ344">
            <v>3</v>
          </cell>
          <cell r="AK344">
            <v>37</v>
          </cell>
          <cell r="AL344">
            <v>3</v>
          </cell>
        </row>
        <row r="345">
          <cell r="A345">
            <v>1970</v>
          </cell>
          <cell r="L345">
            <v>16</v>
          </cell>
          <cell r="AD345">
            <v>90</v>
          </cell>
          <cell r="AI345">
            <v>89.55</v>
          </cell>
          <cell r="AJ345">
            <v>4</v>
          </cell>
          <cell r="AK345">
            <v>86</v>
          </cell>
          <cell r="AL345">
            <v>4</v>
          </cell>
        </row>
        <row r="346">
          <cell r="A346">
            <v>1971</v>
          </cell>
          <cell r="L346">
            <v>12</v>
          </cell>
          <cell r="AD346">
            <v>102</v>
          </cell>
          <cell r="AI346">
            <v>101.49</v>
          </cell>
          <cell r="AJ346">
            <v>5</v>
          </cell>
          <cell r="AK346">
            <v>124</v>
          </cell>
          <cell r="AL346">
            <v>5</v>
          </cell>
        </row>
        <row r="347">
          <cell r="A347">
            <v>1972</v>
          </cell>
          <cell r="L347">
            <v>16</v>
          </cell>
          <cell r="AD347">
            <v>118</v>
          </cell>
          <cell r="AI347">
            <v>117.41</v>
          </cell>
          <cell r="AJ347">
            <v>6</v>
          </cell>
          <cell r="AK347">
            <v>155</v>
          </cell>
          <cell r="AL347">
            <v>6</v>
          </cell>
        </row>
        <row r="348">
          <cell r="A348">
            <v>1973</v>
          </cell>
          <cell r="L348">
            <v>17</v>
          </cell>
          <cell r="AD348">
            <v>135</v>
          </cell>
          <cell r="AI348">
            <v>134.32499999999999</v>
          </cell>
          <cell r="AJ348">
            <v>7</v>
          </cell>
          <cell r="AK348">
            <v>184</v>
          </cell>
          <cell r="AL348">
            <v>7</v>
          </cell>
        </row>
        <row r="349">
          <cell r="A349">
            <v>1974</v>
          </cell>
          <cell r="L349">
            <v>17</v>
          </cell>
          <cell r="AD349">
            <v>152</v>
          </cell>
          <cell r="AI349">
            <v>151.24</v>
          </cell>
          <cell r="AJ349">
            <v>8</v>
          </cell>
          <cell r="AK349">
            <v>209</v>
          </cell>
          <cell r="AL349">
            <v>8</v>
          </cell>
        </row>
        <row r="350">
          <cell r="A350">
            <v>1975</v>
          </cell>
          <cell r="L350">
            <v>14</v>
          </cell>
          <cell r="AD350">
            <v>166</v>
          </cell>
          <cell r="AI350">
            <v>165.17</v>
          </cell>
          <cell r="AJ350">
            <v>9</v>
          </cell>
          <cell r="AK350">
            <v>235</v>
          </cell>
          <cell r="AL350">
            <v>9</v>
          </cell>
        </row>
        <row r="351">
          <cell r="A351" t="str">
            <v>Gulfstream Product  Lifecycle</v>
          </cell>
          <cell r="L351">
            <v>23</v>
          </cell>
          <cell r="AD351">
            <v>189</v>
          </cell>
          <cell r="AI351">
            <v>188.05500000000001</v>
          </cell>
          <cell r="AJ351">
            <v>10</v>
          </cell>
          <cell r="AK351">
            <v>257</v>
          </cell>
          <cell r="AL351">
            <v>10</v>
          </cell>
        </row>
        <row r="352">
          <cell r="A352">
            <v>1977</v>
          </cell>
          <cell r="G352" t="str">
            <v>Aircraft Deliveries</v>
          </cell>
          <cell r="L352">
            <v>16</v>
          </cell>
          <cell r="O352" t="str">
            <v>Firm</v>
          </cell>
          <cell r="W352" t="str">
            <v>Cum deliveries</v>
          </cell>
          <cell r="AD352">
            <v>205</v>
          </cell>
          <cell r="AI352">
            <v>203.97499999999999</v>
          </cell>
          <cell r="AJ352">
            <v>11</v>
          </cell>
          <cell r="AK352">
            <v>283</v>
          </cell>
          <cell r="AL352">
            <v>11</v>
          </cell>
        </row>
        <row r="353">
          <cell r="A353">
            <v>1978</v>
          </cell>
          <cell r="B353" t="str">
            <v>GII</v>
          </cell>
          <cell r="C353" t="str">
            <v>GIII</v>
          </cell>
          <cell r="D353" t="str">
            <v>GIV/SP (400)</v>
          </cell>
          <cell r="E353" t="str">
            <v>GV</v>
          </cell>
          <cell r="F353" t="str">
            <v>GVSP/550</v>
          </cell>
          <cell r="G353" t="str">
            <v>G100</v>
          </cell>
          <cell r="H353" t="str">
            <v>G150</v>
          </cell>
          <cell r="I353" t="str">
            <v>G200</v>
          </cell>
          <cell r="J353" t="str">
            <v>G300/350</v>
          </cell>
          <cell r="K353" t="str">
            <v>G450</v>
          </cell>
          <cell r="L353" t="str">
            <v>G500</v>
          </cell>
          <cell r="M353" t="str">
            <v>Total</v>
          </cell>
          <cell r="N353" t="str">
            <v>Orders</v>
          </cell>
          <cell r="O353" t="str">
            <v>Backlog</v>
          </cell>
          <cell r="P353" t="str">
            <v>Years</v>
          </cell>
          <cell r="Q353" t="str">
            <v>GII</v>
          </cell>
          <cell r="R353" t="str">
            <v>GIII</v>
          </cell>
          <cell r="S353" t="str">
            <v>GIV/SP (G400)</v>
          </cell>
          <cell r="T353" t="str">
            <v>GV</v>
          </cell>
          <cell r="U353" t="str">
            <v>GVSP</v>
          </cell>
          <cell r="V353" t="str">
            <v>G100</v>
          </cell>
          <cell r="W353" t="str">
            <v>G150</v>
          </cell>
          <cell r="X353" t="str">
            <v>G200</v>
          </cell>
          <cell r="Y353" t="str">
            <v>G300</v>
          </cell>
          <cell r="Z353" t="str">
            <v>G450</v>
          </cell>
          <cell r="AA353" t="str">
            <v>G500</v>
          </cell>
          <cell r="AB353" t="str">
            <v>Total</v>
          </cell>
          <cell r="AC353" t="str">
            <v>Est. Fleet</v>
          </cell>
          <cell r="AD353" t="str">
            <v>YEAR</v>
          </cell>
          <cell r="AF353" t="str">
            <v>Yr of Program</v>
          </cell>
          <cell r="AG353" t="str">
            <v>GII</v>
          </cell>
          <cell r="AH353" t="str">
            <v>GIII</v>
          </cell>
          <cell r="AI353" t="str">
            <v>GIV/SP</v>
          </cell>
          <cell r="AJ353" t="str">
            <v>GV</v>
          </cell>
          <cell r="AK353" t="str">
            <v>GVSP</v>
          </cell>
          <cell r="AL353" t="str">
            <v>G100</v>
          </cell>
          <cell r="AM353" t="str">
            <v>G150</v>
          </cell>
          <cell r="AN353" t="str">
            <v>G200</v>
          </cell>
          <cell r="AO353" t="str">
            <v>G300</v>
          </cell>
          <cell r="AP353" t="str">
            <v>G450</v>
          </cell>
          <cell r="AQ353" t="str">
            <v>G500</v>
          </cell>
        </row>
        <row r="354">
          <cell r="A354">
            <v>1967</v>
          </cell>
          <cell r="B354">
            <v>2</v>
          </cell>
          <cell r="L354">
            <v>19</v>
          </cell>
          <cell r="M354">
            <v>2</v>
          </cell>
          <cell r="Q354">
            <v>2</v>
          </cell>
          <cell r="AB354">
            <v>2</v>
          </cell>
          <cell r="AC354">
            <v>1.99</v>
          </cell>
          <cell r="AD354">
            <v>1</v>
          </cell>
          <cell r="AF354">
            <v>1</v>
          </cell>
          <cell r="AG354">
            <v>2</v>
          </cell>
          <cell r="AH354">
            <v>1</v>
          </cell>
          <cell r="AI354">
            <v>1</v>
          </cell>
          <cell r="AJ354">
            <v>3</v>
          </cell>
          <cell r="AK354">
            <v>1</v>
          </cell>
          <cell r="AL354">
            <v>5</v>
          </cell>
          <cell r="AM354">
            <v>14</v>
          </cell>
          <cell r="AN354">
            <v>8</v>
          </cell>
          <cell r="AO354">
            <v>8</v>
          </cell>
          <cell r="AP354">
            <v>8</v>
          </cell>
          <cell r="AQ354">
            <v>1</v>
          </cell>
        </row>
        <row r="355">
          <cell r="A355">
            <v>1968</v>
          </cell>
          <cell r="B355">
            <v>35</v>
          </cell>
          <cell r="L355">
            <v>27</v>
          </cell>
          <cell r="M355">
            <v>35</v>
          </cell>
          <cell r="Q355">
            <v>37</v>
          </cell>
          <cell r="AB355">
            <v>37</v>
          </cell>
          <cell r="AC355">
            <v>36.814999999999998</v>
          </cell>
          <cell r="AD355">
            <v>2</v>
          </cell>
          <cell r="AF355">
            <v>2</v>
          </cell>
          <cell r="AG355">
            <v>37</v>
          </cell>
          <cell r="AH355">
            <v>20</v>
          </cell>
          <cell r="AI355">
            <v>11</v>
          </cell>
          <cell r="AJ355">
            <v>32</v>
          </cell>
          <cell r="AK355">
            <v>29</v>
          </cell>
          <cell r="AL355">
            <v>14</v>
          </cell>
          <cell r="AM355">
            <v>51</v>
          </cell>
          <cell r="AN355">
            <v>23</v>
          </cell>
          <cell r="AO355">
            <v>13</v>
          </cell>
          <cell r="AP355">
            <v>28</v>
          </cell>
          <cell r="AQ355">
            <v>4</v>
          </cell>
        </row>
        <row r="356">
          <cell r="A356">
            <v>1969</v>
          </cell>
          <cell r="B356">
            <v>37</v>
          </cell>
          <cell r="L356">
            <v>25</v>
          </cell>
          <cell r="M356">
            <v>37</v>
          </cell>
          <cell r="Q356">
            <v>74</v>
          </cell>
          <cell r="R356">
            <v>58</v>
          </cell>
          <cell r="AB356">
            <v>74</v>
          </cell>
          <cell r="AC356">
            <v>73.63</v>
          </cell>
          <cell r="AD356">
            <v>3</v>
          </cell>
          <cell r="AF356">
            <v>3</v>
          </cell>
          <cell r="AG356">
            <v>74</v>
          </cell>
          <cell r="AH356">
            <v>45</v>
          </cell>
          <cell r="AI356">
            <v>37</v>
          </cell>
          <cell r="AJ356">
            <v>61</v>
          </cell>
          <cell r="AK356">
            <v>61</v>
          </cell>
          <cell r="AL356">
            <v>19</v>
          </cell>
          <cell r="AM356">
            <v>95</v>
          </cell>
          <cell r="AN356">
            <v>42</v>
          </cell>
          <cell r="AO356">
            <v>20</v>
          </cell>
          <cell r="AP356">
            <v>58</v>
          </cell>
          <cell r="AQ356">
            <v>10</v>
          </cell>
        </row>
        <row r="357">
          <cell r="A357">
            <v>1970</v>
          </cell>
          <cell r="B357">
            <v>16</v>
          </cell>
          <cell r="L357">
            <v>36</v>
          </cell>
          <cell r="M357">
            <v>16</v>
          </cell>
          <cell r="Q357">
            <v>90</v>
          </cell>
          <cell r="R357">
            <v>37</v>
          </cell>
          <cell r="AB357">
            <v>90</v>
          </cell>
          <cell r="AC357">
            <v>89.55</v>
          </cell>
          <cell r="AD357">
            <v>4</v>
          </cell>
          <cell r="AF357">
            <v>4</v>
          </cell>
          <cell r="AG357">
            <v>90</v>
          </cell>
          <cell r="AH357">
            <v>81</v>
          </cell>
          <cell r="AI357">
            <v>86</v>
          </cell>
          <cell r="AJ357">
            <v>92</v>
          </cell>
          <cell r="AK357">
            <v>96</v>
          </cell>
          <cell r="AL357">
            <v>23</v>
          </cell>
          <cell r="AM357">
            <v>139</v>
          </cell>
          <cell r="AN357">
            <v>60</v>
          </cell>
          <cell r="AO357">
            <v>22</v>
          </cell>
          <cell r="AP357">
            <v>90</v>
          </cell>
          <cell r="AQ357">
            <v>17</v>
          </cell>
        </row>
        <row r="358">
          <cell r="A358">
            <v>1971</v>
          </cell>
          <cell r="B358">
            <v>12</v>
          </cell>
          <cell r="L358">
            <v>36</v>
          </cell>
          <cell r="M358">
            <v>12</v>
          </cell>
          <cell r="Q358">
            <v>102</v>
          </cell>
          <cell r="R358">
            <v>55</v>
          </cell>
          <cell r="AB358">
            <v>102</v>
          </cell>
          <cell r="AC358">
            <v>101.49</v>
          </cell>
          <cell r="AD358">
            <v>5</v>
          </cell>
          <cell r="AF358">
            <v>5</v>
          </cell>
          <cell r="AG358">
            <v>102</v>
          </cell>
          <cell r="AH358">
            <v>117</v>
          </cell>
          <cell r="AI358">
            <v>124</v>
          </cell>
          <cell r="AJ358">
            <v>125</v>
          </cell>
          <cell r="AK358">
            <v>132</v>
          </cell>
          <cell r="AL358">
            <v>27</v>
          </cell>
          <cell r="AM358">
            <v>169</v>
          </cell>
          <cell r="AN358">
            <v>82</v>
          </cell>
          <cell r="AO358">
            <v>30</v>
          </cell>
          <cell r="AP358">
            <v>126</v>
          </cell>
          <cell r="AQ358">
            <v>23</v>
          </cell>
        </row>
        <row r="359">
          <cell r="A359">
            <v>1972</v>
          </cell>
          <cell r="B359">
            <v>16</v>
          </cell>
          <cell r="L359">
            <v>36</v>
          </cell>
          <cell r="M359">
            <v>16</v>
          </cell>
          <cell r="Q359">
            <v>118</v>
          </cell>
          <cell r="R359">
            <v>79</v>
          </cell>
          <cell r="AB359">
            <v>118</v>
          </cell>
          <cell r="AC359">
            <v>117.41</v>
          </cell>
          <cell r="AD359">
            <v>6</v>
          </cell>
          <cell r="AF359">
            <v>6</v>
          </cell>
          <cell r="AG359">
            <v>118</v>
          </cell>
          <cell r="AH359">
            <v>153</v>
          </cell>
          <cell r="AI359">
            <v>155</v>
          </cell>
          <cell r="AJ359">
            <v>160</v>
          </cell>
          <cell r="AK359">
            <v>169</v>
          </cell>
          <cell r="AL359">
            <v>28</v>
          </cell>
          <cell r="AN359">
            <v>109</v>
          </cell>
          <cell r="AO359">
            <v>39</v>
          </cell>
          <cell r="AP359">
            <v>161</v>
          </cell>
          <cell r="AQ359">
            <v>29</v>
          </cell>
        </row>
        <row r="360">
          <cell r="A360">
            <v>1973</v>
          </cell>
          <cell r="B360">
            <v>17</v>
          </cell>
          <cell r="L360">
            <v>25</v>
          </cell>
          <cell r="M360">
            <v>17</v>
          </cell>
          <cell r="Q360">
            <v>135</v>
          </cell>
          <cell r="R360">
            <v>72</v>
          </cell>
          <cell r="AB360">
            <v>135</v>
          </cell>
          <cell r="AC360">
            <v>134.32499999999999</v>
          </cell>
          <cell r="AD360">
            <v>7</v>
          </cell>
          <cell r="AF360">
            <v>7</v>
          </cell>
          <cell r="AG360">
            <v>135</v>
          </cell>
          <cell r="AH360">
            <v>177</v>
          </cell>
          <cell r="AI360">
            <v>184</v>
          </cell>
          <cell r="AJ360">
            <v>191</v>
          </cell>
          <cell r="AK360">
            <v>207</v>
          </cell>
          <cell r="AN360">
            <v>133</v>
          </cell>
          <cell r="AO360">
            <v>48</v>
          </cell>
          <cell r="AP360">
            <v>196</v>
          </cell>
        </row>
        <row r="361">
          <cell r="A361">
            <v>1974</v>
          </cell>
          <cell r="B361">
            <v>17</v>
          </cell>
          <cell r="L361">
            <v>26</v>
          </cell>
          <cell r="M361">
            <v>17</v>
          </cell>
          <cell r="Q361">
            <v>152</v>
          </cell>
          <cell r="R361">
            <v>68</v>
          </cell>
          <cell r="AB361">
            <v>152</v>
          </cell>
          <cell r="AC361">
            <v>151.24</v>
          </cell>
          <cell r="AD361">
            <v>8</v>
          </cell>
          <cell r="AF361">
            <v>8</v>
          </cell>
          <cell r="AG361">
            <v>152</v>
          </cell>
          <cell r="AH361">
            <v>193</v>
          </cell>
          <cell r="AI361">
            <v>209</v>
          </cell>
          <cell r="AJ361">
            <v>192</v>
          </cell>
          <cell r="AK361">
            <v>247</v>
          </cell>
          <cell r="AN361">
            <v>157</v>
          </cell>
          <cell r="AO361">
            <v>57</v>
          </cell>
        </row>
        <row r="362">
          <cell r="A362">
            <v>1975</v>
          </cell>
          <cell r="B362">
            <v>14</v>
          </cell>
          <cell r="L362">
            <v>32</v>
          </cell>
          <cell r="M362">
            <v>14</v>
          </cell>
          <cell r="Q362">
            <v>166</v>
          </cell>
          <cell r="R362">
            <v>63</v>
          </cell>
          <cell r="AB362">
            <v>166</v>
          </cell>
          <cell r="AC362">
            <v>165.17</v>
          </cell>
          <cell r="AD362">
            <v>9</v>
          </cell>
          <cell r="AF362">
            <v>9</v>
          </cell>
          <cell r="AG362">
            <v>166</v>
          </cell>
          <cell r="AH362">
            <v>199</v>
          </cell>
          <cell r="AI362">
            <v>235</v>
          </cell>
          <cell r="AK362">
            <v>289</v>
          </cell>
          <cell r="AN362">
            <v>187</v>
          </cell>
        </row>
        <row r="363">
          <cell r="A363">
            <v>1976</v>
          </cell>
          <cell r="B363">
            <v>23</v>
          </cell>
          <cell r="L363">
            <v>51</v>
          </cell>
          <cell r="M363">
            <v>23</v>
          </cell>
          <cell r="Q363">
            <v>189</v>
          </cell>
          <cell r="R363">
            <v>24</v>
          </cell>
          <cell r="AB363">
            <v>189</v>
          </cell>
          <cell r="AC363">
            <v>188.05500000000001</v>
          </cell>
          <cell r="AD363">
            <v>10</v>
          </cell>
          <cell r="AF363">
            <v>10</v>
          </cell>
          <cell r="AG363">
            <v>189</v>
          </cell>
          <cell r="AH363">
            <v>201</v>
          </cell>
          <cell r="AI363">
            <v>257</v>
          </cell>
          <cell r="AN363">
            <v>217</v>
          </cell>
        </row>
        <row r="364">
          <cell r="A364">
            <v>1977</v>
          </cell>
          <cell r="B364">
            <v>16</v>
          </cell>
          <cell r="L364">
            <v>38</v>
          </cell>
          <cell r="M364">
            <v>16</v>
          </cell>
          <cell r="Q364">
            <v>205</v>
          </cell>
          <cell r="R364">
            <v>13</v>
          </cell>
          <cell r="AB364">
            <v>205</v>
          </cell>
          <cell r="AC364">
            <v>203.97499999999999</v>
          </cell>
          <cell r="AD364">
            <v>11</v>
          </cell>
          <cell r="AF364">
            <v>11</v>
          </cell>
          <cell r="AG364">
            <v>205</v>
          </cell>
          <cell r="AI364">
            <v>283</v>
          </cell>
        </row>
        <row r="365">
          <cell r="A365">
            <v>1978</v>
          </cell>
          <cell r="B365">
            <v>23</v>
          </cell>
          <cell r="L365">
            <v>31</v>
          </cell>
          <cell r="M365">
            <v>23</v>
          </cell>
          <cell r="O365" t="str">
            <v xml:space="preserve"> </v>
          </cell>
          <cell r="Q365">
            <v>228</v>
          </cell>
          <cell r="R365">
            <v>2</v>
          </cell>
          <cell r="AB365">
            <v>228</v>
          </cell>
          <cell r="AC365">
            <v>226.86</v>
          </cell>
          <cell r="AD365">
            <v>12</v>
          </cell>
          <cell r="AF365">
            <v>12</v>
          </cell>
          <cell r="AG365">
            <v>228</v>
          </cell>
          <cell r="AI365">
            <v>307</v>
          </cell>
        </row>
        <row r="366">
          <cell r="A366">
            <v>1979</v>
          </cell>
          <cell r="B366">
            <v>18</v>
          </cell>
          <cell r="C366">
            <v>1</v>
          </cell>
          <cell r="L366">
            <v>29</v>
          </cell>
          <cell r="M366">
            <v>19</v>
          </cell>
          <cell r="Q366">
            <v>246</v>
          </cell>
          <cell r="R366">
            <v>1</v>
          </cell>
          <cell r="AB366">
            <v>247</v>
          </cell>
          <cell r="AC366">
            <v>245.76499999999999</v>
          </cell>
          <cell r="AD366">
            <v>13</v>
          </cell>
          <cell r="AF366">
            <v>13</v>
          </cell>
          <cell r="AG366">
            <v>246</v>
          </cell>
          <cell r="AI366">
            <v>329</v>
          </cell>
        </row>
        <row r="367">
          <cell r="A367">
            <v>1980</v>
          </cell>
          <cell r="B367">
            <v>8</v>
          </cell>
          <cell r="C367">
            <v>19</v>
          </cell>
          <cell r="L367">
            <v>25</v>
          </cell>
          <cell r="M367">
            <v>27</v>
          </cell>
          <cell r="Q367">
            <v>254</v>
          </cell>
          <cell r="R367">
            <v>20</v>
          </cell>
          <cell r="AB367">
            <v>274</v>
          </cell>
          <cell r="AC367">
            <v>272.63</v>
          </cell>
          <cell r="AD367">
            <v>14</v>
          </cell>
          <cell r="AF367">
            <v>14</v>
          </cell>
          <cell r="AG367">
            <v>254</v>
          </cell>
          <cell r="AI367">
            <v>361</v>
          </cell>
        </row>
        <row r="368">
          <cell r="A368">
            <v>1981</v>
          </cell>
          <cell r="C368">
            <v>25</v>
          </cell>
          <cell r="L368">
            <v>26</v>
          </cell>
          <cell r="M368">
            <v>25</v>
          </cell>
          <cell r="O368">
            <v>58</v>
          </cell>
          <cell r="P368">
            <v>1.6111111111111112</v>
          </cell>
          <cell r="R368">
            <v>45</v>
          </cell>
          <cell r="AB368">
            <v>299</v>
          </cell>
          <cell r="AC368">
            <v>297.505</v>
          </cell>
          <cell r="AD368">
            <v>15</v>
          </cell>
          <cell r="AF368">
            <v>15</v>
          </cell>
          <cell r="AI368">
            <v>400</v>
          </cell>
        </row>
        <row r="369">
          <cell r="A369">
            <v>1982</v>
          </cell>
          <cell r="C369">
            <v>36</v>
          </cell>
          <cell r="L369">
            <v>22</v>
          </cell>
          <cell r="M369">
            <v>36</v>
          </cell>
          <cell r="N369">
            <v>15</v>
          </cell>
          <cell r="O369">
            <v>37</v>
          </cell>
          <cell r="P369">
            <v>1.0277777777777777</v>
          </cell>
          <cell r="R369">
            <v>81</v>
          </cell>
          <cell r="AB369">
            <v>335</v>
          </cell>
          <cell r="AC369">
            <v>333.32499999999999</v>
          </cell>
          <cell r="AD369">
            <v>16</v>
          </cell>
          <cell r="AF369">
            <v>16</v>
          </cell>
          <cell r="AI369">
            <v>438</v>
          </cell>
        </row>
        <row r="370">
          <cell r="A370">
            <v>1983</v>
          </cell>
          <cell r="C370">
            <v>36</v>
          </cell>
          <cell r="L370">
            <v>26</v>
          </cell>
          <cell r="M370">
            <v>36</v>
          </cell>
          <cell r="N370">
            <v>54</v>
          </cell>
          <cell r="O370">
            <v>55</v>
          </cell>
          <cell r="P370">
            <v>1.5277777777777777</v>
          </cell>
          <cell r="R370">
            <v>117</v>
          </cell>
          <cell r="AB370">
            <v>371</v>
          </cell>
          <cell r="AC370">
            <v>365.435</v>
          </cell>
          <cell r="AD370">
            <v>17</v>
          </cell>
          <cell r="AF370">
            <v>17</v>
          </cell>
          <cell r="AI370">
            <v>474</v>
          </cell>
        </row>
        <row r="371">
          <cell r="A371">
            <v>1984</v>
          </cell>
          <cell r="C371">
            <v>36</v>
          </cell>
          <cell r="L371">
            <v>27</v>
          </cell>
          <cell r="M371">
            <v>36</v>
          </cell>
          <cell r="N371">
            <v>60</v>
          </cell>
          <cell r="O371">
            <v>79</v>
          </cell>
          <cell r="P371">
            <v>3.16</v>
          </cell>
          <cell r="R371">
            <v>153</v>
          </cell>
          <cell r="AB371">
            <v>407</v>
          </cell>
          <cell r="AC371">
            <v>400.89499999999998</v>
          </cell>
          <cell r="AD371">
            <v>18</v>
          </cell>
          <cell r="AF371">
            <v>18</v>
          </cell>
          <cell r="AI371">
            <v>503</v>
          </cell>
        </row>
        <row r="372">
          <cell r="A372">
            <v>1985</v>
          </cell>
          <cell r="C372">
            <v>24</v>
          </cell>
          <cell r="D372">
            <v>1</v>
          </cell>
          <cell r="L372">
            <v>51</v>
          </cell>
          <cell r="M372">
            <v>25</v>
          </cell>
          <cell r="N372">
            <v>18</v>
          </cell>
          <cell r="O372">
            <v>72</v>
          </cell>
          <cell r="P372">
            <v>2.7692307692307692</v>
          </cell>
          <cell r="R372">
            <v>177</v>
          </cell>
          <cell r="S372">
            <v>1</v>
          </cell>
          <cell r="AB372">
            <v>432</v>
          </cell>
          <cell r="AC372">
            <v>425.52</v>
          </cell>
          <cell r="AD372">
            <v>19</v>
          </cell>
          <cell r="AF372">
            <v>19</v>
          </cell>
          <cell r="AI372">
            <v>516</v>
          </cell>
        </row>
        <row r="373">
          <cell r="A373">
            <v>1986</v>
          </cell>
          <cell r="C373">
            <v>16</v>
          </cell>
          <cell r="D373">
            <v>10</v>
          </cell>
          <cell r="L373">
            <v>61</v>
          </cell>
          <cell r="M373">
            <v>26</v>
          </cell>
          <cell r="N373">
            <v>22</v>
          </cell>
          <cell r="O373">
            <v>68</v>
          </cell>
          <cell r="P373">
            <v>2.125</v>
          </cell>
          <cell r="R373">
            <v>193</v>
          </cell>
          <cell r="S373">
            <v>11</v>
          </cell>
          <cell r="AB373">
            <v>458</v>
          </cell>
          <cell r="AC373">
            <v>451.13</v>
          </cell>
          <cell r="AD373">
            <v>20</v>
          </cell>
          <cell r="AF373">
            <v>20</v>
          </cell>
          <cell r="AI373">
            <v>527</v>
          </cell>
        </row>
        <row r="374">
          <cell r="A374">
            <v>1987</v>
          </cell>
          <cell r="C374">
            <v>6</v>
          </cell>
          <cell r="D374">
            <v>26</v>
          </cell>
          <cell r="M374">
            <v>32</v>
          </cell>
          <cell r="N374">
            <v>27</v>
          </cell>
          <cell r="O374">
            <v>63</v>
          </cell>
          <cell r="P374">
            <v>1.2352941176470589</v>
          </cell>
          <cell r="R374">
            <v>199</v>
          </cell>
          <cell r="S374">
            <v>37</v>
          </cell>
          <cell r="AB374">
            <v>490</v>
          </cell>
          <cell r="AC374">
            <v>482.65</v>
          </cell>
          <cell r="AD374">
            <v>21</v>
          </cell>
          <cell r="AF374">
            <v>21</v>
          </cell>
        </row>
        <row r="375">
          <cell r="A375">
            <v>1988</v>
          </cell>
          <cell r="C375">
            <v>2</v>
          </cell>
          <cell r="D375">
            <v>49</v>
          </cell>
          <cell r="M375">
            <v>51</v>
          </cell>
          <cell r="N375">
            <v>12</v>
          </cell>
          <cell r="O375">
            <v>24</v>
          </cell>
          <cell r="P375">
            <v>0.63157894736842102</v>
          </cell>
          <cell r="R375">
            <v>201</v>
          </cell>
          <cell r="S375">
            <v>86</v>
          </cell>
          <cell r="AB375">
            <v>541</v>
          </cell>
          <cell r="AC375">
            <v>532.88499999999999</v>
          </cell>
          <cell r="AD375">
            <v>22</v>
          </cell>
          <cell r="AF375">
            <v>22</v>
          </cell>
        </row>
        <row r="376">
          <cell r="A376">
            <v>1989</v>
          </cell>
          <cell r="D376">
            <v>38</v>
          </cell>
          <cell r="M376">
            <v>38</v>
          </cell>
          <cell r="N376">
            <v>27</v>
          </cell>
          <cell r="O376">
            <v>13</v>
          </cell>
          <cell r="P376">
            <v>0.41935483870967744</v>
          </cell>
          <cell r="S376">
            <v>124</v>
          </cell>
          <cell r="AB376">
            <v>579</v>
          </cell>
          <cell r="AC376">
            <v>570.31500000000005</v>
          </cell>
          <cell r="AD376">
            <v>23</v>
          </cell>
          <cell r="AF376">
            <v>23</v>
          </cell>
        </row>
        <row r="377">
          <cell r="A377">
            <v>1990</v>
          </cell>
          <cell r="D377">
            <v>31</v>
          </cell>
          <cell r="M377">
            <v>31</v>
          </cell>
          <cell r="N377">
            <v>20</v>
          </cell>
          <cell r="O377">
            <v>2</v>
          </cell>
          <cell r="P377">
            <v>6.8965517241379309E-2</v>
          </cell>
          <cell r="S377">
            <v>155</v>
          </cell>
          <cell r="AB377">
            <v>610</v>
          </cell>
          <cell r="AC377">
            <v>600.85</v>
          </cell>
          <cell r="AD377">
            <v>24</v>
          </cell>
          <cell r="AF377">
            <v>24</v>
          </cell>
        </row>
        <row r="378">
          <cell r="A378">
            <v>1991</v>
          </cell>
          <cell r="D378">
            <v>29</v>
          </cell>
          <cell r="M378">
            <v>29</v>
          </cell>
          <cell r="N378">
            <v>32</v>
          </cell>
          <cell r="O378">
            <v>5</v>
          </cell>
          <cell r="P378">
            <v>0.2</v>
          </cell>
          <cell r="S378">
            <v>184</v>
          </cell>
          <cell r="AB378">
            <v>639</v>
          </cell>
          <cell r="AC378">
            <v>629.41499999999996</v>
          </cell>
          <cell r="AD378">
            <v>25</v>
          </cell>
          <cell r="AF378">
            <v>25</v>
          </cell>
        </row>
        <row r="379">
          <cell r="A379">
            <v>1992</v>
          </cell>
          <cell r="D379">
            <v>25</v>
          </cell>
          <cell r="M379">
            <v>25</v>
          </cell>
          <cell r="N379">
            <v>31</v>
          </cell>
          <cell r="O379">
            <v>11</v>
          </cell>
          <cell r="P379">
            <v>0.42307692307692307</v>
          </cell>
          <cell r="S379">
            <v>209</v>
          </cell>
          <cell r="AB379">
            <v>664</v>
          </cell>
          <cell r="AC379">
            <v>654.04</v>
          </cell>
          <cell r="AD379">
            <v>26</v>
          </cell>
          <cell r="AF379">
            <v>26</v>
          </cell>
        </row>
        <row r="380">
          <cell r="A380">
            <v>1993</v>
          </cell>
          <cell r="D380">
            <v>26</v>
          </cell>
          <cell r="M380">
            <v>26</v>
          </cell>
          <cell r="N380">
            <v>42</v>
          </cell>
          <cell r="O380">
            <v>27</v>
          </cell>
          <cell r="P380">
            <v>1.2272727272727273</v>
          </cell>
          <cell r="S380">
            <v>235</v>
          </cell>
          <cell r="AB380">
            <v>690</v>
          </cell>
          <cell r="AC380">
            <v>679.65</v>
          </cell>
          <cell r="AD380">
            <v>27</v>
          </cell>
          <cell r="AF380">
            <v>27</v>
          </cell>
        </row>
        <row r="381">
          <cell r="A381">
            <v>1994</v>
          </cell>
          <cell r="D381">
            <v>22</v>
          </cell>
          <cell r="M381">
            <v>22</v>
          </cell>
          <cell r="N381">
            <v>38</v>
          </cell>
          <cell r="O381">
            <v>43</v>
          </cell>
          <cell r="P381">
            <v>1.6538461538461537</v>
          </cell>
          <cell r="S381">
            <v>257</v>
          </cell>
          <cell r="AB381">
            <v>712</v>
          </cell>
          <cell r="AC381">
            <v>701.32</v>
          </cell>
          <cell r="AD381">
            <v>28</v>
          </cell>
          <cell r="AF381">
            <v>28</v>
          </cell>
        </row>
        <row r="382">
          <cell r="A382">
            <v>1995</v>
          </cell>
          <cell r="D382">
            <v>26</v>
          </cell>
          <cell r="M382">
            <v>26</v>
          </cell>
          <cell r="N382">
            <v>40</v>
          </cell>
          <cell r="O382">
            <v>57</v>
          </cell>
          <cell r="P382">
            <v>2.1111111111111112</v>
          </cell>
          <cell r="S382">
            <v>283</v>
          </cell>
          <cell r="AB382">
            <v>738</v>
          </cell>
          <cell r="AC382">
            <v>726.93</v>
          </cell>
          <cell r="AD382">
            <v>29</v>
          </cell>
          <cell r="AF382">
            <v>29</v>
          </cell>
        </row>
        <row r="383">
          <cell r="A383">
            <v>1996</v>
          </cell>
          <cell r="D383">
            <v>24</v>
          </cell>
          <cell r="E383">
            <v>3</v>
          </cell>
          <cell r="M383">
            <v>27</v>
          </cell>
          <cell r="N383">
            <v>64</v>
          </cell>
          <cell r="O383">
            <v>94</v>
          </cell>
          <cell r="P383">
            <v>1.8431372549019607</v>
          </cell>
          <cell r="S383">
            <v>307</v>
          </cell>
          <cell r="T383">
            <v>3</v>
          </cell>
          <cell r="AB383">
            <v>765</v>
          </cell>
          <cell r="AC383">
            <v>753.52499999999998</v>
          </cell>
          <cell r="AD383">
            <v>30</v>
          </cell>
          <cell r="AF383">
            <v>30</v>
          </cell>
        </row>
        <row r="384">
          <cell r="A384">
            <v>1997</v>
          </cell>
          <cell r="D384">
            <v>22</v>
          </cell>
          <cell r="E384">
            <v>29</v>
          </cell>
          <cell r="M384">
            <v>51</v>
          </cell>
          <cell r="N384">
            <v>57</v>
          </cell>
          <cell r="O384">
            <v>100</v>
          </cell>
          <cell r="P384">
            <v>1.639344262295082</v>
          </cell>
          <cell r="S384">
            <v>329</v>
          </cell>
          <cell r="T384">
            <v>32</v>
          </cell>
          <cell r="AB384">
            <v>816</v>
          </cell>
          <cell r="AC384">
            <v>803.76</v>
          </cell>
          <cell r="AD384">
            <v>31</v>
          </cell>
          <cell r="AF384">
            <v>31</v>
          </cell>
        </row>
        <row r="385">
          <cell r="A385">
            <v>1998</v>
          </cell>
          <cell r="D385">
            <v>32</v>
          </cell>
          <cell r="E385">
            <v>29</v>
          </cell>
          <cell r="M385">
            <v>61</v>
          </cell>
          <cell r="N385">
            <v>79</v>
          </cell>
          <cell r="O385">
            <v>135</v>
          </cell>
          <cell r="P385">
            <v>1.9285714285714286</v>
          </cell>
          <cell r="S385">
            <v>361</v>
          </cell>
          <cell r="T385">
            <v>61</v>
          </cell>
          <cell r="AB385">
            <v>877</v>
          </cell>
          <cell r="AC385">
            <v>863.84500000000003</v>
          </cell>
          <cell r="AD385">
            <v>32</v>
          </cell>
          <cell r="AF385">
            <v>32</v>
          </cell>
        </row>
        <row r="386">
          <cell r="A386">
            <v>1999</v>
          </cell>
          <cell r="D386">
            <v>39</v>
          </cell>
          <cell r="E386">
            <v>31</v>
          </cell>
          <cell r="M386">
            <v>70</v>
          </cell>
          <cell r="N386">
            <v>44</v>
          </cell>
          <cell r="O386">
            <v>117</v>
          </cell>
          <cell r="P386">
            <v>1.647887323943662</v>
          </cell>
          <cell r="S386">
            <v>400</v>
          </cell>
          <cell r="T386">
            <v>92</v>
          </cell>
          <cell r="AB386">
            <v>947</v>
          </cell>
          <cell r="AC386">
            <v>932.79499999999996</v>
          </cell>
          <cell r="AD386">
            <v>33</v>
          </cell>
          <cell r="AF386">
            <v>33</v>
          </cell>
        </row>
        <row r="387">
          <cell r="A387">
            <v>2000</v>
          </cell>
          <cell r="D387">
            <v>38</v>
          </cell>
          <cell r="E387">
            <v>33</v>
          </cell>
          <cell r="M387">
            <v>71</v>
          </cell>
          <cell r="N387">
            <v>105</v>
          </cell>
          <cell r="O387">
            <v>82</v>
          </cell>
          <cell r="P387">
            <v>0.97619047619047616</v>
          </cell>
          <cell r="S387">
            <v>438</v>
          </cell>
          <cell r="T387">
            <v>125</v>
          </cell>
          <cell r="AB387">
            <v>1018</v>
          </cell>
          <cell r="AC387">
            <v>1002.73</v>
          </cell>
          <cell r="AD387">
            <v>34</v>
          </cell>
          <cell r="AF387">
            <v>34</v>
          </cell>
        </row>
        <row r="388">
          <cell r="A388">
            <v>2001</v>
          </cell>
          <cell r="D388">
            <v>36</v>
          </cell>
          <cell r="E388">
            <v>35</v>
          </cell>
          <cell r="G388">
            <v>5</v>
          </cell>
          <cell r="I388">
            <v>8</v>
          </cell>
          <cell r="M388">
            <v>84</v>
          </cell>
          <cell r="N388">
            <v>150</v>
          </cell>
          <cell r="O388">
            <v>129</v>
          </cell>
          <cell r="P388">
            <v>1.5176470588235293</v>
          </cell>
          <cell r="S388">
            <v>474</v>
          </cell>
          <cell r="T388">
            <v>160</v>
          </cell>
          <cell r="V388">
            <v>5</v>
          </cell>
          <cell r="X388">
            <v>8</v>
          </cell>
          <cell r="AB388">
            <v>1102</v>
          </cell>
          <cell r="AC388">
            <v>1085.47</v>
          </cell>
          <cell r="AD388">
            <v>35</v>
          </cell>
          <cell r="AF388">
            <v>35</v>
          </cell>
        </row>
        <row r="389">
          <cell r="A389">
            <v>2002</v>
          </cell>
          <cell r="D389">
            <v>29</v>
          </cell>
          <cell r="E389">
            <v>31</v>
          </cell>
          <cell r="F389">
            <v>1</v>
          </cell>
          <cell r="G389">
            <v>9</v>
          </cell>
          <cell r="I389">
            <v>15</v>
          </cell>
          <cell r="M389">
            <v>85</v>
          </cell>
          <cell r="N389">
            <v>133</v>
          </cell>
          <cell r="O389">
            <v>173</v>
          </cell>
          <cell r="P389">
            <v>2.3378378378378377</v>
          </cell>
          <cell r="S389">
            <v>503</v>
          </cell>
          <cell r="T389">
            <v>191</v>
          </cell>
          <cell r="U389">
            <v>1</v>
          </cell>
          <cell r="V389">
            <v>14</v>
          </cell>
          <cell r="X389">
            <v>23</v>
          </cell>
          <cell r="AB389">
            <v>1187</v>
          </cell>
          <cell r="AC389">
            <v>1169.1949999999999</v>
          </cell>
          <cell r="AD389">
            <v>36</v>
          </cell>
          <cell r="AF389">
            <v>36</v>
          </cell>
        </row>
        <row r="390">
          <cell r="A390">
            <v>2003</v>
          </cell>
          <cell r="D390">
            <v>13</v>
          </cell>
          <cell r="E390">
            <v>1</v>
          </cell>
          <cell r="F390">
            <v>28</v>
          </cell>
          <cell r="G390">
            <v>5</v>
          </cell>
          <cell r="I390">
            <v>19</v>
          </cell>
          <cell r="J390">
            <v>8</v>
          </cell>
          <cell r="M390">
            <v>74</v>
          </cell>
          <cell r="S390">
            <v>516</v>
          </cell>
          <cell r="T390">
            <v>192</v>
          </cell>
          <cell r="U390">
            <v>29</v>
          </cell>
          <cell r="V390">
            <v>19</v>
          </cell>
          <cell r="X390">
            <v>42</v>
          </cell>
          <cell r="Y390">
            <v>8</v>
          </cell>
          <cell r="AB390">
            <v>1261</v>
          </cell>
          <cell r="AC390">
            <v>1242.085</v>
          </cell>
          <cell r="AD390">
            <v>37</v>
          </cell>
          <cell r="AF390">
            <v>37</v>
          </cell>
        </row>
        <row r="391">
          <cell r="A391">
            <v>2004</v>
          </cell>
          <cell r="D391">
            <v>11</v>
          </cell>
          <cell r="F391">
            <v>32</v>
          </cell>
          <cell r="G391">
            <v>4</v>
          </cell>
          <cell r="I391">
            <v>18</v>
          </cell>
          <cell r="J391">
            <v>5</v>
          </cell>
          <cell r="K391">
            <v>8</v>
          </cell>
          <cell r="M391">
            <v>78</v>
          </cell>
          <cell r="S391">
            <v>527</v>
          </cell>
          <cell r="U391">
            <v>61</v>
          </cell>
          <cell r="V391">
            <v>23</v>
          </cell>
          <cell r="X391">
            <v>60</v>
          </cell>
          <cell r="Y391">
            <v>13</v>
          </cell>
          <cell r="Z391">
            <v>8</v>
          </cell>
          <cell r="AB391">
            <v>1339</v>
          </cell>
          <cell r="AC391">
            <v>1318.915</v>
          </cell>
          <cell r="AD391">
            <v>38</v>
          </cell>
          <cell r="AF391">
            <v>38</v>
          </cell>
        </row>
        <row r="392">
          <cell r="A392">
            <v>2005</v>
          </cell>
          <cell r="F392">
            <v>35</v>
          </cell>
          <cell r="G392">
            <v>4</v>
          </cell>
          <cell r="I392">
            <v>22</v>
          </cell>
          <cell r="J392">
            <v>7</v>
          </cell>
          <cell r="K392">
            <v>20</v>
          </cell>
          <cell r="L392">
            <v>1</v>
          </cell>
          <cell r="M392">
            <v>89</v>
          </cell>
          <cell r="U392">
            <v>96</v>
          </cell>
          <cell r="V392">
            <v>27</v>
          </cell>
          <cell r="X392">
            <v>82</v>
          </cell>
          <cell r="Y392">
            <v>20</v>
          </cell>
          <cell r="Z392">
            <v>28</v>
          </cell>
          <cell r="AA392">
            <v>1</v>
          </cell>
          <cell r="AB392">
            <v>1428</v>
          </cell>
          <cell r="AC392">
            <v>1406.58</v>
          </cell>
          <cell r="AD392">
            <v>39</v>
          </cell>
          <cell r="AF392">
            <v>39</v>
          </cell>
        </row>
        <row r="393">
          <cell r="A393" t="str">
            <v>2006A</v>
          </cell>
          <cell r="F393">
            <v>36</v>
          </cell>
          <cell r="G393">
            <v>1</v>
          </cell>
          <cell r="H393">
            <v>14</v>
          </cell>
          <cell r="I393">
            <v>27</v>
          </cell>
          <cell r="J393">
            <v>2</v>
          </cell>
          <cell r="K393">
            <v>30</v>
          </cell>
          <cell r="L393">
            <v>3</v>
          </cell>
          <cell r="M393">
            <v>113</v>
          </cell>
          <cell r="U393">
            <v>132</v>
          </cell>
          <cell r="V393">
            <v>28</v>
          </cell>
          <cell r="W393">
            <v>14</v>
          </cell>
          <cell r="X393">
            <v>109</v>
          </cell>
          <cell r="Y393">
            <v>22</v>
          </cell>
          <cell r="Z393">
            <v>58</v>
          </cell>
          <cell r="AA393">
            <v>4</v>
          </cell>
          <cell r="AB393">
            <v>1541</v>
          </cell>
          <cell r="AC393">
            <v>1517.885</v>
          </cell>
          <cell r="AD393">
            <v>40</v>
          </cell>
          <cell r="AF393">
            <v>40</v>
          </cell>
        </row>
        <row r="394">
          <cell r="A394" t="str">
            <v>2007E</v>
          </cell>
          <cell r="F394">
            <v>37</v>
          </cell>
          <cell r="H394">
            <v>37</v>
          </cell>
          <cell r="I394">
            <v>24</v>
          </cell>
          <cell r="J394">
            <v>8</v>
          </cell>
          <cell r="K394">
            <v>32</v>
          </cell>
          <cell r="L394">
            <v>6</v>
          </cell>
          <cell r="M394">
            <v>144</v>
          </cell>
          <cell r="U394">
            <v>169</v>
          </cell>
          <cell r="W394">
            <v>51</v>
          </cell>
          <cell r="X394">
            <v>133</v>
          </cell>
          <cell r="Y394">
            <v>30</v>
          </cell>
          <cell r="Z394">
            <v>90</v>
          </cell>
          <cell r="AA394">
            <v>10</v>
          </cell>
          <cell r="AB394">
            <v>1685</v>
          </cell>
          <cell r="AC394">
            <v>1659.7249999999999</v>
          </cell>
          <cell r="AD394">
            <v>41</v>
          </cell>
          <cell r="AF394">
            <v>41</v>
          </cell>
        </row>
        <row r="395">
          <cell r="A395" t="str">
            <v>2008E</v>
          </cell>
          <cell r="F395">
            <v>38</v>
          </cell>
          <cell r="H395">
            <v>44</v>
          </cell>
          <cell r="I395">
            <v>24</v>
          </cell>
          <cell r="J395">
            <v>9</v>
          </cell>
          <cell r="K395">
            <v>36</v>
          </cell>
          <cell r="L395">
            <v>7</v>
          </cell>
          <cell r="M395">
            <v>158</v>
          </cell>
          <cell r="U395">
            <v>207</v>
          </cell>
          <cell r="W395">
            <v>95</v>
          </cell>
          <cell r="X395">
            <v>157</v>
          </cell>
          <cell r="Y395">
            <v>39</v>
          </cell>
          <cell r="Z395">
            <v>126</v>
          </cell>
          <cell r="AA395">
            <v>17</v>
          </cell>
          <cell r="AB395">
            <v>1843</v>
          </cell>
          <cell r="AC395">
            <v>1815.355</v>
          </cell>
          <cell r="AD395">
            <v>42</v>
          </cell>
          <cell r="AF395">
            <v>42</v>
          </cell>
        </row>
        <row r="396">
          <cell r="A396" t="str">
            <v>2009E</v>
          </cell>
          <cell r="F396">
            <v>40</v>
          </cell>
          <cell r="H396">
            <v>44</v>
          </cell>
          <cell r="I396">
            <v>30</v>
          </cell>
          <cell r="J396">
            <v>9</v>
          </cell>
          <cell r="K396">
            <v>35</v>
          </cell>
          <cell r="L396">
            <v>6</v>
          </cell>
          <cell r="M396">
            <v>164</v>
          </cell>
          <cell r="U396">
            <v>247</v>
          </cell>
          <cell r="W396">
            <v>139</v>
          </cell>
          <cell r="X396">
            <v>187</v>
          </cell>
          <cell r="Y396">
            <v>48</v>
          </cell>
          <cell r="Z396">
            <v>161</v>
          </cell>
          <cell r="AA396">
            <v>23</v>
          </cell>
          <cell r="AB396">
            <v>2007</v>
          </cell>
          <cell r="AC396">
            <v>1976.895</v>
          </cell>
          <cell r="AD396">
            <v>43</v>
          </cell>
          <cell r="AF396">
            <v>43</v>
          </cell>
        </row>
        <row r="397">
          <cell r="A397" t="str">
            <v>2010E</v>
          </cell>
          <cell r="F397">
            <v>42</v>
          </cell>
          <cell r="H397">
            <v>30</v>
          </cell>
          <cell r="I397">
            <v>30</v>
          </cell>
          <cell r="J397">
            <v>9</v>
          </cell>
          <cell r="K397">
            <v>35</v>
          </cell>
          <cell r="L397">
            <v>6</v>
          </cell>
          <cell r="M397">
            <v>152</v>
          </cell>
          <cell r="U397">
            <v>289</v>
          </cell>
          <cell r="W397">
            <v>169</v>
          </cell>
          <cell r="X397">
            <v>217</v>
          </cell>
          <cell r="Y397">
            <v>57</v>
          </cell>
          <cell r="Z397">
            <v>196</v>
          </cell>
          <cell r="AA397">
            <v>29</v>
          </cell>
          <cell r="AB397">
            <v>2159</v>
          </cell>
          <cell r="AC397">
            <v>2126.6149999999998</v>
          </cell>
          <cell r="AD397">
            <v>44</v>
          </cell>
          <cell r="AF397">
            <v>44</v>
          </cell>
        </row>
        <row r="398">
          <cell r="A398" t="str">
            <v>Years in Prodn</v>
          </cell>
          <cell r="B398">
            <v>14</v>
          </cell>
          <cell r="C398">
            <v>10</v>
          </cell>
          <cell r="D398">
            <v>20</v>
          </cell>
          <cell r="E398">
            <v>8</v>
          </cell>
          <cell r="F398">
            <v>9</v>
          </cell>
          <cell r="G398">
            <v>6</v>
          </cell>
          <cell r="H398">
            <v>5</v>
          </cell>
          <cell r="I398">
            <v>10</v>
          </cell>
          <cell r="J398">
            <v>8</v>
          </cell>
          <cell r="K398">
            <v>7</v>
          </cell>
          <cell r="L398">
            <v>6</v>
          </cell>
        </row>
        <row r="399">
          <cell r="A399" t="str">
            <v># Units Prd'd</v>
          </cell>
          <cell r="B399">
            <v>254</v>
          </cell>
          <cell r="C399">
            <v>201</v>
          </cell>
          <cell r="D399">
            <v>527</v>
          </cell>
          <cell r="E399">
            <v>192</v>
          </cell>
          <cell r="F399">
            <v>289</v>
          </cell>
          <cell r="G399">
            <v>28</v>
          </cell>
          <cell r="H399">
            <v>169</v>
          </cell>
          <cell r="I399">
            <v>217</v>
          </cell>
          <cell r="J399">
            <v>57</v>
          </cell>
          <cell r="K399">
            <v>196</v>
          </cell>
          <cell r="L399">
            <v>29</v>
          </cell>
          <cell r="V399">
            <v>14</v>
          </cell>
          <cell r="X399">
            <v>31</v>
          </cell>
        </row>
        <row r="400">
          <cell r="A400" t="str">
            <v>Mean 1967-98</v>
          </cell>
          <cell r="M400">
            <v>27.40625</v>
          </cell>
        </row>
        <row r="401">
          <cell r="A401" t="str">
            <v>Mean 1978-1998</v>
          </cell>
          <cell r="M401">
            <v>32</v>
          </cell>
        </row>
        <row r="402">
          <cell r="A402" t="str">
            <v>Mean 1988-1998</v>
          </cell>
          <cell r="M402">
            <v>35.18181818181818</v>
          </cell>
        </row>
        <row r="404">
          <cell r="A404" t="str">
            <v>Gulfstream Delivery + Revs/Profit Table</v>
          </cell>
        </row>
        <row r="406">
          <cell r="A406" t="str">
            <v>Sales</v>
          </cell>
          <cell r="B406">
            <v>1996</v>
          </cell>
          <cell r="C406">
            <v>1997</v>
          </cell>
          <cell r="D406">
            <v>1998</v>
          </cell>
          <cell r="E406">
            <v>1999</v>
          </cell>
          <cell r="F406">
            <v>2000</v>
          </cell>
          <cell r="G406">
            <v>2001</v>
          </cell>
          <cell r="H406" t="str">
            <v>2002A</v>
          </cell>
          <cell r="I406" t="str">
            <v>2003E</v>
          </cell>
          <cell r="J406" t="str">
            <v>2004E</v>
          </cell>
          <cell r="K406" t="str">
            <v>Comments</v>
          </cell>
        </row>
        <row r="407">
          <cell r="A407" t="str">
            <v>New Aircraft</v>
          </cell>
          <cell r="B407">
            <v>740.5</v>
          </cell>
          <cell r="C407">
            <v>1492</v>
          </cell>
          <cell r="D407">
            <v>1909</v>
          </cell>
          <cell r="E407">
            <v>2251</v>
          </cell>
          <cell r="F407">
            <v>2353</v>
          </cell>
          <cell r="G407">
            <v>2694.0000000000036</v>
          </cell>
          <cell r="H407">
            <v>2491.0000000000009</v>
          </cell>
          <cell r="I407">
            <v>2079.0000000000027</v>
          </cell>
          <cell r="J407">
            <v>2289</v>
          </cell>
        </row>
        <row r="408">
          <cell r="A408" t="str">
            <v>Used</v>
          </cell>
          <cell r="B408">
            <v>153.30000000000001</v>
          </cell>
          <cell r="C408">
            <v>210.4</v>
          </cell>
          <cell r="D408">
            <v>237.2</v>
          </cell>
          <cell r="E408">
            <v>318</v>
          </cell>
          <cell r="F408">
            <v>255</v>
          </cell>
          <cell r="G408">
            <v>177</v>
          </cell>
          <cell r="H408">
            <v>435</v>
          </cell>
          <cell r="I408">
            <v>459</v>
          </cell>
          <cell r="J408">
            <v>278</v>
          </cell>
        </row>
        <row r="409">
          <cell r="A409" t="str">
            <v>Spares/Support</v>
          </cell>
          <cell r="B409">
            <v>169.9</v>
          </cell>
          <cell r="C409">
            <v>201.1</v>
          </cell>
          <cell r="D409">
            <v>281.8</v>
          </cell>
          <cell r="E409">
            <v>340</v>
          </cell>
          <cell r="F409">
            <v>421</v>
          </cell>
          <cell r="G409">
            <v>394</v>
          </cell>
          <cell r="H409">
            <v>363</v>
          </cell>
          <cell r="I409">
            <v>408</v>
          </cell>
          <cell r="J409">
            <v>445</v>
          </cell>
        </row>
        <row r="410">
          <cell r="A410" t="str">
            <v>Total</v>
          </cell>
          <cell r="B410">
            <v>1063.7</v>
          </cell>
          <cell r="C410">
            <v>1903.5</v>
          </cell>
          <cell r="D410">
            <v>2428</v>
          </cell>
          <cell r="E410">
            <v>2909</v>
          </cell>
          <cell r="F410">
            <v>3029</v>
          </cell>
          <cell r="G410">
            <v>3265.0000000000036</v>
          </cell>
          <cell r="H410">
            <v>3289.0000000000009</v>
          </cell>
          <cell r="I410">
            <v>2946.0000000000027</v>
          </cell>
          <cell r="J410">
            <v>3012</v>
          </cell>
        </row>
        <row r="411">
          <cell r="A411" t="str">
            <v>%ch</v>
          </cell>
          <cell r="C411">
            <v>0.78950832001504168</v>
          </cell>
          <cell r="D411">
            <v>0.27554504859469398</v>
          </cell>
          <cell r="E411">
            <v>0.19810543657331148</v>
          </cell>
          <cell r="F411">
            <v>4.1251289102784527E-2</v>
          </cell>
          <cell r="G411">
            <v>7.7913502806207902E-2</v>
          </cell>
          <cell r="H411">
            <v>7.3506891271049035E-3</v>
          </cell>
          <cell r="I411">
            <v>-0.10428701733049506</v>
          </cell>
          <cell r="J411">
            <v>2.2403258655803615E-2</v>
          </cell>
        </row>
        <row r="412">
          <cell r="A412" t="str">
            <v>Operating Profit</v>
          </cell>
        </row>
        <row r="413">
          <cell r="A413" t="str">
            <v>New Aircraft</v>
          </cell>
          <cell r="B413">
            <v>193.9</v>
          </cell>
          <cell r="C413">
            <v>297.5</v>
          </cell>
          <cell r="D413">
            <v>464.3</v>
          </cell>
          <cell r="E413">
            <v>536</v>
          </cell>
          <cell r="F413">
            <v>565</v>
          </cell>
          <cell r="G413">
            <v>570</v>
          </cell>
          <cell r="H413">
            <v>503</v>
          </cell>
          <cell r="I413">
            <v>242</v>
          </cell>
          <cell r="J413">
            <v>322</v>
          </cell>
          <cell r="K413" t="str">
            <v>-mfg margin</v>
          </cell>
        </row>
        <row r="414">
          <cell r="A414" t="str">
            <v>Used</v>
          </cell>
          <cell r="B414">
            <v>-1.7</v>
          </cell>
          <cell r="C414">
            <v>8.1999999999999993</v>
          </cell>
          <cell r="D414">
            <v>11.4</v>
          </cell>
          <cell r="E414">
            <v>-8</v>
          </cell>
          <cell r="F414">
            <v>0</v>
          </cell>
          <cell r="G414">
            <v>0</v>
          </cell>
          <cell r="H414">
            <v>-81</v>
          </cell>
          <cell r="I414">
            <v>-64</v>
          </cell>
          <cell r="J414">
            <v>6</v>
          </cell>
          <cell r="K414" t="str">
            <v>-big losses tailoff</v>
          </cell>
        </row>
        <row r="415">
          <cell r="A415" t="str">
            <v>Spares/Support</v>
          </cell>
          <cell r="B415">
            <v>36.5</v>
          </cell>
          <cell r="C415">
            <v>45</v>
          </cell>
          <cell r="D415">
            <v>53.7</v>
          </cell>
          <cell r="E415">
            <v>68</v>
          </cell>
          <cell r="F415">
            <v>80</v>
          </cell>
          <cell r="G415">
            <v>96</v>
          </cell>
          <cell r="H415">
            <v>70</v>
          </cell>
          <cell r="I415">
            <v>80</v>
          </cell>
          <cell r="J415">
            <v>80</v>
          </cell>
        </row>
        <row r="416">
          <cell r="A416" t="str">
            <v>Unallocated</v>
          </cell>
          <cell r="B416">
            <v>-178.4</v>
          </cell>
          <cell r="C416">
            <v>-122</v>
          </cell>
          <cell r="D416">
            <v>-301</v>
          </cell>
          <cell r="E416">
            <v>-175</v>
          </cell>
          <cell r="F416">
            <v>-53</v>
          </cell>
          <cell r="G416">
            <v>-41</v>
          </cell>
          <cell r="H416">
            <v>-45</v>
          </cell>
          <cell r="I416">
            <v>-40</v>
          </cell>
          <cell r="J416">
            <v>-15</v>
          </cell>
          <cell r="K416" t="str">
            <v>-includes R&amp;D, SGA, etc</v>
          </cell>
        </row>
        <row r="417">
          <cell r="A417" t="str">
            <v>Total</v>
          </cell>
          <cell r="B417">
            <v>50.300000000000011</v>
          </cell>
          <cell r="C417">
            <v>228.7</v>
          </cell>
          <cell r="D417">
            <v>228.39999999999998</v>
          </cell>
          <cell r="E417">
            <v>421</v>
          </cell>
          <cell r="F417">
            <v>592</v>
          </cell>
          <cell r="G417">
            <v>625</v>
          </cell>
          <cell r="H417">
            <v>447</v>
          </cell>
          <cell r="I417">
            <v>218</v>
          </cell>
          <cell r="J417">
            <v>393</v>
          </cell>
        </row>
        <row r="418">
          <cell r="A418" t="str">
            <v>%ch</v>
          </cell>
          <cell r="C418">
            <v>3.5467196819085478</v>
          </cell>
          <cell r="D418">
            <v>-1.3117621337997987E-3</v>
          </cell>
          <cell r="E418">
            <v>0.84325744308231187</v>
          </cell>
          <cell r="F418">
            <v>0.40617577197149646</v>
          </cell>
          <cell r="G418">
            <v>5.5743243243243201E-2</v>
          </cell>
          <cell r="H418">
            <v>-0.28480000000000005</v>
          </cell>
          <cell r="I418">
            <v>-0.51230425055928408</v>
          </cell>
          <cell r="J418">
            <v>0.80275229357798161</v>
          </cell>
        </row>
        <row r="419">
          <cell r="A419" t="str">
            <v>Operating Margin</v>
          </cell>
        </row>
        <row r="420">
          <cell r="A420" t="str">
            <v>New Aircraft</v>
          </cell>
          <cell r="B420">
            <v>0.26185010128291697</v>
          </cell>
          <cell r="C420">
            <v>0.19939678284182305</v>
          </cell>
          <cell r="D420">
            <v>0.24321634363541123</v>
          </cell>
          <cell r="E420">
            <v>0.23811639271434917</v>
          </cell>
          <cell r="F420">
            <v>0.24011899702507436</v>
          </cell>
          <cell r="G420">
            <v>0.21158129175946519</v>
          </cell>
          <cell r="H420">
            <v>0.2019269369731031</v>
          </cell>
          <cell r="I420">
            <v>0.11640211640211624</v>
          </cell>
          <cell r="J420">
            <v>0.14067278287461774</v>
          </cell>
          <cell r="K420" t="str">
            <v>-good perf. + learning curve</v>
          </cell>
        </row>
        <row r="421">
          <cell r="A421" t="str">
            <v>Used</v>
          </cell>
          <cell r="B421">
            <v>-1.1089367253750815E-2</v>
          </cell>
          <cell r="C421">
            <v>3.8973384030418244E-2</v>
          </cell>
          <cell r="D421">
            <v>4.8060708263069143E-2</v>
          </cell>
          <cell r="E421">
            <v>-2.5157232704402517E-2</v>
          </cell>
          <cell r="F421">
            <v>0</v>
          </cell>
          <cell r="G421">
            <v>0</v>
          </cell>
          <cell r="H421">
            <v>-0.18620689655172415</v>
          </cell>
          <cell r="I421">
            <v>-0.13943355119825709</v>
          </cell>
          <cell r="J421">
            <v>2.1582733812949641E-2</v>
          </cell>
        </row>
        <row r="422">
          <cell r="A422" t="str">
            <v>Spares/Support</v>
          </cell>
          <cell r="B422">
            <v>0.214832254267216</v>
          </cell>
          <cell r="C422">
            <v>0.22376926902038788</v>
          </cell>
          <cell r="D422">
            <v>0.19056068133427964</v>
          </cell>
          <cell r="E422">
            <v>0.2</v>
          </cell>
          <cell r="F422">
            <v>0.19002375296912113</v>
          </cell>
          <cell r="G422">
            <v>0.24365482233502539</v>
          </cell>
          <cell r="H422">
            <v>0.1928374655647383</v>
          </cell>
          <cell r="I422">
            <v>0.19607843137254902</v>
          </cell>
          <cell r="J422">
            <v>0.1797752808988764</v>
          </cell>
        </row>
        <row r="423">
          <cell r="A423" t="str">
            <v>Total</v>
          </cell>
          <cell r="B423">
            <v>4.7287769107831161E-2</v>
          </cell>
          <cell r="C423">
            <v>0.12014709745206198</v>
          </cell>
          <cell r="D423">
            <v>9.406919275123557E-2</v>
          </cell>
          <cell r="E423">
            <v>0.14472327260226883</v>
          </cell>
          <cell r="F423">
            <v>0.19544404093760318</v>
          </cell>
          <cell r="G423">
            <v>0.19142419601837651</v>
          </cell>
          <cell r="H423">
            <v>0.13590757069017934</v>
          </cell>
          <cell r="I423">
            <v>7.3998642226748068E-2</v>
          </cell>
          <cell r="J423">
            <v>0.13047808764940239</v>
          </cell>
        </row>
        <row r="424">
          <cell r="A424" t="str">
            <v>Orders</v>
          </cell>
        </row>
        <row r="425">
          <cell r="A425" t="str">
            <v>Large Cabin</v>
          </cell>
          <cell r="B425">
            <v>65</v>
          </cell>
          <cell r="C425">
            <v>46</v>
          </cell>
          <cell r="D425">
            <v>90</v>
          </cell>
          <cell r="E425">
            <v>44</v>
          </cell>
          <cell r="F425">
            <v>82</v>
          </cell>
          <cell r="G425">
            <v>70</v>
          </cell>
          <cell r="H425">
            <v>62</v>
          </cell>
        </row>
        <row r="426">
          <cell r="A426" t="str">
            <v>Mid-size</v>
          </cell>
          <cell r="B426">
            <v>0</v>
          </cell>
          <cell r="C426">
            <v>0</v>
          </cell>
          <cell r="D426">
            <v>0</v>
          </cell>
          <cell r="E426">
            <v>0</v>
          </cell>
          <cell r="F426">
            <v>0</v>
          </cell>
          <cell r="G426">
            <v>53</v>
          </cell>
          <cell r="H426">
            <v>71</v>
          </cell>
        </row>
        <row r="427">
          <cell r="A427" t="str">
            <v>Total</v>
          </cell>
          <cell r="B427">
            <v>65</v>
          </cell>
          <cell r="C427">
            <v>46</v>
          </cell>
          <cell r="D427">
            <v>90</v>
          </cell>
          <cell r="E427">
            <v>44</v>
          </cell>
          <cell r="F427">
            <v>82</v>
          </cell>
          <cell r="G427">
            <v>123</v>
          </cell>
          <cell r="H427">
            <v>133</v>
          </cell>
        </row>
        <row r="428">
          <cell r="A428" t="str">
            <v>Deliveries</v>
          </cell>
        </row>
        <row r="429">
          <cell r="A429" t="str">
            <v>Large Cabin</v>
          </cell>
          <cell r="B429">
            <v>27</v>
          </cell>
          <cell r="C429">
            <v>51</v>
          </cell>
          <cell r="D429">
            <v>61</v>
          </cell>
          <cell r="E429">
            <v>70</v>
          </cell>
          <cell r="F429">
            <v>71</v>
          </cell>
          <cell r="G429">
            <v>71</v>
          </cell>
          <cell r="H429">
            <v>61</v>
          </cell>
          <cell r="I429">
            <v>42</v>
          </cell>
          <cell r="J429">
            <v>43</v>
          </cell>
          <cell r="K429" t="str">
            <v>-less volatile vs. past</v>
          </cell>
        </row>
        <row r="430">
          <cell r="A430" t="str">
            <v>Mid-size</v>
          </cell>
          <cell r="B430">
            <v>0</v>
          </cell>
          <cell r="C430">
            <v>0</v>
          </cell>
          <cell r="D430">
            <v>0</v>
          </cell>
          <cell r="E430">
            <v>0</v>
          </cell>
          <cell r="F430">
            <v>0</v>
          </cell>
          <cell r="G430">
            <v>13</v>
          </cell>
          <cell r="H430">
            <v>24</v>
          </cell>
          <cell r="I430">
            <v>24</v>
          </cell>
          <cell r="J430">
            <v>22</v>
          </cell>
          <cell r="K430" t="str">
            <v>-more plugged to economy</v>
          </cell>
        </row>
        <row r="431">
          <cell r="A431" t="str">
            <v>Total</v>
          </cell>
          <cell r="B431">
            <v>27</v>
          </cell>
          <cell r="C431">
            <v>51</v>
          </cell>
          <cell r="D431">
            <v>61</v>
          </cell>
          <cell r="E431">
            <v>70</v>
          </cell>
          <cell r="F431">
            <v>71</v>
          </cell>
          <cell r="G431">
            <v>84</v>
          </cell>
          <cell r="H431">
            <v>85</v>
          </cell>
          <cell r="I431">
            <v>66</v>
          </cell>
          <cell r="J431">
            <v>65</v>
          </cell>
        </row>
        <row r="432">
          <cell r="A432" t="str">
            <v>Backlog</v>
          </cell>
        </row>
        <row r="433">
          <cell r="A433" t="str">
            <v>Large Cabin</v>
          </cell>
          <cell r="B433">
            <v>94</v>
          </cell>
          <cell r="C433">
            <v>100</v>
          </cell>
          <cell r="D433">
            <v>117</v>
          </cell>
          <cell r="E433">
            <v>82</v>
          </cell>
          <cell r="F433">
            <v>107</v>
          </cell>
          <cell r="G433">
            <v>74</v>
          </cell>
          <cell r="H433">
            <v>72</v>
          </cell>
        </row>
        <row r="434">
          <cell r="A434" t="str">
            <v>Mid-size</v>
          </cell>
          <cell r="B434">
            <v>0</v>
          </cell>
          <cell r="C434">
            <v>0</v>
          </cell>
          <cell r="D434">
            <v>0</v>
          </cell>
          <cell r="E434">
            <v>0</v>
          </cell>
          <cell r="F434">
            <v>0</v>
          </cell>
          <cell r="G434">
            <v>57</v>
          </cell>
          <cell r="H434">
            <v>101</v>
          </cell>
        </row>
        <row r="435">
          <cell r="A435" t="str">
            <v>Total</v>
          </cell>
          <cell r="B435">
            <v>94</v>
          </cell>
          <cell r="C435">
            <v>100</v>
          </cell>
          <cell r="D435">
            <v>117</v>
          </cell>
          <cell r="E435">
            <v>82</v>
          </cell>
          <cell r="F435">
            <v>107</v>
          </cell>
          <cell r="G435">
            <v>131</v>
          </cell>
          <cell r="H435">
            <v>173</v>
          </cell>
        </row>
        <row r="437">
          <cell r="A437" t="str">
            <v>Book: Bill (%)</v>
          </cell>
          <cell r="B437">
            <v>2.4074074074074074</v>
          </cell>
          <cell r="C437">
            <v>0.90196078431372551</v>
          </cell>
          <cell r="D437">
            <v>1.4754098360655739</v>
          </cell>
          <cell r="E437">
            <v>0.62857142857142856</v>
          </cell>
          <cell r="F437">
            <v>1.1549295774647887</v>
          </cell>
          <cell r="G437">
            <v>1.4642857142857142</v>
          </cell>
          <cell r="H437">
            <v>1.5647058823529412</v>
          </cell>
        </row>
        <row r="439">
          <cell r="A439" t="str">
            <v>R&amp;D/Sls</v>
          </cell>
          <cell r="B439">
            <v>5.4620663720973961E-2</v>
          </cell>
          <cell r="C439">
            <v>5.6737588652482273E-3</v>
          </cell>
          <cell r="D439">
            <v>4.1186161449752881E-3</v>
          </cell>
          <cell r="E439">
            <v>5.5001718803712619E-3</v>
          </cell>
          <cell r="F439">
            <v>5.2822713766919778E-3</v>
          </cell>
          <cell r="G439">
            <v>6.1255742725880484E-3</v>
          </cell>
          <cell r="H439">
            <v>2.4019458802067493E-2</v>
          </cell>
          <cell r="I439">
            <v>2.4439918533604867E-2</v>
          </cell>
          <cell r="J439">
            <v>2.0584329349269587E-2</v>
          </cell>
          <cell r="K439" t="str">
            <v>-average 1996-2004 = 1.6%</v>
          </cell>
        </row>
        <row r="451">
          <cell r="A451" t="str">
            <v>GAC Business Jet  Cycle Trends</v>
          </cell>
        </row>
        <row r="452">
          <cell r="B452" t="str">
            <v>Yrs.</v>
          </cell>
          <cell r="G452" t="str">
            <v>Yrs.</v>
          </cell>
        </row>
        <row r="453">
          <cell r="A453" t="str">
            <v>Peak Year</v>
          </cell>
          <cell r="B453" t="str">
            <v>To Trough</v>
          </cell>
          <cell r="C453" t="str">
            <v>Del Pk</v>
          </cell>
          <cell r="D453" t="str">
            <v>Backlog</v>
          </cell>
          <cell r="E453" t="str">
            <v>BL/Dels</v>
          </cell>
          <cell r="F453" t="str">
            <v>Trough Year</v>
          </cell>
          <cell r="G453" t="str">
            <v>To Pk</v>
          </cell>
          <cell r="H453" t="str">
            <v>Del trough</v>
          </cell>
          <cell r="I453" t="str">
            <v>Backlog</v>
          </cell>
          <cell r="K453" t="str">
            <v>BL/Dels</v>
          </cell>
        </row>
        <row r="454">
          <cell r="A454">
            <v>1969</v>
          </cell>
          <cell r="C454">
            <v>37</v>
          </cell>
        </row>
        <row r="455">
          <cell r="A455">
            <v>1982</v>
          </cell>
          <cell r="B455">
            <v>3</v>
          </cell>
          <cell r="C455">
            <v>36</v>
          </cell>
          <cell r="D455">
            <v>37</v>
          </cell>
          <cell r="E455">
            <v>1.0277777777777777</v>
          </cell>
          <cell r="F455">
            <v>1971</v>
          </cell>
          <cell r="G455">
            <v>11</v>
          </cell>
          <cell r="H455">
            <v>12</v>
          </cell>
          <cell r="K455" t="str">
            <v>NA</v>
          </cell>
        </row>
        <row r="456">
          <cell r="A456">
            <v>1988</v>
          </cell>
          <cell r="B456">
            <v>6</v>
          </cell>
          <cell r="C456">
            <v>51</v>
          </cell>
          <cell r="D456">
            <v>24</v>
          </cell>
          <cell r="E456">
            <v>0.47058823529411764</v>
          </cell>
          <cell r="F456">
            <v>1985</v>
          </cell>
          <cell r="G456">
            <v>3</v>
          </cell>
          <cell r="H456">
            <v>25</v>
          </cell>
          <cell r="I456">
            <v>72</v>
          </cell>
          <cell r="K456">
            <v>2.88</v>
          </cell>
        </row>
        <row r="457">
          <cell r="A457">
            <v>2000</v>
          </cell>
          <cell r="C457">
            <v>65</v>
          </cell>
          <cell r="D457">
            <v>130</v>
          </cell>
          <cell r="E457">
            <v>2</v>
          </cell>
          <cell r="F457">
            <v>1994</v>
          </cell>
          <cell r="G457">
            <v>6</v>
          </cell>
          <cell r="H457">
            <v>22</v>
          </cell>
          <cell r="I457">
            <v>43</v>
          </cell>
          <cell r="K457">
            <v>1.9545454545454546</v>
          </cell>
        </row>
        <row r="460">
          <cell r="B460" t="str">
            <v>Used Aircraft Pricing</v>
          </cell>
          <cell r="F460" t="str">
            <v xml:space="preserve">also GAC availability -- both internet and anecdotal </v>
          </cell>
        </row>
        <row r="462">
          <cell r="C462" t="str">
            <v>GIV (92)</v>
          </cell>
          <cell r="D462" t="str">
            <v>Falcon 900 (90)</v>
          </cell>
          <cell r="E462" t="str">
            <v>Chal 601 (95)</v>
          </cell>
        </row>
        <row r="463">
          <cell r="A463" t="str">
            <v>New - 99 prices</v>
          </cell>
          <cell r="C463">
            <v>28</v>
          </cell>
          <cell r="D463">
            <v>26.9</v>
          </cell>
          <cell r="E463">
            <v>21.8</v>
          </cell>
        </row>
        <row r="464">
          <cell r="A464" t="str">
            <v>Used - mkt pr</v>
          </cell>
          <cell r="C464">
            <v>25</v>
          </cell>
          <cell r="D464">
            <v>20.85</v>
          </cell>
          <cell r="E464">
            <v>18.7</v>
          </cell>
        </row>
        <row r="465">
          <cell r="A465" t="str">
            <v>Used - blue bk</v>
          </cell>
          <cell r="C465">
            <v>25.75</v>
          </cell>
          <cell r="D465">
            <v>22.45</v>
          </cell>
          <cell r="E465">
            <v>19.2</v>
          </cell>
        </row>
        <row r="466">
          <cell r="A466" t="str">
            <v>Discount to blue</v>
          </cell>
          <cell r="C466">
            <v>2.9126213592232997E-2</v>
          </cell>
          <cell r="D466">
            <v>7.1269487750556748E-2</v>
          </cell>
          <cell r="E466">
            <v>2.604166666666663E-2</v>
          </cell>
        </row>
        <row r="468">
          <cell r="A468" t="str">
            <v>discount rate</v>
          </cell>
          <cell r="C468">
            <v>0.03</v>
          </cell>
          <cell r="D468">
            <v>0.03</v>
          </cell>
          <cell r="E468">
            <v>0.03</v>
          </cell>
        </row>
        <row r="469">
          <cell r="A469" t="str">
            <v>Notional price when bought</v>
          </cell>
          <cell r="C469">
            <v>22.7</v>
          </cell>
          <cell r="D469">
            <v>20.6</v>
          </cell>
          <cell r="E469">
            <v>18.2</v>
          </cell>
        </row>
        <row r="470">
          <cell r="A470" t="str">
            <v>Used prem to original price</v>
          </cell>
          <cell r="C470">
            <v>0.10132158590308374</v>
          </cell>
          <cell r="D470">
            <v>1.2135922330097087E-2</v>
          </cell>
          <cell r="E470">
            <v>2.7472527472527472E-2</v>
          </cell>
        </row>
        <row r="474">
          <cell r="A474" t="str">
            <v>GAC Est. Order Breakdown by Customer Group</v>
          </cell>
        </row>
        <row r="476">
          <cell r="C476" t="str">
            <v>GIVSP</v>
          </cell>
          <cell r="E476" t="str">
            <v>GV</v>
          </cell>
          <cell r="G476" t="str">
            <v>Delivered</v>
          </cell>
          <cell r="I476" t="str">
            <v>Impl'd Backlog</v>
          </cell>
        </row>
        <row r="477">
          <cell r="A477" t="str">
            <v>Customer</v>
          </cell>
          <cell r="C477" t="str">
            <v>Ords</v>
          </cell>
          <cell r="D477" t="str">
            <v>Opns</v>
          </cell>
          <cell r="E477" t="str">
            <v>Ords</v>
          </cell>
          <cell r="F477" t="str">
            <v>Opns</v>
          </cell>
          <cell r="G477" t="str">
            <v>GIVSP</v>
          </cell>
          <cell r="H477" t="str">
            <v>GV</v>
          </cell>
          <cell r="I477" t="str">
            <v>GIVSP</v>
          </cell>
          <cell r="J477" t="str">
            <v>GV</v>
          </cell>
          <cell r="K477" t="str">
            <v>Total</v>
          </cell>
        </row>
        <row r="478">
          <cell r="A478" t="str">
            <v>Executive Jet</v>
          </cell>
          <cell r="C478">
            <v>44</v>
          </cell>
          <cell r="E478">
            <v>12</v>
          </cell>
          <cell r="F478">
            <v>12</v>
          </cell>
          <cell r="G478">
            <v>18</v>
          </cell>
          <cell r="I478">
            <v>26</v>
          </cell>
          <cell r="J478">
            <v>12</v>
          </cell>
          <cell r="K478">
            <v>38</v>
          </cell>
        </row>
        <row r="479">
          <cell r="A479" t="str">
            <v>GATX/GAC</v>
          </cell>
          <cell r="C479">
            <v>1</v>
          </cell>
          <cell r="D479">
            <v>3</v>
          </cell>
          <cell r="E479">
            <v>5</v>
          </cell>
          <cell r="F479">
            <v>3</v>
          </cell>
          <cell r="I479">
            <v>1</v>
          </cell>
          <cell r="J479">
            <v>5</v>
          </cell>
          <cell r="K479">
            <v>6</v>
          </cell>
        </row>
        <row r="480">
          <cell r="A480" t="str">
            <v>M.E. shs</v>
          </cell>
          <cell r="C480">
            <v>12</v>
          </cell>
          <cell r="G480">
            <v>2</v>
          </cell>
          <cell r="I480">
            <v>10</v>
          </cell>
          <cell r="J480">
            <v>0</v>
          </cell>
          <cell r="K480">
            <v>10</v>
          </cell>
        </row>
        <row r="481">
          <cell r="A481" t="str">
            <v>- subtot Fractional</v>
          </cell>
          <cell r="C481">
            <v>57</v>
          </cell>
          <cell r="D481">
            <v>3</v>
          </cell>
          <cell r="E481">
            <v>17</v>
          </cell>
          <cell r="F481">
            <v>15</v>
          </cell>
          <cell r="G481">
            <v>20</v>
          </cell>
          <cell r="H481">
            <v>0</v>
          </cell>
          <cell r="I481">
            <v>37</v>
          </cell>
          <cell r="J481">
            <v>17</v>
          </cell>
          <cell r="K481">
            <v>54</v>
          </cell>
        </row>
        <row r="483">
          <cell r="A483" t="str">
            <v>VCX</v>
          </cell>
          <cell r="E483">
            <v>4</v>
          </cell>
          <cell r="F483">
            <v>3</v>
          </cell>
          <cell r="H483">
            <v>2</v>
          </cell>
          <cell r="I483">
            <v>0</v>
          </cell>
          <cell r="J483">
            <v>2</v>
          </cell>
          <cell r="L483" t="str">
            <v>- Army Q4:99, USAF Q2:00</v>
          </cell>
        </row>
        <row r="486">
          <cell r="A486" t="str">
            <v>COMPLETED</v>
          </cell>
        </row>
        <row r="487">
          <cell r="A487" t="str">
            <v>Govt Kuwait</v>
          </cell>
          <cell r="E487">
            <v>3</v>
          </cell>
          <cell r="H487">
            <v>3</v>
          </cell>
          <cell r="J487">
            <v>0</v>
          </cell>
        </row>
        <row r="493">
          <cell r="A493" t="str">
            <v>Gulfstream Backlog Analysis</v>
          </cell>
        </row>
        <row r="495">
          <cell r="D495">
            <v>1999</v>
          </cell>
          <cell r="E495">
            <v>2000</v>
          </cell>
          <cell r="F495">
            <v>2001</v>
          </cell>
          <cell r="G495" t="str">
            <v>1Q02</v>
          </cell>
        </row>
        <row r="496">
          <cell r="A496" t="str">
            <v>New Orders</v>
          </cell>
          <cell r="D496">
            <v>42</v>
          </cell>
          <cell r="E496">
            <v>62</v>
          </cell>
          <cell r="F496">
            <v>121</v>
          </cell>
          <cell r="L496" t="str">
            <v>1999 Backlog</v>
          </cell>
        </row>
        <row r="497">
          <cell r="A497" t="str">
            <v>Options Exercised</v>
          </cell>
          <cell r="D497">
            <v>2</v>
          </cell>
          <cell r="E497">
            <v>20</v>
          </cell>
          <cell r="F497">
            <v>2</v>
          </cell>
          <cell r="K497" t="str">
            <v>Green</v>
          </cell>
          <cell r="L497">
            <v>117</v>
          </cell>
        </row>
        <row r="498">
          <cell r="B498" t="str">
            <v>Total Firm Orders</v>
          </cell>
          <cell r="D498">
            <v>44</v>
          </cell>
          <cell r="E498">
            <v>82</v>
          </cell>
          <cell r="F498">
            <v>123</v>
          </cell>
          <cell r="L498">
            <v>105</v>
          </cell>
        </row>
        <row r="499">
          <cell r="A499" t="str">
            <v>Firm Contracts in Backlog</v>
          </cell>
          <cell r="D499">
            <v>80</v>
          </cell>
          <cell r="E499">
            <v>87</v>
          </cell>
          <cell r="F499">
            <v>131</v>
          </cell>
        </row>
        <row r="500">
          <cell r="A500" t="str">
            <v>Green Deliveries</v>
          </cell>
          <cell r="D500">
            <v>70</v>
          </cell>
          <cell r="E500">
            <v>71</v>
          </cell>
          <cell r="F500">
            <v>84</v>
          </cell>
          <cell r="G500">
            <v>27</v>
          </cell>
        </row>
        <row r="501">
          <cell r="A501" t="str">
            <v>Firm Contracts Backlog</v>
          </cell>
          <cell r="D501">
            <v>2860</v>
          </cell>
          <cell r="E501">
            <v>3336</v>
          </cell>
          <cell r="F501">
            <v>4198</v>
          </cell>
          <cell r="G501">
            <v>4500</v>
          </cell>
        </row>
        <row r="503">
          <cell r="A503" t="str">
            <v>Gulfstream Backlog by Plane Type</v>
          </cell>
        </row>
        <row r="504">
          <cell r="E504">
            <v>2001</v>
          </cell>
          <cell r="G504">
            <v>2001</v>
          </cell>
          <cell r="H504" t="str">
            <v>1Q02</v>
          </cell>
        </row>
        <row r="505">
          <cell r="A505" t="str">
            <v>Plane Type</v>
          </cell>
          <cell r="C505">
            <v>1999</v>
          </cell>
          <cell r="D505">
            <v>2000</v>
          </cell>
          <cell r="E505" t="str">
            <v>Pre Avolar</v>
          </cell>
          <cell r="F505" t="str">
            <v>Adjusts</v>
          </cell>
          <cell r="G505" t="str">
            <v>Post Avolar</v>
          </cell>
          <cell r="H505" t="str">
            <v>1Q02 Del</v>
          </cell>
          <cell r="I505" t="str">
            <v>Est. Orders</v>
          </cell>
          <cell r="J505" t="str">
            <v>Implied B-L</v>
          </cell>
        </row>
        <row r="507">
          <cell r="A507" t="str">
            <v>G-IV</v>
          </cell>
          <cell r="C507">
            <v>0</v>
          </cell>
          <cell r="D507">
            <v>0</v>
          </cell>
          <cell r="E507">
            <v>0</v>
          </cell>
          <cell r="F507">
            <v>0</v>
          </cell>
          <cell r="G507">
            <v>0</v>
          </cell>
          <cell r="H507">
            <v>0</v>
          </cell>
          <cell r="I507">
            <v>0</v>
          </cell>
          <cell r="J507">
            <v>0</v>
          </cell>
        </row>
        <row r="508">
          <cell r="A508" t="str">
            <v>G-IVSP</v>
          </cell>
          <cell r="C508">
            <v>39</v>
          </cell>
          <cell r="D508">
            <v>34</v>
          </cell>
          <cell r="E508">
            <v>20</v>
          </cell>
          <cell r="F508">
            <v>-7</v>
          </cell>
          <cell r="G508">
            <v>13</v>
          </cell>
          <cell r="H508">
            <v>8</v>
          </cell>
          <cell r="I508">
            <v>4</v>
          </cell>
          <cell r="J508">
            <v>9</v>
          </cell>
        </row>
        <row r="509">
          <cell r="A509" t="str">
            <v>G-V</v>
          </cell>
          <cell r="C509">
            <v>43</v>
          </cell>
          <cell r="D509">
            <v>25</v>
          </cell>
          <cell r="E509">
            <v>15</v>
          </cell>
          <cell r="F509">
            <v>-5</v>
          </cell>
          <cell r="G509">
            <v>10</v>
          </cell>
          <cell r="H509">
            <v>7</v>
          </cell>
          <cell r="I509">
            <v>2</v>
          </cell>
          <cell r="J509">
            <v>5</v>
          </cell>
        </row>
        <row r="510">
          <cell r="A510" t="str">
            <v>G-VSP</v>
          </cell>
          <cell r="C510">
            <v>0</v>
          </cell>
          <cell r="D510">
            <v>48</v>
          </cell>
          <cell r="E510">
            <v>51</v>
          </cell>
          <cell r="F510">
            <v>0</v>
          </cell>
          <cell r="G510">
            <v>51</v>
          </cell>
          <cell r="H510">
            <v>0</v>
          </cell>
          <cell r="I510">
            <v>12</v>
          </cell>
          <cell r="J510">
            <v>63</v>
          </cell>
        </row>
        <row r="511">
          <cell r="A511" t="str">
            <v>G100</v>
          </cell>
          <cell r="C511">
            <v>0</v>
          </cell>
          <cell r="D511">
            <v>0</v>
          </cell>
          <cell r="E511">
            <v>0</v>
          </cell>
          <cell r="F511">
            <v>0</v>
          </cell>
          <cell r="G511">
            <v>0</v>
          </cell>
          <cell r="H511">
            <v>4</v>
          </cell>
          <cell r="I511">
            <v>4</v>
          </cell>
          <cell r="J511">
            <v>0</v>
          </cell>
        </row>
        <row r="512">
          <cell r="A512" t="str">
            <v>G200</v>
          </cell>
          <cell r="C512">
            <v>0</v>
          </cell>
          <cell r="D512">
            <v>0</v>
          </cell>
          <cell r="E512">
            <v>79</v>
          </cell>
          <cell r="F512">
            <v>-24</v>
          </cell>
          <cell r="G512">
            <v>55</v>
          </cell>
          <cell r="H512">
            <v>8</v>
          </cell>
          <cell r="I512">
            <v>14</v>
          </cell>
          <cell r="J512">
            <v>61</v>
          </cell>
        </row>
        <row r="513">
          <cell r="A513" t="str">
            <v>Total</v>
          </cell>
          <cell r="C513">
            <v>82</v>
          </cell>
          <cell r="D513">
            <v>107</v>
          </cell>
          <cell r="E513">
            <v>165</v>
          </cell>
          <cell r="F513">
            <v>-36</v>
          </cell>
          <cell r="G513">
            <v>129</v>
          </cell>
          <cell r="H513">
            <v>27</v>
          </cell>
          <cell r="I513">
            <v>36</v>
          </cell>
          <cell r="J513">
            <v>138</v>
          </cell>
        </row>
        <row r="515">
          <cell r="A515" t="str">
            <v>Implied Bl</v>
          </cell>
          <cell r="H515">
            <v>-669</v>
          </cell>
          <cell r="I515">
            <v>976</v>
          </cell>
          <cell r="J515">
            <v>307</v>
          </cell>
        </row>
        <row r="516">
          <cell r="A516" t="str">
            <v>Actual Bl</v>
          </cell>
          <cell r="C516">
            <v>2860</v>
          </cell>
          <cell r="D516">
            <v>3336</v>
          </cell>
          <cell r="E516">
            <v>4998</v>
          </cell>
          <cell r="F516">
            <v>-800</v>
          </cell>
          <cell r="G516">
            <v>4198</v>
          </cell>
          <cell r="H516">
            <v>-760</v>
          </cell>
          <cell r="I516">
            <v>1000</v>
          </cell>
          <cell r="J516">
            <v>4500</v>
          </cell>
        </row>
        <row r="517">
          <cell r="A517" t="str">
            <v>Difference</v>
          </cell>
          <cell r="C517">
            <v>2860</v>
          </cell>
          <cell r="D517">
            <v>3336</v>
          </cell>
          <cell r="E517">
            <v>4998</v>
          </cell>
          <cell r="F517">
            <v>-800</v>
          </cell>
          <cell r="G517">
            <v>4198</v>
          </cell>
          <cell r="H517">
            <v>-91</v>
          </cell>
          <cell r="I517">
            <v>24</v>
          </cell>
          <cell r="J517">
            <v>4193</v>
          </cell>
        </row>
        <row r="519">
          <cell r="A519" t="str">
            <v>Avolar Write-down of Backlog</v>
          </cell>
        </row>
        <row r="521">
          <cell r="A521" t="str">
            <v>Plane Type</v>
          </cell>
          <cell r="C521" t="str">
            <v># Units</v>
          </cell>
          <cell r="D521" t="str">
            <v>Avg. Price</v>
          </cell>
          <cell r="E521" t="str">
            <v>$ Revenue</v>
          </cell>
          <cell r="F521" t="str">
            <v>Comments</v>
          </cell>
        </row>
        <row r="522">
          <cell r="A522" t="str">
            <v>G-IVSPs</v>
          </cell>
          <cell r="C522">
            <v>7</v>
          </cell>
          <cell r="D522">
            <v>28</v>
          </cell>
          <cell r="E522">
            <v>196</v>
          </cell>
        </row>
        <row r="523">
          <cell r="A523" t="str">
            <v>G-Vs</v>
          </cell>
          <cell r="C523">
            <v>5</v>
          </cell>
          <cell r="D523">
            <v>35</v>
          </cell>
          <cell r="E523">
            <v>175</v>
          </cell>
        </row>
        <row r="524">
          <cell r="A524" t="str">
            <v>G200s</v>
          </cell>
          <cell r="C524">
            <v>24</v>
          </cell>
          <cell r="D524">
            <v>19</v>
          </cell>
          <cell r="E524">
            <v>456</v>
          </cell>
        </row>
        <row r="525">
          <cell r="A525" t="str">
            <v>Orders</v>
          </cell>
          <cell r="C525">
            <v>36</v>
          </cell>
          <cell r="D525">
            <v>22.972222222222221</v>
          </cell>
          <cell r="E525">
            <v>827</v>
          </cell>
          <cell r="F525" t="str">
            <v>vs. $800 MM Quoted</v>
          </cell>
        </row>
        <row r="528">
          <cell r="A528" t="str">
            <v>1Q02 Reconciled Deliveries</v>
          </cell>
        </row>
        <row r="529">
          <cell r="B529" t="str">
            <v xml:space="preserve"> </v>
          </cell>
        </row>
        <row r="530">
          <cell r="A530" t="str">
            <v>Plane Type</v>
          </cell>
          <cell r="C530" t="str">
            <v># Units</v>
          </cell>
          <cell r="D530" t="str">
            <v>Avg. Pr.</v>
          </cell>
          <cell r="E530" t="str">
            <v>$ Revenue</v>
          </cell>
          <cell r="F530" t="str">
            <v>Comments</v>
          </cell>
        </row>
        <row r="531">
          <cell r="A531" t="str">
            <v>G-IV</v>
          </cell>
          <cell r="C531">
            <v>0</v>
          </cell>
          <cell r="D531">
            <v>0</v>
          </cell>
          <cell r="E531">
            <v>0</v>
          </cell>
        </row>
        <row r="532">
          <cell r="A532" t="str">
            <v>G-IVSP</v>
          </cell>
          <cell r="C532">
            <v>8</v>
          </cell>
          <cell r="D532">
            <v>28</v>
          </cell>
          <cell r="E532">
            <v>224</v>
          </cell>
        </row>
        <row r="533">
          <cell r="A533" t="str">
            <v>G-V</v>
          </cell>
          <cell r="C533">
            <v>7</v>
          </cell>
          <cell r="D533">
            <v>35</v>
          </cell>
          <cell r="E533">
            <v>245</v>
          </cell>
        </row>
        <row r="534">
          <cell r="A534" t="str">
            <v>G-VSP</v>
          </cell>
          <cell r="C534">
            <v>0</v>
          </cell>
          <cell r="D534">
            <v>40</v>
          </cell>
          <cell r="E534">
            <v>0</v>
          </cell>
        </row>
        <row r="535">
          <cell r="A535" t="str">
            <v>G100</v>
          </cell>
          <cell r="C535">
            <v>4</v>
          </cell>
          <cell r="D535">
            <v>12</v>
          </cell>
          <cell r="E535">
            <v>48</v>
          </cell>
        </row>
        <row r="536">
          <cell r="A536" t="str">
            <v>G200</v>
          </cell>
          <cell r="C536">
            <v>8</v>
          </cell>
          <cell r="D536">
            <v>19</v>
          </cell>
          <cell r="E536">
            <v>152</v>
          </cell>
        </row>
        <row r="537">
          <cell r="C537">
            <v>27</v>
          </cell>
          <cell r="D537">
            <v>24.777777777777779</v>
          </cell>
          <cell r="E537">
            <v>669</v>
          </cell>
          <cell r="F537" t="str">
            <v>vs. $760 MM less  Ops and Preowned</v>
          </cell>
        </row>
        <row r="539">
          <cell r="A539" t="str">
            <v>Possible 1Q02 Orders</v>
          </cell>
        </row>
        <row r="540">
          <cell r="C540" t="str">
            <v>1Q02</v>
          </cell>
          <cell r="D540" t="str">
            <v>Avg. Pr.</v>
          </cell>
          <cell r="E540" t="str">
            <v>Revs</v>
          </cell>
          <cell r="F540" t="str">
            <v>1Q01</v>
          </cell>
          <cell r="G540" t="str">
            <v>Avg. Pr.</v>
          </cell>
          <cell r="H540" t="str">
            <v>Revs</v>
          </cell>
          <cell r="I540" t="str">
            <v>Y/Y</v>
          </cell>
          <cell r="J540" t="str">
            <v>Revs</v>
          </cell>
        </row>
        <row r="541">
          <cell r="A541" t="str">
            <v>Plane Type</v>
          </cell>
          <cell r="C541" t="str">
            <v># Units</v>
          </cell>
          <cell r="D541" t="str">
            <v>($MMs)</v>
          </cell>
          <cell r="E541" t="str">
            <v>$MM</v>
          </cell>
          <cell r="F541" t="str">
            <v># Units</v>
          </cell>
          <cell r="G541" t="str">
            <v>($MMs)</v>
          </cell>
          <cell r="H541" t="str">
            <v>$MM</v>
          </cell>
          <cell r="I541" t="str">
            <v>Units</v>
          </cell>
          <cell r="J541" t="str">
            <v>$MM</v>
          </cell>
          <cell r="K541" t="str">
            <v>Comments</v>
          </cell>
        </row>
        <row r="542">
          <cell r="A542" t="str">
            <v>G-IV</v>
          </cell>
          <cell r="C542">
            <v>0</v>
          </cell>
        </row>
        <row r="543">
          <cell r="A543" t="str">
            <v>G-IVSP</v>
          </cell>
          <cell r="C543">
            <v>4</v>
          </cell>
          <cell r="D543">
            <v>28</v>
          </cell>
          <cell r="E543">
            <v>112</v>
          </cell>
          <cell r="F543">
            <v>9</v>
          </cell>
          <cell r="G543">
            <v>28</v>
          </cell>
          <cell r="H543">
            <v>252</v>
          </cell>
          <cell r="I543">
            <v>-0.55555555555555558</v>
          </cell>
          <cell r="J543">
            <v>-0.55555555555555558</v>
          </cell>
        </row>
        <row r="544">
          <cell r="A544" t="str">
            <v>G-V</v>
          </cell>
          <cell r="C544">
            <v>2</v>
          </cell>
          <cell r="D544">
            <v>35</v>
          </cell>
          <cell r="E544">
            <v>70</v>
          </cell>
          <cell r="F544">
            <v>9</v>
          </cell>
          <cell r="G544">
            <v>32</v>
          </cell>
          <cell r="H544">
            <v>288</v>
          </cell>
          <cell r="I544">
            <v>-0.77777777777777779</v>
          </cell>
          <cell r="J544">
            <v>-0.75694444444444442</v>
          </cell>
        </row>
        <row r="545">
          <cell r="A545" t="str">
            <v>G-VSP</v>
          </cell>
          <cell r="C545">
            <v>12</v>
          </cell>
          <cell r="D545">
            <v>40</v>
          </cell>
          <cell r="E545">
            <v>480</v>
          </cell>
          <cell r="F545">
            <v>5</v>
          </cell>
          <cell r="G545">
            <v>35</v>
          </cell>
          <cell r="H545">
            <v>175</v>
          </cell>
          <cell r="I545">
            <v>1.4</v>
          </cell>
          <cell r="J545">
            <v>1.7428571428571429</v>
          </cell>
        </row>
        <row r="546">
          <cell r="A546" t="str">
            <v>G100</v>
          </cell>
          <cell r="C546">
            <v>4</v>
          </cell>
          <cell r="D546">
            <v>12</v>
          </cell>
          <cell r="E546">
            <v>48</v>
          </cell>
        </row>
        <row r="547">
          <cell r="A547" t="str">
            <v>G200</v>
          </cell>
          <cell r="C547">
            <v>14</v>
          </cell>
          <cell r="D547">
            <v>19</v>
          </cell>
          <cell r="E547">
            <v>266</v>
          </cell>
          <cell r="F547" t="str">
            <v xml:space="preserve">  </v>
          </cell>
          <cell r="H547" t="str">
            <v xml:space="preserve">  </v>
          </cell>
        </row>
        <row r="548">
          <cell r="A548" t="str">
            <v>Total</v>
          </cell>
          <cell r="C548">
            <v>36</v>
          </cell>
          <cell r="E548">
            <v>976</v>
          </cell>
          <cell r="F548">
            <v>23</v>
          </cell>
          <cell r="H548">
            <v>715</v>
          </cell>
          <cell r="K548" t="str">
            <v>vs. $1B in new orders</v>
          </cell>
        </row>
        <row r="563">
          <cell r="AK563">
            <v>771.4</v>
          </cell>
        </row>
        <row r="564">
          <cell r="AK564">
            <v>11.5</v>
          </cell>
        </row>
        <row r="565">
          <cell r="AK565">
            <v>9.1999999999999993</v>
          </cell>
        </row>
        <row r="567">
          <cell r="AK567">
            <v>57.1</v>
          </cell>
        </row>
        <row r="568">
          <cell r="AK568">
            <v>31.2</v>
          </cell>
        </row>
      </sheetData>
      <sheetData sheetId="6" refreshError="1">
        <row r="2">
          <cell r="A2" t="str">
            <v>Gulfstream Abbreviated Estimated P&amp;L ($MM)</v>
          </cell>
        </row>
        <row r="4">
          <cell r="C4" t="str">
            <v>Gulfstream Standalone</v>
          </cell>
          <cell r="G4" t="str">
            <v>Division of GD ---&gt;</v>
          </cell>
          <cell r="I4" t="str">
            <v>downcycle</v>
          </cell>
          <cell r="J4" t="str">
            <v>trough</v>
          </cell>
          <cell r="K4" t="str">
            <v>upcycle</v>
          </cell>
          <cell r="M4" t="str">
            <v>last update -- 1/06</v>
          </cell>
          <cell r="O4" t="str">
            <v>Peak</v>
          </cell>
          <cell r="P4" t="str">
            <v>Peak</v>
          </cell>
          <cell r="W4" t="str">
            <v>% Of Total</v>
          </cell>
        </row>
        <row r="5">
          <cell r="B5">
            <v>1995</v>
          </cell>
          <cell r="C5">
            <v>1996</v>
          </cell>
          <cell r="D5">
            <v>1997</v>
          </cell>
          <cell r="E5">
            <v>1998</v>
          </cell>
          <cell r="F5">
            <v>1999</v>
          </cell>
          <cell r="G5">
            <v>2000</v>
          </cell>
          <cell r="H5">
            <v>2001</v>
          </cell>
          <cell r="I5">
            <v>2002</v>
          </cell>
          <cell r="J5">
            <v>2003</v>
          </cell>
          <cell r="K5" t="str">
            <v>2004A</v>
          </cell>
          <cell r="L5" t="str">
            <v>2005E</v>
          </cell>
          <cell r="M5" t="str">
            <v>2006E</v>
          </cell>
          <cell r="N5" t="str">
            <v>2007E</v>
          </cell>
          <cell r="O5" t="str">
            <v>2008E</v>
          </cell>
          <cell r="P5" t="str">
            <v>2008E</v>
          </cell>
          <cell r="V5" t="str">
            <v>2005E</v>
          </cell>
          <cell r="W5" t="str">
            <v>2006E</v>
          </cell>
          <cell r="X5" t="str">
            <v>2007E</v>
          </cell>
          <cell r="Y5" t="str">
            <v>2008E</v>
          </cell>
        </row>
        <row r="6">
          <cell r="A6" t="str">
            <v>Midsize</v>
          </cell>
          <cell r="B6">
            <v>0</v>
          </cell>
          <cell r="C6">
            <v>0</v>
          </cell>
          <cell r="D6">
            <v>0</v>
          </cell>
          <cell r="E6">
            <v>0</v>
          </cell>
          <cell r="F6">
            <v>0</v>
          </cell>
          <cell r="G6">
            <v>0</v>
          </cell>
          <cell r="H6">
            <v>13</v>
          </cell>
          <cell r="I6">
            <v>24</v>
          </cell>
          <cell r="J6">
            <v>24</v>
          </cell>
          <cell r="K6">
            <v>22</v>
          </cell>
          <cell r="L6">
            <v>26</v>
          </cell>
          <cell r="M6">
            <v>42</v>
          </cell>
          <cell r="N6">
            <v>56</v>
          </cell>
          <cell r="O6">
            <v>70</v>
          </cell>
          <cell r="P6">
            <v>20</v>
          </cell>
          <cell r="V6">
            <v>0.29213483146067415</v>
          </cell>
          <cell r="W6">
            <v>0.37168141592920356</v>
          </cell>
          <cell r="X6">
            <v>0.40579710144927539</v>
          </cell>
          <cell r="Y6">
            <v>0.44303797468354428</v>
          </cell>
        </row>
        <row r="7">
          <cell r="A7" t="str">
            <v>Large Cabin</v>
          </cell>
          <cell r="B7">
            <v>26</v>
          </cell>
          <cell r="C7">
            <v>27</v>
          </cell>
          <cell r="D7">
            <v>51</v>
          </cell>
          <cell r="E7">
            <v>61</v>
          </cell>
          <cell r="F7">
            <v>70</v>
          </cell>
          <cell r="G7">
            <v>71</v>
          </cell>
          <cell r="H7">
            <v>71</v>
          </cell>
          <cell r="I7">
            <v>61</v>
          </cell>
          <cell r="J7">
            <v>50</v>
          </cell>
          <cell r="K7">
            <v>56</v>
          </cell>
          <cell r="L7">
            <v>63</v>
          </cell>
          <cell r="M7">
            <v>71</v>
          </cell>
          <cell r="N7">
            <v>82</v>
          </cell>
          <cell r="O7">
            <v>88</v>
          </cell>
          <cell r="P7">
            <v>72</v>
          </cell>
          <cell r="V7">
            <v>0.7078651685393258</v>
          </cell>
          <cell r="W7">
            <v>0.62831858407079644</v>
          </cell>
          <cell r="X7">
            <v>0.59420289855072461</v>
          </cell>
          <cell r="Y7">
            <v>0.55696202531645567</v>
          </cell>
        </row>
        <row r="8">
          <cell r="A8" t="str">
            <v>TOTAL GAC Dels</v>
          </cell>
          <cell r="B8">
            <v>26</v>
          </cell>
          <cell r="C8">
            <v>27</v>
          </cell>
          <cell r="D8">
            <v>51</v>
          </cell>
          <cell r="E8">
            <v>61</v>
          </cell>
          <cell r="F8">
            <v>70</v>
          </cell>
          <cell r="G8">
            <v>71</v>
          </cell>
          <cell r="H8">
            <v>84</v>
          </cell>
          <cell r="I8">
            <v>85</v>
          </cell>
          <cell r="J8">
            <v>74</v>
          </cell>
          <cell r="K8">
            <v>78</v>
          </cell>
          <cell r="L8">
            <v>89</v>
          </cell>
          <cell r="M8">
            <v>113</v>
          </cell>
          <cell r="N8">
            <v>138</v>
          </cell>
          <cell r="O8">
            <v>158</v>
          </cell>
          <cell r="P8">
            <v>92</v>
          </cell>
          <cell r="V8">
            <v>1</v>
          </cell>
          <cell r="W8">
            <v>1</v>
          </cell>
          <cell r="X8">
            <v>1</v>
          </cell>
          <cell r="Y8">
            <v>1</v>
          </cell>
        </row>
        <row r="10">
          <cell r="A10" t="str">
            <v>Sales Breakdown</v>
          </cell>
        </row>
        <row r="11">
          <cell r="A11" t="str">
            <v>Green Deliveries</v>
          </cell>
          <cell r="B11">
            <v>613.6</v>
          </cell>
          <cell r="C11">
            <v>666</v>
          </cell>
          <cell r="D11">
            <v>1401.3</v>
          </cell>
          <cell r="E11">
            <v>1739.4</v>
          </cell>
          <cell r="F11">
            <v>1978.5</v>
          </cell>
          <cell r="G11">
            <v>2047.3000000000002</v>
          </cell>
          <cell r="H11">
            <v>2336.85</v>
          </cell>
          <cell r="I11">
            <v>2080.578</v>
          </cell>
          <cell r="J11">
            <v>1723.1</v>
          </cell>
          <cell r="K11">
            <v>1951.5500000000002</v>
          </cell>
          <cell r="L11">
            <v>2349</v>
          </cell>
          <cell r="M11">
            <v>2861</v>
          </cell>
          <cell r="N11">
            <v>3539.2200000000003</v>
          </cell>
          <cell r="O11">
            <v>4053</v>
          </cell>
          <cell r="P11">
            <v>2834</v>
          </cell>
          <cell r="V11">
            <v>0.68424118846489945</v>
          </cell>
          <cell r="W11">
            <v>0.69504672919900778</v>
          </cell>
          <cell r="X11">
            <v>0.73302790676481189</v>
          </cell>
          <cell r="Y11">
            <v>0.72323340471092079</v>
          </cell>
        </row>
        <row r="12">
          <cell r="A12" t="str">
            <v>Completions</v>
          </cell>
          <cell r="B12">
            <v>58</v>
          </cell>
          <cell r="C12">
            <v>75.059999999999988</v>
          </cell>
          <cell r="D12">
            <v>92.04</v>
          </cell>
          <cell r="E12">
            <v>184.23</v>
          </cell>
          <cell r="F12">
            <v>275.74</v>
          </cell>
          <cell r="G12">
            <v>308</v>
          </cell>
          <cell r="H12">
            <v>357.13</v>
          </cell>
          <cell r="I12">
            <v>411.12</v>
          </cell>
          <cell r="J12">
            <v>345.47999999999996</v>
          </cell>
          <cell r="K12">
            <v>361</v>
          </cell>
          <cell r="L12">
            <v>402</v>
          </cell>
          <cell r="M12">
            <v>480.27</v>
          </cell>
          <cell r="N12">
            <v>584</v>
          </cell>
          <cell r="O12">
            <v>826</v>
          </cell>
          <cell r="P12">
            <v>636</v>
          </cell>
          <cell r="V12">
            <v>0.11709874745120885</v>
          </cell>
          <cell r="W12">
            <v>0.11667601979461988</v>
          </cell>
          <cell r="X12">
            <v>0.12095554883580284</v>
          </cell>
          <cell r="Y12">
            <v>0.14739471805852963</v>
          </cell>
        </row>
        <row r="13">
          <cell r="A13" t="str">
            <v>Used Sales</v>
          </cell>
          <cell r="B13">
            <v>45</v>
          </cell>
          <cell r="C13">
            <v>153.30000000000001</v>
          </cell>
          <cell r="D13">
            <v>210.4</v>
          </cell>
          <cell r="E13">
            <v>237.2</v>
          </cell>
          <cell r="F13">
            <v>318</v>
          </cell>
          <cell r="G13">
            <v>255</v>
          </cell>
          <cell r="H13">
            <v>177</v>
          </cell>
          <cell r="I13">
            <v>435</v>
          </cell>
          <cell r="J13">
            <v>469</v>
          </cell>
          <cell r="K13">
            <v>254</v>
          </cell>
          <cell r="L13">
            <v>198</v>
          </cell>
          <cell r="M13">
            <v>217</v>
          </cell>
          <cell r="N13">
            <v>80</v>
          </cell>
          <cell r="O13">
            <v>25</v>
          </cell>
          <cell r="P13">
            <v>30</v>
          </cell>
          <cell r="V13">
            <v>5.7675502475968539E-2</v>
          </cell>
          <cell r="W13">
            <v>5.2717630281784229E-2</v>
          </cell>
          <cell r="X13">
            <v>1.6569253265178472E-2</v>
          </cell>
          <cell r="Y13">
            <v>4.4610992148465386E-3</v>
          </cell>
        </row>
        <row r="14">
          <cell r="A14" t="str">
            <v>Spares/Services</v>
          </cell>
          <cell r="B14">
            <v>324.5</v>
          </cell>
          <cell r="C14">
            <v>170.03800000000001</v>
          </cell>
          <cell r="D14">
            <v>200.64484000000002</v>
          </cell>
          <cell r="E14">
            <v>266.85763720000006</v>
          </cell>
          <cell r="F14">
            <v>336.50748050920009</v>
          </cell>
          <cell r="G14">
            <v>421</v>
          </cell>
          <cell r="H14">
            <v>394</v>
          </cell>
          <cell r="I14">
            <v>362</v>
          </cell>
          <cell r="J14">
            <v>408</v>
          </cell>
          <cell r="K14">
            <v>445</v>
          </cell>
          <cell r="L14">
            <v>484</v>
          </cell>
          <cell r="M14">
            <v>558</v>
          </cell>
          <cell r="N14">
            <v>625</v>
          </cell>
          <cell r="O14">
            <v>700</v>
          </cell>
          <cell r="P14">
            <v>650</v>
          </cell>
          <cell r="V14">
            <v>0.14098456160792311</v>
          </cell>
          <cell r="W14">
            <v>0.13555962072458802</v>
          </cell>
          <cell r="X14">
            <v>0.1294472911342068</v>
          </cell>
          <cell r="Y14">
            <v>0.12491077801570306</v>
          </cell>
        </row>
        <row r="15">
          <cell r="A15" t="str">
            <v>Total</v>
          </cell>
          <cell r="B15">
            <v>1041.0999999999999</v>
          </cell>
          <cell r="C15">
            <v>1064.3979999999999</v>
          </cell>
          <cell r="D15">
            <v>1904.3848399999999</v>
          </cell>
          <cell r="E15">
            <v>2427.6876372000002</v>
          </cell>
          <cell r="F15">
            <v>2908.7474805091997</v>
          </cell>
          <cell r="G15">
            <v>3031.3</v>
          </cell>
          <cell r="H15">
            <v>3264.98</v>
          </cell>
          <cell r="I15">
            <v>3288.6979999999999</v>
          </cell>
          <cell r="J15">
            <v>2945.58</v>
          </cell>
          <cell r="K15">
            <v>3011.55</v>
          </cell>
          <cell r="L15">
            <v>3433</v>
          </cell>
          <cell r="M15">
            <v>4116.2700000000004</v>
          </cell>
          <cell r="N15">
            <v>4828.22</v>
          </cell>
          <cell r="O15">
            <v>5604</v>
          </cell>
          <cell r="P15">
            <v>5250</v>
          </cell>
          <cell r="V15">
            <v>1</v>
          </cell>
          <cell r="W15">
            <v>0.99999999999999989</v>
          </cell>
          <cell r="X15">
            <v>1</v>
          </cell>
          <cell r="Y15">
            <v>1</v>
          </cell>
        </row>
        <row r="16">
          <cell r="A16" t="str">
            <v>per main</v>
          </cell>
          <cell r="I16">
            <v>3289</v>
          </cell>
          <cell r="J16">
            <v>2946</v>
          </cell>
          <cell r="K16">
            <v>3012</v>
          </cell>
          <cell r="L16">
            <v>3433</v>
          </cell>
          <cell r="M16">
            <v>4116</v>
          </cell>
          <cell r="N16">
            <v>4828</v>
          </cell>
          <cell r="O16">
            <v>5512</v>
          </cell>
          <cell r="P16">
            <v>5250</v>
          </cell>
        </row>
        <row r="18">
          <cell r="A18" t="str">
            <v>Margin Breakdown</v>
          </cell>
        </row>
        <row r="19">
          <cell r="A19" t="str">
            <v>Green Deliveries</v>
          </cell>
          <cell r="B19">
            <v>0</v>
          </cell>
          <cell r="C19">
            <v>0.26165222788977954</v>
          </cell>
          <cell r="D19">
            <v>0.19935669771493669</v>
          </cell>
          <cell r="E19">
            <v>0.24149999999999999</v>
          </cell>
          <cell r="F19">
            <v>0.23781001819069167</v>
          </cell>
          <cell r="G19">
            <v>0.23988451577293762</v>
          </cell>
          <cell r="H19">
            <v>0.21959999999999999</v>
          </cell>
          <cell r="I19">
            <v>0.20219999999999999</v>
          </cell>
          <cell r="J19">
            <v>0.11899999999999999</v>
          </cell>
          <cell r="K19">
            <v>0.14649999999999999</v>
          </cell>
          <cell r="L19">
            <v>0.15759999999999999</v>
          </cell>
          <cell r="M19">
            <v>0.17150000000000001</v>
          </cell>
          <cell r="N19">
            <v>0.17610000000000001</v>
          </cell>
          <cell r="O19">
            <v>0.191</v>
          </cell>
          <cell r="P19">
            <v>0.19600000000000001</v>
          </cell>
        </row>
        <row r="20">
          <cell r="A20" t="str">
            <v>Completions</v>
          </cell>
          <cell r="B20">
            <v>0</v>
          </cell>
          <cell r="C20">
            <v>0.26165222788977954</v>
          </cell>
          <cell r="D20">
            <v>0.19935669771493669</v>
          </cell>
          <cell r="E20">
            <v>0.24149999999999999</v>
          </cell>
          <cell r="F20">
            <v>0.23781001819069167</v>
          </cell>
          <cell r="G20">
            <v>0.23988451577293762</v>
          </cell>
          <cell r="H20">
            <v>0.21959999999999999</v>
          </cell>
          <cell r="I20">
            <v>0.20219999999999999</v>
          </cell>
          <cell r="J20">
            <v>0.11899999999999999</v>
          </cell>
          <cell r="K20">
            <v>0.14649999999999999</v>
          </cell>
          <cell r="L20">
            <v>0.15759999999999999</v>
          </cell>
          <cell r="M20">
            <v>0.17150000000000001</v>
          </cell>
          <cell r="N20">
            <v>0.17610000000000001</v>
          </cell>
          <cell r="O20">
            <v>0.191</v>
          </cell>
          <cell r="P20">
            <v>0.19600000000000001</v>
          </cell>
        </row>
        <row r="21">
          <cell r="A21" t="str">
            <v>Used Sales</v>
          </cell>
          <cell r="B21">
            <v>0</v>
          </cell>
          <cell r="C21">
            <v>-1.1089367253750815E-2</v>
          </cell>
          <cell r="D21">
            <v>3.8973384030418244E-2</v>
          </cell>
          <cell r="E21">
            <v>4.8060708263069143E-2</v>
          </cell>
          <cell r="F21">
            <v>-2.5157232704402517E-2</v>
          </cell>
          <cell r="G21">
            <v>0</v>
          </cell>
          <cell r="H21">
            <v>0</v>
          </cell>
          <cell r="I21">
            <v>-0.18620689655172415</v>
          </cell>
          <cell r="J21">
            <v>-0.13943355119825707</v>
          </cell>
          <cell r="K21">
            <v>0</v>
          </cell>
          <cell r="L21">
            <v>0</v>
          </cell>
          <cell r="M21">
            <v>0</v>
          </cell>
          <cell r="N21">
            <v>0</v>
          </cell>
          <cell r="O21">
            <v>0</v>
          </cell>
          <cell r="P21">
            <v>0</v>
          </cell>
        </row>
        <row r="22">
          <cell r="A22" t="str">
            <v>Spares/Services</v>
          </cell>
          <cell r="B22">
            <v>0</v>
          </cell>
          <cell r="C22">
            <v>0.21465789999882379</v>
          </cell>
          <cell r="D22">
            <v>0.22427688646266705</v>
          </cell>
          <cell r="E22">
            <v>0.20123089061061353</v>
          </cell>
          <cell r="F22">
            <v>0.20207574552905336</v>
          </cell>
          <cell r="G22">
            <v>0.19110624695389955</v>
          </cell>
          <cell r="H22">
            <v>0.19</v>
          </cell>
          <cell r="I22">
            <v>0.19</v>
          </cell>
          <cell r="J22">
            <v>0.19</v>
          </cell>
          <cell r="K22">
            <v>0.19</v>
          </cell>
          <cell r="L22">
            <v>0.19</v>
          </cell>
          <cell r="M22">
            <v>0.19</v>
          </cell>
          <cell r="N22">
            <v>0.19</v>
          </cell>
          <cell r="O22">
            <v>0.18</v>
          </cell>
          <cell r="P22">
            <v>0.19</v>
          </cell>
        </row>
        <row r="23">
          <cell r="A23" t="str">
            <v>Total</v>
          </cell>
          <cell r="B23">
            <v>0</v>
          </cell>
          <cell r="C23">
            <v>4.7632558497855144E-2</v>
          </cell>
          <cell r="D23">
            <v>0.12020014345715099</v>
          </cell>
          <cell r="E23">
            <v>0.15350271562523077</v>
          </cell>
          <cell r="F23">
            <v>0.14476363391038369</v>
          </cell>
          <cell r="G23">
            <v>0.1954460891259828</v>
          </cell>
          <cell r="H23">
            <v>0.19156564756905095</v>
          </cell>
          <cell r="I23">
            <v>0.13579882847254446</v>
          </cell>
          <cell r="J23">
            <v>7.4106520443517898E-2</v>
          </cell>
          <cell r="K23">
            <v>0.13061000979562018</v>
          </cell>
          <cell r="L23">
            <v>0.14404823769297992</v>
          </cell>
          <cell r="M23">
            <v>0.15646393579624271</v>
          </cell>
          <cell r="N23">
            <v>0.16773242354325196</v>
          </cell>
          <cell r="O23">
            <v>0.18252837259100643</v>
          </cell>
          <cell r="P23">
            <v>0.16526095238095237</v>
          </cell>
        </row>
        <row r="26">
          <cell r="A26" t="str">
            <v>Gulfstream Detailed Est P&amp;L ($MM)</v>
          </cell>
        </row>
        <row r="28">
          <cell r="M28" t="str">
            <v>last update -- 1/09</v>
          </cell>
        </row>
        <row r="29">
          <cell r="C29" t="str">
            <v>Gulfstream Standalone</v>
          </cell>
          <cell r="G29" t="str">
            <v>Division of GD ---&gt;</v>
          </cell>
          <cell r="I29" t="str">
            <v>downcycle</v>
          </cell>
          <cell r="J29" t="str">
            <v>trough</v>
          </cell>
          <cell r="K29" t="str">
            <v>upcycle</v>
          </cell>
          <cell r="O29" t="str">
            <v>peak</v>
          </cell>
          <cell r="Q29" t="str">
            <v>trough</v>
          </cell>
        </row>
        <row r="30">
          <cell r="A30" t="str">
            <v>Deliveries(Green)</v>
          </cell>
          <cell r="B30">
            <v>1995</v>
          </cell>
          <cell r="C30">
            <v>1996</v>
          </cell>
          <cell r="D30">
            <v>1997</v>
          </cell>
          <cell r="E30">
            <v>1998</v>
          </cell>
          <cell r="F30">
            <v>1999</v>
          </cell>
          <cell r="G30">
            <v>2000</v>
          </cell>
          <cell r="H30">
            <v>2001</v>
          </cell>
          <cell r="I30">
            <v>2002</v>
          </cell>
          <cell r="J30">
            <v>2003</v>
          </cell>
          <cell r="K30">
            <v>2004</v>
          </cell>
          <cell r="L30">
            <v>2005</v>
          </cell>
          <cell r="M30">
            <v>2006</v>
          </cell>
          <cell r="N30">
            <v>2007</v>
          </cell>
          <cell r="O30" t="str">
            <v>2008A</v>
          </cell>
          <cell r="P30" t="str">
            <v>2009E</v>
          </cell>
          <cell r="Q30" t="str">
            <v>2010E</v>
          </cell>
          <cell r="R30" t="str">
            <v>2011E</v>
          </cell>
          <cell r="S30" t="str">
            <v>2012E</v>
          </cell>
          <cell r="V30" t="str">
            <v>Factors/Assumptions</v>
          </cell>
        </row>
        <row r="31">
          <cell r="A31" t="str">
            <v>Midsize</v>
          </cell>
        </row>
        <row r="32">
          <cell r="A32" t="str">
            <v>G100</v>
          </cell>
          <cell r="H32">
            <v>5</v>
          </cell>
          <cell r="I32">
            <v>14</v>
          </cell>
          <cell r="J32">
            <v>10</v>
          </cell>
          <cell r="K32">
            <v>7</v>
          </cell>
          <cell r="L32">
            <v>8</v>
          </cell>
          <cell r="M32">
            <v>1</v>
          </cell>
          <cell r="N32">
            <v>0</v>
          </cell>
          <cell r="O32">
            <v>0</v>
          </cell>
          <cell r="P32">
            <v>0</v>
          </cell>
          <cell r="Q32">
            <v>0</v>
          </cell>
          <cell r="R32">
            <v>0</v>
          </cell>
          <cell r="S32">
            <v>0</v>
          </cell>
          <cell r="V32" t="str">
            <v>- declining</v>
          </cell>
        </row>
        <row r="33">
          <cell r="A33" t="str">
            <v>G250</v>
          </cell>
          <cell r="R33">
            <v>5</v>
          </cell>
          <cell r="S33">
            <v>30</v>
          </cell>
          <cell r="V33" t="str">
            <v>- first delivs 2011</v>
          </cell>
        </row>
        <row r="34">
          <cell r="A34" t="str">
            <v>G150</v>
          </cell>
          <cell r="H34">
            <v>0</v>
          </cell>
          <cell r="I34">
            <v>0</v>
          </cell>
          <cell r="J34">
            <v>0</v>
          </cell>
          <cell r="K34">
            <v>0</v>
          </cell>
          <cell r="L34">
            <v>0</v>
          </cell>
          <cell r="M34">
            <v>14</v>
          </cell>
          <cell r="N34">
            <v>27</v>
          </cell>
          <cell r="O34">
            <v>35</v>
          </cell>
          <cell r="P34">
            <v>10</v>
          </cell>
          <cell r="Q34">
            <v>10</v>
          </cell>
          <cell r="R34">
            <v>12</v>
          </cell>
          <cell r="S34">
            <v>12</v>
          </cell>
          <cell r="V34" t="str">
            <v>- check certification, 1st del 06</v>
          </cell>
        </row>
        <row r="35">
          <cell r="A35" t="str">
            <v>G200</v>
          </cell>
          <cell r="H35">
            <v>8</v>
          </cell>
          <cell r="I35">
            <v>10</v>
          </cell>
          <cell r="J35">
            <v>14</v>
          </cell>
          <cell r="K35">
            <v>15</v>
          </cell>
          <cell r="L35">
            <v>18</v>
          </cell>
          <cell r="M35">
            <v>27</v>
          </cell>
          <cell r="N35">
            <v>29</v>
          </cell>
          <cell r="O35">
            <v>35</v>
          </cell>
          <cell r="P35">
            <v>10</v>
          </cell>
          <cell r="Q35">
            <v>12</v>
          </cell>
          <cell r="R35">
            <v>8</v>
          </cell>
          <cell r="S35">
            <v>10</v>
          </cell>
        </row>
        <row r="36">
          <cell r="A36" t="str">
            <v>subtotal Midsize</v>
          </cell>
          <cell r="H36">
            <v>13</v>
          </cell>
          <cell r="I36">
            <v>24</v>
          </cell>
          <cell r="J36">
            <v>24</v>
          </cell>
          <cell r="K36">
            <v>22</v>
          </cell>
          <cell r="L36">
            <v>26</v>
          </cell>
          <cell r="M36">
            <v>42</v>
          </cell>
          <cell r="N36">
            <v>56</v>
          </cell>
          <cell r="O36">
            <v>70</v>
          </cell>
          <cell r="P36">
            <v>20</v>
          </cell>
          <cell r="Q36">
            <v>22</v>
          </cell>
          <cell r="R36">
            <v>25</v>
          </cell>
          <cell r="S36">
            <v>52</v>
          </cell>
          <cell r="T36" t="str">
            <v>1Q</v>
          </cell>
          <cell r="U36" t="str">
            <v>2Q</v>
          </cell>
          <cell r="V36" t="str">
            <v>1H</v>
          </cell>
          <cell r="Y36" t="str">
            <v>2H</v>
          </cell>
          <cell r="Z36" t="str">
            <v>FY</v>
          </cell>
        </row>
        <row r="37">
          <cell r="A37" t="str">
            <v>% Ch</v>
          </cell>
          <cell r="I37">
            <v>0.84615384615384626</v>
          </cell>
          <cell r="J37">
            <v>0</v>
          </cell>
          <cell r="K37">
            <v>-8.333333333333337E-2</v>
          </cell>
          <cell r="L37">
            <v>0.18181818181818188</v>
          </cell>
          <cell r="M37">
            <v>0.61538461538461542</v>
          </cell>
          <cell r="N37">
            <v>0.33333333333333326</v>
          </cell>
          <cell r="O37">
            <v>0.25</v>
          </cell>
          <cell r="P37">
            <v>-0.7142857142857143</v>
          </cell>
          <cell r="Q37">
            <v>0.10000000000000009</v>
          </cell>
          <cell r="R37">
            <v>0.13636363636363646</v>
          </cell>
          <cell r="S37">
            <v>1.08</v>
          </cell>
          <cell r="T37">
            <v>22</v>
          </cell>
          <cell r="U37">
            <v>20</v>
          </cell>
          <cell r="V37">
            <v>42</v>
          </cell>
          <cell r="W37">
            <v>10</v>
          </cell>
          <cell r="X37">
            <v>20</v>
          </cell>
          <cell r="Y37">
            <v>30</v>
          </cell>
          <cell r="Z37">
            <v>72</v>
          </cell>
        </row>
        <row r="38">
          <cell r="A38" t="str">
            <v>Large Cabin</v>
          </cell>
          <cell r="T38">
            <v>9</v>
          </cell>
          <cell r="U38">
            <v>6</v>
          </cell>
          <cell r="V38">
            <v>15</v>
          </cell>
          <cell r="W38">
            <v>1</v>
          </cell>
          <cell r="X38">
            <v>4</v>
          </cell>
          <cell r="Y38">
            <v>5</v>
          </cell>
          <cell r="Z38">
            <v>20</v>
          </cell>
        </row>
        <row r="39">
          <cell r="A39" t="str">
            <v>G300/350</v>
          </cell>
          <cell r="K39">
            <v>6</v>
          </cell>
          <cell r="L39">
            <v>7</v>
          </cell>
          <cell r="M39">
            <v>6</v>
          </cell>
          <cell r="N39">
            <v>2</v>
          </cell>
          <cell r="O39">
            <v>2</v>
          </cell>
          <cell r="P39">
            <v>2</v>
          </cell>
          <cell r="Q39">
            <v>2</v>
          </cell>
          <cell r="R39">
            <v>1</v>
          </cell>
          <cell r="S39">
            <v>1</v>
          </cell>
          <cell r="T39">
            <v>31</v>
          </cell>
          <cell r="U39">
            <v>26</v>
          </cell>
          <cell r="V39">
            <v>57</v>
          </cell>
          <cell r="W39">
            <v>11</v>
          </cell>
          <cell r="X39">
            <v>24</v>
          </cell>
          <cell r="Y39">
            <v>35</v>
          </cell>
          <cell r="Z39">
            <v>92</v>
          </cell>
        </row>
        <row r="40">
          <cell r="A40" t="str">
            <v>G400 (GIV/IVSP)</v>
          </cell>
          <cell r="B40">
            <v>26</v>
          </cell>
          <cell r="C40">
            <v>24</v>
          </cell>
          <cell r="D40">
            <v>22</v>
          </cell>
          <cell r="E40">
            <v>32</v>
          </cell>
          <cell r="F40">
            <v>39</v>
          </cell>
          <cell r="G40">
            <v>38</v>
          </cell>
          <cell r="H40">
            <v>36</v>
          </cell>
          <cell r="I40">
            <v>29</v>
          </cell>
          <cell r="J40">
            <v>27</v>
          </cell>
          <cell r="K40">
            <v>26</v>
          </cell>
          <cell r="T40">
            <v>22</v>
          </cell>
          <cell r="U40">
            <v>22</v>
          </cell>
        </row>
        <row r="41">
          <cell r="A41" t="str">
            <v>G450</v>
          </cell>
          <cell r="L41">
            <v>28</v>
          </cell>
          <cell r="M41">
            <v>30</v>
          </cell>
          <cell r="N41">
            <v>35</v>
          </cell>
          <cell r="O41">
            <v>35</v>
          </cell>
          <cell r="P41">
            <v>25</v>
          </cell>
          <cell r="Q41">
            <v>25</v>
          </cell>
          <cell r="R41">
            <v>25</v>
          </cell>
          <cell r="S41">
            <v>36</v>
          </cell>
          <cell r="T41">
            <v>15</v>
          </cell>
          <cell r="U41">
            <v>17</v>
          </cell>
        </row>
        <row r="42">
          <cell r="A42" t="str">
            <v>GV</v>
          </cell>
          <cell r="C42">
            <v>3</v>
          </cell>
          <cell r="D42">
            <v>29</v>
          </cell>
          <cell r="E42">
            <v>29</v>
          </cell>
          <cell r="F42">
            <v>31</v>
          </cell>
          <cell r="G42">
            <v>33</v>
          </cell>
          <cell r="H42">
            <v>35</v>
          </cell>
          <cell r="I42">
            <v>32</v>
          </cell>
          <cell r="J42">
            <v>5</v>
          </cell>
          <cell r="T42">
            <v>37</v>
          </cell>
          <cell r="U42">
            <v>39</v>
          </cell>
          <cell r="AA42" t="str">
            <v>- becomes G550</v>
          </cell>
        </row>
        <row r="43">
          <cell r="A43" t="str">
            <v>G500</v>
          </cell>
          <cell r="K43">
            <v>1</v>
          </cell>
          <cell r="L43">
            <v>3</v>
          </cell>
          <cell r="M43">
            <v>4</v>
          </cell>
          <cell r="N43">
            <v>8</v>
          </cell>
          <cell r="O43">
            <v>9</v>
          </cell>
          <cell r="P43">
            <v>7</v>
          </cell>
          <cell r="Q43">
            <v>7</v>
          </cell>
          <cell r="R43">
            <v>9</v>
          </cell>
          <cell r="S43">
            <v>9</v>
          </cell>
        </row>
        <row r="44">
          <cell r="A44" t="str">
            <v>G650</v>
          </cell>
          <cell r="R44">
            <v>0</v>
          </cell>
          <cell r="S44">
            <v>20</v>
          </cell>
          <cell r="T44">
            <v>0</v>
          </cell>
          <cell r="U44">
            <v>-9.0909090909090939E-2</v>
          </cell>
          <cell r="AA44" t="str">
            <v>- first delivs 2011 (grn) EIS 2012 completed by 2012</v>
          </cell>
        </row>
        <row r="45">
          <cell r="A45" t="str">
            <v>G550 - (GVSP)</v>
          </cell>
          <cell r="J45">
            <v>18</v>
          </cell>
          <cell r="K45">
            <v>23</v>
          </cell>
          <cell r="L45">
            <v>25</v>
          </cell>
          <cell r="M45">
            <v>31</v>
          </cell>
          <cell r="N45">
            <v>37</v>
          </cell>
          <cell r="O45">
            <v>42</v>
          </cell>
          <cell r="P45">
            <v>38</v>
          </cell>
          <cell r="Q45">
            <v>36</v>
          </cell>
          <cell r="R45">
            <v>35</v>
          </cell>
          <cell r="S45">
            <v>45</v>
          </cell>
          <cell r="T45">
            <v>-0.4</v>
          </cell>
          <cell r="U45">
            <v>-0.64705882352941169</v>
          </cell>
        </row>
        <row r="46">
          <cell r="A46" t="str">
            <v>-subotal Large Cabin</v>
          </cell>
          <cell r="B46">
            <v>26</v>
          </cell>
          <cell r="C46">
            <v>27</v>
          </cell>
          <cell r="D46">
            <v>51</v>
          </cell>
          <cell r="E46">
            <v>61</v>
          </cell>
          <cell r="F46">
            <v>70</v>
          </cell>
          <cell r="G46">
            <v>71</v>
          </cell>
          <cell r="H46">
            <v>71</v>
          </cell>
          <cell r="I46">
            <v>61</v>
          </cell>
          <cell r="J46">
            <v>50</v>
          </cell>
          <cell r="K46">
            <v>56</v>
          </cell>
          <cell r="L46">
            <v>63</v>
          </cell>
          <cell r="M46">
            <v>71</v>
          </cell>
          <cell r="N46">
            <v>82</v>
          </cell>
          <cell r="O46">
            <v>88</v>
          </cell>
          <cell r="P46">
            <v>72</v>
          </cell>
          <cell r="Q46">
            <v>70</v>
          </cell>
          <cell r="R46">
            <v>70</v>
          </cell>
          <cell r="S46">
            <v>111</v>
          </cell>
          <cell r="T46">
            <v>-0.16216216216216217</v>
          </cell>
          <cell r="U46">
            <v>-0.33333333333333337</v>
          </cell>
          <cell r="AA46" t="str">
            <v>- max capacity @ Savannah=90 (10/05)</v>
          </cell>
        </row>
        <row r="47">
          <cell r="A47" t="str">
            <v>% Ch</v>
          </cell>
          <cell r="D47">
            <v>0.88888888888888884</v>
          </cell>
          <cell r="E47">
            <v>0.19607843137254899</v>
          </cell>
          <cell r="F47">
            <v>0.14754098360655732</v>
          </cell>
          <cell r="G47">
            <v>1.4285714285714235E-2</v>
          </cell>
          <cell r="H47">
            <v>0</v>
          </cell>
          <cell r="I47">
            <v>-0.14084507042253525</v>
          </cell>
          <cell r="J47">
            <v>-0.18032786885245899</v>
          </cell>
          <cell r="K47">
            <v>0.12000000000000011</v>
          </cell>
          <cell r="L47">
            <v>0.125</v>
          </cell>
          <cell r="M47">
            <v>0.12698412698412698</v>
          </cell>
          <cell r="N47">
            <v>0.15492957746478875</v>
          </cell>
          <cell r="O47">
            <v>7.3170731707317138E-2</v>
          </cell>
          <cell r="P47">
            <v>-0.18181818181818177</v>
          </cell>
          <cell r="Q47">
            <v>-2.777777777777779E-2</v>
          </cell>
          <cell r="R47">
            <v>0</v>
          </cell>
          <cell r="S47">
            <v>0.58571428571428563</v>
          </cell>
        </row>
        <row r="48">
          <cell r="A48" t="str">
            <v>guidance by mgmt a/o 1/09</v>
          </cell>
          <cell r="O48">
            <v>90</v>
          </cell>
          <cell r="P48">
            <v>94</v>
          </cell>
          <cell r="Q48">
            <v>94</v>
          </cell>
          <cell r="R48">
            <v>94</v>
          </cell>
        </row>
        <row r="49">
          <cell r="A49" t="str">
            <v>guidance by mgmt a/o 3/09</v>
          </cell>
          <cell r="O49">
            <v>90</v>
          </cell>
          <cell r="P49">
            <v>73</v>
          </cell>
          <cell r="Q49">
            <v>73</v>
          </cell>
          <cell r="R49">
            <v>73</v>
          </cell>
        </row>
        <row r="50">
          <cell r="A50" t="str">
            <v>Total Green Delivs</v>
          </cell>
          <cell r="B50">
            <v>26</v>
          </cell>
          <cell r="C50">
            <v>27</v>
          </cell>
          <cell r="D50">
            <v>51</v>
          </cell>
          <cell r="E50">
            <v>61</v>
          </cell>
          <cell r="F50">
            <v>70</v>
          </cell>
          <cell r="G50">
            <v>71</v>
          </cell>
          <cell r="H50">
            <v>84</v>
          </cell>
          <cell r="I50">
            <v>85</v>
          </cell>
          <cell r="J50">
            <v>74</v>
          </cell>
          <cell r="K50">
            <v>78</v>
          </cell>
          <cell r="L50">
            <v>89</v>
          </cell>
          <cell r="M50">
            <v>113</v>
          </cell>
          <cell r="N50">
            <v>138</v>
          </cell>
          <cell r="O50">
            <v>158</v>
          </cell>
          <cell r="P50">
            <v>92</v>
          </cell>
          <cell r="Q50">
            <v>92</v>
          </cell>
          <cell r="R50">
            <v>95</v>
          </cell>
          <cell r="S50">
            <v>163</v>
          </cell>
        </row>
        <row r="51">
          <cell r="A51" t="str">
            <v>% Ch</v>
          </cell>
          <cell r="D51">
            <v>0.88888888888888884</v>
          </cell>
          <cell r="E51">
            <v>0.19607843137254899</v>
          </cell>
          <cell r="F51">
            <v>0.14754098360655732</v>
          </cell>
          <cell r="G51">
            <v>1.4285714285714235E-2</v>
          </cell>
          <cell r="H51">
            <v>0.18309859154929575</v>
          </cell>
          <cell r="I51">
            <v>1.1904761904761862E-2</v>
          </cell>
          <cell r="J51">
            <v>-0.12941176470588234</v>
          </cell>
          <cell r="K51">
            <v>5.4054054054053946E-2</v>
          </cell>
          <cell r="L51">
            <v>0.14102564102564097</v>
          </cell>
          <cell r="M51">
            <v>0.2696629213483146</v>
          </cell>
          <cell r="N51">
            <v>0.22123893805309724</v>
          </cell>
          <cell r="O51">
            <v>0.14492753623188404</v>
          </cell>
          <cell r="P51">
            <v>-0.41772151898734178</v>
          </cell>
          <cell r="Q51">
            <v>0</v>
          </cell>
          <cell r="R51">
            <v>3.2608695652173836E-2</v>
          </cell>
          <cell r="S51">
            <v>0.71578947368421053</v>
          </cell>
        </row>
        <row r="53">
          <cell r="A53" t="str">
            <v>ASP ($MM)/Plane</v>
          </cell>
          <cell r="V53" t="str">
            <v>- most price recoveries don't occur til 08</v>
          </cell>
        </row>
        <row r="54">
          <cell r="A54" t="str">
            <v>G100</v>
          </cell>
          <cell r="B54">
            <v>0</v>
          </cell>
          <cell r="C54">
            <v>0</v>
          </cell>
          <cell r="D54">
            <v>0</v>
          </cell>
          <cell r="E54">
            <v>0</v>
          </cell>
          <cell r="F54">
            <v>0</v>
          </cell>
          <cell r="G54">
            <v>0</v>
          </cell>
          <cell r="H54">
            <v>12</v>
          </cell>
          <cell r="I54">
            <v>12</v>
          </cell>
          <cell r="J54">
            <v>12</v>
          </cell>
          <cell r="K54">
            <v>12</v>
          </cell>
          <cell r="L54">
            <v>12</v>
          </cell>
          <cell r="M54">
            <v>12</v>
          </cell>
          <cell r="N54">
            <v>12</v>
          </cell>
          <cell r="O54">
            <v>12</v>
          </cell>
          <cell r="P54">
            <v>12</v>
          </cell>
          <cell r="Q54">
            <v>12</v>
          </cell>
          <cell r="R54">
            <v>12</v>
          </cell>
          <cell r="S54">
            <v>12</v>
          </cell>
        </row>
        <row r="55">
          <cell r="A55" t="str">
            <v>G150</v>
          </cell>
          <cell r="B55">
            <v>0</v>
          </cell>
          <cell r="C55">
            <v>0</v>
          </cell>
          <cell r="D55">
            <v>0</v>
          </cell>
          <cell r="E55">
            <v>0</v>
          </cell>
          <cell r="F55">
            <v>0</v>
          </cell>
          <cell r="G55">
            <v>0</v>
          </cell>
          <cell r="H55">
            <v>0</v>
          </cell>
          <cell r="I55">
            <v>0</v>
          </cell>
          <cell r="J55">
            <v>0</v>
          </cell>
          <cell r="K55">
            <v>0</v>
          </cell>
          <cell r="L55">
            <v>12</v>
          </cell>
          <cell r="M55">
            <v>12</v>
          </cell>
          <cell r="N55">
            <v>13</v>
          </cell>
          <cell r="O55">
            <v>12</v>
          </cell>
          <cell r="P55">
            <v>12</v>
          </cell>
          <cell r="Q55">
            <v>12</v>
          </cell>
          <cell r="R55">
            <v>12</v>
          </cell>
          <cell r="S55">
            <v>13</v>
          </cell>
        </row>
        <row r="56">
          <cell r="A56" t="str">
            <v>G200</v>
          </cell>
          <cell r="B56">
            <v>0</v>
          </cell>
          <cell r="C56">
            <v>0</v>
          </cell>
          <cell r="D56">
            <v>0</v>
          </cell>
          <cell r="E56">
            <v>0</v>
          </cell>
          <cell r="F56">
            <v>0</v>
          </cell>
          <cell r="G56">
            <v>0</v>
          </cell>
          <cell r="H56">
            <v>18</v>
          </cell>
          <cell r="I56">
            <v>18</v>
          </cell>
          <cell r="J56">
            <v>18</v>
          </cell>
          <cell r="K56">
            <v>18</v>
          </cell>
          <cell r="L56">
            <v>17</v>
          </cell>
          <cell r="M56">
            <v>17</v>
          </cell>
          <cell r="N56">
            <v>18.18</v>
          </cell>
          <cell r="O56">
            <v>17</v>
          </cell>
          <cell r="P56">
            <v>15</v>
          </cell>
          <cell r="Q56">
            <v>15</v>
          </cell>
          <cell r="R56">
            <v>18</v>
          </cell>
          <cell r="S56">
            <v>18</v>
          </cell>
        </row>
        <row r="57">
          <cell r="A57" t="str">
            <v>G250</v>
          </cell>
          <cell r="R57">
            <v>24</v>
          </cell>
          <cell r="S57">
            <v>24</v>
          </cell>
        </row>
        <row r="58">
          <cell r="A58" t="str">
            <v>G300/350</v>
          </cell>
          <cell r="B58">
            <v>0</v>
          </cell>
          <cell r="C58">
            <v>0</v>
          </cell>
          <cell r="D58">
            <v>0</v>
          </cell>
          <cell r="E58">
            <v>0</v>
          </cell>
          <cell r="F58">
            <v>0</v>
          </cell>
          <cell r="G58">
            <v>0</v>
          </cell>
          <cell r="H58">
            <v>0</v>
          </cell>
          <cell r="I58">
            <v>0</v>
          </cell>
          <cell r="J58">
            <v>21</v>
          </cell>
          <cell r="K58">
            <v>22</v>
          </cell>
          <cell r="L58">
            <v>23</v>
          </cell>
          <cell r="M58">
            <v>23</v>
          </cell>
          <cell r="N58">
            <v>24</v>
          </cell>
          <cell r="O58">
            <v>22</v>
          </cell>
          <cell r="P58">
            <v>28</v>
          </cell>
          <cell r="Q58">
            <v>28</v>
          </cell>
          <cell r="R58">
            <v>28</v>
          </cell>
          <cell r="S58">
            <v>28</v>
          </cell>
        </row>
        <row r="59">
          <cell r="A59" t="str">
            <v>G400 (GIV/IVSP)</v>
          </cell>
          <cell r="B59">
            <v>23.6</v>
          </cell>
          <cell r="C59">
            <v>24</v>
          </cell>
          <cell r="D59">
            <v>24.15</v>
          </cell>
          <cell r="E59">
            <v>24.45</v>
          </cell>
          <cell r="F59">
            <v>24.5</v>
          </cell>
          <cell r="G59">
            <v>24.35</v>
          </cell>
          <cell r="H59">
            <v>24.1</v>
          </cell>
          <cell r="I59">
            <v>24.17</v>
          </cell>
          <cell r="J59">
            <v>22.5</v>
          </cell>
          <cell r="K59">
            <v>23.175000000000001</v>
          </cell>
          <cell r="L59">
            <v>24</v>
          </cell>
        </row>
        <row r="60">
          <cell r="A60" t="str">
            <v>G450</v>
          </cell>
          <cell r="B60">
            <v>0</v>
          </cell>
          <cell r="C60">
            <v>0</v>
          </cell>
          <cell r="D60">
            <v>0</v>
          </cell>
          <cell r="E60">
            <v>0</v>
          </cell>
          <cell r="F60">
            <v>0</v>
          </cell>
          <cell r="G60">
            <v>0</v>
          </cell>
          <cell r="H60">
            <v>0</v>
          </cell>
          <cell r="I60">
            <v>0</v>
          </cell>
          <cell r="J60">
            <v>0</v>
          </cell>
          <cell r="K60">
            <v>0</v>
          </cell>
          <cell r="L60">
            <v>28</v>
          </cell>
          <cell r="M60">
            <v>28</v>
          </cell>
          <cell r="N60">
            <v>28</v>
          </cell>
          <cell r="O60">
            <v>30</v>
          </cell>
          <cell r="P60">
            <v>30</v>
          </cell>
          <cell r="Q60">
            <v>32</v>
          </cell>
          <cell r="R60">
            <v>33.5</v>
          </cell>
          <cell r="S60">
            <v>33.5</v>
          </cell>
        </row>
        <row r="61">
          <cell r="A61" t="str">
            <v>GV</v>
          </cell>
          <cell r="B61">
            <v>0</v>
          </cell>
          <cell r="C61">
            <v>30</v>
          </cell>
          <cell r="D61">
            <v>30</v>
          </cell>
          <cell r="E61">
            <v>33</v>
          </cell>
          <cell r="F61">
            <v>33</v>
          </cell>
          <cell r="G61">
            <v>34</v>
          </cell>
          <cell r="H61">
            <v>36.15</v>
          </cell>
          <cell r="I61">
            <v>32.238999999999997</v>
          </cell>
          <cell r="J61">
            <v>31</v>
          </cell>
          <cell r="K61">
            <v>32</v>
          </cell>
          <cell r="L61">
            <v>32</v>
          </cell>
          <cell r="M61">
            <v>30</v>
          </cell>
          <cell r="N61">
            <v>30</v>
          </cell>
          <cell r="O61">
            <v>32</v>
          </cell>
          <cell r="P61">
            <v>33</v>
          </cell>
          <cell r="Q61">
            <v>33</v>
          </cell>
          <cell r="R61">
            <v>33</v>
          </cell>
          <cell r="S61">
            <v>33</v>
          </cell>
        </row>
        <row r="62">
          <cell r="A62" t="str">
            <v>G500</v>
          </cell>
          <cell r="B62">
            <v>0</v>
          </cell>
          <cell r="C62">
            <v>0</v>
          </cell>
          <cell r="D62">
            <v>0</v>
          </cell>
          <cell r="E62">
            <v>0</v>
          </cell>
          <cell r="F62">
            <v>0</v>
          </cell>
          <cell r="G62">
            <v>0</v>
          </cell>
          <cell r="H62">
            <v>0</v>
          </cell>
          <cell r="I62">
            <v>0</v>
          </cell>
          <cell r="J62">
            <v>0</v>
          </cell>
          <cell r="K62">
            <v>35</v>
          </cell>
          <cell r="L62">
            <v>34</v>
          </cell>
          <cell r="M62">
            <v>32</v>
          </cell>
          <cell r="N62">
            <v>33</v>
          </cell>
          <cell r="O62">
            <v>34</v>
          </cell>
          <cell r="P62">
            <v>34</v>
          </cell>
          <cell r="Q62">
            <v>35</v>
          </cell>
          <cell r="R62">
            <v>38</v>
          </cell>
          <cell r="S62">
            <v>38</v>
          </cell>
        </row>
        <row r="63">
          <cell r="A63" t="str">
            <v>G650</v>
          </cell>
          <cell r="R63">
            <v>55</v>
          </cell>
          <cell r="S63">
            <v>60</v>
          </cell>
          <cell r="V63" t="str">
            <v>- launch customer discounts = $58, $62MM all's told</v>
          </cell>
        </row>
        <row r="64">
          <cell r="A64" t="str">
            <v>G550 - (GVSP)</v>
          </cell>
          <cell r="B64">
            <v>0</v>
          </cell>
          <cell r="C64">
            <v>0</v>
          </cell>
          <cell r="D64">
            <v>0</v>
          </cell>
          <cell r="E64">
            <v>0</v>
          </cell>
          <cell r="F64">
            <v>0</v>
          </cell>
          <cell r="G64">
            <v>0</v>
          </cell>
          <cell r="H64">
            <v>0</v>
          </cell>
          <cell r="I64">
            <v>32</v>
          </cell>
          <cell r="J64">
            <v>32.700000000000003</v>
          </cell>
          <cell r="K64">
            <v>36</v>
          </cell>
          <cell r="L64">
            <v>36</v>
          </cell>
          <cell r="M64">
            <v>36</v>
          </cell>
          <cell r="N64">
            <v>37</v>
          </cell>
          <cell r="O64">
            <v>39</v>
          </cell>
          <cell r="P64">
            <v>40</v>
          </cell>
          <cell r="Q64">
            <v>40</v>
          </cell>
          <cell r="R64">
            <v>42</v>
          </cell>
          <cell r="S64">
            <v>42</v>
          </cell>
          <cell r="V64" t="str">
            <v>- GAC says $40MM, 8/05=$46</v>
          </cell>
        </row>
        <row r="66">
          <cell r="A66" t="str">
            <v>Revenues/Plane</v>
          </cell>
        </row>
        <row r="67">
          <cell r="A67" t="str">
            <v>G100</v>
          </cell>
          <cell r="H67">
            <v>60</v>
          </cell>
          <cell r="I67">
            <v>168</v>
          </cell>
          <cell r="J67">
            <v>120</v>
          </cell>
          <cell r="K67">
            <v>84</v>
          </cell>
          <cell r="L67">
            <v>96</v>
          </cell>
          <cell r="M67">
            <v>12</v>
          </cell>
          <cell r="N67">
            <v>0</v>
          </cell>
          <cell r="O67">
            <v>0</v>
          </cell>
          <cell r="P67">
            <v>0</v>
          </cell>
          <cell r="Q67">
            <v>0</v>
          </cell>
          <cell r="R67">
            <v>0</v>
          </cell>
          <cell r="S67">
            <v>0</v>
          </cell>
        </row>
        <row r="68">
          <cell r="A68" t="str">
            <v>G150</v>
          </cell>
          <cell r="H68">
            <v>0</v>
          </cell>
          <cell r="I68">
            <v>0</v>
          </cell>
          <cell r="J68">
            <v>0</v>
          </cell>
          <cell r="K68">
            <v>0</v>
          </cell>
          <cell r="L68">
            <v>0</v>
          </cell>
          <cell r="M68">
            <v>168</v>
          </cell>
          <cell r="N68">
            <v>351</v>
          </cell>
          <cell r="O68">
            <v>420</v>
          </cell>
          <cell r="P68">
            <v>120</v>
          </cell>
          <cell r="Q68">
            <v>120</v>
          </cell>
          <cell r="R68">
            <v>144</v>
          </cell>
          <cell r="S68">
            <v>156</v>
          </cell>
        </row>
        <row r="69">
          <cell r="A69" t="str">
            <v>G200</v>
          </cell>
          <cell r="H69">
            <v>144</v>
          </cell>
          <cell r="I69">
            <v>180</v>
          </cell>
          <cell r="J69">
            <v>252</v>
          </cell>
          <cell r="K69">
            <v>270</v>
          </cell>
          <cell r="L69">
            <v>306</v>
          </cell>
          <cell r="M69">
            <v>459</v>
          </cell>
          <cell r="N69">
            <v>527.22</v>
          </cell>
          <cell r="O69">
            <v>595</v>
          </cell>
          <cell r="P69">
            <v>150</v>
          </cell>
          <cell r="Q69">
            <v>180</v>
          </cell>
          <cell r="R69">
            <v>144</v>
          </cell>
          <cell r="S69">
            <v>180</v>
          </cell>
        </row>
        <row r="70">
          <cell r="A70" t="str">
            <v>subtotal Midsize</v>
          </cell>
          <cell r="H70">
            <v>204</v>
          </cell>
          <cell r="I70">
            <v>348</v>
          </cell>
          <cell r="J70">
            <v>372</v>
          </cell>
          <cell r="K70">
            <v>354</v>
          </cell>
          <cell r="L70">
            <v>402</v>
          </cell>
          <cell r="M70">
            <v>639</v>
          </cell>
          <cell r="N70">
            <v>878.22</v>
          </cell>
          <cell r="O70">
            <v>1015</v>
          </cell>
          <cell r="P70">
            <v>270</v>
          </cell>
          <cell r="Q70">
            <v>300</v>
          </cell>
          <cell r="R70">
            <v>288</v>
          </cell>
          <cell r="S70">
            <v>336</v>
          </cell>
        </row>
        <row r="71">
          <cell r="A71" t="str">
            <v>% Ch</v>
          </cell>
          <cell r="I71">
            <v>0.70588235294117641</v>
          </cell>
          <cell r="J71">
            <v>6.8965517241379226E-2</v>
          </cell>
          <cell r="K71">
            <v>-4.8387096774193505E-2</v>
          </cell>
          <cell r="L71">
            <v>0.13559322033898313</v>
          </cell>
          <cell r="M71">
            <v>0.58955223880597019</v>
          </cell>
          <cell r="N71">
            <v>0.37436619718309871</v>
          </cell>
          <cell r="O71">
            <v>0.15574685158616286</v>
          </cell>
          <cell r="P71">
            <v>-0.73399014778325122</v>
          </cell>
          <cell r="Q71">
            <v>0.11111111111111116</v>
          </cell>
          <cell r="R71">
            <v>-4.0000000000000036E-2</v>
          </cell>
          <cell r="S71">
            <v>0.16666666666666674</v>
          </cell>
        </row>
        <row r="72">
          <cell r="A72" t="str">
            <v>Large Cabin</v>
          </cell>
        </row>
        <row r="73">
          <cell r="A73" t="str">
            <v>G300</v>
          </cell>
          <cell r="K73">
            <v>132</v>
          </cell>
          <cell r="L73">
            <v>161</v>
          </cell>
          <cell r="M73">
            <v>138</v>
          </cell>
          <cell r="N73">
            <v>48</v>
          </cell>
          <cell r="O73">
            <v>44</v>
          </cell>
          <cell r="P73">
            <v>56</v>
          </cell>
          <cell r="Q73">
            <v>56</v>
          </cell>
          <cell r="R73">
            <v>28</v>
          </cell>
          <cell r="S73">
            <v>28</v>
          </cell>
        </row>
        <row r="74">
          <cell r="A74" t="str">
            <v>G400 (GIV/IVSP)</v>
          </cell>
          <cell r="B74">
            <v>613.6</v>
          </cell>
          <cell r="C74">
            <v>576</v>
          </cell>
          <cell r="D74">
            <v>531.29999999999995</v>
          </cell>
          <cell r="E74">
            <v>782.4</v>
          </cell>
          <cell r="F74">
            <v>955.5</v>
          </cell>
          <cell r="G74">
            <v>925.30000000000007</v>
          </cell>
          <cell r="H74">
            <v>867.6</v>
          </cell>
          <cell r="I74">
            <v>700.93000000000006</v>
          </cell>
          <cell r="J74">
            <v>607.5</v>
          </cell>
          <cell r="K74">
            <v>602.55000000000007</v>
          </cell>
          <cell r="L74">
            <v>0</v>
          </cell>
          <cell r="M74">
            <v>0</v>
          </cell>
          <cell r="N74">
            <v>0</v>
          </cell>
          <cell r="O74">
            <v>0</v>
          </cell>
          <cell r="P74">
            <v>0</v>
          </cell>
          <cell r="Q74">
            <v>0</v>
          </cell>
          <cell r="R74">
            <v>0</v>
          </cell>
          <cell r="S74">
            <v>0</v>
          </cell>
        </row>
        <row r="75">
          <cell r="A75" t="str">
            <v>G450</v>
          </cell>
          <cell r="L75">
            <v>784</v>
          </cell>
          <cell r="M75">
            <v>840</v>
          </cell>
          <cell r="N75">
            <v>980</v>
          </cell>
          <cell r="O75">
            <v>1050</v>
          </cell>
          <cell r="P75">
            <v>750</v>
          </cell>
          <cell r="Q75">
            <v>800</v>
          </cell>
          <cell r="R75">
            <v>837.5</v>
          </cell>
          <cell r="S75">
            <v>1206</v>
          </cell>
        </row>
        <row r="76">
          <cell r="A76" t="str">
            <v>GV</v>
          </cell>
          <cell r="B76">
            <v>0</v>
          </cell>
          <cell r="C76">
            <v>90</v>
          </cell>
          <cell r="D76">
            <v>870</v>
          </cell>
          <cell r="E76">
            <v>957</v>
          </cell>
          <cell r="F76">
            <v>1023</v>
          </cell>
          <cell r="G76">
            <v>1122</v>
          </cell>
          <cell r="H76">
            <v>1265.25</v>
          </cell>
          <cell r="I76">
            <v>1031.6479999999999</v>
          </cell>
          <cell r="J76">
            <v>155</v>
          </cell>
        </row>
        <row r="77">
          <cell r="A77" t="str">
            <v>G500</v>
          </cell>
          <cell r="K77">
            <v>35</v>
          </cell>
          <cell r="L77">
            <v>102</v>
          </cell>
          <cell r="M77">
            <v>128</v>
          </cell>
          <cell r="N77">
            <v>264</v>
          </cell>
          <cell r="O77">
            <v>306</v>
          </cell>
          <cell r="P77">
            <v>238</v>
          </cell>
          <cell r="Q77">
            <v>245</v>
          </cell>
          <cell r="R77">
            <v>342</v>
          </cell>
          <cell r="S77">
            <v>342</v>
          </cell>
        </row>
        <row r="78">
          <cell r="A78" t="str">
            <v>G550 - (GVSP)</v>
          </cell>
          <cell r="J78">
            <v>588.6</v>
          </cell>
          <cell r="K78">
            <v>828</v>
          </cell>
          <cell r="L78">
            <v>900</v>
          </cell>
          <cell r="M78">
            <v>1116</v>
          </cell>
          <cell r="N78">
            <v>1369</v>
          </cell>
          <cell r="O78">
            <v>1638</v>
          </cell>
          <cell r="P78">
            <v>1520</v>
          </cell>
          <cell r="Q78">
            <v>1440</v>
          </cell>
          <cell r="R78">
            <v>1470</v>
          </cell>
          <cell r="S78">
            <v>1890</v>
          </cell>
        </row>
        <row r="79">
          <cell r="A79" t="str">
            <v>-subotal Large Cabin</v>
          </cell>
          <cell r="B79">
            <v>613.6</v>
          </cell>
          <cell r="C79">
            <v>666</v>
          </cell>
          <cell r="D79">
            <v>1401.3</v>
          </cell>
          <cell r="E79">
            <v>1739.4</v>
          </cell>
          <cell r="F79">
            <v>1978.5</v>
          </cell>
          <cell r="G79">
            <v>2047.3000000000002</v>
          </cell>
          <cell r="H79">
            <v>2132.85</v>
          </cell>
          <cell r="I79">
            <v>1732.578</v>
          </cell>
          <cell r="J79">
            <v>1351.1</v>
          </cell>
          <cell r="K79">
            <v>1597.5500000000002</v>
          </cell>
          <cell r="L79">
            <v>1947</v>
          </cell>
          <cell r="M79">
            <v>2222</v>
          </cell>
          <cell r="N79">
            <v>2661</v>
          </cell>
          <cell r="O79">
            <v>3038</v>
          </cell>
          <cell r="P79">
            <v>2564</v>
          </cell>
          <cell r="Q79">
            <v>2541</v>
          </cell>
          <cell r="R79">
            <v>2677.5</v>
          </cell>
          <cell r="S79">
            <v>3466</v>
          </cell>
        </row>
        <row r="80">
          <cell r="A80" t="str">
            <v>% Ch</v>
          </cell>
          <cell r="C80">
            <v>8.539765319426329E-2</v>
          </cell>
          <cell r="D80">
            <v>1.1040540540540538</v>
          </cell>
          <cell r="E80">
            <v>0.24127595803896384</v>
          </cell>
          <cell r="F80">
            <v>0.13746119351500519</v>
          </cell>
          <cell r="G80">
            <v>3.4773818549406199E-2</v>
          </cell>
          <cell r="H80">
            <v>4.17867435158501E-2</v>
          </cell>
          <cell r="I80">
            <v>-0.18767001898867708</v>
          </cell>
          <cell r="J80">
            <v>-0.22017940895013099</v>
          </cell>
          <cell r="K80">
            <v>0.18240692768855027</v>
          </cell>
          <cell r="L80">
            <v>0.21874119745860843</v>
          </cell>
          <cell r="M80">
            <v>0.14124293785310726</v>
          </cell>
          <cell r="N80">
            <v>0.19756975697569756</v>
          </cell>
          <cell r="O80">
            <v>0.1416760616309658</v>
          </cell>
          <cell r="P80">
            <v>-0.15602369980250164</v>
          </cell>
          <cell r="Q80">
            <v>-8.970358814352597E-3</v>
          </cell>
          <cell r="R80">
            <v>5.3719008264462742E-2</v>
          </cell>
          <cell r="S80">
            <v>0.2944911297852475</v>
          </cell>
        </row>
        <row r="82">
          <cell r="A82" t="str">
            <v>TOTAL GREEN  SALES</v>
          </cell>
          <cell r="B82">
            <v>613.6</v>
          </cell>
          <cell r="C82">
            <v>666</v>
          </cell>
          <cell r="D82">
            <v>1401.3</v>
          </cell>
          <cell r="E82">
            <v>1739.4</v>
          </cell>
          <cell r="F82">
            <v>1978.5</v>
          </cell>
          <cell r="G82">
            <v>2047.3000000000002</v>
          </cell>
          <cell r="H82">
            <v>2336.85</v>
          </cell>
          <cell r="I82">
            <v>2080.578</v>
          </cell>
          <cell r="J82">
            <v>1723.1</v>
          </cell>
          <cell r="K82">
            <v>1951.5500000000002</v>
          </cell>
          <cell r="L82">
            <v>2349</v>
          </cell>
          <cell r="M82">
            <v>2861</v>
          </cell>
          <cell r="N82">
            <v>3539.2200000000003</v>
          </cell>
          <cell r="O82">
            <v>4053</v>
          </cell>
          <cell r="P82">
            <v>2834</v>
          </cell>
          <cell r="Q82">
            <v>2841</v>
          </cell>
          <cell r="R82">
            <v>2965.5</v>
          </cell>
          <cell r="S82">
            <v>3802</v>
          </cell>
        </row>
        <row r="83">
          <cell r="A83" t="str">
            <v>% Ch</v>
          </cell>
          <cell r="C83">
            <v>8.539765319426329E-2</v>
          </cell>
          <cell r="D83">
            <v>1.1040540540540538</v>
          </cell>
          <cell r="E83">
            <v>0.24127595803896384</v>
          </cell>
          <cell r="F83">
            <v>0.13746119351500519</v>
          </cell>
          <cell r="G83">
            <v>3.4773818549406199E-2</v>
          </cell>
          <cell r="H83">
            <v>0.14143017632980004</v>
          </cell>
          <cell r="I83">
            <v>-0.10966557545413691</v>
          </cell>
          <cell r="J83">
            <v>-0.17181667786547783</v>
          </cell>
          <cell r="K83">
            <v>0.13258081364981744</v>
          </cell>
          <cell r="L83">
            <v>0.20365863031948961</v>
          </cell>
          <cell r="M83">
            <v>0.21796509152831001</v>
          </cell>
          <cell r="N83">
            <v>0.23705697308633344</v>
          </cell>
          <cell r="O83">
            <v>0.1451675792971332</v>
          </cell>
          <cell r="P83">
            <v>-0.30076486553170489</v>
          </cell>
          <cell r="Q83">
            <v>2.4700070571630484E-3</v>
          </cell>
          <cell r="R83">
            <v>4.3822597676874242E-2</v>
          </cell>
          <cell r="S83">
            <v>0.282077221379194</v>
          </cell>
        </row>
        <row r="85">
          <cell r="A85" t="str">
            <v>Completions (#)</v>
          </cell>
        </row>
        <row r="86">
          <cell r="A86" t="str">
            <v>Midsize</v>
          </cell>
          <cell r="B86">
            <v>0</v>
          </cell>
          <cell r="C86">
            <v>0</v>
          </cell>
          <cell r="D86">
            <v>0</v>
          </cell>
          <cell r="E86">
            <v>0</v>
          </cell>
          <cell r="F86">
            <v>0</v>
          </cell>
          <cell r="G86">
            <v>0</v>
          </cell>
          <cell r="H86">
            <v>0</v>
          </cell>
          <cell r="I86">
            <v>26</v>
          </cell>
          <cell r="J86">
            <v>25</v>
          </cell>
          <cell r="K86">
            <v>25</v>
          </cell>
          <cell r="L86">
            <v>24</v>
          </cell>
          <cell r="M86">
            <v>33</v>
          </cell>
          <cell r="N86">
            <v>53</v>
          </cell>
          <cell r="O86">
            <v>70</v>
          </cell>
          <cell r="P86">
            <v>20</v>
          </cell>
          <cell r="Q86">
            <v>22</v>
          </cell>
          <cell r="R86">
            <v>25</v>
          </cell>
          <cell r="S86">
            <v>52</v>
          </cell>
        </row>
        <row r="87">
          <cell r="A87" t="str">
            <v>Large cabin</v>
          </cell>
          <cell r="B87">
            <v>29</v>
          </cell>
          <cell r="C87">
            <v>27</v>
          </cell>
          <cell r="D87">
            <v>26</v>
          </cell>
          <cell r="E87">
            <v>46</v>
          </cell>
          <cell r="F87">
            <v>68</v>
          </cell>
          <cell r="G87">
            <v>77</v>
          </cell>
          <cell r="H87">
            <v>71</v>
          </cell>
          <cell r="I87">
            <v>68</v>
          </cell>
          <cell r="J87">
            <v>49</v>
          </cell>
          <cell r="K87">
            <v>52</v>
          </cell>
          <cell r="L87">
            <v>60</v>
          </cell>
          <cell r="M87">
            <v>71</v>
          </cell>
          <cell r="N87">
            <v>85</v>
          </cell>
          <cell r="O87">
            <v>88</v>
          </cell>
          <cell r="P87">
            <v>72</v>
          </cell>
          <cell r="Q87">
            <v>70</v>
          </cell>
          <cell r="R87">
            <v>70</v>
          </cell>
          <cell r="S87">
            <v>111</v>
          </cell>
        </row>
        <row r="88">
          <cell r="A88" t="str">
            <v>Total Completions</v>
          </cell>
          <cell r="B88">
            <v>29</v>
          </cell>
          <cell r="C88">
            <v>27</v>
          </cell>
          <cell r="D88">
            <v>26</v>
          </cell>
          <cell r="E88">
            <v>46</v>
          </cell>
          <cell r="F88">
            <v>68</v>
          </cell>
          <cell r="G88">
            <v>77</v>
          </cell>
          <cell r="H88">
            <v>71</v>
          </cell>
          <cell r="I88">
            <v>94</v>
          </cell>
          <cell r="J88">
            <v>74</v>
          </cell>
          <cell r="K88">
            <v>77</v>
          </cell>
          <cell r="L88">
            <v>84</v>
          </cell>
          <cell r="M88">
            <v>104</v>
          </cell>
          <cell r="N88">
            <v>138</v>
          </cell>
          <cell r="O88">
            <v>158</v>
          </cell>
          <cell r="P88">
            <v>92</v>
          </cell>
          <cell r="Q88">
            <v>92</v>
          </cell>
          <cell r="R88">
            <v>95</v>
          </cell>
          <cell r="S88">
            <v>163</v>
          </cell>
        </row>
        <row r="90">
          <cell r="A90" t="str">
            <v>ASP/Completion ($MM)</v>
          </cell>
        </row>
        <row r="91">
          <cell r="A91" t="str">
            <v>Midsize</v>
          </cell>
          <cell r="B91">
            <v>0</v>
          </cell>
          <cell r="C91">
            <v>0</v>
          </cell>
          <cell r="D91">
            <v>0</v>
          </cell>
          <cell r="E91">
            <v>0</v>
          </cell>
          <cell r="F91">
            <v>0</v>
          </cell>
          <cell r="G91">
            <v>0</v>
          </cell>
          <cell r="H91">
            <v>3</v>
          </cell>
          <cell r="I91">
            <v>2.5</v>
          </cell>
          <cell r="J91">
            <v>3</v>
          </cell>
          <cell r="K91">
            <v>3</v>
          </cell>
          <cell r="L91">
            <v>3</v>
          </cell>
          <cell r="M91">
            <v>3</v>
          </cell>
          <cell r="N91">
            <v>3</v>
          </cell>
          <cell r="O91">
            <v>3</v>
          </cell>
          <cell r="P91">
            <v>3</v>
          </cell>
          <cell r="Q91">
            <v>3</v>
          </cell>
          <cell r="R91">
            <v>4.5</v>
          </cell>
          <cell r="S91">
            <v>4.5</v>
          </cell>
        </row>
        <row r="92">
          <cell r="A92" t="str">
            <v>Large cabin</v>
          </cell>
          <cell r="B92">
            <v>2</v>
          </cell>
          <cell r="C92">
            <v>2.78</v>
          </cell>
          <cell r="D92">
            <v>3.54</v>
          </cell>
          <cell r="E92">
            <v>4.0049999999999999</v>
          </cell>
          <cell r="F92">
            <v>4.0549999999999997</v>
          </cell>
          <cell r="G92">
            <v>4</v>
          </cell>
          <cell r="H92">
            <v>5.03</v>
          </cell>
          <cell r="I92">
            <v>5.09</v>
          </cell>
          <cell r="J92">
            <v>5.52</v>
          </cell>
          <cell r="K92">
            <v>5.5</v>
          </cell>
          <cell r="L92">
            <v>5.5</v>
          </cell>
          <cell r="M92">
            <v>5.37</v>
          </cell>
          <cell r="N92">
            <v>5</v>
          </cell>
          <cell r="O92">
            <v>7</v>
          </cell>
          <cell r="P92">
            <v>8</v>
          </cell>
          <cell r="Q92">
            <v>8</v>
          </cell>
          <cell r="R92">
            <v>8</v>
          </cell>
          <cell r="S92">
            <v>8</v>
          </cell>
        </row>
        <row r="94">
          <cell r="A94" t="str">
            <v>Completion Sales ($MM)</v>
          </cell>
        </row>
        <row r="95">
          <cell r="A95" t="str">
            <v>Midsize</v>
          </cell>
          <cell r="B95">
            <v>0</v>
          </cell>
          <cell r="C95">
            <v>0</v>
          </cell>
          <cell r="D95">
            <v>0</v>
          </cell>
          <cell r="E95">
            <v>0</v>
          </cell>
          <cell r="F95">
            <v>0</v>
          </cell>
          <cell r="G95">
            <v>0</v>
          </cell>
          <cell r="H95">
            <v>0</v>
          </cell>
          <cell r="I95">
            <v>65</v>
          </cell>
          <cell r="J95">
            <v>75</v>
          </cell>
          <cell r="K95">
            <v>75</v>
          </cell>
          <cell r="L95">
            <v>72</v>
          </cell>
          <cell r="M95">
            <v>99</v>
          </cell>
          <cell r="N95">
            <v>159</v>
          </cell>
          <cell r="O95">
            <v>210</v>
          </cell>
          <cell r="P95">
            <v>60</v>
          </cell>
          <cell r="Q95">
            <v>66</v>
          </cell>
          <cell r="R95">
            <v>112.5</v>
          </cell>
          <cell r="S95">
            <v>234</v>
          </cell>
        </row>
        <row r="96">
          <cell r="A96" t="str">
            <v>Large cabin</v>
          </cell>
          <cell r="B96">
            <v>58</v>
          </cell>
          <cell r="C96">
            <v>75.059999999999988</v>
          </cell>
          <cell r="D96">
            <v>92.04</v>
          </cell>
          <cell r="E96">
            <v>184.23</v>
          </cell>
          <cell r="F96">
            <v>275.74</v>
          </cell>
          <cell r="G96">
            <v>308</v>
          </cell>
          <cell r="H96">
            <v>357.13</v>
          </cell>
          <cell r="I96">
            <v>346.12</v>
          </cell>
          <cell r="J96">
            <v>270.47999999999996</v>
          </cell>
          <cell r="K96">
            <v>286</v>
          </cell>
          <cell r="L96">
            <v>330</v>
          </cell>
          <cell r="M96">
            <v>381.27</v>
          </cell>
          <cell r="N96">
            <v>425</v>
          </cell>
          <cell r="O96">
            <v>616</v>
          </cell>
          <cell r="P96">
            <v>576</v>
          </cell>
          <cell r="Q96">
            <v>560</v>
          </cell>
          <cell r="R96">
            <v>560</v>
          </cell>
          <cell r="S96">
            <v>888</v>
          </cell>
        </row>
        <row r="97">
          <cell r="A97" t="str">
            <v>Total Completions</v>
          </cell>
          <cell r="B97">
            <v>58</v>
          </cell>
          <cell r="C97">
            <v>75.059999999999988</v>
          </cell>
          <cell r="D97">
            <v>92.04</v>
          </cell>
          <cell r="E97">
            <v>184.23</v>
          </cell>
          <cell r="F97">
            <v>275.74</v>
          </cell>
          <cell r="G97">
            <v>308</v>
          </cell>
          <cell r="H97">
            <v>357.13</v>
          </cell>
          <cell r="I97">
            <v>411.12</v>
          </cell>
          <cell r="J97">
            <v>345.47999999999996</v>
          </cell>
          <cell r="K97">
            <v>361</v>
          </cell>
          <cell r="L97">
            <v>402</v>
          </cell>
          <cell r="M97">
            <v>480.27</v>
          </cell>
          <cell r="N97">
            <v>584</v>
          </cell>
          <cell r="O97">
            <v>826</v>
          </cell>
          <cell r="P97">
            <v>636</v>
          </cell>
          <cell r="Q97">
            <v>626</v>
          </cell>
          <cell r="R97">
            <v>672.5</v>
          </cell>
          <cell r="S97">
            <v>1122</v>
          </cell>
        </row>
        <row r="98">
          <cell r="A98" t="str">
            <v>% Ch</v>
          </cell>
          <cell r="C98">
            <v>0.29413793103448249</v>
          </cell>
          <cell r="D98">
            <v>0.22621902478017608</v>
          </cell>
          <cell r="E98">
            <v>1.001629726205997</v>
          </cell>
          <cell r="F98">
            <v>0.49671606144493308</v>
          </cell>
          <cell r="G98">
            <v>0.11699426996445927</v>
          </cell>
          <cell r="H98">
            <v>0.159512987012987</v>
          </cell>
          <cell r="I98">
            <v>0.15117744238792596</v>
          </cell>
          <cell r="J98">
            <v>-0.15966141272621148</v>
          </cell>
          <cell r="K98">
            <v>4.4923005673266347E-2</v>
          </cell>
          <cell r="L98">
            <v>0.11357340720221609</v>
          </cell>
          <cell r="M98">
            <v>0.19470149253731339</v>
          </cell>
          <cell r="N98">
            <v>0.2159826764111854</v>
          </cell>
          <cell r="O98">
            <v>0.41438356164383561</v>
          </cell>
          <cell r="P98">
            <v>-0.23002421307506049</v>
          </cell>
          <cell r="Q98">
            <v>-1.5723270440251569E-2</v>
          </cell>
          <cell r="R98">
            <v>7.4281150159744458E-2</v>
          </cell>
          <cell r="S98">
            <v>0.66840148698884749</v>
          </cell>
        </row>
        <row r="100">
          <cell r="A100" t="str">
            <v>Spares/Support Sales</v>
          </cell>
          <cell r="B100">
            <v>324.5</v>
          </cell>
          <cell r="C100">
            <v>170.03800000000001</v>
          </cell>
          <cell r="D100">
            <v>200.64484000000002</v>
          </cell>
          <cell r="E100">
            <v>266.85763720000006</v>
          </cell>
          <cell r="F100">
            <v>336.50748050920009</v>
          </cell>
          <cell r="G100">
            <v>421</v>
          </cell>
          <cell r="H100">
            <v>394</v>
          </cell>
          <cell r="I100">
            <v>362</v>
          </cell>
          <cell r="J100">
            <v>408</v>
          </cell>
          <cell r="K100">
            <v>445</v>
          </cell>
          <cell r="L100">
            <v>484</v>
          </cell>
          <cell r="M100">
            <v>558</v>
          </cell>
          <cell r="N100">
            <v>625</v>
          </cell>
          <cell r="O100">
            <v>700</v>
          </cell>
          <cell r="P100">
            <v>650</v>
          </cell>
          <cell r="Q100">
            <v>663</v>
          </cell>
          <cell r="R100">
            <v>696.15</v>
          </cell>
          <cell r="S100">
            <v>730.95749999999998</v>
          </cell>
        </row>
        <row r="101">
          <cell r="A101" t="str">
            <v>% Ch</v>
          </cell>
          <cell r="C101">
            <v>-0.47599999999999998</v>
          </cell>
          <cell r="D101">
            <v>0.17999999999999994</v>
          </cell>
          <cell r="E101">
            <v>0.33000000000000007</v>
          </cell>
          <cell r="F101">
            <v>0.26100000000000012</v>
          </cell>
          <cell r="G101">
            <v>0.25108660099605085</v>
          </cell>
          <cell r="H101">
            <v>-6.4133016627078376E-2</v>
          </cell>
          <cell r="I101">
            <v>-8.1218274111675148E-2</v>
          </cell>
          <cell r="J101">
            <v>0.1270718232044199</v>
          </cell>
          <cell r="K101">
            <v>9.0686274509803821E-2</v>
          </cell>
          <cell r="L101">
            <v>8.764044943820215E-2</v>
          </cell>
          <cell r="M101">
            <v>0.15289256198347112</v>
          </cell>
          <cell r="N101">
            <v>0.12007168458781359</v>
          </cell>
          <cell r="O101">
            <v>0.12000000000000011</v>
          </cell>
          <cell r="P101">
            <v>-0.05</v>
          </cell>
          <cell r="Q101">
            <v>0.02</v>
          </cell>
          <cell r="R101">
            <v>0.05</v>
          </cell>
          <cell r="S101">
            <v>0.05</v>
          </cell>
        </row>
        <row r="103">
          <cell r="A103" t="str">
            <v>Used Aircraft Sales</v>
          </cell>
          <cell r="B103">
            <v>45</v>
          </cell>
          <cell r="C103">
            <v>153.30000000000001</v>
          </cell>
          <cell r="D103">
            <v>210.4</v>
          </cell>
          <cell r="E103">
            <v>237.2</v>
          </cell>
          <cell r="F103">
            <v>318</v>
          </cell>
          <cell r="G103">
            <v>255</v>
          </cell>
          <cell r="H103">
            <v>177</v>
          </cell>
          <cell r="I103">
            <v>435</v>
          </cell>
          <cell r="J103">
            <v>469</v>
          </cell>
          <cell r="K103">
            <v>254</v>
          </cell>
          <cell r="L103">
            <v>198</v>
          </cell>
          <cell r="M103">
            <v>217</v>
          </cell>
          <cell r="N103">
            <v>80</v>
          </cell>
          <cell r="O103">
            <v>25</v>
          </cell>
          <cell r="P103">
            <v>30</v>
          </cell>
          <cell r="Q103">
            <v>30</v>
          </cell>
          <cell r="R103">
            <v>30</v>
          </cell>
          <cell r="S103">
            <v>30</v>
          </cell>
          <cell r="V103" t="str">
            <v>- declining focus</v>
          </cell>
        </row>
        <row r="104">
          <cell r="A104" t="str">
            <v>% Ch</v>
          </cell>
          <cell r="C104">
            <v>2.4066666666666667</v>
          </cell>
          <cell r="D104">
            <v>0.37247227658186555</v>
          </cell>
          <cell r="E104">
            <v>0.12737642585551323</v>
          </cell>
          <cell r="F104">
            <v>0.34064080944350761</v>
          </cell>
          <cell r="G104">
            <v>-0.19811320754716977</v>
          </cell>
          <cell r="H104">
            <v>-0.30588235294117649</v>
          </cell>
          <cell r="I104">
            <v>1.4576271186440679</v>
          </cell>
          <cell r="J104">
            <v>7.8160919540229967E-2</v>
          </cell>
          <cell r="K104">
            <v>-0.45842217484008529</v>
          </cell>
          <cell r="L104">
            <v>-0.22047244094488194</v>
          </cell>
          <cell r="M104">
            <v>9.5959595959596022E-2</v>
          </cell>
          <cell r="N104">
            <v>-0.63133640552995396</v>
          </cell>
          <cell r="O104">
            <v>-0.6875</v>
          </cell>
          <cell r="P104">
            <v>0.19999999999999996</v>
          </cell>
          <cell r="Q104">
            <v>0</v>
          </cell>
          <cell r="R104">
            <v>0</v>
          </cell>
          <cell r="S104">
            <v>0</v>
          </cell>
        </row>
        <row r="106">
          <cell r="A106" t="str">
            <v>Jet Aviation</v>
          </cell>
          <cell r="O106">
            <v>1400</v>
          </cell>
          <cell r="P106">
            <v>1100</v>
          </cell>
          <cell r="Q106">
            <v>1300</v>
          </cell>
          <cell r="R106">
            <v>1625</v>
          </cell>
          <cell r="S106">
            <v>1700</v>
          </cell>
          <cell r="V106" t="str">
            <v>- efficiencies drive pick up in sales</v>
          </cell>
        </row>
        <row r="107">
          <cell r="A107" t="str">
            <v>% Ch</v>
          </cell>
          <cell r="P107">
            <v>-0.2142857142857143</v>
          </cell>
          <cell r="Q107">
            <v>0.18181818181818188</v>
          </cell>
          <cell r="R107">
            <v>0.25</v>
          </cell>
          <cell r="S107">
            <v>4.6153846153846212E-2</v>
          </cell>
        </row>
        <row r="109">
          <cell r="A109" t="str">
            <v>Gulfstream Total Revenue Breakdown</v>
          </cell>
        </row>
        <row r="110">
          <cell r="A110" t="str">
            <v>New Aircraft Sales (Green/Cptns)</v>
          </cell>
          <cell r="B110">
            <v>671.6</v>
          </cell>
          <cell r="C110">
            <v>741.06</v>
          </cell>
          <cell r="D110">
            <v>1493.34</v>
          </cell>
          <cell r="E110">
            <v>1923.63</v>
          </cell>
          <cell r="F110">
            <v>2254.2399999999998</v>
          </cell>
          <cell r="G110">
            <v>2355.3000000000002</v>
          </cell>
          <cell r="H110">
            <v>2693.98</v>
          </cell>
          <cell r="I110">
            <v>2491.6979999999999</v>
          </cell>
          <cell r="J110">
            <v>2068.58</v>
          </cell>
          <cell r="K110">
            <v>2312.5500000000002</v>
          </cell>
          <cell r="L110">
            <v>2751</v>
          </cell>
          <cell r="M110">
            <v>3341.27</v>
          </cell>
          <cell r="N110">
            <v>4123.22</v>
          </cell>
          <cell r="O110">
            <v>4879</v>
          </cell>
          <cell r="P110">
            <v>3470</v>
          </cell>
          <cell r="Q110">
            <v>3467</v>
          </cell>
          <cell r="R110">
            <v>3638</v>
          </cell>
          <cell r="S110">
            <v>4924</v>
          </cell>
        </row>
        <row r="111">
          <cell r="A111" t="str">
            <v>Spaces/Support</v>
          </cell>
          <cell r="B111">
            <v>324.5</v>
          </cell>
          <cell r="C111">
            <v>170.03800000000001</v>
          </cell>
          <cell r="D111">
            <v>200.64484000000002</v>
          </cell>
          <cell r="E111">
            <v>266.85763720000006</v>
          </cell>
          <cell r="F111">
            <v>336.50748050920009</v>
          </cell>
          <cell r="G111">
            <v>421</v>
          </cell>
          <cell r="H111">
            <v>394</v>
          </cell>
          <cell r="I111">
            <v>362</v>
          </cell>
          <cell r="J111">
            <v>408</v>
          </cell>
          <cell r="K111">
            <v>445</v>
          </cell>
          <cell r="L111">
            <v>484</v>
          </cell>
          <cell r="M111">
            <v>558</v>
          </cell>
          <cell r="N111">
            <v>625</v>
          </cell>
          <cell r="O111">
            <v>700</v>
          </cell>
          <cell r="P111">
            <v>650</v>
          </cell>
          <cell r="Q111">
            <v>663</v>
          </cell>
          <cell r="R111">
            <v>696.15</v>
          </cell>
          <cell r="S111">
            <v>730.95749999999998</v>
          </cell>
        </row>
        <row r="112">
          <cell r="A112" t="str">
            <v>Used</v>
          </cell>
          <cell r="B112">
            <v>45</v>
          </cell>
          <cell r="C112">
            <v>153.30000000000001</v>
          </cell>
          <cell r="D112">
            <v>210.4</v>
          </cell>
          <cell r="E112">
            <v>237.2</v>
          </cell>
          <cell r="F112">
            <v>318</v>
          </cell>
          <cell r="G112">
            <v>255</v>
          </cell>
          <cell r="H112">
            <v>177</v>
          </cell>
          <cell r="I112">
            <v>435</v>
          </cell>
          <cell r="J112">
            <v>469</v>
          </cell>
          <cell r="K112">
            <v>254</v>
          </cell>
          <cell r="L112">
            <v>198</v>
          </cell>
          <cell r="M112">
            <v>217</v>
          </cell>
          <cell r="N112">
            <v>80</v>
          </cell>
          <cell r="O112">
            <v>25</v>
          </cell>
          <cell r="P112">
            <v>30</v>
          </cell>
          <cell r="Q112">
            <v>30</v>
          </cell>
          <cell r="R112">
            <v>30</v>
          </cell>
          <cell r="S112">
            <v>30</v>
          </cell>
        </row>
        <row r="113">
          <cell r="A113" t="str">
            <v>Jet Aviation</v>
          </cell>
          <cell r="P113">
            <v>1100</v>
          </cell>
          <cell r="Q113">
            <v>1300</v>
          </cell>
          <cell r="R113">
            <v>1625</v>
          </cell>
          <cell r="S113">
            <v>1700</v>
          </cell>
        </row>
        <row r="114">
          <cell r="A114" t="str">
            <v>TOTAL</v>
          </cell>
          <cell r="B114">
            <v>1041.0999999999999</v>
          </cell>
          <cell r="C114">
            <v>1064.3979999999999</v>
          </cell>
          <cell r="D114">
            <v>1904.3848399999999</v>
          </cell>
          <cell r="E114">
            <v>2427.6876372000002</v>
          </cell>
          <cell r="F114">
            <v>2908.7474805091997</v>
          </cell>
          <cell r="G114">
            <v>3031.3</v>
          </cell>
          <cell r="H114">
            <v>3264.98</v>
          </cell>
          <cell r="I114">
            <v>3288.6979999999999</v>
          </cell>
          <cell r="J114">
            <v>2945.58</v>
          </cell>
          <cell r="K114">
            <v>3011.55</v>
          </cell>
          <cell r="L114">
            <v>3433</v>
          </cell>
          <cell r="M114">
            <v>4116.2700000000004</v>
          </cell>
          <cell r="N114">
            <v>4828.22</v>
          </cell>
          <cell r="O114">
            <v>5604</v>
          </cell>
          <cell r="P114">
            <v>5250</v>
          </cell>
          <cell r="Q114">
            <v>5460</v>
          </cell>
          <cell r="R114">
            <v>5989.15</v>
          </cell>
          <cell r="S114">
            <v>7384.9575000000004</v>
          </cell>
        </row>
        <row r="115">
          <cell r="A115" t="str">
            <v>% Ch</v>
          </cell>
          <cell r="C115">
            <v>2.2378253770050982E-2</v>
          </cell>
          <cell r="D115">
            <v>0.78916612019188315</v>
          </cell>
          <cell r="E115">
            <v>0.27478836536001849</v>
          </cell>
          <cell r="F115">
            <v>0.1981555764991394</v>
          </cell>
          <cell r="G115">
            <v>4.2132402455694384E-2</v>
          </cell>
          <cell r="H115">
            <v>7.7089037706594477E-2</v>
          </cell>
          <cell r="I115">
            <v>7.2643630282573923E-3</v>
          </cell>
          <cell r="J115">
            <v>-0.1043324744321309</v>
          </cell>
          <cell r="K115">
            <v>2.2396268307090628E-2</v>
          </cell>
          <cell r="L115">
            <v>0.13994454682804536</v>
          </cell>
          <cell r="M115">
            <v>0.1990300029129044</v>
          </cell>
          <cell r="N115">
            <v>0.17295998561804726</v>
          </cell>
          <cell r="O115">
            <v>0.16067619122575194</v>
          </cell>
          <cell r="P115">
            <v>-6.3169164882227014E-2</v>
          </cell>
          <cell r="Q115">
            <v>4.0000000000000036E-2</v>
          </cell>
          <cell r="R115">
            <v>9.6913919413919247E-2</v>
          </cell>
          <cell r="S115">
            <v>0.23305602631425182</v>
          </cell>
        </row>
        <row r="117">
          <cell r="A117" t="str">
            <v>Model check, reported</v>
          </cell>
          <cell r="B117">
            <v>0</v>
          </cell>
          <cell r="C117">
            <v>0</v>
          </cell>
          <cell r="D117">
            <v>1904</v>
          </cell>
          <cell r="E117">
            <v>2428</v>
          </cell>
          <cell r="F117">
            <v>2909</v>
          </cell>
          <cell r="G117">
            <v>3029</v>
          </cell>
          <cell r="H117">
            <v>3265</v>
          </cell>
          <cell r="I117">
            <v>3289</v>
          </cell>
          <cell r="J117">
            <v>2946</v>
          </cell>
          <cell r="K117">
            <v>3012</v>
          </cell>
          <cell r="L117">
            <v>3433</v>
          </cell>
          <cell r="M117">
            <v>4116</v>
          </cell>
          <cell r="N117">
            <v>4828</v>
          </cell>
          <cell r="O117">
            <v>5512</v>
          </cell>
          <cell r="P117">
            <v>5250</v>
          </cell>
          <cell r="Q117">
            <v>5300</v>
          </cell>
          <cell r="R117">
            <v>6100</v>
          </cell>
          <cell r="S117">
            <v>7400</v>
          </cell>
        </row>
        <row r="119">
          <cell r="A119" t="str">
            <v>Gulfstream Est. Margins</v>
          </cell>
        </row>
        <row r="120">
          <cell r="A120" t="str">
            <v>New Aircraft Sales (Green/Cptns)</v>
          </cell>
          <cell r="B120">
            <v>0</v>
          </cell>
          <cell r="C120">
            <v>0.26165222788977954</v>
          </cell>
          <cell r="D120">
            <v>0.19935669771493669</v>
          </cell>
          <cell r="E120">
            <v>0.24149999999999999</v>
          </cell>
          <cell r="F120">
            <v>0.23781001819069167</v>
          </cell>
          <cell r="G120">
            <v>0.23988451577293762</v>
          </cell>
          <cell r="H120">
            <v>0.21959999999999999</v>
          </cell>
          <cell r="I120">
            <v>0.20219999999999999</v>
          </cell>
          <cell r="J120">
            <v>0.11899999999999999</v>
          </cell>
          <cell r="K120">
            <v>0.14649999999999999</v>
          </cell>
          <cell r="L120">
            <v>0.15759999999999999</v>
          </cell>
          <cell r="M120">
            <v>0.17150000000000001</v>
          </cell>
          <cell r="N120">
            <v>0.17610000000000001</v>
          </cell>
          <cell r="O120">
            <v>0.191</v>
          </cell>
          <cell r="P120">
            <v>0.19600000000000001</v>
          </cell>
          <cell r="Q120">
            <v>0.19</v>
          </cell>
          <cell r="R120">
            <v>0.19</v>
          </cell>
          <cell r="S120">
            <v>0.19</v>
          </cell>
        </row>
        <row r="121">
          <cell r="A121" t="str">
            <v>Spaces/Support</v>
          </cell>
          <cell r="B121">
            <v>0</v>
          </cell>
          <cell r="C121">
            <v>0.21465789999882379</v>
          </cell>
          <cell r="D121">
            <v>0.22427688646266705</v>
          </cell>
          <cell r="E121">
            <v>0.20123089061061353</v>
          </cell>
          <cell r="F121">
            <v>0.20207574552905336</v>
          </cell>
          <cell r="G121">
            <v>0.19110624695389955</v>
          </cell>
          <cell r="H121">
            <v>0.19</v>
          </cell>
          <cell r="I121">
            <v>0.19</v>
          </cell>
          <cell r="J121">
            <v>0.19</v>
          </cell>
          <cell r="K121">
            <v>0.19</v>
          </cell>
          <cell r="L121">
            <v>0.19</v>
          </cell>
          <cell r="M121">
            <v>0.19</v>
          </cell>
          <cell r="N121">
            <v>0.19</v>
          </cell>
          <cell r="O121">
            <v>0.18</v>
          </cell>
          <cell r="P121">
            <v>0.19</v>
          </cell>
          <cell r="Q121">
            <v>0.185</v>
          </cell>
          <cell r="R121">
            <v>0.19</v>
          </cell>
          <cell r="S121">
            <v>0.19</v>
          </cell>
          <cell r="V121" t="str">
            <v>- not a margin expansion story</v>
          </cell>
        </row>
        <row r="122">
          <cell r="A122" t="str">
            <v>Jet Aviation</v>
          </cell>
          <cell r="P122">
            <v>0.09</v>
          </cell>
          <cell r="Q122">
            <v>9.5000000000000001E-2</v>
          </cell>
          <cell r="R122">
            <v>0.12</v>
          </cell>
          <cell r="S122">
            <v>0.13</v>
          </cell>
          <cell r="V122" t="str">
            <v>- lean drives margins up</v>
          </cell>
        </row>
        <row r="123">
          <cell r="A123" t="str">
            <v>Used</v>
          </cell>
          <cell r="B123">
            <v>0</v>
          </cell>
          <cell r="C123">
            <v>-1.1089367253750815E-2</v>
          </cell>
          <cell r="D123">
            <v>3.8973384030418244E-2</v>
          </cell>
          <cell r="E123">
            <v>4.8060708263069143E-2</v>
          </cell>
          <cell r="F123">
            <v>-2.5157232704402517E-2</v>
          </cell>
          <cell r="G123">
            <v>0</v>
          </cell>
          <cell r="H123">
            <v>0</v>
          </cell>
          <cell r="I123">
            <v>-0.18620689655172415</v>
          </cell>
          <cell r="J123">
            <v>-0.13943355119825707</v>
          </cell>
          <cell r="K123">
            <v>0</v>
          </cell>
          <cell r="L123">
            <v>0</v>
          </cell>
          <cell r="M123">
            <v>0</v>
          </cell>
          <cell r="N123">
            <v>0</v>
          </cell>
          <cell r="O123">
            <v>0</v>
          </cell>
          <cell r="P123">
            <v>0</v>
          </cell>
          <cell r="Q123">
            <v>0</v>
          </cell>
          <cell r="R123">
            <v>0</v>
          </cell>
          <cell r="S123">
            <v>0</v>
          </cell>
        </row>
        <row r="124">
          <cell r="A124" t="str">
            <v>Total GAC Margins</v>
          </cell>
          <cell r="B124">
            <v>0</v>
          </cell>
          <cell r="C124">
            <v>4.7632558497855144E-2</v>
          </cell>
          <cell r="D124">
            <v>0.12020014345715099</v>
          </cell>
          <cell r="E124">
            <v>0.15350271562523077</v>
          </cell>
          <cell r="F124">
            <v>0.14476363391038369</v>
          </cell>
          <cell r="G124">
            <v>0.1954460891259828</v>
          </cell>
          <cell r="H124">
            <v>0.19156564756905095</v>
          </cell>
          <cell r="I124">
            <v>0.13579882847254446</v>
          </cell>
          <cell r="J124">
            <v>7.4106520443517898E-2</v>
          </cell>
          <cell r="K124">
            <v>0.13061000979562018</v>
          </cell>
          <cell r="L124">
            <v>0.14404823769297992</v>
          </cell>
          <cell r="M124">
            <v>0.15646393579624271</v>
          </cell>
          <cell r="N124">
            <v>0.16773242354325196</v>
          </cell>
          <cell r="O124">
            <v>0.18252837259100643</v>
          </cell>
          <cell r="P124">
            <v>0.16526095238095237</v>
          </cell>
          <cell r="Q124">
            <v>0.15931959706959706</v>
          </cell>
          <cell r="R124">
            <v>0.16504654249768333</v>
          </cell>
          <cell r="S124">
            <v>0.17108316804802196</v>
          </cell>
        </row>
        <row r="126">
          <cell r="A126" t="str">
            <v>Gulfstream Profits</v>
          </cell>
        </row>
        <row r="127">
          <cell r="A127" t="str">
            <v>New Aircraft Sales (Green/Cptns)</v>
          </cell>
          <cell r="B127">
            <v>0</v>
          </cell>
          <cell r="C127">
            <v>193.9</v>
          </cell>
          <cell r="D127">
            <v>297.70733096562356</v>
          </cell>
          <cell r="E127">
            <v>464.556645</v>
          </cell>
          <cell r="F127">
            <v>536.0808554061847</v>
          </cell>
          <cell r="G127">
            <v>565</v>
          </cell>
          <cell r="H127">
            <v>591.59800799999994</v>
          </cell>
          <cell r="I127">
            <v>503.82133559999994</v>
          </cell>
          <cell r="J127">
            <v>246.16101999999998</v>
          </cell>
          <cell r="K127">
            <v>338.78857499999998</v>
          </cell>
          <cell r="L127">
            <v>433.55759999999998</v>
          </cell>
          <cell r="M127">
            <v>573.02780500000006</v>
          </cell>
          <cell r="N127">
            <v>726.09904200000005</v>
          </cell>
          <cell r="O127">
            <v>931.88900000000001</v>
          </cell>
          <cell r="P127">
            <v>680.12</v>
          </cell>
          <cell r="Q127">
            <v>658.73</v>
          </cell>
          <cell r="R127">
            <v>691.22</v>
          </cell>
          <cell r="S127">
            <v>935.56000000000006</v>
          </cell>
        </row>
        <row r="128">
          <cell r="A128" t="str">
            <v>Spaces/Support</v>
          </cell>
          <cell r="B128">
            <v>0</v>
          </cell>
          <cell r="C128">
            <v>36.5</v>
          </cell>
          <cell r="D128">
            <v>45</v>
          </cell>
          <cell r="E128">
            <v>53.7</v>
          </cell>
          <cell r="F128">
            <v>68</v>
          </cell>
          <cell r="G128">
            <v>80.455729967591708</v>
          </cell>
          <cell r="H128">
            <v>74.86</v>
          </cell>
          <cell r="I128">
            <v>68.78</v>
          </cell>
          <cell r="J128">
            <v>77.52</v>
          </cell>
          <cell r="K128">
            <v>84.55</v>
          </cell>
          <cell r="L128">
            <v>91.960000000000008</v>
          </cell>
          <cell r="M128">
            <v>106.02</v>
          </cell>
          <cell r="N128">
            <v>118.75</v>
          </cell>
          <cell r="O128">
            <v>126</v>
          </cell>
          <cell r="P128">
            <v>123.5</v>
          </cell>
          <cell r="Q128">
            <v>122.655</v>
          </cell>
          <cell r="R128">
            <v>132.26849999999999</v>
          </cell>
          <cell r="S128">
            <v>138.881925</v>
          </cell>
        </row>
        <row r="129">
          <cell r="A129" t="str">
            <v xml:space="preserve">Jet Aviation </v>
          </cell>
          <cell r="P129">
            <v>99</v>
          </cell>
          <cell r="Q129">
            <v>123.5</v>
          </cell>
          <cell r="R129">
            <v>195</v>
          </cell>
          <cell r="S129">
            <v>221</v>
          </cell>
        </row>
        <row r="130">
          <cell r="A130" t="str">
            <v>Used</v>
          </cell>
          <cell r="B130">
            <v>0</v>
          </cell>
          <cell r="C130">
            <v>-1.7</v>
          </cell>
          <cell r="D130">
            <v>8.1999999999999993</v>
          </cell>
          <cell r="E130">
            <v>11.4</v>
          </cell>
          <cell r="F130">
            <v>-8</v>
          </cell>
          <cell r="G130">
            <v>0</v>
          </cell>
          <cell r="H130">
            <v>0</v>
          </cell>
          <cell r="I130">
            <v>-81</v>
          </cell>
          <cell r="J130">
            <v>-65.394335511982561</v>
          </cell>
          <cell r="K130">
            <v>0</v>
          </cell>
          <cell r="L130">
            <v>0</v>
          </cell>
          <cell r="M130">
            <v>0</v>
          </cell>
          <cell r="N130">
            <v>0</v>
          </cell>
          <cell r="O130">
            <v>0</v>
          </cell>
          <cell r="P130">
            <v>0</v>
          </cell>
          <cell r="Q130">
            <v>0</v>
          </cell>
          <cell r="R130">
            <v>0</v>
          </cell>
          <cell r="S130">
            <v>0</v>
          </cell>
          <cell r="V130" t="str">
            <v>- P&amp;L resp = no more losses</v>
          </cell>
        </row>
        <row r="131">
          <cell r="A131" t="str">
            <v>Unallocated</v>
          </cell>
          <cell r="C131">
            <v>-178</v>
          </cell>
          <cell r="D131">
            <v>-122</v>
          </cell>
          <cell r="E131">
            <v>-157</v>
          </cell>
          <cell r="F131">
            <v>-175</v>
          </cell>
          <cell r="G131">
            <v>-53</v>
          </cell>
          <cell r="H131">
            <v>-41</v>
          </cell>
          <cell r="I131">
            <v>-45</v>
          </cell>
          <cell r="J131">
            <v>-40</v>
          </cell>
          <cell r="K131">
            <v>-30</v>
          </cell>
          <cell r="L131">
            <v>-31</v>
          </cell>
          <cell r="M131">
            <v>-35</v>
          </cell>
          <cell r="N131">
            <v>-35</v>
          </cell>
          <cell r="O131">
            <v>-35</v>
          </cell>
          <cell r="P131">
            <v>-35</v>
          </cell>
          <cell r="Q131">
            <v>-35</v>
          </cell>
          <cell r="R131">
            <v>-30</v>
          </cell>
          <cell r="S131">
            <v>-32</v>
          </cell>
          <cell r="V131" t="str">
            <v>- use as a plug if needed</v>
          </cell>
        </row>
        <row r="132">
          <cell r="A132" t="str">
            <v>Total</v>
          </cell>
          <cell r="B132">
            <v>0</v>
          </cell>
          <cell r="C132">
            <v>50.700000000000017</v>
          </cell>
          <cell r="D132">
            <v>228.90733096562354</v>
          </cell>
          <cell r="E132">
            <v>372.65664500000003</v>
          </cell>
          <cell r="F132">
            <v>421.0808554061847</v>
          </cell>
          <cell r="G132">
            <v>592.45572996759165</v>
          </cell>
          <cell r="H132">
            <v>625.45800799999995</v>
          </cell>
          <cell r="I132">
            <v>446.60133559999997</v>
          </cell>
          <cell r="J132">
            <v>218.28668448801744</v>
          </cell>
          <cell r="K132">
            <v>393.33857499999999</v>
          </cell>
          <cell r="L132">
            <v>494.51760000000002</v>
          </cell>
          <cell r="M132">
            <v>644.04780500000004</v>
          </cell>
          <cell r="N132">
            <v>809.84904200000005</v>
          </cell>
          <cell r="O132">
            <v>1022.8890000000001</v>
          </cell>
          <cell r="P132">
            <v>867.62</v>
          </cell>
          <cell r="Q132">
            <v>869.88499999999999</v>
          </cell>
          <cell r="R132">
            <v>988.48850000000004</v>
          </cell>
          <cell r="S132">
            <v>1263.4419250000001</v>
          </cell>
        </row>
        <row r="134">
          <cell r="A134" t="str">
            <v>Model check, reported</v>
          </cell>
          <cell r="B134">
            <v>0</v>
          </cell>
          <cell r="C134">
            <v>0</v>
          </cell>
          <cell r="D134">
            <v>229</v>
          </cell>
          <cell r="E134">
            <v>228.39999999999998</v>
          </cell>
          <cell r="F134">
            <v>482</v>
          </cell>
          <cell r="G134">
            <v>592</v>
          </cell>
          <cell r="H134">
            <v>625</v>
          </cell>
          <cell r="I134">
            <v>447</v>
          </cell>
          <cell r="J134">
            <v>218</v>
          </cell>
          <cell r="K134">
            <v>393</v>
          </cell>
          <cell r="L134">
            <v>495</v>
          </cell>
          <cell r="M134">
            <v>644</v>
          </cell>
          <cell r="N134">
            <v>810</v>
          </cell>
          <cell r="O134">
            <v>1021</v>
          </cell>
          <cell r="P134">
            <v>708.75</v>
          </cell>
          <cell r="Q134">
            <v>742.00000000000011</v>
          </cell>
          <cell r="R134">
            <v>0</v>
          </cell>
          <cell r="S134">
            <v>0.2577639751552796</v>
          </cell>
        </row>
        <row r="140">
          <cell r="B140">
            <v>1995</v>
          </cell>
          <cell r="C140">
            <v>1996</v>
          </cell>
          <cell r="D140">
            <v>1997</v>
          </cell>
          <cell r="E140">
            <v>1998</v>
          </cell>
          <cell r="F140">
            <v>1999</v>
          </cell>
          <cell r="G140">
            <v>2000</v>
          </cell>
          <cell r="H140">
            <v>2001</v>
          </cell>
          <cell r="I140">
            <v>2002</v>
          </cell>
          <cell r="J140">
            <v>2003</v>
          </cell>
          <cell r="K140">
            <v>2004</v>
          </cell>
          <cell r="L140">
            <v>2005</v>
          </cell>
          <cell r="M140">
            <v>2006</v>
          </cell>
          <cell r="N140" t="str">
            <v>2007A</v>
          </cell>
          <cell r="O140" t="str">
            <v>2008E</v>
          </cell>
          <cell r="P140" t="str">
            <v>2009E</v>
          </cell>
          <cell r="Q140" t="str">
            <v>2010E</v>
          </cell>
          <cell r="R140" t="str">
            <v>2011E</v>
          </cell>
          <cell r="S140" t="str">
            <v>2012E</v>
          </cell>
        </row>
        <row r="141">
          <cell r="A141" t="str">
            <v>Midsize</v>
          </cell>
          <cell r="B141">
            <v>0</v>
          </cell>
          <cell r="C141">
            <v>0</v>
          </cell>
          <cell r="D141">
            <v>0</v>
          </cell>
          <cell r="E141">
            <v>0</v>
          </cell>
          <cell r="F141">
            <v>0</v>
          </cell>
          <cell r="G141">
            <v>0</v>
          </cell>
          <cell r="H141">
            <v>13</v>
          </cell>
          <cell r="I141">
            <v>24</v>
          </cell>
          <cell r="J141">
            <v>24</v>
          </cell>
          <cell r="K141">
            <v>22</v>
          </cell>
          <cell r="L141">
            <v>26</v>
          </cell>
          <cell r="M141">
            <v>42</v>
          </cell>
          <cell r="N141">
            <v>56</v>
          </cell>
          <cell r="O141">
            <v>70</v>
          </cell>
          <cell r="P141">
            <v>20</v>
          </cell>
          <cell r="Q141">
            <v>22</v>
          </cell>
          <cell r="R141">
            <v>25</v>
          </cell>
          <cell r="S141">
            <v>52</v>
          </cell>
        </row>
        <row r="142">
          <cell r="A142" t="str">
            <v>Large Cabin</v>
          </cell>
          <cell r="B142">
            <v>26</v>
          </cell>
          <cell r="C142">
            <v>27</v>
          </cell>
          <cell r="D142">
            <v>51</v>
          </cell>
          <cell r="E142">
            <v>61</v>
          </cell>
          <cell r="F142">
            <v>70</v>
          </cell>
          <cell r="G142">
            <v>71</v>
          </cell>
          <cell r="H142">
            <v>71</v>
          </cell>
          <cell r="I142">
            <v>61</v>
          </cell>
          <cell r="J142">
            <v>50</v>
          </cell>
          <cell r="K142">
            <v>56</v>
          </cell>
          <cell r="L142">
            <v>63</v>
          </cell>
          <cell r="M142">
            <v>71</v>
          </cell>
          <cell r="N142">
            <v>82</v>
          </cell>
          <cell r="O142">
            <v>88</v>
          </cell>
          <cell r="P142">
            <v>72</v>
          </cell>
          <cell r="Q142">
            <v>70</v>
          </cell>
          <cell r="R142">
            <v>70</v>
          </cell>
          <cell r="S142">
            <v>111</v>
          </cell>
        </row>
        <row r="143">
          <cell r="A143" t="str">
            <v>Total</v>
          </cell>
          <cell r="B143">
            <v>26</v>
          </cell>
          <cell r="C143">
            <v>27</v>
          </cell>
          <cell r="D143">
            <v>51</v>
          </cell>
          <cell r="E143">
            <v>61</v>
          </cell>
          <cell r="F143">
            <v>70</v>
          </cell>
          <cell r="G143">
            <v>71</v>
          </cell>
          <cell r="H143">
            <v>84</v>
          </cell>
          <cell r="I143">
            <v>85</v>
          </cell>
          <cell r="J143">
            <v>74</v>
          </cell>
          <cell r="K143">
            <v>78</v>
          </cell>
          <cell r="L143">
            <v>89</v>
          </cell>
          <cell r="M143">
            <v>113</v>
          </cell>
          <cell r="N143">
            <v>138</v>
          </cell>
          <cell r="O143">
            <v>158</v>
          </cell>
          <cell r="P143">
            <v>92</v>
          </cell>
          <cell r="Q143">
            <v>92</v>
          </cell>
          <cell r="R143">
            <v>95</v>
          </cell>
          <cell r="S143">
            <v>163</v>
          </cell>
        </row>
      </sheetData>
      <sheetData sheetId="7" refreshError="1"/>
      <sheetData sheetId="8" refreshError="1">
        <row r="6">
          <cell r="B6" t="str">
            <v>GD Combat Systems P&amp;L ($MM)</v>
          </cell>
          <cell r="F6" t="str">
            <v>last updated 10/09</v>
          </cell>
        </row>
        <row r="7">
          <cell r="K7" t="str">
            <v>wrong</v>
          </cell>
        </row>
        <row r="8">
          <cell r="B8" t="str">
            <v>Sales</v>
          </cell>
          <cell r="E8">
            <v>2000</v>
          </cell>
          <cell r="F8">
            <v>2001</v>
          </cell>
          <cell r="G8">
            <v>2002</v>
          </cell>
          <cell r="H8" t="str">
            <v>2003</v>
          </cell>
          <cell r="I8" t="str">
            <v>2004</v>
          </cell>
          <cell r="J8" t="str">
            <v>2005</v>
          </cell>
          <cell r="K8" t="str">
            <v>2006</v>
          </cell>
          <cell r="L8" t="str">
            <v>2007</v>
          </cell>
          <cell r="M8" t="str">
            <v>2008A</v>
          </cell>
          <cell r="N8" t="str">
            <v>2009E</v>
          </cell>
          <cell r="O8" t="str">
            <v>2010E</v>
          </cell>
          <cell r="P8" t="str">
            <v>2011E</v>
          </cell>
          <cell r="Q8" t="str">
            <v>2012E</v>
          </cell>
          <cell r="R8" t="str">
            <v>Comments</v>
          </cell>
        </row>
        <row r="9">
          <cell r="B9" t="str">
            <v>Main battle tanks/svc&amp;support</v>
          </cell>
          <cell r="E9">
            <v>515</v>
          </cell>
          <cell r="F9">
            <v>624</v>
          </cell>
          <cell r="G9">
            <v>732</v>
          </cell>
          <cell r="H9">
            <v>780</v>
          </cell>
          <cell r="I9">
            <v>780</v>
          </cell>
          <cell r="J9">
            <v>850</v>
          </cell>
          <cell r="K9">
            <v>880</v>
          </cell>
          <cell r="L9">
            <v>920</v>
          </cell>
          <cell r="M9">
            <v>1567</v>
          </cell>
          <cell r="N9">
            <v>1600</v>
          </cell>
          <cell r="O9">
            <v>1800</v>
          </cell>
          <cell r="P9">
            <v>1800</v>
          </cell>
          <cell r="Q9">
            <v>1800</v>
          </cell>
          <cell r="R9" t="str">
            <v>- SEP ends 2004, ramps dn ex foreign sls Increases 2011-2012 on Saudi/Iraq FMS</v>
          </cell>
        </row>
        <row r="10">
          <cell r="B10" t="str">
            <v>Engin &amp; develop</v>
          </cell>
          <cell r="E10">
            <v>303</v>
          </cell>
          <cell r="F10">
            <v>406</v>
          </cell>
          <cell r="G10">
            <v>590</v>
          </cell>
          <cell r="H10">
            <v>780</v>
          </cell>
          <cell r="I10">
            <v>905</v>
          </cell>
          <cell r="J10">
            <v>1080</v>
          </cell>
          <cell r="K10">
            <v>1350</v>
          </cell>
          <cell r="L10">
            <v>1700</v>
          </cell>
          <cell r="M10">
            <v>676</v>
          </cell>
          <cell r="N10">
            <v>700</v>
          </cell>
          <cell r="O10">
            <v>725</v>
          </cell>
          <cell r="P10">
            <v>725</v>
          </cell>
          <cell r="Q10">
            <v>750</v>
          </cell>
          <cell r="R10" t="str">
            <v>- FCS, AAAV/EFE</v>
          </cell>
        </row>
        <row r="11">
          <cell r="B11" t="str">
            <v>Medium armored vehls/related</v>
          </cell>
          <cell r="E11">
            <v>108</v>
          </cell>
          <cell r="F11">
            <v>336</v>
          </cell>
          <cell r="G11">
            <v>519</v>
          </cell>
          <cell r="H11">
            <v>1200</v>
          </cell>
          <cell r="I11">
            <v>1400</v>
          </cell>
          <cell r="J11">
            <v>1595</v>
          </cell>
          <cell r="K11">
            <v>2000</v>
          </cell>
          <cell r="L11">
            <v>2790</v>
          </cell>
          <cell r="M11">
            <v>2650</v>
          </cell>
          <cell r="N11">
            <v>4080</v>
          </cell>
          <cell r="O11">
            <v>4000</v>
          </cell>
          <cell r="P11">
            <v>4000</v>
          </cell>
          <cell r="Q11">
            <v>4000</v>
          </cell>
          <cell r="R11" t="str">
            <v>- Stryker thru '07, LRIP AAAV 06, full prodn 07</v>
          </cell>
        </row>
        <row r="12">
          <cell r="B12" t="str">
            <v>Canadian LAV</v>
          </cell>
          <cell r="N12">
            <v>0</v>
          </cell>
          <cell r="O12">
            <v>50</v>
          </cell>
          <cell r="P12">
            <v>350</v>
          </cell>
          <cell r="Q12">
            <v>350</v>
          </cell>
          <cell r="R12" t="str">
            <v>- upgrading 500 Cda vehs, $900MM</v>
          </cell>
        </row>
        <row r="13">
          <cell r="B13" t="str">
            <v>Munitions &amp; propellant (OTS)</v>
          </cell>
          <cell r="E13">
            <v>28</v>
          </cell>
          <cell r="F13">
            <v>339</v>
          </cell>
          <cell r="G13">
            <v>383</v>
          </cell>
          <cell r="H13">
            <v>410</v>
          </cell>
          <cell r="I13">
            <v>450</v>
          </cell>
          <cell r="J13">
            <v>510</v>
          </cell>
          <cell r="K13">
            <v>806</v>
          </cell>
          <cell r="L13">
            <v>1276</v>
          </cell>
          <cell r="M13">
            <v>1278</v>
          </cell>
          <cell r="N13">
            <v>1325</v>
          </cell>
          <cell r="O13">
            <v>1200</v>
          </cell>
          <cell r="P13">
            <v>1200</v>
          </cell>
          <cell r="Q13">
            <v>1200</v>
          </cell>
          <cell r="R13" t="str">
            <v>- live fire training, non std ammo etc</v>
          </cell>
        </row>
        <row r="14">
          <cell r="B14" t="str">
            <v>Rockets &amp; missile components</v>
          </cell>
          <cell r="E14">
            <v>144</v>
          </cell>
          <cell r="F14">
            <v>278</v>
          </cell>
          <cell r="G14">
            <v>254</v>
          </cell>
          <cell r="H14">
            <v>330</v>
          </cell>
          <cell r="I14">
            <v>330</v>
          </cell>
          <cell r="J14">
            <v>410</v>
          </cell>
          <cell r="K14">
            <v>470</v>
          </cell>
          <cell r="L14">
            <v>500</v>
          </cell>
          <cell r="M14">
            <v>394</v>
          </cell>
          <cell r="N14">
            <v>450</v>
          </cell>
          <cell r="O14">
            <v>450</v>
          </cell>
          <cell r="P14">
            <v>450</v>
          </cell>
          <cell r="Q14">
            <v>450</v>
          </cell>
          <cell r="R14" t="str">
            <v>- stable biz</v>
          </cell>
        </row>
        <row r="15">
          <cell r="B15" t="str">
            <v>Armament systems</v>
          </cell>
          <cell r="E15">
            <v>75</v>
          </cell>
          <cell r="F15">
            <v>97</v>
          </cell>
          <cell r="G15">
            <v>103</v>
          </cell>
          <cell r="H15">
            <v>135</v>
          </cell>
          <cell r="I15">
            <v>140</v>
          </cell>
          <cell r="J15">
            <v>155</v>
          </cell>
          <cell r="K15">
            <v>160</v>
          </cell>
          <cell r="L15">
            <v>161</v>
          </cell>
          <cell r="M15">
            <v>160</v>
          </cell>
          <cell r="N15">
            <v>160</v>
          </cell>
          <cell r="O15">
            <v>160</v>
          </cell>
          <cell r="P15">
            <v>160</v>
          </cell>
          <cell r="Q15">
            <v>160</v>
          </cell>
        </row>
        <row r="16">
          <cell r="B16" t="str">
            <v>Axel</v>
          </cell>
          <cell r="N16">
            <v>500</v>
          </cell>
          <cell r="O16">
            <v>575</v>
          </cell>
          <cell r="P16">
            <v>600</v>
          </cell>
          <cell r="Q16">
            <v>620</v>
          </cell>
          <cell r="R16" t="str">
            <v>- 50% comml, mil flat</v>
          </cell>
        </row>
        <row r="17">
          <cell r="B17" t="str">
            <v>ATP</v>
          </cell>
          <cell r="L17">
            <v>200</v>
          </cell>
          <cell r="M17">
            <v>190</v>
          </cell>
          <cell r="N17">
            <v>200</v>
          </cell>
          <cell r="O17">
            <v>200</v>
          </cell>
          <cell r="P17">
            <v>200</v>
          </cell>
          <cell r="Q17">
            <v>200</v>
          </cell>
        </row>
        <row r="18">
          <cell r="B18" t="str">
            <v>Chameleon</v>
          </cell>
          <cell r="L18">
            <v>400</v>
          </cell>
          <cell r="M18">
            <v>200</v>
          </cell>
          <cell r="N18">
            <v>100</v>
          </cell>
          <cell r="O18">
            <v>100</v>
          </cell>
          <cell r="P18">
            <v>50</v>
          </cell>
          <cell r="Q18">
            <v>50</v>
          </cell>
          <cell r="R18" t="str">
            <v>- jams roadside bombs</v>
          </cell>
        </row>
        <row r="19">
          <cell r="B19" t="str">
            <v>MRAP/MRAP Lite</v>
          </cell>
          <cell r="L19">
            <v>475</v>
          </cell>
          <cell r="M19">
            <v>950</v>
          </cell>
          <cell r="N19">
            <v>750</v>
          </cell>
          <cell r="O19">
            <v>200</v>
          </cell>
          <cell r="P19">
            <v>200</v>
          </cell>
          <cell r="Q19">
            <v>200</v>
          </cell>
          <cell r="R19" t="str">
            <v xml:space="preserve">- sustainment - CLS/spares </v>
          </cell>
        </row>
        <row r="20">
          <cell r="B20" t="str">
            <v>Aerospace comps/other</v>
          </cell>
          <cell r="E20">
            <v>100</v>
          </cell>
          <cell r="F20">
            <v>130</v>
          </cell>
          <cell r="G20">
            <v>205</v>
          </cell>
          <cell r="H20">
            <v>372</v>
          </cell>
          <cell r="I20">
            <v>402</v>
          </cell>
          <cell r="J20">
            <v>421</v>
          </cell>
          <cell r="K20">
            <v>402</v>
          </cell>
          <cell r="L20">
            <v>173</v>
          </cell>
          <cell r="M20">
            <v>129</v>
          </cell>
          <cell r="N20">
            <v>135</v>
          </cell>
          <cell r="O20">
            <v>135</v>
          </cell>
          <cell r="P20">
            <v>135</v>
          </cell>
          <cell r="Q20">
            <v>150</v>
          </cell>
          <cell r="R20" t="str">
            <v>- adv'd comps F16/18/22/C17/F35/UAVs</v>
          </cell>
        </row>
        <row r="21">
          <cell r="B21" t="str">
            <v>Combat Vehicles Total</v>
          </cell>
          <cell r="E21">
            <v>1273</v>
          </cell>
          <cell r="F21">
            <v>2210</v>
          </cell>
          <cell r="G21">
            <v>2786</v>
          </cell>
          <cell r="H21">
            <v>4007</v>
          </cell>
          <cell r="I21">
            <v>4407</v>
          </cell>
          <cell r="J21">
            <v>5021</v>
          </cell>
          <cell r="K21">
            <v>6068</v>
          </cell>
          <cell r="L21">
            <v>8595</v>
          </cell>
          <cell r="M21">
            <v>8194</v>
          </cell>
          <cell r="N21">
            <v>10000</v>
          </cell>
          <cell r="O21">
            <v>9595</v>
          </cell>
          <cell r="P21">
            <v>9870</v>
          </cell>
          <cell r="Q21">
            <v>9930</v>
          </cell>
        </row>
        <row r="22">
          <cell r="B22" t="str">
            <v>per main</v>
          </cell>
          <cell r="E22">
            <v>1273</v>
          </cell>
          <cell r="F22">
            <v>2210</v>
          </cell>
          <cell r="G22">
            <v>2786</v>
          </cell>
          <cell r="H22">
            <v>4007</v>
          </cell>
          <cell r="I22">
            <v>4407</v>
          </cell>
          <cell r="J22">
            <v>5021</v>
          </cell>
          <cell r="K22">
            <v>5983</v>
          </cell>
          <cell r="L22">
            <v>7797</v>
          </cell>
          <cell r="M22">
            <v>8194</v>
          </cell>
          <cell r="N22">
            <v>10000</v>
          </cell>
          <cell r="O22">
            <v>9950</v>
          </cell>
          <cell r="P22">
            <v>10100</v>
          </cell>
          <cell r="Q22">
            <v>10150</v>
          </cell>
          <cell r="R22" t="str">
            <v xml:space="preserve"> 12/28/09 -- where does Axel go?</v>
          </cell>
        </row>
        <row r="24">
          <cell r="B24" t="str">
            <v>% Ch. Y/Y</v>
          </cell>
        </row>
        <row r="25">
          <cell r="B25" t="str">
            <v>Main battle tanks/related</v>
          </cell>
          <cell r="F25">
            <v>0.21165048543689324</v>
          </cell>
          <cell r="G25">
            <v>0.17307692307692313</v>
          </cell>
          <cell r="H25">
            <v>6.5573770491803351E-2</v>
          </cell>
          <cell r="I25">
            <v>0</v>
          </cell>
          <cell r="J25">
            <v>8.9743589743589647E-2</v>
          </cell>
          <cell r="K25">
            <v>3.529411764705892E-2</v>
          </cell>
          <cell r="L25">
            <v>4.5454545454545414E-2</v>
          </cell>
          <cell r="M25">
            <v>0.70326086956521738</v>
          </cell>
          <cell r="N25">
            <v>2.105934907466489E-2</v>
          </cell>
          <cell r="O25">
            <v>0.125</v>
          </cell>
          <cell r="P25">
            <v>0</v>
          </cell>
          <cell r="Q25">
            <v>0</v>
          </cell>
        </row>
        <row r="26">
          <cell r="B26" t="str">
            <v>Engin &amp; develop</v>
          </cell>
          <cell r="F26">
            <v>0.33993399339933994</v>
          </cell>
          <cell r="G26">
            <v>0.45320197044334964</v>
          </cell>
          <cell r="H26">
            <v>0.32203389830508478</v>
          </cell>
          <cell r="I26">
            <v>0.16025641025641035</v>
          </cell>
          <cell r="J26">
            <v>0.19337016574585641</v>
          </cell>
          <cell r="K26">
            <v>0.25</v>
          </cell>
          <cell r="L26">
            <v>0.2592592592592593</v>
          </cell>
          <cell r="M26">
            <v>-0.60235294117647054</v>
          </cell>
          <cell r="N26">
            <v>3.5502958579881616E-2</v>
          </cell>
          <cell r="O26">
            <v>3.5714285714285809E-2</v>
          </cell>
          <cell r="P26">
            <v>0</v>
          </cell>
          <cell r="Q26">
            <v>3.4482758620689724E-2</v>
          </cell>
        </row>
        <row r="27">
          <cell r="B27" t="str">
            <v>Medium armored vehls/related</v>
          </cell>
          <cell r="F27">
            <v>2.1111111111111112</v>
          </cell>
          <cell r="G27">
            <v>0.54464285714285721</v>
          </cell>
          <cell r="H27">
            <v>1.3121387283236996</v>
          </cell>
          <cell r="I27">
            <v>0.16666666666666674</v>
          </cell>
          <cell r="J27">
            <v>0.13928571428571423</v>
          </cell>
          <cell r="K27">
            <v>0.25391849529780575</v>
          </cell>
          <cell r="L27">
            <v>0.39500000000000002</v>
          </cell>
          <cell r="M27">
            <v>-5.017921146953408E-2</v>
          </cell>
          <cell r="N27">
            <v>0.53962264150943406</v>
          </cell>
          <cell r="O27">
            <v>-1.9607843137254943E-2</v>
          </cell>
          <cell r="P27">
            <v>0</v>
          </cell>
          <cell r="Q27">
            <v>0</v>
          </cell>
        </row>
        <row r="28">
          <cell r="B28" t="str">
            <v>Munitions &amp; propellant</v>
          </cell>
          <cell r="F28">
            <v>11.107142857142858</v>
          </cell>
          <cell r="G28">
            <v>0.12979351032448383</v>
          </cell>
          <cell r="H28">
            <v>7.0496083550913857E-2</v>
          </cell>
          <cell r="I28">
            <v>9.7560975609756184E-2</v>
          </cell>
          <cell r="J28">
            <v>0.1333333333333333</v>
          </cell>
          <cell r="K28">
            <v>0.58039215686274503</v>
          </cell>
          <cell r="L28">
            <v>0.58312655086848642</v>
          </cell>
          <cell r="M28">
            <v>1.5673981191222097E-3</v>
          </cell>
          <cell r="N28">
            <v>3.6776212832550836E-2</v>
          </cell>
          <cell r="O28">
            <v>-9.4339622641509413E-2</v>
          </cell>
          <cell r="P28">
            <v>0</v>
          </cell>
          <cell r="Q28">
            <v>0</v>
          </cell>
        </row>
        <row r="29">
          <cell r="B29" t="str">
            <v>Rockets &amp; missile components</v>
          </cell>
          <cell r="F29">
            <v>0.93055555555555558</v>
          </cell>
          <cell r="G29">
            <v>-8.633093525179858E-2</v>
          </cell>
          <cell r="H29">
            <v>0.29921259842519676</v>
          </cell>
          <cell r="I29">
            <v>0</v>
          </cell>
          <cell r="J29">
            <v>0.24242424242424243</v>
          </cell>
          <cell r="K29">
            <v>0.14634146341463405</v>
          </cell>
          <cell r="L29">
            <v>6.3829787234042534E-2</v>
          </cell>
          <cell r="M29">
            <v>-0.21199999999999997</v>
          </cell>
          <cell r="N29">
            <v>0.14213197969543145</v>
          </cell>
          <cell r="O29">
            <v>0</v>
          </cell>
          <cell r="P29">
            <v>0</v>
          </cell>
          <cell r="Q29">
            <v>0</v>
          </cell>
        </row>
        <row r="30">
          <cell r="B30" t="str">
            <v>Armament systems</v>
          </cell>
          <cell r="F30">
            <v>0.29333333333333322</v>
          </cell>
          <cell r="G30">
            <v>6.1855670103092786E-2</v>
          </cell>
          <cell r="H30">
            <v>0.31067961165048552</v>
          </cell>
          <cell r="I30">
            <v>3.7037037037036979E-2</v>
          </cell>
          <cell r="J30">
            <v>0.10714285714285721</v>
          </cell>
          <cell r="K30">
            <v>3.2258064516129004E-2</v>
          </cell>
          <cell r="L30">
            <v>6.2500000000000888E-3</v>
          </cell>
          <cell r="M30">
            <v>-6.2111801242236142E-3</v>
          </cell>
          <cell r="N30">
            <v>0</v>
          </cell>
          <cell r="O30">
            <v>0</v>
          </cell>
          <cell r="P30">
            <v>0</v>
          </cell>
          <cell r="Q30">
            <v>0</v>
          </cell>
        </row>
        <row r="31">
          <cell r="B31" t="str">
            <v>MRAP/MRAP Lite</v>
          </cell>
          <cell r="M31">
            <v>1</v>
          </cell>
          <cell r="N31">
            <v>-0.21052631578947367</v>
          </cell>
          <cell r="O31">
            <v>-0.73333333333333339</v>
          </cell>
          <cell r="P31">
            <v>0</v>
          </cell>
          <cell r="Q31">
            <v>0</v>
          </cell>
        </row>
        <row r="32">
          <cell r="B32" t="str">
            <v>Aerospace comps/other</v>
          </cell>
          <cell r="F32">
            <v>0.30000000000000004</v>
          </cell>
          <cell r="G32">
            <v>0.57692307692307687</v>
          </cell>
          <cell r="H32">
            <v>0.81463414634146347</v>
          </cell>
          <cell r="I32">
            <v>8.0645161290322509E-2</v>
          </cell>
          <cell r="J32">
            <v>4.7263681592039752E-2</v>
          </cell>
          <cell r="K32">
            <v>-4.513064133016631E-2</v>
          </cell>
          <cell r="L32">
            <v>-0.56965174129353235</v>
          </cell>
          <cell r="M32">
            <v>-0.25433526011560692</v>
          </cell>
          <cell r="N32">
            <v>4.6511627906976827E-2</v>
          </cell>
          <cell r="O32">
            <v>0</v>
          </cell>
          <cell r="P32">
            <v>0</v>
          </cell>
          <cell r="Q32">
            <v>0.11111111111111116</v>
          </cell>
        </row>
        <row r="33">
          <cell r="B33" t="str">
            <v>Combat Vehicles Total</v>
          </cell>
          <cell r="F33">
            <v>0.7360565593087196</v>
          </cell>
          <cell r="G33">
            <v>0.26063348416289589</v>
          </cell>
          <cell r="H33">
            <v>0.43826274228284268</v>
          </cell>
          <cell r="I33">
            <v>9.9825305714998702E-2</v>
          </cell>
          <cell r="J33">
            <v>0.1393238030406172</v>
          </cell>
          <cell r="K33">
            <v>0.20852419836685909</v>
          </cell>
          <cell r="L33">
            <v>0.41644693473961758</v>
          </cell>
          <cell r="M33">
            <v>-4.6655031995346152E-2</v>
          </cell>
          <cell r="N33">
            <v>0.22040517451794006</v>
          </cell>
          <cell r="O33">
            <v>-4.049999999999998E-2</v>
          </cell>
          <cell r="P33">
            <v>2.8660760812923458E-2</v>
          </cell>
          <cell r="Q33">
            <v>6.0790273556230456E-3</v>
          </cell>
        </row>
        <row r="35">
          <cell r="B35" t="str">
            <v>Op Profit Margins</v>
          </cell>
        </row>
        <row r="36">
          <cell r="B36" t="str">
            <v>Main battle tanks/svc&amp;support</v>
          </cell>
          <cell r="E36">
            <v>0.16500000000000001</v>
          </cell>
          <cell r="F36">
            <v>0.14699999999999999</v>
          </cell>
          <cell r="G36">
            <v>0.152</v>
          </cell>
          <cell r="H36">
            <v>0.155</v>
          </cell>
          <cell r="I36">
            <v>0.14399999999999999</v>
          </cell>
          <cell r="J36">
            <v>0.14599999999999999</v>
          </cell>
          <cell r="K36">
            <v>0.15</v>
          </cell>
          <cell r="L36">
            <v>0.14599999999999999</v>
          </cell>
          <cell r="M36">
            <v>0.14699999999999999</v>
          </cell>
          <cell r="N36">
            <v>0.14699999999999999</v>
          </cell>
          <cell r="O36">
            <v>0.14699999999999999</v>
          </cell>
          <cell r="P36">
            <v>0.14699999999999999</v>
          </cell>
          <cell r="Q36">
            <v>0.14699999999999999</v>
          </cell>
          <cell r="R36" t="str">
            <v>- no more foreign work, Ks reneg'd</v>
          </cell>
        </row>
        <row r="37">
          <cell r="B37" t="str">
            <v>Engin &amp; develop</v>
          </cell>
          <cell r="E37">
            <v>0.08</v>
          </cell>
          <cell r="F37">
            <v>0.06</v>
          </cell>
          <cell r="G37">
            <v>6.8000000000000005E-2</v>
          </cell>
          <cell r="H37">
            <v>7.0000000000000007E-2</v>
          </cell>
          <cell r="I37">
            <v>8.1000000000000003E-2</v>
          </cell>
          <cell r="J37">
            <v>0.09</v>
          </cell>
          <cell r="K37">
            <v>9.1499999999999998E-2</v>
          </cell>
          <cell r="L37">
            <v>9.5000000000000001E-2</v>
          </cell>
          <cell r="M37">
            <v>0.1</v>
          </cell>
          <cell r="N37">
            <v>0.1</v>
          </cell>
          <cell r="O37">
            <v>0.1</v>
          </cell>
          <cell r="P37">
            <v>0.1</v>
          </cell>
          <cell r="Q37">
            <v>0.1</v>
          </cell>
          <cell r="R37" t="str">
            <v>- FCS matures</v>
          </cell>
        </row>
        <row r="38">
          <cell r="B38" t="str">
            <v>Medium armored vehls/related</v>
          </cell>
          <cell r="E38">
            <v>0.111</v>
          </cell>
          <cell r="F38">
            <v>0.1</v>
          </cell>
          <cell r="G38">
            <v>0.105</v>
          </cell>
          <cell r="H38">
            <v>0.115</v>
          </cell>
          <cell r="I38">
            <v>0.115</v>
          </cell>
          <cell r="J38">
            <v>0.115</v>
          </cell>
          <cell r="K38">
            <v>0.125</v>
          </cell>
          <cell r="L38">
            <v>0.12</v>
          </cell>
          <cell r="M38">
            <v>0.12</v>
          </cell>
          <cell r="N38">
            <v>0.12</v>
          </cell>
          <cell r="O38">
            <v>0.12</v>
          </cell>
          <cell r="P38">
            <v>0.12</v>
          </cell>
          <cell r="Q38">
            <v>0.12</v>
          </cell>
          <cell r="R38" t="str">
            <v>- Stryker acceleration = hi mgns</v>
          </cell>
        </row>
        <row r="39">
          <cell r="B39" t="str">
            <v>Munitions &amp; propellant</v>
          </cell>
          <cell r="E39">
            <v>0.12</v>
          </cell>
          <cell r="F39">
            <v>0.12</v>
          </cell>
          <cell r="G39">
            <v>0.12</v>
          </cell>
          <cell r="H39">
            <v>0.12</v>
          </cell>
          <cell r="I39">
            <v>0.12</v>
          </cell>
          <cell r="J39">
            <v>0.115</v>
          </cell>
          <cell r="K39">
            <v>0.12</v>
          </cell>
          <cell r="L39">
            <v>0.12</v>
          </cell>
          <cell r="M39">
            <v>0.12</v>
          </cell>
          <cell r="N39">
            <v>0.12</v>
          </cell>
          <cell r="O39">
            <v>0.12</v>
          </cell>
          <cell r="P39">
            <v>0.12</v>
          </cell>
          <cell r="Q39">
            <v>0.12</v>
          </cell>
        </row>
        <row r="40">
          <cell r="B40" t="str">
            <v>Rockets &amp; missile components</v>
          </cell>
          <cell r="E40">
            <v>0.08</v>
          </cell>
          <cell r="F40">
            <v>0.08</v>
          </cell>
          <cell r="G40">
            <v>0.08</v>
          </cell>
          <cell r="H40">
            <v>0.08</v>
          </cell>
          <cell r="I40">
            <v>0.08</v>
          </cell>
          <cell r="J40">
            <v>8.7999999999999995E-2</v>
          </cell>
          <cell r="K40">
            <v>0.09</v>
          </cell>
          <cell r="L40">
            <v>0.09</v>
          </cell>
          <cell r="M40">
            <v>0.09</v>
          </cell>
          <cell r="N40">
            <v>0.09</v>
          </cell>
          <cell r="O40">
            <v>0.09</v>
          </cell>
          <cell r="P40">
            <v>0.09</v>
          </cell>
          <cell r="Q40">
            <v>0.09</v>
          </cell>
        </row>
        <row r="41">
          <cell r="B41" t="str">
            <v>Armament systems</v>
          </cell>
          <cell r="E41">
            <v>0.1</v>
          </cell>
          <cell r="F41">
            <v>0.1</v>
          </cell>
          <cell r="G41">
            <v>0.1</v>
          </cell>
          <cell r="H41">
            <v>0.1</v>
          </cell>
          <cell r="I41">
            <v>0.1</v>
          </cell>
          <cell r="J41">
            <v>0.11</v>
          </cell>
          <cell r="K41">
            <v>0.11</v>
          </cell>
          <cell r="L41">
            <v>0.11</v>
          </cell>
          <cell r="M41">
            <v>0.11</v>
          </cell>
          <cell r="N41">
            <v>0.11</v>
          </cell>
          <cell r="O41">
            <v>0.11</v>
          </cell>
          <cell r="P41">
            <v>0.11</v>
          </cell>
          <cell r="Q41">
            <v>0.11</v>
          </cell>
        </row>
        <row r="42">
          <cell r="B42" t="str">
            <v>MRAP/MRAP Lite</v>
          </cell>
          <cell r="L42">
            <v>0.15</v>
          </cell>
          <cell r="M42">
            <v>0.15</v>
          </cell>
          <cell r="N42">
            <v>0.15</v>
          </cell>
          <cell r="O42">
            <v>0.15</v>
          </cell>
          <cell r="P42">
            <v>0.15</v>
          </cell>
          <cell r="Q42">
            <v>0.15</v>
          </cell>
        </row>
        <row r="43">
          <cell r="B43" t="str">
            <v>Aerospace comps/other</v>
          </cell>
          <cell r="E43">
            <v>0.12</v>
          </cell>
          <cell r="F43">
            <v>0.12</v>
          </cell>
          <cell r="G43">
            <v>0.12</v>
          </cell>
          <cell r="H43">
            <v>0.12</v>
          </cell>
          <cell r="I43">
            <v>0.12</v>
          </cell>
          <cell r="J43">
            <v>0.122</v>
          </cell>
          <cell r="K43">
            <v>0.121</v>
          </cell>
          <cell r="L43">
            <v>0.121</v>
          </cell>
          <cell r="M43">
            <v>0.12</v>
          </cell>
          <cell r="N43">
            <v>0.12</v>
          </cell>
          <cell r="O43">
            <v>0.12</v>
          </cell>
          <cell r="P43">
            <v>0.12</v>
          </cell>
          <cell r="Q43">
            <v>0.12</v>
          </cell>
        </row>
        <row r="44">
          <cell r="B44" t="str">
            <v>Combat Vehicles Total</v>
          </cell>
          <cell r="E44">
            <v>0.12221759622937942</v>
          </cell>
          <cell r="F44">
            <v>0.10765067873303166</v>
          </cell>
          <cell r="G44">
            <v>0.11021500358937548</v>
          </cell>
          <cell r="H44">
            <v>0.1116146743199401</v>
          </cell>
          <cell r="I44">
            <v>0.11101996823235762</v>
          </cell>
          <cell r="J44">
            <v>0.11309838677554271</v>
          </cell>
          <cell r="K44">
            <v>0.1171369479235333</v>
          </cell>
          <cell r="L44">
            <v>0.10920686445607912</v>
          </cell>
          <cell r="M44">
            <v>0.11964229924334881</v>
          </cell>
          <cell r="N44">
            <v>0.11406000000000001</v>
          </cell>
          <cell r="O44">
            <v>0.11103699843668575</v>
          </cell>
          <cell r="P44">
            <v>0.10794326241134751</v>
          </cell>
          <cell r="Q44">
            <v>0.10772406847935546</v>
          </cell>
        </row>
        <row r="46">
          <cell r="B46" t="str">
            <v xml:space="preserve">Op Profit </v>
          </cell>
        </row>
        <row r="47">
          <cell r="B47" t="str">
            <v>Main battle tanks/svc&amp;support</v>
          </cell>
          <cell r="E47">
            <v>84.975000000000009</v>
          </cell>
          <cell r="F47">
            <v>91.727999999999994</v>
          </cell>
          <cell r="G47">
            <v>111.264</v>
          </cell>
          <cell r="H47">
            <v>120.9</v>
          </cell>
          <cell r="I47">
            <v>112.32</v>
          </cell>
          <cell r="J47">
            <v>124.1</v>
          </cell>
          <cell r="K47">
            <v>132</v>
          </cell>
          <cell r="L47">
            <v>134.32</v>
          </cell>
          <cell r="M47">
            <v>230.34899999999999</v>
          </cell>
          <cell r="N47">
            <v>235.2</v>
          </cell>
          <cell r="O47">
            <v>264.59999999999997</v>
          </cell>
          <cell r="P47">
            <v>264.59999999999997</v>
          </cell>
          <cell r="Q47">
            <v>264.59999999999997</v>
          </cell>
        </row>
        <row r="48">
          <cell r="B48" t="str">
            <v>Engin &amp; develop</v>
          </cell>
          <cell r="E48">
            <v>24.240000000000002</v>
          </cell>
          <cell r="F48">
            <v>24.36</v>
          </cell>
          <cell r="G48">
            <v>40.120000000000005</v>
          </cell>
          <cell r="H48">
            <v>54.600000000000009</v>
          </cell>
          <cell r="I48">
            <v>73.305000000000007</v>
          </cell>
          <cell r="J48">
            <v>97.2</v>
          </cell>
          <cell r="K48">
            <v>123.52499999999999</v>
          </cell>
          <cell r="L48">
            <v>161.5</v>
          </cell>
          <cell r="M48">
            <v>67.600000000000009</v>
          </cell>
          <cell r="N48">
            <v>70</v>
          </cell>
          <cell r="O48">
            <v>72.5</v>
          </cell>
          <cell r="P48">
            <v>72.5</v>
          </cell>
          <cell r="Q48">
            <v>75</v>
          </cell>
        </row>
        <row r="49">
          <cell r="B49" t="str">
            <v>Medium armored vehls/related</v>
          </cell>
          <cell r="E49">
            <v>11.988</v>
          </cell>
          <cell r="F49">
            <v>33.6</v>
          </cell>
          <cell r="G49">
            <v>54.494999999999997</v>
          </cell>
          <cell r="H49">
            <v>138</v>
          </cell>
          <cell r="I49">
            <v>161</v>
          </cell>
          <cell r="J49">
            <v>183.42500000000001</v>
          </cell>
          <cell r="K49">
            <v>250</v>
          </cell>
          <cell r="L49">
            <v>334.8</v>
          </cell>
          <cell r="M49">
            <v>318</v>
          </cell>
          <cell r="N49">
            <v>489.59999999999997</v>
          </cell>
          <cell r="O49">
            <v>480</v>
          </cell>
          <cell r="P49">
            <v>480</v>
          </cell>
          <cell r="Q49">
            <v>480</v>
          </cell>
        </row>
        <row r="50">
          <cell r="B50" t="str">
            <v>Munitions &amp; propellant</v>
          </cell>
          <cell r="E50">
            <v>3.36</v>
          </cell>
          <cell r="F50">
            <v>40.68</v>
          </cell>
          <cell r="G50">
            <v>45.96</v>
          </cell>
          <cell r="H50">
            <v>49.199999999999996</v>
          </cell>
          <cell r="I50">
            <v>54</v>
          </cell>
          <cell r="J50">
            <v>58.650000000000006</v>
          </cell>
          <cell r="K50">
            <v>96.72</v>
          </cell>
          <cell r="L50">
            <v>153.12</v>
          </cell>
          <cell r="M50">
            <v>153.35999999999999</v>
          </cell>
          <cell r="N50">
            <v>159</v>
          </cell>
          <cell r="O50">
            <v>144</v>
          </cell>
          <cell r="P50">
            <v>144</v>
          </cell>
          <cell r="Q50">
            <v>144</v>
          </cell>
        </row>
        <row r="51">
          <cell r="B51" t="str">
            <v>Rockets &amp; missile components</v>
          </cell>
          <cell r="E51">
            <v>11.52</v>
          </cell>
          <cell r="F51">
            <v>22.240000000000002</v>
          </cell>
          <cell r="G51">
            <v>20.32</v>
          </cell>
          <cell r="H51">
            <v>26.400000000000002</v>
          </cell>
          <cell r="I51">
            <v>26.400000000000002</v>
          </cell>
          <cell r="J51">
            <v>36.08</v>
          </cell>
          <cell r="K51">
            <v>42.3</v>
          </cell>
          <cell r="L51">
            <v>45</v>
          </cell>
          <cell r="M51">
            <v>35.46</v>
          </cell>
          <cell r="N51">
            <v>40.5</v>
          </cell>
          <cell r="O51">
            <v>40.5</v>
          </cell>
          <cell r="P51">
            <v>40.5</v>
          </cell>
          <cell r="Q51">
            <v>40.5</v>
          </cell>
        </row>
        <row r="52">
          <cell r="B52" t="str">
            <v>Armament systems</v>
          </cell>
          <cell r="E52">
            <v>7.5</v>
          </cell>
          <cell r="F52">
            <v>9.7000000000000011</v>
          </cell>
          <cell r="G52">
            <v>10.3</v>
          </cell>
          <cell r="H52">
            <v>13.5</v>
          </cell>
          <cell r="I52">
            <v>14</v>
          </cell>
          <cell r="J52">
            <v>17.05</v>
          </cell>
          <cell r="K52">
            <v>17.600000000000001</v>
          </cell>
          <cell r="L52">
            <v>17.71</v>
          </cell>
          <cell r="M52">
            <v>17.600000000000001</v>
          </cell>
          <cell r="N52">
            <v>17.600000000000001</v>
          </cell>
          <cell r="O52">
            <v>17.600000000000001</v>
          </cell>
          <cell r="P52">
            <v>17.600000000000001</v>
          </cell>
          <cell r="Q52">
            <v>17.600000000000001</v>
          </cell>
        </row>
        <row r="53">
          <cell r="B53" t="str">
            <v>MRAP/MRAP Lite</v>
          </cell>
          <cell r="L53">
            <v>71.25</v>
          </cell>
          <cell r="M53">
            <v>142.5</v>
          </cell>
          <cell r="N53">
            <v>112.5</v>
          </cell>
          <cell r="O53">
            <v>30</v>
          </cell>
          <cell r="P53">
            <v>30</v>
          </cell>
          <cell r="Q53">
            <v>30</v>
          </cell>
        </row>
        <row r="54">
          <cell r="B54" t="str">
            <v>Aerospace comps/other</v>
          </cell>
          <cell r="E54">
            <v>12</v>
          </cell>
          <cell r="F54">
            <v>15.6</v>
          </cell>
          <cell r="G54">
            <v>24.599999999999998</v>
          </cell>
          <cell r="H54">
            <v>44.64</v>
          </cell>
          <cell r="I54">
            <v>48.239999999999995</v>
          </cell>
          <cell r="J54">
            <v>51.362000000000002</v>
          </cell>
          <cell r="K54">
            <v>48.641999999999996</v>
          </cell>
          <cell r="L54">
            <v>20.933</v>
          </cell>
          <cell r="M54">
            <v>15.479999999999999</v>
          </cell>
          <cell r="N54">
            <v>16.2</v>
          </cell>
          <cell r="O54">
            <v>16.2</v>
          </cell>
          <cell r="P54">
            <v>16.2</v>
          </cell>
          <cell r="Q54">
            <v>18</v>
          </cell>
        </row>
        <row r="55">
          <cell r="B55" t="str">
            <v>Combat Vehicles Total</v>
          </cell>
          <cell r="E55">
            <v>155.583</v>
          </cell>
          <cell r="F55">
            <v>237.90799999999999</v>
          </cell>
          <cell r="G55">
            <v>307.05900000000008</v>
          </cell>
          <cell r="H55">
            <v>447.23999999999995</v>
          </cell>
          <cell r="I55">
            <v>489.26499999999999</v>
          </cell>
          <cell r="J55">
            <v>567.86699999999996</v>
          </cell>
          <cell r="K55">
            <v>710.78700000000003</v>
          </cell>
          <cell r="L55">
            <v>938.63300000000004</v>
          </cell>
          <cell r="M55">
            <v>980.34900000000016</v>
          </cell>
          <cell r="N55">
            <v>1140.6000000000001</v>
          </cell>
          <cell r="O55">
            <v>1065.3999999999999</v>
          </cell>
          <cell r="P55">
            <v>1065.3999999999999</v>
          </cell>
          <cell r="Q55">
            <v>1069.6999999999998</v>
          </cell>
        </row>
        <row r="57">
          <cell r="B57" t="str">
            <v>per main</v>
          </cell>
          <cell r="E57">
            <v>156</v>
          </cell>
          <cell r="F57">
            <v>238</v>
          </cell>
          <cell r="G57">
            <v>309</v>
          </cell>
          <cell r="H57">
            <v>443</v>
          </cell>
          <cell r="I57">
            <v>522</v>
          </cell>
          <cell r="J57">
            <v>576</v>
          </cell>
          <cell r="K57">
            <v>677</v>
          </cell>
          <cell r="L57">
            <v>916</v>
          </cell>
          <cell r="M57">
            <v>1111</v>
          </cell>
          <cell r="N57">
            <v>1225</v>
          </cell>
          <cell r="O57">
            <v>1194</v>
          </cell>
          <cell r="P57">
            <v>1161.5</v>
          </cell>
          <cell r="Q57">
            <v>1116.5</v>
          </cell>
        </row>
      </sheetData>
      <sheetData sheetId="9" refreshError="1">
        <row r="1">
          <cell r="E1" t="str">
            <v>Objective force warrior ---- tech feeder to land warrior</v>
          </cell>
        </row>
        <row r="2">
          <cell r="B2" t="str">
            <v>Info Systems &amp; Technology</v>
          </cell>
          <cell r="F2" t="str">
            <v>last update 7/05</v>
          </cell>
        </row>
        <row r="3">
          <cell r="U3" t="str">
            <v>old way of break-out (3/03)</v>
          </cell>
          <cell r="AB3" t="str">
            <v>Q1:99</v>
          </cell>
          <cell r="AC3" t="str">
            <v>1997</v>
          </cell>
          <cell r="AD3">
            <v>1998</v>
          </cell>
        </row>
        <row r="4">
          <cell r="A4" t="str">
            <v>Sales</v>
          </cell>
          <cell r="D4">
            <v>2000</v>
          </cell>
          <cell r="E4">
            <v>2001</v>
          </cell>
          <cell r="F4">
            <v>2002</v>
          </cell>
          <cell r="G4" t="str">
            <v>2003</v>
          </cell>
          <cell r="H4" t="str">
            <v>2004</v>
          </cell>
          <cell r="I4" t="str">
            <v>2005</v>
          </cell>
          <cell r="J4" t="str">
            <v>2006A</v>
          </cell>
          <cell r="K4" t="str">
            <v>2007E</v>
          </cell>
          <cell r="L4" t="str">
            <v>2008E</v>
          </cell>
          <cell r="M4" t="str">
            <v>2009E</v>
          </cell>
          <cell r="N4" t="str">
            <v>Comments</v>
          </cell>
          <cell r="U4">
            <v>2000</v>
          </cell>
          <cell r="V4">
            <v>2003</v>
          </cell>
          <cell r="Z4" t="str">
            <v>Communications systems</v>
          </cell>
          <cell r="AD4">
            <v>214</v>
          </cell>
        </row>
        <row r="5">
          <cell r="A5" t="str">
            <v>Communications systems</v>
          </cell>
          <cell r="D5">
            <v>659</v>
          </cell>
          <cell r="E5">
            <v>725</v>
          </cell>
          <cell r="F5">
            <v>1235</v>
          </cell>
          <cell r="G5">
            <v>1500</v>
          </cell>
          <cell r="H5">
            <v>1850</v>
          </cell>
          <cell r="I5">
            <v>2250</v>
          </cell>
          <cell r="J5">
            <v>2300</v>
          </cell>
          <cell r="K5">
            <v>2550</v>
          </cell>
          <cell r="L5">
            <v>2800</v>
          </cell>
          <cell r="M5">
            <v>2800</v>
          </cell>
          <cell r="N5" t="str">
            <v>-C4 with GD UK</v>
          </cell>
          <cell r="T5" t="str">
            <v xml:space="preserve">ATS </v>
          </cell>
          <cell r="U5">
            <v>440</v>
          </cell>
          <cell r="V5">
            <v>700</v>
          </cell>
          <cell r="Z5" t="str">
            <v>Avionics</v>
          </cell>
          <cell r="AD5">
            <v>204</v>
          </cell>
        </row>
        <row r="6">
          <cell r="A6" t="str">
            <v>Command, control &amp; Intel sys</v>
          </cell>
          <cell r="D6">
            <v>622</v>
          </cell>
          <cell r="E6">
            <v>740</v>
          </cell>
          <cell r="F6">
            <v>943</v>
          </cell>
          <cell r="G6">
            <v>1500</v>
          </cell>
          <cell r="H6">
            <v>2100</v>
          </cell>
          <cell r="I6">
            <v>2300</v>
          </cell>
          <cell r="J6">
            <v>2350</v>
          </cell>
          <cell r="K6">
            <v>2500</v>
          </cell>
          <cell r="L6">
            <v>2675</v>
          </cell>
          <cell r="M6">
            <v>2675</v>
          </cell>
          <cell r="N6" t="str">
            <v>-Mostly AIS, little bit C4, DS</v>
          </cell>
          <cell r="T6" t="str">
            <v>Def. Systems</v>
          </cell>
          <cell r="U6">
            <v>150</v>
          </cell>
          <cell r="V6">
            <v>150</v>
          </cell>
          <cell r="Z6" t="str">
            <v>Commercial</v>
          </cell>
          <cell r="AD6">
            <v>132</v>
          </cell>
        </row>
        <row r="7">
          <cell r="A7" t="str">
            <v>Special purpose computing/surveillance &amp; recon systems</v>
          </cell>
          <cell r="D7">
            <v>659</v>
          </cell>
          <cell r="E7">
            <v>750</v>
          </cell>
          <cell r="F7">
            <v>822</v>
          </cell>
          <cell r="G7">
            <v>1100</v>
          </cell>
          <cell r="H7">
            <v>1550</v>
          </cell>
          <cell r="I7">
            <v>1750</v>
          </cell>
          <cell r="J7">
            <v>1785</v>
          </cell>
          <cell r="K7">
            <v>1900</v>
          </cell>
          <cell r="L7">
            <v>1975</v>
          </cell>
          <cell r="M7">
            <v>1975</v>
          </cell>
          <cell r="N7" t="str">
            <v>-Mostly AIS</v>
          </cell>
          <cell r="T7" t="str">
            <v>Info sys</v>
          </cell>
          <cell r="U7">
            <v>200</v>
          </cell>
          <cell r="V7">
            <v>350</v>
          </cell>
          <cell r="Z7" t="str">
            <v>Maritime</v>
          </cell>
          <cell r="AD7">
            <v>110</v>
          </cell>
          <cell r="AI7" t="str">
            <v>"Available" Market for GD's IS&amp;T Division ($B)</v>
          </cell>
        </row>
        <row r="8">
          <cell r="A8" t="str">
            <v>Network infrastructure</v>
          </cell>
          <cell r="D8">
            <v>398</v>
          </cell>
          <cell r="E8">
            <v>585</v>
          </cell>
          <cell r="F8">
            <v>681</v>
          </cell>
          <cell r="G8">
            <v>878</v>
          </cell>
          <cell r="H8">
            <v>1200</v>
          </cell>
          <cell r="I8">
            <v>1500</v>
          </cell>
          <cell r="J8">
            <v>1365</v>
          </cell>
          <cell r="K8">
            <v>1450</v>
          </cell>
          <cell r="L8">
            <v>1550</v>
          </cell>
          <cell r="M8">
            <v>1550</v>
          </cell>
          <cell r="N8" t="str">
            <v>-Network system and Little bit DS</v>
          </cell>
          <cell r="T8" t="str">
            <v>CD Canda</v>
          </cell>
          <cell r="U8">
            <v>200</v>
          </cell>
          <cell r="V8">
            <v>200</v>
          </cell>
          <cell r="Z8" t="str">
            <v>Other</v>
          </cell>
          <cell r="AD8">
            <v>136</v>
          </cell>
        </row>
        <row r="9">
          <cell r="A9" t="str">
            <v>Total IST</v>
          </cell>
          <cell r="D9">
            <v>2338</v>
          </cell>
          <cell r="E9">
            <v>2800</v>
          </cell>
          <cell r="F9">
            <v>3681</v>
          </cell>
          <cell r="G9">
            <v>4978</v>
          </cell>
          <cell r="H9">
            <v>6700</v>
          </cell>
          <cell r="I9">
            <v>7800</v>
          </cell>
          <cell r="J9">
            <v>7800</v>
          </cell>
          <cell r="K9">
            <v>8400</v>
          </cell>
          <cell r="L9">
            <v>9000</v>
          </cell>
          <cell r="M9">
            <v>9000</v>
          </cell>
          <cell r="N9" t="str">
            <v>- cable biz = exit (02), b/e (01), $4MM pr (00)</v>
          </cell>
          <cell r="T9" t="str">
            <v>UK</v>
          </cell>
          <cell r="U9">
            <v>70</v>
          </cell>
          <cell r="V9">
            <v>120</v>
          </cell>
          <cell r="Z9" t="str">
            <v>Total</v>
          </cell>
          <cell r="AB9">
            <v>233</v>
          </cell>
          <cell r="AD9">
            <v>796</v>
          </cell>
          <cell r="AJ9" t="str">
            <v>2007E</v>
          </cell>
          <cell r="AK9" t="str">
            <v>2007-2010</v>
          </cell>
          <cell r="AL9" t="str">
            <v>Implied CAGR</v>
          </cell>
        </row>
        <row r="10">
          <cell r="A10" t="str">
            <v>per main</v>
          </cell>
          <cell r="D10">
            <v>2337</v>
          </cell>
          <cell r="E10">
            <v>2691</v>
          </cell>
          <cell r="F10">
            <v>3669</v>
          </cell>
          <cell r="G10">
            <v>4848</v>
          </cell>
          <cell r="H10">
            <v>6722</v>
          </cell>
          <cell r="I10">
            <v>7826</v>
          </cell>
          <cell r="J10">
            <v>9024</v>
          </cell>
          <cell r="K10">
            <v>9622</v>
          </cell>
          <cell r="L10">
            <v>10038</v>
          </cell>
          <cell r="M10">
            <v>10800</v>
          </cell>
          <cell r="N10" t="str">
            <v>-MOT IS added in 9/01--830MM in revs/yr</v>
          </cell>
          <cell r="T10" t="str">
            <v>CSCC</v>
          </cell>
          <cell r="U10">
            <v>30</v>
          </cell>
          <cell r="V10">
            <v>70</v>
          </cell>
          <cell r="W10" t="str">
            <v>- NATO intranet</v>
          </cell>
          <cell r="Z10" t="str">
            <v>B-L</v>
          </cell>
          <cell r="AC10">
            <v>938</v>
          </cell>
          <cell r="AD10">
            <v>892</v>
          </cell>
          <cell r="AI10" t="str">
            <v>Federal IT</v>
          </cell>
          <cell r="AJ10">
            <v>25</v>
          </cell>
          <cell r="AK10">
            <v>117</v>
          </cell>
          <cell r="AL10">
            <v>0.67268932147383875</v>
          </cell>
        </row>
        <row r="11">
          <cell r="T11" t="str">
            <v>Comm sys</v>
          </cell>
          <cell r="U11">
            <v>450</v>
          </cell>
          <cell r="V11">
            <v>600</v>
          </cell>
          <cell r="W11" t="str">
            <v>- GTE comm biz</v>
          </cell>
          <cell r="Z11" t="str">
            <v>% Ch. B-L</v>
          </cell>
          <cell r="AD11">
            <v>-4.9040511727078906E-2</v>
          </cell>
          <cell r="AI11" t="str">
            <v>US Space</v>
          </cell>
          <cell r="AJ11">
            <v>4.4000000000000004</v>
          </cell>
          <cell r="AK11">
            <v>18.899999999999999</v>
          </cell>
          <cell r="AL11">
            <v>0.62556014399274051</v>
          </cell>
        </row>
        <row r="12">
          <cell r="A12" t="str">
            <v>% Ch. Y/Y</v>
          </cell>
          <cell r="T12" t="str">
            <v>Elec sys</v>
          </cell>
          <cell r="U12">
            <v>290</v>
          </cell>
          <cell r="V12">
            <v>370</v>
          </cell>
          <cell r="W12" t="str">
            <v>- CA classified stuff</v>
          </cell>
          <cell r="Z12" t="str">
            <v>Funded B-L</v>
          </cell>
          <cell r="AC12">
            <v>831</v>
          </cell>
          <cell r="AD12">
            <v>816</v>
          </cell>
          <cell r="AI12" t="str">
            <v>US C4ISR</v>
          </cell>
          <cell r="AJ12">
            <v>6</v>
          </cell>
          <cell r="AK12">
            <v>31.9</v>
          </cell>
          <cell r="AL12">
            <v>0.74533907108194808</v>
          </cell>
        </row>
        <row r="13">
          <cell r="A13" t="str">
            <v>Communications systems</v>
          </cell>
          <cell r="E13">
            <v>0.10015174506828539</v>
          </cell>
          <cell r="F13">
            <v>0.70344827586206904</v>
          </cell>
          <cell r="G13">
            <v>0.21457489878542502</v>
          </cell>
          <cell r="H13">
            <v>0.23333333333333339</v>
          </cell>
          <cell r="I13">
            <v>0.21621621621621623</v>
          </cell>
          <cell r="J13">
            <v>2.2222222222222143E-2</v>
          </cell>
          <cell r="K13">
            <v>0.10869565217391308</v>
          </cell>
          <cell r="L13">
            <v>9.8039215686274606E-2</v>
          </cell>
          <cell r="M13">
            <v>0</v>
          </cell>
          <cell r="T13" t="str">
            <v>WW Tel/com</v>
          </cell>
          <cell r="U13">
            <v>550</v>
          </cell>
          <cell r="V13">
            <v>700</v>
          </cell>
          <cell r="W13" t="str">
            <v xml:space="preserve">- GTE telecomm </v>
          </cell>
          <cell r="Z13" t="str">
            <v>% Ch. Fund</v>
          </cell>
          <cell r="AD13">
            <v>-1.8050541516245522E-2</v>
          </cell>
          <cell r="AI13" t="str">
            <v>International C4ISR</v>
          </cell>
          <cell r="AJ13">
            <v>2.9</v>
          </cell>
          <cell r="AK13">
            <v>18.3</v>
          </cell>
          <cell r="AL13">
            <v>0.84792509788701187</v>
          </cell>
        </row>
        <row r="14">
          <cell r="A14" t="str">
            <v>Command, control &amp; Intel sys</v>
          </cell>
          <cell r="E14">
            <v>0.18971061093247599</v>
          </cell>
          <cell r="F14">
            <v>0.2743243243243243</v>
          </cell>
          <cell r="G14">
            <v>0.59066808059384934</v>
          </cell>
          <cell r="H14">
            <v>0.39999999999999991</v>
          </cell>
          <cell r="I14">
            <v>9.5238095238095344E-2</v>
          </cell>
          <cell r="J14">
            <v>2.1739130434782705E-2</v>
          </cell>
          <cell r="K14">
            <v>6.3829787234042534E-2</v>
          </cell>
          <cell r="L14">
            <v>7.0000000000000062E-2</v>
          </cell>
          <cell r="M14">
            <v>0</v>
          </cell>
          <cell r="T14" t="str">
            <v>Interco elims</v>
          </cell>
          <cell r="Z14" t="str">
            <v>DDA</v>
          </cell>
          <cell r="AB14">
            <v>10</v>
          </cell>
          <cell r="AD14">
            <v>40</v>
          </cell>
          <cell r="AI14" t="str">
            <v>Total ($Billions)</v>
          </cell>
          <cell r="AJ14">
            <v>38.299999999999997</v>
          </cell>
          <cell r="AK14">
            <v>186.10000000000002</v>
          </cell>
          <cell r="AL14">
            <v>0.69374957685838479</v>
          </cell>
        </row>
        <row r="15">
          <cell r="A15" t="str">
            <v>Special purpose computing/surveillance &amp; recon systems</v>
          </cell>
          <cell r="E15">
            <v>0.13808801213960553</v>
          </cell>
          <cell r="F15">
            <v>9.6000000000000085E-2</v>
          </cell>
          <cell r="G15">
            <v>0.33819951338199505</v>
          </cell>
          <cell r="H15">
            <v>0.40909090909090917</v>
          </cell>
          <cell r="I15">
            <v>0.12903225806451624</v>
          </cell>
          <cell r="J15">
            <v>2.0000000000000018E-2</v>
          </cell>
          <cell r="K15">
            <v>6.4425770308123242E-2</v>
          </cell>
          <cell r="L15">
            <v>3.9473684210526327E-2</v>
          </cell>
          <cell r="M15">
            <v>0</v>
          </cell>
          <cell r="U15">
            <v>2300</v>
          </cell>
          <cell r="V15">
            <v>3300</v>
          </cell>
          <cell r="Z15" t="str">
            <v>Capex</v>
          </cell>
          <cell r="AB15">
            <v>2</v>
          </cell>
          <cell r="AD15">
            <v>15</v>
          </cell>
        </row>
        <row r="16">
          <cell r="A16" t="str">
            <v>Network infrastructure</v>
          </cell>
          <cell r="E16">
            <v>0.46984924623115587</v>
          </cell>
          <cell r="F16">
            <v>0.16410256410256419</v>
          </cell>
          <cell r="G16">
            <v>0.28928046989721001</v>
          </cell>
          <cell r="H16">
            <v>0.36674259681093391</v>
          </cell>
          <cell r="I16">
            <v>0.25</v>
          </cell>
          <cell r="J16">
            <v>-8.9999999999999969E-2</v>
          </cell>
          <cell r="K16">
            <v>6.2271062271062272E-2</v>
          </cell>
          <cell r="L16">
            <v>6.8965517241379226E-2</v>
          </cell>
          <cell r="M16">
            <v>0</v>
          </cell>
          <cell r="Z16" t="str">
            <v>Assets</v>
          </cell>
          <cell r="AB16">
            <v>1221</v>
          </cell>
          <cell r="AD16">
            <v>1095</v>
          </cell>
        </row>
        <row r="17">
          <cell r="A17" t="str">
            <v>Total IST</v>
          </cell>
          <cell r="E17">
            <v>0.19760479041916157</v>
          </cell>
          <cell r="F17">
            <v>0.31464285714285722</v>
          </cell>
          <cell r="G17">
            <v>0.35234990491714213</v>
          </cell>
          <cell r="H17">
            <v>0.34592205705102441</v>
          </cell>
          <cell r="I17">
            <v>0.16417910447761197</v>
          </cell>
          <cell r="J17">
            <v>0</v>
          </cell>
          <cell r="K17">
            <v>7.6923076923076872E-2</v>
          </cell>
          <cell r="L17">
            <v>7.1428571428571397E-2</v>
          </cell>
          <cell r="M17">
            <v>0</v>
          </cell>
          <cell r="Z17" t="str">
            <v>ROA</v>
          </cell>
          <cell r="AB17">
            <v>0.19082719082719082</v>
          </cell>
          <cell r="AD17">
            <v>0.72694063926940644</v>
          </cell>
        </row>
        <row r="18">
          <cell r="AN18" t="str">
            <v>Major IS&amp;T Opportunities</v>
          </cell>
        </row>
        <row r="19">
          <cell r="A19" t="str">
            <v>Op Profit</v>
          </cell>
        </row>
        <row r="20">
          <cell r="A20" t="str">
            <v>Communications systems</v>
          </cell>
          <cell r="D20">
            <v>65.241</v>
          </cell>
          <cell r="E20">
            <v>70</v>
          </cell>
          <cell r="F20">
            <v>155.61000000000001</v>
          </cell>
          <cell r="G20">
            <v>175.5</v>
          </cell>
          <cell r="H20">
            <v>199.8</v>
          </cell>
          <cell r="I20">
            <v>235.125</v>
          </cell>
          <cell r="J20">
            <v>241.5</v>
          </cell>
          <cell r="K20">
            <v>270.3</v>
          </cell>
          <cell r="L20">
            <v>299.59999999999997</v>
          </cell>
          <cell r="M20">
            <v>299.59999999999997</v>
          </cell>
          <cell r="O20">
            <v>65</v>
          </cell>
          <cell r="P20">
            <v>70</v>
          </cell>
          <cell r="Q20">
            <v>110</v>
          </cell>
          <cell r="R20">
            <v>120</v>
          </cell>
          <cell r="S20">
            <v>140</v>
          </cell>
          <cell r="T20">
            <v>150</v>
          </cell>
          <cell r="U20">
            <v>151</v>
          </cell>
          <cell r="V20">
            <v>152</v>
          </cell>
          <cell r="W20">
            <v>153</v>
          </cell>
          <cell r="AP20" t="str">
            <v>C4 Systems</v>
          </cell>
          <cell r="AQ20" t="str">
            <v>GD UK</v>
          </cell>
          <cell r="AR20" t="str">
            <v>Adv Info Sys</v>
          </cell>
          <cell r="AS20" t="str">
            <v>Info Technology</v>
          </cell>
          <cell r="AT20" t="str">
            <v>IS&amp;T</v>
          </cell>
        </row>
        <row r="21">
          <cell r="A21" t="str">
            <v>Command, control &amp; Intel sys</v>
          </cell>
          <cell r="D21">
            <v>59.712000000000003</v>
          </cell>
          <cell r="E21">
            <v>71</v>
          </cell>
          <cell r="F21">
            <v>120.70400000000001</v>
          </cell>
          <cell r="G21">
            <v>169.5</v>
          </cell>
          <cell r="H21">
            <v>222.6</v>
          </cell>
          <cell r="I21">
            <v>236.89999999999998</v>
          </cell>
          <cell r="J21">
            <v>242.04999999999998</v>
          </cell>
          <cell r="K21">
            <v>260</v>
          </cell>
          <cell r="L21">
            <v>280.875</v>
          </cell>
          <cell r="M21">
            <v>280.875</v>
          </cell>
          <cell r="O21">
            <v>60</v>
          </cell>
          <cell r="P21">
            <v>71</v>
          </cell>
          <cell r="Q21">
            <v>95</v>
          </cell>
          <cell r="R21">
            <v>100</v>
          </cell>
          <cell r="S21">
            <v>110</v>
          </cell>
          <cell r="T21">
            <v>120</v>
          </cell>
          <cell r="U21">
            <v>120</v>
          </cell>
          <cell r="V21">
            <v>120</v>
          </cell>
          <cell r="W21">
            <v>120</v>
          </cell>
          <cell r="AN21" t="str">
            <v>Assessment</v>
          </cell>
          <cell r="AP21" t="str">
            <v>Cmd. 2010, JP 2008, NAIS, NCES, TSAT, MAGTF-C2, DSS-prod., Land 125 &amp; 75, NECC, SBI-Net</v>
          </cell>
          <cell r="AQ21" t="str">
            <v>BCIP Growth, Army support various, Logistics Info Sys, European NEC, Urban ISTAR, Typhoon</v>
          </cell>
          <cell r="AR21" t="str">
            <v>LCS Int'l</v>
          </cell>
          <cell r="AS21" t="str">
            <v>USAF Combat Info Sys, BRAC</v>
          </cell>
          <cell r="AT21" t="str">
            <v>Sales Funnel &gt; $128B Opportunities</v>
          </cell>
        </row>
        <row r="22">
          <cell r="A22" t="str">
            <v>Special purpose computing/surveillance &amp; recon systems</v>
          </cell>
          <cell r="D22">
            <v>64.582000000000008</v>
          </cell>
          <cell r="E22">
            <v>70</v>
          </cell>
          <cell r="F22">
            <v>92.064000000000007</v>
          </cell>
          <cell r="G22">
            <v>112.19999999999999</v>
          </cell>
          <cell r="H22">
            <v>145.69999999999999</v>
          </cell>
          <cell r="I22">
            <v>162.75</v>
          </cell>
          <cell r="J22">
            <v>166.005</v>
          </cell>
          <cell r="K22">
            <v>183.35</v>
          </cell>
          <cell r="L22">
            <v>186.63749999999999</v>
          </cell>
          <cell r="M22">
            <v>186.63749999999999</v>
          </cell>
          <cell r="O22">
            <v>65</v>
          </cell>
          <cell r="P22">
            <v>70</v>
          </cell>
          <cell r="Q22">
            <v>80</v>
          </cell>
          <cell r="R22">
            <v>80</v>
          </cell>
          <cell r="S22">
            <v>90</v>
          </cell>
          <cell r="T22">
            <v>95</v>
          </cell>
          <cell r="U22">
            <v>95</v>
          </cell>
          <cell r="V22">
            <v>95</v>
          </cell>
          <cell r="W22">
            <v>95</v>
          </cell>
          <cell r="AN22" t="str">
            <v>Strategy</v>
          </cell>
          <cell r="AP22" t="str">
            <v>MBCOTM, JNTC 9-10, JSS, Crypto Mod, JP 2072 PH2, HC3 TACP-M, GPS OCX, VIS-X</v>
          </cell>
          <cell r="AQ22" t="str">
            <v>DABINETT, FRES, G2ISTAR, Romania C4I, Radiate, Various Int'l</v>
          </cell>
          <cell r="AR22" t="str">
            <v>Next Gen Sys, I-Assure IDIQ, DC3, NOVA</v>
          </cell>
          <cell r="AS22" t="str">
            <v>GAS Alliant, USAF Space Command UNI-COMM, HSPD-12 Card Enrollment</v>
          </cell>
          <cell r="AT22" t="str">
            <v>FRES-PSI, Alliant IDIQ, CITS 07 Bases, NAIS, FORCENET, LSC Int'l</v>
          </cell>
        </row>
        <row r="23">
          <cell r="A23" t="str">
            <v>Network infrastructure</v>
          </cell>
          <cell r="D23">
            <v>31.044</v>
          </cell>
          <cell r="E23">
            <v>48.999999999999993</v>
          </cell>
          <cell r="F23">
            <v>67.418999999999997</v>
          </cell>
          <cell r="G23">
            <v>80.775999999999996</v>
          </cell>
          <cell r="H23">
            <v>102.00000000000001</v>
          </cell>
          <cell r="I23">
            <v>127.50000000000001</v>
          </cell>
          <cell r="J23">
            <v>115.3425</v>
          </cell>
          <cell r="K23">
            <v>136.30000000000001</v>
          </cell>
          <cell r="L23">
            <v>142.6</v>
          </cell>
          <cell r="M23">
            <v>142.6</v>
          </cell>
          <cell r="O23">
            <v>31</v>
          </cell>
          <cell r="P23">
            <v>49</v>
          </cell>
          <cell r="Q23">
            <v>60</v>
          </cell>
          <cell r="R23">
            <v>70</v>
          </cell>
          <cell r="S23">
            <v>80</v>
          </cell>
          <cell r="T23">
            <v>85</v>
          </cell>
          <cell r="U23">
            <v>85</v>
          </cell>
          <cell r="V23">
            <v>85</v>
          </cell>
          <cell r="W23">
            <v>85</v>
          </cell>
          <cell r="AN23" t="str">
            <v>Pre-Proposal</v>
          </cell>
          <cell r="AP23" t="str">
            <v>GSS</v>
          </cell>
          <cell r="AQ23" t="str">
            <v>BCIP5 Support, TIEC, Listener, Future Lynx</v>
          </cell>
          <cell r="AR23" t="str">
            <v>Pole Vault, LCS</v>
          </cell>
          <cell r="AS23" t="str">
            <v>Army Warfighter Focus, USAF Air  Combat Command CASSIII</v>
          </cell>
          <cell r="AT23" t="str">
            <v>JNN 9+, LCS Prod, NCES, SNRC-1, MBCOTM, AF UNICOM, Army Warfighter Focus</v>
          </cell>
        </row>
        <row r="24">
          <cell r="A24" t="str">
            <v>Total IST</v>
          </cell>
          <cell r="D24">
            <v>220.57900000000004</v>
          </cell>
          <cell r="E24">
            <v>260</v>
          </cell>
          <cell r="F24">
            <v>435.79700000000003</v>
          </cell>
          <cell r="G24">
            <v>537.976</v>
          </cell>
          <cell r="H24">
            <v>670.09999999999991</v>
          </cell>
          <cell r="I24">
            <v>762.27499999999998</v>
          </cell>
          <cell r="J24">
            <v>764.89749999999992</v>
          </cell>
          <cell r="K24">
            <v>849.95</v>
          </cell>
          <cell r="L24">
            <v>909.71249999999998</v>
          </cell>
          <cell r="M24">
            <v>909.71249999999998</v>
          </cell>
          <cell r="O24">
            <v>221</v>
          </cell>
          <cell r="P24">
            <v>260</v>
          </cell>
          <cell r="Q24">
            <v>345</v>
          </cell>
          <cell r="R24">
            <v>370</v>
          </cell>
          <cell r="S24">
            <v>420</v>
          </cell>
          <cell r="T24">
            <v>450</v>
          </cell>
          <cell r="U24">
            <v>451</v>
          </cell>
          <cell r="V24">
            <v>452</v>
          </cell>
          <cell r="W24">
            <v>453</v>
          </cell>
          <cell r="AN24" t="str">
            <v>Proposal</v>
          </cell>
          <cell r="AP24" t="str">
            <v>ADNS III, KMI LSI, FCS-LDMS</v>
          </cell>
          <cell r="AQ24" t="str">
            <v>Bowman Support Brigades, Sea King, Pilatus, WLIP</v>
          </cell>
          <cell r="AR24" t="str">
            <v>Paladin</v>
          </cell>
          <cell r="AS24" t="str">
            <v>Army Fort Indiantown Gap (I3MP), Army Fort Monmouth DOIM</v>
          </cell>
          <cell r="AT24" t="str">
            <v>KMI LSI, GPS MSR, Monmouth DOIM, Bowman F/O</v>
          </cell>
        </row>
        <row r="25">
          <cell r="A25" t="str">
            <v>per main</v>
          </cell>
          <cell r="D25">
            <v>217</v>
          </cell>
          <cell r="E25">
            <v>261</v>
          </cell>
          <cell r="F25">
            <v>435</v>
          </cell>
          <cell r="G25">
            <v>533</v>
          </cell>
          <cell r="H25">
            <v>718</v>
          </cell>
          <cell r="I25">
            <v>865</v>
          </cell>
          <cell r="J25">
            <v>976</v>
          </cell>
          <cell r="K25">
            <v>1027</v>
          </cell>
          <cell r="L25">
            <v>1075</v>
          </cell>
          <cell r="M25">
            <v>1112.3999999999999</v>
          </cell>
          <cell r="AN25" t="str">
            <v>Post-Submittal</v>
          </cell>
          <cell r="AP25" t="str">
            <v>AOC WSI, DDS-R, WWSS</v>
          </cell>
          <cell r="AQ25" t="str">
            <v>Bowman BCIP5/6, Typhoon CAMU, MBDS, Daffodil, Romanian Mortars</v>
          </cell>
          <cell r="AR25" t="str">
            <v>Storm, Shasta</v>
          </cell>
          <cell r="AS25" t="str">
            <v>DHS CBP SBInet, DHS E-recruitment sys, Navy NADEP North Island</v>
          </cell>
          <cell r="AT25" t="str">
            <v xml:space="preserve">AOC WSI, DISA JHITS, FEMA HQ ITSS, WWSS </v>
          </cell>
        </row>
        <row r="26">
          <cell r="AN26" t="str">
            <v>Awarded</v>
          </cell>
          <cell r="AP26" t="str">
            <v>IWN, POET, DIRECT</v>
          </cell>
          <cell r="AQ26" t="str">
            <v>BCIP Recast, Eurofighter various, JSIB RFIPs, Future Lynx</v>
          </cell>
          <cell r="AR26" t="str">
            <v>Classified Production, DHS Eagle IDIQ</v>
          </cell>
          <cell r="AS26" t="str">
            <v>US Army ITES-2 IDIQ, US Army IMOD IDIQ, DHS Eagle IDIQ, DHS IWN, Navy ERP Support</v>
          </cell>
          <cell r="AT26" t="str">
            <v>IWN Ph 3, Army TEIS, DHS Eagle IDIQ, IMOD IDIQ, Classified Prod.</v>
          </cell>
        </row>
        <row r="27">
          <cell r="A27" t="str">
            <v>Op Profit Margin</v>
          </cell>
        </row>
        <row r="28">
          <cell r="A28" t="str">
            <v>Communications systems</v>
          </cell>
          <cell r="D28">
            <v>9.9000000000000005E-2</v>
          </cell>
          <cell r="E28">
            <v>9.6551724137931033E-2</v>
          </cell>
          <cell r="F28">
            <v>0.126</v>
          </cell>
          <cell r="G28">
            <v>0.11700000000000001</v>
          </cell>
          <cell r="H28">
            <v>0.108</v>
          </cell>
          <cell r="I28">
            <v>0.1045</v>
          </cell>
          <cell r="J28">
            <v>0.105</v>
          </cell>
          <cell r="K28">
            <v>0.106</v>
          </cell>
          <cell r="L28">
            <v>0.107</v>
          </cell>
          <cell r="M28">
            <v>0.107</v>
          </cell>
        </row>
        <row r="29">
          <cell r="A29" t="str">
            <v>Command, control &amp; Intel sys</v>
          </cell>
          <cell r="D29">
            <v>9.6000000000000002E-2</v>
          </cell>
          <cell r="E29">
            <v>9.5945945945945951E-2</v>
          </cell>
          <cell r="F29">
            <v>0.128</v>
          </cell>
          <cell r="G29">
            <v>0.113</v>
          </cell>
          <cell r="H29">
            <v>0.106</v>
          </cell>
          <cell r="I29">
            <v>0.10299999999999999</v>
          </cell>
          <cell r="J29">
            <v>0.10299999999999999</v>
          </cell>
          <cell r="K29">
            <v>0.104</v>
          </cell>
          <cell r="L29">
            <v>0.105</v>
          </cell>
          <cell r="M29">
            <v>0.105</v>
          </cell>
        </row>
        <row r="30">
          <cell r="A30" t="str">
            <v>Special purpose computing/surveillance &amp; recon systems</v>
          </cell>
          <cell r="D30">
            <v>9.8000000000000004E-2</v>
          </cell>
          <cell r="E30">
            <v>9.3333333333333338E-2</v>
          </cell>
          <cell r="F30">
            <v>0.112</v>
          </cell>
          <cell r="G30">
            <v>0.10199999999999999</v>
          </cell>
          <cell r="H30">
            <v>9.4E-2</v>
          </cell>
          <cell r="I30">
            <v>9.2999999999999999E-2</v>
          </cell>
          <cell r="J30">
            <v>9.2999999999999999E-2</v>
          </cell>
          <cell r="K30">
            <v>9.6500000000000002E-2</v>
          </cell>
          <cell r="L30">
            <v>9.4500000000000001E-2</v>
          </cell>
          <cell r="M30">
            <v>9.4500000000000001E-2</v>
          </cell>
        </row>
        <row r="31">
          <cell r="A31" t="str">
            <v>Network infrastructure</v>
          </cell>
          <cell r="D31">
            <v>7.8E-2</v>
          </cell>
          <cell r="E31">
            <v>8.3760683760683755E-2</v>
          </cell>
          <cell r="F31">
            <v>9.9000000000000005E-2</v>
          </cell>
          <cell r="G31">
            <v>9.1999999999999998E-2</v>
          </cell>
          <cell r="H31">
            <v>8.5000000000000006E-2</v>
          </cell>
          <cell r="I31">
            <v>8.5000000000000006E-2</v>
          </cell>
          <cell r="J31">
            <v>8.4500000000000006E-2</v>
          </cell>
          <cell r="K31">
            <v>9.4E-2</v>
          </cell>
          <cell r="L31">
            <v>9.1999999999999998E-2</v>
          </cell>
          <cell r="M31">
            <v>9.1999999999999998E-2</v>
          </cell>
        </row>
        <row r="32">
          <cell r="A32" t="str">
            <v>Total IST</v>
          </cell>
          <cell r="D32">
            <v>9.4345166809238684E-2</v>
          </cell>
          <cell r="E32">
            <v>9.285714285714286E-2</v>
          </cell>
          <cell r="F32">
            <v>0.11839092637870145</v>
          </cell>
          <cell r="G32">
            <v>0.10807071112896746</v>
          </cell>
          <cell r="H32">
            <v>0.10001492537313432</v>
          </cell>
          <cell r="I32">
            <v>9.7727564102564099E-2</v>
          </cell>
          <cell r="J32">
            <v>9.8063782051282036E-2</v>
          </cell>
          <cell r="K32">
            <v>0.10118452380952382</v>
          </cell>
          <cell r="L32">
            <v>0.10107916666666666</v>
          </cell>
          <cell r="M32">
            <v>0.10107916666666666</v>
          </cell>
        </row>
        <row r="33">
          <cell r="A33" t="str">
            <v>per main</v>
          </cell>
          <cell r="D33">
            <v>9.2854086435601196E-2</v>
          </cell>
          <cell r="E33">
            <v>9.6989966555183951E-2</v>
          </cell>
          <cell r="F33">
            <v>0.11856091578086672</v>
          </cell>
          <cell r="G33">
            <v>0.10994224422442245</v>
          </cell>
          <cell r="H33">
            <v>0.1068134483784588</v>
          </cell>
          <cell r="I33">
            <v>0.11052900587784309</v>
          </cell>
          <cell r="J33">
            <v>0.10815602836879433</v>
          </cell>
          <cell r="K33">
            <v>0.1067345666181667</v>
          </cell>
          <cell r="L33">
            <v>0.10709304642359035</v>
          </cell>
          <cell r="M33">
            <v>0.10299999999999999</v>
          </cell>
        </row>
        <row r="37">
          <cell r="A37" t="str">
            <v>intrastructure and systems integration req'd to process, comm and manage info. Wireline &amp; wireless voice and data networks, C4ISR systems</v>
          </cell>
        </row>
        <row r="38">
          <cell r="A38" t="str">
            <v>encryption, ruggedized computing, adv'd sw &amp; electronics systems development, lifecycle mgmt &amp; support</v>
          </cell>
        </row>
        <row r="40">
          <cell r="A40" t="str">
            <v>advanced info systems</v>
          </cell>
        </row>
        <row r="41">
          <cell r="A41" t="str">
            <v>C4 systems</v>
          </cell>
        </row>
        <row r="42">
          <cell r="A42" t="str">
            <v>Decision systems</v>
          </cell>
        </row>
        <row r="43">
          <cell r="A43" t="str">
            <v>Network systems</v>
          </cell>
        </row>
        <row r="44">
          <cell r="A44" t="str">
            <v>GD UK</v>
          </cell>
          <cell r="B44" t="str">
            <v>this is where uk bowman is?</v>
          </cell>
        </row>
        <row r="45">
          <cell r="A45" t="str">
            <v>Bowman= 10% if IST 2002 revs, $2.4B contract with CIP adding $450MM to it</v>
          </cell>
        </row>
        <row r="46">
          <cell r="A46" t="str">
            <v>USMC IDIQ $522MM for digital combat opns centres</v>
          </cell>
        </row>
        <row r="47">
          <cell r="A47" t="str">
            <v>Land warrior soldier modernization K for US Army potential val $790MM - personal electronics, global nav, integrated w/ Stryker &amp; FCS</v>
          </cell>
        </row>
        <row r="48">
          <cell r="A48" t="str">
            <v>USCG pot value $611MM for Rescue 21</v>
          </cell>
        </row>
        <row r="49">
          <cell r="A49" t="str">
            <v>USAF K pot value $260MM theater deployable comm integ comm access pkgs (TDC ICAP) -- what is this??</v>
          </cell>
        </row>
        <row r="50">
          <cell r="A50" t="str">
            <v>WIN-T - first award potential val= $6B</v>
          </cell>
        </row>
        <row r="51">
          <cell r="A51" t="str">
            <v>Land Warrior is in Info Tech (Dceision Systems</v>
          </cell>
        </row>
        <row r="56">
          <cell r="G56" t="str">
            <v>IST Team</v>
          </cell>
          <cell r="H56" t="str">
            <v>Prez</v>
          </cell>
          <cell r="I56" t="str">
            <v>Gerard DeMuro</v>
          </cell>
        </row>
        <row r="57">
          <cell r="H57" t="str">
            <v>Network Sys</v>
          </cell>
          <cell r="I57" t="str">
            <v>Mike Chandler</v>
          </cell>
        </row>
        <row r="58">
          <cell r="H58" t="str">
            <v>C4 Sys</v>
          </cell>
          <cell r="I58" t="str">
            <v>Mark Fried</v>
          </cell>
        </row>
        <row r="59">
          <cell r="H59" t="str">
            <v>GD UK</v>
          </cell>
          <cell r="I59" t="str">
            <v>Lawrence Johnson</v>
          </cell>
        </row>
        <row r="60">
          <cell r="H60" t="str">
            <v>Adv'd Info</v>
          </cell>
          <cell r="I60" t="str">
            <v>John Stewart</v>
          </cell>
        </row>
        <row r="61">
          <cell r="B61" t="str">
            <v>GD's IS&amp;T Revenues By Program  ($MM)</v>
          </cell>
        </row>
        <row r="64">
          <cell r="D64">
            <v>2000</v>
          </cell>
          <cell r="E64">
            <v>2001</v>
          </cell>
          <cell r="F64">
            <v>2002</v>
          </cell>
          <cell r="G64">
            <v>2003</v>
          </cell>
          <cell r="H64">
            <v>2004</v>
          </cell>
          <cell r="I64">
            <v>2005</v>
          </cell>
          <cell r="J64" t="str">
            <v>2006A</v>
          </cell>
          <cell r="K64" t="str">
            <v>2007E</v>
          </cell>
          <cell r="L64" t="str">
            <v>2008E</v>
          </cell>
          <cell r="M64" t="str">
            <v>2009E</v>
          </cell>
        </row>
        <row r="65">
          <cell r="A65" t="str">
            <v>Advanced Info Systems</v>
          </cell>
        </row>
        <row r="66">
          <cell r="A66" t="str">
            <v xml:space="preserve">   Airborne Electronic Systems</v>
          </cell>
        </row>
        <row r="67">
          <cell r="A67" t="str">
            <v xml:space="preserve"> Airborne Power Control</v>
          </cell>
          <cell r="D67">
            <v>10</v>
          </cell>
          <cell r="E67">
            <v>10</v>
          </cell>
          <cell r="F67">
            <v>10</v>
          </cell>
          <cell r="G67">
            <v>10</v>
          </cell>
          <cell r="H67">
            <v>10</v>
          </cell>
          <cell r="I67">
            <v>10</v>
          </cell>
          <cell r="J67">
            <v>12</v>
          </cell>
          <cell r="K67">
            <v>12</v>
          </cell>
          <cell r="L67">
            <v>15</v>
          </cell>
          <cell r="M67">
            <v>15</v>
          </cell>
        </row>
        <row r="68">
          <cell r="A68" t="str">
            <v>Cabin Electronics</v>
          </cell>
          <cell r="D68">
            <v>10</v>
          </cell>
          <cell r="E68">
            <v>10</v>
          </cell>
          <cell r="F68">
            <v>10</v>
          </cell>
          <cell r="G68">
            <v>10</v>
          </cell>
          <cell r="H68">
            <v>10</v>
          </cell>
          <cell r="I68">
            <v>10</v>
          </cell>
          <cell r="J68">
            <v>12</v>
          </cell>
          <cell r="K68">
            <v>12</v>
          </cell>
          <cell r="L68">
            <v>15</v>
          </cell>
          <cell r="M68">
            <v>15</v>
          </cell>
        </row>
        <row r="69">
          <cell r="A69" t="str">
            <v xml:space="preserve"> -subtotal Airborne Electronics Systems</v>
          </cell>
          <cell r="D69">
            <v>20</v>
          </cell>
          <cell r="E69">
            <v>20</v>
          </cell>
          <cell r="F69">
            <v>20</v>
          </cell>
          <cell r="G69">
            <v>20</v>
          </cell>
          <cell r="H69">
            <v>20</v>
          </cell>
          <cell r="I69">
            <v>20</v>
          </cell>
          <cell r="J69">
            <v>24</v>
          </cell>
          <cell r="K69">
            <v>24</v>
          </cell>
          <cell r="L69">
            <v>30</v>
          </cell>
          <cell r="M69">
            <v>30</v>
          </cell>
        </row>
        <row r="70">
          <cell r="A70" t="str">
            <v>Command &amp; Control Systems</v>
          </cell>
        </row>
        <row r="71">
          <cell r="A71" t="str">
            <v>AADC</v>
          </cell>
        </row>
        <row r="72">
          <cell r="A72" t="str">
            <v>Integrated Marine Solutions</v>
          </cell>
        </row>
        <row r="73">
          <cell r="A73" t="str">
            <v>Information Transmission Solutions</v>
          </cell>
          <cell r="G73">
            <v>10</v>
          </cell>
          <cell r="H73">
            <v>15</v>
          </cell>
          <cell r="I73">
            <v>15</v>
          </cell>
          <cell r="J73">
            <v>50</v>
          </cell>
          <cell r="K73">
            <v>75</v>
          </cell>
          <cell r="L73">
            <v>75</v>
          </cell>
          <cell r="M73">
            <v>75</v>
          </cell>
        </row>
        <row r="74">
          <cell r="A74" t="str">
            <v>Other Command Decision Solutions</v>
          </cell>
          <cell r="D74">
            <v>170</v>
          </cell>
          <cell r="E74">
            <v>170</v>
          </cell>
          <cell r="F74">
            <v>170</v>
          </cell>
          <cell r="G74">
            <v>170</v>
          </cell>
          <cell r="H74">
            <v>170</v>
          </cell>
          <cell r="I74">
            <v>170</v>
          </cell>
          <cell r="J74">
            <v>180</v>
          </cell>
          <cell r="K74">
            <v>180</v>
          </cell>
          <cell r="L74">
            <v>185</v>
          </cell>
          <cell r="M74">
            <v>185</v>
          </cell>
        </row>
        <row r="75">
          <cell r="A75" t="str">
            <v xml:space="preserve">  -subtotal C&amp;C Systems</v>
          </cell>
          <cell r="D75">
            <v>170</v>
          </cell>
          <cell r="E75">
            <v>170</v>
          </cell>
          <cell r="F75">
            <v>170</v>
          </cell>
          <cell r="G75">
            <v>180</v>
          </cell>
          <cell r="H75">
            <v>185</v>
          </cell>
          <cell r="I75">
            <v>185</v>
          </cell>
          <cell r="J75">
            <v>230</v>
          </cell>
          <cell r="K75">
            <v>255</v>
          </cell>
          <cell r="L75">
            <v>260</v>
          </cell>
          <cell r="M75">
            <v>260</v>
          </cell>
        </row>
        <row r="76">
          <cell r="A76" t="str">
            <v>Intelligence Systems</v>
          </cell>
        </row>
        <row r="77">
          <cell r="A77" t="str">
            <v>MIS</v>
          </cell>
          <cell r="G77">
            <v>5</v>
          </cell>
          <cell r="H77">
            <v>10</v>
          </cell>
          <cell r="I77">
            <v>10</v>
          </cell>
          <cell r="J77">
            <v>15</v>
          </cell>
          <cell r="K77">
            <v>15</v>
          </cell>
          <cell r="L77">
            <v>15</v>
          </cell>
          <cell r="M77">
            <v>15</v>
          </cell>
        </row>
        <row r="78">
          <cell r="A78" t="str">
            <v>SigINT</v>
          </cell>
        </row>
        <row r="79">
          <cell r="A79" t="str">
            <v>Mission Solutions</v>
          </cell>
          <cell r="D79">
            <v>250</v>
          </cell>
          <cell r="E79">
            <v>250</v>
          </cell>
          <cell r="F79">
            <v>250</v>
          </cell>
          <cell r="G79">
            <v>250</v>
          </cell>
          <cell r="H79">
            <v>250</v>
          </cell>
          <cell r="I79">
            <v>250</v>
          </cell>
          <cell r="J79">
            <v>275</v>
          </cell>
          <cell r="K79">
            <v>275</v>
          </cell>
          <cell r="L79">
            <v>300</v>
          </cell>
          <cell r="M79">
            <v>300</v>
          </cell>
        </row>
        <row r="80">
          <cell r="A80" t="str">
            <v xml:space="preserve"> -subtotal Intelligence Solutions</v>
          </cell>
          <cell r="D80">
            <v>250</v>
          </cell>
          <cell r="E80">
            <v>250</v>
          </cell>
          <cell r="F80">
            <v>250</v>
          </cell>
          <cell r="G80">
            <v>255</v>
          </cell>
          <cell r="H80">
            <v>260</v>
          </cell>
          <cell r="I80">
            <v>260</v>
          </cell>
          <cell r="J80">
            <v>290</v>
          </cell>
          <cell r="K80">
            <v>290</v>
          </cell>
          <cell r="L80">
            <v>315</v>
          </cell>
          <cell r="M80">
            <v>315</v>
          </cell>
        </row>
        <row r="81">
          <cell r="A81" t="str">
            <v>Surveillance &amp; Recon Systems</v>
          </cell>
        </row>
        <row r="82">
          <cell r="A82" t="str">
            <v>Mission Comp/Displays</v>
          </cell>
        </row>
        <row r="83">
          <cell r="A83" t="str">
            <v>Processing Systems</v>
          </cell>
        </row>
        <row r="84">
          <cell r="A84" t="str">
            <v>Stores &amp; Memory Systems</v>
          </cell>
        </row>
        <row r="85">
          <cell r="A85" t="str">
            <v>Other Surveillance Systems</v>
          </cell>
          <cell r="D85">
            <v>180</v>
          </cell>
          <cell r="E85">
            <v>200</v>
          </cell>
          <cell r="F85">
            <v>225</v>
          </cell>
          <cell r="G85">
            <v>275</v>
          </cell>
          <cell r="H85">
            <v>300</v>
          </cell>
          <cell r="I85">
            <v>325</v>
          </cell>
          <cell r="J85">
            <v>350</v>
          </cell>
          <cell r="K85">
            <v>400</v>
          </cell>
          <cell r="L85">
            <v>425</v>
          </cell>
          <cell r="M85">
            <v>425</v>
          </cell>
        </row>
        <row r="86">
          <cell r="A86" t="str">
            <v xml:space="preserve"> -subtotal Surv/Recon  Sys</v>
          </cell>
          <cell r="D86">
            <v>180</v>
          </cell>
          <cell r="E86">
            <v>200</v>
          </cell>
          <cell r="F86">
            <v>225</v>
          </cell>
          <cell r="G86">
            <v>275</v>
          </cell>
          <cell r="H86">
            <v>300</v>
          </cell>
          <cell r="I86">
            <v>325</v>
          </cell>
          <cell r="J86">
            <v>350</v>
          </cell>
          <cell r="K86">
            <v>400</v>
          </cell>
          <cell r="L86">
            <v>425</v>
          </cell>
          <cell r="M86">
            <v>425</v>
          </cell>
        </row>
        <row r="87">
          <cell r="A87" t="str">
            <v>Information Operations</v>
          </cell>
        </row>
        <row r="88">
          <cell r="A88" t="str">
            <v>AS&amp;T</v>
          </cell>
        </row>
        <row r="89">
          <cell r="A89" t="str">
            <v>Info Ops Systems</v>
          </cell>
        </row>
        <row r="90">
          <cell r="A90" t="str">
            <v>Prime Integrations Contractor</v>
          </cell>
        </row>
        <row r="91">
          <cell r="A91" t="str">
            <v>Exploitation Systems</v>
          </cell>
        </row>
        <row r="92">
          <cell r="A92" t="str">
            <v>Space Systems</v>
          </cell>
        </row>
        <row r="93">
          <cell r="A93" t="str">
            <v>Other Info Ops</v>
          </cell>
          <cell r="D93">
            <v>230</v>
          </cell>
          <cell r="E93">
            <v>260</v>
          </cell>
          <cell r="F93">
            <v>275</v>
          </cell>
          <cell r="G93">
            <v>300</v>
          </cell>
          <cell r="H93">
            <v>300</v>
          </cell>
          <cell r="I93">
            <v>325</v>
          </cell>
          <cell r="J93">
            <v>400</v>
          </cell>
          <cell r="K93">
            <v>400</v>
          </cell>
          <cell r="L93">
            <v>425</v>
          </cell>
          <cell r="M93">
            <v>425</v>
          </cell>
        </row>
        <row r="94">
          <cell r="A94" t="str">
            <v>-subtotal Information Operations</v>
          </cell>
          <cell r="D94">
            <v>230</v>
          </cell>
          <cell r="E94">
            <v>260</v>
          </cell>
          <cell r="F94">
            <v>275</v>
          </cell>
          <cell r="G94">
            <v>300</v>
          </cell>
          <cell r="H94">
            <v>300</v>
          </cell>
          <cell r="I94">
            <v>325</v>
          </cell>
          <cell r="J94">
            <v>400</v>
          </cell>
          <cell r="K94">
            <v>400</v>
          </cell>
          <cell r="L94">
            <v>425</v>
          </cell>
          <cell r="M94">
            <v>425</v>
          </cell>
        </row>
        <row r="95">
          <cell r="A95" t="str">
            <v>DSR</v>
          </cell>
        </row>
        <row r="96">
          <cell r="A96" t="str">
            <v>Common Network Interface</v>
          </cell>
          <cell r="G96">
            <v>4</v>
          </cell>
          <cell r="H96">
            <v>12</v>
          </cell>
          <cell r="I96">
            <v>12</v>
          </cell>
          <cell r="J96">
            <v>12</v>
          </cell>
          <cell r="K96">
            <v>12</v>
          </cell>
          <cell r="L96">
            <v>10</v>
          </cell>
          <cell r="M96">
            <v>10</v>
          </cell>
        </row>
        <row r="97">
          <cell r="A97" t="str">
            <v>-total DSR</v>
          </cell>
          <cell r="G97">
            <v>31.25</v>
          </cell>
          <cell r="H97">
            <v>125</v>
          </cell>
          <cell r="I97">
            <v>130</v>
          </cell>
          <cell r="J97">
            <v>130</v>
          </cell>
          <cell r="K97">
            <v>130</v>
          </cell>
          <cell r="L97">
            <v>130</v>
          </cell>
          <cell r="M97">
            <v>130</v>
          </cell>
        </row>
        <row r="98">
          <cell r="A98" t="str">
            <v>TOTAL  AIS</v>
          </cell>
          <cell r="D98">
            <v>850</v>
          </cell>
          <cell r="E98">
            <v>900</v>
          </cell>
          <cell r="F98">
            <v>940</v>
          </cell>
          <cell r="G98">
            <v>1061.25</v>
          </cell>
          <cell r="H98">
            <v>1190</v>
          </cell>
          <cell r="I98">
            <v>1245</v>
          </cell>
          <cell r="J98">
            <v>1424</v>
          </cell>
          <cell r="K98">
            <v>1499</v>
          </cell>
          <cell r="L98">
            <v>1585</v>
          </cell>
          <cell r="M98">
            <v>1585</v>
          </cell>
        </row>
        <row r="99">
          <cell r="A99" t="str">
            <v>Est AIS Op Prof</v>
          </cell>
          <cell r="D99">
            <v>75</v>
          </cell>
          <cell r="E99">
            <v>79</v>
          </cell>
          <cell r="F99">
            <v>88</v>
          </cell>
          <cell r="G99">
            <v>97</v>
          </cell>
          <cell r="H99">
            <v>100</v>
          </cell>
          <cell r="I99">
            <v>100</v>
          </cell>
          <cell r="J99">
            <v>110</v>
          </cell>
          <cell r="K99">
            <v>110</v>
          </cell>
          <cell r="L99">
            <v>110</v>
          </cell>
          <cell r="M99">
            <v>110</v>
          </cell>
        </row>
        <row r="100">
          <cell r="A100" t="str">
            <v>% Sls</v>
          </cell>
          <cell r="D100">
            <v>8.8235294117647065E-2</v>
          </cell>
          <cell r="E100">
            <v>8.7777777777777774E-2</v>
          </cell>
          <cell r="F100">
            <v>9.3617021276595741E-2</v>
          </cell>
          <cell r="G100">
            <v>9.1401648998822138E-2</v>
          </cell>
          <cell r="H100">
            <v>8.4033613445378158E-2</v>
          </cell>
          <cell r="I100">
            <v>8.0321285140562249E-2</v>
          </cell>
          <cell r="J100">
            <v>7.7247191011235949E-2</v>
          </cell>
          <cell r="K100">
            <v>7.3382254836557706E-2</v>
          </cell>
          <cell r="L100">
            <v>6.9400630914826497E-2</v>
          </cell>
          <cell r="M100">
            <v>6.9400630914826497E-2</v>
          </cell>
        </row>
        <row r="102">
          <cell r="A102" t="str">
            <v>C4 Systems Heritage (Now C4 Systems with Decision Systems)</v>
          </cell>
        </row>
        <row r="103">
          <cell r="A103" t="str">
            <v>Command &amp; Control</v>
          </cell>
        </row>
        <row r="104">
          <cell r="A104" t="str">
            <v>ADOCS</v>
          </cell>
          <cell r="G104">
            <v>10</v>
          </cell>
          <cell r="H104">
            <v>10</v>
          </cell>
          <cell r="I104">
            <v>10</v>
          </cell>
          <cell r="J104">
            <v>10</v>
          </cell>
          <cell r="K104">
            <v>10</v>
          </cell>
          <cell r="L104">
            <v>10</v>
          </cell>
          <cell r="M104">
            <v>10</v>
          </cell>
        </row>
        <row r="105">
          <cell r="A105" t="str">
            <v>Other C&amp;C</v>
          </cell>
          <cell r="D105">
            <v>125</v>
          </cell>
          <cell r="E105">
            <v>150</v>
          </cell>
          <cell r="F105">
            <v>150</v>
          </cell>
          <cell r="G105">
            <v>150</v>
          </cell>
          <cell r="H105">
            <v>150</v>
          </cell>
          <cell r="I105">
            <v>160</v>
          </cell>
          <cell r="J105">
            <v>175</v>
          </cell>
          <cell r="K105">
            <v>180</v>
          </cell>
          <cell r="L105">
            <v>180</v>
          </cell>
          <cell r="M105">
            <v>180</v>
          </cell>
        </row>
        <row r="106">
          <cell r="A106" t="str">
            <v>-total C&amp;C</v>
          </cell>
          <cell r="D106">
            <v>125</v>
          </cell>
          <cell r="E106">
            <v>150</v>
          </cell>
          <cell r="F106">
            <v>150</v>
          </cell>
          <cell r="G106">
            <v>160</v>
          </cell>
          <cell r="H106">
            <v>160</v>
          </cell>
          <cell r="I106">
            <v>170</v>
          </cell>
          <cell r="J106">
            <v>185</v>
          </cell>
          <cell r="K106">
            <v>190</v>
          </cell>
          <cell r="L106">
            <v>190</v>
          </cell>
          <cell r="M106">
            <v>190</v>
          </cell>
        </row>
        <row r="107">
          <cell r="A107" t="str">
            <v>Ruggedized Products</v>
          </cell>
        </row>
        <row r="108">
          <cell r="A108" t="str">
            <v>CHS-2/3</v>
          </cell>
          <cell r="D108">
            <v>75</v>
          </cell>
          <cell r="E108">
            <v>75</v>
          </cell>
          <cell r="F108">
            <v>75</v>
          </cell>
          <cell r="G108">
            <v>75</v>
          </cell>
          <cell r="H108">
            <v>75</v>
          </cell>
          <cell r="I108">
            <v>75</v>
          </cell>
          <cell r="J108">
            <v>80</v>
          </cell>
          <cell r="K108">
            <v>85</v>
          </cell>
          <cell r="L108">
            <v>85</v>
          </cell>
          <cell r="M108">
            <v>85</v>
          </cell>
        </row>
        <row r="109">
          <cell r="A109" t="str">
            <v>Other Ruggedized</v>
          </cell>
          <cell r="D109">
            <v>50</v>
          </cell>
          <cell r="E109">
            <v>50</v>
          </cell>
          <cell r="F109">
            <v>50</v>
          </cell>
          <cell r="G109">
            <v>50</v>
          </cell>
          <cell r="H109">
            <v>50</v>
          </cell>
          <cell r="I109">
            <v>55</v>
          </cell>
          <cell r="J109">
            <v>55</v>
          </cell>
          <cell r="K109">
            <v>60</v>
          </cell>
          <cell r="L109">
            <v>60</v>
          </cell>
          <cell r="M109">
            <v>60</v>
          </cell>
        </row>
        <row r="110">
          <cell r="A110" t="str">
            <v>-total Rugged Prod</v>
          </cell>
          <cell r="D110">
            <v>125</v>
          </cell>
          <cell r="E110">
            <v>125</v>
          </cell>
          <cell r="F110">
            <v>125</v>
          </cell>
          <cell r="G110">
            <v>125</v>
          </cell>
          <cell r="H110">
            <v>125</v>
          </cell>
          <cell r="I110">
            <v>130</v>
          </cell>
          <cell r="J110">
            <v>135</v>
          </cell>
          <cell r="K110">
            <v>145</v>
          </cell>
          <cell r="L110">
            <v>145</v>
          </cell>
          <cell r="M110">
            <v>145</v>
          </cell>
        </row>
        <row r="111">
          <cell r="A111" t="str">
            <v>Information Assurance/Security</v>
          </cell>
        </row>
        <row r="112">
          <cell r="A112" t="str">
            <v>TACLANE Encyrptor</v>
          </cell>
          <cell r="D112">
            <v>40</v>
          </cell>
          <cell r="E112">
            <v>42</v>
          </cell>
          <cell r="F112">
            <v>80</v>
          </cell>
          <cell r="G112">
            <v>75</v>
          </cell>
          <cell r="H112">
            <v>75</v>
          </cell>
          <cell r="I112">
            <v>75</v>
          </cell>
          <cell r="J112">
            <v>75</v>
          </cell>
          <cell r="K112">
            <v>75</v>
          </cell>
          <cell r="L112">
            <v>75</v>
          </cell>
          <cell r="M112">
            <v>75</v>
          </cell>
        </row>
        <row r="113">
          <cell r="A113" t="str">
            <v>Other Info Assurance</v>
          </cell>
          <cell r="D113">
            <v>75</v>
          </cell>
          <cell r="E113">
            <v>75</v>
          </cell>
          <cell r="F113">
            <v>75</v>
          </cell>
          <cell r="G113">
            <v>75</v>
          </cell>
          <cell r="H113">
            <v>75</v>
          </cell>
          <cell r="I113">
            <v>80</v>
          </cell>
          <cell r="J113">
            <v>85</v>
          </cell>
          <cell r="K113">
            <v>85</v>
          </cell>
          <cell r="L113">
            <v>90</v>
          </cell>
          <cell r="M113">
            <v>90</v>
          </cell>
        </row>
        <row r="114">
          <cell r="A114" t="str">
            <v>-total Info Assur</v>
          </cell>
          <cell r="D114">
            <v>115</v>
          </cell>
          <cell r="E114">
            <v>117</v>
          </cell>
          <cell r="F114">
            <v>155</v>
          </cell>
          <cell r="G114">
            <v>150</v>
          </cell>
          <cell r="H114">
            <v>150</v>
          </cell>
          <cell r="I114">
            <v>155</v>
          </cell>
          <cell r="J114">
            <v>160</v>
          </cell>
          <cell r="K114">
            <v>160</v>
          </cell>
          <cell r="L114">
            <v>165</v>
          </cell>
          <cell r="M114">
            <v>165</v>
          </cell>
        </row>
        <row r="115">
          <cell r="A115" t="str">
            <v>Training/Distance Learning</v>
          </cell>
        </row>
        <row r="116">
          <cell r="A116" t="str">
            <v>Other Train/Dist Learn</v>
          </cell>
          <cell r="D116">
            <v>60</v>
          </cell>
          <cell r="E116">
            <v>60</v>
          </cell>
          <cell r="F116">
            <v>60</v>
          </cell>
          <cell r="G116">
            <v>60</v>
          </cell>
          <cell r="H116">
            <v>60</v>
          </cell>
          <cell r="I116">
            <v>60</v>
          </cell>
          <cell r="J116">
            <v>60</v>
          </cell>
          <cell r="K116">
            <v>60</v>
          </cell>
          <cell r="L116">
            <v>60</v>
          </cell>
          <cell r="M116">
            <v>60</v>
          </cell>
        </row>
        <row r="117">
          <cell r="A117" t="str">
            <v>-total Train/Dist Learn</v>
          </cell>
          <cell r="D117">
            <v>60</v>
          </cell>
          <cell r="E117">
            <v>60</v>
          </cell>
          <cell r="F117">
            <v>60</v>
          </cell>
          <cell r="G117">
            <v>60</v>
          </cell>
          <cell r="H117">
            <v>60</v>
          </cell>
          <cell r="I117">
            <v>60</v>
          </cell>
          <cell r="J117">
            <v>60</v>
          </cell>
          <cell r="K117">
            <v>60</v>
          </cell>
          <cell r="L117">
            <v>60</v>
          </cell>
          <cell r="M117">
            <v>60</v>
          </cell>
        </row>
        <row r="118">
          <cell r="A118" t="str">
            <v>Tactical Communications</v>
          </cell>
        </row>
        <row r="119">
          <cell r="A119" t="str">
            <v>Tactical Data Network</v>
          </cell>
          <cell r="D119">
            <v>25</v>
          </cell>
          <cell r="E119">
            <v>25</v>
          </cell>
          <cell r="F119">
            <v>25</v>
          </cell>
          <cell r="G119">
            <v>25</v>
          </cell>
          <cell r="H119">
            <v>25</v>
          </cell>
          <cell r="I119">
            <v>25</v>
          </cell>
          <cell r="J119">
            <v>25</v>
          </cell>
          <cell r="K119">
            <v>25</v>
          </cell>
          <cell r="L119">
            <v>25</v>
          </cell>
          <cell r="M119">
            <v>25</v>
          </cell>
        </row>
        <row r="120">
          <cell r="A120" t="str">
            <v>WIN-T</v>
          </cell>
          <cell r="F120">
            <v>10</v>
          </cell>
          <cell r="G120">
            <v>25</v>
          </cell>
          <cell r="H120">
            <v>25</v>
          </cell>
          <cell r="I120">
            <v>45</v>
          </cell>
          <cell r="J120">
            <v>50</v>
          </cell>
          <cell r="K120">
            <v>75</v>
          </cell>
          <cell r="L120">
            <v>75</v>
          </cell>
          <cell r="M120">
            <v>75</v>
          </cell>
        </row>
        <row r="121">
          <cell r="A121" t="str">
            <v>Defense Messaging</v>
          </cell>
          <cell r="D121">
            <v>11</v>
          </cell>
          <cell r="E121">
            <v>15</v>
          </cell>
          <cell r="F121">
            <v>15</v>
          </cell>
          <cell r="G121">
            <v>15</v>
          </cell>
        </row>
        <row r="122">
          <cell r="A122" t="str">
            <v>Tactical Switches</v>
          </cell>
          <cell r="D122">
            <v>10</v>
          </cell>
          <cell r="E122">
            <v>10</v>
          </cell>
          <cell r="F122">
            <v>10</v>
          </cell>
          <cell r="G122">
            <v>10</v>
          </cell>
          <cell r="H122">
            <v>10</v>
          </cell>
          <cell r="I122">
            <v>10</v>
          </cell>
          <cell r="J122">
            <v>10</v>
          </cell>
          <cell r="K122">
            <v>10</v>
          </cell>
          <cell r="L122">
            <v>10</v>
          </cell>
          <cell r="M122">
            <v>10</v>
          </cell>
        </row>
        <row r="123">
          <cell r="A123" t="str">
            <v>Other Tact Comm</v>
          </cell>
          <cell r="D123">
            <v>100</v>
          </cell>
          <cell r="E123">
            <v>100</v>
          </cell>
          <cell r="F123">
            <v>100</v>
          </cell>
          <cell r="G123">
            <v>100</v>
          </cell>
          <cell r="H123">
            <v>125</v>
          </cell>
          <cell r="I123">
            <v>150</v>
          </cell>
          <cell r="J123">
            <v>175</v>
          </cell>
          <cell r="K123">
            <v>175</v>
          </cell>
          <cell r="L123">
            <v>200</v>
          </cell>
          <cell r="M123">
            <v>200</v>
          </cell>
        </row>
        <row r="124">
          <cell r="A124" t="str">
            <v>-total Tact Comm</v>
          </cell>
          <cell r="D124">
            <v>146</v>
          </cell>
          <cell r="E124">
            <v>150</v>
          </cell>
          <cell r="F124">
            <v>160</v>
          </cell>
          <cell r="G124">
            <v>175</v>
          </cell>
          <cell r="H124">
            <v>185</v>
          </cell>
          <cell r="I124">
            <v>230</v>
          </cell>
          <cell r="J124">
            <v>260</v>
          </cell>
          <cell r="K124">
            <v>285</v>
          </cell>
          <cell r="L124">
            <v>310</v>
          </cell>
          <cell r="M124">
            <v>310</v>
          </cell>
        </row>
        <row r="125">
          <cell r="A125" t="str">
            <v>GD Canada</v>
          </cell>
        </row>
        <row r="126">
          <cell r="A126" t="str">
            <v>IRIS</v>
          </cell>
          <cell r="D126">
            <v>70</v>
          </cell>
          <cell r="E126">
            <v>65</v>
          </cell>
          <cell r="F126">
            <v>60</v>
          </cell>
          <cell r="G126">
            <v>50</v>
          </cell>
          <cell r="H126">
            <v>50</v>
          </cell>
          <cell r="I126">
            <v>50</v>
          </cell>
          <cell r="J126">
            <v>50</v>
          </cell>
          <cell r="K126">
            <v>50</v>
          </cell>
          <cell r="L126">
            <v>50</v>
          </cell>
          <cell r="M126">
            <v>50</v>
          </cell>
        </row>
        <row r="127">
          <cell r="A127" t="str">
            <v>CP-140</v>
          </cell>
          <cell r="D127">
            <v>10</v>
          </cell>
          <cell r="E127">
            <v>10</v>
          </cell>
          <cell r="F127">
            <v>20</v>
          </cell>
          <cell r="G127">
            <v>20</v>
          </cell>
          <cell r="H127">
            <v>20</v>
          </cell>
          <cell r="I127">
            <v>20</v>
          </cell>
          <cell r="J127">
            <v>20</v>
          </cell>
          <cell r="K127">
            <v>20</v>
          </cell>
          <cell r="L127">
            <v>20</v>
          </cell>
          <cell r="M127">
            <v>20</v>
          </cell>
        </row>
        <row r="128">
          <cell r="A128" t="str">
            <v>Other GD Can</v>
          </cell>
          <cell r="D128">
            <v>120</v>
          </cell>
          <cell r="E128">
            <v>125</v>
          </cell>
          <cell r="F128">
            <v>120</v>
          </cell>
          <cell r="G128">
            <v>130</v>
          </cell>
          <cell r="H128">
            <v>130</v>
          </cell>
          <cell r="I128">
            <v>140</v>
          </cell>
          <cell r="J128">
            <v>145</v>
          </cell>
          <cell r="K128">
            <v>145</v>
          </cell>
          <cell r="L128">
            <v>150</v>
          </cell>
          <cell r="M128">
            <v>150</v>
          </cell>
        </row>
        <row r="129">
          <cell r="A129" t="str">
            <v>-total GD Canada</v>
          </cell>
          <cell r="D129">
            <v>200</v>
          </cell>
          <cell r="E129">
            <v>200</v>
          </cell>
          <cell r="F129">
            <v>200</v>
          </cell>
          <cell r="G129">
            <v>200</v>
          </cell>
          <cell r="H129">
            <v>200</v>
          </cell>
          <cell r="I129">
            <v>210</v>
          </cell>
          <cell r="J129">
            <v>215</v>
          </cell>
          <cell r="K129">
            <v>215</v>
          </cell>
          <cell r="L129">
            <v>220</v>
          </cell>
          <cell r="M129">
            <v>220</v>
          </cell>
        </row>
        <row r="130">
          <cell r="A130" t="str">
            <v>-TOTAL  C4S</v>
          </cell>
          <cell r="D130">
            <v>771</v>
          </cell>
          <cell r="E130">
            <v>802</v>
          </cell>
          <cell r="F130">
            <v>850</v>
          </cell>
          <cell r="G130">
            <v>870</v>
          </cell>
          <cell r="H130">
            <v>880</v>
          </cell>
          <cell r="I130">
            <v>955</v>
          </cell>
          <cell r="J130">
            <v>1015</v>
          </cell>
          <cell r="K130">
            <v>1055</v>
          </cell>
          <cell r="L130">
            <v>1090</v>
          </cell>
          <cell r="M130">
            <v>1090</v>
          </cell>
        </row>
        <row r="131">
          <cell r="A131" t="str">
            <v>Est C4S Op Prof</v>
          </cell>
          <cell r="D131">
            <v>70</v>
          </cell>
          <cell r="E131">
            <v>80</v>
          </cell>
          <cell r="F131">
            <v>85</v>
          </cell>
          <cell r="G131">
            <v>87</v>
          </cell>
          <cell r="H131">
            <v>88</v>
          </cell>
          <cell r="I131">
            <v>90</v>
          </cell>
          <cell r="J131">
            <v>95</v>
          </cell>
          <cell r="K131">
            <v>98</v>
          </cell>
          <cell r="L131">
            <v>100</v>
          </cell>
          <cell r="M131">
            <v>100</v>
          </cell>
        </row>
        <row r="132">
          <cell r="A132" t="str">
            <v>% sls</v>
          </cell>
          <cell r="D132">
            <v>9.0791180285343706E-2</v>
          </cell>
          <cell r="E132">
            <v>9.9750623441396513E-2</v>
          </cell>
          <cell r="F132">
            <v>0.1</v>
          </cell>
          <cell r="G132">
            <v>0.1</v>
          </cell>
          <cell r="H132">
            <v>0.1</v>
          </cell>
          <cell r="I132">
            <v>9.4240837696335081E-2</v>
          </cell>
          <cell r="J132">
            <v>9.3596059113300489E-2</v>
          </cell>
          <cell r="K132">
            <v>9.2890995260663509E-2</v>
          </cell>
          <cell r="L132">
            <v>9.1743119266055051E-2</v>
          </cell>
          <cell r="M132">
            <v>9.1743119266055051E-2</v>
          </cell>
        </row>
        <row r="134">
          <cell r="A134" t="str">
            <v>Decision Systems Heritage (Now C4 Systems with C4 Heritage)</v>
          </cell>
        </row>
        <row r="135">
          <cell r="A135" t="str">
            <v>Land Warrior</v>
          </cell>
          <cell r="F135">
            <v>10</v>
          </cell>
          <cell r="G135">
            <v>30</v>
          </cell>
          <cell r="H135">
            <v>50</v>
          </cell>
          <cell r="I135">
            <v>60</v>
          </cell>
          <cell r="J135">
            <v>70</v>
          </cell>
          <cell r="K135">
            <v>75</v>
          </cell>
          <cell r="L135">
            <v>80</v>
          </cell>
          <cell r="M135">
            <v>80</v>
          </cell>
        </row>
        <row r="136">
          <cell r="A136" t="str">
            <v>Rescue21</v>
          </cell>
          <cell r="F136">
            <v>20</v>
          </cell>
          <cell r="G136">
            <v>25</v>
          </cell>
          <cell r="H136">
            <v>45</v>
          </cell>
          <cell r="I136">
            <v>70</v>
          </cell>
          <cell r="J136">
            <v>75</v>
          </cell>
          <cell r="K136">
            <v>110</v>
          </cell>
          <cell r="L136">
            <v>125</v>
          </cell>
          <cell r="M136">
            <v>125</v>
          </cell>
        </row>
        <row r="137">
          <cell r="A137" t="str">
            <v>ICIDS</v>
          </cell>
        </row>
        <row r="138">
          <cell r="A138" t="str">
            <v>SM-3 Targeting</v>
          </cell>
          <cell r="F138">
            <v>5</v>
          </cell>
          <cell r="G138">
            <v>30</v>
          </cell>
          <cell r="H138">
            <v>40</v>
          </cell>
          <cell r="I138">
            <v>40</v>
          </cell>
          <cell r="J138">
            <v>40</v>
          </cell>
          <cell r="K138">
            <v>30</v>
          </cell>
          <cell r="L138">
            <v>30</v>
          </cell>
          <cell r="M138">
            <v>30</v>
          </cell>
        </row>
        <row r="139">
          <cell r="A139" t="str">
            <v>Marine UOCs</v>
          </cell>
          <cell r="F139">
            <v>5</v>
          </cell>
          <cell r="G139">
            <v>20</v>
          </cell>
          <cell r="H139">
            <v>40</v>
          </cell>
          <cell r="I139">
            <v>45</v>
          </cell>
          <cell r="J139">
            <v>50</v>
          </cell>
          <cell r="K139">
            <v>50</v>
          </cell>
          <cell r="L139">
            <v>50</v>
          </cell>
          <cell r="M139">
            <v>50</v>
          </cell>
        </row>
        <row r="140">
          <cell r="A140" t="str">
            <v>C4ISR</v>
          </cell>
        </row>
        <row r="141">
          <cell r="A141" t="str">
            <v>WIN-T</v>
          </cell>
        </row>
        <row r="142">
          <cell r="A142" t="str">
            <v>FCS</v>
          </cell>
          <cell r="H142">
            <v>10</v>
          </cell>
          <cell r="I142">
            <v>20</v>
          </cell>
          <cell r="J142">
            <v>25</v>
          </cell>
          <cell r="K142">
            <v>25</v>
          </cell>
          <cell r="L142">
            <v>10</v>
          </cell>
          <cell r="M142">
            <v>10</v>
          </cell>
        </row>
        <row r="143">
          <cell r="A143" t="str">
            <v>High Assurance Information and Security</v>
          </cell>
        </row>
        <row r="144">
          <cell r="A144" t="str">
            <v>AIM Software</v>
          </cell>
          <cell r="H144">
            <v>8</v>
          </cell>
          <cell r="I144">
            <v>10</v>
          </cell>
          <cell r="J144">
            <v>10</v>
          </cell>
          <cell r="K144">
            <v>10</v>
          </cell>
          <cell r="L144">
            <v>10</v>
          </cell>
          <cell r="M144">
            <v>10</v>
          </cell>
        </row>
        <row r="145">
          <cell r="A145" t="str">
            <v>Radio Products</v>
          </cell>
        </row>
        <row r="146">
          <cell r="A146" t="str">
            <v>Radio Systems</v>
          </cell>
        </row>
        <row r="147">
          <cell r="A147" t="str">
            <v>JTRS</v>
          </cell>
        </row>
        <row r="148">
          <cell r="A148" t="str">
            <v>DMR</v>
          </cell>
        </row>
        <row r="149">
          <cell r="A149" t="str">
            <v>SDR</v>
          </cell>
        </row>
        <row r="150">
          <cell r="A150" t="str">
            <v>Simulation &amp; Modeling</v>
          </cell>
        </row>
        <row r="151">
          <cell r="A151" t="str">
            <v>Space Systems &amp; Services</v>
          </cell>
          <cell r="E151">
            <v>10</v>
          </cell>
          <cell r="F151">
            <v>20</v>
          </cell>
        </row>
        <row r="152">
          <cell r="A152" t="str">
            <v>Tactical &amp; Remote Switching Systems</v>
          </cell>
        </row>
        <row r="153">
          <cell r="A153" t="str">
            <v>Common Ground Stations</v>
          </cell>
        </row>
        <row r="154">
          <cell r="A154" t="str">
            <v>Terrestrial Comm Products</v>
          </cell>
          <cell r="F154">
            <v>5</v>
          </cell>
          <cell r="G154">
            <v>15</v>
          </cell>
          <cell r="H154">
            <v>15</v>
          </cell>
          <cell r="I154">
            <v>15</v>
          </cell>
        </row>
        <row r="155">
          <cell r="A155" t="str">
            <v>Test Equipment</v>
          </cell>
        </row>
        <row r="156">
          <cell r="A156" t="str">
            <v>Info Security</v>
          </cell>
        </row>
        <row r="157">
          <cell r="A157" t="str">
            <v>Other DS</v>
          </cell>
          <cell r="E157">
            <v>180</v>
          </cell>
          <cell r="F157">
            <v>655</v>
          </cell>
          <cell r="G157">
            <v>685</v>
          </cell>
          <cell r="H157">
            <v>665</v>
          </cell>
          <cell r="I157">
            <v>700</v>
          </cell>
          <cell r="J157">
            <v>725</v>
          </cell>
          <cell r="K157">
            <v>750</v>
          </cell>
          <cell r="L157">
            <v>775</v>
          </cell>
          <cell r="M157">
            <v>775</v>
          </cell>
        </row>
        <row r="158">
          <cell r="A158" t="str">
            <v>-total DS</v>
          </cell>
          <cell r="E158">
            <v>190</v>
          </cell>
          <cell r="F158">
            <v>720</v>
          </cell>
          <cell r="G158">
            <v>805</v>
          </cell>
          <cell r="H158">
            <v>873</v>
          </cell>
          <cell r="I158">
            <v>960</v>
          </cell>
          <cell r="J158">
            <v>995</v>
          </cell>
          <cell r="K158">
            <v>1050</v>
          </cell>
          <cell r="L158">
            <v>1080</v>
          </cell>
          <cell r="M158">
            <v>1080</v>
          </cell>
        </row>
        <row r="159">
          <cell r="A159" t="str">
            <v>Est DS Op Prof</v>
          </cell>
          <cell r="E159">
            <v>22</v>
          </cell>
          <cell r="F159">
            <v>90</v>
          </cell>
          <cell r="G159">
            <v>100</v>
          </cell>
          <cell r="H159">
            <v>104</v>
          </cell>
          <cell r="I159">
            <v>108</v>
          </cell>
          <cell r="J159">
            <v>110</v>
          </cell>
          <cell r="K159">
            <v>112</v>
          </cell>
          <cell r="L159">
            <v>115</v>
          </cell>
          <cell r="M159">
            <v>115</v>
          </cell>
        </row>
        <row r="160">
          <cell r="A160" t="str">
            <v>% sls</v>
          </cell>
          <cell r="E160">
            <v>0.11578947368421053</v>
          </cell>
          <cell r="F160">
            <v>0.125</v>
          </cell>
          <cell r="G160">
            <v>0.12422360248447205</v>
          </cell>
          <cell r="H160">
            <v>0.11912943871706758</v>
          </cell>
          <cell r="I160">
            <v>0.1125</v>
          </cell>
          <cell r="J160">
            <v>0.11055276381909548</v>
          </cell>
          <cell r="K160">
            <v>0.10666666666666667</v>
          </cell>
          <cell r="L160">
            <v>0.10648148148148148</v>
          </cell>
          <cell r="M160">
            <v>0.10648148148148148</v>
          </cell>
        </row>
        <row r="162">
          <cell r="A162" t="str">
            <v>Network Systems</v>
          </cell>
        </row>
        <row r="163">
          <cell r="A163" t="str">
            <v>ADCS</v>
          </cell>
          <cell r="D163">
            <v>10</v>
          </cell>
          <cell r="E163">
            <v>20</v>
          </cell>
          <cell r="F163">
            <v>20</v>
          </cell>
          <cell r="G163">
            <v>70</v>
          </cell>
          <cell r="H163">
            <v>70</v>
          </cell>
          <cell r="I163">
            <v>70</v>
          </cell>
        </row>
        <row r="164">
          <cell r="A164" t="str">
            <v>BLII OCONUS</v>
          </cell>
          <cell r="D164">
            <v>5</v>
          </cell>
          <cell r="E164">
            <v>20</v>
          </cell>
          <cell r="F164">
            <v>50</v>
          </cell>
          <cell r="G164">
            <v>45</v>
          </cell>
        </row>
        <row r="165">
          <cell r="A165" t="str">
            <v>NMCI</v>
          </cell>
          <cell r="D165" t="str">
            <v>Find out these two</v>
          </cell>
        </row>
        <row r="166">
          <cell r="A166" t="str">
            <v>Pentagon Renov</v>
          </cell>
          <cell r="D166" t="str">
            <v>Find out these two</v>
          </cell>
        </row>
        <row r="167">
          <cell r="A167" t="str">
            <v xml:space="preserve">CIO-SP2i </v>
          </cell>
        </row>
        <row r="168">
          <cell r="A168" t="str">
            <v>JIATF</v>
          </cell>
          <cell r="D168">
            <v>2</v>
          </cell>
          <cell r="E168">
            <v>2</v>
          </cell>
          <cell r="F168">
            <v>2</v>
          </cell>
          <cell r="G168">
            <v>5</v>
          </cell>
          <cell r="H168">
            <v>5</v>
          </cell>
          <cell r="I168">
            <v>5</v>
          </cell>
          <cell r="J168">
            <v>5</v>
          </cell>
          <cell r="K168">
            <v>5</v>
          </cell>
          <cell r="L168">
            <v>5</v>
          </cell>
          <cell r="M168">
            <v>5</v>
          </cell>
        </row>
        <row r="169">
          <cell r="A169" t="str">
            <v>DSSMP</v>
          </cell>
          <cell r="F169">
            <v>2</v>
          </cell>
          <cell r="G169">
            <v>3</v>
          </cell>
          <cell r="H169">
            <v>3</v>
          </cell>
          <cell r="I169">
            <v>3</v>
          </cell>
          <cell r="J169">
            <v>3</v>
          </cell>
          <cell r="K169">
            <v>3</v>
          </cell>
          <cell r="L169">
            <v>3</v>
          </cell>
          <cell r="M169">
            <v>3</v>
          </cell>
        </row>
        <row r="170">
          <cell r="A170" t="str">
            <v>ICE2</v>
          </cell>
          <cell r="D170">
            <v>5</v>
          </cell>
          <cell r="E170">
            <v>5</v>
          </cell>
          <cell r="F170">
            <v>10</v>
          </cell>
          <cell r="G170">
            <v>20</v>
          </cell>
          <cell r="H170">
            <v>40</v>
          </cell>
          <cell r="I170">
            <v>40</v>
          </cell>
          <cell r="J170">
            <v>40</v>
          </cell>
          <cell r="K170">
            <v>40</v>
          </cell>
          <cell r="L170">
            <v>40</v>
          </cell>
          <cell r="M170">
            <v>40</v>
          </cell>
        </row>
        <row r="171">
          <cell r="A171" t="str">
            <v>ITS</v>
          </cell>
          <cell r="D171">
            <v>20</v>
          </cell>
          <cell r="E171">
            <v>35</v>
          </cell>
          <cell r="F171">
            <v>35</v>
          </cell>
          <cell r="G171">
            <v>50</v>
          </cell>
          <cell r="H171">
            <v>50</v>
          </cell>
          <cell r="I171">
            <v>50</v>
          </cell>
          <cell r="J171">
            <v>50</v>
          </cell>
          <cell r="K171">
            <v>50</v>
          </cell>
          <cell r="L171">
            <v>50</v>
          </cell>
          <cell r="M171">
            <v>50</v>
          </cell>
        </row>
        <row r="172">
          <cell r="A172" t="str">
            <v>Groundbreaker</v>
          </cell>
          <cell r="D172">
            <v>5</v>
          </cell>
          <cell r="E172">
            <v>10</v>
          </cell>
          <cell r="F172">
            <v>20</v>
          </cell>
          <cell r="G172">
            <v>20</v>
          </cell>
          <cell r="H172">
            <v>20</v>
          </cell>
          <cell r="I172">
            <v>20</v>
          </cell>
          <cell r="J172">
            <v>20</v>
          </cell>
          <cell r="K172">
            <v>20</v>
          </cell>
          <cell r="L172">
            <v>20</v>
          </cell>
          <cell r="M172">
            <v>20</v>
          </cell>
        </row>
        <row r="173">
          <cell r="A173" t="str">
            <v>WIDTS</v>
          </cell>
        </row>
        <row r="174">
          <cell r="A174" t="str">
            <v>ViViD</v>
          </cell>
          <cell r="G174">
            <v>2</v>
          </cell>
          <cell r="H174">
            <v>2</v>
          </cell>
          <cell r="I174">
            <v>2</v>
          </cell>
          <cell r="J174">
            <v>2</v>
          </cell>
          <cell r="K174">
            <v>2</v>
          </cell>
          <cell r="L174">
            <v>2</v>
          </cell>
          <cell r="M174">
            <v>2</v>
          </cell>
        </row>
        <row r="175">
          <cell r="A175" t="str">
            <v>Saudi Aramco</v>
          </cell>
          <cell r="D175">
            <v>2</v>
          </cell>
          <cell r="E175">
            <v>33</v>
          </cell>
          <cell r="F175">
            <v>21</v>
          </cell>
          <cell r="G175">
            <v>13</v>
          </cell>
          <cell r="H175">
            <v>2</v>
          </cell>
        </row>
        <row r="176">
          <cell r="A176" t="str">
            <v>Other NS</v>
          </cell>
          <cell r="D176">
            <v>510</v>
          </cell>
          <cell r="E176">
            <v>625</v>
          </cell>
          <cell r="F176">
            <v>720</v>
          </cell>
          <cell r="G176">
            <v>800</v>
          </cell>
          <cell r="H176">
            <v>1300</v>
          </cell>
          <cell r="I176">
            <v>1450</v>
          </cell>
          <cell r="J176">
            <v>1550</v>
          </cell>
          <cell r="K176">
            <v>1650</v>
          </cell>
          <cell r="L176">
            <v>1700</v>
          </cell>
          <cell r="M176">
            <v>1700</v>
          </cell>
        </row>
        <row r="177">
          <cell r="A177" t="str">
            <v>-total NS</v>
          </cell>
          <cell r="D177">
            <v>559</v>
          </cell>
          <cell r="E177">
            <v>750</v>
          </cell>
          <cell r="F177">
            <v>880</v>
          </cell>
          <cell r="G177">
            <v>1028</v>
          </cell>
          <cell r="H177">
            <v>1492</v>
          </cell>
          <cell r="I177">
            <v>1640</v>
          </cell>
          <cell r="J177">
            <v>1670</v>
          </cell>
          <cell r="K177">
            <v>1770</v>
          </cell>
          <cell r="L177">
            <v>1820</v>
          </cell>
          <cell r="M177">
            <v>1820</v>
          </cell>
        </row>
        <row r="178">
          <cell r="A178" t="str">
            <v>Est NS Op Prof</v>
          </cell>
          <cell r="D178">
            <v>54</v>
          </cell>
          <cell r="E178">
            <v>71</v>
          </cell>
          <cell r="F178">
            <v>90</v>
          </cell>
          <cell r="G178">
            <v>105</v>
          </cell>
          <cell r="H178">
            <v>155</v>
          </cell>
          <cell r="I178">
            <v>180</v>
          </cell>
          <cell r="J178">
            <v>185</v>
          </cell>
          <cell r="K178">
            <v>195</v>
          </cell>
          <cell r="L178">
            <v>200</v>
          </cell>
          <cell r="M178">
            <v>200</v>
          </cell>
        </row>
        <row r="179">
          <cell r="A179" t="str">
            <v>% sls</v>
          </cell>
          <cell r="D179">
            <v>9.6601073345259386E-2</v>
          </cell>
          <cell r="E179">
            <v>9.4666666666666663E-2</v>
          </cell>
          <cell r="F179">
            <v>0.10227272727272728</v>
          </cell>
          <cell r="G179">
            <v>0.10214007782101167</v>
          </cell>
          <cell r="H179">
            <v>0.10388739946380697</v>
          </cell>
          <cell r="I179">
            <v>0.10975609756097561</v>
          </cell>
          <cell r="J179">
            <v>0.11077844311377245</v>
          </cell>
          <cell r="K179">
            <v>0.11016949152542373</v>
          </cell>
          <cell r="L179">
            <v>0.10989010989010989</v>
          </cell>
          <cell r="M179">
            <v>0.10989010989010989</v>
          </cell>
        </row>
        <row r="181">
          <cell r="A181" t="str">
            <v>GD UK</v>
          </cell>
        </row>
        <row r="182">
          <cell r="A182" t="str">
            <v>Bowman</v>
          </cell>
          <cell r="E182">
            <v>50</v>
          </cell>
          <cell r="F182">
            <v>368</v>
          </cell>
          <cell r="G182">
            <v>360</v>
          </cell>
          <cell r="H182">
            <v>450</v>
          </cell>
          <cell r="I182">
            <v>700</v>
          </cell>
          <cell r="J182">
            <v>700</v>
          </cell>
          <cell r="K182">
            <v>500</v>
          </cell>
          <cell r="L182">
            <v>400</v>
          </cell>
          <cell r="M182">
            <v>400</v>
          </cell>
        </row>
        <row r="183">
          <cell r="A183" t="str">
            <v>Digitization</v>
          </cell>
          <cell r="F183">
            <v>5</v>
          </cell>
          <cell r="G183">
            <v>50</v>
          </cell>
          <cell r="H183">
            <v>80</v>
          </cell>
          <cell r="I183">
            <v>80</v>
          </cell>
          <cell r="J183">
            <v>80</v>
          </cell>
          <cell r="K183">
            <v>80</v>
          </cell>
          <cell r="L183">
            <v>80</v>
          </cell>
          <cell r="M183">
            <v>80</v>
          </cell>
        </row>
        <row r="184">
          <cell r="A184" t="str">
            <v>Mission Systems</v>
          </cell>
          <cell r="G184">
            <v>10</v>
          </cell>
          <cell r="H184">
            <v>10</v>
          </cell>
          <cell r="I184">
            <v>10</v>
          </cell>
          <cell r="J184">
            <v>10</v>
          </cell>
          <cell r="K184">
            <v>10</v>
          </cell>
          <cell r="L184">
            <v>10</v>
          </cell>
          <cell r="M184">
            <v>10</v>
          </cell>
        </row>
        <row r="185">
          <cell r="A185" t="str">
            <v>Other GD UK</v>
          </cell>
          <cell r="D185">
            <v>80</v>
          </cell>
          <cell r="E185">
            <v>80</v>
          </cell>
          <cell r="F185">
            <v>20</v>
          </cell>
          <cell r="G185">
            <v>50</v>
          </cell>
          <cell r="H185">
            <v>40</v>
          </cell>
          <cell r="I185">
            <v>40</v>
          </cell>
          <cell r="J185">
            <v>40</v>
          </cell>
          <cell r="K185">
            <v>45</v>
          </cell>
          <cell r="L185">
            <v>50</v>
          </cell>
          <cell r="M185">
            <v>50</v>
          </cell>
        </row>
        <row r="186">
          <cell r="A186" t="str">
            <v>-total GD UK</v>
          </cell>
          <cell r="D186">
            <v>80</v>
          </cell>
          <cell r="E186">
            <v>130</v>
          </cell>
          <cell r="F186">
            <v>393</v>
          </cell>
          <cell r="G186">
            <v>470</v>
          </cell>
          <cell r="H186">
            <v>580</v>
          </cell>
          <cell r="I186">
            <v>830</v>
          </cell>
          <cell r="J186">
            <v>830</v>
          </cell>
          <cell r="K186">
            <v>635</v>
          </cell>
          <cell r="L186">
            <v>540</v>
          </cell>
          <cell r="M186">
            <v>540</v>
          </cell>
        </row>
        <row r="187">
          <cell r="A187" t="str">
            <v>Est GD UK Op Prof</v>
          </cell>
          <cell r="D187">
            <v>6</v>
          </cell>
          <cell r="E187">
            <v>8</v>
          </cell>
          <cell r="F187">
            <v>34</v>
          </cell>
          <cell r="G187">
            <v>38</v>
          </cell>
          <cell r="H187">
            <v>48</v>
          </cell>
          <cell r="I187">
            <v>68</v>
          </cell>
          <cell r="J187">
            <v>68</v>
          </cell>
          <cell r="K187">
            <v>52</v>
          </cell>
          <cell r="L187">
            <v>54</v>
          </cell>
          <cell r="M187">
            <v>54</v>
          </cell>
        </row>
        <row r="188">
          <cell r="A188" t="str">
            <v>% sls</v>
          </cell>
          <cell r="D188">
            <v>7.4999999999999997E-2</v>
          </cell>
          <cell r="E188">
            <v>6.1538461538461542E-2</v>
          </cell>
          <cell r="F188">
            <v>8.6513994910941472E-2</v>
          </cell>
          <cell r="G188">
            <v>8.085106382978724E-2</v>
          </cell>
          <cell r="H188">
            <v>8.2758620689655171E-2</v>
          </cell>
          <cell r="I188">
            <v>8.1927710843373497E-2</v>
          </cell>
          <cell r="J188">
            <v>8.1927710843373497E-2</v>
          </cell>
          <cell r="K188">
            <v>8.1889763779527558E-2</v>
          </cell>
          <cell r="L188">
            <v>0.1</v>
          </cell>
          <cell r="M188">
            <v>0.1</v>
          </cell>
        </row>
        <row r="190">
          <cell r="A190" t="str">
            <v>Veridian</v>
          </cell>
        </row>
        <row r="191">
          <cell r="A191" t="str">
            <v>-total VNX</v>
          </cell>
          <cell r="G191">
            <v>300</v>
          </cell>
          <cell r="H191">
            <v>1400</v>
          </cell>
          <cell r="I191">
            <v>1350</v>
          </cell>
          <cell r="J191">
            <v>1475</v>
          </cell>
          <cell r="K191">
            <v>1575</v>
          </cell>
          <cell r="L191">
            <v>1650</v>
          </cell>
          <cell r="M191">
            <v>1650</v>
          </cell>
        </row>
        <row r="192">
          <cell r="A192" t="str">
            <v>Est VNX Op Prof</v>
          </cell>
          <cell r="G192">
            <v>23</v>
          </cell>
          <cell r="H192">
            <v>105</v>
          </cell>
          <cell r="I192">
            <v>115</v>
          </cell>
          <cell r="J192">
            <v>120</v>
          </cell>
          <cell r="K192">
            <v>125</v>
          </cell>
          <cell r="L192">
            <v>130</v>
          </cell>
          <cell r="M192">
            <v>130</v>
          </cell>
        </row>
        <row r="193">
          <cell r="A193" t="str">
            <v>% sls</v>
          </cell>
          <cell r="G193">
            <v>7.6666666666666661E-2</v>
          </cell>
          <cell r="H193">
            <v>7.4999999999999997E-2</v>
          </cell>
          <cell r="I193">
            <v>8.5185185185185183E-2</v>
          </cell>
          <cell r="J193">
            <v>8.1355932203389825E-2</v>
          </cell>
          <cell r="K193">
            <v>7.9365079365079361E-2</v>
          </cell>
          <cell r="L193">
            <v>7.8787878787878782E-2</v>
          </cell>
          <cell r="M193">
            <v>7.8787878787878782E-2</v>
          </cell>
        </row>
        <row r="195">
          <cell r="A195" t="str">
            <v>Total IST</v>
          </cell>
          <cell r="D195">
            <v>2260</v>
          </cell>
          <cell r="E195">
            <v>2772</v>
          </cell>
          <cell r="F195">
            <v>3783</v>
          </cell>
          <cell r="G195">
            <v>4534.25</v>
          </cell>
          <cell r="H195">
            <v>6415</v>
          </cell>
          <cell r="I195">
            <v>6980</v>
          </cell>
          <cell r="J195">
            <v>7409</v>
          </cell>
          <cell r="K195">
            <v>7584</v>
          </cell>
          <cell r="L195">
            <v>7765</v>
          </cell>
          <cell r="M195">
            <v>7765</v>
          </cell>
        </row>
        <row r="196">
          <cell r="A196" t="str">
            <v>cushion</v>
          </cell>
          <cell r="D196">
            <v>77</v>
          </cell>
          <cell r="E196">
            <v>-81</v>
          </cell>
          <cell r="F196">
            <v>-114</v>
          </cell>
          <cell r="G196">
            <v>313.75</v>
          </cell>
          <cell r="H196">
            <v>307</v>
          </cell>
          <cell r="I196">
            <v>846</v>
          </cell>
          <cell r="J196">
            <v>1615</v>
          </cell>
          <cell r="K196">
            <v>2038</v>
          </cell>
          <cell r="L196">
            <v>2273</v>
          </cell>
          <cell r="M196">
            <v>3035</v>
          </cell>
        </row>
        <row r="197">
          <cell r="A197" t="str">
            <v>vs. Main</v>
          </cell>
          <cell r="D197">
            <v>2337</v>
          </cell>
          <cell r="E197">
            <v>2691</v>
          </cell>
          <cell r="F197">
            <v>3669</v>
          </cell>
          <cell r="G197">
            <v>4848</v>
          </cell>
          <cell r="H197">
            <v>6722</v>
          </cell>
          <cell r="I197">
            <v>7826</v>
          </cell>
          <cell r="J197">
            <v>9024</v>
          </cell>
          <cell r="K197">
            <v>9622</v>
          </cell>
          <cell r="L197">
            <v>10038</v>
          </cell>
          <cell r="M197">
            <v>10800</v>
          </cell>
        </row>
        <row r="199">
          <cell r="A199" t="str">
            <v>Total IST Op Prof</v>
          </cell>
          <cell r="D199">
            <v>205</v>
          </cell>
          <cell r="E199">
            <v>260</v>
          </cell>
          <cell r="F199">
            <v>387</v>
          </cell>
          <cell r="G199">
            <v>450</v>
          </cell>
          <cell r="H199">
            <v>600</v>
          </cell>
          <cell r="I199">
            <v>661</v>
          </cell>
          <cell r="J199">
            <v>688</v>
          </cell>
          <cell r="K199">
            <v>692</v>
          </cell>
          <cell r="L199">
            <v>709</v>
          </cell>
          <cell r="M199">
            <v>709</v>
          </cell>
        </row>
        <row r="200">
          <cell r="A200" t="str">
            <v>cushion</v>
          </cell>
          <cell r="G200">
            <v>83</v>
          </cell>
          <cell r="H200">
            <v>118</v>
          </cell>
          <cell r="I200">
            <v>204</v>
          </cell>
          <cell r="J200">
            <v>288</v>
          </cell>
          <cell r="K200">
            <v>335</v>
          </cell>
          <cell r="L200">
            <v>366</v>
          </cell>
          <cell r="M200">
            <v>403.39999999999986</v>
          </cell>
        </row>
        <row r="201">
          <cell r="A201" t="str">
            <v>vs. Main</v>
          </cell>
          <cell r="D201">
            <v>217</v>
          </cell>
          <cell r="E201">
            <v>261</v>
          </cell>
          <cell r="F201">
            <v>435</v>
          </cell>
          <cell r="G201">
            <v>533</v>
          </cell>
          <cell r="H201">
            <v>718</v>
          </cell>
          <cell r="I201">
            <v>865</v>
          </cell>
          <cell r="J201">
            <v>976</v>
          </cell>
          <cell r="K201">
            <v>1027</v>
          </cell>
          <cell r="L201">
            <v>1075</v>
          </cell>
          <cell r="M201">
            <v>1112.3999999999999</v>
          </cell>
        </row>
        <row r="203">
          <cell r="A203" t="str">
            <v>% Sales</v>
          </cell>
          <cell r="D203">
            <v>9.0707964601769914E-2</v>
          </cell>
          <cell r="E203">
            <v>9.3795093795093792E-2</v>
          </cell>
          <cell r="F203">
            <v>0.10229976209357652</v>
          </cell>
          <cell r="G203">
            <v>9.9244638032750729E-2</v>
          </cell>
          <cell r="H203">
            <v>9.3530787217459083E-2</v>
          </cell>
          <cell r="I203">
            <v>9.4699140401146131E-2</v>
          </cell>
          <cell r="J203">
            <v>9.286003509245512E-2</v>
          </cell>
          <cell r="K203">
            <v>9.124472573839662E-2</v>
          </cell>
          <cell r="L203">
            <v>9.1307147456535731E-2</v>
          </cell>
          <cell r="M203">
            <v>9.1307147456535731E-2</v>
          </cell>
        </row>
        <row r="204">
          <cell r="A204" t="str">
            <v>vs Main</v>
          </cell>
          <cell r="D204">
            <v>9.2854086435601196E-2</v>
          </cell>
          <cell r="E204">
            <v>9.6989966555183951E-2</v>
          </cell>
          <cell r="F204">
            <v>0.11856091578086672</v>
          </cell>
          <cell r="G204">
            <v>0.10994224422442245</v>
          </cell>
          <cell r="H204">
            <v>0.1068134483784588</v>
          </cell>
          <cell r="I204">
            <v>0.11052900587784309</v>
          </cell>
          <cell r="J204">
            <v>0.10815602836879433</v>
          </cell>
          <cell r="K204">
            <v>0.1067345666181667</v>
          </cell>
          <cell r="L204">
            <v>0.10709304642359035</v>
          </cell>
          <cell r="M204">
            <v>0.10299999999999999</v>
          </cell>
        </row>
        <row r="206">
          <cell r="A206" t="str">
            <v>Contract Types</v>
          </cell>
        </row>
        <row r="207">
          <cell r="A207" t="str">
            <v>Fixed Price</v>
          </cell>
          <cell r="F207">
            <v>0.67</v>
          </cell>
        </row>
        <row r="208">
          <cell r="A208" t="str">
            <v>Cost-Plus</v>
          </cell>
          <cell r="F208">
            <v>0.33</v>
          </cell>
        </row>
        <row r="210">
          <cell r="A210" t="str">
            <v>Customers</v>
          </cell>
        </row>
        <row r="211">
          <cell r="A211" t="str">
            <v>International</v>
          </cell>
          <cell r="F211">
            <v>0.19</v>
          </cell>
        </row>
        <row r="212">
          <cell r="A212" t="str">
            <v>Classified/Other</v>
          </cell>
          <cell r="F212">
            <v>0.26</v>
          </cell>
        </row>
        <row r="213">
          <cell r="A213" t="str">
            <v>Army</v>
          </cell>
          <cell r="F213">
            <v>0.18</v>
          </cell>
        </row>
        <row r="214">
          <cell r="A214" t="str">
            <v>Navy</v>
          </cell>
          <cell r="F214">
            <v>0.16</v>
          </cell>
        </row>
        <row r="215">
          <cell r="A215" t="str">
            <v>USAF</v>
          </cell>
          <cell r="F215">
            <v>0.12</v>
          </cell>
        </row>
        <row r="216">
          <cell r="A216" t="str">
            <v>USMC</v>
          </cell>
          <cell r="F216">
            <v>0.02</v>
          </cell>
        </row>
        <row r="217">
          <cell r="A217" t="str">
            <v>Commercial</v>
          </cell>
          <cell r="F217">
            <v>7.0000000000000007E-2</v>
          </cell>
        </row>
        <row r="219">
          <cell r="A219" t="str">
            <v>Types of Products</v>
          </cell>
        </row>
        <row r="220">
          <cell r="A220" t="str">
            <v>Hardware</v>
          </cell>
          <cell r="F220">
            <v>0.53</v>
          </cell>
        </row>
        <row r="221">
          <cell r="A221" t="str">
            <v>Services</v>
          </cell>
          <cell r="F221">
            <v>0.33</v>
          </cell>
        </row>
        <row r="222">
          <cell r="A222" t="str">
            <v>Software</v>
          </cell>
          <cell r="F222">
            <v>0.14000000000000001</v>
          </cell>
        </row>
      </sheetData>
      <sheetData sheetId="10" refreshError="1">
        <row r="2">
          <cell r="AQ2" t="str">
            <v>GD Potential 2005 Earnings Power</v>
          </cell>
          <cell r="BE2" t="str">
            <v>Company Guidance History</v>
          </cell>
          <cell r="BS2" t="str">
            <v>GD Sales</v>
          </cell>
        </row>
        <row r="3">
          <cell r="BE3" t="str">
            <v>(a/o 12/03)</v>
          </cell>
          <cell r="BF3">
            <v>2004</v>
          </cell>
          <cell r="BH3">
            <v>2005</v>
          </cell>
          <cell r="BJ3">
            <v>2006</v>
          </cell>
          <cell r="BL3">
            <v>2007</v>
          </cell>
          <cell r="BU3">
            <v>2000</v>
          </cell>
          <cell r="BV3">
            <v>2001</v>
          </cell>
          <cell r="BW3">
            <v>2002</v>
          </cell>
          <cell r="BX3" t="str">
            <v>2003E</v>
          </cell>
          <cell r="BY3" t="str">
            <v>2004E</v>
          </cell>
          <cell r="BZ3" t="str">
            <v>2005E</v>
          </cell>
          <cell r="CA3" t="str">
            <v>Comments</v>
          </cell>
          <cell r="CH3">
            <v>2005</v>
          </cell>
          <cell r="CL3">
            <v>2006</v>
          </cell>
        </row>
        <row r="4">
          <cell r="BF4" t="str">
            <v>Revs</v>
          </cell>
          <cell r="BG4" t="str">
            <v>Op Prof</v>
          </cell>
          <cell r="BH4" t="str">
            <v>Revs</v>
          </cell>
          <cell r="BI4" t="str">
            <v>Op Prof</v>
          </cell>
          <cell r="BJ4" t="str">
            <v>Revs</v>
          </cell>
          <cell r="BK4" t="str">
            <v>Op Prof</v>
          </cell>
          <cell r="BL4" t="str">
            <v>Revs</v>
          </cell>
          <cell r="BM4" t="str">
            <v>Op Prof</v>
          </cell>
          <cell r="BS4" t="str">
            <v>Domestic</v>
          </cell>
          <cell r="BU4">
            <v>6056</v>
          </cell>
          <cell r="BV4">
            <v>7138</v>
          </cell>
          <cell r="BW4">
            <v>8385</v>
          </cell>
          <cell r="CH4" t="str">
            <v>1Q</v>
          </cell>
          <cell r="CI4" t="str">
            <v>2Q</v>
          </cell>
          <cell r="CJ4" t="str">
            <v>3Q</v>
          </cell>
          <cell r="CK4" t="str">
            <v>4Q</v>
          </cell>
          <cell r="CL4" t="str">
            <v>1Q</v>
          </cell>
          <cell r="CM4" t="str">
            <v>2Q</v>
          </cell>
          <cell r="CN4" t="str">
            <v>3Q</v>
          </cell>
          <cell r="CO4" t="str">
            <v>4Q</v>
          </cell>
        </row>
        <row r="5">
          <cell r="AR5" t="str">
            <v>2003E</v>
          </cell>
          <cell r="AU5" t="str">
            <v>2005E</v>
          </cell>
          <cell r="BE5" t="str">
            <v>Marine Group</v>
          </cell>
          <cell r="BF5">
            <v>4550</v>
          </cell>
          <cell r="BG5">
            <v>310</v>
          </cell>
          <cell r="BH5">
            <v>4400</v>
          </cell>
          <cell r="BI5">
            <v>300</v>
          </cell>
          <cell r="BJ5">
            <v>4200</v>
          </cell>
          <cell r="BK5">
            <v>296</v>
          </cell>
          <cell r="BL5">
            <v>4050</v>
          </cell>
          <cell r="BM5">
            <v>282</v>
          </cell>
          <cell r="BS5" t="str">
            <v>FMS</v>
          </cell>
          <cell r="BU5">
            <v>124</v>
          </cell>
          <cell r="BV5">
            <v>181</v>
          </cell>
          <cell r="BW5">
            <v>421</v>
          </cell>
          <cell r="BX5" t="str">
            <v>- Ordinance, ATP, C4 Systems, GAC - Spyplanes</v>
          </cell>
          <cell r="CG5" t="str">
            <v>2006 MS Est.</v>
          </cell>
          <cell r="CH5">
            <v>3.85</v>
          </cell>
          <cell r="CI5">
            <v>3.9</v>
          </cell>
          <cell r="CJ5">
            <v>4.18</v>
          </cell>
          <cell r="CK5">
            <v>3.98</v>
          </cell>
          <cell r="CL5">
            <v>4.05</v>
          </cell>
          <cell r="CM5">
            <v>4.2</v>
          </cell>
          <cell r="CN5">
            <v>4.2</v>
          </cell>
          <cell r="CO5">
            <v>4.2</v>
          </cell>
        </row>
        <row r="6">
          <cell r="D6" t="str">
            <v xml:space="preserve">Shares </v>
          </cell>
          <cell r="F6" t="str">
            <v>Cost/</v>
          </cell>
          <cell r="G6" t="str">
            <v>Bgn. Shrs</v>
          </cell>
          <cell r="H6" t="str">
            <v>Repo as %</v>
          </cell>
          <cell r="L6" t="str">
            <v>GD 2Q08 Estimate Adjustments</v>
          </cell>
          <cell r="AQ6" t="str">
            <v>Sls</v>
          </cell>
          <cell r="AR6" t="str">
            <v>Op Pr</v>
          </cell>
          <cell r="AS6" t="str">
            <v>% Sales</v>
          </cell>
          <cell r="AT6" t="str">
            <v>Sls</v>
          </cell>
          <cell r="AU6" t="str">
            <v>Op Pr</v>
          </cell>
          <cell r="AV6" t="str">
            <v>% Sales</v>
          </cell>
          <cell r="AW6" t="str">
            <v>Assumptions/Factors</v>
          </cell>
          <cell r="BE6" t="str">
            <v>Combat Sys</v>
          </cell>
          <cell r="BF6">
            <v>4750</v>
          </cell>
          <cell r="BG6">
            <v>532</v>
          </cell>
          <cell r="BH6">
            <v>5600</v>
          </cell>
          <cell r="BI6">
            <v>604</v>
          </cell>
          <cell r="BJ6">
            <v>6000</v>
          </cell>
          <cell r="BK6">
            <v>655</v>
          </cell>
          <cell r="BL6">
            <v>6400</v>
          </cell>
          <cell r="BM6">
            <v>707</v>
          </cell>
          <cell r="BS6" t="str">
            <v>Total USG</v>
          </cell>
          <cell r="BU6">
            <v>6180</v>
          </cell>
          <cell r="BV6">
            <v>7319</v>
          </cell>
          <cell r="BW6">
            <v>8806</v>
          </cell>
          <cell r="CG6" t="str">
            <v>Consensus</v>
          </cell>
          <cell r="CH6">
            <v>3.77</v>
          </cell>
          <cell r="CI6">
            <v>3.84</v>
          </cell>
          <cell r="CJ6">
            <v>3.98</v>
          </cell>
          <cell r="CK6">
            <v>4.01</v>
          </cell>
          <cell r="CL6">
            <v>4.01</v>
          </cell>
          <cell r="CM6">
            <v>4.16</v>
          </cell>
          <cell r="CN6">
            <v>4.1900000000000004</v>
          </cell>
          <cell r="CO6">
            <v>4.1900000000000004</v>
          </cell>
        </row>
        <row r="7">
          <cell r="C7" t="str">
            <v>Quarter</v>
          </cell>
          <cell r="D7" t="str">
            <v>Repoed</v>
          </cell>
          <cell r="E7" t="str">
            <v>Cost</v>
          </cell>
          <cell r="F7" t="str">
            <v>Share</v>
          </cell>
          <cell r="G7" t="str">
            <v>Outstanding</v>
          </cell>
          <cell r="H7" t="str">
            <v>Shrs Out</v>
          </cell>
          <cell r="L7" t="str">
            <v>Metric</v>
          </cell>
          <cell r="M7" t="str">
            <v>Previous</v>
          </cell>
          <cell r="N7" t="str">
            <v>Now</v>
          </cell>
          <cell r="O7" t="str">
            <v>Change</v>
          </cell>
          <cell r="P7" t="str">
            <v>Rationale</v>
          </cell>
          <cell r="W7" t="str">
            <v>Gulfstream Abbrev. Sales, EBIT, Delivs Table ($MM)</v>
          </cell>
          <cell r="AP7" t="str">
            <v>Marine</v>
          </cell>
          <cell r="AQ7">
            <v>4271</v>
          </cell>
          <cell r="AR7">
            <v>216</v>
          </cell>
          <cell r="AS7">
            <v>5.0573636150784362E-2</v>
          </cell>
          <cell r="AT7">
            <v>4695</v>
          </cell>
          <cell r="AU7">
            <v>249</v>
          </cell>
          <cell r="AV7">
            <v>5.3035143769968054E-2</v>
          </cell>
          <cell r="AW7" t="str">
            <v>- '03 depressed, sub MY a plus</v>
          </cell>
          <cell r="BE7" t="str">
            <v>Info Sys &amp; Tech</v>
          </cell>
          <cell r="BF7">
            <v>6400</v>
          </cell>
          <cell r="BG7">
            <v>610</v>
          </cell>
          <cell r="BH7">
            <v>7000</v>
          </cell>
          <cell r="BI7">
            <v>660</v>
          </cell>
          <cell r="BJ7">
            <v>7600</v>
          </cell>
          <cell r="BK7">
            <v>745</v>
          </cell>
          <cell r="BL7">
            <v>8100</v>
          </cell>
          <cell r="BM7">
            <v>825</v>
          </cell>
          <cell r="BS7" t="str">
            <v>% Sales</v>
          </cell>
          <cell r="BU7">
            <v>0.59970887918486171</v>
          </cell>
          <cell r="BV7">
            <v>0.60718433714949394</v>
          </cell>
          <cell r="BW7">
            <v>0.64371345029239768</v>
          </cell>
          <cell r="CG7" t="str">
            <v>Guidance</v>
          </cell>
          <cell r="CK7" t="str">
            <v>$3.90-3.93</v>
          </cell>
          <cell r="CL7" t="str">
            <v>$3.90-3.93</v>
          </cell>
          <cell r="CM7">
            <v>4.1500000000000004</v>
          </cell>
          <cell r="CN7">
            <v>4.1500000000000004</v>
          </cell>
          <cell r="CO7">
            <v>4.2</v>
          </cell>
        </row>
        <row r="8">
          <cell r="L8" t="str">
            <v>Margins- Combat Sys.</v>
          </cell>
          <cell r="M8">
            <v>0.126</v>
          </cell>
          <cell r="N8">
            <v>0.13</v>
          </cell>
          <cell r="O8" t="str">
            <v>40bps</v>
          </cell>
          <cell r="P8" t="str">
            <v>Continued efficiencies, possibility for further MRAP work in 4Q08</v>
          </cell>
        </row>
        <row r="9">
          <cell r="C9" t="str">
            <v>1Q04</v>
          </cell>
          <cell r="D9">
            <v>0</v>
          </cell>
          <cell r="E9">
            <v>0</v>
          </cell>
          <cell r="F9" t="str">
            <v>NA</v>
          </cell>
          <cell r="G9">
            <v>396</v>
          </cell>
          <cell r="L9" t="str">
            <v>Margins- Aerospace</v>
          </cell>
          <cell r="M9">
            <v>0.185</v>
          </cell>
          <cell r="N9">
            <v>0.186</v>
          </cell>
          <cell r="O9" t="str">
            <v>10bps</v>
          </cell>
          <cell r="P9" t="str">
            <v>Continued efficiencies, better pricing, better mix</v>
          </cell>
          <cell r="Z9" t="str">
            <v>peak delivs</v>
          </cell>
          <cell r="AP9" t="str">
            <v>Combat Sys</v>
          </cell>
          <cell r="AQ9">
            <v>4007</v>
          </cell>
          <cell r="AR9">
            <v>443</v>
          </cell>
          <cell r="AS9">
            <v>0.11055652607936112</v>
          </cell>
          <cell r="AT9">
            <v>5021</v>
          </cell>
          <cell r="AU9">
            <v>576</v>
          </cell>
          <cell r="AV9">
            <v>0.11471818362875921</v>
          </cell>
          <cell r="AW9" t="str">
            <v>- revs likely conserv, no mgn expand</v>
          </cell>
          <cell r="BE9" t="str">
            <v>Aerospace</v>
          </cell>
          <cell r="BF9">
            <v>3000</v>
          </cell>
          <cell r="BG9">
            <v>350</v>
          </cell>
          <cell r="BH9">
            <v>3100</v>
          </cell>
          <cell r="BI9">
            <v>380</v>
          </cell>
          <cell r="BJ9">
            <v>3300</v>
          </cell>
          <cell r="BK9">
            <v>420</v>
          </cell>
          <cell r="BL9">
            <v>3400</v>
          </cell>
          <cell r="BM9">
            <v>445</v>
          </cell>
          <cell r="BS9" t="str">
            <v>Comml/Intl</v>
          </cell>
          <cell r="BU9">
            <v>4125</v>
          </cell>
          <cell r="BV9">
            <v>4735</v>
          </cell>
          <cell r="BW9">
            <v>4874</v>
          </cell>
        </row>
        <row r="10">
          <cell r="C10" t="str">
            <v>2Q04</v>
          </cell>
          <cell r="D10">
            <v>0</v>
          </cell>
          <cell r="E10">
            <v>0</v>
          </cell>
          <cell r="F10" t="str">
            <v>NA</v>
          </cell>
          <cell r="G10">
            <v>398.10671600000001</v>
          </cell>
          <cell r="L10" t="str">
            <v>Avg. Dil. Shares</v>
          </cell>
          <cell r="M10" t="str">
            <v>402.2MM</v>
          </cell>
          <cell r="N10" t="str">
            <v>399.5MM</v>
          </cell>
          <cell r="O10" t="str">
            <v>2.7MM</v>
          </cell>
          <cell r="P10" t="str">
            <v>Strong 1H08 buyback, indications of possible further 2H08 share repurchases</v>
          </cell>
          <cell r="W10" t="str">
            <v>Deliveries, green</v>
          </cell>
          <cell r="Y10" t="str">
            <v>2007</v>
          </cell>
          <cell r="Z10" t="str">
            <v>2008E</v>
          </cell>
          <cell r="AA10" t="str">
            <v>2009E</v>
          </cell>
          <cell r="AB10" t="str">
            <v>2010E</v>
          </cell>
          <cell r="AC10" t="str">
            <v>Comments/Assumptions</v>
          </cell>
          <cell r="AP10" t="str">
            <v>Info Sys &amp; Tech</v>
          </cell>
          <cell r="AQ10">
            <v>4848</v>
          </cell>
          <cell r="AR10">
            <v>533</v>
          </cell>
          <cell r="AS10">
            <v>0.10994224422442245</v>
          </cell>
          <cell r="AT10">
            <v>7826</v>
          </cell>
          <cell r="AU10">
            <v>865</v>
          </cell>
          <cell r="AV10">
            <v>0.11052900587784309</v>
          </cell>
          <cell r="AW10" t="str">
            <v>- VNX deal, revs SD growth; mgns down</v>
          </cell>
          <cell r="BE10" t="str">
            <v>Total</v>
          </cell>
          <cell r="BF10">
            <v>18800</v>
          </cell>
          <cell r="BG10">
            <v>1800</v>
          </cell>
          <cell r="BH10">
            <v>20100</v>
          </cell>
          <cell r="BI10">
            <v>1960</v>
          </cell>
          <cell r="BJ10">
            <v>21400</v>
          </cell>
          <cell r="BK10">
            <v>2140</v>
          </cell>
          <cell r="BL10">
            <v>22300</v>
          </cell>
          <cell r="BM10">
            <v>2300</v>
          </cell>
          <cell r="BS10" t="str">
            <v>% Sales</v>
          </cell>
          <cell r="BU10">
            <v>0.40029112081513829</v>
          </cell>
          <cell r="BV10">
            <v>0.39281566285050606</v>
          </cell>
          <cell r="BW10">
            <v>0.35628654970760232</v>
          </cell>
          <cell r="CH10" t="str">
            <v>2007E</v>
          </cell>
          <cell r="CI10" t="str">
            <v>2008E</v>
          </cell>
        </row>
        <row r="11">
          <cell r="C11" t="str">
            <v>3Q04</v>
          </cell>
          <cell r="D11">
            <v>0</v>
          </cell>
          <cell r="E11">
            <v>0</v>
          </cell>
          <cell r="F11" t="str">
            <v>NA</v>
          </cell>
          <cell r="G11">
            <v>399.84066999999999</v>
          </cell>
          <cell r="L11" t="str">
            <v>Full-Year EPS</v>
          </cell>
          <cell r="M11">
            <v>5.95</v>
          </cell>
          <cell r="N11">
            <v>6.05</v>
          </cell>
          <cell r="O11">
            <v>0.1</v>
          </cell>
          <cell r="P11" t="str">
            <v>See above</v>
          </cell>
          <cell r="W11" t="str">
            <v>Midsized</v>
          </cell>
          <cell r="Y11">
            <v>56</v>
          </cell>
          <cell r="Z11">
            <v>70</v>
          </cell>
          <cell r="AA11">
            <v>20</v>
          </cell>
          <cell r="AB11">
            <v>22</v>
          </cell>
          <cell r="AC11" t="str">
            <v>- big drops next year</v>
          </cell>
          <cell r="AP11" t="str">
            <v xml:space="preserve">Aerospace </v>
          </cell>
          <cell r="AQ11">
            <v>2946</v>
          </cell>
          <cell r="AR11">
            <v>218</v>
          </cell>
          <cell r="AS11">
            <v>7.3998642226748138E-2</v>
          </cell>
          <cell r="AT11">
            <v>3433</v>
          </cell>
          <cell r="AU11">
            <v>495</v>
          </cell>
          <cell r="AV11">
            <v>0.14418875618992136</v>
          </cell>
          <cell r="AW11" t="str">
            <v>- 5% g in '04, 13% in '05, del uptick</v>
          </cell>
          <cell r="BS11" t="str">
            <v>Defense sales</v>
          </cell>
          <cell r="CG11" t="str">
            <v>MS Est.</v>
          </cell>
          <cell r="CH11">
            <v>5.0962280562055158</v>
          </cell>
          <cell r="CI11">
            <v>6.1274140958113872</v>
          </cell>
        </row>
        <row r="12">
          <cell r="C12" t="str">
            <v>4Q04</v>
          </cell>
          <cell r="D12">
            <v>0</v>
          </cell>
          <cell r="E12">
            <v>0</v>
          </cell>
          <cell r="F12" t="str">
            <v>NA</v>
          </cell>
          <cell r="G12">
            <v>400.57525600000002</v>
          </cell>
          <cell r="W12" t="str">
            <v>Large cabin</v>
          </cell>
          <cell r="Y12">
            <v>82</v>
          </cell>
          <cell r="Z12">
            <v>88</v>
          </cell>
          <cell r="AA12">
            <v>72</v>
          </cell>
          <cell r="AB12">
            <v>70</v>
          </cell>
          <cell r="AC12" t="str">
            <v>- secure, most not financed</v>
          </cell>
          <cell r="AP12" t="str">
            <v xml:space="preserve">Other </v>
          </cell>
          <cell r="AQ12">
            <v>256</v>
          </cell>
          <cell r="AR12">
            <v>32</v>
          </cell>
          <cell r="AS12">
            <v>0.125</v>
          </cell>
          <cell r="AT12">
            <v>0</v>
          </cell>
          <cell r="AU12">
            <v>-6</v>
          </cell>
          <cell r="AV12" t="str">
            <v>NA</v>
          </cell>
          <cell r="AW12" t="str">
            <v>- flat</v>
          </cell>
          <cell r="BK12" t="str">
            <v>Alvis Evolution</v>
          </cell>
          <cell r="BS12" t="str">
            <v>Cost type=46% USG sls</v>
          </cell>
          <cell r="BW12">
            <v>4050.76</v>
          </cell>
          <cell r="CG12" t="str">
            <v>Consensus</v>
          </cell>
          <cell r="CH12">
            <v>4.76</v>
          </cell>
          <cell r="CI12">
            <v>5.29</v>
          </cell>
        </row>
        <row r="13">
          <cell r="C13" t="str">
            <v>1Q05</v>
          </cell>
          <cell r="D13">
            <v>2</v>
          </cell>
          <cell r="E13">
            <v>100</v>
          </cell>
          <cell r="F13">
            <v>50</v>
          </cell>
          <cell r="G13">
            <v>402</v>
          </cell>
          <cell r="W13" t="str">
            <v>Total, Green</v>
          </cell>
          <cell r="Y13">
            <v>138</v>
          </cell>
          <cell r="Z13">
            <v>158</v>
          </cell>
          <cell r="AA13">
            <v>92</v>
          </cell>
          <cell r="AB13">
            <v>92</v>
          </cell>
          <cell r="AP13" t="str">
            <v>Total</v>
          </cell>
          <cell r="AQ13">
            <v>16328</v>
          </cell>
          <cell r="AR13">
            <v>1442</v>
          </cell>
          <cell r="AS13">
            <v>8.8314551690347867E-2</v>
          </cell>
          <cell r="AT13">
            <v>20975</v>
          </cell>
          <cell r="AU13">
            <v>2179</v>
          </cell>
          <cell r="AV13">
            <v>0.10388557806912992</v>
          </cell>
          <cell r="BS13" t="str">
            <v>Fixed price = 54% USG sls</v>
          </cell>
          <cell r="BW13">
            <v>4755.2400000000007</v>
          </cell>
          <cell r="CG13" t="str">
            <v>Guidance</v>
          </cell>
          <cell r="CH13">
            <v>4.5999999999999996</v>
          </cell>
          <cell r="CI13" t="str">
            <v>NA</v>
          </cell>
        </row>
        <row r="14">
          <cell r="C14" t="str">
            <v>2Q05</v>
          </cell>
          <cell r="D14">
            <v>1.9</v>
          </cell>
          <cell r="E14">
            <v>100</v>
          </cell>
          <cell r="F14">
            <v>52.631578947368425</v>
          </cell>
          <cell r="G14">
            <v>400.75093199999998</v>
          </cell>
          <cell r="W14" t="str">
            <v>Sales</v>
          </cell>
          <cell r="AP14" t="str">
            <v>Interest, net</v>
          </cell>
          <cell r="AR14">
            <v>-98</v>
          </cell>
          <cell r="AU14">
            <v>-118</v>
          </cell>
          <cell r="AW14" t="str">
            <v>- post VNX deal</v>
          </cell>
          <cell r="BJ14" t="str">
            <v>Gloverweb (1994)</v>
          </cell>
        </row>
        <row r="15">
          <cell r="C15" t="str">
            <v>3Q05</v>
          </cell>
          <cell r="D15">
            <v>0</v>
          </cell>
          <cell r="E15">
            <v>0</v>
          </cell>
          <cell r="F15" t="str">
            <v>NA</v>
          </cell>
          <cell r="G15">
            <v>402.03942000000001</v>
          </cell>
          <cell r="L15">
            <v>39777</v>
          </cell>
          <cell r="W15" t="str">
            <v>Green Aircraft</v>
          </cell>
          <cell r="Y15">
            <v>3539.2200000000003</v>
          </cell>
          <cell r="Z15">
            <v>4053</v>
          </cell>
          <cell r="AA15">
            <v>2834</v>
          </cell>
          <cell r="AB15">
            <v>2841</v>
          </cell>
          <cell r="AP15" t="str">
            <v>Other</v>
          </cell>
          <cell r="AR15">
            <v>3</v>
          </cell>
          <cell r="AU15">
            <v>8</v>
          </cell>
          <cell r="BS15" t="str">
            <v>Commercial sales</v>
          </cell>
        </row>
        <row r="16">
          <cell r="C16" t="str">
            <v>4Q05</v>
          </cell>
          <cell r="D16">
            <v>2.7</v>
          </cell>
          <cell r="E16">
            <v>158</v>
          </cell>
          <cell r="F16">
            <v>58.518518518518512</v>
          </cell>
          <cell r="G16">
            <v>402.60542600000002</v>
          </cell>
          <cell r="H16">
            <v>4.9751243781094526E-3</v>
          </cell>
          <cell r="L16" t="str">
            <v>GD Possible Catalysts FY08-FY09</v>
          </cell>
          <cell r="W16" t="str">
            <v>Completions</v>
          </cell>
          <cell r="Y16">
            <v>584</v>
          </cell>
          <cell r="Z16">
            <v>826</v>
          </cell>
          <cell r="AA16">
            <v>636</v>
          </cell>
          <cell r="AB16">
            <v>626</v>
          </cell>
          <cell r="AP16" t="str">
            <v>Pretax Inc</v>
          </cell>
          <cell r="AR16">
            <v>1347</v>
          </cell>
          <cell r="AU16">
            <v>20865</v>
          </cell>
          <cell r="BJ16" t="str">
            <v>GKN</v>
          </cell>
          <cell r="BL16" t="str">
            <v>GKN (1998)</v>
          </cell>
          <cell r="BS16" t="str">
            <v>Netjets</v>
          </cell>
          <cell r="BU16">
            <v>272.61</v>
          </cell>
          <cell r="BV16">
            <v>293.84999999999997</v>
          </cell>
          <cell r="BW16">
            <v>197.34</v>
          </cell>
        </row>
        <row r="17">
          <cell r="C17" t="str">
            <v>1Q06</v>
          </cell>
          <cell r="D17">
            <v>0.14599999999999999</v>
          </cell>
          <cell r="E17">
            <v>8.3219999999999992</v>
          </cell>
          <cell r="F17">
            <v>57</v>
          </cell>
          <cell r="G17">
            <v>400.4</v>
          </cell>
          <cell r="L17" t="str">
            <v>Item</v>
          </cell>
          <cell r="M17" t="str">
            <v>Est. Timing</v>
          </cell>
          <cell r="N17" t="str">
            <v>Est. Amt.</v>
          </cell>
          <cell r="W17" t="str">
            <v>Service/Support</v>
          </cell>
          <cell r="Y17">
            <v>625</v>
          </cell>
          <cell r="Z17">
            <v>700</v>
          </cell>
          <cell r="AA17">
            <v>650</v>
          </cell>
          <cell r="AB17">
            <v>663</v>
          </cell>
          <cell r="AC17" t="str">
            <v>- decline in activity '09</v>
          </cell>
          <cell r="AP17" t="str">
            <v>Eff Tax Rate</v>
          </cell>
          <cell r="AR17">
            <v>0.27319970304380103</v>
          </cell>
          <cell r="AU17">
            <v>0.3001449975833736</v>
          </cell>
          <cell r="AW17" t="str">
            <v>- higher 05 tax rate</v>
          </cell>
          <cell r="BH17" t="str">
            <v>Thompson Def (1995)</v>
          </cell>
          <cell r="BS17" t="str">
            <v>other</v>
          </cell>
          <cell r="BU17">
            <v>2885.39</v>
          </cell>
          <cell r="BV17">
            <v>3261.15</v>
          </cell>
          <cell r="BW17">
            <v>3037.66</v>
          </cell>
        </row>
        <row r="18">
          <cell r="C18" t="str">
            <v>2Q06</v>
          </cell>
          <cell r="D18">
            <v>1.054</v>
          </cell>
          <cell r="E18">
            <v>67.277999999999992</v>
          </cell>
          <cell r="F18">
            <v>63.831119544592021</v>
          </cell>
          <cell r="G18">
            <v>403.68079</v>
          </cell>
          <cell r="L18" t="str">
            <v>Saudi light armor vehicle</v>
          </cell>
          <cell r="M18" t="str">
            <v>FY09</v>
          </cell>
          <cell r="N18" t="str">
            <v>Multi-billion</v>
          </cell>
          <cell r="W18" t="str">
            <v>Used</v>
          </cell>
          <cell r="Y18">
            <v>80</v>
          </cell>
          <cell r="Z18">
            <v>25</v>
          </cell>
          <cell r="AA18">
            <v>30</v>
          </cell>
          <cell r="AB18">
            <v>30</v>
          </cell>
          <cell r="AC18" t="str">
            <v>- change in policy</v>
          </cell>
          <cell r="AP18" t="str">
            <v>Pretax Margin</v>
          </cell>
          <cell r="AR18">
            <v>8.2496325330720238E-2</v>
          </cell>
          <cell r="AU18">
            <v>9.8641239570917763E-2</v>
          </cell>
          <cell r="BS18" t="str">
            <v>domestic</v>
          </cell>
          <cell r="BU18">
            <v>3158</v>
          </cell>
          <cell r="BV18">
            <v>3555</v>
          </cell>
          <cell r="BW18">
            <v>3235</v>
          </cell>
          <cell r="CB18" t="str">
            <v>tote ships cost growth, if occurs, happens in 1Q or 2Q</v>
          </cell>
        </row>
        <row r="19">
          <cell r="C19" t="str">
            <v>3Q06</v>
          </cell>
          <cell r="D19">
            <v>0</v>
          </cell>
          <cell r="E19">
            <v>0</v>
          </cell>
          <cell r="F19" t="str">
            <v>NA</v>
          </cell>
          <cell r="G19">
            <v>403.40710899999999</v>
          </cell>
          <cell r="L19" t="str">
            <v>Saudi Abrams refurbishment</v>
          </cell>
          <cell r="M19" t="str">
            <v>FY09</v>
          </cell>
          <cell r="N19" t="str">
            <v>Multi-billion</v>
          </cell>
          <cell r="W19" t="str">
            <v>Total, Revs</v>
          </cell>
          <cell r="Y19">
            <v>4828.22</v>
          </cell>
          <cell r="Z19">
            <v>5604</v>
          </cell>
          <cell r="AA19">
            <v>4150</v>
          </cell>
          <cell r="AB19">
            <v>4160</v>
          </cell>
          <cell r="BH19" t="str">
            <v>Vickers</v>
          </cell>
          <cell r="BJ19" t="str">
            <v>Vickers</v>
          </cell>
          <cell r="BL19" t="str">
            <v>Vickers (2002)</v>
          </cell>
          <cell r="BN19" t="str">
            <v>Alvis</v>
          </cell>
          <cell r="BS19" t="str">
            <v>Comml Intl</v>
          </cell>
          <cell r="BU19">
            <v>967</v>
          </cell>
          <cell r="BV19">
            <v>1180</v>
          </cell>
          <cell r="BW19">
            <v>1639</v>
          </cell>
          <cell r="CB19" t="str">
            <v>Stryker could be signed for 3rd brigade shortly might help CV b'l in 1Q03</v>
          </cell>
        </row>
        <row r="20">
          <cell r="C20" t="str">
            <v>4Q06</v>
          </cell>
          <cell r="D20">
            <v>0</v>
          </cell>
          <cell r="E20">
            <v>0</v>
          </cell>
          <cell r="F20" t="str">
            <v>NA</v>
          </cell>
          <cell r="G20">
            <v>404.64431000000002</v>
          </cell>
          <cell r="H20">
            <v>3.6463536463536464E-4</v>
          </cell>
          <cell r="L20" t="str">
            <v>MRAP-Light Competition</v>
          </cell>
          <cell r="M20" t="str">
            <v>FY09</v>
          </cell>
          <cell r="N20" t="str">
            <v>Multi-billion</v>
          </cell>
          <cell r="AP20" t="str">
            <v>Net Income</v>
          </cell>
          <cell r="AR20">
            <v>979</v>
          </cell>
          <cell r="AU20">
            <v>1448</v>
          </cell>
          <cell r="BS20" t="str">
            <v>Total Comml</v>
          </cell>
          <cell r="BU20">
            <v>4125</v>
          </cell>
          <cell r="BV20">
            <v>4735</v>
          </cell>
          <cell r="BW20">
            <v>4874</v>
          </cell>
          <cell r="CB20" t="str">
            <v>purchase price for Galaxy ain't all that bad if there is a downcycle</v>
          </cell>
        </row>
        <row r="21">
          <cell r="C21" t="str">
            <v>1Q07</v>
          </cell>
          <cell r="D21">
            <v>2</v>
          </cell>
          <cell r="E21">
            <v>152</v>
          </cell>
          <cell r="F21">
            <v>76</v>
          </cell>
          <cell r="G21">
            <v>405.8</v>
          </cell>
          <cell r="H21">
            <v>2.6109738835974833E-3</v>
          </cell>
          <cell r="W21" t="str">
            <v>EBIT, Total</v>
          </cell>
          <cell r="Y21">
            <v>810</v>
          </cell>
          <cell r="Z21">
            <v>1021</v>
          </cell>
          <cell r="AA21">
            <v>708.75</v>
          </cell>
          <cell r="AB21">
            <v>742.00000000000011</v>
          </cell>
          <cell r="AP21" t="str">
            <v>Net Margin</v>
          </cell>
          <cell r="AR21">
            <v>5.9958353748162663E-2</v>
          </cell>
          <cell r="AU21">
            <v>6.9034564958283667E-2</v>
          </cell>
          <cell r="AW21" t="str">
            <v>- 30bp increase</v>
          </cell>
          <cell r="BJ21" t="str">
            <v>Reumech OMC (1999)</v>
          </cell>
          <cell r="BS21" t="str">
            <v>% of Total</v>
          </cell>
        </row>
        <row r="22">
          <cell r="C22" t="str">
            <v>2Q07</v>
          </cell>
          <cell r="D22">
            <v>0</v>
          </cell>
          <cell r="E22">
            <v>0</v>
          </cell>
          <cell r="F22" t="str">
            <v>NA</v>
          </cell>
          <cell r="G22">
            <v>404.7</v>
          </cell>
          <cell r="W22" t="str">
            <v>Margins, Total</v>
          </cell>
          <cell r="Y22">
            <v>0.16776368930993202</v>
          </cell>
          <cell r="Z22">
            <v>0.18219129193433262</v>
          </cell>
          <cell r="AA22">
            <v>0.17078313253012048</v>
          </cell>
          <cell r="AB22">
            <v>0.17836538461538465</v>
          </cell>
          <cell r="AC22" t="str">
            <v>- efficiency moves for '09</v>
          </cell>
          <cell r="BL22" t="str">
            <v>Haglund (1997)</v>
          </cell>
          <cell r="BS22" t="str">
            <v>Netjets</v>
          </cell>
          <cell r="BU22">
            <v>2.6454148471615722E-2</v>
          </cell>
          <cell r="BV22">
            <v>2.4377799900447982E-2</v>
          </cell>
          <cell r="BW22">
            <v>1.4425438596491228E-2</v>
          </cell>
          <cell r="CA22" t="str">
            <v>- 9% 2000-01, 6% of GAC in 2002</v>
          </cell>
        </row>
        <row r="23">
          <cell r="C23" t="str">
            <v>3Q07</v>
          </cell>
          <cell r="D23">
            <v>4</v>
          </cell>
          <cell r="E23">
            <v>310</v>
          </cell>
          <cell r="F23">
            <v>77.5</v>
          </cell>
          <cell r="G23">
            <v>405.6</v>
          </cell>
          <cell r="AP23" t="str">
            <v>EPS</v>
          </cell>
          <cell r="AR23">
            <v>2.457921587531132</v>
          </cell>
          <cell r="AU23">
            <v>3.5766509900011854</v>
          </cell>
          <cell r="BS23" t="str">
            <v>other</v>
          </cell>
          <cell r="BU23">
            <v>0.27999902959728284</v>
          </cell>
          <cell r="BV23">
            <v>0.27054504728720757</v>
          </cell>
          <cell r="BW23">
            <v>0.22205116959064328</v>
          </cell>
        </row>
        <row r="24">
          <cell r="C24" t="str">
            <v>4Q07</v>
          </cell>
          <cell r="D24">
            <v>0.5</v>
          </cell>
          <cell r="E24">
            <v>44</v>
          </cell>
          <cell r="F24">
            <v>88</v>
          </cell>
          <cell r="G24">
            <v>402.3</v>
          </cell>
          <cell r="AP24" t="str">
            <v>% ch. y/y</v>
          </cell>
          <cell r="AR24">
            <v>-4.1164788704105337E-2</v>
          </cell>
          <cell r="AU24">
            <v>0.20699689280162303</v>
          </cell>
          <cell r="AW24" t="str">
            <v>- modest, looks doable</v>
          </cell>
          <cell r="BS24" t="str">
            <v>domestic</v>
          </cell>
          <cell r="BU24">
            <v>0.3064531780688986</v>
          </cell>
          <cell r="BV24">
            <v>0.29492284718765555</v>
          </cell>
          <cell r="BW24">
            <v>0.23647660818713451</v>
          </cell>
        </row>
        <row r="25">
          <cell r="C25" t="str">
            <v>1Q08</v>
          </cell>
          <cell r="D25">
            <v>6.3</v>
          </cell>
          <cell r="E25">
            <v>523</v>
          </cell>
          <cell r="F25">
            <v>83.015873015873012</v>
          </cell>
          <cell r="G25">
            <v>404</v>
          </cell>
          <cell r="L25" t="str">
            <v>Funding for additional T-AKE ships</v>
          </cell>
          <cell r="M25" t="str">
            <v>4Q08-FY09</v>
          </cell>
          <cell r="N25" t="str">
            <v>NM</v>
          </cell>
          <cell r="O25" t="str">
            <v>Awarded $940MM for ships 11 and 12 on 12/15/08</v>
          </cell>
          <cell r="AG25" t="str">
            <v>Key Defense Contractor's Operating Margins</v>
          </cell>
          <cell r="BS25" t="str">
            <v>Comml Intl</v>
          </cell>
          <cell r="BU25">
            <v>9.3837942746239689E-2</v>
          </cell>
          <cell r="BV25">
            <v>9.7892815662850505E-2</v>
          </cell>
          <cell r="BW25">
            <v>0.11980994152046784</v>
          </cell>
        </row>
        <row r="26">
          <cell r="C26" t="str">
            <v>2Q08</v>
          </cell>
          <cell r="D26">
            <v>2.1</v>
          </cell>
          <cell r="E26">
            <v>176</v>
          </cell>
          <cell r="F26">
            <v>83.80952380952381</v>
          </cell>
          <cell r="G26">
            <v>398.5</v>
          </cell>
          <cell r="L26" t="str">
            <v>Decision re: additional Stryker brigades</v>
          </cell>
          <cell r="M26" t="str">
            <v>2H08-1H09</v>
          </cell>
          <cell r="N26" t="str">
            <v>Multi-billion</v>
          </cell>
          <cell r="O26" t="str">
            <v>M113 replacement, Army reviewing in light of budgets</v>
          </cell>
          <cell r="AG26" t="str">
            <v>Platform Primes</v>
          </cell>
          <cell r="AH26" t="str">
            <v>2001A</v>
          </cell>
          <cell r="AI26" t="str">
            <v>2005E</v>
          </cell>
          <cell r="AJ26" t="str">
            <v>% Ch</v>
          </cell>
          <cell r="BS26" t="str">
            <v>Total Comml</v>
          </cell>
          <cell r="BU26">
            <v>0.40029112081513829</v>
          </cell>
          <cell r="BV26">
            <v>0.39281566285050606</v>
          </cell>
          <cell r="BW26">
            <v>0.35628654970760232</v>
          </cell>
        </row>
        <row r="27">
          <cell r="C27" t="str">
            <v>3Q08</v>
          </cell>
          <cell r="D27">
            <v>6.1</v>
          </cell>
          <cell r="E27">
            <v>500</v>
          </cell>
          <cell r="F27">
            <v>81.967213114754102</v>
          </cell>
          <cell r="G27">
            <v>397.3</v>
          </cell>
          <cell r="L27" t="str">
            <v>Virginia Class Blk. III Order</v>
          </cell>
          <cell r="M27" t="str">
            <v>1Q09</v>
          </cell>
          <cell r="N27" t="str">
            <v>$4-5B</v>
          </cell>
          <cell r="O27" t="str">
            <v>$14B Awarded 12/22/08</v>
          </cell>
          <cell r="AG27" t="str">
            <v>BA*</v>
          </cell>
          <cell r="AH27">
            <v>8.7999999999999995E-2</v>
          </cell>
          <cell r="AI27">
            <v>0.105</v>
          </cell>
          <cell r="AJ27">
            <v>0.19318181818181812</v>
          </cell>
          <cell r="BJ27" t="str">
            <v>GD European Land Combat Systems</v>
          </cell>
        </row>
        <row r="28">
          <cell r="C28" t="str">
            <v>4Q08</v>
          </cell>
          <cell r="D28">
            <v>5.6</v>
          </cell>
          <cell r="E28">
            <v>355</v>
          </cell>
          <cell r="F28">
            <v>63.392857142857146</v>
          </cell>
          <cell r="G28">
            <v>389.8</v>
          </cell>
          <cell r="L28" t="str">
            <v>Decision re: 2 subs/yr</v>
          </cell>
          <cell r="M28" t="str">
            <v>FY08</v>
          </cell>
          <cell r="N28" t="str">
            <v>N/A</v>
          </cell>
          <cell r="W28" t="str">
            <v>Bookings</v>
          </cell>
          <cell r="AG28" t="str">
            <v>GD*</v>
          </cell>
          <cell r="AH28">
            <v>0.122</v>
          </cell>
          <cell r="AI28">
            <v>0.13200000000000001</v>
          </cell>
          <cell r="AJ28">
            <v>8.1967213114754189E-2</v>
          </cell>
          <cell r="BU28">
            <v>2000</v>
          </cell>
          <cell r="BV28">
            <v>2001</v>
          </cell>
          <cell r="BW28">
            <v>2002</v>
          </cell>
          <cell r="BX28" t="str">
            <v>2003E</v>
          </cell>
          <cell r="BY28" t="str">
            <v>2004E</v>
          </cell>
          <cell r="BZ28" t="str">
            <v>2005E</v>
          </cell>
          <cell r="CA28" t="str">
            <v>Comments</v>
          </cell>
        </row>
        <row r="29">
          <cell r="C29" t="str">
            <v>1Q09</v>
          </cell>
          <cell r="D29">
            <v>2.1</v>
          </cell>
          <cell r="E29">
            <v>109</v>
          </cell>
          <cell r="F29">
            <v>51.904761904761905</v>
          </cell>
          <cell r="G29">
            <v>386.7</v>
          </cell>
          <cell r="L29" t="str">
            <v>Decision re: M1-13 --&gt; Stryker</v>
          </cell>
          <cell r="M29" t="str">
            <v>FY08</v>
          </cell>
          <cell r="N29" t="str">
            <v>Multi-billion</v>
          </cell>
          <cell r="W29" t="str">
            <v>Book:Bill</v>
          </cell>
          <cell r="AG29" t="str">
            <v>LMT</v>
          </cell>
          <cell r="AH29">
            <v>8.6999999999999994E-2</v>
          </cell>
          <cell r="AI29">
            <v>9.8000000000000004E-2</v>
          </cell>
          <cell r="AJ29">
            <v>0.12643678160919558</v>
          </cell>
          <cell r="BS29" t="str">
            <v>R&amp;D</v>
          </cell>
        </row>
        <row r="30">
          <cell r="L30" t="str">
            <v>Gulfstream G650 orders hit backlog</v>
          </cell>
          <cell r="M30" t="str">
            <v>2Q08</v>
          </cell>
          <cell r="N30" t="str">
            <v>N/A</v>
          </cell>
          <cell r="W30" t="str">
            <v>Backlog ($B)</v>
          </cell>
          <cell r="Y30">
            <v>11.590999999999999</v>
          </cell>
          <cell r="AG30" t="str">
            <v>NOC</v>
          </cell>
          <cell r="AH30">
            <v>5.7000000000000002E-2</v>
          </cell>
          <cell r="AI30">
            <v>8.6999999999999994E-2</v>
          </cell>
          <cell r="AJ30">
            <v>0.52631578947368407</v>
          </cell>
          <cell r="AP30" t="str">
            <v>GD Possible 2005 EPS Scenario Analysis</v>
          </cell>
          <cell r="BS30" t="str">
            <v>IRAD</v>
          </cell>
          <cell r="BU30">
            <v>143</v>
          </cell>
          <cell r="BV30">
            <v>203</v>
          </cell>
          <cell r="BW30">
            <v>253</v>
          </cell>
        </row>
        <row r="31">
          <cell r="W31" t="str">
            <v>Backlog (Yrs)</v>
          </cell>
          <cell r="AG31" t="str">
            <v>Average P-form builders</v>
          </cell>
          <cell r="AH31">
            <v>8.8499999999999995E-2</v>
          </cell>
          <cell r="AI31">
            <v>0.10549999999999998</v>
          </cell>
          <cell r="AJ31">
            <v>0.19209039548022577</v>
          </cell>
          <cell r="BE31" t="str">
            <v>Santa Barbara (2000)</v>
          </cell>
          <cell r="BH31" t="str">
            <v>MOWAG AG (2003)</v>
          </cell>
          <cell r="BK31" t="str">
            <v>Steyr (2003)</v>
          </cell>
          <cell r="BN31" t="str">
            <v>Alvis, PLC (Pending)</v>
          </cell>
          <cell r="BS31" t="str">
            <v>Customer</v>
          </cell>
          <cell r="BU31">
            <v>87</v>
          </cell>
          <cell r="BV31">
            <v>83</v>
          </cell>
          <cell r="BW31">
            <v>134</v>
          </cell>
        </row>
        <row r="32">
          <cell r="AG32" t="str">
            <v>Defense Elec Primes/Suppliers</v>
          </cell>
          <cell r="BE32" t="str">
            <v>Spain</v>
          </cell>
          <cell r="BH32" t="str">
            <v>Switzerland</v>
          </cell>
          <cell r="BK32" t="str">
            <v>Austria</v>
          </cell>
          <cell r="BO32" t="str">
            <v>UK, Sweden, South Africa</v>
          </cell>
          <cell r="BS32" t="str">
            <v>total R&amp;D</v>
          </cell>
          <cell r="BU32">
            <v>230</v>
          </cell>
          <cell r="BV32">
            <v>286</v>
          </cell>
          <cell r="BW32">
            <v>387</v>
          </cell>
        </row>
        <row r="33">
          <cell r="AG33" t="str">
            <v>RTN</v>
          </cell>
          <cell r="AH33">
            <v>0.112</v>
          </cell>
          <cell r="AI33">
            <v>0.122</v>
          </cell>
          <cell r="AJ33">
            <v>8.9285714285714191E-2</v>
          </cell>
          <cell r="AP33" t="str">
            <v>Op Profit</v>
          </cell>
          <cell r="AQ33" t="str">
            <v>Low</v>
          </cell>
          <cell r="AR33" t="str">
            <v>Mid-Point</v>
          </cell>
          <cell r="AS33" t="str">
            <v>High</v>
          </cell>
          <cell r="AT33" t="str">
            <v>Assumptions/Factors</v>
          </cell>
          <cell r="BS33" t="str">
            <v>IR&amp;D/Sales</v>
          </cell>
          <cell r="BU33">
            <v>1.3876758854924794E-2</v>
          </cell>
          <cell r="BV33">
            <v>1.6840882694541232E-2</v>
          </cell>
          <cell r="BW33">
            <v>1.8494152046783625E-2</v>
          </cell>
        </row>
        <row r="34">
          <cell r="AG34" t="str">
            <v>COL*</v>
          </cell>
          <cell r="AH34">
            <v>0.159</v>
          </cell>
          <cell r="AI34">
            <v>0.16600000000000001</v>
          </cell>
          <cell r="AJ34">
            <v>4.4025157232704393E-2</v>
          </cell>
          <cell r="AP34" t="str">
            <v>Marine</v>
          </cell>
          <cell r="AQ34">
            <v>300</v>
          </cell>
          <cell r="AR34">
            <v>340</v>
          </cell>
          <cell r="AS34">
            <v>380</v>
          </cell>
          <cell r="AT34" t="str">
            <v>- low=tanker problems persist</v>
          </cell>
          <cell r="BN34" t="str">
            <v>- subsequently Bae Systems overbid for Alvis</v>
          </cell>
        </row>
        <row r="35">
          <cell r="AG35" t="str">
            <v>LLL</v>
          </cell>
          <cell r="AH35">
            <v>0.11700000000000001</v>
          </cell>
          <cell r="AI35">
            <v>0.125</v>
          </cell>
          <cell r="AJ35">
            <v>6.8376068376068355E-2</v>
          </cell>
          <cell r="AP35" t="str">
            <v>Combat Sys</v>
          </cell>
          <cell r="AQ35">
            <v>465</v>
          </cell>
          <cell r="AR35">
            <v>510</v>
          </cell>
          <cell r="AS35">
            <v>580</v>
          </cell>
          <cell r="AT35" t="str">
            <v>- 10%-12.5% margins</v>
          </cell>
        </row>
        <row r="36">
          <cell r="AG36" t="str">
            <v>Average DefElec players</v>
          </cell>
          <cell r="AH36">
            <v>0.12933333333333333</v>
          </cell>
          <cell r="AI36">
            <v>0.13766666666666669</v>
          </cell>
          <cell r="AJ36">
            <v>6.4432989690721865E-2</v>
          </cell>
          <cell r="AP36" t="str">
            <v>Info Sys &amp; Tech</v>
          </cell>
          <cell r="AQ36">
            <v>580</v>
          </cell>
          <cell r="AR36">
            <v>640</v>
          </cell>
          <cell r="AS36">
            <v>705</v>
          </cell>
          <cell r="AT36" t="str">
            <v>- 9.2%-11.2% margins</v>
          </cell>
        </row>
        <row r="37">
          <cell r="AP37" t="str">
            <v xml:space="preserve">Aerospace </v>
          </cell>
          <cell r="AQ37">
            <v>300</v>
          </cell>
          <cell r="AR37">
            <v>475</v>
          </cell>
          <cell r="AS37">
            <v>515</v>
          </cell>
          <cell r="AT37" t="str">
            <v>- low=8.5% to  high of 15%</v>
          </cell>
        </row>
        <row r="38">
          <cell r="AG38" t="str">
            <v>* Defense only</v>
          </cell>
          <cell r="AP38" t="str">
            <v xml:space="preserve">Other </v>
          </cell>
          <cell r="AQ38">
            <v>50</v>
          </cell>
          <cell r="AR38">
            <v>60</v>
          </cell>
          <cell r="AS38">
            <v>65</v>
          </cell>
          <cell r="AT38" t="str">
            <v>- low volatility</v>
          </cell>
        </row>
        <row r="39">
          <cell r="M39" t="str">
            <v xml:space="preserve"> GD Ship/Tank  Firm &amp; Potential Delivery Outlook</v>
          </cell>
          <cell r="T39" t="str">
            <v>old</v>
          </cell>
          <cell r="AP39" t="str">
            <v>Total</v>
          </cell>
          <cell r="AQ39">
            <v>1695</v>
          </cell>
          <cell r="AR39">
            <v>2025</v>
          </cell>
          <cell r="AS39">
            <v>2245</v>
          </cell>
          <cell r="BC39" t="str">
            <v>GD EPS</v>
          </cell>
          <cell r="BO39" t="str">
            <v>Potential Impact of Primex Acquisition</v>
          </cell>
          <cell r="BW39" t="str">
            <v>Potential Impact of Adv. Tech. Prod. Acquisition</v>
          </cell>
        </row>
        <row r="40">
          <cell r="BR40" t="str">
            <v>2001E</v>
          </cell>
          <cell r="BS40" t="str">
            <v>Comments/Assumptions</v>
          </cell>
          <cell r="BZ40" t="str">
            <v>2002E</v>
          </cell>
          <cell r="CA40" t="str">
            <v>Comments/Assumptions</v>
          </cell>
        </row>
        <row r="41">
          <cell r="L41" t="str">
            <v>Marine Dels</v>
          </cell>
          <cell r="M41" t="str">
            <v>1997</v>
          </cell>
          <cell r="N41" t="str">
            <v>1998</v>
          </cell>
          <cell r="O41" t="str">
            <v>1999</v>
          </cell>
          <cell r="P41" t="str">
            <v>2000</v>
          </cell>
          <cell r="Q41" t="str">
            <v>2001</v>
          </cell>
          <cell r="R41" t="str">
            <v>2002</v>
          </cell>
          <cell r="S41" t="str">
            <v>2003</v>
          </cell>
          <cell r="T41" t="str">
            <v>2004</v>
          </cell>
          <cell r="U41" t="str">
            <v>2005</v>
          </cell>
          <cell r="V41" t="str">
            <v>2006</v>
          </cell>
          <cell r="W41" t="str">
            <v>2007</v>
          </cell>
          <cell r="X41" t="str">
            <v>2008</v>
          </cell>
          <cell r="Y41" t="str">
            <v>2009</v>
          </cell>
          <cell r="Z41" t="str">
            <v>Program Total</v>
          </cell>
          <cell r="AP41" t="str">
            <v>Int/Other</v>
          </cell>
          <cell r="AQ41">
            <v>-135</v>
          </cell>
          <cell r="AR41">
            <v>-125</v>
          </cell>
          <cell r="AS41">
            <v>-95</v>
          </cell>
          <cell r="BD41">
            <v>2009</v>
          </cell>
          <cell r="BE41">
            <v>2010</v>
          </cell>
          <cell r="BF41" t="str">
            <v>Comments/Assumptions</v>
          </cell>
          <cell r="BO41" t="str">
            <v>Revenues Impact</v>
          </cell>
          <cell r="BR41">
            <v>580</v>
          </cell>
          <cell r="BW41" t="str">
            <v>Revenues Impact</v>
          </cell>
          <cell r="BZ41">
            <v>235</v>
          </cell>
          <cell r="CA41" t="str">
            <v>Management Guidance</v>
          </cell>
        </row>
        <row r="42">
          <cell r="L42" t="str">
            <v>Trident</v>
          </cell>
          <cell r="M42">
            <v>1</v>
          </cell>
          <cell r="AA42" t="str">
            <v>- 18 total</v>
          </cell>
          <cell r="AP42" t="str">
            <v>Pretax</v>
          </cell>
          <cell r="AQ42">
            <v>1560</v>
          </cell>
          <cell r="AR42">
            <v>1900</v>
          </cell>
          <cell r="AS42">
            <v>2150</v>
          </cell>
          <cell r="BC42" t="str">
            <v>Revised</v>
          </cell>
          <cell r="BD42">
            <v>6.1189391025198736</v>
          </cell>
          <cell r="BE42">
            <v>6.3955993666716093</v>
          </cell>
          <cell r="BO42" t="str">
            <v>EBIT Impact</v>
          </cell>
          <cell r="BR42">
            <v>60</v>
          </cell>
          <cell r="BW42" t="str">
            <v>EBIT Impact</v>
          </cell>
          <cell r="BZ42">
            <v>26</v>
          </cell>
        </row>
        <row r="43">
          <cell r="L43" t="str">
            <v>Seawolf</v>
          </cell>
          <cell r="M43">
            <v>1</v>
          </cell>
          <cell r="N43">
            <v>1</v>
          </cell>
          <cell r="S43">
            <v>1</v>
          </cell>
          <cell r="Z43">
            <v>3</v>
          </cell>
          <cell r="AA43" t="str">
            <v>- 3 total</v>
          </cell>
          <cell r="AG43" t="str">
            <v>Gulfstream Engines</v>
          </cell>
          <cell r="AP43" t="str">
            <v>Tax Rate</v>
          </cell>
          <cell r="AQ43">
            <v>0.34499999999999997</v>
          </cell>
          <cell r="AR43">
            <v>0.34499999999999997</v>
          </cell>
          <cell r="AS43">
            <v>0.34499999999999997</v>
          </cell>
          <cell r="BC43" t="str">
            <v>Prior</v>
          </cell>
          <cell r="BD43">
            <v>6.55</v>
          </cell>
          <cell r="BE43">
            <v>7</v>
          </cell>
          <cell r="BO43" t="str">
            <v>% of Revenues</v>
          </cell>
          <cell r="BR43">
            <v>0.10344827586206896</v>
          </cell>
          <cell r="BW43" t="str">
            <v>% of Revenues</v>
          </cell>
          <cell r="BZ43">
            <v>0.11063829787234042</v>
          </cell>
          <cell r="CA43" t="str">
            <v>2001 Margin</v>
          </cell>
        </row>
        <row r="44">
          <cell r="L44" t="str">
            <v>NAS</v>
          </cell>
          <cell r="N44" t="str">
            <v>design</v>
          </cell>
          <cell r="P44" t="str">
            <v>construction</v>
          </cell>
          <cell r="T44">
            <v>1</v>
          </cell>
          <cell r="U44">
            <v>1</v>
          </cell>
          <cell r="V44">
            <v>1</v>
          </cell>
          <cell r="W44">
            <v>1</v>
          </cell>
          <cell r="X44" t="str">
            <v>poss f/o</v>
          </cell>
          <cell r="Z44">
            <v>4</v>
          </cell>
          <cell r="AA44" t="str">
            <v>- 30 planned</v>
          </cell>
          <cell r="AG44" t="str">
            <v>as of 9/19/2006</v>
          </cell>
          <cell r="AP44" t="str">
            <v>Net Income</v>
          </cell>
          <cell r="AQ44">
            <v>1021.8000000000001</v>
          </cell>
          <cell r="AR44">
            <v>1244.5</v>
          </cell>
          <cell r="AS44">
            <v>1408.25</v>
          </cell>
          <cell r="BC44" t="str">
            <v>Change</v>
          </cell>
          <cell r="BD44">
            <v>-0.43106089748012621</v>
          </cell>
          <cell r="BE44">
            <v>-0.60440063332839067</v>
          </cell>
          <cell r="BF44" t="str">
            <v>- better defense could drive 2010 up</v>
          </cell>
          <cell r="BO44" t="str">
            <v>Goodwill</v>
          </cell>
          <cell r="BR44">
            <v>-15</v>
          </cell>
          <cell r="BS44" t="str">
            <v>??</v>
          </cell>
          <cell r="DI44" t="str">
            <v>Jet Aviation Acquisition</v>
          </cell>
        </row>
        <row r="45">
          <cell r="L45" t="str">
            <v>DDG51</v>
          </cell>
          <cell r="M45">
            <v>2</v>
          </cell>
          <cell r="N45">
            <v>2</v>
          </cell>
          <cell r="O45">
            <v>2</v>
          </cell>
          <cell r="P45">
            <v>2</v>
          </cell>
          <cell r="Q45">
            <v>2</v>
          </cell>
          <cell r="R45">
            <v>2</v>
          </cell>
          <cell r="S45">
            <v>1</v>
          </cell>
          <cell r="T45">
            <v>1</v>
          </cell>
          <cell r="U45">
            <v>1</v>
          </cell>
          <cell r="V45">
            <v>1</v>
          </cell>
          <cell r="W45">
            <v>1</v>
          </cell>
          <cell r="X45">
            <v>2</v>
          </cell>
          <cell r="Y45">
            <v>1</v>
          </cell>
          <cell r="Z45">
            <v>20</v>
          </cell>
          <cell r="AP45" t="str">
            <v>EPS</v>
          </cell>
          <cell r="AQ45">
            <v>5.0088235294117647</v>
          </cell>
          <cell r="AR45">
            <v>6.1004901960784315</v>
          </cell>
          <cell r="AS45">
            <v>6.903186274509804</v>
          </cell>
          <cell r="BC45" t="str">
            <v>EPS Growth</v>
          </cell>
          <cell r="BD45">
            <v>-1.3831272309973164E-3</v>
          </cell>
          <cell r="BE45">
            <v>4.5213763287463182E-2</v>
          </cell>
          <cell r="BO45" t="str">
            <v>Interest expense</v>
          </cell>
          <cell r="BR45">
            <v>-36.400000000000006</v>
          </cell>
          <cell r="BW45" t="str">
            <v>Interest expense</v>
          </cell>
          <cell r="BZ45">
            <v>17.5</v>
          </cell>
          <cell r="CA45" t="str">
            <v>$214MM + $36MM</v>
          </cell>
          <cell r="CC45" t="str">
            <v>@ 7%</v>
          </cell>
          <cell r="DI45" t="str">
            <v>Jet Aviation</v>
          </cell>
          <cell r="DL45" t="str">
            <v>2009E</v>
          </cell>
        </row>
        <row r="46">
          <cell r="L46" t="str">
            <v>LPD17</v>
          </cell>
          <cell r="N46" t="str">
            <v>design</v>
          </cell>
          <cell r="P46" t="str">
            <v>construction</v>
          </cell>
          <cell r="S46">
            <v>1</v>
          </cell>
          <cell r="V46">
            <v>1</v>
          </cell>
          <cell r="W46">
            <v>1</v>
          </cell>
          <cell r="Y46">
            <v>1</v>
          </cell>
          <cell r="Z46">
            <v>4</v>
          </cell>
          <cell r="AA46" t="str">
            <v>- GD gets 4 of 12 planned</v>
          </cell>
          <cell r="AG46" t="str">
            <v>Aircraft</v>
          </cell>
          <cell r="AH46" t="str">
            <v>Engines (2)</v>
          </cell>
          <cell r="AP46" t="str">
            <v>% ch Y/Y</v>
          </cell>
          <cell r="AQ46">
            <v>-8.9304812834224645E-2</v>
          </cell>
          <cell r="AR46">
            <v>0.10918003565062384</v>
          </cell>
          <cell r="AS46">
            <v>0.25512477718360071</v>
          </cell>
          <cell r="BC46" t="str">
            <v>Street Ests</v>
          </cell>
          <cell r="BD46">
            <v>6.75</v>
          </cell>
          <cell r="BE46">
            <v>7.1</v>
          </cell>
          <cell r="BF46" t="str">
            <v>- ests too high for downcycle</v>
          </cell>
          <cell r="BO46" t="str">
            <v>Pretax Earnings Impact</v>
          </cell>
          <cell r="BR46">
            <v>8.5999999999999943</v>
          </cell>
          <cell r="BW46" t="str">
            <v>Pretax Earnings Impact</v>
          </cell>
          <cell r="BZ46">
            <v>8.5</v>
          </cell>
          <cell r="DI46" t="str">
            <v xml:space="preserve">Sales </v>
          </cell>
          <cell r="DL46">
            <v>1500</v>
          </cell>
        </row>
        <row r="47">
          <cell r="L47" t="str">
            <v>DD21</v>
          </cell>
          <cell r="N47" t="str">
            <v>design</v>
          </cell>
          <cell r="S47" t="str">
            <v>construction 1st boat</v>
          </cell>
          <cell r="Z47">
            <v>0</v>
          </cell>
          <cell r="AA47" t="str">
            <v>- 30 planned/GD builds 15</v>
          </cell>
          <cell r="AG47" t="str">
            <v>G150</v>
          </cell>
          <cell r="AH47" t="str">
            <v>Honeywell TFE 731-40AR-200G</v>
          </cell>
          <cell r="AP47" t="str">
            <v>share count</v>
          </cell>
          <cell r="AQ47">
            <v>204</v>
          </cell>
          <cell r="AR47">
            <v>204</v>
          </cell>
          <cell r="AS47">
            <v>204</v>
          </cell>
          <cell r="AT47" t="str">
            <v>- up from 199 in 2003</v>
          </cell>
          <cell r="BO47" t="str">
            <v>Net Income Impact</v>
          </cell>
          <cell r="BR47">
            <v>5.5039999999999969</v>
          </cell>
          <cell r="BW47" t="str">
            <v>Net Income Impact</v>
          </cell>
          <cell r="BZ47">
            <v>5.5674999999999999</v>
          </cell>
          <cell r="DI47" t="str">
            <v xml:space="preserve">EBITDA </v>
          </cell>
          <cell r="DL47">
            <v>230</v>
          </cell>
        </row>
        <row r="48">
          <cell r="L48" t="str">
            <v>Frigate retrofit</v>
          </cell>
          <cell r="O48" t="str">
            <v>poss 4 ship retrofit</v>
          </cell>
          <cell r="Z48">
            <v>0</v>
          </cell>
          <cell r="AA48" t="str">
            <v>- 4 of 18 coming out of svc</v>
          </cell>
          <cell r="AG48" t="str">
            <v>G200</v>
          </cell>
          <cell r="AH48" t="str">
            <v>Pratt &amp; Whitney Canada 306A</v>
          </cell>
          <cell r="BC48" t="str">
            <v>Gulfstream Deliveries</v>
          </cell>
          <cell r="BO48" t="str">
            <v>EPS Impact</v>
          </cell>
          <cell r="BR48">
            <v>2.7519999999999985E-2</v>
          </cell>
          <cell r="BW48" t="str">
            <v>EPS Impact</v>
          </cell>
          <cell r="BZ48">
            <v>1.3723059176148127E-2</v>
          </cell>
          <cell r="DI48" t="str">
            <v xml:space="preserve">EBITDA margin </v>
          </cell>
          <cell r="DL48">
            <v>0.15333333333333332</v>
          </cell>
        </row>
        <row r="49">
          <cell r="L49" t="str">
            <v>Land Veh Dels</v>
          </cell>
          <cell r="AG49" t="str">
            <v>G350</v>
          </cell>
          <cell r="AH49" t="str">
            <v>Rolls-Royce Tay Mk 611-8C</v>
          </cell>
          <cell r="BD49" t="str">
            <v>2008E</v>
          </cell>
          <cell r="BE49" t="str">
            <v>2009E</v>
          </cell>
          <cell r="BF49" t="str">
            <v>2010E</v>
          </cell>
          <cell r="BG49" t="str">
            <v>Comments/Assumptions</v>
          </cell>
          <cell r="BO49" t="str">
            <v>Shares</v>
          </cell>
          <cell r="BR49">
            <v>200</v>
          </cell>
          <cell r="BW49" t="str">
            <v>Shares</v>
          </cell>
          <cell r="BZ49">
            <v>405.70400000000001</v>
          </cell>
          <cell r="DY49" t="str">
            <v>Jet Aviation Acquisition</v>
          </cell>
        </row>
        <row r="50">
          <cell r="L50" t="str">
            <v>M1A2 u/gs</v>
          </cell>
          <cell r="M50">
            <v>120</v>
          </cell>
          <cell r="N50">
            <v>120</v>
          </cell>
          <cell r="O50">
            <v>120</v>
          </cell>
          <cell r="P50">
            <v>120</v>
          </cell>
          <cell r="Q50">
            <v>72</v>
          </cell>
          <cell r="R50">
            <v>80</v>
          </cell>
          <cell r="S50">
            <v>80</v>
          </cell>
          <cell r="T50">
            <v>80</v>
          </cell>
          <cell r="U50">
            <v>80</v>
          </cell>
          <cell r="V50">
            <v>80</v>
          </cell>
          <cell r="W50">
            <v>60</v>
          </cell>
          <cell r="X50">
            <v>60</v>
          </cell>
          <cell r="Y50">
            <v>60</v>
          </cell>
          <cell r="Z50">
            <v>1132</v>
          </cell>
          <cell r="AA50" t="str">
            <v>- 1200 assumed</v>
          </cell>
          <cell r="AG50" t="str">
            <v>G450</v>
          </cell>
          <cell r="AH50" t="str">
            <v>Rolls-Royce Tay Mk 611-8C</v>
          </cell>
          <cell r="BC50" t="str">
            <v>Prior</v>
          </cell>
          <cell r="DL50" t="str">
            <v xml:space="preserve">GD Base  </v>
          </cell>
          <cell r="DO50" t="str">
            <v xml:space="preserve">        Jet Aviation Impact </v>
          </cell>
          <cell r="DT50" t="str">
            <v xml:space="preserve">        Pro Forma </v>
          </cell>
          <cell r="EA50" t="str">
            <v>Base GD</v>
          </cell>
          <cell r="EE50" t="str">
            <v xml:space="preserve">        Jet Aviation Impact </v>
          </cell>
          <cell r="EJ50" t="str">
            <v>New Est.</v>
          </cell>
        </row>
        <row r="51">
          <cell r="L51" t="str">
            <v>HAB</v>
          </cell>
          <cell r="O51">
            <v>5</v>
          </cell>
          <cell r="P51">
            <v>12</v>
          </cell>
          <cell r="Q51">
            <v>12</v>
          </cell>
          <cell r="R51">
            <v>24</v>
          </cell>
          <cell r="S51">
            <v>24</v>
          </cell>
          <cell r="T51">
            <v>25</v>
          </cell>
          <cell r="U51">
            <v>38</v>
          </cell>
          <cell r="V51">
            <v>38</v>
          </cell>
          <cell r="W51">
            <v>38</v>
          </cell>
          <cell r="X51">
            <v>38</v>
          </cell>
          <cell r="Y51">
            <v>38</v>
          </cell>
          <cell r="Z51">
            <v>292</v>
          </cell>
          <cell r="AG51" t="str">
            <v>G500</v>
          </cell>
          <cell r="AH51" t="str">
            <v>Rolls-Royce BR710</v>
          </cell>
          <cell r="BC51" t="str">
            <v>Small Cabin</v>
          </cell>
          <cell r="BE51">
            <v>20</v>
          </cell>
          <cell r="BF51">
            <v>42</v>
          </cell>
          <cell r="BG51" t="str">
            <v>- expected recovery…</v>
          </cell>
          <cell r="BO51" t="str">
            <v>Valuation</v>
          </cell>
          <cell r="BW51" t="str">
            <v>Valuation</v>
          </cell>
          <cell r="DK51" t="str">
            <v>2008E</v>
          </cell>
          <cell r="DL51" t="str">
            <v>2009E</v>
          </cell>
          <cell r="DM51" t="str">
            <v>2010E</v>
          </cell>
          <cell r="DO51" t="str">
            <v>2008E</v>
          </cell>
          <cell r="DP51" t="str">
            <v>2009E</v>
          </cell>
          <cell r="DQ51" t="str">
            <v>2010E</v>
          </cell>
          <cell r="DT51" t="str">
            <v>2009E</v>
          </cell>
          <cell r="DU51" t="str">
            <v>2010E</v>
          </cell>
          <cell r="EA51" t="str">
            <v>2008E</v>
          </cell>
          <cell r="EB51" t="str">
            <v>2009E</v>
          </cell>
          <cell r="EC51" t="str">
            <v>2010E</v>
          </cell>
          <cell r="EE51" t="str">
            <v>2008E</v>
          </cell>
          <cell r="EF51" t="str">
            <v>2009E</v>
          </cell>
          <cell r="EG51" t="str">
            <v>2010E</v>
          </cell>
          <cell r="EJ51" t="str">
            <v>2008E</v>
          </cell>
          <cell r="EK51" t="str">
            <v>2009E</v>
          </cell>
          <cell r="EL51" t="str">
            <v>2010E</v>
          </cell>
        </row>
        <row r="52">
          <cell r="L52" t="str">
            <v>M1A2 Sept r/f</v>
          </cell>
          <cell r="R52">
            <v>25</v>
          </cell>
          <cell r="S52">
            <v>45</v>
          </cell>
          <cell r="T52">
            <v>65</v>
          </cell>
          <cell r="U52">
            <v>95</v>
          </cell>
          <cell r="V52">
            <v>105</v>
          </cell>
          <cell r="W52">
            <v>105</v>
          </cell>
          <cell r="X52">
            <v>70</v>
          </cell>
          <cell r="Z52">
            <v>510</v>
          </cell>
          <cell r="AG52" t="str">
            <v>G550</v>
          </cell>
          <cell r="AH52" t="str">
            <v>Rolls-Royce BR710</v>
          </cell>
          <cell r="BC52" t="str">
            <v>Large Cabin</v>
          </cell>
          <cell r="BE52">
            <v>90</v>
          </cell>
          <cell r="BF52">
            <v>91</v>
          </cell>
          <cell r="BO52" t="str">
            <v>Price/2001E Revenues</v>
          </cell>
          <cell r="BR52">
            <v>0.89655172413793105</v>
          </cell>
          <cell r="BW52" t="str">
            <v>Price/2002E Revenues</v>
          </cell>
          <cell r="BZ52">
            <v>1.0621889340425532</v>
          </cell>
          <cell r="DI52" t="str">
            <v>Revenues</v>
          </cell>
          <cell r="DY52" t="str">
            <v>Revenues</v>
          </cell>
        </row>
        <row r="53">
          <cell r="L53" t="str">
            <v>M1A1 AIM XX1</v>
          </cell>
          <cell r="O53">
            <v>24</v>
          </cell>
          <cell r="P53">
            <v>66</v>
          </cell>
          <cell r="Q53">
            <v>90</v>
          </cell>
          <cell r="R53">
            <v>90</v>
          </cell>
          <cell r="S53">
            <v>90</v>
          </cell>
          <cell r="T53">
            <v>90</v>
          </cell>
          <cell r="U53">
            <v>90</v>
          </cell>
          <cell r="V53">
            <v>90</v>
          </cell>
          <cell r="W53">
            <v>90</v>
          </cell>
          <cell r="X53">
            <v>90</v>
          </cell>
          <cell r="Y53">
            <v>90</v>
          </cell>
          <cell r="Z53">
            <v>900</v>
          </cell>
          <cell r="BC53" t="str">
            <v>total a/c delivs</v>
          </cell>
          <cell r="BE53">
            <v>110</v>
          </cell>
          <cell r="BF53">
            <v>133</v>
          </cell>
          <cell r="BO53" t="str">
            <v>Price/2001E EBIT</v>
          </cell>
          <cell r="BR53">
            <v>8.6666666666666661</v>
          </cell>
          <cell r="BW53" t="str">
            <v>Price/2002E EBIT</v>
          </cell>
          <cell r="BZ53">
            <v>9.6005538269230772</v>
          </cell>
          <cell r="DI53" t="str">
            <v>Marine Systems</v>
          </cell>
          <cell r="DK53">
            <v>5556</v>
          </cell>
          <cell r="DL53">
            <v>6450</v>
          </cell>
          <cell r="DM53">
            <v>6630</v>
          </cell>
          <cell r="DT53">
            <v>6450</v>
          </cell>
          <cell r="DU53">
            <v>6630</v>
          </cell>
          <cell r="DY53" t="str">
            <v>Marine Systems</v>
          </cell>
          <cell r="EA53">
            <v>5400</v>
          </cell>
          <cell r="EB53">
            <v>5730</v>
          </cell>
          <cell r="EC53">
            <v>6280</v>
          </cell>
          <cell r="EJ53">
            <v>5400</v>
          </cell>
          <cell r="EK53">
            <v>5730</v>
          </cell>
          <cell r="EL53">
            <v>6280</v>
          </cell>
        </row>
        <row r="54">
          <cell r="L54" t="str">
            <v>Fox</v>
          </cell>
          <cell r="N54">
            <v>17</v>
          </cell>
          <cell r="O54">
            <v>23</v>
          </cell>
          <cell r="P54">
            <v>22</v>
          </cell>
          <cell r="BC54" t="str">
            <v>Revised</v>
          </cell>
          <cell r="DI54" t="str">
            <v>Combat Systems</v>
          </cell>
          <cell r="DK54">
            <v>8194</v>
          </cell>
          <cell r="DL54">
            <v>10000</v>
          </cell>
          <cell r="DM54">
            <v>9950</v>
          </cell>
          <cell r="DT54">
            <v>10000</v>
          </cell>
          <cell r="DU54">
            <v>9950</v>
          </cell>
          <cell r="DY54" t="str">
            <v>Combat Systems</v>
          </cell>
          <cell r="EA54">
            <v>8250</v>
          </cell>
          <cell r="EB54">
            <v>8825</v>
          </cell>
          <cell r="EC54">
            <v>8850</v>
          </cell>
          <cell r="EJ54">
            <v>8250</v>
          </cell>
          <cell r="EK54">
            <v>8825</v>
          </cell>
          <cell r="EL54">
            <v>8850</v>
          </cell>
        </row>
        <row r="55">
          <cell r="L55" t="str">
            <v>AAAV</v>
          </cell>
          <cell r="N55" t="str">
            <v>design</v>
          </cell>
          <cell r="P55" t="str">
            <v>EMD</v>
          </cell>
          <cell r="U55">
            <v>18</v>
          </cell>
          <cell r="V55">
            <v>30</v>
          </cell>
          <cell r="W55">
            <v>93</v>
          </cell>
          <cell r="X55">
            <v>160</v>
          </cell>
          <cell r="Y55">
            <v>160</v>
          </cell>
          <cell r="BC55" t="str">
            <v>Small Cabin</v>
          </cell>
          <cell r="BD55">
            <v>70</v>
          </cell>
          <cell r="BE55">
            <v>20</v>
          </cell>
          <cell r="BF55">
            <v>22</v>
          </cell>
          <cell r="BG55" t="str">
            <v>- ...not gonna happen.</v>
          </cell>
          <cell r="BO55" t="str">
            <v>Capital Structure - 2001E</v>
          </cell>
          <cell r="BW55" t="str">
            <v>Transaction Structure</v>
          </cell>
          <cell r="DI55" t="str">
            <v>Info. Systems &amp; Tech.</v>
          </cell>
          <cell r="DK55">
            <v>10038</v>
          </cell>
          <cell r="DL55">
            <v>10800</v>
          </cell>
          <cell r="DM55">
            <v>11100</v>
          </cell>
          <cell r="DT55">
            <v>10800</v>
          </cell>
          <cell r="DU55">
            <v>11100</v>
          </cell>
          <cell r="DY55" t="str">
            <v>Info. Systems &amp; Tech.</v>
          </cell>
          <cell r="EA55">
            <v>10000</v>
          </cell>
          <cell r="EB55">
            <v>10600</v>
          </cell>
          <cell r="EC55">
            <v>11100</v>
          </cell>
          <cell r="EJ55">
            <v>10000</v>
          </cell>
          <cell r="EK55">
            <v>10600</v>
          </cell>
          <cell r="EL55">
            <v>11100</v>
          </cell>
        </row>
        <row r="56">
          <cell r="L56" t="str">
            <v>Crusader</v>
          </cell>
          <cell r="N56" t="str">
            <v>design</v>
          </cell>
          <cell r="P56" t="str">
            <v>EMD</v>
          </cell>
          <cell r="T56">
            <v>3</v>
          </cell>
          <cell r="U56">
            <v>41</v>
          </cell>
          <cell r="V56">
            <v>99</v>
          </cell>
          <cell r="W56">
            <v>120</v>
          </cell>
          <cell r="X56">
            <v>120</v>
          </cell>
          <cell r="Y56">
            <v>120</v>
          </cell>
          <cell r="BC56" t="str">
            <v>Large Cabin</v>
          </cell>
          <cell r="BD56">
            <v>88</v>
          </cell>
          <cell r="BE56">
            <v>72</v>
          </cell>
          <cell r="BF56">
            <v>70</v>
          </cell>
          <cell r="BG56" t="str">
            <v>- vs. 50 in 2003</v>
          </cell>
          <cell r="BO56" t="str">
            <v>Net Debt</v>
          </cell>
          <cell r="BR56">
            <v>2016</v>
          </cell>
          <cell r="BW56" t="str">
            <v>Price Per Share</v>
          </cell>
          <cell r="BZ56">
            <v>33.5</v>
          </cell>
          <cell r="DI56" t="str">
            <v>Aerospace</v>
          </cell>
          <cell r="DK56">
            <v>5512</v>
          </cell>
          <cell r="DL56">
            <v>5250</v>
          </cell>
          <cell r="DM56">
            <v>5300</v>
          </cell>
          <cell r="DO56">
            <v>1400</v>
          </cell>
          <cell r="DP56">
            <v>1500</v>
          </cell>
          <cell r="DQ56">
            <v>1590</v>
          </cell>
          <cell r="DT56">
            <v>6750</v>
          </cell>
          <cell r="DU56">
            <v>6890</v>
          </cell>
          <cell r="DY56" t="str">
            <v>Aerospace</v>
          </cell>
          <cell r="EA56">
            <v>5500</v>
          </cell>
          <cell r="EB56">
            <v>5400</v>
          </cell>
          <cell r="EC56">
            <v>5555</v>
          </cell>
          <cell r="EE56">
            <v>150</v>
          </cell>
          <cell r="EF56">
            <v>1500</v>
          </cell>
          <cell r="EG56">
            <v>1590</v>
          </cell>
          <cell r="EJ56">
            <v>5650</v>
          </cell>
          <cell r="EK56">
            <v>6900</v>
          </cell>
          <cell r="EL56">
            <v>7145</v>
          </cell>
        </row>
        <row r="57">
          <cell r="L57" t="str">
            <v>FSCS</v>
          </cell>
          <cell r="O57" t="str">
            <v>design</v>
          </cell>
          <cell r="Q57" t="str">
            <v>EMD</v>
          </cell>
          <cell r="T57">
            <v>40</v>
          </cell>
          <cell r="U57">
            <v>150</v>
          </cell>
          <cell r="V57">
            <v>300</v>
          </cell>
          <cell r="W57">
            <v>300</v>
          </cell>
          <cell r="X57">
            <v>300</v>
          </cell>
          <cell r="Y57">
            <v>300</v>
          </cell>
          <cell r="BC57" t="str">
            <v>total a/c delivs</v>
          </cell>
          <cell r="BD57">
            <v>158</v>
          </cell>
          <cell r="BE57">
            <v>92</v>
          </cell>
          <cell r="BF57">
            <v>92</v>
          </cell>
          <cell r="BG57" t="str">
            <v>- vs. 74 in 2003, prior trough</v>
          </cell>
          <cell r="BO57" t="str">
            <v>Equity</v>
          </cell>
          <cell r="BR57">
            <v>4533.5039999999999</v>
          </cell>
          <cell r="BW57" t="str">
            <v>Shares Outstanding</v>
          </cell>
          <cell r="BZ57">
            <v>5.886997</v>
          </cell>
          <cell r="DI57" t="str">
            <v>Total Revenues</v>
          </cell>
          <cell r="DK57">
            <v>29300</v>
          </cell>
          <cell r="DL57">
            <v>32500</v>
          </cell>
          <cell r="DM57">
            <v>32980</v>
          </cell>
          <cell r="DO57">
            <v>1400</v>
          </cell>
          <cell r="DP57">
            <v>1500</v>
          </cell>
          <cell r="DQ57">
            <v>1590</v>
          </cell>
          <cell r="DT57">
            <v>34000</v>
          </cell>
          <cell r="DU57">
            <v>34570</v>
          </cell>
          <cell r="DY57" t="str">
            <v>Total Revenues</v>
          </cell>
          <cell r="EA57">
            <v>29150</v>
          </cell>
          <cell r="EB57">
            <v>30555</v>
          </cell>
          <cell r="EC57">
            <v>31785</v>
          </cell>
          <cell r="EE57">
            <v>150</v>
          </cell>
          <cell r="EF57">
            <v>1500</v>
          </cell>
          <cell r="EG57">
            <v>1590</v>
          </cell>
          <cell r="EJ57">
            <v>29300</v>
          </cell>
          <cell r="EK57">
            <v>32055</v>
          </cell>
          <cell r="EL57">
            <v>33375</v>
          </cell>
        </row>
        <row r="58">
          <cell r="L58" t="str">
            <v>Foreign Tank Potentials</v>
          </cell>
          <cell r="BE58">
            <v>-18</v>
          </cell>
          <cell r="BF58">
            <v>-41</v>
          </cell>
          <cell r="BO58" t="str">
            <v>Net Debt/Capital</v>
          </cell>
          <cell r="BR58">
            <v>0.30780956848030017</v>
          </cell>
          <cell r="BW58" t="str">
            <v>Equity Value</v>
          </cell>
          <cell r="BZ58">
            <v>197.21439950000001</v>
          </cell>
        </row>
        <row r="59">
          <cell r="L59" t="str">
            <v>M1A2 Saudi</v>
          </cell>
          <cell r="N59" t="str">
            <v>assumes order by '00</v>
          </cell>
          <cell r="Q59">
            <v>48</v>
          </cell>
          <cell r="R59">
            <v>48</v>
          </cell>
          <cell r="S59">
            <v>48</v>
          </cell>
          <cell r="T59">
            <v>6</v>
          </cell>
          <cell r="Z59">
            <v>150</v>
          </cell>
          <cell r="BW59" t="str">
            <v>Options</v>
          </cell>
          <cell r="BZ59">
            <v>16.2</v>
          </cell>
          <cell r="DI59" t="str">
            <v>Operating Profit</v>
          </cell>
          <cell r="DY59" t="str">
            <v>Operating Profit</v>
          </cell>
        </row>
        <row r="60">
          <cell r="L60" t="str">
            <v>M1A2 Turkey</v>
          </cell>
          <cell r="N60" t="str">
            <v>assumes order by '02</v>
          </cell>
          <cell r="S60">
            <v>48</v>
          </cell>
          <cell r="T60">
            <v>96</v>
          </cell>
          <cell r="U60">
            <v>96</v>
          </cell>
          <cell r="V60">
            <v>108</v>
          </cell>
          <cell r="W60">
            <v>120</v>
          </cell>
          <cell r="X60">
            <v>120</v>
          </cell>
          <cell r="Y60">
            <v>120</v>
          </cell>
          <cell r="Z60">
            <v>708</v>
          </cell>
          <cell r="BO60" t="str">
            <v>Variables - 2001E</v>
          </cell>
          <cell r="BW60" t="str">
            <v>Total Equity Value</v>
          </cell>
          <cell r="BZ60">
            <v>213.4143995</v>
          </cell>
          <cell r="DI60" t="str">
            <v>Marine Systems</v>
          </cell>
          <cell r="DK60">
            <v>521</v>
          </cell>
          <cell r="DL60">
            <v>628.875</v>
          </cell>
          <cell r="DM60">
            <v>643.11</v>
          </cell>
          <cell r="DT60">
            <v>628.875</v>
          </cell>
          <cell r="DU60">
            <v>643.11</v>
          </cell>
          <cell r="DY60" t="str">
            <v>Marine Systems</v>
          </cell>
          <cell r="EA60">
            <v>502</v>
          </cell>
          <cell r="EB60">
            <v>550</v>
          </cell>
          <cell r="EC60">
            <v>628</v>
          </cell>
          <cell r="EJ60">
            <v>502</v>
          </cell>
          <cell r="EK60">
            <v>550</v>
          </cell>
          <cell r="EL60">
            <v>628</v>
          </cell>
        </row>
        <row r="61">
          <cell r="L61" t="str">
            <v>M1A2 Egypt</v>
          </cell>
          <cell r="N61" t="str">
            <v>assumes order by '00</v>
          </cell>
          <cell r="Q61">
            <v>12</v>
          </cell>
          <cell r="R61">
            <v>48</v>
          </cell>
          <cell r="S61">
            <v>48</v>
          </cell>
          <cell r="T61">
            <v>48</v>
          </cell>
          <cell r="U61">
            <v>44</v>
          </cell>
          <cell r="Z61">
            <v>200</v>
          </cell>
          <cell r="BO61" t="str">
            <v>Operating Margin</v>
          </cell>
          <cell r="BR61">
            <v>0.10344827586206896</v>
          </cell>
          <cell r="BW61" t="str">
            <v>Net Debt</v>
          </cell>
          <cell r="BZ61">
            <v>36.200000000000003</v>
          </cell>
          <cell r="DI61" t="str">
            <v>Combat Systems</v>
          </cell>
          <cell r="DK61">
            <v>1111</v>
          </cell>
          <cell r="DL61">
            <v>1225</v>
          </cell>
          <cell r="DM61">
            <v>1194</v>
          </cell>
          <cell r="DT61">
            <v>1225</v>
          </cell>
          <cell r="DU61">
            <v>1194</v>
          </cell>
          <cell r="DY61" t="str">
            <v>Combat Systems</v>
          </cell>
          <cell r="EA61">
            <v>1089</v>
          </cell>
          <cell r="EB61">
            <v>1147</v>
          </cell>
          <cell r="EC61">
            <v>1115</v>
          </cell>
          <cell r="EJ61">
            <v>1089</v>
          </cell>
          <cell r="EK61">
            <v>1147</v>
          </cell>
          <cell r="EL61">
            <v>1115</v>
          </cell>
        </row>
        <row r="62">
          <cell r="L62" t="str">
            <v>M1A2 Qatar</v>
          </cell>
          <cell r="N62" t="str">
            <v>assumes order by '00</v>
          </cell>
          <cell r="Q62">
            <v>9</v>
          </cell>
          <cell r="R62">
            <v>21</v>
          </cell>
          <cell r="Z62">
            <v>30</v>
          </cell>
          <cell r="BO62" t="str">
            <v>Interest Rate - Bank Debt</v>
          </cell>
          <cell r="BR62">
            <v>7.0000000000000007E-2</v>
          </cell>
          <cell r="BS62" t="str">
            <v>??</v>
          </cell>
          <cell r="BW62" t="str">
            <v>Transaction Value</v>
          </cell>
          <cell r="BZ62">
            <v>249.61439949999999</v>
          </cell>
          <cell r="CA62" t="str">
            <v>??</v>
          </cell>
          <cell r="DI62" t="str">
            <v>Info. Systems &amp; Tech.</v>
          </cell>
          <cell r="DK62">
            <v>1075</v>
          </cell>
          <cell r="DL62">
            <v>1112.3999999999999</v>
          </cell>
          <cell r="DM62">
            <v>1143.3</v>
          </cell>
          <cell r="DT62">
            <v>1112.3999999999999</v>
          </cell>
          <cell r="DU62">
            <v>1143.3</v>
          </cell>
          <cell r="DY62" t="str">
            <v>Info. Systems &amp; Tech.</v>
          </cell>
          <cell r="EA62">
            <v>1070</v>
          </cell>
          <cell r="EB62">
            <v>1113</v>
          </cell>
          <cell r="EC62">
            <v>1199</v>
          </cell>
          <cell r="EJ62">
            <v>1070</v>
          </cell>
          <cell r="EK62">
            <v>1113</v>
          </cell>
          <cell r="EL62">
            <v>1199</v>
          </cell>
        </row>
        <row r="63">
          <cell r="L63" t="str">
            <v>M1A2 Greece</v>
          </cell>
          <cell r="N63" t="str">
            <v>assumes order by '01</v>
          </cell>
          <cell r="R63">
            <v>27</v>
          </cell>
          <cell r="S63">
            <v>78</v>
          </cell>
          <cell r="T63">
            <v>84</v>
          </cell>
          <cell r="U63">
            <v>57</v>
          </cell>
          <cell r="Z63">
            <v>246</v>
          </cell>
          <cell r="BO63" t="str">
            <v>Income Tax Rate</v>
          </cell>
          <cell r="BR63">
            <v>0.36</v>
          </cell>
          <cell r="DI63" t="str">
            <v>Aerospace</v>
          </cell>
          <cell r="DK63">
            <v>1021</v>
          </cell>
          <cell r="DL63">
            <v>708.75</v>
          </cell>
          <cell r="DM63">
            <v>742.00000000000011</v>
          </cell>
          <cell r="DO63">
            <v>186.66666666666666</v>
          </cell>
          <cell r="DP63">
            <v>200</v>
          </cell>
          <cell r="DQ63">
            <v>212</v>
          </cell>
          <cell r="DT63">
            <v>908.75</v>
          </cell>
          <cell r="DU63">
            <v>954.00000000000011</v>
          </cell>
          <cell r="DY63" t="str">
            <v>Aerospace</v>
          </cell>
          <cell r="EA63">
            <v>1023</v>
          </cell>
          <cell r="EB63">
            <v>972</v>
          </cell>
          <cell r="EC63">
            <v>1011</v>
          </cell>
          <cell r="EE63">
            <v>19</v>
          </cell>
          <cell r="EF63">
            <v>200</v>
          </cell>
          <cell r="EG63">
            <v>212</v>
          </cell>
          <cell r="EJ63">
            <v>1042</v>
          </cell>
          <cell r="EK63">
            <v>1172</v>
          </cell>
          <cell r="EL63">
            <v>1223</v>
          </cell>
        </row>
        <row r="64">
          <cell r="BW64" t="str">
            <v>Variables - 2002E</v>
          </cell>
          <cell r="DI64" t="str">
            <v>Resources/Corporate</v>
          </cell>
          <cell r="DK64">
            <v>-75</v>
          </cell>
          <cell r="DL64">
            <v>-90</v>
          </cell>
          <cell r="DM64">
            <v>-70</v>
          </cell>
          <cell r="DT64">
            <v>-90</v>
          </cell>
          <cell r="DU64">
            <v>-70</v>
          </cell>
          <cell r="DY64" t="str">
            <v>Resources/Corporate</v>
          </cell>
          <cell r="EA64">
            <v>-80</v>
          </cell>
          <cell r="EB64">
            <v>-65</v>
          </cell>
          <cell r="EC64">
            <v>-60</v>
          </cell>
          <cell r="EJ64">
            <v>-80</v>
          </cell>
          <cell r="EK64">
            <v>-65</v>
          </cell>
          <cell r="EL64">
            <v>-60</v>
          </cell>
        </row>
        <row r="65">
          <cell r="BW65" t="str">
            <v>Operating Margin</v>
          </cell>
          <cell r="BZ65">
            <v>0.11063829787234042</v>
          </cell>
          <cell r="DI65" t="str">
            <v>Total Operating Profit</v>
          </cell>
          <cell r="DK65">
            <v>3653</v>
          </cell>
          <cell r="DL65">
            <v>3585.0249999999996</v>
          </cell>
          <cell r="DM65">
            <v>3652.41</v>
          </cell>
          <cell r="DO65">
            <v>186.66666666666666</v>
          </cell>
          <cell r="DP65">
            <v>200</v>
          </cell>
          <cell r="DQ65">
            <v>212</v>
          </cell>
          <cell r="DT65">
            <v>3785.0249999999996</v>
          </cell>
          <cell r="DU65">
            <v>3864.41</v>
          </cell>
          <cell r="DY65" t="str">
            <v>Total Operating Profit</v>
          </cell>
          <cell r="EA65">
            <v>3604</v>
          </cell>
          <cell r="EB65">
            <v>3717</v>
          </cell>
          <cell r="EC65">
            <v>3893</v>
          </cell>
          <cell r="EE65">
            <v>19</v>
          </cell>
          <cell r="EF65">
            <v>200</v>
          </cell>
          <cell r="EG65">
            <v>212</v>
          </cell>
          <cell r="EJ65">
            <v>3623</v>
          </cell>
          <cell r="EK65">
            <v>3917</v>
          </cell>
          <cell r="EL65">
            <v>4105</v>
          </cell>
        </row>
        <row r="66">
          <cell r="M66" t="str">
            <v>GD U.S. Gov't Sales Breakdown</v>
          </cell>
          <cell r="T66" t="str">
            <v>GD New Orders 1Q00</v>
          </cell>
          <cell r="Y66" t="str">
            <v>GD New Contract Potential</v>
          </cell>
          <cell r="BO66" t="str">
            <v>Purchase Price</v>
          </cell>
          <cell r="BR66">
            <v>520</v>
          </cell>
          <cell r="BW66" t="str">
            <v>Interest Rate - Bank Debt</v>
          </cell>
          <cell r="BZ66">
            <v>0.1</v>
          </cell>
          <cell r="DI66" t="str">
            <v>Interest, net</v>
          </cell>
          <cell r="DK66">
            <v>-66</v>
          </cell>
          <cell r="DL66">
            <v>-149.71440000000001</v>
          </cell>
          <cell r="DM66">
            <v>-127.88593463454089</v>
          </cell>
          <cell r="DP66">
            <v>-63.6</v>
          </cell>
          <cell r="DQ66">
            <v>-67.5</v>
          </cell>
          <cell r="DT66">
            <v>-213.31440000000001</v>
          </cell>
          <cell r="DU66">
            <v>-195.38593463454089</v>
          </cell>
          <cell r="DY66" t="str">
            <v>Interest, net</v>
          </cell>
          <cell r="EA66">
            <v>-55</v>
          </cell>
          <cell r="EB66">
            <v>-26</v>
          </cell>
          <cell r="EC66">
            <v>-21</v>
          </cell>
          <cell r="EE66">
            <v>-6</v>
          </cell>
          <cell r="EF66">
            <v>-88</v>
          </cell>
          <cell r="EG66">
            <v>-71</v>
          </cell>
          <cell r="EJ66">
            <v>-61</v>
          </cell>
          <cell r="EK66">
            <v>-114</v>
          </cell>
          <cell r="EL66">
            <v>-92</v>
          </cell>
        </row>
        <row r="67">
          <cell r="AB67" t="str">
            <v>Est. Sales</v>
          </cell>
          <cell r="AC67" t="str">
            <v>Est. Initial</v>
          </cell>
          <cell r="AD67" t="str">
            <v>Est. Add</v>
          </cell>
          <cell r="AE67" t="str">
            <v>Est. Decision</v>
          </cell>
          <cell r="BW67" t="str">
            <v>Income Tax Rate</v>
          </cell>
          <cell r="BZ67">
            <v>0.34499999999999997</v>
          </cell>
          <cell r="DI67" t="str">
            <v>Other, net</v>
          </cell>
          <cell r="DK67">
            <v>17</v>
          </cell>
          <cell r="DL67">
            <v>3</v>
          </cell>
          <cell r="DM67">
            <v>0</v>
          </cell>
          <cell r="DT67">
            <v>3</v>
          </cell>
          <cell r="DU67">
            <v>0</v>
          </cell>
          <cell r="DY67" t="str">
            <v>Other, net</v>
          </cell>
          <cell r="EA67">
            <v>3</v>
          </cell>
          <cell r="EB67">
            <v>0</v>
          </cell>
          <cell r="EC67">
            <v>0</v>
          </cell>
          <cell r="EE67">
            <v>0</v>
          </cell>
          <cell r="EJ67">
            <v>3</v>
          </cell>
          <cell r="EK67">
            <v>0</v>
          </cell>
          <cell r="EL67">
            <v>0</v>
          </cell>
        </row>
        <row r="68">
          <cell r="M68" t="str">
            <v>Sales</v>
          </cell>
          <cell r="O68" t="str">
            <v>1995</v>
          </cell>
          <cell r="P68" t="str">
            <v>1996</v>
          </cell>
          <cell r="Q68" t="str">
            <v>1997</v>
          </cell>
          <cell r="V68" t="str">
            <v>$MM</v>
          </cell>
          <cell r="Y68" t="str">
            <v>Contract</v>
          </cell>
          <cell r="Z68" t="str">
            <v>Size</v>
          </cell>
          <cell r="AA68" t="str">
            <v>Period (Yrs)</v>
          </cell>
          <cell r="AB68" t="str">
            <v>Year 1</v>
          </cell>
          <cell r="AC68" t="str">
            <v>Margins</v>
          </cell>
          <cell r="AD68" t="str">
            <v>To EPS</v>
          </cell>
          <cell r="AE68" t="str">
            <v>Date</v>
          </cell>
          <cell r="AF68" t="str">
            <v>Comments</v>
          </cell>
          <cell r="DI68" t="str">
            <v>Pretax Income</v>
          </cell>
          <cell r="DK68">
            <v>3604</v>
          </cell>
          <cell r="DL68">
            <v>3438.3105999999998</v>
          </cell>
          <cell r="DM68">
            <v>3524.5240653654591</v>
          </cell>
          <cell r="DP68">
            <v>136.4</v>
          </cell>
          <cell r="DQ68">
            <v>144.5</v>
          </cell>
          <cell r="DT68">
            <v>3574.7105999999994</v>
          </cell>
          <cell r="DU68">
            <v>3669.0240653654591</v>
          </cell>
          <cell r="DY68" t="str">
            <v>Pretax Income</v>
          </cell>
          <cell r="EA68">
            <v>3552</v>
          </cell>
          <cell r="EB68">
            <v>3691</v>
          </cell>
          <cell r="EC68">
            <v>3872</v>
          </cell>
          <cell r="EE68">
            <v>13</v>
          </cell>
          <cell r="EF68">
            <v>112</v>
          </cell>
          <cell r="EG68">
            <v>141</v>
          </cell>
          <cell r="EJ68">
            <v>3565</v>
          </cell>
          <cell r="EK68">
            <v>3803</v>
          </cell>
          <cell r="EL68">
            <v>4013</v>
          </cell>
        </row>
        <row r="69">
          <cell r="M69" t="str">
            <v>DoD</v>
          </cell>
          <cell r="O69">
            <v>2422</v>
          </cell>
          <cell r="P69">
            <v>3051</v>
          </cell>
          <cell r="Q69">
            <v>3485</v>
          </cell>
          <cell r="T69" t="str">
            <v>M.E. tank</v>
          </cell>
          <cell r="V69">
            <v>250</v>
          </cell>
          <cell r="Y69" t="str">
            <v>IAV</v>
          </cell>
          <cell r="Z69">
            <v>6000</v>
          </cell>
          <cell r="AA69">
            <v>5</v>
          </cell>
          <cell r="AB69">
            <v>1000</v>
          </cell>
          <cell r="AC69">
            <v>6.5000000000000002E-2</v>
          </cell>
          <cell r="AD69" t="str">
            <v>15-20¢</v>
          </cell>
          <cell r="AE69" t="str">
            <v>Oct. 11th</v>
          </cell>
          <cell r="AF69" t="str">
            <v>- UDLP major competition</v>
          </cell>
          <cell r="AL69" t="str">
            <v>General Dynamics P&amp;L ($MM)</v>
          </cell>
          <cell r="DI69" t="str">
            <v>Taxes</v>
          </cell>
          <cell r="DK69">
            <v>1161</v>
          </cell>
          <cell r="DL69">
            <v>1082.3801768799999</v>
          </cell>
          <cell r="DM69">
            <v>1113.7496046554852</v>
          </cell>
          <cell r="DT69">
            <v>1125.31889688</v>
          </cell>
          <cell r="DU69">
            <v>1159.411604655485</v>
          </cell>
          <cell r="DY69" t="str">
            <v>Taxes</v>
          </cell>
          <cell r="EA69">
            <v>-1136.6400000000001</v>
          </cell>
          <cell r="EB69">
            <v>-1181.1200000000001</v>
          </cell>
          <cell r="EC69">
            <v>-1239.04</v>
          </cell>
          <cell r="EE69">
            <v>-4.16</v>
          </cell>
          <cell r="EF69">
            <v>-35.840000000000003</v>
          </cell>
          <cell r="EG69">
            <v>-45.12</v>
          </cell>
          <cell r="EJ69">
            <v>-1140.8000000000002</v>
          </cell>
          <cell r="EK69">
            <v>-1216.96</v>
          </cell>
          <cell r="EL69">
            <v>-1284.1599999999999</v>
          </cell>
        </row>
        <row r="70">
          <cell r="M70" t="str">
            <v>FMS</v>
          </cell>
          <cell r="O70">
            <v>476</v>
          </cell>
          <cell r="P70">
            <v>261</v>
          </cell>
          <cell r="Q70">
            <v>166</v>
          </cell>
          <cell r="T70" t="str">
            <v>Jones Act</v>
          </cell>
          <cell r="V70">
            <v>300</v>
          </cell>
          <cell r="Y70" t="str">
            <v>NMCI</v>
          </cell>
          <cell r="Z70">
            <v>6000</v>
          </cell>
          <cell r="AA70">
            <v>5</v>
          </cell>
          <cell r="AB70">
            <v>1000</v>
          </cell>
          <cell r="AC70">
            <v>7.4999999999999997E-2</v>
          </cell>
          <cell r="AD70" t="str">
            <v>20-25¢</v>
          </cell>
          <cell r="AE70" t="str">
            <v>Sept-Oct</v>
          </cell>
          <cell r="AF70" t="str">
            <v>- Improved odds vs. CSC</v>
          </cell>
          <cell r="BC70" t="str">
            <v>Possible GD 2003 Earnings Power</v>
          </cell>
          <cell r="DI70" t="str">
            <v>Tax rate</v>
          </cell>
          <cell r="DK70">
            <v>0.32214206437291898</v>
          </cell>
          <cell r="DL70">
            <v>0.31480000000000002</v>
          </cell>
          <cell r="DM70">
            <v>0.316</v>
          </cell>
          <cell r="DT70">
            <v>0.31480000000000002</v>
          </cell>
          <cell r="DU70">
            <v>0.316</v>
          </cell>
          <cell r="DY70" t="str">
            <v>Tax rate</v>
          </cell>
          <cell r="EA70">
            <v>0.32</v>
          </cell>
          <cell r="EB70">
            <v>0.32</v>
          </cell>
          <cell r="EC70">
            <v>0.32</v>
          </cell>
          <cell r="EE70">
            <v>0.32</v>
          </cell>
          <cell r="EF70">
            <v>0.32</v>
          </cell>
          <cell r="EG70">
            <v>0.32</v>
          </cell>
          <cell r="EJ70">
            <v>0.32000000000000006</v>
          </cell>
          <cell r="EK70">
            <v>0.32</v>
          </cell>
          <cell r="EL70">
            <v>0.31999999999999995</v>
          </cell>
        </row>
        <row r="71">
          <cell r="M71" t="str">
            <v>Total</v>
          </cell>
          <cell r="O71">
            <v>2898</v>
          </cell>
          <cell r="P71">
            <v>3312</v>
          </cell>
          <cell r="Q71">
            <v>3651</v>
          </cell>
          <cell r="T71" t="str">
            <v>Seawolf mod</v>
          </cell>
          <cell r="V71">
            <v>887</v>
          </cell>
          <cell r="Y71" t="str">
            <v>Greek Tank</v>
          </cell>
          <cell r="Z71" t="str">
            <v>600-800</v>
          </cell>
          <cell r="AA71">
            <v>3</v>
          </cell>
          <cell r="AB71">
            <v>250</v>
          </cell>
          <cell r="AC71">
            <v>0.125</v>
          </cell>
          <cell r="AD71" t="str">
            <v>10¢</v>
          </cell>
          <cell r="AE71" t="str">
            <v>4Q00</v>
          </cell>
          <cell r="AF71" t="str">
            <v>- Lead contender vs. Germans/French</v>
          </cell>
          <cell r="AL71" t="str">
            <v>1997A</v>
          </cell>
          <cell r="AO71" t="str">
            <v>1998E</v>
          </cell>
          <cell r="AQ71" t="str">
            <v>1999E</v>
          </cell>
          <cell r="AT71" t="str">
            <v>2000E</v>
          </cell>
          <cell r="AW71" t="str">
            <v>2003E</v>
          </cell>
          <cell r="BB71">
            <v>3275</v>
          </cell>
          <cell r="BD71">
            <v>395</v>
          </cell>
          <cell r="BE71">
            <v>0.12061068702290076</v>
          </cell>
          <cell r="DI71" t="str">
            <v>Net Income</v>
          </cell>
          <cell r="DK71">
            <v>2443</v>
          </cell>
          <cell r="DL71">
            <v>2355.9304231199999</v>
          </cell>
          <cell r="DM71">
            <v>2410.7744607099739</v>
          </cell>
          <cell r="DP71">
            <v>93.461279999999533</v>
          </cell>
          <cell r="DQ71">
            <v>98.838000000000193</v>
          </cell>
          <cell r="DT71">
            <v>2449.3917031199994</v>
          </cell>
          <cell r="DU71">
            <v>2509.6124607099741</v>
          </cell>
          <cell r="DY71" t="str">
            <v>Net Income, Cont.</v>
          </cell>
          <cell r="EA71">
            <v>2415.3599999999997</v>
          </cell>
          <cell r="EB71">
            <v>2509.88</v>
          </cell>
          <cell r="EC71">
            <v>2632.96</v>
          </cell>
          <cell r="EE71">
            <v>8.84</v>
          </cell>
          <cell r="EF71">
            <v>76.16</v>
          </cell>
          <cell r="EG71">
            <v>95.88</v>
          </cell>
          <cell r="EJ71">
            <v>2424.1999999999998</v>
          </cell>
          <cell r="EK71">
            <v>2586.04</v>
          </cell>
          <cell r="EL71">
            <v>2728.84</v>
          </cell>
        </row>
        <row r="72">
          <cell r="M72" t="str">
            <v>% Sales</v>
          </cell>
          <cell r="T72" t="str">
            <v>Egypt GIVSPs</v>
          </cell>
          <cell r="V72">
            <v>74.3</v>
          </cell>
          <cell r="AK72" t="str">
            <v>Revs</v>
          </cell>
          <cell r="AL72" t="str">
            <v>OpPr</v>
          </cell>
          <cell r="AM72" t="str">
            <v>% Sls</v>
          </cell>
          <cell r="AN72" t="str">
            <v>Revs</v>
          </cell>
          <cell r="AO72" t="str">
            <v>OpPr</v>
          </cell>
          <cell r="AP72" t="str">
            <v>% Sls</v>
          </cell>
          <cell r="AQ72" t="str">
            <v>Revs</v>
          </cell>
          <cell r="AR72" t="str">
            <v>OpPr</v>
          </cell>
          <cell r="AS72" t="str">
            <v>% Sls</v>
          </cell>
          <cell r="AT72" t="str">
            <v>Revs</v>
          </cell>
          <cell r="AU72" t="str">
            <v>OpPr</v>
          </cell>
          <cell r="AV72" t="str">
            <v>% Sls</v>
          </cell>
          <cell r="AW72" t="str">
            <v>Revs</v>
          </cell>
          <cell r="AX72" t="str">
            <v>OpPr</v>
          </cell>
          <cell r="AY72" t="str">
            <v>% Sls</v>
          </cell>
          <cell r="BB72">
            <v>2003</v>
          </cell>
          <cell r="BC72" t="str">
            <v>00-03</v>
          </cell>
          <cell r="BD72">
            <v>2003</v>
          </cell>
          <cell r="BE72" t="str">
            <v>% Sales</v>
          </cell>
        </row>
        <row r="73">
          <cell r="M73" t="str">
            <v>DoD</v>
          </cell>
          <cell r="O73">
            <v>0.83574879227053145</v>
          </cell>
          <cell r="P73">
            <v>0.92119565217391308</v>
          </cell>
          <cell r="Q73">
            <v>0.95453300465625857</v>
          </cell>
          <cell r="T73" t="str">
            <v>LPD17</v>
          </cell>
          <cell r="V73">
            <v>492</v>
          </cell>
          <cell r="AI73" t="str">
            <v>Marine Group</v>
          </cell>
          <cell r="AN73">
            <v>2625.5833333333335</v>
          </cell>
          <cell r="AO73">
            <v>285</v>
          </cell>
          <cell r="AP73">
            <v>0.10854730694766242</v>
          </cell>
          <cell r="AQ73">
            <v>2603</v>
          </cell>
          <cell r="AR73">
            <v>291</v>
          </cell>
          <cell r="AS73">
            <v>0.11179408374951978</v>
          </cell>
          <cell r="AT73">
            <v>2883</v>
          </cell>
          <cell r="AU73">
            <v>282</v>
          </cell>
          <cell r="AV73">
            <v>9.7814776274713841E-2</v>
          </cell>
          <cell r="AW73">
            <v>3275</v>
          </cell>
          <cell r="AX73">
            <v>380</v>
          </cell>
          <cell r="AY73">
            <v>0.11603053435114503</v>
          </cell>
          <cell r="BB73" t="str">
            <v>Revs.</v>
          </cell>
          <cell r="BC73" t="str">
            <v>CGR</v>
          </cell>
          <cell r="BD73" t="str">
            <v>Op Pr.</v>
          </cell>
          <cell r="BE73" t="str">
            <v>'03</v>
          </cell>
          <cell r="BF73" t="str">
            <v>'01</v>
          </cell>
          <cell r="BG73" t="str">
            <v>Assumptions</v>
          </cell>
          <cell r="BW73" t="str">
            <v>Purchase Price</v>
          </cell>
          <cell r="BZ73">
            <v>249.61439949999999</v>
          </cell>
          <cell r="DI73" t="str">
            <v>EPS, Reported</v>
          </cell>
          <cell r="DK73">
            <v>6.1274140958113872</v>
          </cell>
          <cell r="DL73">
            <v>6.1189391025198736</v>
          </cell>
          <cell r="DM73">
            <v>6.3955993666716093</v>
          </cell>
          <cell r="DP73">
            <v>0.24274226231443663</v>
          </cell>
          <cell r="DQ73">
            <v>0.26220961790715513</v>
          </cell>
          <cell r="DT73">
            <v>6.3616813648343102</v>
          </cell>
          <cell r="DU73">
            <v>6.6578089845787645</v>
          </cell>
          <cell r="DY73" t="str">
            <v>EPS, Cont.</v>
          </cell>
          <cell r="EA73">
            <v>6.0383999999999993</v>
          </cell>
          <cell r="EB73">
            <v>6.3541265822784814</v>
          </cell>
          <cell r="EC73">
            <v>6.7511794871794875</v>
          </cell>
          <cell r="EE73">
            <v>2.2099999999999998E-2</v>
          </cell>
          <cell r="EF73">
            <v>0.19281012658227847</v>
          </cell>
          <cell r="EG73">
            <v>0.24584615384615383</v>
          </cell>
          <cell r="EJ73">
            <v>6.0604999999999993</v>
          </cell>
          <cell r="EK73">
            <v>6.5469367088607591</v>
          </cell>
          <cell r="EL73">
            <v>6.9970256410256413</v>
          </cell>
        </row>
        <row r="74">
          <cell r="DY74" t="str">
            <v>Other</v>
          </cell>
          <cell r="EA74">
            <v>0.09</v>
          </cell>
          <cell r="EJ74">
            <v>0.09</v>
          </cell>
          <cell r="EK74">
            <v>0</v>
          </cell>
          <cell r="EL74">
            <v>0</v>
          </cell>
        </row>
        <row r="75">
          <cell r="DY75" t="str">
            <v>EPS, Reported</v>
          </cell>
          <cell r="EA75">
            <v>6.1283999999999992</v>
          </cell>
          <cell r="EB75">
            <v>6.3541265822784814</v>
          </cell>
          <cell r="EC75">
            <v>6.7511794871794875</v>
          </cell>
          <cell r="EE75">
            <v>2.2099999999999998E-2</v>
          </cell>
          <cell r="EF75">
            <v>0.19281012658227847</v>
          </cell>
          <cell r="EG75">
            <v>0.24584615384615383</v>
          </cell>
          <cell r="EJ75">
            <v>6.1504999999999992</v>
          </cell>
          <cell r="EK75">
            <v>6.5469367088607591</v>
          </cell>
          <cell r="EL75">
            <v>6.9970256410256413</v>
          </cell>
        </row>
        <row r="76">
          <cell r="M76" t="str">
            <v>FMS</v>
          </cell>
          <cell r="O76">
            <v>0.16425120772946861</v>
          </cell>
          <cell r="P76">
            <v>7.880434782608696E-2</v>
          </cell>
          <cell r="Q76">
            <v>4.5466995343741441E-2</v>
          </cell>
          <cell r="AI76" t="str">
            <v>NASSCO</v>
          </cell>
          <cell r="AN76">
            <v>40.416666666666664</v>
          </cell>
          <cell r="AO76">
            <v>2.2500000000000004</v>
          </cell>
          <cell r="AP76">
            <v>5.5670103092783522E-2</v>
          </cell>
          <cell r="AQ76">
            <v>485</v>
          </cell>
          <cell r="AR76">
            <v>37</v>
          </cell>
          <cell r="AS76">
            <v>7.628865979381444E-2</v>
          </cell>
          <cell r="AT76">
            <v>530</v>
          </cell>
          <cell r="AU76">
            <v>42</v>
          </cell>
          <cell r="AV76">
            <v>7.9245283018867921E-2</v>
          </cell>
          <cell r="AW76">
            <v>925</v>
          </cell>
          <cell r="AX76">
            <v>0</v>
          </cell>
          <cell r="AY76">
            <v>0</v>
          </cell>
          <cell r="BA76" t="str">
            <v>Marine</v>
          </cell>
          <cell r="BB76">
            <v>4200</v>
          </cell>
          <cell r="BC76">
            <v>7.1612244636113154E-2</v>
          </cell>
          <cell r="BD76">
            <v>380</v>
          </cell>
          <cell r="BE76">
            <v>9.0476190476190474E-2</v>
          </cell>
          <cell r="BF76">
            <v>8.58250276854928E-2</v>
          </cell>
          <cell r="BG76" t="str">
            <v>- Mix a margin drag</v>
          </cell>
          <cell r="DI76" t="str">
            <v>Avg. Diluted Shares</v>
          </cell>
          <cell r="DK76">
            <v>398.7</v>
          </cell>
          <cell r="DL76">
            <v>385.02269489000003</v>
          </cell>
          <cell r="DM76">
            <v>376.94269489000004</v>
          </cell>
          <cell r="DT76">
            <v>385.02269489000003</v>
          </cell>
          <cell r="DU76">
            <v>376.94269489000004</v>
          </cell>
          <cell r="DY76" t="str">
            <v>Avg. Diluted Shares</v>
          </cell>
          <cell r="EA76">
            <v>400</v>
          </cell>
          <cell r="EB76">
            <v>395</v>
          </cell>
          <cell r="EC76">
            <v>390</v>
          </cell>
          <cell r="EE76">
            <v>400</v>
          </cell>
          <cell r="EF76">
            <v>395</v>
          </cell>
          <cell r="EG76">
            <v>390</v>
          </cell>
          <cell r="EJ76">
            <v>400</v>
          </cell>
          <cell r="EK76">
            <v>395</v>
          </cell>
          <cell r="EL76">
            <v>390</v>
          </cell>
        </row>
        <row r="77">
          <cell r="M77" t="str">
            <v>% of Total Sls</v>
          </cell>
          <cell r="AI77" t="str">
            <v>Combat Sys</v>
          </cell>
          <cell r="AN77">
            <v>1272</v>
          </cell>
          <cell r="AO77">
            <v>235</v>
          </cell>
          <cell r="AP77">
            <v>0.18474842767295596</v>
          </cell>
          <cell r="AQ77">
            <v>1290</v>
          </cell>
          <cell r="AR77">
            <v>155</v>
          </cell>
          <cell r="AS77">
            <v>0.12015503875968993</v>
          </cell>
          <cell r="AT77">
            <v>1273</v>
          </cell>
          <cell r="AU77">
            <v>156</v>
          </cell>
          <cell r="AV77">
            <v>0.12254516889238021</v>
          </cell>
          <cell r="AW77">
            <v>1700</v>
          </cell>
          <cell r="AX77">
            <v>229.50000000000003</v>
          </cell>
          <cell r="AY77">
            <v>0.1076923076923077</v>
          </cell>
          <cell r="BA77" t="str">
            <v>Combat Vehicle</v>
          </cell>
          <cell r="BB77">
            <v>1700</v>
          </cell>
          <cell r="BC77">
            <v>0.10064241629820767</v>
          </cell>
          <cell r="BD77">
            <v>229.50000000000003</v>
          </cell>
          <cell r="BE77">
            <v>0.13500000000000001</v>
          </cell>
          <cell r="BF77">
            <v>0.1076923076923077</v>
          </cell>
          <cell r="BG77" t="str">
            <v>- Holds steady, small foreign buys</v>
          </cell>
        </row>
        <row r="78">
          <cell r="AI78" t="str">
            <v>Info Tech</v>
          </cell>
          <cell r="AN78">
            <v>933</v>
          </cell>
          <cell r="AO78">
            <v>69</v>
          </cell>
          <cell r="AP78">
            <v>7.3954983922829579E-2</v>
          </cell>
          <cell r="AQ78">
            <v>1422</v>
          </cell>
          <cell r="AR78">
            <v>127</v>
          </cell>
          <cell r="AS78">
            <v>8.9310829817158932E-2</v>
          </cell>
          <cell r="AT78">
            <v>2337</v>
          </cell>
          <cell r="AU78">
            <v>217</v>
          </cell>
          <cell r="AV78">
            <v>9.2854086435601196E-2</v>
          </cell>
          <cell r="AW78">
            <v>1650</v>
          </cell>
          <cell r="AX78">
            <v>173.25</v>
          </cell>
          <cell r="AY78">
            <v>9.6989966555183951E-2</v>
          </cell>
          <cell r="BA78" t="str">
            <v>Info Systems</v>
          </cell>
          <cell r="BB78">
            <v>1650</v>
          </cell>
          <cell r="BC78">
            <v>-0.10955231203969538</v>
          </cell>
          <cell r="BD78">
            <v>173.25</v>
          </cell>
          <cell r="BE78">
            <v>0.105</v>
          </cell>
          <cell r="BF78">
            <v>9.6989966555183951E-2</v>
          </cell>
          <cell r="BG78" t="str">
            <v>- Solid grower</v>
          </cell>
          <cell r="DI78" t="str">
            <v>Accretion/Dilution (assuming no intangibles amortization or synergies)</v>
          </cell>
          <cell r="DT78">
            <v>3.9670645229084256E-2</v>
          </cell>
          <cell r="DU78">
            <v>4.0998443284857355E-2</v>
          </cell>
        </row>
        <row r="79">
          <cell r="AI79" t="str">
            <v>Other</v>
          </cell>
          <cell r="AN79">
            <v>236</v>
          </cell>
          <cell r="AO79">
            <v>32</v>
          </cell>
          <cell r="AP79">
            <v>0.13559322033898305</v>
          </cell>
          <cell r="AQ79">
            <v>250</v>
          </cell>
          <cell r="AR79">
            <v>46</v>
          </cell>
          <cell r="AS79">
            <v>0.184</v>
          </cell>
          <cell r="AT79">
            <v>253</v>
          </cell>
          <cell r="AU79">
            <v>36</v>
          </cell>
          <cell r="AV79">
            <v>0.14229249011857709</v>
          </cell>
          <cell r="AW79">
            <v>0</v>
          </cell>
          <cell r="AX79">
            <v>0</v>
          </cell>
          <cell r="AY79">
            <v>0</v>
          </cell>
          <cell r="BA79" t="str">
            <v>Other</v>
          </cell>
          <cell r="BC79">
            <v>-0.99999974478297993</v>
          </cell>
          <cell r="BD79">
            <v>0</v>
          </cell>
          <cell r="BE79">
            <v>0.13600000000000001</v>
          </cell>
          <cell r="BF79">
            <v>0</v>
          </cell>
          <cell r="BG79" t="str">
            <v>- Flat contract</v>
          </cell>
          <cell r="DT79">
            <v>0.24274226231443663</v>
          </cell>
          <cell r="DU79">
            <v>0.26220961790715513</v>
          </cell>
        </row>
        <row r="80">
          <cell r="M80" t="str">
            <v xml:space="preserve">GD's Major Programs </v>
          </cell>
          <cell r="X80" t="str">
            <v>Possible IAV Winner Combinations</v>
          </cell>
          <cell r="AI80" t="str">
            <v xml:space="preserve"> Total Revs.</v>
          </cell>
          <cell r="AN80">
            <v>7535</v>
          </cell>
          <cell r="AO80">
            <v>623.25</v>
          </cell>
          <cell r="AP80">
            <v>8.2714001327140019E-2</v>
          </cell>
          <cell r="AQ80">
            <v>6050</v>
          </cell>
          <cell r="AR80">
            <v>656</v>
          </cell>
          <cell r="AS80">
            <v>0.1084297520661157</v>
          </cell>
          <cell r="AT80">
            <v>7276</v>
          </cell>
          <cell r="AU80">
            <v>733</v>
          </cell>
          <cell r="AV80">
            <v>0.10074216602528863</v>
          </cell>
          <cell r="AW80">
            <v>7550</v>
          </cell>
          <cell r="AX80">
            <v>782.75</v>
          </cell>
          <cell r="AY80">
            <v>0</v>
          </cell>
          <cell r="BA80" t="str">
            <v>Total</v>
          </cell>
          <cell r="BB80">
            <v>7550</v>
          </cell>
          <cell r="BC80">
            <v>-9.8498780589765245E-2</v>
          </cell>
          <cell r="BD80">
            <v>782.75</v>
          </cell>
          <cell r="BE80">
            <v>0.10367549668874172</v>
          </cell>
          <cell r="BG80" t="str">
            <v xml:space="preserve"> -Improved absorptiom pof G/W</v>
          </cell>
          <cell r="DI80" t="str">
            <v xml:space="preserve">Interest Calculation </v>
          </cell>
        </row>
        <row r="81">
          <cell r="Y81" t="str">
            <v>Gun System ($1B)</v>
          </cell>
          <cell r="AA81" t="str">
            <v>Vehicles ($5B)</v>
          </cell>
          <cell r="AB81" t="str">
            <v>GD Win</v>
          </cell>
          <cell r="AC81" t="str">
            <v>Comments</v>
          </cell>
          <cell r="AI81" t="str">
            <v xml:space="preserve">  % Change</v>
          </cell>
          <cell r="AO81">
            <v>0.24979266876762307</v>
          </cell>
          <cell r="AR81">
            <v>0.18898473788984749</v>
          </cell>
          <cell r="AU81">
            <v>0.15023998214086398</v>
          </cell>
          <cell r="AX81">
            <v>0.10367549668874172</v>
          </cell>
          <cell r="BA81" t="str">
            <v>Int/Other</v>
          </cell>
          <cell r="BD81">
            <v>82.5</v>
          </cell>
          <cell r="BE81" t="str">
            <v xml:space="preserve"> </v>
          </cell>
          <cell r="BG81" t="str">
            <v>- $1.5B @ 5%/ add $600MM for A-12</v>
          </cell>
          <cell r="DI81" t="str">
            <v>Interest Expense</v>
          </cell>
          <cell r="DK81">
            <v>66</v>
          </cell>
          <cell r="DL81">
            <v>182.1344</v>
          </cell>
          <cell r="DM81">
            <v>200.15</v>
          </cell>
          <cell r="DP81">
            <v>33.6</v>
          </cell>
          <cell r="DQ81">
            <v>37.5</v>
          </cell>
        </row>
        <row r="82">
          <cell r="M82" t="str">
            <v>Mature/Declining</v>
          </cell>
          <cell r="O82" t="str">
            <v>Continuing Prodn</v>
          </cell>
          <cell r="Q82" t="str">
            <v>Entering Prodn</v>
          </cell>
          <cell r="S82" t="str">
            <v>Development</v>
          </cell>
          <cell r="U82" t="str">
            <v>Early R&amp;D</v>
          </cell>
          <cell r="Y82" t="str">
            <v>UDLP</v>
          </cell>
          <cell r="AA82" t="str">
            <v>UDLP</v>
          </cell>
          <cell r="AB82">
            <v>0</v>
          </cell>
          <cell r="AC82" t="str">
            <v>- unlikely 1 co. wins both parts</v>
          </cell>
          <cell r="AI82" t="str">
            <v>Interest,net</v>
          </cell>
          <cell r="AO82">
            <v>-18</v>
          </cell>
          <cell r="AR82">
            <v>-34</v>
          </cell>
          <cell r="AU82">
            <v>-60</v>
          </cell>
          <cell r="AX82">
            <v>82.5</v>
          </cell>
          <cell r="BA82" t="str">
            <v>Pretax</v>
          </cell>
          <cell r="BD82">
            <v>865.25</v>
          </cell>
          <cell r="BE82">
            <v>0.11460264900662252</v>
          </cell>
          <cell r="DI82" t="str">
            <v>Interest rate</v>
          </cell>
          <cell r="DK82">
            <v>0.05</v>
          </cell>
          <cell r="DL82">
            <v>4.48E-2</v>
          </cell>
          <cell r="DM82">
            <v>0.05</v>
          </cell>
          <cell r="DP82">
            <v>4.48E-2</v>
          </cell>
          <cell r="DQ82">
            <v>0.05</v>
          </cell>
        </row>
        <row r="83">
          <cell r="M83" t="str">
            <v>Trident</v>
          </cell>
          <cell r="O83" t="str">
            <v>DDG51</v>
          </cell>
          <cell r="Q83" t="str">
            <v>Heavy Assault Bridge</v>
          </cell>
          <cell r="S83" t="str">
            <v>NAS</v>
          </cell>
          <cell r="U83" t="str">
            <v>DD21</v>
          </cell>
          <cell r="Y83" t="str">
            <v>UDLP</v>
          </cell>
          <cell r="AA83" t="str">
            <v>GM Can</v>
          </cell>
          <cell r="AB83">
            <v>2500</v>
          </cell>
          <cell r="AC83" t="str">
            <v>- GD gets 50% of GM Canada Vehicle</v>
          </cell>
          <cell r="AI83" t="str">
            <v>Other</v>
          </cell>
          <cell r="AO83">
            <v>3</v>
          </cell>
          <cell r="AR83">
            <v>22</v>
          </cell>
          <cell r="AU83">
            <v>-7</v>
          </cell>
          <cell r="AX83">
            <v>0</v>
          </cell>
          <cell r="BA83" t="str">
            <v>Eff. Tax Rate</v>
          </cell>
          <cell r="BD83">
            <v>0.34</v>
          </cell>
          <cell r="BE83" t="str">
            <v xml:space="preserve"> </v>
          </cell>
          <cell r="DI83" t="str">
            <v xml:space="preserve">Interset Income </v>
          </cell>
          <cell r="DK83">
            <v>0</v>
          </cell>
          <cell r="DL83">
            <v>32.42</v>
          </cell>
          <cell r="DM83">
            <v>72.264065365459118</v>
          </cell>
          <cell r="DP83">
            <v>-30</v>
          </cell>
          <cell r="DQ83">
            <v>-30</v>
          </cell>
        </row>
        <row r="84">
          <cell r="M84" t="str">
            <v>Seawolf</v>
          </cell>
          <cell r="Q84" t="str">
            <v>Fox</v>
          </cell>
          <cell r="S84" t="str">
            <v>LPD17</v>
          </cell>
          <cell r="U84" t="str">
            <v>FCSC</v>
          </cell>
          <cell r="Y84" t="str">
            <v>UDLP</v>
          </cell>
          <cell r="AA84" t="str">
            <v>GD</v>
          </cell>
          <cell r="AB84">
            <v>5000</v>
          </cell>
          <cell r="AC84" t="str">
            <v>- best case scenario</v>
          </cell>
          <cell r="AI84" t="str">
            <v>Pretax Inc</v>
          </cell>
          <cell r="AO84">
            <v>766.4</v>
          </cell>
          <cell r="AR84">
            <v>622</v>
          </cell>
          <cell r="AU84">
            <v>673</v>
          </cell>
          <cell r="AX84">
            <v>865.25</v>
          </cell>
          <cell r="BA84" t="str">
            <v>Net Income</v>
          </cell>
          <cell r="BD84">
            <v>571.06499999999994</v>
          </cell>
          <cell r="BE84">
            <v>7.5637748344370856E-2</v>
          </cell>
          <cell r="DI84" t="str">
            <v xml:space="preserve">Interest rate </v>
          </cell>
          <cell r="DK84">
            <v>2.8017986855759298E-2</v>
          </cell>
          <cell r="DL84">
            <v>0.02</v>
          </cell>
          <cell r="DM84">
            <v>0.02</v>
          </cell>
          <cell r="DP84">
            <v>0.02</v>
          </cell>
          <cell r="DQ84">
            <v>0.02</v>
          </cell>
        </row>
        <row r="85">
          <cell r="M85" t="str">
            <v>M1A2 tank upgrade</v>
          </cell>
          <cell r="S85" t="str">
            <v>Crusader</v>
          </cell>
          <cell r="Y85" t="str">
            <v>UDLP</v>
          </cell>
          <cell r="AA85" t="str">
            <v>ST Enging</v>
          </cell>
          <cell r="AB85">
            <v>0</v>
          </cell>
          <cell r="AC85" t="str">
            <v>- unlikely for non US co. to win</v>
          </cell>
          <cell r="AI85" t="str">
            <v>Eff Tax Rate</v>
          </cell>
          <cell r="AO85">
            <v>0.35299999999999998</v>
          </cell>
          <cell r="AR85">
            <v>0.36499999999999999</v>
          </cell>
          <cell r="AU85">
            <v>0.34</v>
          </cell>
          <cell r="AX85">
            <v>0.34</v>
          </cell>
          <cell r="BA85" t="str">
            <v>EPS</v>
          </cell>
          <cell r="BD85">
            <v>4.5685199999999995</v>
          </cell>
          <cell r="BE85" t="str">
            <v xml:space="preserve"> </v>
          </cell>
          <cell r="BG85" t="str">
            <v>- A-12 adds pot. 15-20¢ to EPS</v>
          </cell>
          <cell r="DI85" t="str">
            <v xml:space="preserve">Net Interest expense </v>
          </cell>
          <cell r="DK85">
            <v>66</v>
          </cell>
          <cell r="DL85">
            <v>149.71440000000001</v>
          </cell>
          <cell r="DM85">
            <v>127.88593463454089</v>
          </cell>
          <cell r="DP85">
            <v>63.6</v>
          </cell>
          <cell r="DQ85">
            <v>67.5</v>
          </cell>
        </row>
        <row r="86">
          <cell r="S86" t="str">
            <v>AAAV</v>
          </cell>
          <cell r="Y86" t="str">
            <v>GM Can</v>
          </cell>
          <cell r="AA86" t="str">
            <v>UDLP</v>
          </cell>
          <cell r="AB86">
            <v>0</v>
          </cell>
          <cell r="AC86" t="str">
            <v>- worst case scenario for GD</v>
          </cell>
          <cell r="AI86" t="str">
            <v>Net Income</v>
          </cell>
          <cell r="AO86">
            <v>495.86079999999998</v>
          </cell>
          <cell r="AR86">
            <v>394.97</v>
          </cell>
          <cell r="AU86">
            <v>444.17999999999995</v>
          </cell>
          <cell r="AX86">
            <v>571.06499999999994</v>
          </cell>
          <cell r="BA86" t="str">
            <v>Avg. Shs</v>
          </cell>
          <cell r="BD86">
            <v>125</v>
          </cell>
          <cell r="BE86" t="str">
            <v xml:space="preserve"> </v>
          </cell>
          <cell r="BG86" t="str">
            <v>-FCFfor share repo.</v>
          </cell>
        </row>
        <row r="87">
          <cell r="S87" t="str">
            <v>AimXX21</v>
          </cell>
          <cell r="Y87" t="str">
            <v>GM Can</v>
          </cell>
          <cell r="AA87" t="str">
            <v>GM Can</v>
          </cell>
          <cell r="AB87">
            <v>2500</v>
          </cell>
          <cell r="AC87" t="str">
            <v>- unlikely 1 co. wins both parts</v>
          </cell>
          <cell r="AI87" t="str">
            <v>EPS</v>
          </cell>
          <cell r="AO87">
            <v>1.2261641938674579</v>
          </cell>
          <cell r="AR87">
            <v>0.9771647699158833</v>
          </cell>
          <cell r="AU87">
            <v>1.10327868852459</v>
          </cell>
          <cell r="AX87">
            <v>4.5685199999999995</v>
          </cell>
          <cell r="BA87" t="str">
            <v>00-03 CGR EPS</v>
          </cell>
          <cell r="BD87">
            <v>0.31498024667954566</v>
          </cell>
          <cell r="BE87" t="str">
            <v xml:space="preserve"> </v>
          </cell>
          <cell r="DI87" t="str">
            <v xml:space="preserve">Cash </v>
          </cell>
          <cell r="DK87">
            <v>1621</v>
          </cell>
          <cell r="DL87">
            <v>3613.2032682729555</v>
          </cell>
          <cell r="DM87">
            <v>5451.0628915562675</v>
          </cell>
          <cell r="DP87">
            <v>-1500</v>
          </cell>
          <cell r="DQ87">
            <v>-1500</v>
          </cell>
          <cell r="DS87">
            <v>121</v>
          </cell>
        </row>
        <row r="88">
          <cell r="M88" t="str">
            <v>Revs 1998</v>
          </cell>
          <cell r="N88">
            <v>910</v>
          </cell>
          <cell r="O88">
            <v>840</v>
          </cell>
          <cell r="Q88">
            <v>95</v>
          </cell>
          <cell r="S88">
            <v>870</v>
          </cell>
          <cell r="U88">
            <v>40</v>
          </cell>
          <cell r="Y88" t="str">
            <v>GM Can</v>
          </cell>
          <cell r="AA88" t="str">
            <v>GD</v>
          </cell>
          <cell r="AB88">
            <v>5000</v>
          </cell>
          <cell r="AC88" t="str">
            <v>- best case scenario</v>
          </cell>
          <cell r="AI88" t="str">
            <v>EPS Growth</v>
          </cell>
          <cell r="AO88">
            <v>-0.10274521476502552</v>
          </cell>
          <cell r="AR88">
            <v>0.44267058457306963</v>
          </cell>
          <cell r="AT88" t="str">
            <v>00-03 CGR</v>
          </cell>
          <cell r="AU88">
            <v>0.31498024667954566</v>
          </cell>
          <cell r="CD88" t="str">
            <v>GD Prior &amp; Updated EPS Projections</v>
          </cell>
          <cell r="DI88" t="str">
            <v xml:space="preserve">Total Debt </v>
          </cell>
          <cell r="DK88">
            <v>4024</v>
          </cell>
          <cell r="DL88">
            <v>4003</v>
          </cell>
          <cell r="DM88">
            <v>4003</v>
          </cell>
          <cell r="DP88">
            <v>750</v>
          </cell>
          <cell r="DQ88">
            <v>750</v>
          </cell>
          <cell r="DS88">
            <v>4774</v>
          </cell>
        </row>
        <row r="89">
          <cell r="M89" t="str">
            <v>Revs 2001</v>
          </cell>
          <cell r="N89">
            <v>737</v>
          </cell>
          <cell r="O89">
            <v>780</v>
          </cell>
          <cell r="Q89">
            <v>115</v>
          </cell>
          <cell r="S89">
            <v>1288</v>
          </cell>
          <cell r="U89">
            <v>87</v>
          </cell>
          <cell r="Y89" t="str">
            <v>GM Can</v>
          </cell>
          <cell r="AA89" t="str">
            <v>ST Enging</v>
          </cell>
          <cell r="AB89">
            <v>0</v>
          </cell>
          <cell r="AC89" t="str">
            <v>- worst case scenario for GD</v>
          </cell>
          <cell r="AI89" t="str">
            <v xml:space="preserve"> Avg. Shs.</v>
          </cell>
          <cell r="AO89">
            <v>404.4</v>
          </cell>
          <cell r="AR89">
            <v>404.2</v>
          </cell>
          <cell r="AU89">
            <v>402.6</v>
          </cell>
          <cell r="DI89" t="str">
            <v xml:space="preserve">Equity </v>
          </cell>
          <cell r="DK89">
            <v>10053</v>
          </cell>
          <cell r="DL89">
            <v>11045.995472989402</v>
          </cell>
          <cell r="DM89">
            <v>12450.729008555714</v>
          </cell>
          <cell r="DS89">
            <v>10053</v>
          </cell>
        </row>
        <row r="90">
          <cell r="DI90" t="str">
            <v xml:space="preserve">Net debt to Total Cap </v>
          </cell>
          <cell r="DK90">
            <v>0.17070398522412447</v>
          </cell>
          <cell r="DL90">
            <v>2.5901843908895369E-2</v>
          </cell>
          <cell r="DM90">
            <v>-8.8008188952382438E-2</v>
          </cell>
          <cell r="DS90">
            <v>0.31381938355702432</v>
          </cell>
        </row>
        <row r="91">
          <cell r="U91" t="str">
            <v>`</v>
          </cell>
          <cell r="Y91" t="str">
            <v>Scenario</v>
          </cell>
          <cell r="AA91" t="str">
            <v>Probability</v>
          </cell>
          <cell r="AB91" t="str">
            <v>Amount</v>
          </cell>
          <cell r="AI91" t="str">
            <v>Net cash/share</v>
          </cell>
          <cell r="AO91">
            <v>-0.79046538081107864</v>
          </cell>
          <cell r="AR91">
            <v>-2.0921677387431967</v>
          </cell>
          <cell r="AU91">
            <v>-1.0724297069051172</v>
          </cell>
          <cell r="CE91" t="str">
            <v>New/Actual</v>
          </cell>
          <cell r="CF91" t="str">
            <v>Prior</v>
          </cell>
          <cell r="CG91" t="str">
            <v>Difference</v>
          </cell>
        </row>
        <row r="92">
          <cell r="M92" t="str">
            <v>% Revs '98</v>
          </cell>
          <cell r="N92">
            <v>0.44438801422041646</v>
          </cell>
          <cell r="Q92">
            <v>0.22955687528551849</v>
          </cell>
          <cell r="Y92" t="str">
            <v xml:space="preserve"> GM Canada win on Veh</v>
          </cell>
          <cell r="AA92">
            <v>0.25</v>
          </cell>
          <cell r="AB92">
            <v>2500</v>
          </cell>
          <cell r="AE92" t="str">
            <v xml:space="preserve"> </v>
          </cell>
          <cell r="CD92" t="str">
            <v>2005 EPS</v>
          </cell>
          <cell r="CE92">
            <v>7.25</v>
          </cell>
          <cell r="CF92">
            <v>7.18</v>
          </cell>
          <cell r="CG92">
            <v>7.0000000000000284E-2</v>
          </cell>
          <cell r="DI92" t="str">
            <v xml:space="preserve">Jet aviation revenue growth </v>
          </cell>
          <cell r="DP92">
            <v>7.1428571428571397E-2</v>
          </cell>
          <cell r="DQ92">
            <v>0.06</v>
          </cell>
        </row>
        <row r="93">
          <cell r="M93" t="str">
            <v>% Revs '01</v>
          </cell>
          <cell r="N93">
            <v>0.26056338028169013</v>
          </cell>
          <cell r="Q93">
            <v>0.25592579869460669</v>
          </cell>
          <cell r="Y93" t="str">
            <v>GD win on Veh. Portion</v>
          </cell>
          <cell r="AA93">
            <v>0.25</v>
          </cell>
          <cell r="AB93">
            <v>5000</v>
          </cell>
          <cell r="CD93" t="str">
            <v>2006 EPS</v>
          </cell>
          <cell r="CE93">
            <v>7.95</v>
          </cell>
          <cell r="CF93">
            <v>8.23</v>
          </cell>
          <cell r="CG93">
            <v>-0.28000000000000025</v>
          </cell>
          <cell r="DI93" t="str">
            <v xml:space="preserve">Jet aviation EBITDA margin </v>
          </cell>
          <cell r="DO93">
            <v>0.15333333333333332</v>
          </cell>
          <cell r="DP93">
            <v>0.15333333333333332</v>
          </cell>
          <cell r="DQ93">
            <v>0.15333333333333332</v>
          </cell>
        </row>
        <row r="94">
          <cell r="Y94" t="str">
            <v>STE/UDLP Combination Win</v>
          </cell>
          <cell r="AA94">
            <v>0.5</v>
          </cell>
          <cell r="AB94">
            <v>0</v>
          </cell>
          <cell r="DI94" t="str">
            <v xml:space="preserve">Jet aviation D&amp;A margin </v>
          </cell>
          <cell r="DO94">
            <v>0.02</v>
          </cell>
          <cell r="DP94">
            <v>0.02</v>
          </cell>
          <cell r="DQ94">
            <v>0.02</v>
          </cell>
        </row>
        <row r="95">
          <cell r="AA95">
            <v>1</v>
          </cell>
          <cell r="CD95" t="str">
            <v>FAS123R</v>
          </cell>
          <cell r="CE95">
            <v>-0.18</v>
          </cell>
          <cell r="CF95">
            <v>-0.12</v>
          </cell>
          <cell r="CG95">
            <v>-0.06</v>
          </cell>
          <cell r="DI95" t="str">
            <v xml:space="preserve">Jet aviation EBIT Margin </v>
          </cell>
          <cell r="DO95">
            <v>0.13333333333333333</v>
          </cell>
          <cell r="DP95">
            <v>0.13333333333333333</v>
          </cell>
          <cell r="DQ95">
            <v>0.13333333333333333</v>
          </cell>
        </row>
        <row r="96">
          <cell r="AL96" t="str">
            <v>General Dynamics P&amp;L ($MM)</v>
          </cell>
          <cell r="CD96" t="str">
            <v>Operational Change</v>
          </cell>
          <cell r="CG96">
            <v>-0.22000000000000025</v>
          </cell>
        </row>
        <row r="97">
          <cell r="M97" t="str">
            <v xml:space="preserve"> </v>
          </cell>
          <cell r="N97" t="str">
            <v>Estimated GD EPS Build-Up</v>
          </cell>
          <cell r="Q97" t="str">
            <v xml:space="preserve"> </v>
          </cell>
          <cell r="Y97" t="str">
            <v>using our low profile turret</v>
          </cell>
          <cell r="CD97" t="str">
            <v>Difference vs. Prior Expectations</v>
          </cell>
          <cell r="DI97" t="str">
            <v xml:space="preserve">Financing </v>
          </cell>
        </row>
        <row r="98">
          <cell r="AJ98" t="str">
            <v>1996A</v>
          </cell>
          <cell r="AN98" t="str">
            <v>1997E</v>
          </cell>
          <cell r="AQ98" t="str">
            <v>1998E</v>
          </cell>
          <cell r="AS98" t="str">
            <v>1999E</v>
          </cell>
          <cell r="CD98" t="str">
            <v xml:space="preserve">Gulfstream - margin change </v>
          </cell>
          <cell r="CG98">
            <v>-0.16</v>
          </cell>
          <cell r="DI98" t="str">
            <v>Cash on hand</v>
          </cell>
          <cell r="DK98">
            <v>1500</v>
          </cell>
          <cell r="DL98">
            <v>0.66666666666666663</v>
          </cell>
        </row>
        <row r="99">
          <cell r="N99" t="str">
            <v>1998</v>
          </cell>
          <cell r="O99" t="str">
            <v>1999E</v>
          </cell>
          <cell r="P99" t="str">
            <v>2000E</v>
          </cell>
          <cell r="Q99" t="str">
            <v>2001E</v>
          </cell>
          <cell r="R99" t="str">
            <v xml:space="preserve"> Factors/Assumptions</v>
          </cell>
          <cell r="AJ99" t="str">
            <v>Revs</v>
          </cell>
          <cell r="AK99" t="str">
            <v>OpPr</v>
          </cell>
          <cell r="AL99" t="str">
            <v>% Sls</v>
          </cell>
          <cell r="AM99" t="str">
            <v>Revs</v>
          </cell>
          <cell r="AN99" t="str">
            <v>OpPr</v>
          </cell>
          <cell r="AO99" t="str">
            <v>% Sls</v>
          </cell>
          <cell r="AP99" t="str">
            <v>Revs</v>
          </cell>
          <cell r="AQ99" t="str">
            <v>OpPr</v>
          </cell>
          <cell r="AR99" t="str">
            <v>% Sls</v>
          </cell>
          <cell r="AS99" t="str">
            <v>Revs</v>
          </cell>
          <cell r="AT99" t="str">
            <v>OpPr</v>
          </cell>
          <cell r="AU99" t="str">
            <v>% Sls</v>
          </cell>
          <cell r="AV99" t="str">
            <v xml:space="preserve"> Assumptions</v>
          </cell>
          <cell r="CD99" t="str">
            <v>IST/Combat/Marine - slight mgn decrease</v>
          </cell>
          <cell r="CG99">
            <v>-0.13</v>
          </cell>
          <cell r="DI99" t="str">
            <v xml:space="preserve">Debt </v>
          </cell>
          <cell r="DK99">
            <v>750</v>
          </cell>
          <cell r="DL99">
            <v>0.33333333333333331</v>
          </cell>
        </row>
        <row r="100">
          <cell r="M100" t="str">
            <v>Marine</v>
          </cell>
          <cell r="N100">
            <v>0.45597181008902082</v>
          </cell>
          <cell r="O100">
            <v>0.51528946066303816</v>
          </cell>
          <cell r="P100">
            <v>0.51746646795827123</v>
          </cell>
          <cell r="Q100">
            <v>0.50552947178196839</v>
          </cell>
          <cell r="R100" t="str">
            <v>- NAS/LPD17 vols/mgns up</v>
          </cell>
          <cell r="Y100" t="str">
            <v>Est. GD Bottom-Up Valuation</v>
          </cell>
          <cell r="AI100" t="str">
            <v xml:space="preserve">Marine </v>
          </cell>
          <cell r="CD100" t="str">
            <v>Interest Expense lower</v>
          </cell>
          <cell r="CG100">
            <v>0.11</v>
          </cell>
          <cell r="DI100" t="str">
            <v xml:space="preserve">Total </v>
          </cell>
          <cell r="DK100">
            <v>2250</v>
          </cell>
          <cell r="DL100">
            <v>1</v>
          </cell>
        </row>
        <row r="101">
          <cell r="M101" t="str">
            <v>Combat Vehicles</v>
          </cell>
          <cell r="N101">
            <v>0.26558358061325421</v>
          </cell>
          <cell r="O101">
            <v>0.24350569025235033</v>
          </cell>
          <cell r="P101">
            <v>0.24915052160953802</v>
          </cell>
          <cell r="Q101">
            <v>0.38811617511002738</v>
          </cell>
          <cell r="R101" t="str">
            <v>- New progs come onstream</v>
          </cell>
          <cell r="Y101" t="str">
            <v>Opns</v>
          </cell>
          <cell r="Z101" t="str">
            <v>2000 EPS</v>
          </cell>
          <cell r="AA101" t="str">
            <v>P/E</v>
          </cell>
          <cell r="AB101" t="str">
            <v>$ Val</v>
          </cell>
          <cell r="AC101" t="str">
            <v>Comments</v>
          </cell>
          <cell r="AI101" t="str">
            <v>Electric Boat</v>
          </cell>
          <cell r="AJ101">
            <v>1442</v>
          </cell>
          <cell r="AK101">
            <v>148</v>
          </cell>
          <cell r="AL101">
            <v>0.10263522884882108</v>
          </cell>
          <cell r="AM101">
            <v>1306</v>
          </cell>
          <cell r="AN101">
            <v>153</v>
          </cell>
          <cell r="AO101">
            <v>0.11715160796324656</v>
          </cell>
          <cell r="AP101">
            <v>1540</v>
          </cell>
          <cell r="AQ101">
            <v>189.4</v>
          </cell>
          <cell r="AR101">
            <v>0.12298701298701299</v>
          </cell>
          <cell r="AS101" t="e">
            <v>#REF!</v>
          </cell>
          <cell r="AT101" t="e">
            <v>#REF!</v>
          </cell>
          <cell r="AU101" t="e">
            <v>#REF!</v>
          </cell>
          <cell r="AV101" t="str">
            <v>-Program transition</v>
          </cell>
          <cell r="CD101" t="str">
            <v>Redn Other</v>
          </cell>
          <cell r="CG101">
            <v>-0.03</v>
          </cell>
        </row>
        <row r="102">
          <cell r="M102" t="str">
            <v>Info Tech</v>
          </cell>
          <cell r="N102">
            <v>0.11039317507418399</v>
          </cell>
          <cell r="O102">
            <v>0.19951756556160316</v>
          </cell>
          <cell r="P102">
            <v>0.3465747640337804</v>
          </cell>
          <cell r="Q102">
            <v>0.42562320043578628</v>
          </cell>
          <cell r="Y102" t="str">
            <v>Marine</v>
          </cell>
          <cell r="Z102">
            <v>0.51746646795827123</v>
          </cell>
          <cell r="AA102">
            <v>13.9</v>
          </cell>
          <cell r="AB102">
            <v>7.1927839046199704</v>
          </cell>
          <cell r="AC102" t="str">
            <v>- LIT comparables</v>
          </cell>
          <cell r="AI102" t="str">
            <v>Bath/Amsea</v>
          </cell>
          <cell r="AJ102">
            <v>890</v>
          </cell>
          <cell r="AK102">
            <v>69</v>
          </cell>
          <cell r="AL102">
            <v>7.7528089887640456E-2</v>
          </cell>
          <cell r="AM102">
            <v>935</v>
          </cell>
          <cell r="AN102">
            <v>79</v>
          </cell>
          <cell r="AO102">
            <v>8.4491978609625665E-2</v>
          </cell>
          <cell r="AP102">
            <v>1020</v>
          </cell>
          <cell r="AQ102">
            <v>89</v>
          </cell>
          <cell r="AR102">
            <v>8.7254901960784309E-2</v>
          </cell>
          <cell r="AS102" t="e">
            <v>#REF!</v>
          </cell>
          <cell r="AT102" t="e">
            <v>#REF!</v>
          </cell>
          <cell r="AU102" t="e">
            <v>#REF!</v>
          </cell>
          <cell r="AV102" t="str">
            <v>- includes Amsea</v>
          </cell>
          <cell r="CD102" t="str">
            <v>Tax rate higher</v>
          </cell>
          <cell r="CG102">
            <v>-0.13</v>
          </cell>
          <cell r="DI102" t="str">
            <v>Retiring 173m in debt in 2H08</v>
          </cell>
        </row>
        <row r="103">
          <cell r="M103" t="str">
            <v>Other</v>
          </cell>
          <cell r="N103">
            <v>5.1196834817012864E-2</v>
          </cell>
          <cell r="O103">
            <v>7.2266204849084623E-2</v>
          </cell>
          <cell r="P103">
            <v>5.7496274217585686E-2</v>
          </cell>
          <cell r="Q103">
            <v>8.4798492040846302E-2</v>
          </cell>
          <cell r="AI103" t="str">
            <v>ATS</v>
          </cell>
          <cell r="AJ103" t="str">
            <v>--</v>
          </cell>
          <cell r="AK103" t="str">
            <v>--</v>
          </cell>
          <cell r="AL103" t="str">
            <v>--</v>
          </cell>
          <cell r="AM103">
            <v>70</v>
          </cell>
          <cell r="AN103">
            <v>2</v>
          </cell>
          <cell r="AO103">
            <v>2.8571428571428571E-2</v>
          </cell>
          <cell r="AP103">
            <v>0</v>
          </cell>
          <cell r="AQ103">
            <v>0</v>
          </cell>
          <cell r="AS103" t="e">
            <v>#REF!</v>
          </cell>
          <cell r="AT103" t="e">
            <v>#REF!</v>
          </cell>
          <cell r="CD103" t="str">
            <v>Lower share count</v>
          </cell>
          <cell r="CG103">
            <v>0.12</v>
          </cell>
          <cell r="DI103" t="str">
            <v>Avoided specifying target leverage at C conf on 5/4/08</v>
          </cell>
        </row>
        <row r="104">
          <cell r="M104" t="str">
            <v>Interest/Other</v>
          </cell>
          <cell r="N104">
            <v>-2.2398615232443127E-2</v>
          </cell>
          <cell r="O104">
            <v>-1.8852053438891639E-2</v>
          </cell>
          <cell r="P104">
            <v>-0.10700695479384004</v>
          </cell>
          <cell r="Q104">
            <v>-9.9475154124838941E-2</v>
          </cell>
          <cell r="R104" t="str">
            <v>- Assumes $650MM for A-12 YE00</v>
          </cell>
          <cell r="Y104" t="str">
            <v>Combat Sys</v>
          </cell>
          <cell r="Z104">
            <v>0.24915052160953802</v>
          </cell>
          <cell r="AA104">
            <v>12</v>
          </cell>
          <cell r="AB104">
            <v>2.9898062593144563</v>
          </cell>
          <cell r="AC104" t="str">
            <v>- discount P/E</v>
          </cell>
          <cell r="AI104" t="str">
            <v>- subtot Marine</v>
          </cell>
          <cell r="AJ104">
            <v>2332</v>
          </cell>
          <cell r="AK104">
            <v>217</v>
          </cell>
          <cell r="AL104">
            <v>9.3053173241852485E-2</v>
          </cell>
          <cell r="AM104">
            <v>2311</v>
          </cell>
          <cell r="AN104">
            <v>234</v>
          </cell>
          <cell r="AO104">
            <v>0.10125486802250108</v>
          </cell>
          <cell r="AP104">
            <v>2560</v>
          </cell>
          <cell r="AQ104">
            <v>278.39999999999998</v>
          </cell>
          <cell r="AR104">
            <v>0.10874999999999999</v>
          </cell>
          <cell r="AS104" t="e">
            <v>#REF!</v>
          </cell>
          <cell r="AT104" t="e">
            <v>#REF!</v>
          </cell>
          <cell r="AU104" t="e">
            <v>#REF!</v>
          </cell>
          <cell r="CD104" t="str">
            <v>Sum changes</v>
          </cell>
          <cell r="CG104">
            <v>-0.22000000000000008</v>
          </cell>
        </row>
        <row r="105">
          <cell r="M105" t="str">
            <v xml:space="preserve">    Total</v>
          </cell>
          <cell r="N105">
            <v>0.86074678536102878</v>
          </cell>
          <cell r="O105">
            <v>1.0117268678871847</v>
          </cell>
          <cell r="P105">
            <v>1.0636810730253354</v>
          </cell>
          <cell r="Q105">
            <v>1.3045921852437894</v>
          </cell>
          <cell r="R105" t="str">
            <v xml:space="preserve"> </v>
          </cell>
          <cell r="Y105" t="str">
            <v>Other</v>
          </cell>
          <cell r="Z105">
            <v>7.2266204849084623E-2</v>
          </cell>
          <cell r="AA105">
            <v>11</v>
          </cell>
          <cell r="AB105">
            <v>0.79492825333993089</v>
          </cell>
          <cell r="AC105" t="str">
            <v>- discount P/E</v>
          </cell>
          <cell r="AI105" t="str">
            <v>Land Systems</v>
          </cell>
        </row>
        <row r="106">
          <cell r="M106" t="str">
            <v>% Ch</v>
          </cell>
          <cell r="N106">
            <v>-0.10274521476502552</v>
          </cell>
          <cell r="O106">
            <v>0.44267058457306963</v>
          </cell>
          <cell r="P106">
            <v>0.13580045114929051</v>
          </cell>
          <cell r="Q106">
            <v>0.15659632108052524</v>
          </cell>
          <cell r="Y106" t="str">
            <v>subtotal</v>
          </cell>
          <cell r="Z106">
            <v>0.83888319441689385</v>
          </cell>
          <cell r="AA106">
            <v>13.085872372142118</v>
          </cell>
          <cell r="AB106">
            <v>10.977518417274357</v>
          </cell>
          <cell r="AI106" t="str">
            <v>Armored Veh</v>
          </cell>
          <cell r="AJ106">
            <v>1025</v>
          </cell>
          <cell r="AK106">
            <v>136</v>
          </cell>
          <cell r="AL106">
            <v>0.1326829268292683</v>
          </cell>
          <cell r="AM106">
            <v>975</v>
          </cell>
          <cell r="AN106">
            <v>138</v>
          </cell>
          <cell r="AO106">
            <v>0.14153846153846153</v>
          </cell>
          <cell r="AP106">
            <v>975</v>
          </cell>
          <cell r="AQ106">
            <v>136</v>
          </cell>
          <cell r="AR106">
            <v>0.13948717948717948</v>
          </cell>
          <cell r="AS106">
            <v>940</v>
          </cell>
          <cell r="AT106">
            <v>135</v>
          </cell>
          <cell r="AU106">
            <v>0.14361702127659576</v>
          </cell>
          <cell r="AV106" t="str">
            <v>-Margins improving</v>
          </cell>
        </row>
        <row r="107">
          <cell r="Y107" t="str">
            <v>Financial</v>
          </cell>
          <cell r="AI107" t="str">
            <v>Def/Arm Sys</v>
          </cell>
          <cell r="AJ107" t="str">
            <v>--</v>
          </cell>
          <cell r="AK107" t="str">
            <v>--</v>
          </cell>
          <cell r="AL107" t="str">
            <v>--</v>
          </cell>
          <cell r="AM107">
            <v>534</v>
          </cell>
          <cell r="AN107">
            <v>49</v>
          </cell>
          <cell r="AO107">
            <v>9.1760299625468167E-2</v>
          </cell>
          <cell r="AP107">
            <v>295</v>
          </cell>
          <cell r="AQ107">
            <v>29</v>
          </cell>
          <cell r="AR107">
            <v>9.8305084745762716E-2</v>
          </cell>
          <cell r="AS107">
            <v>360</v>
          </cell>
          <cell r="AT107">
            <v>37</v>
          </cell>
          <cell r="AU107">
            <v>0.10277777777777777</v>
          </cell>
          <cell r="AV107" t="str">
            <v>- LMT purchase</v>
          </cell>
        </row>
        <row r="108">
          <cell r="Y108" t="str">
            <v>Real Est/Tax Credit</v>
          </cell>
          <cell r="AB108">
            <v>0.33011869436201779</v>
          </cell>
          <cell r="AC108" t="str">
            <v>- avg hi/lo</v>
          </cell>
          <cell r="AI108" t="str">
            <v>CDI</v>
          </cell>
          <cell r="AJ108" t="str">
            <v>--</v>
          </cell>
          <cell r="AK108" t="str">
            <v>--</v>
          </cell>
          <cell r="AL108" t="str">
            <v>--</v>
          </cell>
          <cell r="AM108" t="str">
            <v>--</v>
          </cell>
          <cell r="AN108" t="str">
            <v>--</v>
          </cell>
          <cell r="AO108" t="str">
            <v>--</v>
          </cell>
          <cell r="AP108">
            <v>933</v>
          </cell>
          <cell r="AQ108">
            <v>69</v>
          </cell>
          <cell r="AR108">
            <v>7.3954983922829579E-2</v>
          </cell>
          <cell r="AS108">
            <v>1422</v>
          </cell>
          <cell r="AT108">
            <v>127</v>
          </cell>
          <cell r="AU108">
            <v>8.9310829817158932E-2</v>
          </cell>
          <cell r="AV108" t="str">
            <v>- post GW</v>
          </cell>
        </row>
        <row r="109">
          <cell r="Y109" t="str">
            <v>A-12</v>
          </cell>
          <cell r="AB109">
            <v>0</v>
          </cell>
          <cell r="AC109" t="str">
            <v>- avg hi/lo</v>
          </cell>
          <cell r="AI109" t="str">
            <v>- subtot Land Sys</v>
          </cell>
          <cell r="AJ109">
            <v>1025</v>
          </cell>
          <cell r="AK109">
            <v>136</v>
          </cell>
          <cell r="AL109">
            <v>0.1326829268292683</v>
          </cell>
          <cell r="AM109">
            <v>1509</v>
          </cell>
          <cell r="AN109">
            <v>187</v>
          </cell>
          <cell r="AO109">
            <v>0.12392312789927104</v>
          </cell>
          <cell r="AP109">
            <v>2203</v>
          </cell>
          <cell r="AQ109">
            <v>234</v>
          </cell>
          <cell r="AR109">
            <v>0.106218792555606</v>
          </cell>
          <cell r="AS109">
            <v>2722</v>
          </cell>
          <cell r="AT109">
            <v>299</v>
          </cell>
          <cell r="AU109">
            <v>0.10984570168993388</v>
          </cell>
        </row>
        <row r="110">
          <cell r="L110" t="str">
            <v>General Dynamics</v>
          </cell>
          <cell r="Y110" t="str">
            <v>Cash</v>
          </cell>
          <cell r="Z110">
            <v>-5.3414151410192977E-2</v>
          </cell>
          <cell r="AB110">
            <v>-0.81612586037364798</v>
          </cell>
          <cell r="AC110" t="str">
            <v>- ao 6/98</v>
          </cell>
          <cell r="AI110" t="str">
            <v>Other</v>
          </cell>
          <cell r="AP110">
            <v>236</v>
          </cell>
          <cell r="AQ110">
            <v>32</v>
          </cell>
          <cell r="AR110">
            <v>0.13559322033898305</v>
          </cell>
          <cell r="AS110">
            <v>250</v>
          </cell>
          <cell r="AT110">
            <v>46</v>
          </cell>
          <cell r="AU110">
            <v>0.184</v>
          </cell>
          <cell r="AV110" t="str">
            <v>-Coal pr. improve</v>
          </cell>
          <cell r="DI110">
            <v>2004</v>
          </cell>
          <cell r="DJ110">
            <v>2005</v>
          </cell>
          <cell r="DK110">
            <v>2006</v>
          </cell>
          <cell r="DL110" t="str">
            <v>2007A</v>
          </cell>
        </row>
        <row r="111">
          <cell r="L111" t="str">
            <v>Risk/Reward Analysis</v>
          </cell>
          <cell r="Y111" t="str">
            <v>subtotal</v>
          </cell>
          <cell r="AB111">
            <v>-0.48600716601163019</v>
          </cell>
          <cell r="AI111" t="str">
            <v xml:space="preserve"> Total Revs</v>
          </cell>
          <cell r="AP111">
            <v>7535</v>
          </cell>
          <cell r="AQ111">
            <v>780.4</v>
          </cell>
          <cell r="AR111">
            <v>0.10357000663570007</v>
          </cell>
          <cell r="AS111">
            <v>8959</v>
          </cell>
          <cell r="AT111">
            <v>1138</v>
          </cell>
          <cell r="AU111">
            <v>0.12702310525728319</v>
          </cell>
          <cell r="AV111" t="str">
            <v xml:space="preserve"> </v>
          </cell>
          <cell r="DI111">
            <v>71</v>
          </cell>
          <cell r="DJ111">
            <v>92</v>
          </cell>
          <cell r="DK111">
            <v>71</v>
          </cell>
          <cell r="DL111">
            <v>79</v>
          </cell>
        </row>
        <row r="112">
          <cell r="Y112" t="str">
            <v>Total</v>
          </cell>
          <cell r="Z112">
            <v>0.78546904300670084</v>
          </cell>
          <cell r="AB112">
            <v>10.491511251262727</v>
          </cell>
          <cell r="AD112" t="str">
            <v>vs. mkt price</v>
          </cell>
          <cell r="AI112" t="str">
            <v>Int/Other</v>
          </cell>
          <cell r="AQ112">
            <v>-17</v>
          </cell>
          <cell r="AT112">
            <v>-34</v>
          </cell>
          <cell r="DI112">
            <v>24</v>
          </cell>
          <cell r="DJ112">
            <v>32</v>
          </cell>
          <cell r="DK112">
            <v>42</v>
          </cell>
          <cell r="DL112">
            <v>59</v>
          </cell>
        </row>
        <row r="113">
          <cell r="M113" t="str">
            <v>4/25</v>
          </cell>
          <cell r="O113" t="str">
            <v>post FASB</v>
          </cell>
          <cell r="Q113" t="str">
            <v>Target</v>
          </cell>
          <cell r="AI113" t="str">
            <v>Pretax Inc</v>
          </cell>
          <cell r="AQ113">
            <v>766.4</v>
          </cell>
          <cell r="AT113">
            <v>1126</v>
          </cell>
          <cell r="AV113" t="str">
            <v xml:space="preserve"> </v>
          </cell>
          <cell r="BC113" t="str">
            <v>Est. EPS Add to GD For U.K Bowman Contract</v>
          </cell>
          <cell r="CY113" t="str">
            <v>Gulfstream Orders 2000-2007A</v>
          </cell>
          <cell r="DI113">
            <v>95</v>
          </cell>
          <cell r="DJ113">
            <v>124</v>
          </cell>
          <cell r="DK113">
            <v>113</v>
          </cell>
          <cell r="DL113">
            <v>138</v>
          </cell>
        </row>
        <row r="114">
          <cell r="M114" t="str">
            <v>Price</v>
          </cell>
          <cell r="O114" t="str">
            <v>2002 EPS</v>
          </cell>
          <cell r="P114" t="str">
            <v xml:space="preserve"> X Multiple =</v>
          </cell>
          <cell r="Q114" t="str">
            <v>Price</v>
          </cell>
          <cell r="R114" t="str">
            <v>% Ch.</v>
          </cell>
          <cell r="S114" t="str">
            <v>Probability</v>
          </cell>
          <cell r="T114" t="str">
            <v>Wtd.</v>
          </cell>
          <cell r="AI114" t="str">
            <v>Eff Tax Rate</v>
          </cell>
          <cell r="AQ114">
            <v>0.35299999999999998</v>
          </cell>
          <cell r="AT114">
            <v>0.36499999999999999</v>
          </cell>
          <cell r="AV114" t="str">
            <v xml:space="preserve"> </v>
          </cell>
          <cell r="CY114" t="str">
            <v>Orders</v>
          </cell>
          <cell r="CZ114">
            <v>1995</v>
          </cell>
          <cell r="DA114">
            <v>1996</v>
          </cell>
          <cell r="DB114">
            <v>1997</v>
          </cell>
          <cell r="DC114">
            <v>1998</v>
          </cell>
          <cell r="DD114">
            <v>1999</v>
          </cell>
          <cell r="DE114">
            <v>2000</v>
          </cell>
          <cell r="DF114">
            <v>2001</v>
          </cell>
          <cell r="DG114">
            <v>2002</v>
          </cell>
          <cell r="DH114">
            <v>2003</v>
          </cell>
        </row>
        <row r="115">
          <cell r="L115" t="str">
            <v>NNS go-ahead</v>
          </cell>
          <cell r="O115">
            <v>0.35</v>
          </cell>
          <cell r="P115">
            <v>15</v>
          </cell>
          <cell r="Q115">
            <v>5.25</v>
          </cell>
          <cell r="S115">
            <v>0.65</v>
          </cell>
          <cell r="T115">
            <v>0</v>
          </cell>
          <cell r="AI115" t="str">
            <v>Net Income</v>
          </cell>
          <cell r="AQ115">
            <v>495.86079999999998</v>
          </cell>
          <cell r="AR115">
            <v>6.5807670869276705E-2</v>
          </cell>
          <cell r="AT115">
            <v>715.01</v>
          </cell>
          <cell r="AU115">
            <v>7.9809130483312868E-2</v>
          </cell>
          <cell r="AV115" t="str">
            <v xml:space="preserve"> </v>
          </cell>
          <cell r="BD115" t="str">
            <v>Est. Revs</v>
          </cell>
          <cell r="BE115" t="str">
            <v>Est. Op Pr</v>
          </cell>
          <cell r="BF115" t="str">
            <v>%Sls</v>
          </cell>
          <cell r="BG115" t="str">
            <v>A.T. Profit</v>
          </cell>
          <cell r="BH115" t="str">
            <v>Est. EPS Add</v>
          </cell>
          <cell r="CY115" t="str">
            <v>Large</v>
          </cell>
          <cell r="CZ115">
            <v>42</v>
          </cell>
          <cell r="DA115">
            <v>65</v>
          </cell>
          <cell r="DB115">
            <v>46</v>
          </cell>
          <cell r="DC115">
            <v>90</v>
          </cell>
          <cell r="DD115">
            <v>44</v>
          </cell>
          <cell r="DE115">
            <v>82</v>
          </cell>
          <cell r="DF115">
            <v>70</v>
          </cell>
          <cell r="DG115">
            <v>62</v>
          </cell>
          <cell r="DH115">
            <v>41</v>
          </cell>
        </row>
        <row r="116">
          <cell r="L116" t="str">
            <v>NNS no-go</v>
          </cell>
          <cell r="O116">
            <v>0</v>
          </cell>
          <cell r="P116">
            <v>15</v>
          </cell>
          <cell r="Q116">
            <v>0</v>
          </cell>
          <cell r="S116">
            <v>0.2</v>
          </cell>
          <cell r="T116">
            <v>0</v>
          </cell>
          <cell r="AI116" t="str">
            <v>EPS</v>
          </cell>
          <cell r="AQ116">
            <v>1.2261641938674579</v>
          </cell>
          <cell r="AT116">
            <v>1.7689510143493321</v>
          </cell>
          <cell r="AV116" t="str">
            <v xml:space="preserve"> </v>
          </cell>
          <cell r="BC116" t="str">
            <v>2002E</v>
          </cell>
          <cell r="BD116">
            <v>200</v>
          </cell>
          <cell r="BE116">
            <v>10</v>
          </cell>
          <cell r="BF116">
            <v>0.05</v>
          </cell>
          <cell r="BG116">
            <v>6.9500000000000011</v>
          </cell>
          <cell r="BH116">
            <v>3.4750000000000003E-2</v>
          </cell>
          <cell r="CY116" t="str">
            <v>Mid sized</v>
          </cell>
          <cell r="CZ116">
            <v>0</v>
          </cell>
          <cell r="DA116">
            <v>0</v>
          </cell>
          <cell r="DB116">
            <v>0</v>
          </cell>
          <cell r="DC116">
            <v>0</v>
          </cell>
          <cell r="DD116">
            <v>0</v>
          </cell>
          <cell r="DE116">
            <v>0</v>
          </cell>
          <cell r="DF116">
            <v>53</v>
          </cell>
          <cell r="DG116">
            <v>71</v>
          </cell>
          <cell r="DH116">
            <v>18</v>
          </cell>
        </row>
        <row r="117">
          <cell r="L117" t="str">
            <v>No deal, price drops</v>
          </cell>
          <cell r="M117">
            <v>73</v>
          </cell>
          <cell r="Q117">
            <v>66</v>
          </cell>
          <cell r="R117">
            <v>-9.589041095890416E-2</v>
          </cell>
          <cell r="S117">
            <v>0.15</v>
          </cell>
          <cell r="T117">
            <v>-1.4383561643835623E-2</v>
          </cell>
          <cell r="AI117" t="str">
            <v>Avg Shs</v>
          </cell>
          <cell r="AQ117">
            <v>404.4</v>
          </cell>
          <cell r="AT117">
            <v>404.2</v>
          </cell>
          <cell r="AV117" t="str">
            <v>-Ex poss repurch.</v>
          </cell>
          <cell r="BC117" t="str">
            <v>2003E</v>
          </cell>
          <cell r="BD117">
            <v>380</v>
          </cell>
          <cell r="BE117">
            <v>24.7</v>
          </cell>
          <cell r="BF117">
            <v>6.5000000000000002E-2</v>
          </cell>
          <cell r="BG117">
            <v>17.166500000000003</v>
          </cell>
          <cell r="BH117">
            <v>8.583250000000002E-2</v>
          </cell>
          <cell r="CY117" t="str">
            <v>Total</v>
          </cell>
          <cell r="CZ117">
            <v>42</v>
          </cell>
          <cell r="DA117">
            <v>65</v>
          </cell>
          <cell r="DB117">
            <v>46</v>
          </cell>
          <cell r="DC117">
            <v>90</v>
          </cell>
          <cell r="DD117">
            <v>44</v>
          </cell>
          <cell r="DE117">
            <v>82</v>
          </cell>
          <cell r="DF117">
            <v>123</v>
          </cell>
          <cell r="DG117">
            <v>133</v>
          </cell>
          <cell r="DH117">
            <v>59</v>
          </cell>
        </row>
        <row r="118">
          <cell r="S118">
            <v>1</v>
          </cell>
          <cell r="T118">
            <v>-1.4383561643835623E-2</v>
          </cell>
          <cell r="AI118" t="str">
            <v>Free" Cash flow</v>
          </cell>
          <cell r="AK118">
            <v>-201.06000000000006</v>
          </cell>
          <cell r="AN118">
            <v>-297.52500000000009</v>
          </cell>
          <cell r="AQ118">
            <v>-338.13920000000007</v>
          </cell>
          <cell r="AT118">
            <v>-351.99</v>
          </cell>
          <cell r="AV118" t="str">
            <v>-Ex addnl divests.</v>
          </cell>
          <cell r="BC118" t="str">
            <v>2004E</v>
          </cell>
          <cell r="BD118">
            <v>430</v>
          </cell>
          <cell r="BE118">
            <v>34.4</v>
          </cell>
          <cell r="BF118">
            <v>0.08</v>
          </cell>
          <cell r="BG118">
            <v>23.908000000000001</v>
          </cell>
          <cell r="BH118">
            <v>0.11954000000000001</v>
          </cell>
        </row>
        <row r="119">
          <cell r="BC119" t="str">
            <v>2005E</v>
          </cell>
          <cell r="BD119">
            <v>440</v>
          </cell>
          <cell r="BE119">
            <v>41.8</v>
          </cell>
          <cell r="BF119">
            <v>9.5000000000000001E-2</v>
          </cell>
          <cell r="BG119">
            <v>29.051000000000002</v>
          </cell>
          <cell r="BH119">
            <v>0.14525500000000002</v>
          </cell>
          <cell r="DI119" t="str">
            <v>Est 1Q04 Backlog</v>
          </cell>
        </row>
        <row r="120">
          <cell r="BC120" t="str">
            <v>2006E</v>
          </cell>
          <cell r="BD120">
            <v>400</v>
          </cell>
          <cell r="BE120">
            <v>40</v>
          </cell>
          <cell r="BF120">
            <v>0.1</v>
          </cell>
          <cell r="BG120">
            <v>27.800000000000004</v>
          </cell>
          <cell r="BH120">
            <v>0.13900000000000001</v>
          </cell>
          <cell r="BO120" t="str">
            <v>Projected Changes In Gulfstream Backlog By Aircraft Type - 1Q03 vs. 4Q02</v>
          </cell>
          <cell r="CD120" t="str">
            <v>Projected Changes In Gulfstream Backlog By Aircraft Type - 2Q03 vs. 1Q03</v>
          </cell>
          <cell r="CY120" t="str">
            <v>Projected Changes In Gulfstream Backlog By Aircraft Type - 1Q04 vs. 4Q03</v>
          </cell>
          <cell r="DI120" t="str">
            <v>Units</v>
          </cell>
          <cell r="DJ120" t="str">
            <v>B-L $</v>
          </cell>
        </row>
        <row r="121">
          <cell r="L121" t="str">
            <v>General Dynamics</v>
          </cell>
          <cell r="AI121" t="str">
            <v>GD Q1 Flash</v>
          </cell>
          <cell r="BC121" t="str">
            <v>2007E</v>
          </cell>
          <cell r="BD121">
            <v>350</v>
          </cell>
          <cell r="BE121">
            <v>56</v>
          </cell>
          <cell r="BF121">
            <v>0.16</v>
          </cell>
          <cell r="BG121">
            <v>38.92</v>
          </cell>
          <cell r="BH121">
            <v>0.1946</v>
          </cell>
          <cell r="DI121">
            <v>87</v>
          </cell>
          <cell r="DJ121">
            <v>1653</v>
          </cell>
        </row>
        <row r="122">
          <cell r="L122" t="str">
            <v>"Economic" Valuation Analysis</v>
          </cell>
          <cell r="BC122" t="str">
            <v>2008E</v>
          </cell>
          <cell r="BD122">
            <v>200</v>
          </cell>
          <cell r="BE122">
            <v>44</v>
          </cell>
          <cell r="BF122">
            <v>0.22</v>
          </cell>
          <cell r="BG122">
            <v>30.580000000000002</v>
          </cell>
          <cell r="BH122">
            <v>0.15290000000000001</v>
          </cell>
          <cell r="BQ122" t="str">
            <v>2002YE</v>
          </cell>
          <cell r="CF122" t="str">
            <v>Est 1Q03 B/L</v>
          </cell>
          <cell r="DA122" t="str">
            <v>2003YE</v>
          </cell>
          <cell r="DI122">
            <v>71</v>
          </cell>
          <cell r="DJ122">
            <v>2272</v>
          </cell>
        </row>
        <row r="123">
          <cell r="M123" t="str">
            <v>Nominal</v>
          </cell>
          <cell r="N123" t="str">
            <v>Adjusts</v>
          </cell>
          <cell r="O123" t="str">
            <v>Econ</v>
          </cell>
          <cell r="P123" t="str">
            <v>Comment</v>
          </cell>
          <cell r="BD123">
            <v>2400</v>
          </cell>
          <cell r="BE123">
            <v>250.89999999999998</v>
          </cell>
          <cell r="BF123">
            <v>0.10454166666666666</v>
          </cell>
          <cell r="BG123">
            <v>174.37549999999999</v>
          </cell>
          <cell r="BH123">
            <v>0.87187749999999997</v>
          </cell>
          <cell r="BS123" t="str">
            <v>1Q03 A/C Dels</v>
          </cell>
          <cell r="BU123" t="str">
            <v>1Q03 Impld Ords</v>
          </cell>
          <cell r="BW123" t="str">
            <v>Est 1Q03 Cancels</v>
          </cell>
          <cell r="BY123" t="str">
            <v>Est 1Q03 Backlog</v>
          </cell>
          <cell r="CH123" t="str">
            <v>2Q03 A/C Dels</v>
          </cell>
          <cell r="CJ123" t="str">
            <v>2Q03 Impld Ords</v>
          </cell>
          <cell r="CL123" t="str">
            <v>Est 2Q03 Cancels</v>
          </cell>
          <cell r="CN123" t="str">
            <v>Est 2Q03 Backlog</v>
          </cell>
          <cell r="DC123" t="str">
            <v>1Q04 A/C Dels</v>
          </cell>
          <cell r="DE123" t="str">
            <v>1Q04Impld Ords</v>
          </cell>
          <cell r="DG123" t="str">
            <v>Est 1Q04 Cancels</v>
          </cell>
        </row>
        <row r="124">
          <cell r="L124" t="str">
            <v>GD</v>
          </cell>
          <cell r="N124">
            <v>0.65925925925925921</v>
          </cell>
          <cell r="O124">
            <v>-0.65925925925925921</v>
          </cell>
          <cell r="P124" t="str">
            <v>- net of GD's non earning assets</v>
          </cell>
          <cell r="BO124" t="str">
            <v>Model</v>
          </cell>
          <cell r="BP124" t="str">
            <v>ASP</v>
          </cell>
          <cell r="BQ124" t="str">
            <v>Units</v>
          </cell>
          <cell r="BR124" t="str">
            <v>$ B-L</v>
          </cell>
          <cell r="BS124" t="str">
            <v>Green</v>
          </cell>
          <cell r="BT124" t="str">
            <v>Sls</v>
          </cell>
          <cell r="BU124" t="str">
            <v>Units</v>
          </cell>
          <cell r="BV124" t="str">
            <v>$ Ords</v>
          </cell>
          <cell r="BW124" t="str">
            <v>Units</v>
          </cell>
          <cell r="BX124" t="str">
            <v>$ Cancels</v>
          </cell>
          <cell r="BY124" t="str">
            <v>Units</v>
          </cell>
          <cell r="BZ124" t="str">
            <v>B-L $</v>
          </cell>
          <cell r="CD124" t="str">
            <v>Model</v>
          </cell>
          <cell r="CE124" t="str">
            <v>ASP</v>
          </cell>
          <cell r="CF124" t="str">
            <v>Units</v>
          </cell>
          <cell r="CG124" t="str">
            <v>$ B-L</v>
          </cell>
          <cell r="CH124" t="str">
            <v>Green</v>
          </cell>
          <cell r="CI124" t="str">
            <v>Sls</v>
          </cell>
          <cell r="CJ124" t="str">
            <v>Units</v>
          </cell>
          <cell r="CK124" t="str">
            <v>$ Ords</v>
          </cell>
          <cell r="CL124" t="str">
            <v>Units</v>
          </cell>
          <cell r="CM124" t="str">
            <v>$ Cancels</v>
          </cell>
          <cell r="CN124" t="str">
            <v>Units</v>
          </cell>
          <cell r="CO124" t="str">
            <v>B-L $</v>
          </cell>
          <cell r="CY124" t="str">
            <v>Model</v>
          </cell>
          <cell r="CZ124" t="str">
            <v>ASP</v>
          </cell>
          <cell r="DA124" t="str">
            <v>Units</v>
          </cell>
          <cell r="DB124" t="str">
            <v>$ B-L</v>
          </cell>
          <cell r="DC124" t="str">
            <v>Green</v>
          </cell>
          <cell r="DD124" t="str">
            <v>Sls</v>
          </cell>
          <cell r="DE124" t="str">
            <v>Units</v>
          </cell>
          <cell r="DF124" t="str">
            <v>$ Ords</v>
          </cell>
          <cell r="DG124" t="str">
            <v>Units</v>
          </cell>
          <cell r="DH124" t="str">
            <v>$ Cancels</v>
          </cell>
          <cell r="DJ124">
            <v>-3925</v>
          </cell>
        </row>
        <row r="125">
          <cell r="L125" t="str">
            <v>2000 EPS</v>
          </cell>
          <cell r="M125">
            <v>2.0091753601589666</v>
          </cell>
          <cell r="N125">
            <v>0.19957774465971184</v>
          </cell>
          <cell r="O125">
            <v>2.2087531048186784</v>
          </cell>
          <cell r="Z125" t="str">
            <v>Defense Budget For GD's Programs</v>
          </cell>
          <cell r="AM125" t="str">
            <v>GD Q1 Results</v>
          </cell>
          <cell r="BO125" t="str">
            <v>G100</v>
          </cell>
          <cell r="BP125">
            <v>14</v>
          </cell>
          <cell r="BQ125">
            <v>1</v>
          </cell>
          <cell r="BR125">
            <v>14</v>
          </cell>
          <cell r="BS125">
            <v>3</v>
          </cell>
          <cell r="BT125">
            <v>36</v>
          </cell>
          <cell r="BU125">
            <v>2</v>
          </cell>
          <cell r="BV125">
            <v>28</v>
          </cell>
          <cell r="BY125">
            <v>0</v>
          </cell>
          <cell r="BZ125">
            <v>0</v>
          </cell>
          <cell r="CD125" t="str">
            <v>G100</v>
          </cell>
          <cell r="CE125">
            <v>14</v>
          </cell>
          <cell r="CF125">
            <v>0</v>
          </cell>
          <cell r="CG125">
            <v>0</v>
          </cell>
          <cell r="CH125">
            <v>3</v>
          </cell>
          <cell r="CI125">
            <v>36</v>
          </cell>
          <cell r="CJ125">
            <v>2</v>
          </cell>
          <cell r="CK125">
            <v>28</v>
          </cell>
          <cell r="CN125">
            <v>-1</v>
          </cell>
          <cell r="CO125">
            <v>-14</v>
          </cell>
          <cell r="CY125" t="str">
            <v>Mid-size Jet</v>
          </cell>
          <cell r="CZ125">
            <v>19</v>
          </cell>
          <cell r="DA125">
            <v>87</v>
          </cell>
          <cell r="DB125">
            <v>1653</v>
          </cell>
          <cell r="DD125">
            <v>0</v>
          </cell>
          <cell r="DF125">
            <v>0</v>
          </cell>
          <cell r="DH125">
            <v>0</v>
          </cell>
          <cell r="DI125">
            <v>158</v>
          </cell>
        </row>
        <row r="126">
          <cell r="L126" t="str">
            <v>P/E ratio</v>
          </cell>
          <cell r="M126">
            <v>0</v>
          </cell>
          <cell r="O126">
            <v>-0.29847575893430578</v>
          </cell>
          <cell r="AA126" t="str">
            <v>FY00R</v>
          </cell>
          <cell r="AC126" t="str">
            <v>FY99R</v>
          </cell>
          <cell r="BO126" t="str">
            <v>G150</v>
          </cell>
          <cell r="BP126">
            <v>16</v>
          </cell>
          <cell r="BQ126">
            <v>50</v>
          </cell>
          <cell r="BR126">
            <v>800</v>
          </cell>
          <cell r="BU126">
            <v>0</v>
          </cell>
          <cell r="BV126">
            <v>0</v>
          </cell>
          <cell r="BY126">
            <v>50</v>
          </cell>
          <cell r="BZ126">
            <v>800</v>
          </cell>
          <cell r="CD126" t="str">
            <v>G150</v>
          </cell>
          <cell r="CE126">
            <v>16</v>
          </cell>
          <cell r="CF126">
            <v>50</v>
          </cell>
          <cell r="CG126">
            <v>800</v>
          </cell>
          <cell r="CJ126">
            <v>0</v>
          </cell>
          <cell r="CK126">
            <v>0</v>
          </cell>
          <cell r="CN126">
            <v>50</v>
          </cell>
          <cell r="CO126">
            <v>800</v>
          </cell>
          <cell r="CY126" t="str">
            <v>Large Cabin</v>
          </cell>
          <cell r="CZ126">
            <v>32</v>
          </cell>
          <cell r="DA126">
            <v>71</v>
          </cell>
          <cell r="DB126">
            <v>2272</v>
          </cell>
          <cell r="DD126">
            <v>0</v>
          </cell>
          <cell r="DF126">
            <v>0</v>
          </cell>
          <cell r="DH126">
            <v>0</v>
          </cell>
        </row>
        <row r="127">
          <cell r="Z127" t="str">
            <v>DDG51</v>
          </cell>
          <cell r="AA127">
            <v>2928</v>
          </cell>
          <cell r="AB127" t="str">
            <v>DDG-51</v>
          </cell>
          <cell r="AC127">
            <v>2904.3</v>
          </cell>
          <cell r="AD127" t="str">
            <v>- GD is prime</v>
          </cell>
          <cell r="AK127" t="str">
            <v>Q1:00</v>
          </cell>
          <cell r="AN127" t="str">
            <v>Q4:00</v>
          </cell>
          <cell r="AR127" t="str">
            <v>Q1:01</v>
          </cell>
          <cell r="BO127" t="str">
            <v>G200</v>
          </cell>
          <cell r="BP127">
            <v>20</v>
          </cell>
          <cell r="BQ127">
            <v>50</v>
          </cell>
          <cell r="BR127">
            <v>1000</v>
          </cell>
          <cell r="BS127">
            <v>1</v>
          </cell>
          <cell r="BT127">
            <v>18</v>
          </cell>
          <cell r="BU127">
            <v>0</v>
          </cell>
          <cell r="BV127">
            <v>0</v>
          </cell>
          <cell r="BW127">
            <v>-3</v>
          </cell>
          <cell r="BX127">
            <v>-60</v>
          </cell>
          <cell r="BY127">
            <v>46</v>
          </cell>
          <cell r="BZ127">
            <v>920</v>
          </cell>
          <cell r="CD127" t="str">
            <v>G200</v>
          </cell>
          <cell r="CE127">
            <v>20</v>
          </cell>
          <cell r="CF127">
            <v>46</v>
          </cell>
          <cell r="CG127">
            <v>920</v>
          </cell>
          <cell r="CH127">
            <v>1</v>
          </cell>
          <cell r="CI127">
            <v>18</v>
          </cell>
          <cell r="CJ127">
            <v>0</v>
          </cell>
          <cell r="CK127">
            <v>0</v>
          </cell>
          <cell r="CL127">
            <v>-3</v>
          </cell>
          <cell r="CM127">
            <v>-60</v>
          </cell>
          <cell r="CN127">
            <v>42</v>
          </cell>
          <cell r="CO127">
            <v>840</v>
          </cell>
          <cell r="CY127" t="str">
            <v>Maint/Service</v>
          </cell>
          <cell r="DB127">
            <v>791</v>
          </cell>
        </row>
        <row r="128">
          <cell r="Z128" t="str">
            <v>NAS/SSN21</v>
          </cell>
          <cell r="AA128">
            <v>1172.1000000000001</v>
          </cell>
          <cell r="AB128" t="str">
            <v>NAS</v>
          </cell>
          <cell r="AC128">
            <v>2302.5</v>
          </cell>
          <cell r="AD128" t="str">
            <v>- GD is prime</v>
          </cell>
          <cell r="AJ128" t="str">
            <v>Revs</v>
          </cell>
          <cell r="AK128" t="str">
            <v>Op Pr</v>
          </cell>
          <cell r="AL128" t="str">
            <v>% Sls</v>
          </cell>
          <cell r="AM128" t="str">
            <v>Revs</v>
          </cell>
          <cell r="AN128" t="str">
            <v>Op Pr</v>
          </cell>
          <cell r="AO128" t="str">
            <v>% Sls</v>
          </cell>
          <cell r="AP128" t="str">
            <v>Revs</v>
          </cell>
          <cell r="AQ128" t="str">
            <v>% Ch.</v>
          </cell>
          <cell r="AR128" t="str">
            <v>Op Pr</v>
          </cell>
          <cell r="AS128" t="str">
            <v>% Sls</v>
          </cell>
          <cell r="BO128" t="str">
            <v>G300</v>
          </cell>
          <cell r="BP128">
            <v>24</v>
          </cell>
          <cell r="BQ128">
            <v>3</v>
          </cell>
          <cell r="BR128">
            <v>72</v>
          </cell>
          <cell r="BS128">
            <v>2</v>
          </cell>
          <cell r="BT128">
            <v>44</v>
          </cell>
          <cell r="BU128">
            <v>2</v>
          </cell>
          <cell r="BV128">
            <v>46</v>
          </cell>
          <cell r="BY128">
            <v>3</v>
          </cell>
          <cell r="BZ128">
            <v>72</v>
          </cell>
          <cell r="CD128" t="str">
            <v>G300</v>
          </cell>
          <cell r="CE128">
            <v>24</v>
          </cell>
          <cell r="CF128">
            <v>3</v>
          </cell>
          <cell r="CG128">
            <v>72</v>
          </cell>
          <cell r="CH128">
            <v>2</v>
          </cell>
          <cell r="CI128">
            <v>44</v>
          </cell>
          <cell r="CJ128">
            <v>2</v>
          </cell>
          <cell r="CK128">
            <v>46</v>
          </cell>
          <cell r="CN128">
            <v>3</v>
          </cell>
          <cell r="CO128">
            <v>72</v>
          </cell>
          <cell r="CY128" t="str">
            <v>Implied Completions</v>
          </cell>
          <cell r="DA128">
            <v>38</v>
          </cell>
          <cell r="DB128">
            <v>202</v>
          </cell>
          <cell r="DD128">
            <v>0</v>
          </cell>
        </row>
        <row r="129">
          <cell r="Z129" t="str">
            <v>LPD-17</v>
          </cell>
          <cell r="AA129">
            <v>1523.1</v>
          </cell>
          <cell r="AB129" t="str">
            <v>LPD-17</v>
          </cell>
          <cell r="AC129">
            <v>638.79999999999995</v>
          </cell>
          <cell r="AD129" t="str">
            <v>- sub to AVDL-NNS</v>
          </cell>
          <cell r="AI129" t="str">
            <v>Marine Group</v>
          </cell>
          <cell r="AJ129">
            <v>846</v>
          </cell>
          <cell r="AK129">
            <v>88</v>
          </cell>
          <cell r="AL129">
            <v>0.10401891252955082</v>
          </cell>
          <cell r="AM129">
            <v>914</v>
          </cell>
          <cell r="AN129">
            <v>77</v>
          </cell>
          <cell r="AO129">
            <v>8.4245076586433265E-2</v>
          </cell>
          <cell r="AP129">
            <v>862</v>
          </cell>
          <cell r="AQ129">
            <v>1.891252955082745E-2</v>
          </cell>
          <cell r="AR129">
            <v>80</v>
          </cell>
          <cell r="AS129">
            <v>9.2807424593967514E-2</v>
          </cell>
          <cell r="AV129" t="str">
            <v>Possible Gulfstream Order-Backlog Analysis</v>
          </cell>
          <cell r="BO129" t="str">
            <v>G400</v>
          </cell>
          <cell r="BP129">
            <v>28</v>
          </cell>
          <cell r="BQ129">
            <v>13</v>
          </cell>
          <cell r="BR129">
            <v>364</v>
          </cell>
          <cell r="BS129">
            <v>2</v>
          </cell>
          <cell r="BT129">
            <v>44</v>
          </cell>
          <cell r="BU129">
            <v>6</v>
          </cell>
          <cell r="BV129">
            <v>168</v>
          </cell>
          <cell r="BW129">
            <v>-1</v>
          </cell>
          <cell r="BX129">
            <v>-28</v>
          </cell>
          <cell r="BY129">
            <v>16</v>
          </cell>
          <cell r="BZ129">
            <v>448</v>
          </cell>
          <cell r="CA129" t="str">
            <v>-assumes 4 550s, 3 G200, 1 G400</v>
          </cell>
          <cell r="CD129" t="str">
            <v>G400</v>
          </cell>
          <cell r="CE129">
            <v>28</v>
          </cell>
          <cell r="CF129">
            <v>16</v>
          </cell>
          <cell r="CG129">
            <v>448</v>
          </cell>
          <cell r="CH129">
            <v>2</v>
          </cell>
          <cell r="CI129">
            <v>44</v>
          </cell>
          <cell r="CJ129">
            <v>6</v>
          </cell>
          <cell r="CK129">
            <v>168</v>
          </cell>
          <cell r="CL129">
            <v>-1</v>
          </cell>
          <cell r="CM129">
            <v>-28</v>
          </cell>
          <cell r="CN129">
            <v>19</v>
          </cell>
          <cell r="CO129">
            <v>532</v>
          </cell>
          <cell r="CY129" t="str">
            <v>Total</v>
          </cell>
          <cell r="DA129">
            <v>158</v>
          </cell>
          <cell r="DB129">
            <v>4918</v>
          </cell>
          <cell r="DC129">
            <v>0</v>
          </cell>
          <cell r="DD129">
            <v>0</v>
          </cell>
          <cell r="DE129">
            <v>0</v>
          </cell>
          <cell r="DF129">
            <v>0</v>
          </cell>
          <cell r="DG129">
            <v>0</v>
          </cell>
          <cell r="DH129">
            <v>0</v>
          </cell>
        </row>
        <row r="130">
          <cell r="Z130" t="str">
            <v>M1A2 u/g</v>
          </cell>
          <cell r="AA130">
            <v>658.3</v>
          </cell>
          <cell r="AB130" t="str">
            <v>M1A1 u/g</v>
          </cell>
          <cell r="AC130">
            <v>691.8</v>
          </cell>
          <cell r="AD130" t="str">
            <v>- long lead funding</v>
          </cell>
          <cell r="AI130" t="str">
            <v>Combat Sys</v>
          </cell>
          <cell r="AJ130">
            <v>315</v>
          </cell>
          <cell r="AK130">
            <v>37</v>
          </cell>
          <cell r="AL130">
            <v>0.11746031746031746</v>
          </cell>
          <cell r="AM130">
            <v>372</v>
          </cell>
          <cell r="AN130">
            <v>46</v>
          </cell>
          <cell r="AO130">
            <v>0.12365591397849462</v>
          </cell>
          <cell r="AP130">
            <v>438</v>
          </cell>
          <cell r="AQ130">
            <v>0.39047619047619042</v>
          </cell>
          <cell r="AR130">
            <v>48</v>
          </cell>
          <cell r="AS130">
            <v>0.1095890410958904</v>
          </cell>
          <cell r="BO130" t="str">
            <v>G500/550</v>
          </cell>
          <cell r="BP130">
            <v>37</v>
          </cell>
          <cell r="BQ130">
            <v>56</v>
          </cell>
          <cell r="BR130">
            <v>2072</v>
          </cell>
          <cell r="BS130">
            <v>7</v>
          </cell>
          <cell r="BT130">
            <v>217</v>
          </cell>
          <cell r="BU130">
            <v>6</v>
          </cell>
          <cell r="BV130">
            <v>222</v>
          </cell>
          <cell r="BW130">
            <v>-4</v>
          </cell>
          <cell r="BX130">
            <v>-148</v>
          </cell>
          <cell r="BY130">
            <v>51</v>
          </cell>
          <cell r="BZ130">
            <v>1887</v>
          </cell>
          <cell r="CD130" t="str">
            <v>G500/550</v>
          </cell>
          <cell r="CE130">
            <v>37</v>
          </cell>
          <cell r="CF130">
            <v>51</v>
          </cell>
          <cell r="CG130">
            <v>1887</v>
          </cell>
          <cell r="CH130">
            <v>7</v>
          </cell>
          <cell r="CI130">
            <v>217</v>
          </cell>
          <cell r="CJ130">
            <v>6</v>
          </cell>
          <cell r="CK130">
            <v>222</v>
          </cell>
          <cell r="CL130">
            <v>-4</v>
          </cell>
          <cell r="CM130">
            <v>-148</v>
          </cell>
          <cell r="CN130">
            <v>46</v>
          </cell>
          <cell r="CO130">
            <v>1702</v>
          </cell>
        </row>
        <row r="131">
          <cell r="L131" t="str">
            <v xml:space="preserve">Other Assets Breakdown </v>
          </cell>
          <cell r="Z131" t="str">
            <v>TADCX</v>
          </cell>
          <cell r="AA131">
            <v>453</v>
          </cell>
          <cell r="AB131" t="str">
            <v>subtotal</v>
          </cell>
          <cell r="AC131">
            <v>6537.4000000000005</v>
          </cell>
          <cell r="AI131" t="str">
            <v>Info Sys &amp; Tech</v>
          </cell>
          <cell r="AJ131">
            <v>606</v>
          </cell>
          <cell r="AK131">
            <v>58</v>
          </cell>
          <cell r="AL131">
            <v>9.5709570957095716E-2</v>
          </cell>
          <cell r="AM131">
            <v>545</v>
          </cell>
          <cell r="AN131">
            <v>51</v>
          </cell>
          <cell r="AO131">
            <v>9.3577981651376152E-2</v>
          </cell>
          <cell r="AP131">
            <v>612</v>
          </cell>
          <cell r="AQ131">
            <v>9.9009900990099098E-3</v>
          </cell>
          <cell r="AR131">
            <v>60</v>
          </cell>
          <cell r="AS131">
            <v>9.8039215686274508E-2</v>
          </cell>
          <cell r="AV131" t="str">
            <v>Est. Revs</v>
          </cell>
          <cell r="AX131" t="str">
            <v>1Q01</v>
          </cell>
          <cell r="BO131" t="str">
            <v>Implied Completions</v>
          </cell>
          <cell r="BR131">
            <v>176</v>
          </cell>
          <cell r="BT131">
            <v>102</v>
          </cell>
          <cell r="BZ131">
            <v>153</v>
          </cell>
          <cell r="CD131" t="str">
            <v>Implied Completions</v>
          </cell>
          <cell r="CG131">
            <v>153</v>
          </cell>
          <cell r="CI131">
            <v>102</v>
          </cell>
          <cell r="CO131">
            <v>196</v>
          </cell>
        </row>
        <row r="132">
          <cell r="O132" t="str">
            <v>Est. Total $$MM</v>
          </cell>
          <cell r="Q132" t="str">
            <v>To Be Rec'd A.T.</v>
          </cell>
          <cell r="S132" t="str">
            <v>NPV</v>
          </cell>
          <cell r="U132" t="str">
            <v>Per Share</v>
          </cell>
          <cell r="Z132" t="str">
            <v>Crusader</v>
          </cell>
          <cell r="AA132">
            <v>343.9</v>
          </cell>
          <cell r="AB132" t="str">
            <v>DoD Top 15</v>
          </cell>
          <cell r="AC132">
            <v>19400</v>
          </cell>
          <cell r="AI132" t="str">
            <v>Gulfstream</v>
          </cell>
          <cell r="AJ132">
            <v>730</v>
          </cell>
          <cell r="AK132">
            <v>131</v>
          </cell>
          <cell r="AL132">
            <v>0.17945205479452056</v>
          </cell>
          <cell r="AM132">
            <v>745</v>
          </cell>
          <cell r="AN132">
            <v>161</v>
          </cell>
          <cell r="AO132">
            <v>0.21610738255033557</v>
          </cell>
          <cell r="AP132">
            <v>712</v>
          </cell>
          <cell r="AQ132">
            <v>-2.4657534246575352E-2</v>
          </cell>
          <cell r="AR132">
            <v>144</v>
          </cell>
          <cell r="AS132">
            <v>0.20224719101123595</v>
          </cell>
          <cell r="AV132" t="str">
            <v>Green GIVSP</v>
          </cell>
          <cell r="AX132">
            <v>280</v>
          </cell>
          <cell r="BO132" t="str">
            <v>Total</v>
          </cell>
          <cell r="BQ132">
            <v>173</v>
          </cell>
          <cell r="BR132">
            <v>4498</v>
          </cell>
          <cell r="BS132">
            <v>15</v>
          </cell>
          <cell r="BT132">
            <v>461</v>
          </cell>
          <cell r="BU132">
            <v>16</v>
          </cell>
          <cell r="BV132">
            <v>464</v>
          </cell>
          <cell r="BW132">
            <v>-8</v>
          </cell>
          <cell r="BX132">
            <v>-236</v>
          </cell>
          <cell r="BY132">
            <v>166</v>
          </cell>
          <cell r="BZ132">
            <v>4280</v>
          </cell>
          <cell r="CD132" t="str">
            <v>Total</v>
          </cell>
          <cell r="CF132">
            <v>166</v>
          </cell>
          <cell r="CG132">
            <v>4280</v>
          </cell>
          <cell r="CH132">
            <v>15</v>
          </cell>
          <cell r="CI132">
            <v>461</v>
          </cell>
          <cell r="CJ132">
            <v>16</v>
          </cell>
          <cell r="CK132">
            <v>464</v>
          </cell>
          <cell r="CL132">
            <v>-8</v>
          </cell>
          <cell r="CM132">
            <v>-236</v>
          </cell>
          <cell r="CN132">
            <v>159</v>
          </cell>
          <cell r="CO132">
            <v>4128</v>
          </cell>
        </row>
        <row r="133">
          <cell r="O133" t="str">
            <v>Low</v>
          </cell>
          <cell r="P133" t="str">
            <v>High</v>
          </cell>
          <cell r="Q133" t="str">
            <v>Low</v>
          </cell>
          <cell r="R133" t="str">
            <v>High</v>
          </cell>
          <cell r="S133" t="str">
            <v>Low</v>
          </cell>
          <cell r="T133" t="str">
            <v>High</v>
          </cell>
          <cell r="U133" t="str">
            <v>Low</v>
          </cell>
          <cell r="V133" t="str">
            <v>High</v>
          </cell>
          <cell r="Z133" t="str">
            <v>subtotal</v>
          </cell>
          <cell r="AA133">
            <v>7078.4000000000005</v>
          </cell>
          <cell r="AB133" t="str">
            <v>% Top 15</v>
          </cell>
          <cell r="AC133">
            <v>0.33697938144329898</v>
          </cell>
          <cell r="AI133" t="str">
            <v>Other</v>
          </cell>
          <cell r="AJ133">
            <v>49</v>
          </cell>
          <cell r="AK133">
            <v>-8</v>
          </cell>
          <cell r="AL133">
            <v>-0.16326530612244897</v>
          </cell>
          <cell r="AM133">
            <v>64</v>
          </cell>
          <cell r="AN133">
            <v>12</v>
          </cell>
          <cell r="AO133">
            <v>0.1875</v>
          </cell>
          <cell r="AP133">
            <v>49</v>
          </cell>
          <cell r="AQ133">
            <v>0</v>
          </cell>
          <cell r="AR133">
            <v>2</v>
          </cell>
          <cell r="AS133">
            <v>4.0816326530612242E-2</v>
          </cell>
          <cell r="AV133" t="str">
            <v>Green GV</v>
          </cell>
          <cell r="AX133">
            <v>256</v>
          </cell>
        </row>
        <row r="134">
          <cell r="Z134" t="str">
            <v>DoD Top 15</v>
          </cell>
          <cell r="AA134">
            <v>24800</v>
          </cell>
          <cell r="AI134" t="str">
            <v>Total</v>
          </cell>
          <cell r="AJ134">
            <v>2546</v>
          </cell>
          <cell r="AK134">
            <v>306</v>
          </cell>
          <cell r="AL134">
            <v>0.1201885310290652</v>
          </cell>
          <cell r="AM134">
            <v>2640</v>
          </cell>
          <cell r="AN134">
            <v>347</v>
          </cell>
          <cell r="AO134">
            <v>0.13143939393939394</v>
          </cell>
          <cell r="AP134">
            <v>2673</v>
          </cell>
          <cell r="AQ134">
            <v>4.9882168106834213E-2</v>
          </cell>
          <cell r="AR134">
            <v>334</v>
          </cell>
          <cell r="AS134">
            <v>0.12495323606434718</v>
          </cell>
          <cell r="AV134" t="str">
            <v>New shipments subtot</v>
          </cell>
          <cell r="AX134">
            <v>536</v>
          </cell>
          <cell r="BO134" t="str">
            <v>* Had 4 large cabin and 15 mid-size waiting for placement at YE, sold 2 large in 1Q03</v>
          </cell>
          <cell r="CD134" t="str">
            <v>* Had 4 large cabin and 15 mid-size waiting for placement at YE, sold 2 large in 1Q03</v>
          </cell>
        </row>
        <row r="135">
          <cell r="Z135" t="str">
            <v>% Top 15</v>
          </cell>
          <cell r="AA135">
            <v>0.28541935483870973</v>
          </cell>
          <cell r="AI135" t="str">
            <v>Interest,net</v>
          </cell>
          <cell r="AK135">
            <v>-19</v>
          </cell>
          <cell r="AN135">
            <v>-8</v>
          </cell>
          <cell r="AR135">
            <v>-12</v>
          </cell>
          <cell r="AV135" t="str">
            <v>Completions</v>
          </cell>
          <cell r="AX135">
            <v>64</v>
          </cell>
        </row>
        <row r="136">
          <cell r="L136" t="str">
            <v>Calif real estate</v>
          </cell>
          <cell r="O136">
            <v>100</v>
          </cell>
          <cell r="P136">
            <v>150</v>
          </cell>
          <cell r="Q136">
            <v>117</v>
          </cell>
          <cell r="R136">
            <v>150</v>
          </cell>
          <cell r="S136">
            <v>117</v>
          </cell>
          <cell r="T136">
            <v>150</v>
          </cell>
          <cell r="U136">
            <v>0.28931750741839762</v>
          </cell>
          <cell r="V136">
            <v>0.37091988130563802</v>
          </cell>
          <cell r="AI136" t="str">
            <v>Other</v>
          </cell>
          <cell r="AK136">
            <v>-1</v>
          </cell>
          <cell r="AN136">
            <v>-2</v>
          </cell>
          <cell r="AR136">
            <v>8</v>
          </cell>
          <cell r="AV136" t="str">
            <v>Used aircraft</v>
          </cell>
          <cell r="AX136">
            <v>20</v>
          </cell>
        </row>
        <row r="137">
          <cell r="L137" t="str">
            <v>R&amp;D tax credit</v>
          </cell>
          <cell r="O137">
            <v>504</v>
          </cell>
          <cell r="P137">
            <v>527</v>
          </cell>
          <cell r="Q137">
            <v>55</v>
          </cell>
          <cell r="R137">
            <v>78</v>
          </cell>
          <cell r="U137">
            <v>0</v>
          </cell>
          <cell r="V137">
            <v>0</v>
          </cell>
          <cell r="AI137" t="str">
            <v>Pretax Inc</v>
          </cell>
          <cell r="AK137">
            <v>286</v>
          </cell>
          <cell r="AL137">
            <v>0.11233307148468186</v>
          </cell>
          <cell r="AN137">
            <v>337</v>
          </cell>
          <cell r="AO137">
            <v>0.12765151515151515</v>
          </cell>
          <cell r="AR137">
            <v>330</v>
          </cell>
          <cell r="AS137">
            <v>0.12345679012345678</v>
          </cell>
          <cell r="AV137" t="str">
            <v>Support/Services</v>
          </cell>
          <cell r="AX137">
            <v>92</v>
          </cell>
          <cell r="BO137" t="str">
            <v>GD 1Q03 Actual vs. Expectations</v>
          </cell>
          <cell r="CD137" t="str">
            <v>GD 2Q03 Actual vs. Expectations</v>
          </cell>
          <cell r="CM137" t="str">
            <v>2003 EPS Est</v>
          </cell>
          <cell r="CY137" t="str">
            <v>GD 1Q04 Actual vs. Expectations</v>
          </cell>
        </row>
        <row r="138">
          <cell r="L138" t="str">
            <v>A-12</v>
          </cell>
          <cell r="S138">
            <v>0</v>
          </cell>
          <cell r="T138">
            <v>0</v>
          </cell>
          <cell r="U138">
            <v>0</v>
          </cell>
          <cell r="V138">
            <v>0</v>
          </cell>
          <cell r="AI138" t="str">
            <v>Eff Tax Rate</v>
          </cell>
          <cell r="AK138">
            <v>0.35799999999999998</v>
          </cell>
          <cell r="AN138">
            <v>0.35699999999999998</v>
          </cell>
          <cell r="AR138">
            <v>0.35799999999999998</v>
          </cell>
          <cell r="AV138" t="str">
            <v>Total GAC Sales</v>
          </cell>
          <cell r="AX138">
            <v>712</v>
          </cell>
          <cell r="BE138" t="str">
            <v>Possible Gulfstream Order-Backlog Analysis</v>
          </cell>
          <cell r="BQ138" t="str">
            <v>EPS Share ¢</v>
          </cell>
          <cell r="CD138" t="str">
            <v>EPS Share ¢</v>
          </cell>
          <cell r="CM138" t="str">
            <v>Morgan Stanley</v>
          </cell>
          <cell r="CN138" t="str">
            <v>Consensus</v>
          </cell>
          <cell r="CO138" t="str">
            <v>Date of Record</v>
          </cell>
          <cell r="DA138" t="str">
            <v>EPS Share ¢</v>
          </cell>
        </row>
        <row r="139">
          <cell r="L139" t="str">
            <v>total</v>
          </cell>
          <cell r="O139">
            <v>604</v>
          </cell>
          <cell r="P139">
            <v>677</v>
          </cell>
          <cell r="Q139">
            <v>172</v>
          </cell>
          <cell r="R139">
            <v>228</v>
          </cell>
          <cell r="S139">
            <v>117</v>
          </cell>
          <cell r="T139">
            <v>150</v>
          </cell>
          <cell r="U139">
            <v>0.28931750741839762</v>
          </cell>
          <cell r="V139">
            <v>0.37091988130563802</v>
          </cell>
          <cell r="AI139" t="str">
            <v>Net Income</v>
          </cell>
          <cell r="AK139">
            <v>183.61199999999999</v>
          </cell>
          <cell r="AL139">
            <v>7.2117831893165743E-2</v>
          </cell>
          <cell r="AN139">
            <v>216.691</v>
          </cell>
          <cell r="AO139">
            <v>8.2079924242424246E-2</v>
          </cell>
          <cell r="AR139">
            <v>211.86</v>
          </cell>
          <cell r="AS139">
            <v>7.9259259259259265E-2</v>
          </cell>
          <cell r="BQ139" t="str">
            <v>Plus</v>
          </cell>
          <cell r="BR139" t="str">
            <v>Minus</v>
          </cell>
          <cell r="BS139" t="str">
            <v>Total</v>
          </cell>
          <cell r="CF139" t="str">
            <v>Plus</v>
          </cell>
          <cell r="CG139" t="str">
            <v>Minus</v>
          </cell>
          <cell r="CH139" t="str">
            <v>Total</v>
          </cell>
          <cell r="CL139" t="str">
            <v>2Q03</v>
          </cell>
          <cell r="CM139">
            <v>5</v>
          </cell>
          <cell r="CN139">
            <v>4.87</v>
          </cell>
          <cell r="CO139">
            <v>37802</v>
          </cell>
          <cell r="DA139" t="str">
            <v>Plus</v>
          </cell>
          <cell r="DB139" t="str">
            <v>Minus</v>
          </cell>
          <cell r="DC139" t="str">
            <v>Total</v>
          </cell>
        </row>
        <row r="140">
          <cell r="X140" t="str">
            <v>General Dynamics Valuation By Division (2000)</v>
          </cell>
          <cell r="AI140" t="str">
            <v>EPS</v>
          </cell>
          <cell r="AK140">
            <v>0.90762234305486889</v>
          </cell>
          <cell r="AN140">
            <v>1.073790882061447</v>
          </cell>
          <cell r="AR140">
            <v>1.0477744807121663</v>
          </cell>
          <cell r="AV140" t="str">
            <v>Yearend 2000 Backlog ($s)</v>
          </cell>
          <cell r="AY140" t="str">
            <v>Units</v>
          </cell>
          <cell r="AZ140" t="str">
            <v>X</v>
          </cell>
          <cell r="BA140" t="str">
            <v>Avg. $MM</v>
          </cell>
          <cell r="BE140" t="str">
            <v>Yearend 2001 Backlog ($s)</v>
          </cell>
          <cell r="BG140" t="str">
            <v>Units</v>
          </cell>
          <cell r="BH140" t="str">
            <v>X</v>
          </cell>
          <cell r="BI140" t="str">
            <v>Avg. $MM</v>
          </cell>
          <cell r="BO140" t="str">
            <v>Morgan Stanley 1Q03 Est.</v>
          </cell>
          <cell r="BS140">
            <v>1.03</v>
          </cell>
          <cell r="CD140" t="str">
            <v>Morgan Stanley 2Q03 Est.</v>
          </cell>
          <cell r="CH140">
            <v>1.2030000000000001</v>
          </cell>
          <cell r="CL140" t="str">
            <v>1Q03</v>
          </cell>
          <cell r="CM140">
            <v>5.15</v>
          </cell>
          <cell r="CN140">
            <v>5.01</v>
          </cell>
          <cell r="CO140">
            <v>37711</v>
          </cell>
          <cell r="CY140" t="str">
            <v>Morgan Stanley 1Q04 Est.</v>
          </cell>
          <cell r="DC140">
            <v>1.03</v>
          </cell>
        </row>
        <row r="141">
          <cell r="AI141" t="str">
            <v>% Change</v>
          </cell>
          <cell r="AK141">
            <v>0.15825398042764816</v>
          </cell>
          <cell r="AN141">
            <v>8.5410019526147352E-2</v>
          </cell>
          <cell r="AR141">
            <v>0.15441679981739356</v>
          </cell>
          <cell r="AV141" t="str">
            <v>GIVSP</v>
          </cell>
          <cell r="AX141">
            <v>952</v>
          </cell>
          <cell r="AY141">
            <v>34</v>
          </cell>
          <cell r="BA141">
            <v>28</v>
          </cell>
          <cell r="BE141" t="str">
            <v>GIVSP</v>
          </cell>
          <cell r="BF141">
            <v>390</v>
          </cell>
          <cell r="BG141">
            <v>13</v>
          </cell>
          <cell r="BI141">
            <v>30</v>
          </cell>
          <cell r="BO141" t="str">
            <v>Marine</v>
          </cell>
          <cell r="BR141">
            <v>-0.05</v>
          </cell>
          <cell r="BS141">
            <v>-0.05</v>
          </cell>
          <cell r="CD141" t="str">
            <v>Marine</v>
          </cell>
          <cell r="CG141">
            <v>-5.3999999999999999E-2</v>
          </cell>
          <cell r="CH141">
            <v>-5.3999999999999999E-2</v>
          </cell>
          <cell r="CL141" t="str">
            <v>4Q02</v>
          </cell>
          <cell r="CM141">
            <v>5.18</v>
          </cell>
          <cell r="CN141">
            <v>5.49</v>
          </cell>
          <cell r="CO141">
            <v>37621</v>
          </cell>
          <cell r="CY141" t="str">
            <v>Marine</v>
          </cell>
          <cell r="DC141">
            <v>0</v>
          </cell>
        </row>
        <row r="142">
          <cell r="Y142" t="str">
            <v>EPS</v>
          </cell>
          <cell r="Z142" t="str">
            <v>P/E</v>
          </cell>
          <cell r="AA142" t="str">
            <v>Price</v>
          </cell>
          <cell r="AB142" t="str">
            <v xml:space="preserve"> Comments</v>
          </cell>
          <cell r="AI142" t="str">
            <v>Avg. Shs.</v>
          </cell>
          <cell r="AK142">
            <v>202.3</v>
          </cell>
          <cell r="AN142">
            <v>201.8</v>
          </cell>
          <cell r="AR142">
            <v>202.2</v>
          </cell>
          <cell r="AV142" t="str">
            <v xml:space="preserve">GV </v>
          </cell>
          <cell r="AX142">
            <v>875</v>
          </cell>
          <cell r="AY142">
            <v>25</v>
          </cell>
          <cell r="BA142">
            <v>35</v>
          </cell>
          <cell r="BE142" t="str">
            <v xml:space="preserve">GV </v>
          </cell>
          <cell r="BF142">
            <v>350</v>
          </cell>
          <cell r="BG142">
            <v>10</v>
          </cell>
          <cell r="BI142">
            <v>35</v>
          </cell>
          <cell r="BO142" t="str">
            <v>Aerospace</v>
          </cell>
          <cell r="BR142">
            <v>-0.12</v>
          </cell>
          <cell r="BS142">
            <v>-0.12</v>
          </cell>
          <cell r="CD142" t="str">
            <v>Aerospace</v>
          </cell>
          <cell r="CG142">
            <v>-6.4000000000000001E-2</v>
          </cell>
          <cell r="CH142">
            <v>-6.4000000000000001E-2</v>
          </cell>
          <cell r="CL142" t="str">
            <v>3Q02</v>
          </cell>
          <cell r="CM142">
            <v>5.8</v>
          </cell>
          <cell r="CN142">
            <v>5.53</v>
          </cell>
          <cell r="CO142">
            <v>37529</v>
          </cell>
          <cell r="CY142" t="str">
            <v>Aerospace</v>
          </cell>
          <cell r="DC142">
            <v>0</v>
          </cell>
        </row>
        <row r="143">
          <cell r="X143" t="str">
            <v>Defense</v>
          </cell>
          <cell r="Y143">
            <v>1.1706880278191754</v>
          </cell>
          <cell r="Z143">
            <v>14.8</v>
          </cell>
          <cell r="AA143">
            <v>17.326182811723797</v>
          </cell>
          <cell r="AB143" t="str">
            <v>- 15% premium to peers</v>
          </cell>
          <cell r="AI143" t="str">
            <v>Net Debt</v>
          </cell>
          <cell r="AK143">
            <v>932</v>
          </cell>
          <cell r="AN143">
            <v>325</v>
          </cell>
          <cell r="AR143">
            <v>863</v>
          </cell>
          <cell r="AV143" t="str">
            <v xml:space="preserve">GVSP </v>
          </cell>
          <cell r="AX143">
            <v>0</v>
          </cell>
          <cell r="AY143">
            <v>0</v>
          </cell>
          <cell r="BA143">
            <v>38</v>
          </cell>
          <cell r="BE143" t="str">
            <v xml:space="preserve">GVSP </v>
          </cell>
          <cell r="BF143">
            <v>2040</v>
          </cell>
          <cell r="BG143">
            <v>51</v>
          </cell>
          <cell r="BI143">
            <v>40</v>
          </cell>
          <cell r="BO143" t="str">
            <v>Combat systems</v>
          </cell>
          <cell r="BQ143">
            <v>7.3999999999999996E-2</v>
          </cell>
          <cell r="BS143">
            <v>7.3999999999999996E-2</v>
          </cell>
          <cell r="CD143" t="str">
            <v>Combat systems</v>
          </cell>
          <cell r="CF143">
            <v>2.5000000000000001E-2</v>
          </cell>
          <cell r="CH143">
            <v>2.5000000000000001E-2</v>
          </cell>
          <cell r="CL143" t="str">
            <v>2Q02</v>
          </cell>
          <cell r="CM143">
            <v>5.95</v>
          </cell>
          <cell r="CN143">
            <v>5.86</v>
          </cell>
          <cell r="CO143">
            <v>37435</v>
          </cell>
          <cell r="CY143" t="str">
            <v>Combat systems</v>
          </cell>
          <cell r="DC143">
            <v>0</v>
          </cell>
        </row>
        <row r="144">
          <cell r="L144" t="str">
            <v xml:space="preserve">GD-GAC </v>
          </cell>
          <cell r="X144" t="str">
            <v>Comml</v>
          </cell>
          <cell r="Y144">
            <v>0.94549428713363137</v>
          </cell>
          <cell r="Z144">
            <v>17.5</v>
          </cell>
          <cell r="AA144">
            <v>16.54615002483855</v>
          </cell>
          <cell r="AB144" t="str">
            <v>- 15% discount to avg of BA &amp; Bombardier</v>
          </cell>
          <cell r="AI144" t="str">
            <v>Cash/Share</v>
          </cell>
          <cell r="AK144">
            <v>0</v>
          </cell>
          <cell r="AN144">
            <v>0</v>
          </cell>
          <cell r="AR144">
            <v>0</v>
          </cell>
          <cell r="AV144" t="str">
            <v xml:space="preserve">Total </v>
          </cell>
          <cell r="AX144">
            <v>3319.5</v>
          </cell>
          <cell r="AY144">
            <v>107</v>
          </cell>
          <cell r="BE144" t="str">
            <v>G100</v>
          </cell>
          <cell r="BF144">
            <v>28</v>
          </cell>
          <cell r="BG144">
            <v>2</v>
          </cell>
          <cell r="BI144">
            <v>14</v>
          </cell>
          <cell r="BO144" t="str">
            <v>IST</v>
          </cell>
          <cell r="BQ144">
            <v>4.3999999999999997E-2</v>
          </cell>
          <cell r="BS144">
            <v>4.3999999999999997E-2</v>
          </cell>
          <cell r="CD144" t="str">
            <v>IST</v>
          </cell>
          <cell r="CF144">
            <v>0.105</v>
          </cell>
          <cell r="CH144">
            <v>0.11</v>
          </cell>
          <cell r="CY144" t="str">
            <v>IST</v>
          </cell>
          <cell r="DC144">
            <v>0</v>
          </cell>
        </row>
        <row r="145">
          <cell r="L145" t="str">
            <v xml:space="preserve">Enterprise Value/EBITDA </v>
          </cell>
          <cell r="X145" t="str">
            <v>Non Op Assets</v>
          </cell>
          <cell r="AA145">
            <v>0</v>
          </cell>
          <cell r="AB145" t="str">
            <v xml:space="preserve">- mid point </v>
          </cell>
          <cell r="AV145" t="str">
            <v>Deliveries ($s)</v>
          </cell>
          <cell r="BE145" t="str">
            <v>G200</v>
          </cell>
          <cell r="BF145">
            <v>1045</v>
          </cell>
          <cell r="BG145">
            <v>55</v>
          </cell>
          <cell r="BI145">
            <v>19</v>
          </cell>
          <cell r="BO145" t="str">
            <v>Other</v>
          </cell>
          <cell r="BQ145">
            <v>0.02</v>
          </cell>
          <cell r="BS145">
            <v>0.02</v>
          </cell>
          <cell r="CD145" t="str">
            <v>Interest</v>
          </cell>
          <cell r="CG145">
            <v>-1.4E-2</v>
          </cell>
          <cell r="CH145">
            <v>-1.4E-2</v>
          </cell>
          <cell r="CY145" t="str">
            <v>Other</v>
          </cell>
          <cell r="DC145">
            <v>0</v>
          </cell>
        </row>
        <row r="146">
          <cell r="S146" t="str">
            <v>EBITDA</v>
          </cell>
          <cell r="U146" t="str">
            <v>Comments</v>
          </cell>
          <cell r="X146" t="str">
            <v>YE99 net debt</v>
          </cell>
          <cell r="Y146">
            <v>-9.5827123695976152E-2</v>
          </cell>
          <cell r="AA146">
            <v>0.43801738698459963</v>
          </cell>
          <cell r="AI146" t="str">
            <v>GD Reports $1.05 vs. our $0.99, +15% Y/Y</v>
          </cell>
          <cell r="AV146" t="str">
            <v>GIVSP</v>
          </cell>
          <cell r="AX146">
            <v>280</v>
          </cell>
          <cell r="AY146">
            <v>10</v>
          </cell>
          <cell r="BA146">
            <v>28</v>
          </cell>
          <cell r="BE146" t="str">
            <v>Total</v>
          </cell>
          <cell r="BF146">
            <v>3853</v>
          </cell>
          <cell r="BG146">
            <v>131</v>
          </cell>
          <cell r="BO146" t="str">
            <v>Tax rate</v>
          </cell>
          <cell r="BQ146">
            <v>0.09</v>
          </cell>
          <cell r="BS146">
            <v>0.09</v>
          </cell>
          <cell r="CD146" t="str">
            <v>Tax rate</v>
          </cell>
          <cell r="CF146">
            <v>1.4999999999999999E-2</v>
          </cell>
          <cell r="CH146">
            <v>1.4999999999999999E-2</v>
          </cell>
          <cell r="CY146" t="str">
            <v>Tax rate</v>
          </cell>
          <cell r="DC146">
            <v>0</v>
          </cell>
        </row>
        <row r="147">
          <cell r="L147" t="str">
            <v xml:space="preserve">EBITDA </v>
          </cell>
          <cell r="O147" t="str">
            <v>1999</v>
          </cell>
          <cell r="P147" t="str">
            <v>2000</v>
          </cell>
          <cell r="Q147" t="str">
            <v>2001</v>
          </cell>
          <cell r="S147" t="str">
            <v>W/GTE</v>
          </cell>
          <cell r="T147" t="str">
            <v>00</v>
          </cell>
          <cell r="X147" t="str">
            <v>Total</v>
          </cell>
          <cell r="Y147">
            <v>2.0203551912568307</v>
          </cell>
          <cell r="Z147">
            <v>16.982335765525974</v>
          </cell>
          <cell r="AA147">
            <v>34.310350223546948</v>
          </cell>
          <cell r="AB147">
            <v>14.34046055478221</v>
          </cell>
          <cell r="AC147" t="str">
            <v>current multiple</v>
          </cell>
          <cell r="AV147" t="str">
            <v xml:space="preserve">GV </v>
          </cell>
          <cell r="AX147">
            <v>256</v>
          </cell>
          <cell r="AY147">
            <v>8</v>
          </cell>
          <cell r="BA147">
            <v>32</v>
          </cell>
          <cell r="BE147" t="str">
            <v>Implied Svc/Completions</v>
          </cell>
          <cell r="BF147">
            <v>373</v>
          </cell>
          <cell r="BO147" t="str">
            <v>Shs</v>
          </cell>
          <cell r="BQ147">
            <v>0.02</v>
          </cell>
          <cell r="BS147">
            <v>0.02</v>
          </cell>
          <cell r="CE147" t="str">
            <v>subtotal Puts/Takes</v>
          </cell>
          <cell r="CH147">
            <v>1.8000000000000002E-2</v>
          </cell>
          <cell r="CY147" t="str">
            <v>Shs</v>
          </cell>
          <cell r="DC147">
            <v>0</v>
          </cell>
        </row>
        <row r="148">
          <cell r="L148" t="str">
            <v>GD</v>
          </cell>
          <cell r="N148" t="str">
            <v>EBIT</v>
          </cell>
          <cell r="O148">
            <v>625</v>
          </cell>
          <cell r="P148">
            <v>666</v>
          </cell>
          <cell r="Q148">
            <v>740</v>
          </cell>
          <cell r="S148" t="str">
            <v>GD/GAC</v>
          </cell>
          <cell r="T148">
            <v>1448</v>
          </cell>
          <cell r="X148" t="str">
            <v>sanity</v>
          </cell>
          <cell r="Y148">
            <v>2.0091753601589666</v>
          </cell>
          <cell r="AI148" t="str">
            <v>- Beat our number by 6¢ - driven by higher Combat sales and operational improvements at Gulfstream</v>
          </cell>
          <cell r="AV148" t="str">
            <v>Deliveries ($s)</v>
          </cell>
          <cell r="AX148">
            <v>536</v>
          </cell>
          <cell r="AY148">
            <v>18</v>
          </cell>
          <cell r="BE148" t="str">
            <v>Reported B-L</v>
          </cell>
          <cell r="BF148">
            <v>4.1980000000000004</v>
          </cell>
          <cell r="BP148" t="str">
            <v>subtotal Puts/Takes</v>
          </cell>
          <cell r="BS148">
            <v>7.8000000000000014E-2</v>
          </cell>
          <cell r="CD148" t="str">
            <v>GD Reported 1Q03</v>
          </cell>
          <cell r="CH148">
            <v>1.2210000000000001</v>
          </cell>
          <cell r="CZ148" t="str">
            <v>subtotal Puts/Takes</v>
          </cell>
          <cell r="DC148">
            <v>0</v>
          </cell>
        </row>
        <row r="149">
          <cell r="L149" t="str">
            <v>GAC</v>
          </cell>
          <cell r="O149">
            <v>466</v>
          </cell>
          <cell r="P149">
            <v>516</v>
          </cell>
          <cell r="Q149">
            <v>541</v>
          </cell>
          <cell r="S149" t="str">
            <v xml:space="preserve">GTE </v>
          </cell>
          <cell r="T149">
            <v>112</v>
          </cell>
          <cell r="U149" t="str">
            <v>- EBIT=100, DA=12</v>
          </cell>
          <cell r="AI149" t="str">
            <v>- Gulfstream sales a bit lighter than we'd guessed ($712MM vs. our $740MM est), but margins of 20.2% handily beat our 18.5% est.</v>
          </cell>
          <cell r="BO149" t="str">
            <v>GD Reported 1Q03</v>
          </cell>
          <cell r="BS149">
            <v>1.1080000000000001</v>
          </cell>
          <cell r="CD149" t="str">
            <v>* Numbers don't add due to rounding</v>
          </cell>
          <cell r="CY149" t="str">
            <v>GD Reported 1Q04</v>
          </cell>
          <cell r="DC149">
            <v>1.03</v>
          </cell>
        </row>
        <row r="150">
          <cell r="L150" t="str">
            <v>GD</v>
          </cell>
          <cell r="N150" t="str">
            <v>D&amp;A</v>
          </cell>
          <cell r="O150">
            <v>193</v>
          </cell>
          <cell r="P150">
            <v>226</v>
          </cell>
          <cell r="Q150">
            <v>264</v>
          </cell>
          <cell r="S150" t="str">
            <v>EBITDA</v>
          </cell>
          <cell r="T150">
            <v>1560</v>
          </cell>
          <cell r="AI150" t="str">
            <v>- Marine sales about in line, margins of 9.3% better than our 8.7% estimate</v>
          </cell>
          <cell r="AV150" t="str">
            <v>Reported 1Q Backlog</v>
          </cell>
          <cell r="AX150">
            <v>3640</v>
          </cell>
          <cell r="BE150" t="str">
            <v>Deliveries ($s)</v>
          </cell>
        </row>
        <row r="151">
          <cell r="L151" t="str">
            <v>GAC</v>
          </cell>
          <cell r="O151">
            <v>37</v>
          </cell>
          <cell r="P151">
            <v>40</v>
          </cell>
          <cell r="Q151">
            <v>40</v>
          </cell>
          <cell r="AI151" t="str">
            <v>- Combat sales up significantly mostly due to Primex acquisition, margins of 11% versus our 10.9%</v>
          </cell>
          <cell r="AV151" t="str">
            <v>YE00 minus 1Q sls</v>
          </cell>
          <cell r="AX151">
            <v>2783.5</v>
          </cell>
          <cell r="BE151" t="str">
            <v>GIVSP</v>
          </cell>
          <cell r="BF151">
            <v>224</v>
          </cell>
          <cell r="BG151">
            <v>8</v>
          </cell>
          <cell r="BI151">
            <v>28</v>
          </cell>
          <cell r="CD151" t="str">
            <v>Gulfstream 2Q03 Est Gross/Net Orders &amp;  Cancellations</v>
          </cell>
        </row>
        <row r="152">
          <cell r="L152" t="str">
            <v xml:space="preserve"> - total</v>
          </cell>
          <cell r="O152">
            <v>1321</v>
          </cell>
          <cell r="P152">
            <v>1448</v>
          </cell>
          <cell r="Q152">
            <v>1585</v>
          </cell>
          <cell r="S152" t="str">
            <v>Ent Val</v>
          </cell>
          <cell r="AI152" t="str">
            <v>- Info Sys &amp; Tech sales a bit light ($612MM vs. our $670MM est), margins a tad better (9.8% vs. 9.3% est)</v>
          </cell>
          <cell r="AV152" t="str">
            <v>Inferred New Orders</v>
          </cell>
          <cell r="AX152">
            <v>856.5</v>
          </cell>
          <cell r="BE152" t="str">
            <v xml:space="preserve">GV </v>
          </cell>
          <cell r="BF152">
            <v>245</v>
          </cell>
          <cell r="BG152">
            <v>7</v>
          </cell>
          <cell r="BI152">
            <v>35</v>
          </cell>
          <cell r="BP152" t="str">
            <v>Firm Backlog</v>
          </cell>
          <cell r="BW152" t="str">
            <v>Estimated GAC New Sales Breakdown</v>
          </cell>
        </row>
        <row r="153">
          <cell r="L153" t="str">
            <v>Ent Value</v>
          </cell>
          <cell r="S153" t="str">
            <v>Mkt cap</v>
          </cell>
          <cell r="T153">
            <v>0</v>
          </cell>
          <cell r="BE153" t="str">
            <v>G100</v>
          </cell>
          <cell r="BF153">
            <v>56</v>
          </cell>
          <cell r="BG153">
            <v>4</v>
          </cell>
          <cell r="BI153">
            <v>14</v>
          </cell>
          <cell r="BP153" t="str">
            <v>Calculation</v>
          </cell>
          <cell r="BQ153" t="str">
            <v>Comment</v>
          </cell>
          <cell r="BW153" t="str">
            <v>1Q03</v>
          </cell>
          <cell r="CE153" t="str">
            <v>$MMs</v>
          </cell>
          <cell r="CF153" t="str">
            <v>Comments</v>
          </cell>
        </row>
        <row r="154">
          <cell r="L154" t="str">
            <v>GD</v>
          </cell>
          <cell r="N154" t="str">
            <v>Net Debt</v>
          </cell>
          <cell r="O154">
            <v>-381.59249999999997</v>
          </cell>
          <cell r="P154">
            <v>-524.67250000000001</v>
          </cell>
          <cell r="Q154">
            <v>-766.17250000000001</v>
          </cell>
          <cell r="S154" t="str">
            <v>GD cash</v>
          </cell>
          <cell r="T154">
            <v>-524.67250000000001</v>
          </cell>
          <cell r="AI154" t="str">
            <v xml:space="preserve"> 2001-02 EPS May Have Slight Upside - More Following Conf. Call</v>
          </cell>
          <cell r="AV154" t="str">
            <v>Possible 1Q01 Orders ($s)</v>
          </cell>
          <cell r="AY154" t="str">
            <v>Units</v>
          </cell>
          <cell r="AZ154" t="str">
            <v>X</v>
          </cell>
          <cell r="BA154" t="str">
            <v>Avg. $MM</v>
          </cell>
          <cell r="BE154" t="str">
            <v>G200</v>
          </cell>
          <cell r="BF154">
            <v>152</v>
          </cell>
          <cell r="BG154">
            <v>8</v>
          </cell>
          <cell r="BI154">
            <v>19</v>
          </cell>
          <cell r="BO154" t="str">
            <v>2002YE--</v>
          </cell>
          <cell r="BP154">
            <v>4.4980000000000002</v>
          </cell>
          <cell r="BW154" t="str">
            <v>Completions</v>
          </cell>
          <cell r="BX154" t="str">
            <v>Sls</v>
          </cell>
          <cell r="CA154" t="str">
            <v>Total</v>
          </cell>
          <cell r="CD154" t="str">
            <v>1Q03 ending B-L</v>
          </cell>
          <cell r="CE154">
            <v>4280</v>
          </cell>
        </row>
        <row r="155">
          <cell r="L155" t="str">
            <v>GAC</v>
          </cell>
          <cell r="O155">
            <v>176</v>
          </cell>
          <cell r="P155">
            <v>-25</v>
          </cell>
          <cell r="Q155">
            <v>-260</v>
          </cell>
          <cell r="S155" t="str">
            <v>GAC cash</v>
          </cell>
          <cell r="T155">
            <v>-25</v>
          </cell>
          <cell r="AI155" t="str">
            <v>- Our 2001-02 EPS estimates are $4.48 &amp; $4.95, respectively</v>
          </cell>
          <cell r="AV155" t="str">
            <v>GIV-SP</v>
          </cell>
          <cell r="AX155">
            <v>311.3</v>
          </cell>
          <cell r="AY155">
            <v>11</v>
          </cell>
          <cell r="BA155">
            <v>28.3</v>
          </cell>
          <cell r="BE155" t="str">
            <v>Deliveries ($s)</v>
          </cell>
          <cell r="BF155">
            <v>469</v>
          </cell>
          <cell r="BG155">
            <v>27</v>
          </cell>
          <cell r="BO155" t="str">
            <v>Use of B/L--</v>
          </cell>
          <cell r="BP155">
            <v>-0.45200000000000001</v>
          </cell>
          <cell r="BQ155" t="str">
            <v>0.594 sls-0.04 usd sls-0.1 supprt</v>
          </cell>
          <cell r="BV155" t="str">
            <v>G100</v>
          </cell>
          <cell r="BW155">
            <v>1</v>
          </cell>
          <cell r="BX155">
            <v>3</v>
          </cell>
          <cell r="CD155" t="str">
            <v>2Q03 Sales</v>
          </cell>
          <cell r="CE155">
            <v>-566</v>
          </cell>
          <cell r="CF155" t="str">
            <v>- excludes $150MM used sls</v>
          </cell>
        </row>
        <row r="156">
          <cell r="L156" t="str">
            <v>GD</v>
          </cell>
          <cell r="N156" t="str">
            <v>Other assets</v>
          </cell>
          <cell r="O156">
            <v>-133.5</v>
          </cell>
          <cell r="P156">
            <v>0</v>
          </cell>
          <cell r="Q156">
            <v>0</v>
          </cell>
          <cell r="S156" t="str">
            <v>GTE cash</v>
          </cell>
          <cell r="T156">
            <v>-40</v>
          </cell>
          <cell r="AI156" t="str">
            <v>- Valuation rel to peers - 14.4X econ 2001 P/E vs. peer avg. 13.0X  reflects superior earnings track record and cash flow</v>
          </cell>
          <cell r="AV156" t="str">
            <v>GV</v>
          </cell>
          <cell r="AX156">
            <v>285.60000000000002</v>
          </cell>
          <cell r="AY156">
            <v>8</v>
          </cell>
          <cell r="BA156">
            <v>35.700000000000003</v>
          </cell>
          <cell r="BJ156" t="str">
            <v>Implied Backlog</v>
          </cell>
          <cell r="BP156">
            <v>4.0460000000000003</v>
          </cell>
          <cell r="BV156" t="str">
            <v>G150</v>
          </cell>
          <cell r="CD156" t="str">
            <v>Backlog minus Sls</v>
          </cell>
          <cell r="CE156">
            <v>3714</v>
          </cell>
        </row>
        <row r="157">
          <cell r="L157" t="str">
            <v>Equity Mkt. Cap Comb'd</v>
          </cell>
          <cell r="O157">
            <v>0</v>
          </cell>
          <cell r="P157">
            <v>0</v>
          </cell>
          <cell r="Q157">
            <v>0</v>
          </cell>
          <cell r="S157" t="str">
            <v>GTE debt</v>
          </cell>
          <cell r="T157">
            <v>1050</v>
          </cell>
          <cell r="AV157" t="str">
            <v>GVSP</v>
          </cell>
          <cell r="AX157">
            <v>243</v>
          </cell>
          <cell r="AY157">
            <v>6</v>
          </cell>
          <cell r="BA157">
            <v>40.5</v>
          </cell>
          <cell r="BE157" t="str">
            <v>Possible 1Q02 Orders ($s)</v>
          </cell>
          <cell r="BG157" t="str">
            <v>Units</v>
          </cell>
          <cell r="BH157" t="str">
            <v>X</v>
          </cell>
          <cell r="BI157" t="str">
            <v>Avg. $MM</v>
          </cell>
          <cell r="BJ157" t="str">
            <v>1Q02 (Units)</v>
          </cell>
          <cell r="BK157" t="str">
            <v>$MM</v>
          </cell>
          <cell r="BO157" t="str">
            <v>Cancls--</v>
          </cell>
          <cell r="BP157">
            <v>-0.23</v>
          </cell>
          <cell r="BQ157" t="str">
            <v>8 cancellations ~$240M</v>
          </cell>
          <cell r="BV157" t="str">
            <v>G200</v>
          </cell>
          <cell r="BW157">
            <v>2</v>
          </cell>
          <cell r="BX157">
            <v>6</v>
          </cell>
        </row>
        <row r="158">
          <cell r="L158" t="str">
            <v xml:space="preserve"> - total</v>
          </cell>
          <cell r="O158">
            <v>-339.09249999999997</v>
          </cell>
          <cell r="P158">
            <v>-549.67250000000001</v>
          </cell>
          <cell r="Q158">
            <v>-1026.1725000000001</v>
          </cell>
          <cell r="S158" t="str">
            <v>TEV</v>
          </cell>
          <cell r="T158">
            <v>460.32749999999999</v>
          </cell>
          <cell r="AI158" t="str">
            <v>Conference call at 11am -- 888-747-3510</v>
          </cell>
          <cell r="AV158" t="str">
            <v>Total</v>
          </cell>
          <cell r="AX158">
            <v>839.90000000000009</v>
          </cell>
          <cell r="AY158">
            <v>23</v>
          </cell>
          <cell r="BE158" t="str">
            <v>GIV-SP</v>
          </cell>
          <cell r="BF158">
            <v>150</v>
          </cell>
          <cell r="BG158">
            <v>5</v>
          </cell>
          <cell r="BI158">
            <v>30</v>
          </cell>
          <cell r="BJ158">
            <v>10</v>
          </cell>
          <cell r="BK158">
            <v>300</v>
          </cell>
          <cell r="BP158">
            <v>3.8160000000000003</v>
          </cell>
          <cell r="BV158" t="str">
            <v>G300</v>
          </cell>
          <cell r="CD158" t="str">
            <v>Reported 2Q03 B-L</v>
          </cell>
          <cell r="CE158">
            <v>4128</v>
          </cell>
        </row>
        <row r="159">
          <cell r="L159" t="str">
            <v>Stock Price</v>
          </cell>
          <cell r="P159">
            <v>0</v>
          </cell>
          <cell r="Q159">
            <v>0</v>
          </cell>
          <cell r="BE159" t="str">
            <v>GV</v>
          </cell>
          <cell r="BF159">
            <v>105</v>
          </cell>
          <cell r="BG159">
            <v>3</v>
          </cell>
          <cell r="BI159">
            <v>35</v>
          </cell>
          <cell r="BJ159">
            <v>6</v>
          </cell>
          <cell r="BK159">
            <v>210</v>
          </cell>
          <cell r="BP159">
            <v>0.46399999999999997</v>
          </cell>
          <cell r="BQ159" t="str">
            <v>Implied order value</v>
          </cell>
          <cell r="BV159" t="str">
            <v>G400</v>
          </cell>
          <cell r="BW159">
            <v>9</v>
          </cell>
          <cell r="BX159">
            <v>54</v>
          </cell>
          <cell r="CD159" t="str">
            <v>Net change to B-L</v>
          </cell>
          <cell r="CE159">
            <v>414</v>
          </cell>
        </row>
        <row r="160">
          <cell r="L160" t="str">
            <v>Ent Val/EBITDA</v>
          </cell>
          <cell r="O160">
            <v>-0.2566937925813777</v>
          </cell>
          <cell r="P160">
            <v>-0.37960808011049724</v>
          </cell>
          <cell r="Q160">
            <v>-0.64742744479495273</v>
          </cell>
          <cell r="S160" t="str">
            <v>TEV/EBITDA</v>
          </cell>
          <cell r="T160">
            <v>0.29508173076923078</v>
          </cell>
          <cell r="AO160" t="str">
            <v>Est. GD Core Businesses Revenue Mix ($MM)</v>
          </cell>
          <cell r="BE160" t="str">
            <v>GVSP</v>
          </cell>
          <cell r="BF160">
            <v>440</v>
          </cell>
          <cell r="BG160">
            <v>11</v>
          </cell>
          <cell r="BI160">
            <v>40</v>
          </cell>
          <cell r="BJ160">
            <v>62</v>
          </cell>
          <cell r="BK160">
            <v>2480</v>
          </cell>
          <cell r="BO160" t="str">
            <v>1Q03--</v>
          </cell>
          <cell r="BP160">
            <v>4.28</v>
          </cell>
          <cell r="BQ160">
            <v>0.21799999999999997</v>
          </cell>
          <cell r="BV160" t="str">
            <v>G500/550</v>
          </cell>
          <cell r="BW160">
            <v>5</v>
          </cell>
          <cell r="BX160">
            <v>30</v>
          </cell>
          <cell r="CD160" t="str">
            <v>Est. cancels</v>
          </cell>
          <cell r="CE160">
            <v>-30</v>
          </cell>
          <cell r="CF160" t="str">
            <v>-assumes 1 large cabin</v>
          </cell>
        </row>
        <row r="161">
          <cell r="L161" t="str">
            <v>Economic" P/E</v>
          </cell>
          <cell r="O161">
            <v>0</v>
          </cell>
          <cell r="P161">
            <v>-0.16247596329381983</v>
          </cell>
          <cell r="Q161">
            <v>-0.14692229740773433</v>
          </cell>
          <cell r="BE161" t="str">
            <v>G100</v>
          </cell>
          <cell r="BF161">
            <v>56</v>
          </cell>
          <cell r="BG161">
            <v>4</v>
          </cell>
          <cell r="BI161">
            <v>14</v>
          </cell>
          <cell r="BJ161">
            <v>2</v>
          </cell>
          <cell r="BK161">
            <v>28</v>
          </cell>
          <cell r="BO161" t="str">
            <v>Book: Bill</v>
          </cell>
          <cell r="BP161">
            <v>1.0265486725663715</v>
          </cell>
          <cell r="BV161" t="str">
            <v>Service/Support</v>
          </cell>
          <cell r="CD161" t="str">
            <v>Implied Orders</v>
          </cell>
          <cell r="CE161">
            <v>444</v>
          </cell>
        </row>
        <row r="162">
          <cell r="L162" t="str">
            <v>Pr/Sls</v>
          </cell>
          <cell r="O162">
            <v>-4.1102121212121208E-2</v>
          </cell>
          <cell r="P162">
            <v>-6.2498294485503127E-2</v>
          </cell>
          <cell r="Q162">
            <v>-0.10905127523910735</v>
          </cell>
          <cell r="AN162" t="str">
            <v>Revenues</v>
          </cell>
          <cell r="AP162" t="str">
            <v>% Change Revenues</v>
          </cell>
          <cell r="AS162" t="str">
            <v>Est. Op Mgn (post GW amort)</v>
          </cell>
          <cell r="BE162" t="str">
            <v>G200</v>
          </cell>
          <cell r="BF162">
            <v>228</v>
          </cell>
          <cell r="BG162">
            <v>12</v>
          </cell>
          <cell r="BI162">
            <v>19</v>
          </cell>
          <cell r="BJ162">
            <v>59</v>
          </cell>
          <cell r="BK162">
            <v>1121</v>
          </cell>
          <cell r="BV162" t="str">
            <v>Total</v>
          </cell>
          <cell r="BW162">
            <v>17</v>
          </cell>
          <cell r="BX162">
            <v>93</v>
          </cell>
          <cell r="CA162">
            <v>93</v>
          </cell>
          <cell r="CD162" t="str">
            <v>Est Book:Bill</v>
          </cell>
          <cell r="CE162">
            <v>0.78445229681978801</v>
          </cell>
        </row>
        <row r="163">
          <cell r="L163" t="str">
            <v>P/E</v>
          </cell>
          <cell r="O163">
            <v>0</v>
          </cell>
          <cell r="P163">
            <v>0</v>
          </cell>
          <cell r="Q163">
            <v>0</v>
          </cell>
          <cell r="V163" t="str">
            <v>GM Defense Acquisition</v>
          </cell>
          <cell r="AL163" t="str">
            <v>Marine</v>
          </cell>
          <cell r="AM163">
            <v>1997</v>
          </cell>
          <cell r="AN163">
            <v>1998</v>
          </cell>
          <cell r="AO163">
            <v>1999</v>
          </cell>
          <cell r="AP163">
            <v>1997</v>
          </cell>
          <cell r="AQ163">
            <v>1998</v>
          </cell>
          <cell r="AR163">
            <v>1999</v>
          </cell>
          <cell r="AS163">
            <v>1997</v>
          </cell>
          <cell r="AT163">
            <v>1998</v>
          </cell>
          <cell r="AU163">
            <v>1999</v>
          </cell>
          <cell r="BE163" t="str">
            <v>Total</v>
          </cell>
          <cell r="BF163">
            <v>979</v>
          </cell>
          <cell r="BG163">
            <v>35</v>
          </cell>
          <cell r="BJ163">
            <v>139</v>
          </cell>
          <cell r="BK163">
            <v>4139</v>
          </cell>
        </row>
        <row r="164">
          <cell r="Y164" t="str">
            <v>2002Sales=965MM*</v>
          </cell>
          <cell r="Z164" t="str">
            <v>2002BL=1.5B</v>
          </cell>
          <cell r="AL164" t="str">
            <v>Electric Boat</v>
          </cell>
          <cell r="AM164">
            <v>1306</v>
          </cell>
          <cell r="AN164">
            <v>1540</v>
          </cell>
          <cell r="AO164" t="e">
            <v>#REF!</v>
          </cell>
          <cell r="AP164">
            <v>-9.4313453536754466E-2</v>
          </cell>
          <cell r="AQ164">
            <v>0.17917304747320051</v>
          </cell>
          <cell r="AR164" t="e">
            <v>#REF!</v>
          </cell>
          <cell r="AS164">
            <v>0.11715160796324656</v>
          </cell>
          <cell r="AT164">
            <v>0.12298701298701299</v>
          </cell>
          <cell r="AU164" t="e">
            <v>#REF!</v>
          </cell>
          <cell r="BE164" t="str">
            <v>Implied Svc/Completions</v>
          </cell>
          <cell r="BK164">
            <v>361</v>
          </cell>
          <cell r="CD164" t="str">
            <v>Possible 2Q03 aircraft orders</v>
          </cell>
        </row>
        <row r="165">
          <cell r="V165" t="str">
            <v>Product</v>
          </cell>
          <cell r="W165" t="str">
            <v>Location</v>
          </cell>
          <cell r="X165" t="str">
            <v>Install Base</v>
          </cell>
          <cell r="Y165" t="str">
            <v>% Sales</v>
          </cell>
          <cell r="Z165" t="str">
            <v>% Backlog</v>
          </cell>
          <cell r="AA165" t="str">
            <v>Comments</v>
          </cell>
          <cell r="AL165" t="str">
            <v>Bath</v>
          </cell>
          <cell r="AM165">
            <v>840</v>
          </cell>
          <cell r="AN165">
            <v>925</v>
          </cell>
          <cell r="AO165" t="e">
            <v>#REF!</v>
          </cell>
          <cell r="AP165" t="str">
            <v>NMF</v>
          </cell>
          <cell r="AQ165">
            <v>0.10119047619047628</v>
          </cell>
          <cell r="AR165" t="e">
            <v>#REF!</v>
          </cell>
          <cell r="AS165">
            <v>5.9523809523809521E-2</v>
          </cell>
          <cell r="AT165">
            <v>7.2432432432432428E-2</v>
          </cell>
          <cell r="AU165" t="e">
            <v>#REF!</v>
          </cell>
          <cell r="BE165" t="str">
            <v>Reported B-L</v>
          </cell>
          <cell r="BK165">
            <v>4500</v>
          </cell>
          <cell r="CF165" t="str">
            <v>Prix/plane</v>
          </cell>
        </row>
        <row r="166">
          <cell r="L166" t="str">
            <v>GD 1Q04 Actual vs. Expected</v>
          </cell>
          <cell r="V166" t="str">
            <v>Piranha</v>
          </cell>
          <cell r="W166" t="str">
            <v>Switzerland</v>
          </cell>
          <cell r="X166" t="str">
            <v>1800+</v>
          </cell>
          <cell r="Y166" t="str">
            <v>under 1/3</v>
          </cell>
          <cell r="Z166" t="str">
            <v>under 1/3</v>
          </cell>
          <cell r="AA166" t="str">
            <v>smallest of the three products, fewer opportunities</v>
          </cell>
          <cell r="AL166" t="str">
            <v>Lucent</v>
          </cell>
          <cell r="AM166">
            <v>70</v>
          </cell>
          <cell r="AN166">
            <v>0</v>
          </cell>
          <cell r="AO166" t="e">
            <v>#REF!</v>
          </cell>
          <cell r="AP166" t="str">
            <v>NMF</v>
          </cell>
          <cell r="AQ166">
            <v>5.7692307692307709E-2</v>
          </cell>
          <cell r="AS166">
            <v>0.05</v>
          </cell>
          <cell r="AT166">
            <v>0</v>
          </cell>
          <cell r="AU166" t="e">
            <v>#REF!</v>
          </cell>
          <cell r="BV166" t="str">
            <v>Gulfstream 1Q03 Estimated Gross/Net Orders &amp;  Cancellations</v>
          </cell>
          <cell r="CE166" t="str">
            <v># A/C</v>
          </cell>
          <cell r="CF166" t="str">
            <v>($MM)</v>
          </cell>
          <cell r="CG166" t="str">
            <v>Implied Order</v>
          </cell>
        </row>
        <row r="167">
          <cell r="V167" t="str">
            <v>LAV</v>
          </cell>
          <cell r="W167" t="str">
            <v>Canada</v>
          </cell>
          <cell r="X167" t="str">
            <v>3000+</v>
          </cell>
          <cell r="Y167" t="str">
            <v>over 1/3</v>
          </cell>
          <cell r="Z167" t="str">
            <v>over 1/3</v>
          </cell>
          <cell r="AA167" t="str">
            <v>good opportunites ongoing sales growth</v>
          </cell>
          <cell r="AL167" t="str">
            <v>Amsea</v>
          </cell>
          <cell r="AM167">
            <v>95</v>
          </cell>
          <cell r="AN167">
            <v>95</v>
          </cell>
          <cell r="AO167" t="e">
            <v>#REF!</v>
          </cell>
          <cell r="AP167">
            <v>5.555555555555558E-2</v>
          </cell>
          <cell r="AQ167">
            <v>0</v>
          </cell>
          <cell r="AR167" t="e">
            <v>#REF!</v>
          </cell>
          <cell r="AS167">
            <v>0.30526315789473685</v>
          </cell>
          <cell r="AT167">
            <v>0.23157894736842105</v>
          </cell>
          <cell r="AU167" t="e">
            <v>#REF!</v>
          </cell>
          <cell r="CD167" t="str">
            <v>Lg cabin (G300/400/500/550)</v>
          </cell>
          <cell r="CE167">
            <v>9</v>
          </cell>
          <cell r="CF167">
            <v>40</v>
          </cell>
          <cell r="CG167">
            <v>360</v>
          </cell>
        </row>
        <row r="168">
          <cell r="L168" t="str">
            <v>($USD in Millions)</v>
          </cell>
          <cell r="M168" t="str">
            <v>1Q04A</v>
          </cell>
          <cell r="N168" t="str">
            <v>1Q04E</v>
          </cell>
          <cell r="O168" t="str">
            <v>1Q03A</v>
          </cell>
          <cell r="P168" t="str">
            <v>Change</v>
          </cell>
          <cell r="V168" t="str">
            <v>Stryker</v>
          </cell>
          <cell r="W168" t="str">
            <v>Canada</v>
          </cell>
          <cell r="X168" t="str">
            <v>350+</v>
          </cell>
          <cell r="Y168" t="str">
            <v>1/3</v>
          </cell>
          <cell r="Z168" t="str">
            <v>1/3</v>
          </cell>
          <cell r="AA168" t="str">
            <v>1st-4th Brigades appear to be in hand</v>
          </cell>
          <cell r="AL168" t="str">
            <v>- subtotal</v>
          </cell>
          <cell r="AM168">
            <v>2311</v>
          </cell>
          <cell r="AN168">
            <v>2666</v>
          </cell>
          <cell r="AO168" t="e">
            <v>#REF!</v>
          </cell>
          <cell r="AP168">
            <v>-9.0051457975985905E-3</v>
          </cell>
          <cell r="AQ168">
            <v>0.15361315447858059</v>
          </cell>
          <cell r="AR168" t="e">
            <v>#REF!</v>
          </cell>
          <cell r="AS168">
            <v>0.10125486802250108</v>
          </cell>
          <cell r="AT168">
            <v>0.10705176294073518</v>
          </cell>
          <cell r="AU168" t="e">
            <v>#REF!</v>
          </cell>
          <cell r="BX168" t="str">
            <v>$MMs</v>
          </cell>
          <cell r="BY168" t="str">
            <v>Comments</v>
          </cell>
          <cell r="CD168" t="str">
            <v>Mid size (G100/150/200)</v>
          </cell>
          <cell r="CE168">
            <v>4</v>
          </cell>
          <cell r="CF168">
            <v>20</v>
          </cell>
          <cell r="CG168">
            <v>80</v>
          </cell>
        </row>
        <row r="169">
          <cell r="L169" t="str">
            <v>Revenues</v>
          </cell>
          <cell r="P169" t="str">
            <v>YoY</v>
          </cell>
          <cell r="Q169" t="str">
            <v>%</v>
          </cell>
          <cell r="R169" t="str">
            <v>Comments</v>
          </cell>
          <cell r="V169" t="str">
            <v>Turrets</v>
          </cell>
          <cell r="AA169" t="str">
            <v>Engineering business complements GD ongoing work</v>
          </cell>
          <cell r="AL169" t="str">
            <v>Combat Sys</v>
          </cell>
          <cell r="BV169" t="str">
            <v>YE02 ending B-L</v>
          </cell>
          <cell r="BX169">
            <v>4498</v>
          </cell>
          <cell r="CD169" t="str">
            <v>Total</v>
          </cell>
          <cell r="CE169">
            <v>13</v>
          </cell>
          <cell r="CG169">
            <v>440</v>
          </cell>
        </row>
        <row r="170">
          <cell r="L170" t="str">
            <v>Marine Group</v>
          </cell>
          <cell r="M170">
            <v>1280</v>
          </cell>
          <cell r="N170">
            <v>1030</v>
          </cell>
          <cell r="O170">
            <v>976</v>
          </cell>
          <cell r="P170">
            <v>304</v>
          </cell>
          <cell r="Q170">
            <v>0.31147540983606548</v>
          </cell>
          <cell r="V170" t="str">
            <v>*Includes about 100MM in aftermarket split between Piranha and LAV along lines of installed base</v>
          </cell>
          <cell r="AL170" t="str">
            <v>Land Systems</v>
          </cell>
          <cell r="AM170">
            <v>975</v>
          </cell>
          <cell r="AN170">
            <v>975</v>
          </cell>
          <cell r="AO170">
            <v>940</v>
          </cell>
          <cell r="AP170">
            <v>-4.8780487804878092E-2</v>
          </cell>
          <cell r="AQ170">
            <v>0</v>
          </cell>
          <cell r="AR170">
            <v>-3.5897435897435881E-2</v>
          </cell>
          <cell r="AS170">
            <v>0.14153846153846153</v>
          </cell>
          <cell r="AT170">
            <v>0.13948717948717948</v>
          </cell>
          <cell r="AU170">
            <v>0.14361702127659576</v>
          </cell>
          <cell r="BV170" t="str">
            <v>1Q03 Sales</v>
          </cell>
          <cell r="BX170">
            <v>-452</v>
          </cell>
          <cell r="BY170" t="str">
            <v>- doesn't include svc/support/used sls</v>
          </cell>
        </row>
        <row r="171">
          <cell r="L171" t="str">
            <v>Combat Sys</v>
          </cell>
          <cell r="M171">
            <v>1070</v>
          </cell>
          <cell r="N171">
            <v>1100</v>
          </cell>
          <cell r="O171">
            <v>783</v>
          </cell>
          <cell r="P171">
            <v>287</v>
          </cell>
          <cell r="Q171">
            <v>0.36653895274584936</v>
          </cell>
          <cell r="AL171" t="str">
            <v>CDI</v>
          </cell>
          <cell r="AN171">
            <v>933</v>
          </cell>
          <cell r="AO171">
            <v>1422</v>
          </cell>
          <cell r="AQ171" t="str">
            <v>NMF</v>
          </cell>
          <cell r="AR171">
            <v>0.52411575562700974</v>
          </cell>
          <cell r="AT171">
            <v>7.3954983922829579E-2</v>
          </cell>
          <cell r="AU171">
            <v>8.9310829817158932E-2</v>
          </cell>
          <cell r="BV171" t="str">
            <v>Backlog minus Sls</v>
          </cell>
          <cell r="BX171">
            <v>4046</v>
          </cell>
        </row>
        <row r="172">
          <cell r="L172" t="str">
            <v>Info Sys &amp; Tech</v>
          </cell>
          <cell r="M172">
            <v>1643</v>
          </cell>
          <cell r="N172">
            <v>1425</v>
          </cell>
          <cell r="O172">
            <v>993</v>
          </cell>
          <cell r="P172">
            <v>650</v>
          </cell>
          <cell r="Q172">
            <v>0.65458207452165151</v>
          </cell>
          <cell r="AL172" t="str">
            <v>Def/Arm Sys</v>
          </cell>
          <cell r="AM172">
            <v>534</v>
          </cell>
          <cell r="AN172">
            <v>295</v>
          </cell>
          <cell r="AO172">
            <v>360</v>
          </cell>
          <cell r="AP172" t="str">
            <v>NMF</v>
          </cell>
          <cell r="AQ172">
            <v>-0.44756554307116103</v>
          </cell>
          <cell r="AR172">
            <v>0.22033898305084754</v>
          </cell>
          <cell r="AS172">
            <v>9.1760299625468167E-2</v>
          </cell>
          <cell r="AT172">
            <v>9.8305084745762716E-2</v>
          </cell>
          <cell r="AU172">
            <v>0.10277777777777777</v>
          </cell>
        </row>
        <row r="173">
          <cell r="L173" t="str">
            <v xml:space="preserve">Aerospace </v>
          </cell>
          <cell r="M173">
            <v>606</v>
          </cell>
          <cell r="N173">
            <v>625</v>
          </cell>
          <cell r="O173">
            <v>594</v>
          </cell>
          <cell r="P173">
            <v>12</v>
          </cell>
          <cell r="Q173">
            <v>2.020202020202011E-2</v>
          </cell>
          <cell r="AL173" t="str">
            <v>- subtotal</v>
          </cell>
          <cell r="AM173">
            <v>1509</v>
          </cell>
          <cell r="AN173">
            <v>2203</v>
          </cell>
          <cell r="AO173">
            <v>2722</v>
          </cell>
          <cell r="AP173" t="str">
            <v>NMF</v>
          </cell>
          <cell r="AQ173" t="str">
            <v>NMF</v>
          </cell>
          <cell r="AR173">
            <v>0.23558783477076717</v>
          </cell>
          <cell r="AS173">
            <v>0.12392312789927104</v>
          </cell>
          <cell r="AT173">
            <v>0.12992125984251968</v>
          </cell>
          <cell r="AU173">
            <v>0.13230769230769232</v>
          </cell>
          <cell r="BE173" t="str">
            <v>1Q03</v>
          </cell>
          <cell r="BF173" t="str">
            <v>2Q03</v>
          </cell>
          <cell r="BG173" t="str">
            <v>3Q03</v>
          </cell>
          <cell r="BH173" t="str">
            <v>4Q03</v>
          </cell>
          <cell r="BI173" t="str">
            <v>1Q04</v>
          </cell>
          <cell r="BJ173" t="str">
            <v>2Q04</v>
          </cell>
          <cell r="BK173" t="str">
            <v>3Q04</v>
          </cell>
          <cell r="BL173" t="str">
            <v>4Q04</v>
          </cell>
          <cell r="BM173" t="str">
            <v>1Q05</v>
          </cell>
          <cell r="BN173" t="str">
            <v>2Q05</v>
          </cell>
          <cell r="BO173" t="str">
            <v>3Q05</v>
          </cell>
          <cell r="BP173" t="str">
            <v>4Q05</v>
          </cell>
          <cell r="BQ173" t="str">
            <v>1Q06</v>
          </cell>
          <cell r="BR173" t="str">
            <v>2Q06</v>
          </cell>
          <cell r="BS173" t="str">
            <v>3Q06</v>
          </cell>
          <cell r="BT173" t="str">
            <v>4Q06</v>
          </cell>
          <cell r="BV173" t="str">
            <v>Implied Orders</v>
          </cell>
          <cell r="BX173">
            <v>464</v>
          </cell>
          <cell r="BY173" t="str">
            <v>- Israeli govt=$437 (inc opns)</v>
          </cell>
          <cell r="CD173" t="str">
            <v>GD 2Q03 Actual vs. Expectations</v>
          </cell>
        </row>
        <row r="174">
          <cell r="L174" t="str">
            <v>Other</v>
          </cell>
          <cell r="M174">
            <v>47</v>
          </cell>
          <cell r="N174">
            <v>45</v>
          </cell>
          <cell r="O174">
            <v>41</v>
          </cell>
          <cell r="P174">
            <v>6</v>
          </cell>
          <cell r="Q174">
            <v>0.14634146341463405</v>
          </cell>
          <cell r="AL174" t="str">
            <v>Total</v>
          </cell>
          <cell r="AM174">
            <v>3820</v>
          </cell>
          <cell r="AN174">
            <v>4869</v>
          </cell>
          <cell r="AO174" t="e">
            <v>#REF!</v>
          </cell>
          <cell r="AP174">
            <v>-0.12600536193029488</v>
          </cell>
          <cell r="AQ174">
            <v>0.2746073298429319</v>
          </cell>
          <cell r="AR174" t="e">
            <v>#REF!</v>
          </cell>
          <cell r="AT174">
            <v>0.10675425990556354</v>
          </cell>
          <cell r="AU174">
            <v>0.10517241379310345</v>
          </cell>
          <cell r="BD174" t="str">
            <v>Debt</v>
          </cell>
          <cell r="BE174">
            <v>3100</v>
          </cell>
          <cell r="BF174">
            <v>3084</v>
          </cell>
          <cell r="BG174">
            <v>4544</v>
          </cell>
          <cell r="BH174">
            <v>4043</v>
          </cell>
          <cell r="BI174">
            <v>3858</v>
          </cell>
          <cell r="BJ174">
            <v>3816</v>
          </cell>
          <cell r="BK174">
            <v>3687</v>
          </cell>
          <cell r="BL174">
            <v>3297</v>
          </cell>
          <cell r="BM174">
            <v>3297</v>
          </cell>
          <cell r="BN174">
            <v>3298</v>
          </cell>
          <cell r="BO174">
            <v>3297</v>
          </cell>
          <cell r="BP174">
            <v>3291</v>
          </cell>
          <cell r="BQ174">
            <v>3285</v>
          </cell>
          <cell r="BR174">
            <v>3649</v>
          </cell>
          <cell r="BS174">
            <v>3107</v>
          </cell>
          <cell r="BT174">
            <v>2781</v>
          </cell>
          <cell r="BV174" t="str">
            <v>Implied Cancels</v>
          </cell>
          <cell r="BX174">
            <v>-230</v>
          </cell>
          <cell r="BY174" t="str">
            <v>-assumes 4 550s, 3 G200, 1 G400</v>
          </cell>
          <cell r="CE174" t="str">
            <v>Actual</v>
          </cell>
          <cell r="CG174" t="str">
            <v>Estimate</v>
          </cell>
          <cell r="CI174" t="str">
            <v>Net Effect</v>
          </cell>
        </row>
        <row r="175">
          <cell r="L175" t="str">
            <v xml:space="preserve"> Total Revs.</v>
          </cell>
          <cell r="M175">
            <v>4646</v>
          </cell>
          <cell r="N175">
            <v>4225</v>
          </cell>
          <cell r="O175">
            <v>3387</v>
          </cell>
          <cell r="P175">
            <v>1259</v>
          </cell>
          <cell r="Q175">
            <v>0.37171538234425738</v>
          </cell>
          <cell r="S175" t="str">
            <v>1Q04 Est Organic Revenue Growth* for Combat Systems and IS&amp;T</v>
          </cell>
          <cell r="Y175" t="str">
            <v>2003 Est Organic Revenue Growth* for Combat Systems and IS&amp;T</v>
          </cell>
          <cell r="AE175" t="str">
            <v>4Q03 Est Organic Revenue Growth* for Combat Systems and IS&amp;T</v>
          </cell>
          <cell r="BD175" t="str">
            <v>Cash</v>
          </cell>
          <cell r="BE175">
            <v>748</v>
          </cell>
          <cell r="BF175">
            <v>811</v>
          </cell>
          <cell r="BG175">
            <v>697</v>
          </cell>
          <cell r="BH175">
            <v>861</v>
          </cell>
          <cell r="BI175">
            <v>869</v>
          </cell>
          <cell r="BJ175">
            <v>1100</v>
          </cell>
          <cell r="BK175">
            <v>686</v>
          </cell>
          <cell r="BL175">
            <v>976</v>
          </cell>
          <cell r="BM175">
            <v>1511</v>
          </cell>
          <cell r="BN175">
            <v>1438</v>
          </cell>
          <cell r="BO175">
            <v>1754</v>
          </cell>
          <cell r="BP175">
            <v>2331</v>
          </cell>
          <cell r="BQ175">
            <v>2599</v>
          </cell>
          <cell r="BR175">
            <v>1399</v>
          </cell>
          <cell r="BS175">
            <v>963</v>
          </cell>
          <cell r="BT175">
            <v>1604</v>
          </cell>
          <cell r="BV175" t="str">
            <v>Net change to B-L</v>
          </cell>
          <cell r="BX175">
            <v>234</v>
          </cell>
          <cell r="CE175" t="str">
            <v>Reveue</v>
          </cell>
          <cell r="CF175" t="str">
            <v>Op Prof</v>
          </cell>
          <cell r="CG175" t="str">
            <v>Reveue</v>
          </cell>
          <cell r="CH175" t="str">
            <v>Op Prof</v>
          </cell>
          <cell r="CI175" t="str">
            <v>to EPS</v>
          </cell>
        </row>
        <row r="176">
          <cell r="L176" t="str">
            <v>Operating Profit</v>
          </cell>
          <cell r="T176" t="str">
            <v>Combat</v>
          </cell>
          <cell r="U176" t="str">
            <v>Property (closed)</v>
          </cell>
          <cell r="V176" t="str">
            <v>IS&amp;T</v>
          </cell>
          <cell r="W176" t="str">
            <v>Property (closed)</v>
          </cell>
          <cell r="Z176" t="str">
            <v>Combat</v>
          </cell>
          <cell r="AA176" t="str">
            <v>Property (closed)</v>
          </cell>
          <cell r="AB176" t="str">
            <v>IS&amp;T</v>
          </cell>
          <cell r="AC176" t="str">
            <v>Property (closed)</v>
          </cell>
          <cell r="AF176" t="str">
            <v>Combat</v>
          </cell>
          <cell r="AG176" t="str">
            <v>Property (closed)</v>
          </cell>
          <cell r="AH176" t="str">
            <v>IS&amp;T</v>
          </cell>
          <cell r="AI176" t="str">
            <v>Property (closed)</v>
          </cell>
          <cell r="AU176" t="str">
            <v>Est. GD "Core" Business Revenue Mix ($MM)</v>
          </cell>
          <cell r="BD176" t="str">
            <v>Equity</v>
          </cell>
          <cell r="BE176">
            <v>5108</v>
          </cell>
          <cell r="BF176">
            <v>5407</v>
          </cell>
          <cell r="BG176">
            <v>5586</v>
          </cell>
          <cell r="BH176">
            <v>5921</v>
          </cell>
          <cell r="BI176">
            <v>6217</v>
          </cell>
          <cell r="BJ176">
            <v>6458</v>
          </cell>
          <cell r="BK176">
            <v>6777</v>
          </cell>
          <cell r="BL176">
            <v>7189</v>
          </cell>
          <cell r="BM176">
            <v>7396</v>
          </cell>
          <cell r="BN176">
            <v>7576</v>
          </cell>
          <cell r="BO176">
            <v>7973</v>
          </cell>
          <cell r="BP176">
            <v>8145</v>
          </cell>
          <cell r="BQ176">
            <v>8467</v>
          </cell>
          <cell r="BR176">
            <v>9081</v>
          </cell>
          <cell r="BS176">
            <v>9472</v>
          </cell>
          <cell r="BT176">
            <v>9827</v>
          </cell>
          <cell r="CD176" t="str">
            <v>Marine</v>
          </cell>
          <cell r="CE176">
            <v>983</v>
          </cell>
          <cell r="CF176">
            <v>64</v>
          </cell>
          <cell r="CG176">
            <v>980</v>
          </cell>
          <cell r="CH176">
            <v>80</v>
          </cell>
          <cell r="CI176">
            <v>-5.3999999999999999E-2</v>
          </cell>
        </row>
        <row r="177">
          <cell r="L177" t="str">
            <v>Marine Group</v>
          </cell>
          <cell r="M177">
            <v>98</v>
          </cell>
          <cell r="N177">
            <v>67</v>
          </cell>
          <cell r="O177">
            <v>65</v>
          </cell>
          <cell r="P177">
            <v>33</v>
          </cell>
          <cell r="Q177">
            <v>0.50769230769230766</v>
          </cell>
          <cell r="S177" t="str">
            <v>1Q03A</v>
          </cell>
          <cell r="T177">
            <v>783</v>
          </cell>
          <cell r="V177">
            <v>993</v>
          </cell>
          <cell r="Y177">
            <v>2002</v>
          </cell>
          <cell r="Z177">
            <v>2786</v>
          </cell>
          <cell r="AB177">
            <v>3669</v>
          </cell>
          <cell r="AE177" t="str">
            <v>4Q02</v>
          </cell>
          <cell r="AF177">
            <v>819</v>
          </cell>
          <cell r="AH177">
            <v>981</v>
          </cell>
          <cell r="BD177" t="str">
            <v>Net Debt/Cap</v>
          </cell>
          <cell r="BE177">
            <v>0.31528150134048255</v>
          </cell>
          <cell r="BF177">
            <v>0.29596354166666666</v>
          </cell>
          <cell r="BG177">
            <v>0.40782359800699669</v>
          </cell>
          <cell r="BH177">
            <v>0.34955509172800175</v>
          </cell>
          <cell r="BI177">
            <v>0.32467955681077559</v>
          </cell>
          <cell r="BJ177">
            <v>0.29605406583823851</v>
          </cell>
          <cell r="BK177">
            <v>0.30691347923910822</v>
          </cell>
          <cell r="BL177">
            <v>0.24405888538380652</v>
          </cell>
          <cell r="BM177">
            <v>0.19451099978218253</v>
          </cell>
          <cell r="BN177">
            <v>0.19711742263671048</v>
          </cell>
          <cell r="BO177">
            <v>0.16214796132828921</v>
          </cell>
          <cell r="BP177">
            <v>0.10543657331136738</v>
          </cell>
          <cell r="BQ177">
            <v>7.4948104446629527E-2</v>
          </cell>
          <cell r="BR177">
            <v>0.19857029388403494</v>
          </cell>
          <cell r="BS177">
            <v>0.18457300275482094</v>
          </cell>
          <cell r="BT177">
            <v>0.1069611050527081</v>
          </cell>
          <cell r="BV177" t="str">
            <v>Reported 1Q03 B-L</v>
          </cell>
          <cell r="BX177">
            <v>4280</v>
          </cell>
          <cell r="CD177" t="str">
            <v>Aerospace</v>
          </cell>
          <cell r="CE177">
            <v>715</v>
          </cell>
          <cell r="CF177">
            <v>45</v>
          </cell>
          <cell r="CG177">
            <v>725</v>
          </cell>
          <cell r="CH177">
            <v>65</v>
          </cell>
          <cell r="CI177">
            <v>-6.4000000000000001E-2</v>
          </cell>
        </row>
        <row r="178">
          <cell r="L178" t="str">
            <v>Combat Sys</v>
          </cell>
          <cell r="M178">
            <v>112</v>
          </cell>
          <cell r="N178">
            <v>112</v>
          </cell>
          <cell r="O178">
            <v>88</v>
          </cell>
          <cell r="P178">
            <v>24</v>
          </cell>
          <cell r="Q178">
            <v>0.27272727272727271</v>
          </cell>
          <cell r="T178">
            <v>-80</v>
          </cell>
          <cell r="U178" t="str">
            <v>GM Def (3/03)</v>
          </cell>
          <cell r="Z178">
            <v>-127.29166666666666</v>
          </cell>
          <cell r="AA178" t="str">
            <v>ATP (6/02)</v>
          </cell>
          <cell r="AB178">
            <v>-15</v>
          </cell>
          <cell r="AC178" t="str">
            <v>CSI (8/02)</v>
          </cell>
          <cell r="AF178">
            <v>-6.6666666666666661</v>
          </cell>
          <cell r="AG178" t="str">
            <v>EWK (10/02)</v>
          </cell>
          <cell r="AU178" t="str">
            <v>Mature Progs</v>
          </cell>
          <cell r="AV178" t="str">
            <v>1995</v>
          </cell>
          <cell r="AW178" t="str">
            <v>1996</v>
          </cell>
          <cell r="AX178" t="str">
            <v>1997</v>
          </cell>
          <cell r="AY178" t="str">
            <v>1998</v>
          </cell>
          <cell r="AZ178" t="str">
            <v>1999</v>
          </cell>
          <cell r="BA178" t="str">
            <v>2000</v>
          </cell>
          <cell r="BV178" t="str">
            <v>Est Book: Bill</v>
          </cell>
          <cell r="BX178">
            <v>-1.0265486725663717</v>
          </cell>
          <cell r="CD178" t="str">
            <v>Combat systems</v>
          </cell>
          <cell r="CE178">
            <v>1016</v>
          </cell>
          <cell r="CF178">
            <v>119</v>
          </cell>
          <cell r="CG178">
            <v>1040</v>
          </cell>
          <cell r="CH178">
            <v>110</v>
          </cell>
          <cell r="CI178">
            <v>2.5000000000000001E-2</v>
          </cell>
        </row>
        <row r="179">
          <cell r="L179" t="str">
            <v>Info Sys &amp; Tech</v>
          </cell>
          <cell r="M179">
            <v>169</v>
          </cell>
          <cell r="N179">
            <v>145</v>
          </cell>
          <cell r="O179">
            <v>111</v>
          </cell>
          <cell r="P179">
            <v>58</v>
          </cell>
          <cell r="Q179">
            <v>0.52252252252252251</v>
          </cell>
          <cell r="S179" t="str">
            <v>1Q03 Adj</v>
          </cell>
          <cell r="T179">
            <v>703</v>
          </cell>
          <cell r="V179">
            <v>993</v>
          </cell>
          <cell r="Z179">
            <v>-6.6666666666666661</v>
          </cell>
          <cell r="AA179" t="str">
            <v>EWK (10/02)</v>
          </cell>
          <cell r="AU179" t="str">
            <v>Trident</v>
          </cell>
          <cell r="AV179">
            <v>410</v>
          </cell>
          <cell r="AW179">
            <v>325</v>
          </cell>
          <cell r="AX179">
            <v>100</v>
          </cell>
          <cell r="AY179">
            <v>60</v>
          </cell>
          <cell r="AZ179" t="e">
            <v>#REF!</v>
          </cell>
          <cell r="BA179">
            <v>15</v>
          </cell>
          <cell r="CD179" t="str">
            <v>IST</v>
          </cell>
          <cell r="CE179">
            <v>1152</v>
          </cell>
          <cell r="CF179">
            <v>141</v>
          </cell>
          <cell r="CG179">
            <v>1010</v>
          </cell>
          <cell r="CH179">
            <v>110</v>
          </cell>
          <cell r="CI179">
            <v>0.11</v>
          </cell>
        </row>
        <row r="180">
          <cell r="L180" t="str">
            <v xml:space="preserve">Aerospace </v>
          </cell>
          <cell r="M180">
            <v>66</v>
          </cell>
          <cell r="N180">
            <v>60</v>
          </cell>
          <cell r="O180">
            <v>40</v>
          </cell>
          <cell r="P180">
            <v>26</v>
          </cell>
          <cell r="Q180">
            <v>0.64999999999999991</v>
          </cell>
          <cell r="Y180" t="str">
            <v>2002 Adj</v>
          </cell>
          <cell r="Z180">
            <v>2652.041666666667</v>
          </cell>
          <cell r="AB180">
            <v>3654</v>
          </cell>
          <cell r="AE180" t="str">
            <v>4Q02 Adj</v>
          </cell>
          <cell r="AF180">
            <v>812.33333333333337</v>
          </cell>
          <cell r="AH180">
            <v>981</v>
          </cell>
          <cell r="AU180" t="str">
            <v>SSN688</v>
          </cell>
          <cell r="AV180">
            <v>100</v>
          </cell>
          <cell r="AW180">
            <v>30</v>
          </cell>
          <cell r="AX180">
            <v>26</v>
          </cell>
          <cell r="AY180">
            <v>10</v>
          </cell>
          <cell r="AZ180" t="e">
            <v>#REF!</v>
          </cell>
          <cell r="BA180">
            <v>0</v>
          </cell>
          <cell r="CD180" t="str">
            <v>Interest</v>
          </cell>
          <cell r="CF180">
            <v>-19</v>
          </cell>
          <cell r="CH180">
            <v>-16</v>
          </cell>
          <cell r="CI180">
            <v>-1.4E-2</v>
          </cell>
        </row>
        <row r="181">
          <cell r="L181" t="str">
            <v>Other</v>
          </cell>
          <cell r="M181">
            <v>-9</v>
          </cell>
          <cell r="N181">
            <v>9</v>
          </cell>
          <cell r="O181">
            <v>10</v>
          </cell>
          <cell r="P181">
            <v>-19</v>
          </cell>
          <cell r="Q181">
            <v>-1.9</v>
          </cell>
          <cell r="S181" t="str">
            <v>1Q04E</v>
          </cell>
          <cell r="T181">
            <v>1070</v>
          </cell>
          <cell r="V181">
            <v>1643</v>
          </cell>
          <cell r="AU181" t="str">
            <v>SSN21</v>
          </cell>
          <cell r="AV181">
            <v>475</v>
          </cell>
          <cell r="AW181">
            <v>530</v>
          </cell>
          <cell r="AX181">
            <v>560</v>
          </cell>
          <cell r="AY181">
            <v>600</v>
          </cell>
          <cell r="AZ181" t="e">
            <v>#REF!</v>
          </cell>
          <cell r="BA181">
            <v>450</v>
          </cell>
          <cell r="CD181" t="str">
            <v>Tax rate</v>
          </cell>
          <cell r="CF181">
            <v>0.33</v>
          </cell>
          <cell r="CH181">
            <v>0.34</v>
          </cell>
          <cell r="CI181">
            <v>1.4999999999999999E-2</v>
          </cell>
        </row>
        <row r="182">
          <cell r="L182" t="str">
            <v xml:space="preserve"> Total Operating Profit</v>
          </cell>
          <cell r="M182">
            <v>436</v>
          </cell>
          <cell r="N182">
            <v>393</v>
          </cell>
          <cell r="O182">
            <v>314</v>
          </cell>
          <cell r="P182">
            <v>122</v>
          </cell>
          <cell r="Q182">
            <v>0.38853503184713367</v>
          </cell>
          <cell r="T182">
            <v>-250</v>
          </cell>
          <cell r="U182" t="str">
            <v>GM Def (3/03)</v>
          </cell>
          <cell r="V182">
            <v>-400</v>
          </cell>
          <cell r="W182" t="str">
            <v>VNX (8/03)</v>
          </cell>
          <cell r="Y182">
            <v>2003</v>
          </cell>
          <cell r="Z182">
            <v>4007</v>
          </cell>
          <cell r="AB182">
            <v>4848</v>
          </cell>
          <cell r="AE182" t="str">
            <v>4Q03</v>
          </cell>
          <cell r="AF182">
            <v>1240</v>
          </cell>
          <cell r="AH182">
            <v>1472</v>
          </cell>
          <cell r="AU182" t="str">
            <v>DDG51</v>
          </cell>
          <cell r="AV182">
            <v>305</v>
          </cell>
          <cell r="AW182">
            <v>780</v>
          </cell>
          <cell r="AX182">
            <v>800</v>
          </cell>
          <cell r="AY182">
            <v>840</v>
          </cell>
          <cell r="AZ182" t="e">
            <v>#REF!</v>
          </cell>
          <cell r="BA182">
            <v>790</v>
          </cell>
          <cell r="CD182" t="str">
            <v>EPS</v>
          </cell>
          <cell r="CE182" t="str">
            <v xml:space="preserve">Actual </v>
          </cell>
          <cell r="CF182">
            <v>1.22</v>
          </cell>
          <cell r="CG182" t="str">
            <v>Est</v>
          </cell>
          <cell r="CH182">
            <v>1.2</v>
          </cell>
          <cell r="CI182">
            <v>1.8000000000000002E-2</v>
          </cell>
        </row>
        <row r="183">
          <cell r="L183" t="str">
            <v>Interest, net</v>
          </cell>
          <cell r="M183">
            <v>-39</v>
          </cell>
          <cell r="N183">
            <v>-38</v>
          </cell>
          <cell r="O183">
            <v>-11</v>
          </cell>
          <cell r="P183">
            <v>-28</v>
          </cell>
          <cell r="Q183">
            <v>2.5454545454545454</v>
          </cell>
          <cell r="T183">
            <v>-36.25</v>
          </cell>
          <cell r="U183" t="str">
            <v>IMCO (9/03)</v>
          </cell>
          <cell r="V183">
            <v>-31.25</v>
          </cell>
          <cell r="W183" t="str">
            <v>DSR (9/03)</v>
          </cell>
          <cell r="Z183">
            <v>-235</v>
          </cell>
          <cell r="AA183" t="str">
            <v>ATP (6/02)</v>
          </cell>
          <cell r="AB183">
            <v>-60</v>
          </cell>
          <cell r="AC183" t="str">
            <v>CSI (8/02)</v>
          </cell>
          <cell r="AF183">
            <v>-10</v>
          </cell>
          <cell r="AG183" t="str">
            <v>EWK (10/02)</v>
          </cell>
          <cell r="AH183">
            <v>-300</v>
          </cell>
          <cell r="AI183" t="str">
            <v>VNX (8/03)</v>
          </cell>
          <cell r="AU183" t="str">
            <v>Amsea</v>
          </cell>
          <cell r="AV183">
            <v>69</v>
          </cell>
          <cell r="AW183">
            <v>85</v>
          </cell>
          <cell r="AX183">
            <v>95</v>
          </cell>
          <cell r="AY183">
            <v>95</v>
          </cell>
          <cell r="AZ183" t="e">
            <v>#REF!</v>
          </cell>
          <cell r="BA183">
            <v>95</v>
          </cell>
        </row>
        <row r="184">
          <cell r="L184" t="str">
            <v>Other</v>
          </cell>
          <cell r="M184">
            <v>0</v>
          </cell>
          <cell r="N184">
            <v>0</v>
          </cell>
          <cell r="O184">
            <v>4</v>
          </cell>
          <cell r="P184">
            <v>-4</v>
          </cell>
          <cell r="Q184">
            <v>-1</v>
          </cell>
          <cell r="T184">
            <v>-57.5</v>
          </cell>
          <cell r="U184" t="str">
            <v>Steyr (10/03)</v>
          </cell>
          <cell r="V184">
            <v>-8</v>
          </cell>
          <cell r="W184" t="str">
            <v>Creat. Tech (3/03)</v>
          </cell>
          <cell r="Z184">
            <v>-40</v>
          </cell>
          <cell r="AA184" t="str">
            <v>EWK (10/02)</v>
          </cell>
          <cell r="AB184">
            <v>-24</v>
          </cell>
          <cell r="AC184" t="str">
            <v>Creat. Tech (3/03)</v>
          </cell>
          <cell r="AF184">
            <v>-250</v>
          </cell>
          <cell r="AG184" t="str">
            <v>GM Def (3/03)</v>
          </cell>
          <cell r="AH184">
            <v>-31.25</v>
          </cell>
          <cell r="AI184" t="str">
            <v>DSR (9/03)</v>
          </cell>
          <cell r="AU184" t="str">
            <v>M1A2 - foreign</v>
          </cell>
          <cell r="AV184">
            <v>476</v>
          </cell>
          <cell r="AW184">
            <v>261</v>
          </cell>
          <cell r="AX184">
            <v>166</v>
          </cell>
          <cell r="AY184">
            <v>55</v>
          </cell>
          <cell r="AZ184">
            <v>0</v>
          </cell>
          <cell r="BA184">
            <v>0</v>
          </cell>
          <cell r="CD184" t="str">
            <v>GD 3Q03 Actual vs. Expectations</v>
          </cell>
        </row>
        <row r="185">
          <cell r="L185" t="str">
            <v>Pretax Inc</v>
          </cell>
          <cell r="M185">
            <v>397</v>
          </cell>
          <cell r="N185">
            <v>355</v>
          </cell>
          <cell r="O185">
            <v>307</v>
          </cell>
          <cell r="P185">
            <v>90</v>
          </cell>
          <cell r="Q185">
            <v>0.29315960912052108</v>
          </cell>
          <cell r="S185" t="str">
            <v>1Q04 Adj</v>
          </cell>
          <cell r="T185">
            <v>726.25</v>
          </cell>
          <cell r="V185">
            <v>1203.75</v>
          </cell>
          <cell r="Z185">
            <v>-833.33333333333337</v>
          </cell>
          <cell r="AA185" t="str">
            <v>GM Def (3/03)</v>
          </cell>
          <cell r="AB185">
            <v>-450</v>
          </cell>
          <cell r="AC185" t="str">
            <v>VNX (8/03)</v>
          </cell>
          <cell r="AF185">
            <v>-36.25</v>
          </cell>
          <cell r="AG185" t="str">
            <v>IMCO (9/03)</v>
          </cell>
          <cell r="AH185">
            <v>-8</v>
          </cell>
          <cell r="AI185" t="str">
            <v>Creat. Tech (3/03)</v>
          </cell>
          <cell r="AU185" t="str">
            <v>M1A2 - U.S.</v>
          </cell>
          <cell r="AV185">
            <v>274</v>
          </cell>
          <cell r="AW185">
            <v>299</v>
          </cell>
          <cell r="AX185">
            <v>319</v>
          </cell>
          <cell r="AY185">
            <v>355</v>
          </cell>
          <cell r="AZ185">
            <v>425</v>
          </cell>
          <cell r="BA185">
            <v>445</v>
          </cell>
          <cell r="CE185" t="str">
            <v>Actual</v>
          </cell>
          <cell r="CG185" t="str">
            <v>Estimate</v>
          </cell>
          <cell r="CI185" t="str">
            <v>Net Effect</v>
          </cell>
        </row>
        <row r="186">
          <cell r="L186" t="str">
            <v>Eff Tax Rate</v>
          </cell>
          <cell r="M186">
            <v>0.33250000000000002</v>
          </cell>
          <cell r="N186">
            <v>0.33</v>
          </cell>
          <cell r="O186">
            <v>0.28999999999999998</v>
          </cell>
          <cell r="S186" t="str">
            <v>% ch org</v>
          </cell>
          <cell r="T186">
            <v>3.3072546230440869E-2</v>
          </cell>
          <cell r="V186">
            <v>0.21223564954682783</v>
          </cell>
          <cell r="Z186">
            <v>-48.333333333333329</v>
          </cell>
          <cell r="AA186" t="str">
            <v>IMCO (9/03)</v>
          </cell>
          <cell r="AB186">
            <v>-36.458333333333336</v>
          </cell>
          <cell r="AC186" t="str">
            <v>DSR (9/03)</v>
          </cell>
          <cell r="AF186">
            <v>-57.5</v>
          </cell>
          <cell r="AG186" t="str">
            <v>Steyr (10/03)</v>
          </cell>
          <cell r="AU186" t="str">
            <v>Def/Arm Sys</v>
          </cell>
          <cell r="AV186">
            <v>0</v>
          </cell>
          <cell r="AW186">
            <v>0</v>
          </cell>
          <cell r="AX186">
            <v>534</v>
          </cell>
          <cell r="AY186">
            <v>295</v>
          </cell>
          <cell r="AZ186">
            <v>360</v>
          </cell>
          <cell r="BA186">
            <v>435</v>
          </cell>
          <cell r="CE186" t="str">
            <v>Reveue</v>
          </cell>
          <cell r="CF186" t="str">
            <v>Op Prof</v>
          </cell>
          <cell r="CG186" t="str">
            <v>Reveue</v>
          </cell>
          <cell r="CH186" t="str">
            <v>Op Prof</v>
          </cell>
          <cell r="CI186" t="str">
            <v>to EPS</v>
          </cell>
        </row>
        <row r="187">
          <cell r="L187" t="str">
            <v>Net Income</v>
          </cell>
          <cell r="M187">
            <v>264.9975</v>
          </cell>
          <cell r="N187">
            <v>237.85</v>
          </cell>
          <cell r="O187">
            <v>217.97</v>
          </cell>
          <cell r="P187">
            <v>47.027500000000003</v>
          </cell>
          <cell r="Q187">
            <v>0.21575216772950401</v>
          </cell>
          <cell r="Z187">
            <v>-57.5</v>
          </cell>
          <cell r="AA187" t="str">
            <v>Steyr (10/03)</v>
          </cell>
          <cell r="AE187" t="str">
            <v>4Q03 Adj</v>
          </cell>
          <cell r="AF187">
            <v>886.25</v>
          </cell>
          <cell r="AH187">
            <v>1132.75</v>
          </cell>
          <cell r="AU187" t="str">
            <v>SINCGARS</v>
          </cell>
          <cell r="AV187">
            <v>125</v>
          </cell>
          <cell r="AW187">
            <v>130</v>
          </cell>
          <cell r="AX187">
            <v>125</v>
          </cell>
          <cell r="AY187">
            <v>100</v>
          </cell>
          <cell r="AZ187">
            <v>0</v>
          </cell>
          <cell r="BA187">
            <v>0</v>
          </cell>
          <cell r="CD187" t="str">
            <v>Marine</v>
          </cell>
          <cell r="CE187">
            <v>1190</v>
          </cell>
          <cell r="CF187">
            <v>36</v>
          </cell>
          <cell r="CG187">
            <v>935</v>
          </cell>
          <cell r="CH187">
            <v>65</v>
          </cell>
          <cell r="CI187">
            <v>-0.12</v>
          </cell>
        </row>
        <row r="188">
          <cell r="L188" t="str">
            <v>EPS</v>
          </cell>
          <cell r="M188">
            <v>0.66149098919457006</v>
          </cell>
          <cell r="N188">
            <v>1.1952261306532661</v>
          </cell>
          <cell r="O188">
            <v>1.0914872308462695</v>
          </cell>
          <cell r="P188">
            <v>-0.42999624165169947</v>
          </cell>
          <cell r="Q188">
            <v>-0.3939544407847152</v>
          </cell>
          <cell r="S188" t="str">
            <v>1Q04E Revenue Growth</v>
          </cell>
          <cell r="U188" t="str">
            <v xml:space="preserve">Total </v>
          </cell>
          <cell r="V188" t="str">
            <v>Organic*</v>
          </cell>
          <cell r="Y188" t="str">
            <v>2003 Adj</v>
          </cell>
          <cell r="Z188">
            <v>2792.833333333333</v>
          </cell>
          <cell r="AB188">
            <v>4277.541666666667</v>
          </cell>
          <cell r="AE188" t="str">
            <v>% ch org</v>
          </cell>
          <cell r="AF188">
            <v>9.0993024210094253E-2</v>
          </cell>
          <cell r="AH188">
            <v>0.15468909276248732</v>
          </cell>
          <cell r="AU188" t="str">
            <v>Total Mature Progs</v>
          </cell>
          <cell r="AV188">
            <v>2234</v>
          </cell>
          <cell r="AW188">
            <v>2440</v>
          </cell>
          <cell r="AX188">
            <v>2725</v>
          </cell>
          <cell r="AY188">
            <v>2410</v>
          </cell>
          <cell r="AZ188" t="e">
            <v>#REF!</v>
          </cell>
          <cell r="BA188">
            <v>2230</v>
          </cell>
          <cell r="CD188" t="str">
            <v>Aerospace</v>
          </cell>
          <cell r="CE188">
            <v>808</v>
          </cell>
          <cell r="CF188">
            <v>50</v>
          </cell>
          <cell r="CG188">
            <v>780</v>
          </cell>
          <cell r="CH188">
            <v>65</v>
          </cell>
          <cell r="CI188">
            <v>-5.8999999999999997E-2</v>
          </cell>
        </row>
        <row r="189">
          <cell r="L189" t="str">
            <v>Discont Ops</v>
          </cell>
          <cell r="M189">
            <v>9.9848638450486527E-3</v>
          </cell>
          <cell r="N189">
            <v>0</v>
          </cell>
          <cell r="O189">
            <v>0</v>
          </cell>
          <cell r="S189" t="str">
            <v>Marine Group</v>
          </cell>
          <cell r="U189">
            <v>0.31147540983606548</v>
          </cell>
          <cell r="V189">
            <v>0.31147540983606548</v>
          </cell>
          <cell r="Y189" t="str">
            <v>% ch org</v>
          </cell>
          <cell r="Z189">
            <v>5.3088029662681002E-2</v>
          </cell>
          <cell r="AB189">
            <v>0.17064632366356514</v>
          </cell>
          <cell r="AU189" t="str">
            <v>% Total Sales</v>
          </cell>
          <cell r="CD189" t="str">
            <v>Combat systems</v>
          </cell>
          <cell r="CE189">
            <v>1048</v>
          </cell>
          <cell r="CF189">
            <v>117</v>
          </cell>
          <cell r="CG189">
            <v>1080</v>
          </cell>
          <cell r="CH189">
            <v>125</v>
          </cell>
          <cell r="CI189">
            <v>-3.2000000000000001E-2</v>
          </cell>
        </row>
        <row r="190">
          <cell r="L190" t="str">
            <v>Total EPS</v>
          </cell>
          <cell r="M190">
            <v>0.67147585303961876</v>
          </cell>
          <cell r="N190">
            <v>1.1952261306532661</v>
          </cell>
          <cell r="O190">
            <v>1.0914872308462695</v>
          </cell>
          <cell r="P190">
            <v>-0.42001137780665077</v>
          </cell>
          <cell r="Q190">
            <v>-0.38480649698576941</v>
          </cell>
          <cell r="S190" t="str">
            <v>Combat Sys</v>
          </cell>
          <cell r="U190">
            <v>0.36653895274584936</v>
          </cell>
          <cell r="V190">
            <v>3.3072546230440869E-2</v>
          </cell>
          <cell r="AE190" t="str">
            <v>4Q03 Revenue Growth</v>
          </cell>
          <cell r="AG190" t="str">
            <v xml:space="preserve">Total </v>
          </cell>
          <cell r="AH190" t="str">
            <v>Organic*</v>
          </cell>
          <cell r="AU190" t="str">
            <v>New Progs</v>
          </cell>
          <cell r="CD190" t="str">
            <v>IST</v>
          </cell>
          <cell r="CE190">
            <v>1303</v>
          </cell>
          <cell r="CF190">
            <v>146</v>
          </cell>
          <cell r="CG190">
            <v>975</v>
          </cell>
          <cell r="CH190">
            <v>118</v>
          </cell>
          <cell r="CI190">
            <v>0.11</v>
          </cell>
        </row>
        <row r="191">
          <cell r="L191" t="str">
            <v xml:space="preserve"> Avg. Shs. (MM)</v>
          </cell>
          <cell r="M191">
            <v>400.60636399999999</v>
          </cell>
          <cell r="N191">
            <v>199</v>
          </cell>
          <cell r="O191">
            <v>199.7</v>
          </cell>
          <cell r="S191" t="str">
            <v>Info Sys &amp; Tech</v>
          </cell>
          <cell r="U191">
            <v>0.65458207452165151</v>
          </cell>
          <cell r="V191">
            <v>0.21223564954682783</v>
          </cell>
          <cell r="Y191" t="str">
            <v>2003 Revenue Growth</v>
          </cell>
          <cell r="AA191" t="str">
            <v xml:space="preserve">Total </v>
          </cell>
          <cell r="AB191" t="str">
            <v>Organic*</v>
          </cell>
          <cell r="AE191" t="str">
            <v>Marine Group</v>
          </cell>
          <cell r="AG191">
            <v>0.11420059582919562</v>
          </cell>
          <cell r="AH191">
            <v>0.11420059582919562</v>
          </cell>
          <cell r="AU191" t="str">
            <v>NAS/Other subs</v>
          </cell>
          <cell r="AV191">
            <v>515</v>
          </cell>
          <cell r="AW191">
            <v>557</v>
          </cell>
          <cell r="AX191">
            <v>690</v>
          </cell>
          <cell r="AY191">
            <v>720</v>
          </cell>
          <cell r="AZ191" t="e">
            <v>#REF!</v>
          </cell>
          <cell r="BA191">
            <v>951</v>
          </cell>
          <cell r="CD191" t="str">
            <v>Resources</v>
          </cell>
          <cell r="CE191">
            <v>87</v>
          </cell>
          <cell r="CF191">
            <v>8</v>
          </cell>
          <cell r="CG191">
            <v>80</v>
          </cell>
          <cell r="CH191">
            <v>16</v>
          </cell>
          <cell r="CI191">
            <v>-3.2000000000000001E-2</v>
          </cell>
        </row>
        <row r="192">
          <cell r="L192" t="str">
            <v>Operating Margins</v>
          </cell>
          <cell r="S192" t="str">
            <v>Gulfstream</v>
          </cell>
          <cell r="U192">
            <v>2.020202020202011E-2</v>
          </cell>
          <cell r="V192">
            <v>2.020202020202011E-2</v>
          </cell>
          <cell r="Y192" t="str">
            <v>Marine Group</v>
          </cell>
          <cell r="AA192">
            <v>0.17013698630136975</v>
          </cell>
          <cell r="AB192">
            <v>0.17013698630136975</v>
          </cell>
          <cell r="AE192" t="str">
            <v>Combat Sys</v>
          </cell>
          <cell r="AG192">
            <v>0.51404151404151399</v>
          </cell>
          <cell r="AH192">
            <v>9.0993024210094253E-2</v>
          </cell>
          <cell r="AU192" t="str">
            <v>Bath Eng'g</v>
          </cell>
          <cell r="AV192">
            <v>10</v>
          </cell>
          <cell r="AW192">
            <v>25</v>
          </cell>
          <cell r="AX192">
            <v>10</v>
          </cell>
          <cell r="AY192">
            <v>40</v>
          </cell>
          <cell r="AZ192" t="e">
            <v>#REF!</v>
          </cell>
          <cell r="BA192">
            <v>80</v>
          </cell>
          <cell r="CD192" t="str">
            <v>Interest</v>
          </cell>
          <cell r="CF192">
            <v>-29</v>
          </cell>
          <cell r="CH192">
            <v>-20</v>
          </cell>
          <cell r="CI192">
            <v>-0.03</v>
          </cell>
        </row>
        <row r="193">
          <cell r="L193" t="str">
            <v>Marine Group</v>
          </cell>
          <cell r="M193">
            <v>7.6562500000000006E-2</v>
          </cell>
          <cell r="N193">
            <v>6.5048543689320393E-2</v>
          </cell>
          <cell r="O193">
            <v>6.6598360655737709E-2</v>
          </cell>
          <cell r="P193">
            <v>9.9641393442622961E-3</v>
          </cell>
          <cell r="S193" t="str">
            <v>Other</v>
          </cell>
          <cell r="U193">
            <v>0.14634146341463405</v>
          </cell>
          <cell r="V193">
            <v>0.14634146341463405</v>
          </cell>
          <cell r="Y193" t="str">
            <v>Combat Sys</v>
          </cell>
          <cell r="AA193">
            <v>0.43826274228284268</v>
          </cell>
          <cell r="AB193">
            <v>5.3088029662681002E-2</v>
          </cell>
          <cell r="AE193" t="str">
            <v>Info Sys &amp; Tech</v>
          </cell>
          <cell r="AG193">
            <v>0.50050968399592244</v>
          </cell>
          <cell r="AH193">
            <v>0.15468909276248732</v>
          </cell>
          <cell r="AU193" t="str">
            <v>LPD-17</v>
          </cell>
          <cell r="AV193">
            <v>0</v>
          </cell>
          <cell r="AW193">
            <v>0</v>
          </cell>
          <cell r="AX193">
            <v>30</v>
          </cell>
          <cell r="AY193">
            <v>45</v>
          </cell>
          <cell r="AZ193" t="e">
            <v>#REF!</v>
          </cell>
          <cell r="BA193">
            <v>60</v>
          </cell>
          <cell r="CD193" t="str">
            <v>Other</v>
          </cell>
          <cell r="CF193">
            <v>-3</v>
          </cell>
          <cell r="CH193">
            <v>2</v>
          </cell>
          <cell r="CI193">
            <v>-0.02</v>
          </cell>
        </row>
        <row r="194">
          <cell r="L194" t="str">
            <v>Combat Sys</v>
          </cell>
          <cell r="M194">
            <v>0.10467289719626169</v>
          </cell>
          <cell r="N194">
            <v>0.10181818181818182</v>
          </cell>
          <cell r="O194">
            <v>0.1123882503192848</v>
          </cell>
          <cell r="P194">
            <v>-7.7153531230231137E-3</v>
          </cell>
          <cell r="S194" t="str">
            <v xml:space="preserve"> Total Revs.</v>
          </cell>
          <cell r="U194">
            <v>0.37171538234425738</v>
          </cell>
          <cell r="V194">
            <v>0.16812821288176605</v>
          </cell>
          <cell r="Y194" t="str">
            <v>Info Sys &amp; Tech</v>
          </cell>
          <cell r="AA194">
            <v>0.32134096484055608</v>
          </cell>
          <cell r="AB194">
            <v>0.17064632366356514</v>
          </cell>
          <cell r="AE194" t="str">
            <v>Gulfstream</v>
          </cell>
          <cell r="AG194">
            <v>-8.5997794928335147E-2</v>
          </cell>
          <cell r="AH194">
            <v>-8.5997794928335147E-2</v>
          </cell>
          <cell r="AU194" t="str">
            <v>Fire control</v>
          </cell>
          <cell r="AV194">
            <v>0</v>
          </cell>
          <cell r="AW194">
            <v>0</v>
          </cell>
          <cell r="AX194">
            <v>0</v>
          </cell>
          <cell r="AY194">
            <v>55</v>
          </cell>
          <cell r="AZ194" t="e">
            <v>#REF!</v>
          </cell>
          <cell r="BA194">
            <v>70</v>
          </cell>
          <cell r="CD194" t="str">
            <v>Tax rate</v>
          </cell>
          <cell r="CF194">
            <v>0.215</v>
          </cell>
          <cell r="CH194">
            <v>0.33</v>
          </cell>
          <cell r="CI194">
            <v>0.21</v>
          </cell>
        </row>
        <row r="195">
          <cell r="L195" t="str">
            <v>Info Sys &amp; Tech</v>
          </cell>
          <cell r="M195">
            <v>0.10286062081558126</v>
          </cell>
          <cell r="N195">
            <v>0.10175438596491228</v>
          </cell>
          <cell r="O195">
            <v>0.11178247734138973</v>
          </cell>
          <cell r="P195">
            <v>-8.921856525808472E-3</v>
          </cell>
          <cell r="S195" t="str">
            <v>Defense Business Revs</v>
          </cell>
          <cell r="U195">
            <v>0.45094476744186052</v>
          </cell>
          <cell r="V195">
            <v>0.20134730538922163</v>
          </cell>
          <cell r="Y195" t="str">
            <v>Gulfstream</v>
          </cell>
          <cell r="AA195">
            <v>-0.10428701733049561</v>
          </cell>
          <cell r="AB195">
            <v>-0.10428701733049561</v>
          </cell>
          <cell r="AE195" t="str">
            <v>Other</v>
          </cell>
          <cell r="AG195">
            <v>-8.108108108108103E-2</v>
          </cell>
          <cell r="AH195">
            <v>-8.108108108108103E-2</v>
          </cell>
          <cell r="AU195" t="str">
            <v>Training tech</v>
          </cell>
          <cell r="AV195">
            <v>0</v>
          </cell>
          <cell r="AW195">
            <v>0</v>
          </cell>
          <cell r="AX195">
            <v>0</v>
          </cell>
          <cell r="AY195">
            <v>75</v>
          </cell>
          <cell r="AZ195" t="e">
            <v>#REF!</v>
          </cell>
          <cell r="BA195">
            <v>115</v>
          </cell>
          <cell r="CD195" t="str">
            <v>EPS</v>
          </cell>
          <cell r="CE195" t="str">
            <v xml:space="preserve">Actual </v>
          </cell>
          <cell r="CF195">
            <v>1.28</v>
          </cell>
          <cell r="CG195" t="str">
            <v>Est</v>
          </cell>
          <cell r="CH195">
            <v>1.25</v>
          </cell>
          <cell r="CI195">
            <v>0.03</v>
          </cell>
        </row>
        <row r="196">
          <cell r="L196" t="str">
            <v>Aerospace</v>
          </cell>
          <cell r="M196">
            <v>0.10891089108910891</v>
          </cell>
          <cell r="N196">
            <v>9.6000000000000002E-2</v>
          </cell>
          <cell r="O196">
            <v>6.7340067340067339E-2</v>
          </cell>
          <cell r="P196">
            <v>4.1570823749041572E-2</v>
          </cell>
          <cell r="S196" t="str">
            <v>*Excludes revenue of properties not held for all of 1Q03 and 1Q04</v>
          </cell>
          <cell r="Y196" t="str">
            <v>Other</v>
          </cell>
          <cell r="AA196">
            <v>-0.1048951048951049</v>
          </cell>
          <cell r="AB196">
            <v>-0.1048951048951049</v>
          </cell>
          <cell r="AE196" t="str">
            <v xml:space="preserve"> Total Revs.</v>
          </cell>
          <cell r="AG196">
            <v>0.24894403379091878</v>
          </cell>
          <cell r="AH196">
            <v>3.2776129012528132E-2</v>
          </cell>
          <cell r="AU196" t="str">
            <v>Misc. A.V.</v>
          </cell>
          <cell r="AV196">
            <v>175</v>
          </cell>
          <cell r="AW196">
            <v>280</v>
          </cell>
          <cell r="AX196">
            <v>265</v>
          </cell>
          <cell r="AY196">
            <v>330</v>
          </cell>
          <cell r="AZ196">
            <v>335</v>
          </cell>
          <cell r="BA196">
            <v>285</v>
          </cell>
        </row>
        <row r="197">
          <cell r="L197" t="str">
            <v>Other</v>
          </cell>
          <cell r="M197">
            <v>-0.19148936170212766</v>
          </cell>
          <cell r="N197">
            <v>0.2</v>
          </cell>
          <cell r="O197">
            <v>0.24390243902439024</v>
          </cell>
          <cell r="P197">
            <v>-0.4353918007265179</v>
          </cell>
          <cell r="Y197" t="str">
            <v xml:space="preserve"> Total Revs.</v>
          </cell>
          <cell r="AA197">
            <v>0.19356725146198839</v>
          </cell>
          <cell r="AB197">
            <v>7.4815624566967776E-2</v>
          </cell>
          <cell r="AE197" t="str">
            <v>Defense Business Revs</v>
          </cell>
          <cell r="AG197">
            <v>0.36587103669397925</v>
          </cell>
          <cell r="AH197">
            <v>0.11727544206127627</v>
          </cell>
          <cell r="AU197" t="str">
            <v>Hvy Assault Bridge</v>
          </cell>
          <cell r="AV197">
            <v>0</v>
          </cell>
          <cell r="AW197">
            <v>0</v>
          </cell>
          <cell r="AX197">
            <v>10</v>
          </cell>
          <cell r="AY197">
            <v>35</v>
          </cell>
          <cell r="AZ197">
            <v>40</v>
          </cell>
          <cell r="BA197">
            <v>45</v>
          </cell>
          <cell r="CD197" t="str">
            <v>GD 2003 Actual vs. Expectations</v>
          </cell>
        </row>
        <row r="198">
          <cell r="L198" t="str">
            <v xml:space="preserve">  Total</v>
          </cell>
          <cell r="M198">
            <v>9.384416702539819E-2</v>
          </cell>
          <cell r="N198">
            <v>9.3017751479289937E-2</v>
          </cell>
          <cell r="O198">
            <v>9.2707410687924416E-2</v>
          </cell>
          <cell r="P198">
            <v>1.1367563374737738E-3</v>
          </cell>
          <cell r="Y198" t="str">
            <v>Defense Business Revs</v>
          </cell>
          <cell r="AA198">
            <v>0.29896091044037609</v>
          </cell>
          <cell r="AB198">
            <v>0.13914499152524629</v>
          </cell>
          <cell r="AE198" t="str">
            <v>*Excludes revenue of properties not held for all of 4Q02 and 4Q03</v>
          </cell>
          <cell r="AU198" t="str">
            <v xml:space="preserve">AAAV </v>
          </cell>
          <cell r="AV198">
            <v>0</v>
          </cell>
          <cell r="AW198">
            <v>15</v>
          </cell>
          <cell r="AX198">
            <v>50</v>
          </cell>
          <cell r="AY198">
            <v>50</v>
          </cell>
          <cell r="AZ198">
            <v>60</v>
          </cell>
          <cell r="BA198">
            <v>65</v>
          </cell>
          <cell r="CE198" t="str">
            <v>Actual</v>
          </cell>
          <cell r="CG198" t="str">
            <v>Estimate</v>
          </cell>
          <cell r="CI198" t="str">
            <v>Net Effect</v>
          </cell>
        </row>
        <row r="199">
          <cell r="Y199" t="str">
            <v>*Excludes revenue of properties not held for all of 2002 and 2003</v>
          </cell>
          <cell r="AU199" t="str">
            <v>Crusader</v>
          </cell>
          <cell r="AV199">
            <v>0</v>
          </cell>
          <cell r="AW199">
            <v>40</v>
          </cell>
          <cell r="AX199">
            <v>40</v>
          </cell>
          <cell r="AY199">
            <v>50</v>
          </cell>
          <cell r="AZ199">
            <v>80</v>
          </cell>
          <cell r="BA199">
            <v>125</v>
          </cell>
          <cell r="CE199" t="str">
            <v>Reveue</v>
          </cell>
          <cell r="CF199" t="str">
            <v>Op Prof</v>
          </cell>
          <cell r="CG199" t="str">
            <v>Reveue</v>
          </cell>
          <cell r="CH199" t="str">
            <v>Op Prof</v>
          </cell>
          <cell r="CI199" t="str">
            <v>to EPS</v>
          </cell>
          <cell r="CJ199" t="str">
            <v>Comments</v>
          </cell>
        </row>
        <row r="200">
          <cell r="AU200" t="str">
            <v>Total New Progs</v>
          </cell>
          <cell r="AV200">
            <v>700</v>
          </cell>
          <cell r="AW200">
            <v>917</v>
          </cell>
          <cell r="AX200">
            <v>1095</v>
          </cell>
          <cell r="AY200">
            <v>1400</v>
          </cell>
          <cell r="AZ200" t="e">
            <v>#REF!</v>
          </cell>
          <cell r="BA200">
            <v>1796</v>
          </cell>
          <cell r="CD200" t="str">
            <v>Marine</v>
          </cell>
          <cell r="CE200" t="str">
            <v>$4.3B</v>
          </cell>
          <cell r="CF200">
            <v>216</v>
          </cell>
          <cell r="CG200" t="str">
            <v>$4.2B</v>
          </cell>
          <cell r="CH200">
            <v>235</v>
          </cell>
          <cell r="CI200">
            <v>-7.0000000000000007E-2</v>
          </cell>
          <cell r="CJ200" t="str">
            <v>-We had factored in some Tanker</v>
          </cell>
        </row>
        <row r="201">
          <cell r="AU201" t="str">
            <v>% Total Sales</v>
          </cell>
          <cell r="AY201">
            <v>0.1918070968625839</v>
          </cell>
          <cell r="AZ201" t="e">
            <v>#REF!</v>
          </cell>
          <cell r="BA201">
            <v>0.1786709112614405</v>
          </cell>
          <cell r="CD201" t="str">
            <v>Aerospace</v>
          </cell>
          <cell r="CE201">
            <v>2.9460000000000002</v>
          </cell>
          <cell r="CF201">
            <v>218</v>
          </cell>
          <cell r="CG201">
            <v>3.05</v>
          </cell>
          <cell r="CH201">
            <v>210</v>
          </cell>
          <cell r="CI201">
            <v>0.03</v>
          </cell>
          <cell r="CJ201" t="str">
            <v>-10% 4Q margins</v>
          </cell>
        </row>
        <row r="202">
          <cell r="AU202" t="str">
            <v>Info Tech</v>
          </cell>
          <cell r="AY202">
            <v>933</v>
          </cell>
          <cell r="AZ202">
            <v>1422</v>
          </cell>
          <cell r="BA202">
            <v>2337</v>
          </cell>
          <cell r="CD202" t="str">
            <v>Combat Sys</v>
          </cell>
          <cell r="CE202">
            <v>4.1660000000000004</v>
          </cell>
          <cell r="CF202">
            <v>463</v>
          </cell>
          <cell r="CG202">
            <v>3.9849999999999999</v>
          </cell>
          <cell r="CH202">
            <v>458</v>
          </cell>
          <cell r="CI202">
            <v>0.02</v>
          </cell>
          <cell r="CJ202" t="str">
            <v>-Acquisition driven</v>
          </cell>
        </row>
        <row r="203">
          <cell r="AU203" t="str">
            <v>% Total Sales</v>
          </cell>
          <cell r="AY203">
            <v>0.12782572955199342</v>
          </cell>
          <cell r="AZ203">
            <v>0.16327936617292457</v>
          </cell>
          <cell r="BA203">
            <v>0.23249104655789893</v>
          </cell>
          <cell r="CD203" t="str">
            <v>IST</v>
          </cell>
          <cell r="CE203">
            <v>4.9779999999999998</v>
          </cell>
          <cell r="CF203">
            <v>538</v>
          </cell>
          <cell r="CG203">
            <v>4.8499999999999996</v>
          </cell>
          <cell r="CH203">
            <v>550</v>
          </cell>
          <cell r="CI203">
            <v>-0.04</v>
          </cell>
          <cell r="CJ203" t="str">
            <v>-Dilution effect of VNX</v>
          </cell>
        </row>
        <row r="204">
          <cell r="AY204">
            <v>4743</v>
          </cell>
          <cell r="AZ204" t="e">
            <v>#REF!</v>
          </cell>
          <cell r="BA204">
            <v>6363</v>
          </cell>
          <cell r="CD204" t="str">
            <v>Resources</v>
          </cell>
          <cell r="CE204">
            <v>0.25600000000000001</v>
          </cell>
          <cell r="CF204">
            <v>32</v>
          </cell>
          <cell r="CG204">
            <v>0.28000000000000003</v>
          </cell>
          <cell r="CH204">
            <v>40</v>
          </cell>
          <cell r="CI204">
            <v>-0.03</v>
          </cell>
        </row>
        <row r="205">
          <cell r="M205" t="str">
            <v>GD Program Potentials</v>
          </cell>
          <cell r="AY205">
            <v>236</v>
          </cell>
          <cell r="AZ205">
            <v>250</v>
          </cell>
          <cell r="BA205">
            <v>253</v>
          </cell>
          <cell r="CD205" t="str">
            <v>Interest</v>
          </cell>
          <cell r="CF205">
            <v>-98</v>
          </cell>
          <cell r="CH205">
            <v>-93</v>
          </cell>
          <cell r="CI205">
            <v>-0.02</v>
          </cell>
          <cell r="CJ205" t="str">
            <v>-Acquisition financing costs</v>
          </cell>
        </row>
        <row r="206">
          <cell r="Z206" t="str">
            <v>Crusader Breakdown</v>
          </cell>
          <cell r="AY206">
            <v>7535</v>
          </cell>
          <cell r="AZ206">
            <v>8959</v>
          </cell>
          <cell r="BA206">
            <v>10305</v>
          </cell>
          <cell r="CD206" t="str">
            <v>Other</v>
          </cell>
          <cell r="CF206">
            <v>3</v>
          </cell>
          <cell r="CH206">
            <v>5</v>
          </cell>
          <cell r="CI206">
            <v>-0.01</v>
          </cell>
        </row>
        <row r="207">
          <cell r="M207" t="str">
            <v xml:space="preserve">Initial design/prototyping </v>
          </cell>
          <cell r="Z207" t="str">
            <v>$3B eng/$13B prodn</v>
          </cell>
          <cell r="AY207">
            <v>2792</v>
          </cell>
          <cell r="AZ207" t="e">
            <v>#REF!</v>
          </cell>
          <cell r="BA207">
            <v>3942</v>
          </cell>
          <cell r="BB207" t="str">
            <v>- NASSCO=differential</v>
          </cell>
          <cell r="CD207" t="str">
            <v>Share Count</v>
          </cell>
          <cell r="CF207">
            <v>199.2</v>
          </cell>
          <cell r="CH207">
            <v>198.6</v>
          </cell>
          <cell r="CI207">
            <v>-0.02</v>
          </cell>
          <cell r="CJ207" t="str">
            <v>-No share buyback in 4Q</v>
          </cell>
        </row>
        <row r="208">
          <cell r="L208" t="str">
            <v>Crusader</v>
          </cell>
          <cell r="M208">
            <v>1996</v>
          </cell>
          <cell r="N208">
            <v>1997</v>
          </cell>
          <cell r="O208">
            <v>1998</v>
          </cell>
          <cell r="P208">
            <v>1999</v>
          </cell>
          <cell r="Q208">
            <v>2000</v>
          </cell>
          <cell r="R208">
            <v>2001</v>
          </cell>
          <cell r="S208">
            <v>2002</v>
          </cell>
          <cell r="T208">
            <v>2003</v>
          </cell>
          <cell r="U208" t="str">
            <v>Comments</v>
          </cell>
          <cell r="AU208" t="str">
            <v>Marine New Engineering/Marine</v>
          </cell>
          <cell r="BA208">
            <v>0.37386463521828306</v>
          </cell>
          <cell r="BE208">
            <v>1997</v>
          </cell>
          <cell r="BF208" t="str">
            <v>1998</v>
          </cell>
          <cell r="BG208">
            <v>1999</v>
          </cell>
          <cell r="BH208">
            <v>2000</v>
          </cell>
          <cell r="BI208">
            <v>2001</v>
          </cell>
          <cell r="BJ208">
            <v>2002</v>
          </cell>
          <cell r="BK208">
            <v>2003</v>
          </cell>
          <cell r="BL208">
            <v>2004</v>
          </cell>
          <cell r="BM208">
            <v>2005</v>
          </cell>
          <cell r="BN208">
            <v>2006</v>
          </cell>
          <cell r="BO208">
            <v>2007</v>
          </cell>
          <cell r="BP208" t="str">
            <v>2008A</v>
          </cell>
          <cell r="BQ208" t="str">
            <v>2009E</v>
          </cell>
          <cell r="CD208" t="str">
            <v>Tax rate</v>
          </cell>
          <cell r="CF208">
            <v>0.27400000000000002</v>
          </cell>
          <cell r="CH208">
            <v>0.29299999999999998</v>
          </cell>
          <cell r="CI208">
            <v>0.14000000000000001</v>
          </cell>
          <cell r="CJ208" t="str">
            <v>-Reserve reversal &amp; run rate adj</v>
          </cell>
        </row>
        <row r="209">
          <cell r="L209" t="str">
            <v>GD - Revs</v>
          </cell>
          <cell r="M209">
            <v>40</v>
          </cell>
          <cell r="N209">
            <v>45</v>
          </cell>
          <cell r="U209" t="str">
            <v>$13B potent = nom buy 1K units</v>
          </cell>
          <cell r="AA209" t="str">
            <v>% Contrib</v>
          </cell>
          <cell r="AB209" t="str">
            <v>Avg./Yr</v>
          </cell>
          <cell r="AC209" t="str">
            <v>Comment</v>
          </cell>
          <cell r="AU209" t="str">
            <v>Combat Sys New/Combat sys</v>
          </cell>
          <cell r="BA209">
            <v>0.40848389630793402</v>
          </cell>
          <cell r="BC209" t="str">
            <v>Gulfstream mgns</v>
          </cell>
          <cell r="BE209">
            <v>0.12027310924369748</v>
          </cell>
          <cell r="BF209">
            <v>9.406919275123557E-2</v>
          </cell>
          <cell r="BG209">
            <v>0.16569267789618425</v>
          </cell>
          <cell r="BH209">
            <v>0.19544404093760318</v>
          </cell>
          <cell r="BI209">
            <v>0.19142419601837674</v>
          </cell>
          <cell r="BJ209">
            <v>0.13590757069017939</v>
          </cell>
          <cell r="BK209">
            <v>7.3998642226748138E-2</v>
          </cell>
          <cell r="BL209">
            <v>0.13047808764940239</v>
          </cell>
          <cell r="BM209">
            <v>0.14418875618992136</v>
          </cell>
          <cell r="BN209">
            <v>0.15646258503401361</v>
          </cell>
          <cell r="BO209">
            <v>0.16777133388566695</v>
          </cell>
          <cell r="BP209">
            <v>0.18523222060957911</v>
          </cell>
          <cell r="BQ209">
            <v>0.13500000000000001</v>
          </cell>
          <cell r="CD209" t="str">
            <v>EPS</v>
          </cell>
          <cell r="CE209" t="str">
            <v xml:space="preserve">Actual </v>
          </cell>
          <cell r="CF209">
            <v>5</v>
          </cell>
          <cell r="CG209" t="str">
            <v>Est</v>
          </cell>
          <cell r="CH209">
            <v>5.0016868076535763</v>
          </cell>
          <cell r="CI209">
            <v>0</v>
          </cell>
        </row>
        <row r="210">
          <cell r="L210" t="str">
            <v>TVS - Revs</v>
          </cell>
          <cell r="M210">
            <v>40</v>
          </cell>
          <cell r="N210">
            <v>45</v>
          </cell>
          <cell r="U210" t="str">
            <v>firm decision around 2000 on rate prodn</v>
          </cell>
          <cell r="Z210" t="str">
            <v>GD/TVS</v>
          </cell>
          <cell r="AA210">
            <v>0.25</v>
          </cell>
          <cell r="AB210">
            <v>83.333333333333329</v>
          </cell>
          <cell r="AC210" t="str">
            <v>powerpack, chassis, suspension</v>
          </cell>
        </row>
        <row r="211">
          <cell r="L211" t="str">
            <v>subtotal</v>
          </cell>
          <cell r="M211">
            <v>80</v>
          </cell>
          <cell r="N211">
            <v>90</v>
          </cell>
          <cell r="O211">
            <v>100</v>
          </cell>
          <cell r="P211">
            <v>110</v>
          </cell>
          <cell r="Q211">
            <v>115</v>
          </cell>
          <cell r="R211">
            <v>120</v>
          </cell>
          <cell r="S211">
            <v>125</v>
          </cell>
          <cell r="T211">
            <v>140</v>
          </cell>
          <cell r="U211" t="str">
            <v xml:space="preserve">Avg. thru '03 = </v>
          </cell>
          <cell r="W211">
            <v>110</v>
          </cell>
          <cell r="X211" t="str">
            <v>(should be $110MM)</v>
          </cell>
          <cell r="Z211" t="str">
            <v>UDLP</v>
          </cell>
          <cell r="AA211">
            <v>0.4</v>
          </cell>
          <cell r="AB211">
            <v>133.33333333333334</v>
          </cell>
          <cell r="AC211" t="str">
            <v>Head honcho - sys integ.</v>
          </cell>
          <cell r="AI211" t="str">
            <v>GD's Backlog Trend ($MM)</v>
          </cell>
        </row>
        <row r="212">
          <cell r="L212" t="str">
            <v>Op Pr.</v>
          </cell>
          <cell r="M212">
            <v>6.4</v>
          </cell>
          <cell r="N212">
            <v>7.38</v>
          </cell>
          <cell r="O212">
            <v>8.4</v>
          </cell>
          <cell r="P212">
            <v>9.3500000000000014</v>
          </cell>
          <cell r="Q212">
            <v>9.89</v>
          </cell>
          <cell r="R212">
            <v>10.440000000000001</v>
          </cell>
          <cell r="S212">
            <v>11.000000000000002</v>
          </cell>
          <cell r="T212">
            <v>12.600000000000001</v>
          </cell>
          <cell r="AK212" t="str">
            <v>1998</v>
          </cell>
          <cell r="AL212" t="str">
            <v>1999</v>
          </cell>
          <cell r="AM212" t="str">
            <v>2000</v>
          </cell>
          <cell r="AN212" t="str">
            <v>2001</v>
          </cell>
          <cell r="AO212" t="str">
            <v>2002</v>
          </cell>
          <cell r="CD212" t="str">
            <v>GD 1Q04 Actual vs. Expectations</v>
          </cell>
        </row>
        <row r="213">
          <cell r="L213" t="str">
            <v>Eng'g Mgn</v>
          </cell>
          <cell r="M213">
            <v>0.08</v>
          </cell>
          <cell r="N213">
            <v>8.2000000000000003E-2</v>
          </cell>
          <cell r="O213">
            <v>8.4000000000000005E-2</v>
          </cell>
          <cell r="P213">
            <v>8.5000000000000006E-2</v>
          </cell>
          <cell r="Q213">
            <v>8.6000000000000007E-2</v>
          </cell>
          <cell r="R213">
            <v>8.7000000000000008E-2</v>
          </cell>
          <cell r="S213">
            <v>8.8000000000000009E-2</v>
          </cell>
          <cell r="T213">
            <v>9.0000000000000011E-2</v>
          </cell>
          <cell r="U213" t="str">
            <v>Eng thru '03, PM's 8-9% range</v>
          </cell>
          <cell r="Z213" t="str">
            <v>LMT*</v>
          </cell>
          <cell r="AA213">
            <v>0.25</v>
          </cell>
          <cell r="AB213">
            <v>83.333333333333329</v>
          </cell>
          <cell r="AC213" t="str">
            <v>Turret+propell</v>
          </cell>
          <cell r="AI213" t="str">
            <v>Prior YE Backlog</v>
          </cell>
          <cell r="CE213" t="str">
            <v>Actual</v>
          </cell>
          <cell r="CG213" t="str">
            <v>Estimate</v>
          </cell>
          <cell r="CI213" t="str">
            <v>Net Effect</v>
          </cell>
        </row>
        <row r="214">
          <cell r="L214" t="str">
            <v>EPS</v>
          </cell>
          <cell r="M214">
            <v>6.5822784810126586E-2</v>
          </cell>
          <cell r="N214">
            <v>7.6385350318471337E-2</v>
          </cell>
          <cell r="O214">
            <v>8.7360000000000007E-2</v>
          </cell>
          <cell r="P214">
            <v>9.7240000000000021E-2</v>
          </cell>
          <cell r="Q214">
            <v>0.102856</v>
          </cell>
          <cell r="R214">
            <v>0.10857600000000002</v>
          </cell>
          <cell r="S214">
            <v>0.11440000000000002</v>
          </cell>
          <cell r="T214">
            <v>0.13104000000000002</v>
          </cell>
          <cell r="Z214" t="str">
            <v>Gov't</v>
          </cell>
          <cell r="AA214">
            <v>0.1</v>
          </cell>
          <cell r="AB214">
            <v>33.333333333333336</v>
          </cell>
          <cell r="AC214" t="str">
            <v>govt supplied equip</v>
          </cell>
          <cell r="AI214" t="str">
            <v>Completed work</v>
          </cell>
          <cell r="CE214" t="str">
            <v>Revenue</v>
          </cell>
          <cell r="CF214" t="str">
            <v>Op Prof</v>
          </cell>
          <cell r="CG214" t="str">
            <v>Revenue</v>
          </cell>
          <cell r="CH214" t="str">
            <v>Op Prof</v>
          </cell>
          <cell r="CI214" t="str">
            <v>to EPS</v>
          </cell>
          <cell r="CJ214" t="str">
            <v>Comments</v>
          </cell>
        </row>
        <row r="215">
          <cell r="L215" t="str">
            <v>AAAV</v>
          </cell>
          <cell r="M215" t="str">
            <v xml:space="preserve">Initial design/prototyping </v>
          </cell>
          <cell r="S215" t="str">
            <v xml:space="preserve">    --&gt;     Prodn</v>
          </cell>
          <cell r="Z215" t="str">
            <v>Total</v>
          </cell>
          <cell r="AA215">
            <v>1</v>
          </cell>
          <cell r="AB215">
            <v>333.33333333333331</v>
          </cell>
          <cell r="AI215" t="str">
            <v>Seawolf work</v>
          </cell>
          <cell r="AK215">
            <v>-600</v>
          </cell>
          <cell r="AL215" t="e">
            <v>#REF!</v>
          </cell>
          <cell r="AM215">
            <v>-450</v>
          </cell>
          <cell r="AN215">
            <v>-150</v>
          </cell>
          <cell r="AO215">
            <v>-20</v>
          </cell>
          <cell r="CD215" t="str">
            <v>Marine</v>
          </cell>
          <cell r="CE215">
            <v>1280</v>
          </cell>
          <cell r="CF215">
            <v>98</v>
          </cell>
          <cell r="CG215">
            <v>1030</v>
          </cell>
          <cell r="CH215">
            <v>67</v>
          </cell>
          <cell r="CI215">
            <v>0.1</v>
          </cell>
          <cell r="CJ215" t="str">
            <v>-Higher repair/svcs</v>
          </cell>
        </row>
        <row r="216">
          <cell r="L216" t="str">
            <v>Revs</v>
          </cell>
          <cell r="M216">
            <v>15</v>
          </cell>
          <cell r="N216">
            <v>50</v>
          </cell>
          <cell r="O216">
            <v>50</v>
          </cell>
          <cell r="P216">
            <v>50</v>
          </cell>
          <cell r="Q216">
            <v>50</v>
          </cell>
          <cell r="R216">
            <v>50</v>
          </cell>
          <cell r="U216" t="str">
            <v xml:space="preserve"> vs. UDLP//1K for marines</v>
          </cell>
          <cell r="AI216" t="str">
            <v>NAS</v>
          </cell>
          <cell r="AK216">
            <v>-70</v>
          </cell>
          <cell r="AL216" t="e">
            <v>#REF!</v>
          </cell>
          <cell r="AM216">
            <v>-951</v>
          </cell>
          <cell r="AN216">
            <v>-1200</v>
          </cell>
          <cell r="AO216">
            <v>-1400</v>
          </cell>
          <cell r="CD216" t="str">
            <v>IST</v>
          </cell>
          <cell r="CE216">
            <v>1716</v>
          </cell>
          <cell r="CF216">
            <v>170</v>
          </cell>
          <cell r="CG216">
            <v>1425</v>
          </cell>
          <cell r="CH216">
            <v>145</v>
          </cell>
          <cell r="CI216">
            <v>0.08</v>
          </cell>
          <cell r="CJ216" t="str">
            <v>-Customer pull on IDIQ revs</v>
          </cell>
        </row>
        <row r="217">
          <cell r="L217" t="str">
            <v>Op Pr.</v>
          </cell>
          <cell r="M217">
            <v>1.2</v>
          </cell>
          <cell r="N217">
            <v>4.1000000000000005</v>
          </cell>
          <cell r="O217">
            <v>4.2</v>
          </cell>
          <cell r="P217">
            <v>4.25</v>
          </cell>
          <cell r="Q217">
            <v>4.3000000000000007</v>
          </cell>
          <cell r="R217">
            <v>4.3500000000000005</v>
          </cell>
          <cell r="S217">
            <v>0</v>
          </cell>
          <cell r="T217">
            <v>0</v>
          </cell>
          <cell r="U217" t="str">
            <v>potent =$4-5B dom+$4-5B intl</v>
          </cell>
          <cell r="Z217" t="str">
            <v>*LMT K exp. in Aug,probls w/ liquid propell</v>
          </cell>
          <cell r="AI217" t="str">
            <v>LPD-17</v>
          </cell>
          <cell r="AK217">
            <v>-45</v>
          </cell>
          <cell r="AL217" t="e">
            <v>#REF!</v>
          </cell>
          <cell r="AM217">
            <v>-60</v>
          </cell>
          <cell r="AN217">
            <v>-50</v>
          </cell>
          <cell r="AO217">
            <v>0</v>
          </cell>
          <cell r="CD217" t="str">
            <v>Combat Sys</v>
          </cell>
          <cell r="CE217">
            <v>1111</v>
          </cell>
          <cell r="CF217">
            <v>117</v>
          </cell>
          <cell r="CG217">
            <v>1100</v>
          </cell>
          <cell r="CH217">
            <v>112</v>
          </cell>
          <cell r="CI217">
            <v>0.02</v>
          </cell>
        </row>
        <row r="218">
          <cell r="L218" t="str">
            <v>Eng'g Mgn</v>
          </cell>
          <cell r="N218">
            <v>8.2000000000000017E-2</v>
          </cell>
          <cell r="O218">
            <v>8.4000000000000005E-2</v>
          </cell>
          <cell r="P218">
            <v>8.5000000000000006E-2</v>
          </cell>
          <cell r="Q218">
            <v>8.6000000000000021E-2</v>
          </cell>
          <cell r="R218">
            <v>8.7000000000000008E-2</v>
          </cell>
          <cell r="U218" t="str">
            <v>notional pr = $3-4MM/per</v>
          </cell>
          <cell r="Z218" t="str">
            <v>if LMT out, c/ go to Army ad'vd solid propell</v>
          </cell>
          <cell r="AI218" t="str">
            <v>DDG-51</v>
          </cell>
          <cell r="AK218">
            <v>-800</v>
          </cell>
          <cell r="AL218">
            <v>-840</v>
          </cell>
          <cell r="AM218" t="e">
            <v>#REF!</v>
          </cell>
          <cell r="AN218">
            <v>-790</v>
          </cell>
          <cell r="AO218">
            <v>-710</v>
          </cell>
          <cell r="CD218" t="str">
            <v>Aerospace</v>
          </cell>
          <cell r="CE218">
            <v>606</v>
          </cell>
          <cell r="CF218">
            <v>66</v>
          </cell>
          <cell r="CG218">
            <v>625</v>
          </cell>
          <cell r="CH218">
            <v>60</v>
          </cell>
          <cell r="CI218">
            <v>0.02</v>
          </cell>
          <cell r="CJ218" t="str">
            <v>-Cost reduction, no used losses</v>
          </cell>
        </row>
        <row r="219">
          <cell r="L219" t="str">
            <v>EPS</v>
          </cell>
          <cell r="M219">
            <v>1.2341772151898734E-2</v>
          </cell>
          <cell r="N219">
            <v>4.2436305732484088E-2</v>
          </cell>
          <cell r="O219">
            <v>4.3680000000000004E-2</v>
          </cell>
          <cell r="P219">
            <v>4.4200000000000003E-2</v>
          </cell>
          <cell r="Q219">
            <v>4.4720000000000003E-2</v>
          </cell>
          <cell r="R219">
            <v>4.5240000000000009E-2</v>
          </cell>
          <cell r="S219">
            <v>0</v>
          </cell>
          <cell r="T219">
            <v>0</v>
          </cell>
          <cell r="U219" t="str">
            <v>Prodn '05, PM's 8-9% on eng</v>
          </cell>
          <cell r="Z219" t="str">
            <v>LMT trying to stay in game.. tho going to solid propellant</v>
          </cell>
          <cell r="AI219" t="str">
            <v>M1A2 tank upgrade</v>
          </cell>
          <cell r="AK219">
            <v>-330</v>
          </cell>
          <cell r="AL219">
            <v>-380</v>
          </cell>
          <cell r="AM219">
            <v>-400</v>
          </cell>
          <cell r="AN219">
            <v>0</v>
          </cell>
          <cell r="AO219">
            <v>0</v>
          </cell>
          <cell r="CD219" t="str">
            <v>Resources</v>
          </cell>
          <cell r="CE219">
            <v>47</v>
          </cell>
          <cell r="CF219">
            <v>-9</v>
          </cell>
          <cell r="CG219">
            <v>41</v>
          </cell>
          <cell r="CH219">
            <v>9</v>
          </cell>
          <cell r="CI219">
            <v>-0.06</v>
          </cell>
          <cell r="CJ219" t="str">
            <v>-Seasonal weakness</v>
          </cell>
        </row>
        <row r="220">
          <cell r="AI220" t="str">
            <v>- subtotal</v>
          </cell>
          <cell r="AK220">
            <v>-1845</v>
          </cell>
          <cell r="AL220" t="e">
            <v>#REF!</v>
          </cell>
          <cell r="AM220" t="e">
            <v>#REF!</v>
          </cell>
          <cell r="AN220">
            <v>-2190</v>
          </cell>
          <cell r="AO220">
            <v>-2130</v>
          </cell>
          <cell r="CD220" t="str">
            <v>Subtotal Ops</v>
          </cell>
          <cell r="CE220">
            <v>4760</v>
          </cell>
          <cell r="CF220">
            <v>442</v>
          </cell>
          <cell r="CG220">
            <v>4221</v>
          </cell>
          <cell r="CH220">
            <v>393</v>
          </cell>
          <cell r="CI220">
            <v>0.15999999999999998</v>
          </cell>
        </row>
        <row r="221">
          <cell r="L221" t="str">
            <v>LPD-17</v>
          </cell>
          <cell r="N221" t="str">
            <v xml:space="preserve">Initial design/prototyping </v>
          </cell>
          <cell r="AI221" t="str">
            <v xml:space="preserve">DoD Funding </v>
          </cell>
          <cell r="CD221" t="str">
            <v>Tax rate</v>
          </cell>
          <cell r="CF221">
            <v>0.33200000000000002</v>
          </cell>
          <cell r="CH221">
            <v>0.33</v>
          </cell>
          <cell r="CI221">
            <v>-0.01</v>
          </cell>
        </row>
        <row r="222">
          <cell r="L222" t="str">
            <v>Revs</v>
          </cell>
          <cell r="U222" t="str">
            <v xml:space="preserve">12 boats, $1B/each,  50%:50% Navy split </v>
          </cell>
          <cell r="AI222" t="str">
            <v>NAS</v>
          </cell>
          <cell r="AK222">
            <v>2300.0000000000005</v>
          </cell>
          <cell r="AL222">
            <v>2300.0000000000005</v>
          </cell>
          <cell r="AM222">
            <v>2300.0000000000005</v>
          </cell>
          <cell r="AN222">
            <v>2300.0000000000005</v>
          </cell>
          <cell r="AP222" t="str">
            <v>- funding for 4 boats: 1/yr next 4 yrs</v>
          </cell>
          <cell r="CD222" t="str">
            <v>Share Count</v>
          </cell>
          <cell r="CF222">
            <v>200.3</v>
          </cell>
          <cell r="CH222">
            <v>199</v>
          </cell>
          <cell r="CI222">
            <v>-0.01</v>
          </cell>
        </row>
        <row r="223">
          <cell r="L223" t="str">
            <v>Op Pr.</v>
          </cell>
          <cell r="U223" t="str">
            <v>1/yr over 10-12yrs - flows to contractors at $400-500MM/unit range</v>
          </cell>
          <cell r="AI223" t="str">
            <v>DDG-51</v>
          </cell>
          <cell r="AK223">
            <v>2904</v>
          </cell>
          <cell r="AP223" t="str">
            <v>- drops off</v>
          </cell>
          <cell r="CD223" t="str">
            <v>EPS</v>
          </cell>
          <cell r="CE223" t="str">
            <v xml:space="preserve">Actual </v>
          </cell>
          <cell r="CF223">
            <v>1.34</v>
          </cell>
          <cell r="CG223" t="str">
            <v>Est</v>
          </cell>
          <cell r="CH223">
            <v>1.2</v>
          </cell>
          <cell r="CI223">
            <v>0.13999999999999996</v>
          </cell>
        </row>
        <row r="224">
          <cell r="L224" t="str">
            <v>Eng'g Mgn</v>
          </cell>
          <cell r="AI224" t="str">
            <v>M1A2 tank upgrade</v>
          </cell>
          <cell r="AK224">
            <v>692</v>
          </cell>
          <cell r="AL224">
            <v>600</v>
          </cell>
          <cell r="AM224">
            <v>600</v>
          </cell>
          <cell r="AN224">
            <v>600</v>
          </cell>
          <cell r="AP224" t="str">
            <v>- 5 yr. multi yr.</v>
          </cell>
        </row>
        <row r="225">
          <cell r="L225" t="str">
            <v>EPS</v>
          </cell>
          <cell r="AE225" t="str">
            <v>CA Real Estate details</v>
          </cell>
          <cell r="AL225">
            <v>650</v>
          </cell>
          <cell r="AM225">
            <v>650</v>
          </cell>
          <cell r="AN225">
            <v>650</v>
          </cell>
          <cell r="AO225">
            <v>650</v>
          </cell>
          <cell r="CD225" t="str">
            <v>GD 1Q05 Actual vs. Expectations</v>
          </cell>
        </row>
        <row r="226">
          <cell r="M226" t="str">
            <v xml:space="preserve">GD Key  Program/Order Potentials </v>
          </cell>
          <cell r="W226" t="str">
            <v>Est Value of CA Real Estate</v>
          </cell>
          <cell r="AG226" t="str">
            <v>Net</v>
          </cell>
          <cell r="AL226">
            <v>3550.0000000000005</v>
          </cell>
          <cell r="AM226">
            <v>3550.0000000000005</v>
          </cell>
          <cell r="AN226">
            <v>3550.0000000000005</v>
          </cell>
          <cell r="AO226">
            <v>650</v>
          </cell>
          <cell r="CE226" t="str">
            <v>Actual</v>
          </cell>
          <cell r="CG226" t="str">
            <v>Estimate</v>
          </cell>
          <cell r="CI226" t="str">
            <v>Net Effect</v>
          </cell>
        </row>
        <row r="227">
          <cell r="AG227" t="str">
            <v>gain</v>
          </cell>
          <cell r="AH227" t="str">
            <v>Comments</v>
          </cell>
          <cell r="CE227" t="str">
            <v>Revenue</v>
          </cell>
          <cell r="CF227" t="str">
            <v>Op Prof</v>
          </cell>
          <cell r="CG227" t="str">
            <v>Revenue</v>
          </cell>
          <cell r="CH227" t="str">
            <v>Op Prof</v>
          </cell>
          <cell r="CI227" t="str">
            <v>to EPS</v>
          </cell>
          <cell r="CJ227" t="str">
            <v>Comments</v>
          </cell>
        </row>
        <row r="228">
          <cell r="M228" t="str">
            <v>New Programs</v>
          </cell>
          <cell r="N228" t="str">
            <v>Decision</v>
          </cell>
          <cell r="X228" t="str">
            <v>Low</v>
          </cell>
          <cell r="Y228" t="str">
            <v>High</v>
          </cell>
          <cell r="Z228" t="str">
            <v>Comments</v>
          </cell>
          <cell r="AE228" t="str">
            <v>Rancho- open</v>
          </cell>
          <cell r="AH228" t="str">
            <v>- golf course + land</v>
          </cell>
          <cell r="AL228" t="e">
            <v>#REF!</v>
          </cell>
          <cell r="AM228" t="e">
            <v>#REF!</v>
          </cell>
          <cell r="AN228">
            <v>1360.0000000000005</v>
          </cell>
          <cell r="AO228">
            <v>-1480</v>
          </cell>
          <cell r="CD228" t="str">
            <v>Marine</v>
          </cell>
          <cell r="CE228">
            <v>1210</v>
          </cell>
          <cell r="CF228">
            <v>49</v>
          </cell>
          <cell r="CG228">
            <v>1200</v>
          </cell>
          <cell r="CH228">
            <v>90</v>
          </cell>
          <cell r="CI228">
            <v>-0.14000000000000001</v>
          </cell>
          <cell r="CJ228" t="str">
            <v>-Comm'l tanker charges</v>
          </cell>
        </row>
        <row r="229">
          <cell r="M229" t="str">
            <v>Contract</v>
          </cell>
          <cell r="N229" t="str">
            <v>Date</v>
          </cell>
          <cell r="O229" t="str">
            <v>Potent. Size</v>
          </cell>
          <cell r="P229" t="str">
            <v>Comments</v>
          </cell>
          <cell r="W229" t="str">
            <v>Calif Land</v>
          </cell>
          <cell r="X229">
            <v>250</v>
          </cell>
          <cell r="Y229">
            <v>300</v>
          </cell>
          <cell r="AE229" t="str">
            <v>Rancho</v>
          </cell>
          <cell r="AG229">
            <v>73</v>
          </cell>
          <cell r="AH229" t="str">
            <v xml:space="preserve">- 2 bldgs, recyclable, mapped parcels, sell'g </v>
          </cell>
          <cell r="CD229" t="str">
            <v>Combat Sys</v>
          </cell>
          <cell r="CE229">
            <v>1057</v>
          </cell>
          <cell r="CF229">
            <v>104</v>
          </cell>
          <cell r="CG229">
            <v>1315</v>
          </cell>
          <cell r="CH229">
            <v>140</v>
          </cell>
          <cell r="CI229">
            <v>-0.12</v>
          </cell>
          <cell r="CJ229" t="str">
            <v>-Timing and deliveries</v>
          </cell>
        </row>
        <row r="230">
          <cell r="L230" t="str">
            <v>Marine</v>
          </cell>
          <cell r="M230" t="str">
            <v>SC 21</v>
          </cell>
          <cell r="N230" t="str">
            <v>2000+</v>
          </cell>
          <cell r="P230" t="str">
            <v>- in concept</v>
          </cell>
          <cell r="W230" t="str">
            <v>Sold, net</v>
          </cell>
          <cell r="X230">
            <v>-100</v>
          </cell>
          <cell r="Y230">
            <v>-100</v>
          </cell>
          <cell r="Z230" t="str">
            <v>- $34MM '97/$80MM sld 7/98 )net 25/75)</v>
          </cell>
          <cell r="AE230" t="str">
            <v>total San Diego</v>
          </cell>
          <cell r="CD230" t="str">
            <v>IS&amp;T</v>
          </cell>
          <cell r="CE230">
            <v>1752</v>
          </cell>
          <cell r="CF230">
            <v>197</v>
          </cell>
          <cell r="CG230">
            <v>1850</v>
          </cell>
          <cell r="CH230">
            <v>180</v>
          </cell>
          <cell r="CI230">
            <v>0.05</v>
          </cell>
          <cell r="CJ230" t="str">
            <v>-Product mix</v>
          </cell>
        </row>
        <row r="231">
          <cell r="M231" t="str">
            <v xml:space="preserve">NAS </v>
          </cell>
          <cell r="N231" t="str">
            <v xml:space="preserve">2001 </v>
          </cell>
          <cell r="O231" t="str">
            <v>30 ships</v>
          </cell>
          <cell r="W231" t="str">
            <v>Remain'g</v>
          </cell>
          <cell r="X231">
            <v>100</v>
          </cell>
          <cell r="Y231">
            <v>150</v>
          </cell>
          <cell r="AE231" t="str">
            <v>Kearney Mesa</v>
          </cell>
          <cell r="AG231">
            <v>75</v>
          </cell>
          <cell r="AH231" t="str">
            <v>- $80MM purchase price</v>
          </cell>
          <cell r="CD231" t="str">
            <v>Aerospace</v>
          </cell>
          <cell r="CE231">
            <v>753</v>
          </cell>
          <cell r="CF231">
            <v>101</v>
          </cell>
          <cell r="CG231">
            <v>645</v>
          </cell>
          <cell r="CH231">
            <v>80</v>
          </cell>
          <cell r="CI231">
            <v>7.0000000000000007E-2</v>
          </cell>
          <cell r="CJ231" t="str">
            <v>-Favorable pricing</v>
          </cell>
        </row>
        <row r="232">
          <cell r="M232" t="str">
            <v>DDG 51 mulityr</v>
          </cell>
          <cell r="O232">
            <v>350</v>
          </cell>
          <cell r="W232" t="str">
            <v>After tax</v>
          </cell>
          <cell r="X232">
            <v>117</v>
          </cell>
          <cell r="Y232">
            <v>150</v>
          </cell>
          <cell r="Z232" t="str">
            <v xml:space="preserve">- $150MM BV </v>
          </cell>
          <cell r="AG232">
            <v>148</v>
          </cell>
          <cell r="AH232" t="str">
            <v>- mgmt assumes $150 min//we est. $200-250</v>
          </cell>
          <cell r="CD232" t="str">
            <v>Resources</v>
          </cell>
          <cell r="CE232">
            <v>0</v>
          </cell>
          <cell r="CF232">
            <v>9</v>
          </cell>
          <cell r="CG232">
            <v>45</v>
          </cell>
          <cell r="CH232">
            <v>5</v>
          </cell>
          <cell r="CI232">
            <v>-0.03</v>
          </cell>
        </row>
        <row r="233">
          <cell r="L233" t="str">
            <v>Arm'd Vehs</v>
          </cell>
          <cell r="W233" t="str">
            <v>Discounted</v>
          </cell>
          <cell r="X233">
            <v>117</v>
          </cell>
          <cell r="Y233">
            <v>150</v>
          </cell>
          <cell r="Z233" t="str">
            <v>- no longer discounting</v>
          </cell>
          <cell r="CD233" t="str">
            <v>Subtotal Ops</v>
          </cell>
          <cell r="CE233">
            <v>4772</v>
          </cell>
          <cell r="CF233">
            <v>460</v>
          </cell>
          <cell r="CG233">
            <v>5055</v>
          </cell>
          <cell r="CH233">
            <v>495</v>
          </cell>
          <cell r="CI233">
            <v>-0.17</v>
          </cell>
        </row>
        <row r="234">
          <cell r="W234" t="str">
            <v xml:space="preserve"> Per Share</v>
          </cell>
          <cell r="X234">
            <v>0.29061102831594632</v>
          </cell>
          <cell r="Y234">
            <v>0.37257824143070045</v>
          </cell>
          <cell r="Z234" t="str">
            <v>- assumes sld 99</v>
          </cell>
          <cell r="CD234" t="str">
            <v>Interest, net</v>
          </cell>
          <cell r="CF234">
            <v>-34</v>
          </cell>
          <cell r="CH234">
            <v>-32</v>
          </cell>
          <cell r="CI234">
            <v>-0.01</v>
          </cell>
        </row>
        <row r="235">
          <cell r="L235" t="str">
            <v>Info Tech</v>
          </cell>
          <cell r="M235" t="str">
            <v>Teledesic</v>
          </cell>
          <cell r="N235" t="str">
            <v>1999</v>
          </cell>
          <cell r="CD235" t="str">
            <v>Tax rate</v>
          </cell>
          <cell r="CF235">
            <v>0.16941176470588235</v>
          </cell>
          <cell r="CH235">
            <v>0.32500000000000001</v>
          </cell>
          <cell r="CI235">
            <v>0.34</v>
          </cell>
        </row>
        <row r="236">
          <cell r="Y236" t="str">
            <v>Est Value of Tax Credit</v>
          </cell>
          <cell r="AD236" t="str">
            <v>Comments</v>
          </cell>
          <cell r="CD236" t="str">
            <v>Share Count</v>
          </cell>
          <cell r="CF236">
            <v>404.04754800000001</v>
          </cell>
          <cell r="CH236">
            <v>201</v>
          </cell>
          <cell r="CI236">
            <v>-0.01</v>
          </cell>
        </row>
        <row r="237">
          <cell r="M237" t="str">
            <v>Potential Foreign Sales</v>
          </cell>
          <cell r="X237" t="str">
            <v>Initial claim</v>
          </cell>
          <cell r="Z237" t="str">
            <v>$ Value</v>
          </cell>
          <cell r="AB237" t="str">
            <v>NPV</v>
          </cell>
          <cell r="AD237" t="str">
            <v>- 7% discount rate; pd '99</v>
          </cell>
          <cell r="CD237" t="str">
            <v>EPS, Cont Ops</v>
          </cell>
          <cell r="CE237" t="str">
            <v xml:space="preserve">Actual </v>
          </cell>
          <cell r="CF237">
            <v>0.87365955256335326</v>
          </cell>
          <cell r="CG237" t="str">
            <v>Estimate</v>
          </cell>
          <cell r="CH237">
            <v>1.55</v>
          </cell>
          <cell r="CI237">
            <v>0.15</v>
          </cell>
        </row>
        <row r="238">
          <cell r="L238" t="str">
            <v>Marine</v>
          </cell>
          <cell r="M238" t="str">
            <v>FG7 refurb</v>
          </cell>
          <cell r="O238" t="str">
            <v>7-8 ships</v>
          </cell>
          <cell r="P238" t="str">
            <v>- small, farther dnstream</v>
          </cell>
          <cell r="X238" t="str">
            <v>Pretax</v>
          </cell>
          <cell r="Y238" t="str">
            <v>After tax</v>
          </cell>
          <cell r="Z238" t="str">
            <v>Low</v>
          </cell>
          <cell r="AA238" t="str">
            <v>High</v>
          </cell>
          <cell r="AB238" t="str">
            <v>Low</v>
          </cell>
          <cell r="AC238" t="str">
            <v>High</v>
          </cell>
          <cell r="AD238" t="str">
            <v>- settled - pd late 98 and 99</v>
          </cell>
        </row>
        <row r="239">
          <cell r="L239" t="str">
            <v>Arm'd Vehs</v>
          </cell>
          <cell r="M239" t="str">
            <v>Egypt tank kits</v>
          </cell>
          <cell r="O239">
            <v>150</v>
          </cell>
          <cell r="P239" t="str">
            <v>100 kits; 1.5MM per, rate of 100/yr drops to 50-ish</v>
          </cell>
          <cell r="W239" t="str">
            <v>Amount settled</v>
          </cell>
          <cell r="X239">
            <v>449</v>
          </cell>
          <cell r="Y239">
            <v>449</v>
          </cell>
          <cell r="Z239">
            <v>449</v>
          </cell>
          <cell r="AA239">
            <v>449</v>
          </cell>
          <cell r="CD239" t="str">
            <v>GD 2Q05 Actual vs. Expectations</v>
          </cell>
        </row>
        <row r="240">
          <cell r="M240" t="str">
            <v>Saudis</v>
          </cell>
          <cell r="O240">
            <v>375</v>
          </cell>
          <cell r="P240" t="str">
            <v>-already app'd by Wash, 237 addl for req of 700</v>
          </cell>
          <cell r="W240" t="str">
            <v>remaining claim</v>
          </cell>
          <cell r="X240">
            <v>78</v>
          </cell>
          <cell r="Y240">
            <v>78</v>
          </cell>
          <cell r="Z240">
            <v>55</v>
          </cell>
          <cell r="AA240">
            <v>78</v>
          </cell>
          <cell r="AB240">
            <v>51.028037383177569</v>
          </cell>
          <cell r="AC240">
            <v>75.405446145561754</v>
          </cell>
          <cell r="AD240" t="str">
            <v>- claims are tax free, int. is taxed</v>
          </cell>
          <cell r="BE240" t="str">
            <v>1Q03</v>
          </cell>
          <cell r="BF240" t="str">
            <v>2Q03</v>
          </cell>
          <cell r="BG240" t="str">
            <v>3Q03</v>
          </cell>
          <cell r="BH240" t="str">
            <v>4Q03</v>
          </cell>
          <cell r="BI240" t="str">
            <v>1Q04</v>
          </cell>
          <cell r="BJ240" t="str">
            <v>2Q04</v>
          </cell>
          <cell r="BK240" t="str">
            <v>3Q04</v>
          </cell>
          <cell r="BL240" t="str">
            <v>4Q04</v>
          </cell>
          <cell r="BM240" t="str">
            <v>1Q05</v>
          </cell>
          <cell r="BN240" t="str">
            <v>2Q05</v>
          </cell>
          <cell r="BO240" t="str">
            <v>3Q05</v>
          </cell>
          <cell r="BP240" t="str">
            <v>4Q05</v>
          </cell>
          <cell r="CE240" t="str">
            <v>Actual</v>
          </cell>
          <cell r="CG240" t="str">
            <v>Estimate</v>
          </cell>
          <cell r="CI240" t="str">
            <v>Net Effect</v>
          </cell>
        </row>
        <row r="241">
          <cell r="M241" t="str">
            <v>Turkey</v>
          </cell>
          <cell r="O241">
            <v>1000</v>
          </cell>
          <cell r="P241" t="str">
            <v>-400-1000 tanks, vs. Germans</v>
          </cell>
          <cell r="W241" t="str">
            <v>Interest</v>
          </cell>
          <cell r="Y241">
            <v>0</v>
          </cell>
          <cell r="Z241">
            <v>0</v>
          </cell>
          <cell r="AA241">
            <v>0</v>
          </cell>
          <cell r="AB241">
            <v>0</v>
          </cell>
          <cell r="AC241">
            <v>0</v>
          </cell>
          <cell r="BC241" t="str">
            <v>Marine margins</v>
          </cell>
          <cell r="BE241">
            <v>6.6598360655737709E-2</v>
          </cell>
          <cell r="BF241">
            <v>6.5106815869786366E-2</v>
          </cell>
          <cell r="BG241">
            <v>3.0252100840336135E-2</v>
          </cell>
          <cell r="BH241">
            <v>4.5454545454545456E-2</v>
          </cell>
          <cell r="BI241">
            <v>7.6562500000000006E-2</v>
          </cell>
          <cell r="BJ241">
            <v>6.881903143585387E-2</v>
          </cell>
          <cell r="BK241">
            <v>5.3726169844020795E-2</v>
          </cell>
          <cell r="BL241">
            <v>4.5739910313901344E-2</v>
          </cell>
          <cell r="BM241">
            <v>4.049586776859504E-2</v>
          </cell>
          <cell r="BN241">
            <v>5.5178268251273345E-2</v>
          </cell>
          <cell r="BO241">
            <v>4.4406490179333902E-2</v>
          </cell>
          <cell r="BP241">
            <v>7.3063380281690141E-2</v>
          </cell>
          <cell r="CE241" t="str">
            <v>Revenue</v>
          </cell>
          <cell r="CF241" t="str">
            <v>Op Prof</v>
          </cell>
          <cell r="CG241" t="str">
            <v>Revenue</v>
          </cell>
          <cell r="CH241" t="str">
            <v>Op Prof</v>
          </cell>
          <cell r="CI241" t="str">
            <v>to EPS</v>
          </cell>
          <cell r="CJ241" t="str">
            <v>Comments</v>
          </cell>
        </row>
        <row r="242">
          <cell r="M242" t="str">
            <v>Greece</v>
          </cell>
          <cell r="O242" t="str">
            <v>??</v>
          </cell>
          <cell r="P242" t="str">
            <v>fast track to keep pace w/ Turks</v>
          </cell>
          <cell r="X242">
            <v>527</v>
          </cell>
          <cell r="Y242">
            <v>527</v>
          </cell>
          <cell r="Z242">
            <v>504</v>
          </cell>
          <cell r="AA242">
            <v>527</v>
          </cell>
          <cell r="AB242">
            <v>470.65420560747663</v>
          </cell>
          <cell r="AC242">
            <v>509.47012972706472</v>
          </cell>
          <cell r="BC242" t="str">
            <v>Marine margins ex. charges</v>
          </cell>
          <cell r="BE242">
            <v>8.299180327868852E-2</v>
          </cell>
          <cell r="BF242">
            <v>6.5106815869786366E-2</v>
          </cell>
          <cell r="BG242">
            <v>6.8067226890756297E-2</v>
          </cell>
          <cell r="BH242">
            <v>6.8627450980392163E-2</v>
          </cell>
          <cell r="BI242">
            <v>7.6562500000000006E-2</v>
          </cell>
          <cell r="BJ242">
            <v>6.881903143585387E-2</v>
          </cell>
          <cell r="BK242">
            <v>7.452339688041594E-2</v>
          </cell>
          <cell r="BL242">
            <v>6.2780269058295965E-2</v>
          </cell>
          <cell r="BM242">
            <v>6.5289256198347106E-2</v>
          </cell>
          <cell r="BN242">
            <v>6.8760611205432934E-2</v>
          </cell>
          <cell r="BO242">
            <v>7.0879590093936809E-2</v>
          </cell>
          <cell r="BP242">
            <v>7.3063380281690141E-2</v>
          </cell>
          <cell r="CD242" t="str">
            <v>Marine</v>
          </cell>
          <cell r="CE242">
            <v>1178</v>
          </cell>
          <cell r="CF242">
            <v>65</v>
          </cell>
          <cell r="CG242">
            <v>1135</v>
          </cell>
          <cell r="CH242">
            <v>70</v>
          </cell>
          <cell r="CI242">
            <v>-0.02</v>
          </cell>
          <cell r="CJ242" t="str">
            <v>-Electric Boat charges</v>
          </cell>
        </row>
        <row r="243">
          <cell r="Y243" t="str">
            <v>Per share</v>
          </cell>
          <cell r="Z243">
            <v>1.2518628912071534</v>
          </cell>
          <cell r="AA243">
            <v>1.3089915548931941</v>
          </cell>
          <cell r="BC243" t="str">
            <v>Charge ($MM)</v>
          </cell>
          <cell r="BE243">
            <v>16</v>
          </cell>
          <cell r="BF243">
            <v>0</v>
          </cell>
          <cell r="BG243">
            <v>45</v>
          </cell>
          <cell r="BH243">
            <v>26</v>
          </cell>
          <cell r="BI243">
            <v>0</v>
          </cell>
          <cell r="BJ243">
            <v>0</v>
          </cell>
          <cell r="BK243">
            <v>24</v>
          </cell>
          <cell r="BL243">
            <v>19</v>
          </cell>
          <cell r="BM243">
            <v>30</v>
          </cell>
          <cell r="BN243">
            <v>16</v>
          </cell>
          <cell r="BO243">
            <v>31</v>
          </cell>
          <cell r="BP243">
            <v>0</v>
          </cell>
          <cell r="CD243" t="str">
            <v>Combat Sys</v>
          </cell>
          <cell r="CE243">
            <v>1118</v>
          </cell>
          <cell r="CF243">
            <v>123</v>
          </cell>
          <cell r="CG243">
            <v>1170</v>
          </cell>
          <cell r="CH243">
            <v>136</v>
          </cell>
          <cell r="CI243">
            <v>-0.04</v>
          </cell>
          <cell r="CJ243" t="str">
            <v>-Timing and deliveries</v>
          </cell>
        </row>
        <row r="244">
          <cell r="Y244" t="str">
            <v>Per share to be rec'd</v>
          </cell>
          <cell r="Z244">
            <v>0.13661202185792348</v>
          </cell>
          <cell r="AA244">
            <v>0.19374068554396423</v>
          </cell>
          <cell r="CD244" t="str">
            <v>IS&amp;T</v>
          </cell>
          <cell r="CE244">
            <v>2013</v>
          </cell>
          <cell r="CF244">
            <v>225</v>
          </cell>
          <cell r="CG244">
            <v>1835</v>
          </cell>
          <cell r="CH244">
            <v>194</v>
          </cell>
          <cell r="CI244">
            <v>0.1</v>
          </cell>
          <cell r="CJ244" t="str">
            <v>-Volume, mix</v>
          </cell>
        </row>
        <row r="245">
          <cell r="M245" t="str">
            <v>U.S. 6 shipbuilders</v>
          </cell>
          <cell r="O245" t="str">
            <v>Prodn Capacities</v>
          </cell>
          <cell r="Q245" t="str">
            <v>Shipbuilders</v>
          </cell>
          <cell r="CD245" t="str">
            <v>Aerospace</v>
          </cell>
          <cell r="CE245">
            <v>828</v>
          </cell>
          <cell r="CF245">
            <v>125</v>
          </cell>
          <cell r="CG245">
            <v>830</v>
          </cell>
          <cell r="CH245">
            <v>124</v>
          </cell>
          <cell r="CI245">
            <v>0</v>
          </cell>
        </row>
        <row r="246">
          <cell r="M246" t="str">
            <v>AVN</v>
          </cell>
          <cell r="O246" t="str">
            <v>Nuclear powered ships</v>
          </cell>
          <cell r="Q246" t="str">
            <v>EB, NN</v>
          </cell>
          <cell r="R246" t="str">
            <v>- the only two w/ experience in prodn</v>
          </cell>
          <cell r="Y246" t="str">
            <v xml:space="preserve">Possible General Dynamics Valuation </v>
          </cell>
          <cell r="CD246" t="str">
            <v>Resources</v>
          </cell>
          <cell r="CE246">
            <v>0</v>
          </cell>
          <cell r="CF246">
            <v>1</v>
          </cell>
          <cell r="CG246">
            <v>65</v>
          </cell>
          <cell r="CH246">
            <v>7</v>
          </cell>
          <cell r="CI246">
            <v>0.01</v>
          </cell>
        </row>
        <row r="247">
          <cell r="M247" t="str">
            <v>BIW</v>
          </cell>
          <cell r="O247" t="str">
            <v>Maj. surface combatants</v>
          </cell>
          <cell r="Q247" t="str">
            <v>BIW, Ingalls</v>
          </cell>
          <cell r="AC247" t="str">
            <v xml:space="preserve">   Per GD Share</v>
          </cell>
          <cell r="CD247" t="str">
            <v>Subtotal Ops</v>
          </cell>
          <cell r="CE247">
            <v>5137</v>
          </cell>
          <cell r="CF247">
            <v>539</v>
          </cell>
          <cell r="CG247">
            <v>5035</v>
          </cell>
          <cell r="CH247">
            <v>531</v>
          </cell>
          <cell r="CI247">
            <v>5.000000000000001E-2</v>
          </cell>
        </row>
        <row r="248">
          <cell r="M248" t="str">
            <v>EB</v>
          </cell>
          <cell r="O248" t="str">
            <v>Amphibious ships</v>
          </cell>
          <cell r="Q248" t="str">
            <v>AVN, Ingalls</v>
          </cell>
          <cell r="Z248" t="str">
            <v xml:space="preserve">      P/E</v>
          </cell>
          <cell r="AC248" t="str">
            <v>Low</v>
          </cell>
          <cell r="AD248" t="str">
            <v>MidPt</v>
          </cell>
          <cell r="AE248" t="str">
            <v>High</v>
          </cell>
          <cell r="CD248" t="str">
            <v>Interest, net</v>
          </cell>
          <cell r="CF248">
            <v>-29</v>
          </cell>
          <cell r="CH248">
            <v>-35</v>
          </cell>
          <cell r="CI248">
            <v>0.02</v>
          </cell>
        </row>
        <row r="249">
          <cell r="M249" t="str">
            <v>Ingalls</v>
          </cell>
          <cell r="O249" t="str">
            <v>Lg aux/sealift ships</v>
          </cell>
          <cell r="Q249" t="str">
            <v>AVN, NASSCO</v>
          </cell>
          <cell r="Y249" t="str">
            <v>EPS</v>
          </cell>
          <cell r="Z249" t="str">
            <v>Low</v>
          </cell>
          <cell r="AA249" t="str">
            <v>Mid-Pt</v>
          </cell>
          <cell r="AB249" t="str">
            <v>High</v>
          </cell>
          <cell r="AC249">
            <v>0</v>
          </cell>
          <cell r="AD249">
            <v>0</v>
          </cell>
          <cell r="AE249">
            <v>0</v>
          </cell>
          <cell r="CD249" t="str">
            <v>Tax rate</v>
          </cell>
          <cell r="CF249">
            <v>0.33855185909980429</v>
          </cell>
          <cell r="CH249">
            <v>0.32500000000000001</v>
          </cell>
          <cell r="CI249">
            <v>-0.03</v>
          </cell>
        </row>
        <row r="250">
          <cell r="W250" t="str">
            <v>Net Cash</v>
          </cell>
          <cell r="AC250">
            <v>0</v>
          </cell>
          <cell r="AD250">
            <v>0</v>
          </cell>
          <cell r="AE250">
            <v>1.5226030799801291</v>
          </cell>
          <cell r="CD250" t="str">
            <v>Share Count</v>
          </cell>
          <cell r="CF250">
            <v>404.39757400000002</v>
          </cell>
          <cell r="CH250">
            <v>202</v>
          </cell>
          <cell r="CI250">
            <v>0</v>
          </cell>
        </row>
        <row r="251">
          <cell r="M251" t="str">
            <v>NASSCO</v>
          </cell>
          <cell r="W251" t="str">
            <v>A-12 Settlement</v>
          </cell>
          <cell r="AC251">
            <v>0.13661202185792348</v>
          </cell>
          <cell r="AD251">
            <v>0.19374068554396423</v>
          </cell>
          <cell r="AE251">
            <v>0.19374068554396423</v>
          </cell>
          <cell r="CD251" t="str">
            <v>EPS, Cont Ops</v>
          </cell>
          <cell r="CE251" t="str">
            <v xml:space="preserve">Actual </v>
          </cell>
          <cell r="CF251">
            <v>0.8358111465821999</v>
          </cell>
          <cell r="CG251" t="str">
            <v>Estimate</v>
          </cell>
          <cell r="CH251">
            <v>1.66</v>
          </cell>
          <cell r="CI251">
            <v>4.0000000000000008E-2</v>
          </cell>
        </row>
        <row r="252">
          <cell r="M252" t="str">
            <v>Newport News</v>
          </cell>
          <cell r="W252" t="str">
            <v>R&amp;D Tax Credit</v>
          </cell>
          <cell r="AC252">
            <v>0.29061102831594632</v>
          </cell>
          <cell r="AD252">
            <v>0.37257824143070045</v>
          </cell>
          <cell r="AE252">
            <v>0.37257824143070045</v>
          </cell>
        </row>
        <row r="253">
          <cell r="W253" t="str">
            <v>Calif Real Estate</v>
          </cell>
          <cell r="AC253">
            <v>28.568461251862892</v>
          </cell>
          <cell r="AD253">
            <v>34.917008196721312</v>
          </cell>
          <cell r="AE253">
            <v>34.917008196721312</v>
          </cell>
          <cell r="CD253" t="str">
            <v>GD 3Q05 Actual vs. Expectations</v>
          </cell>
        </row>
        <row r="254">
          <cell r="M254" t="str">
            <v>DDG-51s</v>
          </cell>
          <cell r="W254" t="str">
            <v>'00 Op EPS (Ex Int Exp</v>
          </cell>
          <cell r="Y254">
            <v>2.1161823149528067</v>
          </cell>
          <cell r="Z254">
            <v>13.5</v>
          </cell>
          <cell r="AA254">
            <v>16.5</v>
          </cell>
          <cell r="AB254">
            <v>17</v>
          </cell>
          <cell r="AC254">
            <v>28.995684302036761</v>
          </cell>
          <cell r="AD254">
            <v>35.483327123695979</v>
          </cell>
          <cell r="AE254">
            <v>37.005930203676108</v>
          </cell>
          <cell r="CE254" t="str">
            <v>Actual</v>
          </cell>
          <cell r="CG254" t="str">
            <v>Estimate</v>
          </cell>
          <cell r="CI254" t="str">
            <v>Net Effect</v>
          </cell>
        </row>
        <row r="255">
          <cell r="M255" t="str">
            <v>Sched. Dels</v>
          </cell>
          <cell r="N255" t="str">
            <v>Firm</v>
          </cell>
          <cell r="O255" t="str">
            <v>Comments</v>
          </cell>
          <cell r="W255" t="str">
            <v xml:space="preserve">  Total</v>
          </cell>
          <cell r="CE255" t="str">
            <v>Revenue</v>
          </cell>
          <cell r="CF255" t="str">
            <v>Op Prof</v>
          </cell>
          <cell r="CG255" t="str">
            <v>Revenue</v>
          </cell>
          <cell r="CH255" t="str">
            <v>Op Prof</v>
          </cell>
          <cell r="CI255" t="str">
            <v>to EPS</v>
          </cell>
          <cell r="CJ255" t="str">
            <v>Comments</v>
          </cell>
        </row>
        <row r="256">
          <cell r="L256">
            <v>1</v>
          </cell>
          <cell r="M256">
            <v>35391</v>
          </cell>
          <cell r="N256">
            <v>68</v>
          </cell>
          <cell r="AA256" t="str">
            <v>General Dynamics P&amp;L ($MM)</v>
          </cell>
          <cell r="CD256" t="str">
            <v>Marine</v>
          </cell>
          <cell r="CE256">
            <v>1171</v>
          </cell>
          <cell r="CF256">
            <v>52</v>
          </cell>
          <cell r="CG256">
            <v>1100</v>
          </cell>
          <cell r="CH256">
            <v>75</v>
          </cell>
          <cell r="CI256">
            <v>-0.08</v>
          </cell>
          <cell r="CJ256" t="str">
            <v>-Comm'l tanker charges</v>
          </cell>
        </row>
        <row r="257">
          <cell r="L257">
            <v>2</v>
          </cell>
          <cell r="M257">
            <v>35531</v>
          </cell>
          <cell r="N257">
            <v>70</v>
          </cell>
          <cell r="AC257">
            <v>0.4272230501738683</v>
          </cell>
          <cell r="AD257">
            <v>0.56631892697466668</v>
          </cell>
          <cell r="CD257" t="str">
            <v>Combat Sys</v>
          </cell>
          <cell r="CE257">
            <v>1240</v>
          </cell>
          <cell r="CF257">
            <v>159</v>
          </cell>
          <cell r="CG257">
            <v>1240</v>
          </cell>
          <cell r="CH257">
            <v>158</v>
          </cell>
          <cell r="CI257">
            <v>0</v>
          </cell>
          <cell r="CJ257" t="str">
            <v>-Timing and deliveries</v>
          </cell>
        </row>
        <row r="258">
          <cell r="L258">
            <v>3</v>
          </cell>
          <cell r="M258">
            <v>35678</v>
          </cell>
          <cell r="N258">
            <v>72</v>
          </cell>
          <cell r="Z258">
            <v>1999</v>
          </cell>
          <cell r="AC258">
            <v>0.4272230501738683</v>
          </cell>
          <cell r="AD258">
            <v>0.56631892697466668</v>
          </cell>
          <cell r="AF258" t="str">
            <v>2001E</v>
          </cell>
          <cell r="AI258" t="str">
            <v>2002E</v>
          </cell>
          <cell r="AL258" t="str">
            <v>2003E</v>
          </cell>
          <cell r="CD258" t="str">
            <v>IS&amp;T</v>
          </cell>
          <cell r="CE258">
            <v>1985</v>
          </cell>
          <cell r="CF258">
            <v>228</v>
          </cell>
          <cell r="CG258">
            <v>1750</v>
          </cell>
          <cell r="CH258">
            <v>188</v>
          </cell>
          <cell r="CI258">
            <v>0.13</v>
          </cell>
          <cell r="CJ258" t="str">
            <v>-Volume, mix</v>
          </cell>
        </row>
        <row r="259">
          <cell r="L259">
            <v>4</v>
          </cell>
          <cell r="M259">
            <v>35868</v>
          </cell>
          <cell r="N259">
            <v>73</v>
          </cell>
          <cell r="Z259" t="str">
            <v>Revs</v>
          </cell>
          <cell r="AA259" t="str">
            <v>OpPr</v>
          </cell>
          <cell r="AB259" t="str">
            <v>% Sls</v>
          </cell>
          <cell r="AC259" t="str">
            <v>98 P/E</v>
          </cell>
          <cell r="AD259" t="str">
            <v>99 P/E</v>
          </cell>
          <cell r="AE259" t="str">
            <v>% Sls</v>
          </cell>
          <cell r="AF259" t="str">
            <v>Revs</v>
          </cell>
          <cell r="AG259" t="str">
            <v>OpPr</v>
          </cell>
          <cell r="AH259" t="str">
            <v>% Sls</v>
          </cell>
          <cell r="AI259" t="str">
            <v>Revs</v>
          </cell>
          <cell r="AJ259" t="str">
            <v>OpPr</v>
          </cell>
          <cell r="AK259" t="str">
            <v>% Sls</v>
          </cell>
          <cell r="AL259" t="str">
            <v>General Dynamics P&amp;L ($MM)</v>
          </cell>
          <cell r="AM259" t="str">
            <v>OpPr</v>
          </cell>
          <cell r="AN259" t="str">
            <v>% Sls</v>
          </cell>
          <cell r="CD259" t="str">
            <v>Aerospace</v>
          </cell>
          <cell r="CE259">
            <v>906</v>
          </cell>
          <cell r="CF259">
            <v>146</v>
          </cell>
          <cell r="CG259">
            <v>820</v>
          </cell>
          <cell r="CH259">
            <v>128</v>
          </cell>
          <cell r="CI259">
            <v>0.06</v>
          </cell>
          <cell r="CJ259" t="str">
            <v>-Volume, mix</v>
          </cell>
        </row>
        <row r="260">
          <cell r="L260">
            <v>5</v>
          </cell>
          <cell r="M260">
            <v>36014</v>
          </cell>
          <cell r="N260">
            <v>75</v>
          </cell>
          <cell r="X260" t="str">
            <v>Marine Group</v>
          </cell>
          <cell r="Z260">
            <v>3088</v>
          </cell>
          <cell r="AA260">
            <v>328</v>
          </cell>
          <cell r="AB260">
            <v>0.10621761658031088</v>
          </cell>
          <cell r="AC260">
            <v>0</v>
          </cell>
          <cell r="AD260">
            <v>0</v>
          </cell>
          <cell r="AE260">
            <v>9.4931145619689419E-2</v>
          </cell>
          <cell r="AF260">
            <v>3612</v>
          </cell>
          <cell r="AG260">
            <v>310</v>
          </cell>
          <cell r="AH260">
            <v>8.58250276854928E-2</v>
          </cell>
          <cell r="AI260">
            <v>3650</v>
          </cell>
          <cell r="AJ260">
            <v>287</v>
          </cell>
          <cell r="AK260">
            <v>7.8630136986301363E-2</v>
          </cell>
          <cell r="AL260">
            <v>4271</v>
          </cell>
          <cell r="AM260">
            <v>216</v>
          </cell>
          <cell r="AN260">
            <v>5.0573636150784362E-2</v>
          </cell>
          <cell r="CD260" t="str">
            <v>Resources</v>
          </cell>
          <cell r="CE260">
            <v>0</v>
          </cell>
          <cell r="CF260">
            <v>-10</v>
          </cell>
          <cell r="CG260">
            <v>75</v>
          </cell>
          <cell r="CH260">
            <v>10</v>
          </cell>
          <cell r="CI260">
            <v>-0.02</v>
          </cell>
        </row>
        <row r="261">
          <cell r="L261">
            <v>6</v>
          </cell>
          <cell r="M261">
            <v>36174</v>
          </cell>
          <cell r="N261">
            <v>76</v>
          </cell>
          <cell r="X261" t="str">
            <v>Combat Sys</v>
          </cell>
          <cell r="Y261" t="str">
            <v>GD is trading at (ex cash)</v>
          </cell>
          <cell r="Z261">
            <v>1290</v>
          </cell>
          <cell r="AA261">
            <v>155</v>
          </cell>
          <cell r="AB261">
            <v>0.12015503875968993</v>
          </cell>
          <cell r="AC261">
            <v>33.437609909877935</v>
          </cell>
          <cell r="AD261">
            <v>23.177577935972923</v>
          </cell>
          <cell r="AE261">
            <v>0.12254516889238021</v>
          </cell>
          <cell r="AF261">
            <v>2210</v>
          </cell>
          <cell r="AG261">
            <v>238</v>
          </cell>
          <cell r="AH261">
            <v>0.1076923076923077</v>
          </cell>
          <cell r="AI261">
            <v>2786</v>
          </cell>
          <cell r="AJ261">
            <v>309</v>
          </cell>
          <cell r="AK261">
            <v>1999</v>
          </cell>
          <cell r="AL261">
            <v>4007</v>
          </cell>
          <cell r="AM261">
            <v>443</v>
          </cell>
          <cell r="AN261" t="str">
            <v>2000E</v>
          </cell>
          <cell r="AQ261" t="str">
            <v>2001E</v>
          </cell>
          <cell r="AT261" t="str">
            <v>2002E</v>
          </cell>
          <cell r="AW261" t="str">
            <v>2003E</v>
          </cell>
          <cell r="CD261" t="str">
            <v>Subtotal Ops</v>
          </cell>
          <cell r="CE261">
            <v>5302</v>
          </cell>
          <cell r="CF261">
            <v>575</v>
          </cell>
          <cell r="CG261">
            <v>4985</v>
          </cell>
          <cell r="CH261">
            <v>559</v>
          </cell>
          <cell r="CI261">
            <v>0.09</v>
          </cell>
        </row>
        <row r="262">
          <cell r="L262">
            <v>7</v>
          </cell>
          <cell r="M262">
            <v>36299</v>
          </cell>
          <cell r="N262">
            <v>77</v>
          </cell>
          <cell r="X262" t="str">
            <v>Info Sys &amp; Tech</v>
          </cell>
          <cell r="Y262" t="str">
            <v>- ex misc. non operating assets</v>
          </cell>
          <cell r="Z262">
            <v>1422</v>
          </cell>
          <cell r="AA262">
            <v>127</v>
          </cell>
          <cell r="AB262">
            <v>41</v>
          </cell>
          <cell r="AC262">
            <v>2337</v>
          </cell>
          <cell r="AD262">
            <v>217</v>
          </cell>
          <cell r="AE262">
            <v>9.2854086435601196E-2</v>
          </cell>
          <cell r="AF262">
            <v>2691</v>
          </cell>
          <cell r="AG262">
            <v>261</v>
          </cell>
          <cell r="AH262">
            <v>9.6989966555183951E-2</v>
          </cell>
          <cell r="AI262">
            <v>3669</v>
          </cell>
          <cell r="AJ262">
            <v>435</v>
          </cell>
          <cell r="AK262" t="str">
            <v>Revs</v>
          </cell>
          <cell r="AL262" t="str">
            <v>OpPr</v>
          </cell>
          <cell r="AM262" t="str">
            <v>% Sls</v>
          </cell>
          <cell r="AN262" t="str">
            <v>Revs</v>
          </cell>
          <cell r="AO262" t="str">
            <v>OpPr</v>
          </cell>
          <cell r="AP262" t="str">
            <v>% Sls</v>
          </cell>
          <cell r="AQ262" t="str">
            <v>Revs</v>
          </cell>
          <cell r="AR262" t="str">
            <v>OpPr</v>
          </cell>
          <cell r="AS262" t="str">
            <v>% Sls</v>
          </cell>
          <cell r="AT262" t="str">
            <v>Revs</v>
          </cell>
          <cell r="AU262" t="str">
            <v>OpPr</v>
          </cell>
          <cell r="AV262" t="str">
            <v>% Sls</v>
          </cell>
          <cell r="AW262" t="str">
            <v>Revs</v>
          </cell>
          <cell r="AX262" t="str">
            <v>OpPr</v>
          </cell>
          <cell r="AY262" t="str">
            <v>% Sls</v>
          </cell>
          <cell r="CD262" t="str">
            <v>Interest, net</v>
          </cell>
          <cell r="CF262">
            <v>-30</v>
          </cell>
          <cell r="CH262">
            <v>-32</v>
          </cell>
          <cell r="CI262">
            <v>0</v>
          </cell>
        </row>
        <row r="263">
          <cell r="L263">
            <v>8</v>
          </cell>
          <cell r="M263">
            <v>47</v>
          </cell>
          <cell r="N263">
            <v>79</v>
          </cell>
          <cell r="X263" t="str">
            <v>Gulfstream</v>
          </cell>
          <cell r="Z263">
            <v>2909</v>
          </cell>
          <cell r="AA263">
            <v>482</v>
          </cell>
          <cell r="AB263">
            <v>0.16569267789618425</v>
          </cell>
          <cell r="AC263">
            <v>3029</v>
          </cell>
          <cell r="AD263">
            <v>592</v>
          </cell>
          <cell r="AE263">
            <v>0.19544404093760318</v>
          </cell>
          <cell r="AF263">
            <v>3265</v>
          </cell>
          <cell r="AG263">
            <v>625</v>
          </cell>
          <cell r="AH263">
            <v>0.19142419601837674</v>
          </cell>
          <cell r="AI263" t="str">
            <v>Marine Group</v>
          </cell>
          <cell r="AJ263">
            <v>447</v>
          </cell>
          <cell r="AK263">
            <v>3088</v>
          </cell>
          <cell r="AL263">
            <v>328</v>
          </cell>
          <cell r="AM263">
            <v>0.10621761658031088</v>
          </cell>
          <cell r="AN263">
            <v>3413</v>
          </cell>
          <cell r="AO263">
            <v>324</v>
          </cell>
          <cell r="AP263">
            <v>9.4931145619689419E-2</v>
          </cell>
          <cell r="AQ263">
            <v>3612</v>
          </cell>
          <cell r="AR263">
            <v>310</v>
          </cell>
          <cell r="AS263">
            <v>8.58250276854928E-2</v>
          </cell>
          <cell r="AT263">
            <v>3650</v>
          </cell>
          <cell r="AU263">
            <v>287</v>
          </cell>
          <cell r="AV263">
            <v>7.8630136986301363E-2</v>
          </cell>
          <cell r="AW263">
            <v>4271</v>
          </cell>
          <cell r="AX263">
            <v>216</v>
          </cell>
          <cell r="AY263">
            <v>5.0573636150784362E-2</v>
          </cell>
          <cell r="CD263" t="str">
            <v>Other</v>
          </cell>
          <cell r="CF263">
            <v>-4</v>
          </cell>
          <cell r="CH263">
            <v>1</v>
          </cell>
          <cell r="CI263">
            <v>-0.01</v>
          </cell>
        </row>
        <row r="264">
          <cell r="L264">
            <v>9</v>
          </cell>
          <cell r="M264">
            <v>238</v>
          </cell>
          <cell r="N264">
            <v>81</v>
          </cell>
          <cell r="X264" t="str">
            <v>Other</v>
          </cell>
          <cell r="Z264">
            <v>250</v>
          </cell>
          <cell r="AA264">
            <v>46</v>
          </cell>
          <cell r="AB264">
            <v>0.184</v>
          </cell>
          <cell r="AC264">
            <v>253</v>
          </cell>
          <cell r="AD264">
            <v>36</v>
          </cell>
          <cell r="AE264">
            <v>0.14229249011857709</v>
          </cell>
          <cell r="AF264">
            <v>276</v>
          </cell>
          <cell r="AG264">
            <v>52</v>
          </cell>
          <cell r="AH264">
            <v>0.18840579710144928</v>
          </cell>
          <cell r="AI264" t="str">
            <v>Combat Sys</v>
          </cell>
          <cell r="AJ264">
            <v>89</v>
          </cell>
          <cell r="AK264">
            <v>1290</v>
          </cell>
          <cell r="AL264">
            <v>155</v>
          </cell>
          <cell r="AM264">
            <v>0.12015503875968993</v>
          </cell>
          <cell r="AN264">
            <v>1273</v>
          </cell>
          <cell r="AO264">
            <v>156</v>
          </cell>
          <cell r="AP264">
            <v>0.12254516889238021</v>
          </cell>
          <cell r="AQ264">
            <v>2210</v>
          </cell>
          <cell r="AR264">
            <v>238</v>
          </cell>
          <cell r="AS264">
            <v>0.1076923076923077</v>
          </cell>
          <cell r="AT264">
            <v>2786</v>
          </cell>
          <cell r="AU264">
            <v>309</v>
          </cell>
          <cell r="AV264">
            <v>0.11091170136396267</v>
          </cell>
          <cell r="AW264">
            <v>4007</v>
          </cell>
          <cell r="AX264">
            <v>443</v>
          </cell>
          <cell r="AY264">
            <v>0.11055652607936112</v>
          </cell>
          <cell r="CD264" t="str">
            <v>Tax rate</v>
          </cell>
          <cell r="CF264">
            <v>0.32717190388170053</v>
          </cell>
          <cell r="CH264">
            <v>0.33100000000000002</v>
          </cell>
          <cell r="CI264">
            <v>0.01</v>
          </cell>
        </row>
        <row r="265">
          <cell r="L265">
            <v>10</v>
          </cell>
          <cell r="M265" t="str">
            <v>???</v>
          </cell>
          <cell r="O265" t="str">
            <v>FY96/FY97 ea. funded 1 add'l boat</v>
          </cell>
          <cell r="X265" t="str">
            <v xml:space="preserve"> Total Revs.</v>
          </cell>
          <cell r="Z265">
            <v>8959</v>
          </cell>
          <cell r="AA265">
            <v>1138</v>
          </cell>
          <cell r="AB265">
            <v>0.12702310525728319</v>
          </cell>
          <cell r="AC265">
            <v>10305</v>
          </cell>
          <cell r="AD265">
            <v>1325</v>
          </cell>
          <cell r="AE265">
            <v>0.12857836001940806</v>
          </cell>
          <cell r="AF265">
            <v>12054</v>
          </cell>
          <cell r="AG265">
            <v>1486</v>
          </cell>
          <cell r="AH265">
            <v>0.12327857972457276</v>
          </cell>
          <cell r="AI265" t="str">
            <v>Info Sys &amp; Tech</v>
          </cell>
          <cell r="AJ265">
            <v>1567</v>
          </cell>
          <cell r="AK265">
            <v>1422</v>
          </cell>
          <cell r="AL265">
            <v>127</v>
          </cell>
          <cell r="AM265">
            <v>8.9310829817158932E-2</v>
          </cell>
          <cell r="AN265">
            <v>2337</v>
          </cell>
          <cell r="AO265">
            <v>217</v>
          </cell>
          <cell r="AP265">
            <v>9.2854086435601196E-2</v>
          </cell>
          <cell r="AQ265">
            <v>2691</v>
          </cell>
          <cell r="AR265">
            <v>261</v>
          </cell>
          <cell r="AS265">
            <v>9.6989966555183951E-2</v>
          </cell>
          <cell r="AT265">
            <v>3669</v>
          </cell>
          <cell r="AU265">
            <v>435</v>
          </cell>
          <cell r="AV265">
            <v>0.11856091578086672</v>
          </cell>
          <cell r="AW265">
            <v>4848</v>
          </cell>
          <cell r="AX265">
            <v>533</v>
          </cell>
          <cell r="AY265">
            <v>0.10994224422442245</v>
          </cell>
          <cell r="CD265" t="str">
            <v>Share Count</v>
          </cell>
          <cell r="CF265">
            <v>405.60674599999999</v>
          </cell>
          <cell r="CH265">
            <v>202.3</v>
          </cell>
          <cell r="CI265">
            <v>0</v>
          </cell>
        </row>
        <row r="266">
          <cell r="X266" t="str">
            <v xml:space="preserve">  % Change</v>
          </cell>
          <cell r="AA266">
            <v>0.23</v>
          </cell>
          <cell r="AD266">
            <v>0.16168717047451669</v>
          </cell>
          <cell r="AG266">
            <v>3.7821482602118005E-2</v>
          </cell>
          <cell r="AI266" t="str">
            <v>Gulfstream</v>
          </cell>
          <cell r="AJ266">
            <v>7.5072886297376087E-2</v>
          </cell>
          <cell r="AK266">
            <v>2909</v>
          </cell>
          <cell r="AL266">
            <v>482</v>
          </cell>
          <cell r="AM266">
            <v>5.4237288135593219E-2</v>
          </cell>
          <cell r="AN266">
            <v>3029</v>
          </cell>
          <cell r="AO266">
            <v>592</v>
          </cell>
          <cell r="AP266">
            <v>0.19544404093760318</v>
          </cell>
          <cell r="AQ266">
            <v>3265</v>
          </cell>
          <cell r="AR266">
            <v>625</v>
          </cell>
          <cell r="AS266">
            <v>0.19142419601837674</v>
          </cell>
          <cell r="AT266">
            <v>3289</v>
          </cell>
          <cell r="AU266">
            <v>447</v>
          </cell>
          <cell r="AV266">
            <v>0.13590757069017939</v>
          </cell>
          <cell r="AW266">
            <v>2946</v>
          </cell>
          <cell r="AX266">
            <v>218</v>
          </cell>
          <cell r="AY266">
            <v>7.3998642226748138E-2</v>
          </cell>
          <cell r="CD266" t="str">
            <v>EPS, Cont Ops</v>
          </cell>
          <cell r="CE266" t="str">
            <v xml:space="preserve">Actual </v>
          </cell>
          <cell r="CF266">
            <v>0.8974209713957767</v>
          </cell>
          <cell r="CG266" t="str">
            <v>Estimate</v>
          </cell>
          <cell r="CH266">
            <v>1.7460800790904598</v>
          </cell>
          <cell r="CI266">
            <v>0.09</v>
          </cell>
        </row>
        <row r="267">
          <cell r="AI267" t="str">
            <v>Other</v>
          </cell>
          <cell r="AK267">
            <v>250</v>
          </cell>
          <cell r="AL267">
            <v>46</v>
          </cell>
          <cell r="AM267">
            <v>-98</v>
          </cell>
          <cell r="AN267">
            <v>253</v>
          </cell>
          <cell r="AO267">
            <v>36</v>
          </cell>
          <cell r="AP267">
            <v>0.14229249011857709</v>
          </cell>
          <cell r="AQ267">
            <v>276</v>
          </cell>
          <cell r="AR267">
            <v>52</v>
          </cell>
          <cell r="AS267">
            <v>0.18840579710144928</v>
          </cell>
          <cell r="AT267">
            <v>286</v>
          </cell>
          <cell r="AU267">
            <v>89</v>
          </cell>
          <cell r="AV267">
            <v>0.3111888111888112</v>
          </cell>
          <cell r="AW267">
            <v>256</v>
          </cell>
          <cell r="AX267">
            <v>32</v>
          </cell>
          <cell r="AY267">
            <v>0.125</v>
          </cell>
        </row>
        <row r="268">
          <cell r="AI268" t="str">
            <v xml:space="preserve"> Total Revs.</v>
          </cell>
          <cell r="AK268">
            <v>8959</v>
          </cell>
          <cell r="AL268">
            <v>1138</v>
          </cell>
          <cell r="AM268">
            <v>3</v>
          </cell>
          <cell r="AN268">
            <v>10305</v>
          </cell>
          <cell r="AO268">
            <v>1325</v>
          </cell>
          <cell r="AP268">
            <v>0.12857836001940806</v>
          </cell>
          <cell r="AQ268">
            <v>12054</v>
          </cell>
          <cell r="AR268">
            <v>1486</v>
          </cell>
          <cell r="AS268">
            <v>0.12327857972457276</v>
          </cell>
          <cell r="AT268">
            <v>13680</v>
          </cell>
          <cell r="AU268">
            <v>1567</v>
          </cell>
          <cell r="AV268">
            <v>0.11454678362573099</v>
          </cell>
          <cell r="AW268">
            <v>16328</v>
          </cell>
          <cell r="AX268">
            <v>1442</v>
          </cell>
          <cell r="AY268">
            <v>8.8314551690347867E-2</v>
          </cell>
          <cell r="CD268" t="str">
            <v>GD 2005 Actual vs. Expectations</v>
          </cell>
        </row>
        <row r="269">
          <cell r="AI269" t="str">
            <v xml:space="preserve">  % Change</v>
          </cell>
          <cell r="AL269">
            <v>0.23</v>
          </cell>
          <cell r="AM269">
            <v>1347</v>
          </cell>
          <cell r="AN269">
            <v>8.2496325330720238E-2</v>
          </cell>
          <cell r="AO269">
            <v>0.16168717047451669</v>
          </cell>
          <cell r="AR269">
            <v>3.7821482602118005E-2</v>
          </cell>
          <cell r="AU269">
            <v>7.5072886297376087E-2</v>
          </cell>
          <cell r="AX269">
            <v>5.4237288135593219E-2</v>
          </cell>
          <cell r="CE269" t="str">
            <v>Actual</v>
          </cell>
          <cell r="CG269" t="str">
            <v>Estimate</v>
          </cell>
          <cell r="CI269" t="str">
            <v>Net Effect</v>
          </cell>
        </row>
        <row r="270">
          <cell r="AM270">
            <v>0.27319970304380103</v>
          </cell>
          <cell r="AX270">
            <v>-98</v>
          </cell>
          <cell r="CE270" t="str">
            <v>Revenue</v>
          </cell>
          <cell r="CF270" t="str">
            <v>Op Prof</v>
          </cell>
          <cell r="CG270" t="str">
            <v>Revenue</v>
          </cell>
          <cell r="CH270" t="str">
            <v>Op Prof</v>
          </cell>
          <cell r="CI270" t="str">
            <v>to EPS</v>
          </cell>
          <cell r="CJ270" t="str">
            <v>Comments</v>
          </cell>
        </row>
        <row r="271">
          <cell r="P271" t="str">
            <v>Potential Bath Increment To GD's Intrinsic Value ($MM)</v>
          </cell>
          <cell r="AM271">
            <v>979</v>
          </cell>
          <cell r="AN271">
            <v>5.9958353748162663E-2</v>
          </cell>
          <cell r="AX271">
            <v>3</v>
          </cell>
          <cell r="CD271" t="str">
            <v>Marine</v>
          </cell>
          <cell r="CE271">
            <v>4695</v>
          </cell>
          <cell r="CF271">
            <v>249</v>
          </cell>
          <cell r="CG271">
            <v>4600</v>
          </cell>
          <cell r="CH271">
            <v>235.2</v>
          </cell>
          <cell r="CI271">
            <v>0.05</v>
          </cell>
        </row>
        <row r="272">
          <cell r="AM272">
            <v>2.457921587531132</v>
          </cell>
          <cell r="AX272">
            <v>1347</v>
          </cell>
          <cell r="AY272">
            <v>8.2496325330720238E-2</v>
          </cell>
          <cell r="CD272" t="str">
            <v>Combat Sys</v>
          </cell>
          <cell r="CE272">
            <v>5021</v>
          </cell>
          <cell r="CF272">
            <v>576</v>
          </cell>
          <cell r="CG272">
            <v>5040</v>
          </cell>
          <cell r="CH272">
            <v>570.18499999999995</v>
          </cell>
          <cell r="CI272">
            <v>0.02</v>
          </cell>
        </row>
        <row r="273">
          <cell r="P273">
            <v>1996</v>
          </cell>
          <cell r="Q273" t="str">
            <v xml:space="preserve">      P/E</v>
          </cell>
          <cell r="U273" t="str">
            <v xml:space="preserve">   Per GD Share</v>
          </cell>
          <cell r="AM273">
            <v>-4.1164788704105337E-2</v>
          </cell>
          <cell r="AX273">
            <v>0.27319970304380103</v>
          </cell>
          <cell r="CD273" t="str">
            <v>IS&amp;T</v>
          </cell>
          <cell r="CE273">
            <v>7826</v>
          </cell>
          <cell r="CF273">
            <v>865</v>
          </cell>
          <cell r="CG273">
            <v>7804.9310000000005</v>
          </cell>
          <cell r="CH273">
            <v>870.15499999999997</v>
          </cell>
          <cell r="CI273">
            <v>-0.02</v>
          </cell>
        </row>
        <row r="274">
          <cell r="P274" t="str">
            <v>EPS</v>
          </cell>
          <cell r="Q274" t="str">
            <v>Low</v>
          </cell>
          <cell r="S274" t="str">
            <v xml:space="preserve">  High</v>
          </cell>
          <cell r="U274" t="str">
            <v>Low</v>
          </cell>
          <cell r="AM274">
            <v>398.30399999999997</v>
          </cell>
          <cell r="AX274">
            <v>979</v>
          </cell>
          <cell r="AY274">
            <v>5.9958353748162663E-2</v>
          </cell>
          <cell r="CD274" t="str">
            <v>Aerospace</v>
          </cell>
          <cell r="CE274">
            <v>3433</v>
          </cell>
          <cell r="CF274">
            <v>495</v>
          </cell>
          <cell r="CG274">
            <v>3449.6435999999999</v>
          </cell>
          <cell r="CH274">
            <v>526.070649</v>
          </cell>
          <cell r="CI274">
            <v>-0.11</v>
          </cell>
        </row>
        <row r="275">
          <cell r="N275" t="str">
            <v xml:space="preserve">Bath Cash EPS </v>
          </cell>
          <cell r="P275">
            <v>0.55000000000000004</v>
          </cell>
          <cell r="Q275">
            <v>9.5</v>
          </cell>
          <cell r="S275">
            <v>12</v>
          </cell>
          <cell r="U275">
            <v>5.2250000000000005</v>
          </cell>
          <cell r="V275" t="str">
            <v>High</v>
          </cell>
          <cell r="W275" t="str">
            <v xml:space="preserve">  Assumptions</v>
          </cell>
          <cell r="AX275">
            <v>2.457921587531132</v>
          </cell>
          <cell r="CD275" t="str">
            <v>Resources</v>
          </cell>
          <cell r="CE275">
            <v>0</v>
          </cell>
          <cell r="CF275">
            <v>-6</v>
          </cell>
          <cell r="CG275">
            <v>254.52</v>
          </cell>
          <cell r="CH275">
            <v>18</v>
          </cell>
          <cell r="CI275">
            <v>-0.02</v>
          </cell>
        </row>
        <row r="276">
          <cell r="V276">
            <v>6.6000000000000005</v>
          </cell>
          <cell r="W276" t="str">
            <v xml:space="preserve"> </v>
          </cell>
          <cell r="AM276">
            <v>0.34955509172800175</v>
          </cell>
          <cell r="AX276">
            <v>-4.1164788704105337E-2</v>
          </cell>
          <cell r="CD276" t="str">
            <v>Subtotal Ops</v>
          </cell>
          <cell r="CE276">
            <v>20975</v>
          </cell>
          <cell r="CF276">
            <v>2179</v>
          </cell>
          <cell r="CG276">
            <v>21149.0946</v>
          </cell>
          <cell r="CH276">
            <v>2219.6106490000002</v>
          </cell>
          <cell r="CI276">
            <v>-0.08</v>
          </cell>
        </row>
        <row r="277">
          <cell r="AX277">
            <v>398.30399999999997</v>
          </cell>
          <cell r="CD277" t="str">
            <v>Interest, net</v>
          </cell>
          <cell r="CF277">
            <v>-118</v>
          </cell>
          <cell r="CH277">
            <v>-135.24139999999997</v>
          </cell>
          <cell r="CI277">
            <v>0.06</v>
          </cell>
        </row>
        <row r="278">
          <cell r="N278" t="str">
            <v>Cash paid</v>
          </cell>
          <cell r="U278">
            <v>-4.7468354430379742</v>
          </cell>
          <cell r="CD278" t="str">
            <v>Other</v>
          </cell>
          <cell r="CF278">
            <v>8</v>
          </cell>
          <cell r="CH278">
            <v>0</v>
          </cell>
          <cell r="CI278">
            <v>7.0000000000000007E-2</v>
          </cell>
        </row>
        <row r="279">
          <cell r="N279" t="str">
            <v xml:space="preserve">  Total</v>
          </cell>
          <cell r="U279">
            <v>0.47816455696202631</v>
          </cell>
          <cell r="V279">
            <v>-4.7468354430379742</v>
          </cell>
          <cell r="W279" t="str">
            <v>-$300MM/ 63MM shs.</v>
          </cell>
          <cell r="AX279">
            <v>0.34955509172800175</v>
          </cell>
          <cell r="CD279" t="str">
            <v>Tax rate</v>
          </cell>
          <cell r="CF279">
            <v>0.3001449975833736</v>
          </cell>
          <cell r="CH279">
            <v>0.30299999999999999</v>
          </cell>
          <cell r="CI279">
            <v>0.02</v>
          </cell>
        </row>
        <row r="280">
          <cell r="V280">
            <v>1.8531645569620263</v>
          </cell>
          <cell r="AD280" t="str">
            <v>General Dynamics' Revenues By Program  ($MM)</v>
          </cell>
          <cell r="CD280" t="str">
            <v>Share Count</v>
          </cell>
          <cell r="CF280">
            <v>404.84800000000001</v>
          </cell>
          <cell r="CH280">
            <v>202.25562500000001</v>
          </cell>
          <cell r="CI280" t="str">
            <v>-</v>
          </cell>
        </row>
        <row r="281">
          <cell r="R281" t="str">
            <v>General Dynamics' Revenues By Program  ($MM)</v>
          </cell>
          <cell r="AP281" t="str">
            <v>General Dynamics' Revenues By Program  ($MM)</v>
          </cell>
          <cell r="CD281" t="str">
            <v>EPS, Cont Ops</v>
          </cell>
          <cell r="CE281" t="str">
            <v xml:space="preserve">Actual </v>
          </cell>
          <cell r="CF281">
            <v>3.5766509900011854</v>
          </cell>
          <cell r="CG281" t="str">
            <v>Estimate</v>
          </cell>
          <cell r="CH281">
            <v>7.1830158817733762</v>
          </cell>
          <cell r="CI281">
            <v>7.0000000000000007E-2</v>
          </cell>
        </row>
        <row r="282">
          <cell r="AE282">
            <v>1995</v>
          </cell>
          <cell r="AF282">
            <v>1996</v>
          </cell>
          <cell r="AG282">
            <v>1997</v>
          </cell>
          <cell r="AH282">
            <v>1998</v>
          </cell>
          <cell r="AI282">
            <v>1999</v>
          </cell>
          <cell r="AJ282" t="str">
            <v>Comments</v>
          </cell>
        </row>
        <row r="283">
          <cell r="Q283" t="str">
            <v>Armored Vehs</v>
          </cell>
          <cell r="S283">
            <v>1995</v>
          </cell>
          <cell r="T283">
            <v>1996</v>
          </cell>
          <cell r="AC283" t="str">
            <v>Armored Vehs</v>
          </cell>
          <cell r="AE283">
            <v>130</v>
          </cell>
          <cell r="AF283">
            <v>90</v>
          </cell>
          <cell r="AG283">
            <v>75</v>
          </cell>
          <cell r="AH283">
            <v>0</v>
          </cell>
          <cell r="AI283">
            <v>0</v>
          </cell>
          <cell r="AJ283" t="str">
            <v>- Egypt co prodn</v>
          </cell>
          <cell r="AP283" t="str">
            <v>Combat Vehs</v>
          </cell>
          <cell r="AR283">
            <v>1995</v>
          </cell>
          <cell r="AS283">
            <v>1996</v>
          </cell>
          <cell r="AT283">
            <v>1997</v>
          </cell>
          <cell r="AU283">
            <v>1998</v>
          </cell>
          <cell r="AV283">
            <v>1999</v>
          </cell>
          <cell r="AW283" t="str">
            <v>Comments</v>
          </cell>
        </row>
        <row r="284">
          <cell r="Q284" t="str">
            <v>M1A1</v>
          </cell>
          <cell r="S284">
            <v>130</v>
          </cell>
          <cell r="T284">
            <v>90</v>
          </cell>
          <cell r="V284">
            <v>1997</v>
          </cell>
          <cell r="W284">
            <v>1998</v>
          </cell>
          <cell r="X284">
            <v>1999</v>
          </cell>
          <cell r="Y284" t="str">
            <v>Comments</v>
          </cell>
          <cell r="AC284" t="str">
            <v>M1A1</v>
          </cell>
          <cell r="AE284">
            <v>220</v>
          </cell>
          <cell r="AF284">
            <v>30</v>
          </cell>
          <cell r="AG284">
            <v>0</v>
          </cell>
          <cell r="AH284">
            <v>0</v>
          </cell>
          <cell r="AI284">
            <v>0</v>
          </cell>
          <cell r="AJ284" t="str">
            <v xml:space="preserve"> Awaiting Saudi order</v>
          </cell>
          <cell r="AP284" t="str">
            <v>M1A1</v>
          </cell>
          <cell r="AR284">
            <v>130</v>
          </cell>
          <cell r="AS284">
            <v>90</v>
          </cell>
          <cell r="AT284">
            <v>75</v>
          </cell>
          <cell r="AU284">
            <v>0</v>
          </cell>
          <cell r="AV284">
            <v>0</v>
          </cell>
        </row>
        <row r="285">
          <cell r="Q285" t="str">
            <v>M1A2</v>
          </cell>
          <cell r="S285">
            <v>220</v>
          </cell>
          <cell r="T285">
            <v>30</v>
          </cell>
          <cell r="V285">
            <v>75</v>
          </cell>
          <cell r="Y285" t="str">
            <v>- Awaiting Egypt order</v>
          </cell>
          <cell r="AC285" t="str">
            <v>M1A2</v>
          </cell>
          <cell r="AE285">
            <v>240</v>
          </cell>
          <cell r="AF285">
            <v>260</v>
          </cell>
          <cell r="AG285">
            <v>260</v>
          </cell>
          <cell r="AH285">
            <v>270</v>
          </cell>
          <cell r="AI285">
            <v>320</v>
          </cell>
          <cell r="AP285" t="str">
            <v>M1A2</v>
          </cell>
          <cell r="AR285">
            <v>220</v>
          </cell>
          <cell r="AS285">
            <v>30</v>
          </cell>
          <cell r="AT285">
            <v>0</v>
          </cell>
          <cell r="AU285">
            <v>0</v>
          </cell>
          <cell r="AV285">
            <v>0</v>
          </cell>
        </row>
        <row r="286">
          <cell r="Q286" t="str">
            <v>M1A2 Army Upgrade</v>
          </cell>
          <cell r="S286">
            <v>240</v>
          </cell>
          <cell r="T286">
            <v>260</v>
          </cell>
          <cell r="V286">
            <v>0</v>
          </cell>
          <cell r="W286">
            <v>0</v>
          </cell>
          <cell r="X286">
            <v>0</v>
          </cell>
          <cell r="Y286" t="str">
            <v xml:space="preserve"> Awaiting Saudi order</v>
          </cell>
          <cell r="AC286" t="str">
            <v>M1A2 Army Upgrade</v>
          </cell>
          <cell r="AE286">
            <v>90</v>
          </cell>
          <cell r="AF286">
            <v>90</v>
          </cell>
          <cell r="AG286">
            <v>80</v>
          </cell>
          <cell r="AH286">
            <v>80</v>
          </cell>
          <cell r="AI286">
            <v>80</v>
          </cell>
          <cell r="AP286" t="str">
            <v>M1A2 Army Upgrade</v>
          </cell>
          <cell r="AR286">
            <v>240</v>
          </cell>
          <cell r="AS286">
            <v>260</v>
          </cell>
          <cell r="AT286">
            <v>260</v>
          </cell>
          <cell r="AU286">
            <v>270</v>
          </cell>
          <cell r="AV286">
            <v>320</v>
          </cell>
        </row>
        <row r="287">
          <cell r="Q287" t="str">
            <v>Prodn tank</v>
          </cell>
          <cell r="S287">
            <v>90</v>
          </cell>
          <cell r="T287">
            <v>90</v>
          </cell>
          <cell r="V287">
            <v>260</v>
          </cell>
          <cell r="W287">
            <v>270</v>
          </cell>
          <cell r="X287">
            <v>320</v>
          </cell>
          <cell r="Y287" t="str">
            <v>- converts old M1s to A2s</v>
          </cell>
          <cell r="AC287" t="str">
            <v>Prodn tank</v>
          </cell>
          <cell r="AE287">
            <v>70</v>
          </cell>
          <cell r="AF287">
            <v>90</v>
          </cell>
          <cell r="AG287">
            <v>90</v>
          </cell>
          <cell r="AH287">
            <v>80</v>
          </cell>
          <cell r="AI287">
            <v>45</v>
          </cell>
          <cell r="AJ287" t="str">
            <v>- dn 50% w/o new foreign ords</v>
          </cell>
          <cell r="AP287" t="str">
            <v>Prodn tank</v>
          </cell>
          <cell r="AR287">
            <v>90</v>
          </cell>
          <cell r="AS287">
            <v>90</v>
          </cell>
          <cell r="AT287">
            <v>80</v>
          </cell>
          <cell r="AU287">
            <v>80</v>
          </cell>
          <cell r="AV287">
            <v>80</v>
          </cell>
        </row>
        <row r="288">
          <cell r="Q288" t="str">
            <v>Fox</v>
          </cell>
          <cell r="S288">
            <v>0</v>
          </cell>
          <cell r="T288">
            <v>30</v>
          </cell>
          <cell r="V288">
            <v>80</v>
          </cell>
          <cell r="W288">
            <v>80</v>
          </cell>
          <cell r="X288">
            <v>80</v>
          </cell>
          <cell r="Y288" t="str">
            <v>- misc. tank work</v>
          </cell>
          <cell r="AC288" t="str">
            <v>Support services</v>
          </cell>
          <cell r="AE288">
            <v>125</v>
          </cell>
          <cell r="AF288">
            <v>130</v>
          </cell>
          <cell r="AG288">
            <v>125</v>
          </cell>
          <cell r="AH288">
            <v>100</v>
          </cell>
          <cell r="AI288">
            <v>0</v>
          </cell>
          <cell r="AP288" t="str">
            <v>Support services</v>
          </cell>
          <cell r="AR288">
            <v>70</v>
          </cell>
          <cell r="AS288">
            <v>90</v>
          </cell>
          <cell r="AT288">
            <v>90</v>
          </cell>
          <cell r="AU288">
            <v>80</v>
          </cell>
          <cell r="AV288">
            <v>45</v>
          </cell>
        </row>
        <row r="289">
          <cell r="Q289" t="str">
            <v>Heavy Assault Bridge</v>
          </cell>
          <cell r="V289">
            <v>180</v>
          </cell>
          <cell r="W289">
            <v>60</v>
          </cell>
          <cell r="X289">
            <v>0</v>
          </cell>
          <cell r="Y289" t="str">
            <v>- completed 3/98</v>
          </cell>
          <cell r="AC289" t="str">
            <v>SINCGARS</v>
          </cell>
          <cell r="AE289">
            <v>0</v>
          </cell>
          <cell r="AF289">
            <v>0</v>
          </cell>
          <cell r="AG289">
            <v>534</v>
          </cell>
          <cell r="AH289">
            <v>295</v>
          </cell>
          <cell r="AI289">
            <v>360</v>
          </cell>
          <cell r="AP289" t="str">
            <v>SINCGARS</v>
          </cell>
          <cell r="AR289">
            <v>125</v>
          </cell>
          <cell r="AS289">
            <v>130</v>
          </cell>
          <cell r="AT289">
            <v>125</v>
          </cell>
          <cell r="AU289">
            <v>100</v>
          </cell>
          <cell r="AV289">
            <v>0</v>
          </cell>
        </row>
        <row r="290">
          <cell r="Q290" t="str">
            <v>Crusader</v>
          </cell>
          <cell r="S290">
            <v>0</v>
          </cell>
          <cell r="T290">
            <v>40</v>
          </cell>
          <cell r="V290">
            <v>15</v>
          </cell>
          <cell r="W290">
            <v>35</v>
          </cell>
          <cell r="X290">
            <v>40</v>
          </cell>
          <cell r="Y290" t="str">
            <v xml:space="preserve">- R&amp;D 96/EMD 97/prodn 98 </v>
          </cell>
          <cell r="AC290" t="str">
            <v>Def/Arm Sys</v>
          </cell>
          <cell r="AE290">
            <v>0</v>
          </cell>
          <cell r="AF290">
            <v>30</v>
          </cell>
          <cell r="AG290">
            <v>180</v>
          </cell>
          <cell r="AH290">
            <v>60</v>
          </cell>
          <cell r="AI290">
            <v>0</v>
          </cell>
          <cell r="AJ290" t="str">
            <v>- veh. upgrade</v>
          </cell>
          <cell r="AP290" t="str">
            <v>Def/Arm Sys</v>
          </cell>
          <cell r="AR290">
            <v>0</v>
          </cell>
          <cell r="AS290">
            <v>0</v>
          </cell>
          <cell r="AT290">
            <v>534</v>
          </cell>
          <cell r="AU290">
            <v>295</v>
          </cell>
          <cell r="AV290">
            <v>360</v>
          </cell>
        </row>
        <row r="291">
          <cell r="Q291" t="str">
            <v>AAAV</v>
          </cell>
          <cell r="S291">
            <v>0</v>
          </cell>
          <cell r="T291">
            <v>15</v>
          </cell>
          <cell r="V291">
            <v>40</v>
          </cell>
          <cell r="W291">
            <v>50</v>
          </cell>
          <cell r="X291">
            <v>80</v>
          </cell>
          <cell r="AC291" t="str">
            <v>Fox</v>
          </cell>
          <cell r="AE291">
            <v>0</v>
          </cell>
          <cell r="AF291">
            <v>0</v>
          </cell>
          <cell r="AG291">
            <v>15</v>
          </cell>
          <cell r="AH291">
            <v>35</v>
          </cell>
          <cell r="AI291">
            <v>40</v>
          </cell>
          <cell r="AJ291" t="str">
            <v>- prodn in '99</v>
          </cell>
          <cell r="AP291" t="str">
            <v>Fox</v>
          </cell>
          <cell r="AR291">
            <v>0</v>
          </cell>
          <cell r="AS291">
            <v>30</v>
          </cell>
          <cell r="AT291">
            <v>180</v>
          </cell>
          <cell r="AU291">
            <v>60</v>
          </cell>
          <cell r="AV291">
            <v>0</v>
          </cell>
        </row>
        <row r="292">
          <cell r="V292">
            <v>50</v>
          </cell>
          <cell r="W292">
            <v>50</v>
          </cell>
          <cell r="X292">
            <v>80</v>
          </cell>
          <cell r="AC292" t="str">
            <v>Heavy Assault Bridge</v>
          </cell>
        </row>
        <row r="293">
          <cell r="Q293" t="str">
            <v>SINCGARS</v>
          </cell>
          <cell r="S293">
            <v>125</v>
          </cell>
          <cell r="T293">
            <v>130</v>
          </cell>
          <cell r="AE293">
            <v>0</v>
          </cell>
          <cell r="AF293">
            <v>40</v>
          </cell>
          <cell r="AG293">
            <v>40</v>
          </cell>
          <cell r="AH293">
            <v>50</v>
          </cell>
          <cell r="AI293">
            <v>80</v>
          </cell>
          <cell r="AP293" t="str">
            <v>Engineering</v>
          </cell>
          <cell r="AR293">
            <v>175</v>
          </cell>
          <cell r="AS293">
            <v>305</v>
          </cell>
          <cell r="AT293">
            <v>165</v>
          </cell>
          <cell r="AU293">
            <v>400</v>
          </cell>
          <cell r="AV293">
            <v>465</v>
          </cell>
        </row>
        <row r="294">
          <cell r="Q294" t="str">
            <v>Combat Eng Veh</v>
          </cell>
          <cell r="T294">
            <v>15</v>
          </cell>
          <cell r="V294">
            <v>125</v>
          </cell>
          <cell r="W294">
            <v>100</v>
          </cell>
          <cell r="X294">
            <v>0</v>
          </cell>
          <cell r="AC294" t="str">
            <v>Crusader</v>
          </cell>
          <cell r="AE294">
            <v>0</v>
          </cell>
          <cell r="AF294">
            <v>15</v>
          </cell>
          <cell r="AG294">
            <v>50</v>
          </cell>
          <cell r="AH294">
            <v>50</v>
          </cell>
          <cell r="AI294">
            <v>80</v>
          </cell>
          <cell r="AP294" t="str">
            <v>Combat Vehicles Total</v>
          </cell>
          <cell r="AR294">
            <v>1050</v>
          </cell>
          <cell r="AS294">
            <v>1025</v>
          </cell>
          <cell r="AT294">
            <v>1509</v>
          </cell>
          <cell r="AU294">
            <v>1285</v>
          </cell>
          <cell r="AV294">
            <v>1270</v>
          </cell>
        </row>
        <row r="295">
          <cell r="Q295" t="str">
            <v>Support services</v>
          </cell>
          <cell r="S295">
            <v>70</v>
          </cell>
          <cell r="T295">
            <v>90</v>
          </cell>
          <cell r="V295">
            <v>15</v>
          </cell>
          <cell r="W295">
            <v>15</v>
          </cell>
          <cell r="X295">
            <v>15</v>
          </cell>
          <cell r="Y295" t="str">
            <v>- R&amp;D</v>
          </cell>
          <cell r="AC295" t="str">
            <v>AAAV</v>
          </cell>
          <cell r="AE295">
            <v>0</v>
          </cell>
          <cell r="AF295">
            <v>15</v>
          </cell>
          <cell r="AG295">
            <v>15</v>
          </cell>
          <cell r="AH295">
            <v>15</v>
          </cell>
          <cell r="AI295">
            <v>15</v>
          </cell>
          <cell r="AJ295" t="str">
            <v>- new gen. combat veh.</v>
          </cell>
          <cell r="AP295" t="str">
            <v>% Eng'g</v>
          </cell>
          <cell r="AR295">
            <v>0.16666666666666666</v>
          </cell>
          <cell r="AS295">
            <v>0.29756097560975608</v>
          </cell>
          <cell r="AT295">
            <v>0.10934393638170974</v>
          </cell>
          <cell r="AU295">
            <v>0.31128404669260701</v>
          </cell>
          <cell r="AV295">
            <v>0.36614173228346458</v>
          </cell>
        </row>
        <row r="296">
          <cell r="Q296" t="str">
            <v>Defense Systems</v>
          </cell>
          <cell r="V296">
            <v>90</v>
          </cell>
          <cell r="W296">
            <v>80</v>
          </cell>
          <cell r="X296">
            <v>45</v>
          </cell>
          <cell r="Y296" t="str">
            <v>- Middle East, drops off 50% if no new contracts</v>
          </cell>
          <cell r="AC296" t="str">
            <v>Combat Eng Veh</v>
          </cell>
          <cell r="AE296">
            <v>175</v>
          </cell>
          <cell r="AF296">
            <v>235</v>
          </cell>
          <cell r="AG296">
            <v>45</v>
          </cell>
          <cell r="AH296">
            <v>250</v>
          </cell>
          <cell r="AI296">
            <v>250</v>
          </cell>
          <cell r="AJ296" t="str">
            <v>- holds steady, 97 add Fox</v>
          </cell>
          <cell r="AP296" t="str">
            <v>Marine Systems</v>
          </cell>
        </row>
        <row r="297">
          <cell r="Q297" t="str">
            <v>Armament systems</v>
          </cell>
          <cell r="V297">
            <v>250</v>
          </cell>
          <cell r="W297">
            <v>95</v>
          </cell>
          <cell r="X297">
            <v>125</v>
          </cell>
          <cell r="AC297" t="str">
            <v>Other</v>
          </cell>
          <cell r="AE297">
            <v>1050</v>
          </cell>
          <cell r="AF297">
            <v>1025</v>
          </cell>
          <cell r="AG297">
            <v>1509</v>
          </cell>
          <cell r="AH297">
            <v>1285</v>
          </cell>
          <cell r="AI297">
            <v>1270</v>
          </cell>
          <cell r="AP297" t="str">
            <v>Trident</v>
          </cell>
          <cell r="AR297">
            <v>410</v>
          </cell>
          <cell r="AS297">
            <v>325</v>
          </cell>
          <cell r="AT297">
            <v>100</v>
          </cell>
          <cell r="AU297">
            <v>60</v>
          </cell>
          <cell r="AV297" t="e">
            <v>#REF!</v>
          </cell>
        </row>
        <row r="298">
          <cell r="Q298" t="str">
            <v>Other Eng'g</v>
          </cell>
          <cell r="S298">
            <v>175</v>
          </cell>
          <cell r="T298">
            <v>235</v>
          </cell>
          <cell r="V298">
            <v>284</v>
          </cell>
          <cell r="W298">
            <v>200</v>
          </cell>
          <cell r="X298">
            <v>235</v>
          </cell>
          <cell r="Y298" t="str">
            <v>- fire control transferred to Marine</v>
          </cell>
          <cell r="AC298" t="str">
            <v>subtotal</v>
          </cell>
          <cell r="AE298">
            <v>0.16666666666666666</v>
          </cell>
          <cell r="AF298">
            <v>0.29756097560975608</v>
          </cell>
          <cell r="AG298">
            <v>0.10934393638170974</v>
          </cell>
          <cell r="AH298">
            <v>0.31128404669260701</v>
          </cell>
          <cell r="AI298">
            <v>0.36614173228346458</v>
          </cell>
          <cell r="AP298" t="str">
            <v>SSN-688</v>
          </cell>
          <cell r="AR298">
            <v>100</v>
          </cell>
          <cell r="AS298">
            <v>30</v>
          </cell>
          <cell r="AT298">
            <v>0</v>
          </cell>
          <cell r="AU298">
            <v>0</v>
          </cell>
          <cell r="AV298">
            <v>0</v>
          </cell>
        </row>
        <row r="299">
          <cell r="Q299" t="str">
            <v>subtotal</v>
          </cell>
          <cell r="S299">
            <v>1050</v>
          </cell>
          <cell r="T299">
            <v>1025</v>
          </cell>
          <cell r="V299">
            <v>45</v>
          </cell>
          <cell r="W299">
            <v>250</v>
          </cell>
          <cell r="X299">
            <v>250</v>
          </cell>
          <cell r="Y299" t="str">
            <v>- 97 some in Fox prog</v>
          </cell>
          <cell r="AC299" t="str">
            <v>% Engineering</v>
          </cell>
          <cell r="AG299">
            <v>0.16923076923076924</v>
          </cell>
          <cell r="AH299">
            <v>0.40404040404040403</v>
          </cell>
          <cell r="AI299">
            <v>0.51098901098901095</v>
          </cell>
          <cell r="AJ299" t="str">
            <v>- excludes Def/Arm sys</v>
          </cell>
          <cell r="AP299" t="str">
            <v>Seawolf</v>
          </cell>
          <cell r="AR299">
            <v>475</v>
          </cell>
          <cell r="AS299">
            <v>530</v>
          </cell>
          <cell r="AT299">
            <v>560</v>
          </cell>
          <cell r="AU299">
            <v>600</v>
          </cell>
          <cell r="AV299" t="e">
            <v>#REF!</v>
          </cell>
        </row>
        <row r="300">
          <cell r="V300">
            <v>1509</v>
          </cell>
          <cell r="W300">
            <v>1285</v>
          </cell>
          <cell r="X300">
            <v>1270</v>
          </cell>
          <cell r="AE300">
            <v>1995</v>
          </cell>
          <cell r="AF300">
            <v>1996</v>
          </cell>
          <cell r="AG300">
            <v>1997</v>
          </cell>
          <cell r="AH300">
            <v>1998</v>
          </cell>
          <cell r="AI300">
            <v>1999</v>
          </cell>
          <cell r="AJ300" t="str">
            <v>Comments</v>
          </cell>
          <cell r="AP300" t="str">
            <v>DDG-51</v>
          </cell>
          <cell r="AR300">
            <v>305</v>
          </cell>
          <cell r="AS300">
            <v>780</v>
          </cell>
          <cell r="AT300">
            <v>800</v>
          </cell>
          <cell r="AU300">
            <v>840</v>
          </cell>
          <cell r="AV300" t="e">
            <v>#REF!</v>
          </cell>
        </row>
        <row r="301">
          <cell r="Q301" t="str">
            <v>Marine</v>
          </cell>
          <cell r="S301">
            <v>1995</v>
          </cell>
          <cell r="T301">
            <v>1996</v>
          </cell>
          <cell r="AC301" t="str">
            <v>Marine</v>
          </cell>
          <cell r="AE301">
            <v>410</v>
          </cell>
          <cell r="AF301">
            <v>325</v>
          </cell>
          <cell r="AG301">
            <v>100</v>
          </cell>
          <cell r="AH301">
            <v>60</v>
          </cell>
          <cell r="AI301" t="e">
            <v>#REF!</v>
          </cell>
          <cell r="AP301" t="str">
            <v>Amsea</v>
          </cell>
          <cell r="AR301">
            <v>69</v>
          </cell>
          <cell r="AS301">
            <v>85</v>
          </cell>
          <cell r="AT301">
            <v>95</v>
          </cell>
          <cell r="AU301">
            <v>95</v>
          </cell>
          <cell r="AV301" t="e">
            <v>#REF!</v>
          </cell>
          <cell r="BH301" t="str">
            <v>EBITDA</v>
          </cell>
        </row>
        <row r="302">
          <cell r="Q302" t="str">
            <v>Trident</v>
          </cell>
          <cell r="S302">
            <v>410</v>
          </cell>
          <cell r="T302">
            <v>325</v>
          </cell>
          <cell r="V302">
            <v>1997</v>
          </cell>
          <cell r="W302">
            <v>1998</v>
          </cell>
          <cell r="X302">
            <v>1999</v>
          </cell>
          <cell r="AC302" t="str">
            <v>Trident</v>
          </cell>
          <cell r="AE302">
            <v>100</v>
          </cell>
          <cell r="AF302">
            <v>30</v>
          </cell>
          <cell r="AG302">
            <v>0</v>
          </cell>
          <cell r="AH302">
            <v>0</v>
          </cell>
          <cell r="AI302">
            <v>0</v>
          </cell>
          <cell r="AP302" t="str">
            <v>Engineering</v>
          </cell>
          <cell r="AR302">
            <v>525</v>
          </cell>
          <cell r="AS302">
            <v>582</v>
          </cell>
          <cell r="AT302">
            <v>756</v>
          </cell>
          <cell r="AU302">
            <v>1071</v>
          </cell>
          <cell r="AV302" t="e">
            <v>#REF!</v>
          </cell>
          <cell r="BF302" t="str">
            <v>Business</v>
          </cell>
          <cell r="BH302" t="str">
            <v>Multiple</v>
          </cell>
          <cell r="BI302" t="str">
            <v>$ Value</v>
          </cell>
        </row>
        <row r="303">
          <cell r="Q303" t="str">
            <v>SSN-688</v>
          </cell>
          <cell r="S303">
            <v>100</v>
          </cell>
          <cell r="T303">
            <v>30</v>
          </cell>
          <cell r="V303">
            <v>100</v>
          </cell>
          <cell r="W303">
            <v>60</v>
          </cell>
          <cell r="X303" t="e">
            <v>#REF!</v>
          </cell>
          <cell r="AC303" t="str">
            <v>SSN-688</v>
          </cell>
          <cell r="AE303">
            <v>475</v>
          </cell>
          <cell r="AF303">
            <v>530</v>
          </cell>
          <cell r="AG303">
            <v>560</v>
          </cell>
          <cell r="AH303">
            <v>600</v>
          </cell>
          <cell r="AI303" t="e">
            <v>#REF!</v>
          </cell>
          <cell r="AP303" t="str">
            <v>Marine Total</v>
          </cell>
          <cell r="AR303">
            <v>1884</v>
          </cell>
          <cell r="AS303">
            <v>2332</v>
          </cell>
          <cell r="AT303">
            <v>2311</v>
          </cell>
          <cell r="AU303">
            <v>2666</v>
          </cell>
          <cell r="AV303" t="e">
            <v>#REF!</v>
          </cell>
          <cell r="BF303" t="str">
            <v>Defense</v>
          </cell>
          <cell r="BG303">
            <v>1331</v>
          </cell>
          <cell r="BH303">
            <v>11</v>
          </cell>
          <cell r="BI303">
            <v>14641</v>
          </cell>
          <cell r="BJ303" t="str">
            <v>Defense</v>
          </cell>
          <cell r="BM303">
            <v>14641</v>
          </cell>
          <cell r="BQ303">
            <v>94</v>
          </cell>
        </row>
        <row r="304">
          <cell r="Q304" t="str">
            <v>Seawolf</v>
          </cell>
          <cell r="S304">
            <v>475</v>
          </cell>
          <cell r="T304">
            <v>530</v>
          </cell>
          <cell r="V304">
            <v>0</v>
          </cell>
          <cell r="W304">
            <v>0</v>
          </cell>
          <cell r="X304">
            <v>0</v>
          </cell>
          <cell r="AC304" t="str">
            <v>Seawolf</v>
          </cell>
          <cell r="AE304">
            <v>515</v>
          </cell>
          <cell r="AF304">
            <v>557</v>
          </cell>
          <cell r="AG304">
            <v>620</v>
          </cell>
          <cell r="AH304">
            <v>720</v>
          </cell>
          <cell r="AI304" t="e">
            <v>#REF!</v>
          </cell>
          <cell r="AP304" t="str">
            <v>% Eng'g</v>
          </cell>
          <cell r="AR304">
            <v>0.2786624203821656</v>
          </cell>
          <cell r="AS304">
            <v>0.24957118353344768</v>
          </cell>
          <cell r="AT304">
            <v>0.3271311120726958</v>
          </cell>
          <cell r="AU304">
            <v>0.40172543135783945</v>
          </cell>
          <cell r="AV304" t="e">
            <v>#REF!</v>
          </cell>
          <cell r="BF304" t="str">
            <v>Gulfstream</v>
          </cell>
          <cell r="BG304">
            <v>675</v>
          </cell>
          <cell r="BH304">
            <v>10.5</v>
          </cell>
          <cell r="BI304">
            <v>7087.5</v>
          </cell>
          <cell r="BJ304" t="str">
            <v>Comm'l</v>
          </cell>
          <cell r="BM304">
            <v>7087.5</v>
          </cell>
          <cell r="BQ304">
            <v>56</v>
          </cell>
        </row>
        <row r="305">
          <cell r="Q305" t="str">
            <v>New Attack Sub</v>
          </cell>
          <cell r="S305">
            <v>515</v>
          </cell>
          <cell r="T305">
            <v>557</v>
          </cell>
          <cell r="V305">
            <v>560</v>
          </cell>
          <cell r="W305">
            <v>600</v>
          </cell>
          <cell r="X305" t="e">
            <v>#REF!</v>
          </cell>
          <cell r="Y305" t="str">
            <v>- good margins</v>
          </cell>
          <cell r="AC305" t="str">
            <v>New Attack Sub</v>
          </cell>
          <cell r="AE305">
            <v>305</v>
          </cell>
          <cell r="AF305">
            <v>780</v>
          </cell>
          <cell r="AG305">
            <v>800</v>
          </cell>
          <cell r="AH305">
            <v>840</v>
          </cell>
          <cell r="AI305" t="e">
            <v>#REF!</v>
          </cell>
          <cell r="AP305" t="str">
            <v xml:space="preserve">Total Revs. </v>
          </cell>
          <cell r="AR305">
            <v>2934</v>
          </cell>
          <cell r="AS305">
            <v>3357</v>
          </cell>
          <cell r="AT305">
            <v>3820</v>
          </cell>
          <cell r="AU305">
            <v>3951</v>
          </cell>
          <cell r="AV305" t="e">
            <v>#REF!</v>
          </cell>
          <cell r="BF305" t="str">
            <v>Total</v>
          </cell>
          <cell r="BG305">
            <v>2006</v>
          </cell>
          <cell r="BI305">
            <v>21728.5</v>
          </cell>
          <cell r="BM305">
            <v>21728.5</v>
          </cell>
          <cell r="BQ305">
            <v>55</v>
          </cell>
        </row>
        <row r="306">
          <cell r="Q306" t="str">
            <v>DDG-51</v>
          </cell>
          <cell r="S306">
            <v>305</v>
          </cell>
          <cell r="T306">
            <v>780</v>
          </cell>
          <cell r="V306">
            <v>620</v>
          </cell>
          <cell r="W306">
            <v>720</v>
          </cell>
          <cell r="X306" t="e">
            <v>#REF!</v>
          </cell>
          <cell r="Y306" t="str">
            <v>- small prodn in '98</v>
          </cell>
          <cell r="AC306" t="str">
            <v>DDG-51</v>
          </cell>
          <cell r="AE306">
            <v>0</v>
          </cell>
          <cell r="AF306">
            <v>0</v>
          </cell>
          <cell r="AG306">
            <v>30</v>
          </cell>
          <cell r="AH306">
            <v>45</v>
          </cell>
          <cell r="AI306" t="e">
            <v>#REF!</v>
          </cell>
          <cell r="AP306" t="str">
            <v>% Eng'g</v>
          </cell>
          <cell r="AR306">
            <v>0.23858214042263123</v>
          </cell>
          <cell r="AS306">
            <v>0.2642240095323205</v>
          </cell>
          <cell r="AT306">
            <v>0.24109947643979057</v>
          </cell>
          <cell r="AU306">
            <v>0.37231080739053402</v>
          </cell>
          <cell r="AV306" t="e">
            <v>#REF!</v>
          </cell>
          <cell r="BF306" t="str">
            <v>Less: Net Debt</v>
          </cell>
          <cell r="BI306">
            <v>-271</v>
          </cell>
          <cell r="BQ306">
            <v>44</v>
          </cell>
          <cell r="BS306">
            <v>0.16236162361623616</v>
          </cell>
          <cell r="BT306">
            <v>48.708487084870846</v>
          </cell>
        </row>
        <row r="307">
          <cell r="Q307" t="str">
            <v>LPD-17</v>
          </cell>
          <cell r="S307">
            <v>0</v>
          </cell>
          <cell r="T307">
            <v>0</v>
          </cell>
          <cell r="V307">
            <v>800</v>
          </cell>
          <cell r="W307">
            <v>840</v>
          </cell>
          <cell r="X307" t="e">
            <v>#REF!</v>
          </cell>
          <cell r="AC307" t="str">
            <v>LPD-17</v>
          </cell>
          <cell r="AE307">
            <v>69</v>
          </cell>
          <cell r="AF307">
            <v>85</v>
          </cell>
          <cell r="AG307">
            <v>95</v>
          </cell>
          <cell r="AH307">
            <v>95</v>
          </cell>
          <cell r="AI307" t="e">
            <v>#REF!</v>
          </cell>
          <cell r="BF307" t="str">
            <v>Equity Value</v>
          </cell>
          <cell r="BI307">
            <v>21999.5</v>
          </cell>
          <cell r="BQ307">
            <v>16</v>
          </cell>
        </row>
        <row r="308">
          <cell r="Q308" t="str">
            <v>Amsea</v>
          </cell>
          <cell r="S308">
            <v>69</v>
          </cell>
          <cell r="T308">
            <v>85</v>
          </cell>
          <cell r="V308">
            <v>30</v>
          </cell>
          <cell r="W308">
            <v>45</v>
          </cell>
          <cell r="X308" t="e">
            <v>#REF!</v>
          </cell>
          <cell r="Y308" t="str">
            <v>- engineering contract</v>
          </cell>
          <cell r="AC308" t="str">
            <v>Amsea</v>
          </cell>
          <cell r="AE308">
            <v>10</v>
          </cell>
          <cell r="AF308">
            <v>25</v>
          </cell>
          <cell r="AG308">
            <v>106</v>
          </cell>
          <cell r="AH308">
            <v>306</v>
          </cell>
          <cell r="AI308" t="e">
            <v>#REF!</v>
          </cell>
          <cell r="BF308" t="str">
            <v>Shares Outstanding</v>
          </cell>
          <cell r="BI308">
            <v>405.70400000000001</v>
          </cell>
          <cell r="BK308" t="str">
            <v>Shares</v>
          </cell>
          <cell r="BQ308">
            <v>6</v>
          </cell>
        </row>
        <row r="309">
          <cell r="Q309" t="str">
            <v>Other</v>
          </cell>
          <cell r="S309">
            <v>10</v>
          </cell>
          <cell r="T309">
            <v>25</v>
          </cell>
          <cell r="V309">
            <v>95</v>
          </cell>
          <cell r="W309">
            <v>95</v>
          </cell>
          <cell r="X309" t="e">
            <v>#REF!</v>
          </cell>
          <cell r="AC309" t="str">
            <v>Other</v>
          </cell>
          <cell r="BF309" t="str">
            <v>Price Per Share</v>
          </cell>
          <cell r="BI309">
            <v>54.22549444915505</v>
          </cell>
          <cell r="BQ309">
            <v>271</v>
          </cell>
        </row>
        <row r="310">
          <cell r="Q310" t="str">
            <v>subtotal</v>
          </cell>
          <cell r="S310">
            <v>1884</v>
          </cell>
          <cell r="T310">
            <v>2332</v>
          </cell>
          <cell r="V310">
            <v>106</v>
          </cell>
          <cell r="W310">
            <v>306</v>
          </cell>
          <cell r="X310" t="e">
            <v>#REF!</v>
          </cell>
          <cell r="AE310">
            <v>1884</v>
          </cell>
          <cell r="AF310">
            <v>2332</v>
          </cell>
          <cell r="AG310">
            <v>2311</v>
          </cell>
          <cell r="AH310">
            <v>2666</v>
          </cell>
          <cell r="AI310" t="e">
            <v>#REF!</v>
          </cell>
        </row>
        <row r="311">
          <cell r="V311">
            <v>2311</v>
          </cell>
          <cell r="W311">
            <v>2666</v>
          </cell>
          <cell r="X311" t="e">
            <v>#REF!</v>
          </cell>
          <cell r="AC311" t="str">
            <v>subtotal</v>
          </cell>
          <cell r="AE311">
            <v>0.2786624203821656</v>
          </cell>
          <cell r="AF311">
            <v>0.24957118353344768</v>
          </cell>
          <cell r="AG311">
            <v>0.3271311120726958</v>
          </cell>
          <cell r="AH311">
            <v>0.40172543135783945</v>
          </cell>
          <cell r="AI311" t="e">
            <v>#REF!</v>
          </cell>
        </row>
        <row r="312">
          <cell r="Q312" t="str">
            <v>Info Sys</v>
          </cell>
          <cell r="AC312" t="str">
            <v>% Engineering</v>
          </cell>
        </row>
        <row r="313">
          <cell r="Q313" t="str">
            <v>ATS</v>
          </cell>
          <cell r="S313">
            <v>0</v>
          </cell>
          <cell r="T313">
            <v>0</v>
          </cell>
        </row>
        <row r="314">
          <cell r="Q314" t="str">
            <v>CDI</v>
          </cell>
          <cell r="V314">
            <v>70</v>
          </cell>
          <cell r="W314">
            <v>0</v>
          </cell>
          <cell r="X314" t="e">
            <v>#REF!</v>
          </cell>
          <cell r="AE314">
            <v>0</v>
          </cell>
          <cell r="AF314">
            <v>0</v>
          </cell>
          <cell r="AG314">
            <v>3820</v>
          </cell>
          <cell r="AH314">
            <v>4187</v>
          </cell>
          <cell r="AI314" t="e">
            <v>#REF!</v>
          </cell>
          <cell r="BF314" t="str">
            <v>Acquisition</v>
          </cell>
          <cell r="BG314" t="str">
            <v>ATPX</v>
          </cell>
          <cell r="BH314" t="str">
            <v>5/02/02</v>
          </cell>
        </row>
        <row r="315">
          <cell r="Q315" t="str">
            <v>subtotal</v>
          </cell>
          <cell r="W315">
            <v>615</v>
          </cell>
          <cell r="X315">
            <v>670</v>
          </cell>
          <cell r="AC315" t="str">
            <v>TOTAL GD</v>
          </cell>
        </row>
        <row r="316">
          <cell r="AG316">
            <v>0.24109947643979057</v>
          </cell>
          <cell r="AH316">
            <v>0.35132553140673511</v>
          </cell>
          <cell r="AI316" t="e">
            <v>#REF!</v>
          </cell>
          <cell r="BF316" t="str">
            <v>Price per share</v>
          </cell>
          <cell r="BH316">
            <v>33.5</v>
          </cell>
          <cell r="BI316">
            <v>2001</v>
          </cell>
        </row>
        <row r="317">
          <cell r="Q317" t="str">
            <v>Other</v>
          </cell>
          <cell r="AC317" t="str">
            <v>Eng'g As % Total</v>
          </cell>
          <cell r="BF317" t="str">
            <v>Shs. Out</v>
          </cell>
          <cell r="BH317">
            <v>5.89</v>
          </cell>
          <cell r="BI317" t="str">
            <v>Sales</v>
          </cell>
          <cell r="BK317">
            <v>198.4</v>
          </cell>
          <cell r="BL317" t="str">
            <v>EV/Sales</v>
          </cell>
          <cell r="BM317">
            <v>1.2586441532258064</v>
          </cell>
        </row>
        <row r="318">
          <cell r="Q318" t="str">
            <v>TOTAL GD</v>
          </cell>
          <cell r="W318">
            <v>236</v>
          </cell>
          <cell r="X318">
            <v>250</v>
          </cell>
          <cell r="BF318" t="str">
            <v>Market Value</v>
          </cell>
          <cell r="BH318">
            <v>197.315</v>
          </cell>
          <cell r="BI318" t="str">
            <v>Op Margin</v>
          </cell>
          <cell r="BK318">
            <v>22.022400000000001</v>
          </cell>
          <cell r="BL318" t="str">
            <v>EV/EBIT</v>
          </cell>
          <cell r="BM318">
            <v>11.339136515547803</v>
          </cell>
          <cell r="BN318" t="str">
            <v>x</v>
          </cell>
        </row>
        <row r="319">
          <cell r="V319">
            <v>3820</v>
          </cell>
          <cell r="W319">
            <v>4187</v>
          </cell>
          <cell r="X319" t="e">
            <v>#REF!</v>
          </cell>
          <cell r="BH319">
            <v>16.2</v>
          </cell>
          <cell r="BI319" t="str">
            <v>Closing Price</v>
          </cell>
          <cell r="BK319">
            <v>28.533999999999999</v>
          </cell>
          <cell r="BL319" t="str">
            <v>EPS</v>
          </cell>
          <cell r="BM319">
            <v>1.65</v>
          </cell>
        </row>
        <row r="320">
          <cell r="BH320">
            <v>36.200000000000003</v>
          </cell>
          <cell r="BI320" t="str">
            <v>Premium</v>
          </cell>
          <cell r="BK320">
            <v>0.17403798976659424</v>
          </cell>
          <cell r="BM320">
            <v>20.303030303030305</v>
          </cell>
          <cell r="BN320" t="str">
            <v>x</v>
          </cell>
          <cell r="BP320">
            <v>33.5</v>
          </cell>
          <cell r="BQ320">
            <v>1.763157894736842</v>
          </cell>
        </row>
        <row r="321">
          <cell r="N321" t="str">
            <v>Abbrev. GD Combat Systems P&amp;L ($MM)</v>
          </cell>
          <cell r="BF321" t="str">
            <v>Enterprise Value</v>
          </cell>
          <cell r="BH321">
            <v>249.71499999999997</v>
          </cell>
          <cell r="BI321" t="str">
            <v>2002 Sales</v>
          </cell>
          <cell r="BK321">
            <v>235</v>
          </cell>
          <cell r="BM321">
            <v>1.0626170212765957</v>
          </cell>
        </row>
        <row r="323">
          <cell r="M323" t="str">
            <v>Revs</v>
          </cell>
          <cell r="N323">
            <v>1995</v>
          </cell>
          <cell r="O323">
            <v>1996</v>
          </cell>
          <cell r="P323">
            <v>1997</v>
          </cell>
          <cell r="Q323">
            <v>1998</v>
          </cell>
          <cell r="R323">
            <v>1999</v>
          </cell>
          <cell r="BK323">
            <v>26.085000000000001</v>
          </cell>
          <cell r="BM323">
            <v>9.5731263178071675</v>
          </cell>
          <cell r="BN323" t="str">
            <v>x</v>
          </cell>
        </row>
        <row r="324">
          <cell r="M324" t="str">
            <v>Land Sys</v>
          </cell>
          <cell r="N324">
            <v>1050</v>
          </cell>
          <cell r="O324">
            <v>1025</v>
          </cell>
          <cell r="P324">
            <v>975</v>
          </cell>
          <cell r="Q324">
            <v>975</v>
          </cell>
          <cell r="R324">
            <v>940</v>
          </cell>
          <cell r="S324" t="str">
            <v>- ex foreign sls</v>
          </cell>
          <cell r="BK324">
            <v>19.047619047619047</v>
          </cell>
          <cell r="BM324">
            <v>1.8</v>
          </cell>
        </row>
        <row r="325">
          <cell r="M325" t="str">
            <v>Arm/Def</v>
          </cell>
          <cell r="N325">
            <v>0</v>
          </cell>
          <cell r="O325">
            <v>0</v>
          </cell>
          <cell r="P325">
            <v>534</v>
          </cell>
          <cell r="Q325">
            <v>295</v>
          </cell>
          <cell r="R325">
            <v>360</v>
          </cell>
          <cell r="S325" t="str">
            <v>- 10% grower</v>
          </cell>
          <cell r="BK325">
            <v>11.75</v>
          </cell>
          <cell r="BM325">
            <v>1.9583333333333333</v>
          </cell>
        </row>
        <row r="326">
          <cell r="M326" t="str">
            <v>Total</v>
          </cell>
          <cell r="N326">
            <v>1050</v>
          </cell>
          <cell r="O326">
            <v>1025</v>
          </cell>
          <cell r="P326">
            <v>1509</v>
          </cell>
          <cell r="Q326">
            <v>1270</v>
          </cell>
          <cell r="R326">
            <v>1300</v>
          </cell>
        </row>
        <row r="327">
          <cell r="M327" t="str">
            <v>Op Pr.</v>
          </cell>
          <cell r="AM327" t="str">
            <v>General Dynamics</v>
          </cell>
        </row>
        <row r="328">
          <cell r="M328" t="str">
            <v>Land Sys</v>
          </cell>
          <cell r="N328">
            <v>140</v>
          </cell>
          <cell r="O328">
            <v>136</v>
          </cell>
          <cell r="P328">
            <v>138</v>
          </cell>
          <cell r="Q328">
            <v>136</v>
          </cell>
          <cell r="R328">
            <v>135</v>
          </cell>
          <cell r="AM328" t="str">
            <v>2007-08E P&amp;L Changes</v>
          </cell>
        </row>
        <row r="329">
          <cell r="M329" t="str">
            <v>Arm/Def</v>
          </cell>
          <cell r="N329">
            <v>0</v>
          </cell>
          <cell r="O329">
            <v>0</v>
          </cell>
          <cell r="P329">
            <v>60</v>
          </cell>
          <cell r="Q329">
            <v>40</v>
          </cell>
          <cell r="R329">
            <v>48</v>
          </cell>
          <cell r="AN329" t="str">
            <v>2007E</v>
          </cell>
          <cell r="AP329" t="str">
            <v>2008E</v>
          </cell>
        </row>
        <row r="330">
          <cell r="M330" t="str">
            <v>Total</v>
          </cell>
          <cell r="N330">
            <v>140</v>
          </cell>
          <cell r="O330">
            <v>136</v>
          </cell>
          <cell r="P330">
            <v>198</v>
          </cell>
          <cell r="Q330">
            <v>176</v>
          </cell>
          <cell r="R330">
            <v>183</v>
          </cell>
          <cell r="AM330" t="str">
            <v>($USD in Millions)</v>
          </cell>
          <cell r="AN330" t="str">
            <v>Current</v>
          </cell>
          <cell r="AO330" t="str">
            <v>Previous</v>
          </cell>
          <cell r="AP330" t="str">
            <v>Current</v>
          </cell>
          <cell r="AQ330" t="str">
            <v>Previous</v>
          </cell>
        </row>
        <row r="331">
          <cell r="M331" t="str">
            <v>% Sls</v>
          </cell>
          <cell r="AM331" t="str">
            <v>Revenues</v>
          </cell>
        </row>
        <row r="332">
          <cell r="M332" t="str">
            <v>Land Sys</v>
          </cell>
          <cell r="N332">
            <v>0.13333333333333333</v>
          </cell>
          <cell r="O332">
            <v>0.1326829268292683</v>
          </cell>
          <cell r="P332">
            <v>0.14153846153846153</v>
          </cell>
          <cell r="Q332">
            <v>0.13948717948717948</v>
          </cell>
          <cell r="R332">
            <v>0.14361702127659576</v>
          </cell>
          <cell r="AM332" t="str">
            <v>Marine Sys</v>
          </cell>
          <cell r="AN332">
            <v>4993</v>
          </cell>
          <cell r="AO332">
            <v>4700</v>
          </cell>
          <cell r="AP332">
            <v>5556</v>
          </cell>
          <cell r="AQ332">
            <v>4700</v>
          </cell>
        </row>
        <row r="333">
          <cell r="M333" t="str">
            <v>Arm/Def</v>
          </cell>
          <cell r="P333">
            <v>0.11235955056179775</v>
          </cell>
          <cell r="Q333">
            <v>0.13559322033898305</v>
          </cell>
          <cell r="R333">
            <v>0.13333333333333333</v>
          </cell>
          <cell r="S333" t="str">
            <v>- intl up/consol pluses</v>
          </cell>
          <cell r="AM333" t="str">
            <v>Combat Sys</v>
          </cell>
          <cell r="AN333">
            <v>7797</v>
          </cell>
          <cell r="AO333">
            <v>6350</v>
          </cell>
          <cell r="AP333">
            <v>8194</v>
          </cell>
          <cell r="AQ333">
            <v>6600</v>
          </cell>
        </row>
        <row r="334">
          <cell r="M334" t="str">
            <v>Total</v>
          </cell>
          <cell r="N334">
            <v>0.13333333333333333</v>
          </cell>
          <cell r="O334">
            <v>0.1326829268292683</v>
          </cell>
          <cell r="P334">
            <v>0.1312127236580517</v>
          </cell>
          <cell r="Q334">
            <v>0.13858267716535433</v>
          </cell>
          <cell r="R334">
            <v>0.14076923076923076</v>
          </cell>
          <cell r="AM334" t="str">
            <v>Info Sys &amp; Tech</v>
          </cell>
          <cell r="AN334">
            <v>9622</v>
          </cell>
          <cell r="AO334">
            <v>11315</v>
          </cell>
          <cell r="AP334">
            <v>10038</v>
          </cell>
          <cell r="AQ334">
            <v>12205</v>
          </cell>
        </row>
        <row r="335">
          <cell r="M335" t="str">
            <v>GW</v>
          </cell>
          <cell r="N335">
            <v>0</v>
          </cell>
          <cell r="O335">
            <v>0</v>
          </cell>
          <cell r="P335">
            <v>-11</v>
          </cell>
          <cell r="Q335">
            <v>-11</v>
          </cell>
          <cell r="R335">
            <v>-11</v>
          </cell>
          <cell r="AM335" t="str">
            <v xml:space="preserve">Aerospace </v>
          </cell>
          <cell r="AN335">
            <v>4828</v>
          </cell>
          <cell r="AO335">
            <v>4425</v>
          </cell>
          <cell r="AP335">
            <v>5512</v>
          </cell>
          <cell r="AQ335">
            <v>4775</v>
          </cell>
        </row>
        <row r="336">
          <cell r="M336" t="str">
            <v>% Sls pre GW</v>
          </cell>
          <cell r="N336">
            <v>0.13333333333333333</v>
          </cell>
          <cell r="O336">
            <v>0.1326829268292683</v>
          </cell>
          <cell r="P336">
            <v>0.13850231941683233</v>
          </cell>
          <cell r="Q336">
            <v>0.14724409448818898</v>
          </cell>
          <cell r="R336">
            <v>0.14923076923076922</v>
          </cell>
          <cell r="AM336" t="str">
            <v>Total Revenues</v>
          </cell>
          <cell r="AN336">
            <v>27240</v>
          </cell>
          <cell r="AO336">
            <v>26815</v>
          </cell>
          <cell r="AP336">
            <v>29300</v>
          </cell>
          <cell r="AQ336">
            <v>28300</v>
          </cell>
        </row>
        <row r="337">
          <cell r="M337" t="str">
            <v>% Revs</v>
          </cell>
          <cell r="AM337" t="str">
            <v>% Ch Y/Y</v>
          </cell>
          <cell r="AN337">
            <v>0.13202842538336856</v>
          </cell>
          <cell r="AO337">
            <v>0.11</v>
          </cell>
          <cell r="AP337">
            <v>7.562408223201178E-2</v>
          </cell>
          <cell r="AQ337">
            <v>0.06</v>
          </cell>
        </row>
        <row r="338">
          <cell r="M338" t="str">
            <v>Land Sys</v>
          </cell>
          <cell r="O338">
            <v>-2.3809523809523836E-2</v>
          </cell>
          <cell r="P338">
            <v>-4.8780487804878092E-2</v>
          </cell>
          <cell r="Q338">
            <v>0</v>
          </cell>
          <cell r="R338">
            <v>-3.5897435897435881E-2</v>
          </cell>
          <cell r="S338" t="str">
            <v>- even w/ TVS added</v>
          </cell>
          <cell r="AM338" t="str">
            <v>Operating Profit</v>
          </cell>
        </row>
        <row r="339">
          <cell r="M339" t="str">
            <v>Arm/Def</v>
          </cell>
          <cell r="Q339">
            <v>-0.44756554307116103</v>
          </cell>
          <cell r="R339">
            <v>0.22033898305084754</v>
          </cell>
          <cell r="AM339" t="str">
            <v>Marine Sys</v>
          </cell>
          <cell r="AN339">
            <v>421</v>
          </cell>
          <cell r="AO339">
            <v>365</v>
          </cell>
          <cell r="AP339">
            <v>521</v>
          </cell>
          <cell r="AQ339">
            <v>370</v>
          </cell>
        </row>
        <row r="340">
          <cell r="M340" t="str">
            <v>Total</v>
          </cell>
          <cell r="O340">
            <v>-2.3809523809523836E-2</v>
          </cell>
          <cell r="P340">
            <v>0.47219512195121949</v>
          </cell>
          <cell r="Q340">
            <v>-0.15838303512259777</v>
          </cell>
          <cell r="R340">
            <v>2.3622047244094446E-2</v>
          </cell>
          <cell r="AM340" t="str">
            <v>Combat Sys</v>
          </cell>
          <cell r="AN340">
            <v>916</v>
          </cell>
          <cell r="AO340">
            <v>760</v>
          </cell>
          <cell r="AP340">
            <v>1111</v>
          </cell>
          <cell r="AQ340">
            <v>805</v>
          </cell>
        </row>
        <row r="341">
          <cell r="AM341" t="str">
            <v>Info Sys &amp; Tech</v>
          </cell>
          <cell r="AN341">
            <v>1027</v>
          </cell>
          <cell r="AO341">
            <v>1211</v>
          </cell>
          <cell r="AP341">
            <v>1075</v>
          </cell>
          <cell r="AQ341">
            <v>1325</v>
          </cell>
        </row>
        <row r="342">
          <cell r="L342" t="str">
            <v>Est. EPS  Impact Of GD Share Repurchase</v>
          </cell>
          <cell r="AM342" t="str">
            <v xml:space="preserve">Aerospace </v>
          </cell>
          <cell r="AN342">
            <v>810</v>
          </cell>
          <cell r="AO342">
            <v>730</v>
          </cell>
          <cell r="AP342">
            <v>1021</v>
          </cell>
          <cell r="AQ342">
            <v>810</v>
          </cell>
        </row>
        <row r="343">
          <cell r="AM343" t="str">
            <v>Other</v>
          </cell>
          <cell r="AN343">
            <v>-61</v>
          </cell>
          <cell r="AO343">
            <v>-35</v>
          </cell>
          <cell r="AP343">
            <v>-75</v>
          </cell>
          <cell r="AQ343">
            <v>-35</v>
          </cell>
        </row>
        <row r="344">
          <cell r="M344" t="str">
            <v>Limited</v>
          </cell>
          <cell r="N344" t="str">
            <v>Moderate</v>
          </cell>
          <cell r="O344" t="str">
            <v>Aggressive</v>
          </cell>
          <cell r="AM344" t="str">
            <v>Total Operating Profit</v>
          </cell>
          <cell r="AN344">
            <v>3113</v>
          </cell>
          <cell r="AO344">
            <v>3031</v>
          </cell>
          <cell r="AP344">
            <v>3653</v>
          </cell>
          <cell r="AQ344">
            <v>3275</v>
          </cell>
        </row>
        <row r="345">
          <cell r="L345" t="str">
            <v>Number of Shs.</v>
          </cell>
          <cell r="M345">
            <v>6</v>
          </cell>
          <cell r="N345">
            <v>9</v>
          </cell>
          <cell r="O345">
            <v>11</v>
          </cell>
          <cell r="AM345" t="str">
            <v>Operating Margins</v>
          </cell>
        </row>
        <row r="346">
          <cell r="L346" t="str">
            <v>Avg. Price</v>
          </cell>
          <cell r="M346">
            <v>55</v>
          </cell>
          <cell r="N346">
            <v>58</v>
          </cell>
          <cell r="O346">
            <v>60</v>
          </cell>
          <cell r="AM346" t="str">
            <v>Marine Sys</v>
          </cell>
          <cell r="AN346">
            <v>8.431804526336871E-2</v>
          </cell>
          <cell r="AO346">
            <v>7.8E-2</v>
          </cell>
          <cell r="AP346">
            <v>9.3772498200143994E-2</v>
          </cell>
          <cell r="AQ346">
            <v>7.9000000000000001E-2</v>
          </cell>
        </row>
        <row r="347">
          <cell r="L347" t="str">
            <v>Cost of Repo</v>
          </cell>
          <cell r="M347">
            <v>330</v>
          </cell>
          <cell r="N347">
            <v>522</v>
          </cell>
          <cell r="O347">
            <v>660</v>
          </cell>
          <cell r="AM347" t="str">
            <v>Combat Sys</v>
          </cell>
          <cell r="AN347">
            <v>0.11748108246761575</v>
          </cell>
          <cell r="AO347">
            <v>0.12</v>
          </cell>
          <cell r="AP347">
            <v>0.13558701488894312</v>
          </cell>
          <cell r="AQ347">
            <v>0.122</v>
          </cell>
        </row>
        <row r="348">
          <cell r="L348" t="str">
            <v>Ending Net Cash</v>
          </cell>
          <cell r="M348">
            <v>-761.76020000000017</v>
          </cell>
          <cell r="N348">
            <v>-953.76020000000017</v>
          </cell>
          <cell r="O348">
            <v>-1091.7602000000002</v>
          </cell>
          <cell r="AM348" t="str">
            <v>Info Sys &amp; Tech</v>
          </cell>
          <cell r="AN348">
            <v>0.1067345666181667</v>
          </cell>
          <cell r="AO348">
            <v>0.107</v>
          </cell>
          <cell r="AP348">
            <v>0.10709304642359035</v>
          </cell>
          <cell r="AQ348">
            <v>0.109</v>
          </cell>
        </row>
        <row r="349">
          <cell r="L349" t="str">
            <v>2000 EPS</v>
          </cell>
          <cell r="M349">
            <v>2.2341753601589667</v>
          </cell>
          <cell r="N349">
            <v>2.2341753601589667</v>
          </cell>
          <cell r="O349">
            <v>2.2341753601589667</v>
          </cell>
          <cell r="AM349" t="str">
            <v>Aerospace</v>
          </cell>
          <cell r="AN349">
            <v>0.16777133388566695</v>
          </cell>
          <cell r="AO349">
            <v>0.16500000000000001</v>
          </cell>
          <cell r="AP349">
            <v>0.18523222060957911</v>
          </cell>
          <cell r="AQ349">
            <v>0.17</v>
          </cell>
        </row>
        <row r="350">
          <cell r="L350" t="str">
            <v>Incremental add</v>
          </cell>
          <cell r="M350">
            <v>-0.22403025173738333</v>
          </cell>
          <cell r="N350">
            <v>-0.22596024328904818</v>
          </cell>
          <cell r="O350">
            <v>-0.22816642246744445</v>
          </cell>
          <cell r="AM350" t="str">
            <v>Other</v>
          </cell>
          <cell r="AN350" t="str">
            <v>NM</v>
          </cell>
          <cell r="AO350" t="str">
            <v>NM</v>
          </cell>
          <cell r="AP350" t="str">
            <v>NM</v>
          </cell>
          <cell r="AQ350" t="str">
            <v>NM</v>
          </cell>
        </row>
        <row r="351">
          <cell r="L351" t="str">
            <v>Revised EPS</v>
          </cell>
          <cell r="M351">
            <v>2.0101451084215833</v>
          </cell>
          <cell r="N351">
            <v>2.0082151168699185</v>
          </cell>
          <cell r="O351">
            <v>2.0060089376915222</v>
          </cell>
          <cell r="AM351" t="str">
            <v>Total Operating Margins</v>
          </cell>
          <cell r="AN351">
            <v>0.11428046989720998</v>
          </cell>
          <cell r="AO351">
            <v>0.113</v>
          </cell>
          <cell r="AP351">
            <v>0.12467576791808874</v>
          </cell>
          <cell r="AQ351">
            <v>0.11600000000000001</v>
          </cell>
        </row>
        <row r="352">
          <cell r="L352" t="str">
            <v>Addn' accretion</v>
          </cell>
          <cell r="M352">
            <v>-0.21327163100422486</v>
          </cell>
          <cell r="N352">
            <v>-0.21415737443716809</v>
          </cell>
          <cell r="O352">
            <v>-0.21516987043357527</v>
          </cell>
          <cell r="AM352" t="str">
            <v>Interest, net</v>
          </cell>
          <cell r="AN352">
            <v>-70</v>
          </cell>
          <cell r="AO352">
            <v>-125</v>
          </cell>
          <cell r="AP352">
            <v>-66</v>
          </cell>
          <cell r="AQ352">
            <v>-125</v>
          </cell>
        </row>
        <row r="353">
          <cell r="L353" t="str">
            <v>Prior growth rate</v>
          </cell>
          <cell r="M353">
            <v>0.13580045114929051</v>
          </cell>
          <cell r="N353">
            <v>0.13580045114929051</v>
          </cell>
          <cell r="O353">
            <v>0.13580045114929051</v>
          </cell>
          <cell r="AM353" t="str">
            <v>Other</v>
          </cell>
          <cell r="AN353">
            <v>4</v>
          </cell>
          <cell r="AO353">
            <v>0</v>
          </cell>
          <cell r="AP353">
            <v>17</v>
          </cell>
          <cell r="AQ353">
            <v>0</v>
          </cell>
        </row>
        <row r="354">
          <cell r="L354" t="str">
            <v>Revised growth</v>
          </cell>
          <cell r="M354">
            <v>-7.7471179854934347E-2</v>
          </cell>
          <cell r="N354">
            <v>-7.8356923287877578E-2</v>
          </cell>
          <cell r="O354">
            <v>-7.9369419284284759E-2</v>
          </cell>
          <cell r="AM354" t="str">
            <v>Pretax Inc</v>
          </cell>
          <cell r="AN354">
            <v>3047</v>
          </cell>
          <cell r="AO354">
            <v>2906</v>
          </cell>
          <cell r="AP354">
            <v>3604</v>
          </cell>
          <cell r="AQ354">
            <v>3150</v>
          </cell>
        </row>
        <row r="355">
          <cell r="AM355" t="str">
            <v>Eff Tax Rate</v>
          </cell>
          <cell r="AN355">
            <v>0.31736133902198882</v>
          </cell>
          <cell r="AO355">
            <v>0.33500000000000002</v>
          </cell>
          <cell r="AP355">
            <v>0.32214206437291898</v>
          </cell>
          <cell r="AQ355">
            <v>0.33500000000000002</v>
          </cell>
        </row>
        <row r="356">
          <cell r="L356" t="str">
            <v>Pretax</v>
          </cell>
          <cell r="M356">
            <v>1258</v>
          </cell>
          <cell r="N356">
            <v>1258</v>
          </cell>
          <cell r="O356">
            <v>1258</v>
          </cell>
          <cell r="AM356" t="str">
            <v>Net Income</v>
          </cell>
          <cell r="AN356">
            <v>2080</v>
          </cell>
          <cell r="AO356">
            <v>1932</v>
          </cell>
          <cell r="AP356">
            <v>2443</v>
          </cell>
          <cell r="AQ356">
            <v>2095</v>
          </cell>
        </row>
        <row r="357">
          <cell r="L357" t="str">
            <v>NINC</v>
          </cell>
          <cell r="M357">
            <v>808.89400000000001</v>
          </cell>
          <cell r="N357">
            <v>808.89400000000001</v>
          </cell>
          <cell r="O357">
            <v>808.89400000000001</v>
          </cell>
          <cell r="AM357" t="str">
            <v>EPS, Cont. Ops</v>
          </cell>
          <cell r="AN357">
            <v>5.0962280562055158</v>
          </cell>
          <cell r="AO357">
            <v>4.75</v>
          </cell>
          <cell r="AP357">
            <v>6.1274140958113872</v>
          </cell>
          <cell r="AQ357">
            <v>5.15</v>
          </cell>
        </row>
        <row r="358">
          <cell r="L358" t="str">
            <v>Shs.</v>
          </cell>
          <cell r="M358">
            <v>402.6</v>
          </cell>
          <cell r="N358">
            <v>402.6</v>
          </cell>
          <cell r="O358">
            <v>402.6</v>
          </cell>
          <cell r="AM358" t="str">
            <v>% Ch Y/Y</v>
          </cell>
          <cell r="AN358">
            <v>0.21236583231836481</v>
          </cell>
          <cell r="AO358">
            <v>0.13</v>
          </cell>
          <cell r="AP358">
            <v>0.20234299333410499</v>
          </cell>
          <cell r="AQ358">
            <v>0.08</v>
          </cell>
        </row>
        <row r="359">
          <cell r="L359" t="str">
            <v>New Pretax</v>
          </cell>
          <cell r="M359">
            <v>1239.8499999999999</v>
          </cell>
          <cell r="N359">
            <v>1229.29</v>
          </cell>
          <cell r="O359">
            <v>1221.7</v>
          </cell>
          <cell r="AM359" t="str">
            <v xml:space="preserve"> Avg. Shs. (MM)</v>
          </cell>
          <cell r="AN359">
            <v>408.14499999999998</v>
          </cell>
          <cell r="AO359">
            <v>407</v>
          </cell>
          <cell r="AP359">
            <v>398.7</v>
          </cell>
          <cell r="AQ359">
            <v>407</v>
          </cell>
        </row>
        <row r="360">
          <cell r="L360" t="str">
            <v>New NINC</v>
          </cell>
          <cell r="M360">
            <v>797.22354999999993</v>
          </cell>
          <cell r="N360">
            <v>790.43346999999994</v>
          </cell>
          <cell r="O360">
            <v>785.55310000000009</v>
          </cell>
        </row>
        <row r="361">
          <cell r="L361" t="str">
            <v>New shs count</v>
          </cell>
          <cell r="M361">
            <v>396.6</v>
          </cell>
          <cell r="N361">
            <v>393.6</v>
          </cell>
          <cell r="O361">
            <v>391.6</v>
          </cell>
        </row>
        <row r="362">
          <cell r="L362" t="str">
            <v>New EPS</v>
          </cell>
          <cell r="M362">
            <v>2.0101451084215833</v>
          </cell>
          <cell r="N362">
            <v>2.0082151168699185</v>
          </cell>
          <cell r="O362">
            <v>2.0060089376915222</v>
          </cell>
        </row>
        <row r="365">
          <cell r="O365" t="str">
            <v>Est. GD "Core" Program Revenue Build-Up ($MM)</v>
          </cell>
        </row>
        <row r="367">
          <cell r="O367" t="str">
            <v>1990</v>
          </cell>
          <cell r="P367" t="str">
            <v>1991</v>
          </cell>
          <cell r="Q367" t="str">
            <v>1992E</v>
          </cell>
          <cell r="S367" t="str">
            <v>1993E</v>
          </cell>
          <cell r="T367" t="str">
            <v>1994E</v>
          </cell>
        </row>
        <row r="368">
          <cell r="M368" t="str">
            <v>F-16</v>
          </cell>
          <cell r="O368">
            <v>2700</v>
          </cell>
          <cell r="P368">
            <v>0</v>
          </cell>
          <cell r="Q368">
            <v>0</v>
          </cell>
          <cell r="S368">
            <v>0</v>
          </cell>
          <cell r="T368">
            <v>2050</v>
          </cell>
        </row>
        <row r="369">
          <cell r="M369" t="str">
            <v>F-22</v>
          </cell>
          <cell r="O369" t="str">
            <v>==</v>
          </cell>
          <cell r="P369">
            <v>0</v>
          </cell>
          <cell r="Q369">
            <v>0</v>
          </cell>
          <cell r="S369">
            <v>0</v>
          </cell>
          <cell r="T369">
            <v>450</v>
          </cell>
        </row>
        <row r="370">
          <cell r="M370" t="str">
            <v>Other Mil Air.</v>
          </cell>
          <cell r="O370">
            <v>1081</v>
          </cell>
          <cell r="P370">
            <v>0</v>
          </cell>
          <cell r="Q370">
            <v>0</v>
          </cell>
          <cell r="S370">
            <v>0</v>
          </cell>
          <cell r="T370">
            <v>200</v>
          </cell>
        </row>
        <row r="371">
          <cell r="M371" t="str">
            <v>Trident/SSN-688</v>
          </cell>
          <cell r="O371">
            <v>1155</v>
          </cell>
          <cell r="P371">
            <v>1199</v>
          </cell>
          <cell r="Q371">
            <v>947</v>
          </cell>
          <cell r="S371">
            <v>775</v>
          </cell>
          <cell r="T371">
            <v>660</v>
          </cell>
        </row>
        <row r="372">
          <cell r="M372" t="str">
            <v>SSN-21/Other Sub</v>
          </cell>
          <cell r="O372">
            <v>592</v>
          </cell>
          <cell r="P372">
            <v>625</v>
          </cell>
          <cell r="Q372">
            <v>783</v>
          </cell>
          <cell r="S372">
            <v>936</v>
          </cell>
          <cell r="T372">
            <v>1018</v>
          </cell>
        </row>
        <row r="373">
          <cell r="M373" t="str">
            <v>U.S. M-1 Tank</v>
          </cell>
          <cell r="O373">
            <v>750</v>
          </cell>
          <cell r="P373">
            <v>756.00000000000011</v>
          </cell>
          <cell r="Q373">
            <v>955</v>
          </cell>
          <cell r="S373">
            <v>945</v>
          </cell>
          <cell r="T373">
            <v>800</v>
          </cell>
        </row>
        <row r="374">
          <cell r="M374" t="str">
            <v>Other Arm Veh</v>
          </cell>
          <cell r="O374">
            <v>338</v>
          </cell>
          <cell r="P374">
            <v>391</v>
          </cell>
          <cell r="Q374">
            <v>290</v>
          </cell>
          <cell r="S374">
            <v>310</v>
          </cell>
          <cell r="T374">
            <v>320</v>
          </cell>
        </row>
        <row r="375">
          <cell r="M375" t="str">
            <v>Space Launch</v>
          </cell>
          <cell r="O375">
            <v>300</v>
          </cell>
          <cell r="P375">
            <v>0</v>
          </cell>
          <cell r="Q375">
            <v>0</v>
          </cell>
          <cell r="S375">
            <v>0</v>
          </cell>
          <cell r="T375">
            <v>765</v>
          </cell>
        </row>
        <row r="376">
          <cell r="M376" t="str">
            <v xml:space="preserve">  Revenues</v>
          </cell>
          <cell r="O376">
            <v>6916</v>
          </cell>
          <cell r="P376">
            <v>2971</v>
          </cell>
          <cell r="Q376">
            <v>2975</v>
          </cell>
          <cell r="S376">
            <v>2966</v>
          </cell>
          <cell r="T376">
            <v>6263</v>
          </cell>
        </row>
        <row r="377">
          <cell r="M377" t="str">
            <v>% Ch.</v>
          </cell>
          <cell r="O377" t="str">
            <v xml:space="preserve"> </v>
          </cell>
          <cell r="P377">
            <v>-0.57041642567958362</v>
          </cell>
          <cell r="Q377">
            <v>1.3463480309658937E-3</v>
          </cell>
          <cell r="S377">
            <v>-3.0252100840335583E-3</v>
          </cell>
          <cell r="T377">
            <v>1.1115981119352663</v>
          </cell>
        </row>
        <row r="378">
          <cell r="M378" t="str">
            <v>Op Profit</v>
          </cell>
          <cell r="P378">
            <v>211</v>
          </cell>
          <cell r="Q378">
            <v>0</v>
          </cell>
          <cell r="S378">
            <v>0</v>
          </cell>
          <cell r="T378">
            <v>0</v>
          </cell>
        </row>
        <row r="379">
          <cell r="M379" t="str">
            <v xml:space="preserve">  % Sales</v>
          </cell>
          <cell r="P379">
            <v>7.1019858633456751E-2</v>
          </cell>
          <cell r="Q379">
            <v>0</v>
          </cell>
          <cell r="S379">
            <v>0</v>
          </cell>
          <cell r="T379">
            <v>0</v>
          </cell>
        </row>
        <row r="381">
          <cell r="O381" t="str">
            <v>Est. General Dynamics "Core" Revenues ($MM)</v>
          </cell>
        </row>
        <row r="383">
          <cell r="M383" t="str">
            <v>Armored Vehicles</v>
          </cell>
          <cell r="O383" t="str">
            <v>1992</v>
          </cell>
          <cell r="P383" t="str">
            <v>1993E</v>
          </cell>
          <cell r="Q383" t="str">
            <v>1994E</v>
          </cell>
          <cell r="R383" t="str">
            <v>1995E</v>
          </cell>
          <cell r="S383" t="str">
            <v>1996E</v>
          </cell>
          <cell r="T383" t="str">
            <v>Assumptions</v>
          </cell>
          <cell r="V383" t="str">
            <v xml:space="preserve"> </v>
          </cell>
        </row>
        <row r="384">
          <cell r="M384" t="str">
            <v>U.S. M-1</v>
          </cell>
          <cell r="O384">
            <v>520</v>
          </cell>
          <cell r="P384">
            <v>185</v>
          </cell>
          <cell r="Q384">
            <v>185</v>
          </cell>
          <cell r="R384">
            <v>250</v>
          </cell>
          <cell r="S384">
            <v>350</v>
          </cell>
          <cell r="T384" t="str">
            <v>-Dels off/upgrades</v>
          </cell>
        </row>
        <row r="385">
          <cell r="M385" t="str">
            <v>Foreign,etc.</v>
          </cell>
          <cell r="O385">
            <v>187</v>
          </cell>
          <cell r="P385">
            <v>590</v>
          </cell>
          <cell r="Q385">
            <v>615</v>
          </cell>
          <cell r="R385">
            <v>530</v>
          </cell>
          <cell r="S385">
            <v>425</v>
          </cell>
          <cell r="T385" t="str">
            <v>-Egypt/Saudi up</v>
          </cell>
        </row>
        <row r="386">
          <cell r="M386" t="str">
            <v>Service,spares</v>
          </cell>
          <cell r="O386">
            <v>545</v>
          </cell>
          <cell r="P386">
            <v>550</v>
          </cell>
          <cell r="Q386">
            <v>550</v>
          </cell>
          <cell r="R386">
            <v>445</v>
          </cell>
          <cell r="S386">
            <v>425</v>
          </cell>
        </row>
        <row r="387">
          <cell r="M387" t="str">
            <v xml:space="preserve"> -subtotal</v>
          </cell>
          <cell r="O387">
            <v>1252</v>
          </cell>
          <cell r="P387">
            <v>1325</v>
          </cell>
          <cell r="Q387">
            <v>1350</v>
          </cell>
          <cell r="R387">
            <v>1225</v>
          </cell>
          <cell r="S387">
            <v>1200</v>
          </cell>
        </row>
        <row r="388">
          <cell r="M388" t="str">
            <v>Nuclear Submarines</v>
          </cell>
        </row>
        <row r="389">
          <cell r="M389" t="str">
            <v>Trident</v>
          </cell>
          <cell r="O389">
            <v>577</v>
          </cell>
          <cell r="P389">
            <v>550</v>
          </cell>
          <cell r="Q389">
            <v>485</v>
          </cell>
          <cell r="R389">
            <v>410</v>
          </cell>
          <cell r="S389">
            <v>300</v>
          </cell>
          <cell r="T389" t="str">
            <v>-Ends in '98</v>
          </cell>
        </row>
        <row r="390">
          <cell r="M390" t="str">
            <v>SSN-688</v>
          </cell>
          <cell r="O390">
            <v>370</v>
          </cell>
          <cell r="P390">
            <v>300</v>
          </cell>
          <cell r="Q390">
            <v>200</v>
          </cell>
          <cell r="R390">
            <v>100</v>
          </cell>
          <cell r="S390">
            <v>25</v>
          </cell>
          <cell r="T390" t="str">
            <v>-Last del in '95</v>
          </cell>
        </row>
        <row r="391">
          <cell r="M391" t="str">
            <v>SSN-21</v>
          </cell>
          <cell r="O391">
            <v>250</v>
          </cell>
          <cell r="P391">
            <v>355</v>
          </cell>
          <cell r="Q391">
            <v>425</v>
          </cell>
          <cell r="R391">
            <v>400</v>
          </cell>
          <cell r="S391">
            <v>300</v>
          </cell>
          <cell r="T391" t="str">
            <v>-Ex 3rd sub.</v>
          </cell>
        </row>
        <row r="392">
          <cell r="M392" t="str">
            <v>Other Subs</v>
          </cell>
          <cell r="O392">
            <v>533</v>
          </cell>
          <cell r="P392">
            <v>445</v>
          </cell>
          <cell r="Q392">
            <v>465</v>
          </cell>
          <cell r="R392">
            <v>490</v>
          </cell>
          <cell r="S392">
            <v>500</v>
          </cell>
          <cell r="T392" t="str">
            <v>-Support/eng</v>
          </cell>
        </row>
        <row r="393">
          <cell r="M393" t="str">
            <v xml:space="preserve"> -subtotal</v>
          </cell>
          <cell r="O393">
            <v>1730</v>
          </cell>
          <cell r="P393">
            <v>1650</v>
          </cell>
          <cell r="Q393">
            <v>1575</v>
          </cell>
          <cell r="R393">
            <v>1400</v>
          </cell>
          <cell r="S393">
            <v>1125</v>
          </cell>
        </row>
        <row r="394">
          <cell r="M394" t="str">
            <v>Space launch</v>
          </cell>
          <cell r="T394" t="str">
            <v xml:space="preserve"> </v>
          </cell>
        </row>
        <row r="395">
          <cell r="M395" t="str">
            <v>Atlas</v>
          </cell>
          <cell r="O395">
            <v>0</v>
          </cell>
          <cell r="P395">
            <v>0</v>
          </cell>
          <cell r="Q395">
            <v>490</v>
          </cell>
          <cell r="R395">
            <v>675</v>
          </cell>
          <cell r="S395">
            <v>825</v>
          </cell>
          <cell r="T395" t="str">
            <v>-Launches build</v>
          </cell>
        </row>
        <row r="396">
          <cell r="M396" t="str">
            <v>Other Space</v>
          </cell>
          <cell r="O396">
            <v>225</v>
          </cell>
          <cell r="P396">
            <v>250</v>
          </cell>
          <cell r="Q396">
            <v>250</v>
          </cell>
          <cell r="R396">
            <v>225</v>
          </cell>
          <cell r="S396">
            <v>200</v>
          </cell>
          <cell r="T396" t="str">
            <v>-Trends down</v>
          </cell>
        </row>
        <row r="397">
          <cell r="M397" t="str">
            <v>Supercollider, etc</v>
          </cell>
          <cell r="O397">
            <v>10</v>
          </cell>
          <cell r="P397">
            <v>40</v>
          </cell>
          <cell r="Q397">
            <v>125</v>
          </cell>
          <cell r="R397">
            <v>125</v>
          </cell>
          <cell r="S397">
            <v>125</v>
          </cell>
          <cell r="T397" t="str">
            <v>-Stretched out</v>
          </cell>
        </row>
        <row r="398">
          <cell r="M398" t="str">
            <v xml:space="preserve"> -subtotal</v>
          </cell>
          <cell r="O398">
            <v>235</v>
          </cell>
          <cell r="P398">
            <v>290</v>
          </cell>
          <cell r="Q398">
            <v>865</v>
          </cell>
          <cell r="R398">
            <v>1025</v>
          </cell>
          <cell r="S398">
            <v>1150</v>
          </cell>
        </row>
        <row r="399">
          <cell r="M399" t="str">
            <v xml:space="preserve">  Total</v>
          </cell>
          <cell r="O399">
            <v>3217</v>
          </cell>
          <cell r="P399">
            <v>3265</v>
          </cell>
          <cell r="Q399">
            <v>3790</v>
          </cell>
          <cell r="R399">
            <v>3650</v>
          </cell>
          <cell r="S399">
            <v>3475</v>
          </cell>
        </row>
        <row r="400">
          <cell r="M400" t="str">
            <v xml:space="preserve">  %ch.</v>
          </cell>
          <cell r="P400">
            <v>1.4920733602735492E-2</v>
          </cell>
          <cell r="Q400">
            <v>0.16079632465543647</v>
          </cell>
          <cell r="R400">
            <v>-3.6939313984168831E-2</v>
          </cell>
          <cell r="S400">
            <v>-4.7945205479452024E-2</v>
          </cell>
        </row>
        <row r="403">
          <cell r="O403" t="str">
            <v>Est Impact Of Potential Share Repurchase</v>
          </cell>
        </row>
        <row r="405">
          <cell r="O405" t="str">
            <v>1992</v>
          </cell>
          <cell r="P405" t="str">
            <v>1993</v>
          </cell>
          <cell r="Q405" t="str">
            <v>1994</v>
          </cell>
        </row>
        <row r="406">
          <cell r="L406" t="str">
            <v>Shares Repurchased (MM)</v>
          </cell>
          <cell r="O406">
            <v>5</v>
          </cell>
          <cell r="P406">
            <v>5</v>
          </cell>
          <cell r="Q406">
            <v>5</v>
          </cell>
          <cell r="S406" t="str">
            <v>Net Income</v>
          </cell>
        </row>
        <row r="407">
          <cell r="L407" t="str">
            <v>Avg Price</v>
          </cell>
          <cell r="O407">
            <v>100</v>
          </cell>
          <cell r="P407">
            <v>100</v>
          </cell>
          <cell r="Q407">
            <v>100</v>
          </cell>
          <cell r="S407" t="str">
            <v>Less:Opp Cost</v>
          </cell>
        </row>
        <row r="408">
          <cell r="L408" t="str">
            <v>Cost ($MM)</v>
          </cell>
          <cell r="O408">
            <v>500</v>
          </cell>
          <cell r="P408">
            <v>500</v>
          </cell>
          <cell r="Q408">
            <v>500</v>
          </cell>
          <cell r="S408" t="str">
            <v>Adjust Net</v>
          </cell>
        </row>
        <row r="409">
          <cell r="L409" t="str">
            <v>Int Rate</v>
          </cell>
          <cell r="O409">
            <v>7.0000000000000007E-2</v>
          </cell>
          <cell r="P409">
            <v>7.0000000000000007E-2</v>
          </cell>
          <cell r="Q409">
            <v>7.0000000000000007E-2</v>
          </cell>
          <cell r="S409" t="str">
            <v>EPS</v>
          </cell>
        </row>
        <row r="410">
          <cell r="L410" t="str">
            <v>Ann. Opp Cost (Aft Tax)</v>
          </cell>
          <cell r="O410">
            <v>23.1</v>
          </cell>
          <cell r="P410">
            <v>23.1</v>
          </cell>
          <cell r="Q410">
            <v>23.1</v>
          </cell>
          <cell r="S410" t="str">
            <v>Avg. Shs.</v>
          </cell>
        </row>
        <row r="411">
          <cell r="L411" t="str">
            <v>Cum Repo Cost</v>
          </cell>
          <cell r="O411">
            <v>500</v>
          </cell>
          <cell r="P411">
            <v>1000</v>
          </cell>
          <cell r="Q411">
            <v>1500</v>
          </cell>
          <cell r="S411" t="str">
            <v>Incr. EPS</v>
          </cell>
        </row>
        <row r="412">
          <cell r="L412" t="str">
            <v>Net Debt/Cap-Post Buyback</v>
          </cell>
          <cell r="O412">
            <v>-6.6061106523534266E-2</v>
          </cell>
          <cell r="P412">
            <v>0.65814266487214002</v>
          </cell>
          <cell r="Q412">
            <v>0</v>
          </cell>
          <cell r="S412" t="str">
            <v xml:space="preserve"> % Inc</v>
          </cell>
        </row>
        <row r="413">
          <cell r="L413" t="str">
            <v>Net Debt/Cap-Pre Buyback</v>
          </cell>
          <cell r="O413">
            <v>-0.33898305084745761</v>
          </cell>
          <cell r="P413">
            <v>-0.29317269076305219</v>
          </cell>
          <cell r="Q413">
            <v>0</v>
          </cell>
        </row>
        <row r="414">
          <cell r="O414" t="str">
            <v xml:space="preserve"> </v>
          </cell>
        </row>
        <row r="416">
          <cell r="O416" t="str">
            <v>Incremental EPS Impact On GD ($MM)</v>
          </cell>
        </row>
        <row r="418">
          <cell r="O418" t="str">
            <v>1994E</v>
          </cell>
          <cell r="P418" t="str">
            <v>1995E</v>
          </cell>
          <cell r="Q418" t="str">
            <v>1996E</v>
          </cell>
        </row>
        <row r="419">
          <cell r="L419" t="str">
            <v>Space Launch Profits</v>
          </cell>
          <cell r="O419">
            <v>0</v>
          </cell>
          <cell r="P419">
            <v>0</v>
          </cell>
          <cell r="Q419">
            <v>0</v>
          </cell>
          <cell r="S419" t="str">
            <v xml:space="preserve"> </v>
          </cell>
        </row>
        <row r="420">
          <cell r="L420" t="str">
            <v>Kearney Mesa Rent</v>
          </cell>
          <cell r="O420">
            <v>4</v>
          </cell>
          <cell r="P420">
            <v>4</v>
          </cell>
        </row>
        <row r="421">
          <cell r="L421" t="str">
            <v>Interest On Proceeds</v>
          </cell>
          <cell r="O421">
            <v>10.450000000000001</v>
          </cell>
          <cell r="P421">
            <v>10.450000000000001</v>
          </cell>
          <cell r="Q421">
            <v>10.450000000000001</v>
          </cell>
          <cell r="S421" t="str">
            <v>-$209MM @ 7%</v>
          </cell>
        </row>
        <row r="422">
          <cell r="L422" t="str">
            <v xml:space="preserve">  Inc Pretax Impact</v>
          </cell>
          <cell r="O422">
            <v>14.450000000000001</v>
          </cell>
          <cell r="P422">
            <v>14.450000000000001</v>
          </cell>
          <cell r="Q422">
            <v>10.450000000000001</v>
          </cell>
        </row>
        <row r="423">
          <cell r="L423" t="str">
            <v>EPS Impact</v>
          </cell>
          <cell r="O423">
            <v>0.29351562500000006</v>
          </cell>
          <cell r="P423">
            <v>0.29351562500000006</v>
          </cell>
          <cell r="Q423">
            <v>0.21226562500000004</v>
          </cell>
        </row>
        <row r="425">
          <cell r="M425" t="str">
            <v xml:space="preserve"> </v>
          </cell>
          <cell r="N425" t="str">
            <v>ESTIMATED MISSILES/SPACE BUILD-UP ($MM)</v>
          </cell>
        </row>
        <row r="426">
          <cell r="N426" t="str">
            <v>===========================================</v>
          </cell>
        </row>
        <row r="427">
          <cell r="N427" t="str">
            <v>1986</v>
          </cell>
          <cell r="O427" t="str">
            <v>1987</v>
          </cell>
          <cell r="P427" t="str">
            <v>1988</v>
          </cell>
          <cell r="Q427" t="str">
            <v>1989</v>
          </cell>
          <cell r="T427">
            <v>1990</v>
          </cell>
        </row>
        <row r="428">
          <cell r="L428" t="str">
            <v>Tomahawk</v>
          </cell>
          <cell r="N428">
            <v>625</v>
          </cell>
          <cell r="O428">
            <v>625</v>
          </cell>
          <cell r="P428">
            <v>575</v>
          </cell>
          <cell r="Q428">
            <v>350</v>
          </cell>
          <cell r="T428">
            <v>350</v>
          </cell>
          <cell r="U428">
            <v>230</v>
          </cell>
          <cell r="V428" t="str">
            <v>Assumptions</v>
          </cell>
        </row>
        <row r="429">
          <cell r="L429" t="str">
            <v>ACM</v>
          </cell>
          <cell r="Q429">
            <v>364</v>
          </cell>
          <cell r="T429">
            <v>364</v>
          </cell>
          <cell r="U429">
            <v>210</v>
          </cell>
          <cell r="V429" t="str">
            <v>ACM up/GLCM ends</v>
          </cell>
        </row>
        <row r="430">
          <cell r="L430" t="str">
            <v>Standard</v>
          </cell>
          <cell r="N430">
            <v>450</v>
          </cell>
          <cell r="O430">
            <v>525</v>
          </cell>
          <cell r="P430">
            <v>485</v>
          </cell>
          <cell r="Q430">
            <v>350</v>
          </cell>
          <cell r="T430">
            <v>350</v>
          </cell>
          <cell r="U430">
            <v>195</v>
          </cell>
        </row>
        <row r="431">
          <cell r="L431" t="str">
            <v>Phalanx</v>
          </cell>
          <cell r="N431">
            <v>285</v>
          </cell>
          <cell r="O431">
            <v>300</v>
          </cell>
          <cell r="P431">
            <v>260</v>
          </cell>
          <cell r="Q431">
            <v>250</v>
          </cell>
          <cell r="T431">
            <v>250</v>
          </cell>
          <cell r="U431">
            <v>30</v>
          </cell>
          <cell r="V431" t="str">
            <v>2nd source comp.</v>
          </cell>
        </row>
        <row r="432">
          <cell r="L432" t="str">
            <v>Stinger</v>
          </cell>
          <cell r="N432">
            <v>300</v>
          </cell>
          <cell r="O432">
            <v>335</v>
          </cell>
          <cell r="P432">
            <v>375</v>
          </cell>
          <cell r="Q432">
            <v>350</v>
          </cell>
          <cell r="T432">
            <v>350</v>
          </cell>
          <cell r="U432">
            <v>175</v>
          </cell>
          <cell r="V432" t="str">
            <v>2nd source comp.</v>
          </cell>
        </row>
        <row r="433">
          <cell r="L433" t="str">
            <v>AAM</v>
          </cell>
          <cell r="V433" t="str">
            <v>Prodn. up</v>
          </cell>
        </row>
        <row r="434">
          <cell r="L434" t="str">
            <v>Sparrow</v>
          </cell>
          <cell r="N434">
            <v>125</v>
          </cell>
          <cell r="O434">
            <v>140</v>
          </cell>
          <cell r="P434">
            <v>175</v>
          </cell>
          <cell r="Q434">
            <v>150</v>
          </cell>
          <cell r="T434">
            <v>150</v>
          </cell>
          <cell r="U434" t="str">
            <v xml:space="preserve"> </v>
          </cell>
        </row>
        <row r="435">
          <cell r="L435" t="str">
            <v>RAM</v>
          </cell>
          <cell r="N435">
            <v>20</v>
          </cell>
          <cell r="O435">
            <v>50</v>
          </cell>
          <cell r="P435">
            <v>70</v>
          </cell>
          <cell r="Q435">
            <v>60</v>
          </cell>
          <cell r="T435">
            <v>60</v>
          </cell>
          <cell r="U435">
            <v>40</v>
          </cell>
        </row>
        <row r="436">
          <cell r="L436" t="str">
            <v>Misc.</v>
          </cell>
          <cell r="U436">
            <v>25</v>
          </cell>
          <cell r="V436" t="str">
            <v>SINCGARS up</v>
          </cell>
        </row>
        <row r="437">
          <cell r="L437" t="str">
            <v xml:space="preserve"> Total Revs</v>
          </cell>
          <cell r="N437">
            <v>2329</v>
          </cell>
          <cell r="O437">
            <v>2475</v>
          </cell>
          <cell r="P437">
            <v>1940</v>
          </cell>
          <cell r="Q437">
            <v>1874</v>
          </cell>
          <cell r="T437">
            <v>1874</v>
          </cell>
          <cell r="U437">
            <v>905</v>
          </cell>
        </row>
        <row r="438">
          <cell r="L438" t="str">
            <v xml:space="preserve"> % Change</v>
          </cell>
          <cell r="N438">
            <v>0</v>
          </cell>
          <cell r="O438">
            <v>6.2687848862172713E-2</v>
          </cell>
          <cell r="P438">
            <v>-0.21616161616161611</v>
          </cell>
          <cell r="Q438">
            <v>-3.4020618556701021E-2</v>
          </cell>
          <cell r="T438">
            <v>0</v>
          </cell>
        </row>
        <row r="439">
          <cell r="L439" t="str">
            <v>Op. Profit</v>
          </cell>
          <cell r="N439">
            <v>143</v>
          </cell>
          <cell r="O439">
            <v>160</v>
          </cell>
          <cell r="P439">
            <v>143</v>
          </cell>
          <cell r="Q439">
            <v>149</v>
          </cell>
          <cell r="T439">
            <v>0</v>
          </cell>
          <cell r="U439" t="str">
            <v>-</v>
          </cell>
        </row>
        <row r="440">
          <cell r="L440" t="str">
            <v xml:space="preserve">  %Sales</v>
          </cell>
          <cell r="N440">
            <v>6.1399742378703305E-2</v>
          </cell>
          <cell r="O440">
            <v>6.4646464646464646E-2</v>
          </cell>
          <cell r="P440">
            <v>7.3711340206185569E-2</v>
          </cell>
          <cell r="Q440">
            <v>7.9509071504802561E-2</v>
          </cell>
          <cell r="T440">
            <v>0</v>
          </cell>
          <cell r="V440" t="str">
            <v>No glitches</v>
          </cell>
        </row>
        <row r="442">
          <cell r="Q442" t="str">
            <v>Possible GD Cash Flow ($MM)</v>
          </cell>
        </row>
        <row r="444">
          <cell r="N444" t="str">
            <v>1985</v>
          </cell>
          <cell r="O444" t="str">
            <v>1986</v>
          </cell>
          <cell r="P444" t="str">
            <v>1987</v>
          </cell>
          <cell r="Q444" t="str">
            <v>1988</v>
          </cell>
          <cell r="S444" t="str">
            <v>1989</v>
          </cell>
          <cell r="T444">
            <v>1990</v>
          </cell>
          <cell r="U444" t="str">
            <v>1994</v>
          </cell>
        </row>
        <row r="445">
          <cell r="L445" t="str">
            <v>Pretax Inc.</v>
          </cell>
          <cell r="N445">
            <v>361</v>
          </cell>
          <cell r="O445">
            <v>616</v>
          </cell>
          <cell r="P445">
            <v>592</v>
          </cell>
          <cell r="Q445">
            <v>455</v>
          </cell>
          <cell r="S445">
            <v>272.10000000000002</v>
          </cell>
          <cell r="U445">
            <v>0</v>
          </cell>
          <cell r="V445" t="str">
            <v>Factors/Assumptions</v>
          </cell>
        </row>
        <row r="446">
          <cell r="L446" t="str">
            <v>Tax Payments</v>
          </cell>
          <cell r="N446">
            <v>257</v>
          </cell>
          <cell r="O446">
            <v>263</v>
          </cell>
          <cell r="P446">
            <v>-294</v>
          </cell>
          <cell r="Q446">
            <v>-260</v>
          </cell>
          <cell r="S446">
            <v>-338</v>
          </cell>
          <cell r="T446">
            <v>-120</v>
          </cell>
          <cell r="U446">
            <v>0</v>
          </cell>
          <cell r="V446" t="str">
            <v xml:space="preserve"> </v>
          </cell>
        </row>
        <row r="447">
          <cell r="L447" t="str">
            <v>Depreciation</v>
          </cell>
          <cell r="N447">
            <v>220</v>
          </cell>
          <cell r="O447">
            <v>270</v>
          </cell>
          <cell r="P447">
            <v>321</v>
          </cell>
          <cell r="Q447">
            <v>345</v>
          </cell>
          <cell r="S447">
            <v>361</v>
          </cell>
          <cell r="T447">
            <v>320</v>
          </cell>
          <cell r="U447">
            <v>160</v>
          </cell>
          <cell r="V447" t="str">
            <v>-Peaks in 91</v>
          </cell>
        </row>
        <row r="448">
          <cell r="L448" t="str">
            <v>Cap. Expend.</v>
          </cell>
          <cell r="N448">
            <v>-410</v>
          </cell>
          <cell r="O448">
            <v>-421</v>
          </cell>
          <cell r="P448">
            <v>-350</v>
          </cell>
          <cell r="Q448">
            <v>-496</v>
          </cell>
          <cell r="S448">
            <v>-420</v>
          </cell>
          <cell r="T448">
            <v>-306</v>
          </cell>
          <cell r="U448">
            <v>-95</v>
          </cell>
          <cell r="V448" t="str">
            <v>-Follows cap spdg</v>
          </cell>
        </row>
        <row r="449">
          <cell r="L449" t="str">
            <v>Dividends</v>
          </cell>
          <cell r="N449">
            <v>-42</v>
          </cell>
          <cell r="O449">
            <v>-43</v>
          </cell>
          <cell r="P449">
            <v>-43</v>
          </cell>
          <cell r="Q449">
            <v>-42</v>
          </cell>
          <cell r="S449">
            <v>-42</v>
          </cell>
          <cell r="T449">
            <v>-42</v>
          </cell>
          <cell r="U449">
            <v>-42</v>
          </cell>
          <cell r="V449" t="str">
            <v>-Sharp downtrend</v>
          </cell>
        </row>
        <row r="450">
          <cell r="L450" t="str">
            <v>Disc. Opns./Invests.</v>
          </cell>
          <cell r="N450">
            <v>-534</v>
          </cell>
          <cell r="O450">
            <v>193</v>
          </cell>
          <cell r="P450">
            <v>248</v>
          </cell>
          <cell r="Q450">
            <v>-17</v>
          </cell>
          <cell r="S450">
            <v>-27</v>
          </cell>
          <cell r="T450">
            <v>120</v>
          </cell>
          <cell r="V450" t="str">
            <v>-Ex poss hikes</v>
          </cell>
        </row>
        <row r="451">
          <cell r="L451" t="str">
            <v>T-Stock</v>
          </cell>
          <cell r="N451">
            <v>-91</v>
          </cell>
          <cell r="O451" t="str">
            <v>==</v>
          </cell>
          <cell r="P451">
            <v>-93</v>
          </cell>
          <cell r="Q451">
            <v>-20</v>
          </cell>
          <cell r="S451">
            <v>-14</v>
          </cell>
          <cell r="T451">
            <v>-10</v>
          </cell>
          <cell r="U451">
            <v>-10</v>
          </cell>
        </row>
        <row r="452">
          <cell r="L452" t="str">
            <v>Work. Cap. etc.</v>
          </cell>
          <cell r="N452">
            <v>421</v>
          </cell>
          <cell r="O452">
            <v>-514</v>
          </cell>
          <cell r="P452">
            <v>-388</v>
          </cell>
          <cell r="Q452">
            <v>-241</v>
          </cell>
          <cell r="S452">
            <v>-336</v>
          </cell>
          <cell r="T452">
            <v>1303</v>
          </cell>
          <cell r="U452">
            <v>65</v>
          </cell>
        </row>
        <row r="453">
          <cell r="L453" t="str">
            <v>Redn Net Debt</v>
          </cell>
          <cell r="N453">
            <v>182</v>
          </cell>
          <cell r="O453">
            <v>364</v>
          </cell>
          <cell r="P453">
            <v>-7</v>
          </cell>
          <cell r="Q453">
            <v>-276</v>
          </cell>
          <cell r="S453">
            <v>-543.9</v>
          </cell>
          <cell r="T453">
            <v>1265</v>
          </cell>
          <cell r="U453">
            <v>78</v>
          </cell>
          <cell r="V453" t="str">
            <v>-A-12 costs in 1991-92</v>
          </cell>
        </row>
        <row r="454">
          <cell r="P454" t="str">
            <v xml:space="preserve"> </v>
          </cell>
          <cell r="Q454" t="str">
            <v xml:space="preserve"> </v>
          </cell>
          <cell r="S454" t="str">
            <v xml:space="preserve"> </v>
          </cell>
          <cell r="U454">
            <v>400</v>
          </cell>
          <cell r="V454" t="str">
            <v xml:space="preserve"> </v>
          </cell>
        </row>
        <row r="455">
          <cell r="N455" t="str">
            <v>12/85</v>
          </cell>
          <cell r="O455" t="str">
            <v>12/86</v>
          </cell>
          <cell r="P455" t="str">
            <v>12/87</v>
          </cell>
          <cell r="Q455" t="str">
            <v>12/88</v>
          </cell>
          <cell r="S455" t="str">
            <v>12/89</v>
          </cell>
          <cell r="T455" t="str">
            <v>12/90</v>
          </cell>
          <cell r="U455" t="str">
            <v>12/94E</v>
          </cell>
        </row>
        <row r="456">
          <cell r="L456" t="str">
            <v>NetDebt</v>
          </cell>
          <cell r="N456">
            <v>427</v>
          </cell>
          <cell r="O456">
            <v>245</v>
          </cell>
          <cell r="P456">
            <v>255</v>
          </cell>
          <cell r="Q456">
            <v>436</v>
          </cell>
          <cell r="S456">
            <v>979.9</v>
          </cell>
          <cell r="T456">
            <v>-285.10000000000002</v>
          </cell>
          <cell r="U456">
            <v>0</v>
          </cell>
        </row>
        <row r="457">
          <cell r="L457" t="str">
            <v>Equity</v>
          </cell>
          <cell r="N457">
            <v>1336</v>
          </cell>
          <cell r="O457">
            <v>1264</v>
          </cell>
          <cell r="P457">
            <v>1601</v>
          </cell>
          <cell r="Q457">
            <v>1878</v>
          </cell>
          <cell r="S457">
            <v>2126</v>
          </cell>
          <cell r="T457">
            <v>1510</v>
          </cell>
          <cell r="U457">
            <v>0</v>
          </cell>
          <cell r="V457" t="str">
            <v xml:space="preserve"> </v>
          </cell>
        </row>
        <row r="458">
          <cell r="L458" t="str">
            <v xml:space="preserve"> Net Debt/Cap</v>
          </cell>
          <cell r="N458">
            <v>0.24220079410096426</v>
          </cell>
          <cell r="O458">
            <v>0.16235917826375082</v>
          </cell>
          <cell r="P458">
            <v>0.13739224137931033</v>
          </cell>
          <cell r="Q458">
            <v>0.18841832324978391</v>
          </cell>
          <cell r="S458">
            <v>0.3154963134679159</v>
          </cell>
          <cell r="T458">
            <v>-0.23275369417911668</v>
          </cell>
          <cell r="V458" t="str">
            <v>-'93 Inc guess $700MM FAS 106</v>
          </cell>
        </row>
        <row r="459">
          <cell r="V459" t="str">
            <v xml:space="preserve"> </v>
          </cell>
          <cell r="X459" t="str">
            <v xml:space="preserve"> </v>
          </cell>
        </row>
        <row r="460">
          <cell r="S460" t="str">
            <v xml:space="preserve"> Tactical Military Aircraft P&amp;L ($MM)</v>
          </cell>
        </row>
        <row r="461">
          <cell r="S461" t="str">
            <v xml:space="preserve"> </v>
          </cell>
        </row>
        <row r="462">
          <cell r="M462" t="str">
            <v>REVENUES</v>
          </cell>
          <cell r="O462" t="str">
            <v>1986</v>
          </cell>
          <cell r="P462" t="str">
            <v>1987</v>
          </cell>
          <cell r="Q462" t="str">
            <v>1988</v>
          </cell>
          <cell r="S462" t="str">
            <v>1989</v>
          </cell>
          <cell r="T462">
            <v>1990</v>
          </cell>
          <cell r="U462" t="str">
            <v>1994</v>
          </cell>
          <cell r="AA462" t="str">
            <v>ESTIMATED MILITARY AIRCRAFT P&amp;L ($MM)</v>
          </cell>
        </row>
        <row r="463">
          <cell r="M463" t="str">
            <v xml:space="preserve">  F-16 </v>
          </cell>
          <cell r="O463">
            <v>2350</v>
          </cell>
          <cell r="P463">
            <v>2675</v>
          </cell>
          <cell r="Q463">
            <v>2750</v>
          </cell>
          <cell r="S463">
            <v>2640</v>
          </cell>
          <cell r="T463">
            <v>2700</v>
          </cell>
          <cell r="U463">
            <v>2050</v>
          </cell>
          <cell r="V463" t="str">
            <v>1995</v>
          </cell>
          <cell r="W463" t="str">
            <v>Assumptions</v>
          </cell>
          <cell r="AA463" t="str">
            <v>===========================================</v>
          </cell>
        </row>
        <row r="464">
          <cell r="M464" t="str">
            <v xml:space="preserve">  F-22</v>
          </cell>
          <cell r="T464" t="str">
            <v xml:space="preserve"> </v>
          </cell>
          <cell r="U464">
            <v>450</v>
          </cell>
          <cell r="V464">
            <v>1700</v>
          </cell>
          <cell r="W464" t="str">
            <v>-% comp. actng.</v>
          </cell>
          <cell r="Z464" t="str">
            <v>1984</v>
          </cell>
          <cell r="AA464" t="str">
            <v>1985</v>
          </cell>
        </row>
        <row r="465">
          <cell r="M465" t="str">
            <v xml:space="preserve">  Other Airc.</v>
          </cell>
          <cell r="O465">
            <v>321</v>
          </cell>
          <cell r="P465">
            <v>524</v>
          </cell>
          <cell r="Q465">
            <v>667</v>
          </cell>
          <cell r="S465">
            <v>1036</v>
          </cell>
          <cell r="T465">
            <v>1081</v>
          </cell>
          <cell r="U465">
            <v>200</v>
          </cell>
          <cell r="V465">
            <v>350</v>
          </cell>
        </row>
        <row r="466">
          <cell r="M466" t="str">
            <v xml:space="preserve">   Total </v>
          </cell>
          <cell r="O466">
            <v>2671</v>
          </cell>
          <cell r="P466">
            <v>3199</v>
          </cell>
          <cell r="Q466">
            <v>3417</v>
          </cell>
          <cell r="S466">
            <v>3676</v>
          </cell>
          <cell r="T466">
            <v>3781</v>
          </cell>
          <cell r="U466">
            <v>2700</v>
          </cell>
          <cell r="V466">
            <v>150</v>
          </cell>
          <cell r="W466" t="str">
            <v>-A-12 terminated</v>
          </cell>
        </row>
        <row r="467">
          <cell r="M467" t="str">
            <v>OP. PROFIT</v>
          </cell>
          <cell r="V467">
            <v>2200</v>
          </cell>
          <cell r="Z467">
            <v>0</v>
          </cell>
          <cell r="AA467">
            <v>0</v>
          </cell>
        </row>
        <row r="468">
          <cell r="M468" t="str">
            <v xml:space="preserve">  F-16</v>
          </cell>
          <cell r="O468">
            <v>305.5</v>
          </cell>
          <cell r="P468">
            <v>345</v>
          </cell>
          <cell r="Q468">
            <v>365</v>
          </cell>
          <cell r="S468">
            <v>270</v>
          </cell>
          <cell r="T468">
            <v>145</v>
          </cell>
          <cell r="U468">
            <v>166</v>
          </cell>
          <cell r="Z468">
            <v>2016</v>
          </cell>
          <cell r="AA468">
            <v>2114</v>
          </cell>
        </row>
        <row r="469">
          <cell r="M469" t="str">
            <v xml:space="preserve">  FSX/S Korea</v>
          </cell>
          <cell r="S469">
            <v>22</v>
          </cell>
          <cell r="T469">
            <v>26</v>
          </cell>
          <cell r="V469">
            <v>139</v>
          </cell>
          <cell r="W469" t="str">
            <v>-PM's drop in '89-91</v>
          </cell>
        </row>
        <row r="470">
          <cell r="M470" t="str">
            <v xml:space="preserve">  A-12,other</v>
          </cell>
          <cell r="O470">
            <v>21</v>
          </cell>
          <cell r="P470">
            <v>10</v>
          </cell>
          <cell r="Q470">
            <v>38</v>
          </cell>
          <cell r="S470">
            <v>48</v>
          </cell>
          <cell r="T470">
            <v>-809</v>
          </cell>
          <cell r="U470">
            <v>7</v>
          </cell>
          <cell r="W470" t="str">
            <v>-FSX F-16 royalties</v>
          </cell>
          <cell r="Z470">
            <v>0</v>
          </cell>
          <cell r="AA470">
            <v>0</v>
          </cell>
        </row>
        <row r="471">
          <cell r="M471" t="str">
            <v xml:space="preserve">  F-22</v>
          </cell>
          <cell r="O471">
            <v>-8</v>
          </cell>
          <cell r="P471">
            <v>-33</v>
          </cell>
          <cell r="Q471">
            <v>-85</v>
          </cell>
          <cell r="S471">
            <v>-105</v>
          </cell>
          <cell r="U471">
            <v>27.000000000000004</v>
          </cell>
          <cell r="V471">
            <v>5</v>
          </cell>
          <cell r="W471" t="str">
            <v>-No addnl W/O's</v>
          </cell>
        </row>
        <row r="472">
          <cell r="M472" t="str">
            <v xml:space="preserve"> Total</v>
          </cell>
          <cell r="O472">
            <v>335</v>
          </cell>
          <cell r="P472">
            <v>322</v>
          </cell>
          <cell r="Q472">
            <v>318</v>
          </cell>
          <cell r="S472">
            <v>235</v>
          </cell>
          <cell r="T472">
            <v>-638</v>
          </cell>
          <cell r="U472">
            <v>200</v>
          </cell>
          <cell r="V472">
            <v>21</v>
          </cell>
          <cell r="W472" t="str">
            <v>-Cost-plus contract</v>
          </cell>
          <cell r="Z472">
            <v>19</v>
          </cell>
          <cell r="AA472">
            <v>22</v>
          </cell>
        </row>
        <row r="473">
          <cell r="M473" t="str">
            <v>%Sales</v>
          </cell>
          <cell r="V473">
            <v>165</v>
          </cell>
        </row>
        <row r="474">
          <cell r="M474" t="str">
            <v xml:space="preserve">  Total</v>
          </cell>
          <cell r="O474">
            <v>0.12542119056533133</v>
          </cell>
          <cell r="P474">
            <v>0.10065645514223195</v>
          </cell>
          <cell r="Q474">
            <v>9.3064091308165051E-2</v>
          </cell>
          <cell r="S474">
            <v>6.3928182807399342E-2</v>
          </cell>
          <cell r="T474">
            <v>-0.16873842898704047</v>
          </cell>
          <cell r="U474">
            <v>7.407407407407407E-2</v>
          </cell>
          <cell r="Z474">
            <v>266</v>
          </cell>
          <cell r="AA474">
            <v>282</v>
          </cell>
          <cell r="AF474" t="str">
            <v>Space Launch Backlog</v>
          </cell>
          <cell r="AK474" t="str">
            <v>Space Launches</v>
          </cell>
        </row>
        <row r="475">
          <cell r="M475" t="str">
            <v xml:space="preserve">  F-16 </v>
          </cell>
          <cell r="O475">
            <v>0.13</v>
          </cell>
          <cell r="P475">
            <v>0.12897196261682242</v>
          </cell>
          <cell r="Q475">
            <v>0.13272727272727272</v>
          </cell>
          <cell r="S475">
            <v>0.10227272727272728</v>
          </cell>
          <cell r="T475">
            <v>5.3703703703703705E-2</v>
          </cell>
          <cell r="U475">
            <v>8.0975609756097564E-2</v>
          </cell>
          <cell r="V475">
            <v>7.4999999999999997E-2</v>
          </cell>
          <cell r="W475" t="str">
            <v xml:space="preserve"> </v>
          </cell>
        </row>
        <row r="476">
          <cell r="M476" t="str">
            <v>F-16 Delivs</v>
          </cell>
          <cell r="V476">
            <v>8.1764705882352948E-2</v>
          </cell>
          <cell r="W476" t="str">
            <v>-Up in H2:92</v>
          </cell>
          <cell r="Z476">
            <v>0.13194444444444445</v>
          </cell>
          <cell r="AA476">
            <v>0.13339640491958374</v>
          </cell>
          <cell r="AF476" t="str">
            <v>Payload</v>
          </cell>
          <cell r="AG476" t="str">
            <v>Manifest</v>
          </cell>
          <cell r="AH476" t="str">
            <v>Vehicle</v>
          </cell>
          <cell r="AK476" t="str">
            <v>Vehicle</v>
          </cell>
          <cell r="AM476" t="str">
            <v>Customer</v>
          </cell>
        </row>
        <row r="477">
          <cell r="M477" t="str">
            <v xml:space="preserve">  U.S.</v>
          </cell>
          <cell r="O477">
            <v>152</v>
          </cell>
          <cell r="P477">
            <v>192</v>
          </cell>
          <cell r="Q477">
            <v>188</v>
          </cell>
          <cell r="S477">
            <v>158</v>
          </cell>
          <cell r="T477">
            <v>200</v>
          </cell>
          <cell r="U477">
            <v>95</v>
          </cell>
          <cell r="W477">
            <v>96</v>
          </cell>
          <cell r="Z477">
            <v>0</v>
          </cell>
          <cell r="AA477">
            <v>0</v>
          </cell>
          <cell r="AF477" t="str">
            <v>GOES</v>
          </cell>
          <cell r="AG477">
            <v>3</v>
          </cell>
          <cell r="AH477" t="str">
            <v>Atlas 1</v>
          </cell>
          <cell r="AK477" t="str">
            <v>Atlas I</v>
          </cell>
          <cell r="AL477">
            <v>1</v>
          </cell>
          <cell r="AM477" t="str">
            <v>NASA</v>
          </cell>
        </row>
        <row r="478">
          <cell r="M478" t="str">
            <v xml:space="preserve">  Foreign</v>
          </cell>
          <cell r="O478">
            <v>49</v>
          </cell>
          <cell r="P478">
            <v>107</v>
          </cell>
          <cell r="Q478">
            <v>100</v>
          </cell>
          <cell r="S478">
            <v>91</v>
          </cell>
          <cell r="T478">
            <v>69</v>
          </cell>
          <cell r="U478">
            <v>95</v>
          </cell>
          <cell r="V478">
            <v>18</v>
          </cell>
          <cell r="X478" t="str">
            <v>-Admin request/last del in '94</v>
          </cell>
          <cell r="AF478" t="str">
            <v>SOHO</v>
          </cell>
          <cell r="AG478">
            <v>1</v>
          </cell>
          <cell r="AH478" t="str">
            <v>Atlas IIAS</v>
          </cell>
          <cell r="AL478">
            <v>1</v>
          </cell>
          <cell r="AM478" t="str">
            <v>GE Astro</v>
          </cell>
        </row>
        <row r="479">
          <cell r="M479" t="str">
            <v xml:space="preserve">  Total </v>
          </cell>
          <cell r="O479">
            <v>201</v>
          </cell>
          <cell r="P479">
            <v>299</v>
          </cell>
          <cell r="Q479">
            <v>288</v>
          </cell>
          <cell r="S479">
            <v>249</v>
          </cell>
          <cell r="T479">
            <v>269</v>
          </cell>
          <cell r="U479">
            <v>190</v>
          </cell>
          <cell r="V479">
            <v>62</v>
          </cell>
          <cell r="X479" t="str">
            <v>-Ex Korea</v>
          </cell>
          <cell r="Z479">
            <v>123</v>
          </cell>
          <cell r="AA479">
            <v>124</v>
          </cell>
          <cell r="AF479" t="str">
            <v>IELV</v>
          </cell>
          <cell r="AG479">
            <v>1</v>
          </cell>
          <cell r="AH479" t="str">
            <v>Atlas IIA&amp;AS</v>
          </cell>
          <cell r="AL479">
            <v>4</v>
          </cell>
          <cell r="AM479" t="str">
            <v>GMH</v>
          </cell>
        </row>
        <row r="480">
          <cell r="U480">
            <v>192</v>
          </cell>
          <cell r="V480">
            <v>80</v>
          </cell>
          <cell r="X480" t="str">
            <v>-Trending down</v>
          </cell>
          <cell r="Z480">
            <v>70</v>
          </cell>
          <cell r="AA480">
            <v>55</v>
          </cell>
          <cell r="AF480" t="str">
            <v>INTL VII</v>
          </cell>
          <cell r="AG480">
            <v>3</v>
          </cell>
          <cell r="AH480" t="str">
            <v>Atlas IIAS</v>
          </cell>
          <cell r="AM480" t="str">
            <v>AF</v>
          </cell>
        </row>
        <row r="481">
          <cell r="V481">
            <v>79</v>
          </cell>
          <cell r="W481">
            <v>98</v>
          </cell>
          <cell r="X481">
            <v>146</v>
          </cell>
          <cell r="AF481" t="str">
            <v>UHF</v>
          </cell>
          <cell r="AG481">
            <v>7</v>
          </cell>
          <cell r="AH481" t="str">
            <v>Atlas IIA&amp;AS</v>
          </cell>
          <cell r="AM481" t="str">
            <v>AT&amp;T</v>
          </cell>
        </row>
        <row r="482">
          <cell r="AF482" t="str">
            <v>DirecTV 2</v>
          </cell>
          <cell r="AG482">
            <v>1</v>
          </cell>
          <cell r="AH482" t="str">
            <v>Atlas IIA</v>
          </cell>
          <cell r="AK482" t="str">
            <v>Atlas II</v>
          </cell>
          <cell r="AL482">
            <v>1</v>
          </cell>
          <cell r="AM482" t="str">
            <v>Eutelsat</v>
          </cell>
        </row>
        <row r="483">
          <cell r="Q483" t="str">
            <v>1988</v>
          </cell>
          <cell r="S483" t="str">
            <v>1989</v>
          </cell>
          <cell r="T483" t="str">
            <v>1990</v>
          </cell>
          <cell r="U483" t="str">
            <v>1994E</v>
          </cell>
          <cell r="AF483" t="str">
            <v>JCSAT 3</v>
          </cell>
          <cell r="AG483">
            <v>1</v>
          </cell>
          <cell r="AH483" t="str">
            <v>Atlas IIAS</v>
          </cell>
          <cell r="AL483">
            <v>1</v>
          </cell>
          <cell r="AM483" t="str">
            <v>Air Force</v>
          </cell>
        </row>
        <row r="484">
          <cell r="P484" t="str">
            <v>Atlas</v>
          </cell>
          <cell r="S484">
            <v>0</v>
          </cell>
          <cell r="T484">
            <v>60</v>
          </cell>
          <cell r="U484">
            <v>490</v>
          </cell>
          <cell r="V484" t="str">
            <v>1995E</v>
          </cell>
          <cell r="W484" t="str">
            <v>1996E</v>
          </cell>
          <cell r="X484" t="str">
            <v>Assumptions</v>
          </cell>
          <cell r="AF484" t="str">
            <v>Orion</v>
          </cell>
          <cell r="AG484">
            <v>1</v>
          </cell>
          <cell r="AH484" t="str">
            <v>Atlas IIA</v>
          </cell>
          <cell r="AK484" t="str">
            <v>Atlas IIA</v>
          </cell>
          <cell r="AM484" t="str">
            <v>Air Force</v>
          </cell>
        </row>
        <row r="485">
          <cell r="P485" t="str">
            <v>Other Space</v>
          </cell>
          <cell r="U485">
            <v>250</v>
          </cell>
          <cell r="V485">
            <v>675</v>
          </cell>
          <cell r="W485">
            <v>825</v>
          </cell>
          <cell r="X485" t="str">
            <v>-Launches build</v>
          </cell>
          <cell r="AA485" t="str">
            <v>Customer</v>
          </cell>
          <cell r="AF485" t="str">
            <v>MLV</v>
          </cell>
          <cell r="AG485">
            <v>5</v>
          </cell>
          <cell r="AH485" t="str">
            <v>Atlas II</v>
          </cell>
          <cell r="AM485" t="str">
            <v>Intelsat</v>
          </cell>
        </row>
        <row r="486">
          <cell r="P486" t="str">
            <v>Supercollider, etc</v>
          </cell>
          <cell r="S486">
            <v>291</v>
          </cell>
          <cell r="T486">
            <v>240</v>
          </cell>
          <cell r="U486">
            <v>25</v>
          </cell>
          <cell r="V486">
            <v>225</v>
          </cell>
          <cell r="W486">
            <v>200</v>
          </cell>
          <cell r="X486" t="str">
            <v>-Trends down</v>
          </cell>
          <cell r="AA486" t="str">
            <v>NASA</v>
          </cell>
          <cell r="AF486" t="str">
            <v>SAX</v>
          </cell>
          <cell r="AG486">
            <v>1</v>
          </cell>
          <cell r="AH486" t="str">
            <v>Atlas 1</v>
          </cell>
          <cell r="AK486" t="str">
            <v>Atlas IIAS</v>
          </cell>
          <cell r="AM486" t="str">
            <v>Air Force</v>
          </cell>
        </row>
        <row r="487">
          <cell r="P487" t="str">
            <v xml:space="preserve">  Total</v>
          </cell>
          <cell r="Q487">
            <v>0</v>
          </cell>
          <cell r="S487">
            <v>291</v>
          </cell>
          <cell r="T487">
            <v>300</v>
          </cell>
          <cell r="U487">
            <v>765</v>
          </cell>
          <cell r="V487">
            <v>25</v>
          </cell>
          <cell r="W487">
            <v>25</v>
          </cell>
          <cell r="X487" t="str">
            <v>-Stretched out</v>
          </cell>
          <cell r="AF487" t="str">
            <v>ATT#2</v>
          </cell>
          <cell r="AG487">
            <v>1</v>
          </cell>
          <cell r="AH487" t="str">
            <v>Atlas IIAS</v>
          </cell>
          <cell r="AK487" t="str">
            <v>Total</v>
          </cell>
        </row>
        <row r="488">
          <cell r="V488">
            <v>925</v>
          </cell>
          <cell r="W488">
            <v>1050</v>
          </cell>
          <cell r="X488">
            <v>0</v>
          </cell>
          <cell r="AF488" t="str">
            <v>Inmarsat</v>
          </cell>
          <cell r="AG488">
            <v>2</v>
          </cell>
          <cell r="AH488" t="str">
            <v>Atlas II</v>
          </cell>
        </row>
        <row r="489">
          <cell r="AA489" t="str">
            <v>Intelsat</v>
          </cell>
          <cell r="AF489" t="str">
            <v>MSAT</v>
          </cell>
          <cell r="AG489">
            <v>1</v>
          </cell>
          <cell r="AH489" t="str">
            <v>Atlas IIA</v>
          </cell>
        </row>
        <row r="490">
          <cell r="P490" t="str">
            <v>Atlas</v>
          </cell>
          <cell r="Q490">
            <v>-60</v>
          </cell>
          <cell r="S490">
            <v>-85</v>
          </cell>
          <cell r="T490">
            <v>-95</v>
          </cell>
          <cell r="U490">
            <v>0</v>
          </cell>
          <cell r="AA490" t="str">
            <v>GMH/Navy</v>
          </cell>
          <cell r="AF490" t="str">
            <v>DBS LOR</v>
          </cell>
          <cell r="AG490">
            <v>1</v>
          </cell>
          <cell r="AH490" t="str">
            <v>Atlas IIAS</v>
          </cell>
        </row>
        <row r="491">
          <cell r="P491" t="str">
            <v>Reserve</v>
          </cell>
          <cell r="V491">
            <v>20</v>
          </cell>
          <cell r="W491">
            <v>40</v>
          </cell>
          <cell r="AA491" t="str">
            <v>GMH</v>
          </cell>
        </row>
        <row r="492">
          <cell r="P492" t="str">
            <v>Govt.</v>
          </cell>
          <cell r="S492">
            <v>10</v>
          </cell>
          <cell r="T492">
            <v>0</v>
          </cell>
          <cell r="U492">
            <v>20</v>
          </cell>
          <cell r="AF492" t="str">
            <v>Total</v>
          </cell>
          <cell r="AG492">
            <v>29</v>
          </cell>
        </row>
        <row r="493">
          <cell r="P493" t="str">
            <v xml:space="preserve">  Total</v>
          </cell>
          <cell r="Q493">
            <v>-60</v>
          </cell>
          <cell r="S493">
            <v>-75</v>
          </cell>
          <cell r="T493">
            <v>-95</v>
          </cell>
          <cell r="U493">
            <v>20</v>
          </cell>
          <cell r="V493">
            <v>20</v>
          </cell>
          <cell r="W493">
            <v>20</v>
          </cell>
          <cell r="AA493" t="str">
            <v>Orion</v>
          </cell>
        </row>
        <row r="494">
          <cell r="P494" t="str">
            <v xml:space="preserve"> % Sales</v>
          </cell>
          <cell r="U494">
            <v>2.6143790849673203E-2</v>
          </cell>
          <cell r="V494">
            <v>40</v>
          </cell>
          <cell r="W494">
            <v>60</v>
          </cell>
          <cell r="AA494" t="str">
            <v>Air Force</v>
          </cell>
        </row>
        <row r="495">
          <cell r="V495">
            <v>4.3243243243243246E-2</v>
          </cell>
          <cell r="W495">
            <v>5.7142857142857141E-2</v>
          </cell>
          <cell r="X495" t="str">
            <v xml:space="preserve"> </v>
          </cell>
          <cell r="AA495" t="str">
            <v>Italy Space Ag</v>
          </cell>
        </row>
        <row r="496">
          <cell r="P496" t="str">
            <v>Atlas</v>
          </cell>
          <cell r="S496" t="str">
            <v>==</v>
          </cell>
          <cell r="T496">
            <v>1</v>
          </cell>
          <cell r="U496">
            <v>7</v>
          </cell>
          <cell r="AA496" t="str">
            <v>AT&amp;T</v>
          </cell>
        </row>
        <row r="497">
          <cell r="V497">
            <v>9</v>
          </cell>
          <cell r="W497">
            <v>11</v>
          </cell>
          <cell r="AA497" t="str">
            <v>Inmarsat</v>
          </cell>
        </row>
        <row r="498">
          <cell r="AA498" t="str">
            <v>AMSC</v>
          </cell>
        </row>
        <row r="499">
          <cell r="Q499" t="str">
            <v>Est. GD "Core" Operations Cash Flow ($MM)</v>
          </cell>
          <cell r="AA499" t="str">
            <v>LOR</v>
          </cell>
        </row>
        <row r="501">
          <cell r="Q501" t="str">
            <v>1991A</v>
          </cell>
          <cell r="S501" t="str">
            <v>1992</v>
          </cell>
          <cell r="T501" t="str">
            <v>1993</v>
          </cell>
        </row>
        <row r="502">
          <cell r="N502" t="str">
            <v>Pretax</v>
          </cell>
          <cell r="Q502">
            <v>207</v>
          </cell>
          <cell r="S502">
            <v>0</v>
          </cell>
          <cell r="T502">
            <v>0</v>
          </cell>
        </row>
        <row r="503">
          <cell r="N503" t="str">
            <v>Taxes Paid</v>
          </cell>
          <cell r="Q503">
            <v>-523</v>
          </cell>
          <cell r="S503">
            <v>0</v>
          </cell>
          <cell r="T503">
            <v>0</v>
          </cell>
        </row>
        <row r="504">
          <cell r="N504" t="str">
            <v>Depreciation</v>
          </cell>
          <cell r="Q504">
            <v>196</v>
          </cell>
          <cell r="S504">
            <v>100</v>
          </cell>
          <cell r="T504">
            <v>50</v>
          </cell>
        </row>
        <row r="505">
          <cell r="N505" t="str">
            <v>Cap. Expend,net</v>
          </cell>
          <cell r="Q505">
            <v>-43</v>
          </cell>
          <cell r="S505">
            <v>-25</v>
          </cell>
          <cell r="T505">
            <v>-30</v>
          </cell>
        </row>
        <row r="506">
          <cell r="N506" t="str">
            <v>Dividends</v>
          </cell>
          <cell r="Q506">
            <v>-42</v>
          </cell>
          <cell r="S506">
            <v>-60</v>
          </cell>
          <cell r="T506">
            <v>-48</v>
          </cell>
        </row>
        <row r="507">
          <cell r="N507" t="str">
            <v>Disc. Opns</v>
          </cell>
          <cell r="Q507">
            <v>272</v>
          </cell>
          <cell r="S507">
            <v>593</v>
          </cell>
        </row>
        <row r="508">
          <cell r="N508" t="str">
            <v>A-12  Reserves</v>
          </cell>
          <cell r="Q508">
            <v>-183</v>
          </cell>
          <cell r="S508">
            <v>-125</v>
          </cell>
          <cell r="T508">
            <v>-64</v>
          </cell>
        </row>
        <row r="509">
          <cell r="N509" t="str">
            <v>Other</v>
          </cell>
          <cell r="Q509">
            <v>382</v>
          </cell>
          <cell r="S509">
            <v>97</v>
          </cell>
          <cell r="T509">
            <v>23</v>
          </cell>
        </row>
        <row r="510">
          <cell r="N510" t="str">
            <v>Redn Net Debt</v>
          </cell>
          <cell r="Q510">
            <v>266</v>
          </cell>
          <cell r="S510">
            <v>580</v>
          </cell>
          <cell r="T510">
            <v>-69</v>
          </cell>
        </row>
        <row r="511">
          <cell r="Q511">
            <v>204</v>
          </cell>
          <cell r="S511" t="str">
            <v xml:space="preserve"> </v>
          </cell>
          <cell r="T511" t="str">
            <v xml:space="preserve"> </v>
          </cell>
        </row>
        <row r="512">
          <cell r="Q512" t="str">
            <v>12/91</v>
          </cell>
          <cell r="S512" t="str">
            <v>12/92E</v>
          </cell>
          <cell r="T512" t="str">
            <v>12/93E</v>
          </cell>
          <cell r="V512" t="str">
            <v xml:space="preserve"> </v>
          </cell>
          <cell r="W512" t="str">
            <v xml:space="preserve"> </v>
          </cell>
        </row>
        <row r="513">
          <cell r="O513" t="str">
            <v>NetDebt/(Cash)</v>
          </cell>
          <cell r="Q513">
            <v>0</v>
          </cell>
          <cell r="S513">
            <v>-580</v>
          </cell>
          <cell r="T513">
            <v>-511</v>
          </cell>
        </row>
        <row r="514">
          <cell r="O514" t="str">
            <v>Equity</v>
          </cell>
          <cell r="Q514">
            <v>1980</v>
          </cell>
          <cell r="S514">
            <v>2291</v>
          </cell>
          <cell r="T514">
            <v>2254</v>
          </cell>
        </row>
        <row r="515">
          <cell r="O515" t="str">
            <v xml:space="preserve"> Net Debt/Cap</v>
          </cell>
          <cell r="Q515">
            <v>0</v>
          </cell>
          <cell r="S515">
            <v>-0.33898305084745761</v>
          </cell>
          <cell r="T515">
            <v>-0.29317269076305219</v>
          </cell>
          <cell r="U515" t="str">
            <v xml:space="preserve"> </v>
          </cell>
        </row>
        <row r="517">
          <cell r="O517" t="str">
            <v>A-12</v>
          </cell>
          <cell r="Q517">
            <v>173</v>
          </cell>
          <cell r="S517">
            <v>125</v>
          </cell>
          <cell r="T517">
            <v>30</v>
          </cell>
        </row>
        <row r="518">
          <cell r="O518" t="str">
            <v>Atlas</v>
          </cell>
          <cell r="Q518">
            <v>10</v>
          </cell>
          <cell r="S518">
            <v>80</v>
          </cell>
          <cell r="T518">
            <v>80</v>
          </cell>
        </row>
        <row r="519">
          <cell r="O519" t="str">
            <v>SINCGARS</v>
          </cell>
          <cell r="Q519">
            <v>5</v>
          </cell>
          <cell r="S519">
            <v>20</v>
          </cell>
          <cell r="T519">
            <v>25</v>
          </cell>
        </row>
        <row r="520">
          <cell r="Q520">
            <v>183</v>
          </cell>
          <cell r="S520">
            <v>205</v>
          </cell>
          <cell r="T520">
            <v>110</v>
          </cell>
        </row>
        <row r="521">
          <cell r="Q521" t="str">
            <v>GD Armoured Vehicles P&amp;L ($MM)</v>
          </cell>
        </row>
        <row r="522">
          <cell r="P522" t="str">
            <v xml:space="preserve"> </v>
          </cell>
        </row>
        <row r="523">
          <cell r="O523" t="str">
            <v>1986</v>
          </cell>
          <cell r="P523" t="str">
            <v>1987</v>
          </cell>
          <cell r="Q523" t="str">
            <v>1988</v>
          </cell>
          <cell r="R523" t="str">
            <v>1989</v>
          </cell>
          <cell r="S523" t="str">
            <v>1990</v>
          </cell>
          <cell r="T523" t="str">
            <v>1991</v>
          </cell>
          <cell r="U523" t="str">
            <v>1995E</v>
          </cell>
        </row>
        <row r="524">
          <cell r="M524" t="str">
            <v>U.S. M-1</v>
          </cell>
          <cell r="O524">
            <v>700</v>
          </cell>
          <cell r="P524">
            <v>875</v>
          </cell>
          <cell r="Q524">
            <v>825</v>
          </cell>
          <cell r="R524">
            <v>790</v>
          </cell>
          <cell r="S524">
            <v>750</v>
          </cell>
          <cell r="T524">
            <v>756.00000000000011</v>
          </cell>
          <cell r="U524">
            <v>250</v>
          </cell>
          <cell r="V524" t="str">
            <v>1996E</v>
          </cell>
          <cell r="W524" t="str">
            <v>1997E</v>
          </cell>
          <cell r="X524" t="str">
            <v>Assumptions</v>
          </cell>
        </row>
        <row r="525">
          <cell r="M525" t="str">
            <v>Foreign,etc.</v>
          </cell>
          <cell r="O525">
            <v>428</v>
          </cell>
          <cell r="P525">
            <v>168</v>
          </cell>
          <cell r="Q525">
            <v>176</v>
          </cell>
          <cell r="R525">
            <v>199</v>
          </cell>
          <cell r="S525">
            <v>257</v>
          </cell>
          <cell r="T525">
            <v>299</v>
          </cell>
          <cell r="U525">
            <v>309.40000000000003</v>
          </cell>
          <cell r="V525">
            <v>275</v>
          </cell>
          <cell r="W525">
            <v>275</v>
          </cell>
          <cell r="X525" t="str">
            <v>Dels off/upgtrades</v>
          </cell>
        </row>
        <row r="526">
          <cell r="M526" t="str">
            <v>Service,spares</v>
          </cell>
          <cell r="R526">
            <v>96</v>
          </cell>
          <cell r="S526">
            <v>81</v>
          </cell>
          <cell r="T526">
            <v>92</v>
          </cell>
          <cell r="U526">
            <v>526</v>
          </cell>
          <cell r="V526">
            <v>117</v>
          </cell>
          <cell r="W526">
            <v>71.5</v>
          </cell>
          <cell r="X526" t="str">
            <v>-Egypt/Saudi up</v>
          </cell>
        </row>
        <row r="527">
          <cell r="M527" t="str">
            <v xml:space="preserve"> Total Revs</v>
          </cell>
          <cell r="O527">
            <v>1128</v>
          </cell>
          <cell r="P527">
            <v>1043</v>
          </cell>
          <cell r="Q527">
            <v>1001</v>
          </cell>
          <cell r="R527">
            <v>1085</v>
          </cell>
          <cell r="S527">
            <v>1088</v>
          </cell>
          <cell r="T527">
            <v>1147</v>
          </cell>
          <cell r="U527">
            <v>1085.4000000000001</v>
          </cell>
          <cell r="V527">
            <v>528</v>
          </cell>
          <cell r="W527">
            <v>528</v>
          </cell>
        </row>
        <row r="528">
          <cell r="M528" t="str">
            <v>Adj. Op Prof.</v>
          </cell>
          <cell r="O528">
            <v>86</v>
          </cell>
          <cell r="P528">
            <v>72</v>
          </cell>
          <cell r="Q528">
            <v>74</v>
          </cell>
          <cell r="R528">
            <v>114</v>
          </cell>
          <cell r="S528">
            <v>102</v>
          </cell>
          <cell r="T528">
            <v>103</v>
          </cell>
          <cell r="U528">
            <v>160</v>
          </cell>
          <cell r="V528">
            <v>920</v>
          </cell>
          <cell r="W528">
            <v>874.5</v>
          </cell>
        </row>
        <row r="529">
          <cell r="M529" t="str">
            <v xml:space="preserve">  %Sales</v>
          </cell>
          <cell r="O529">
            <v>7.6241134751773049E-2</v>
          </cell>
          <cell r="P529">
            <v>6.9031639501438161E-2</v>
          </cell>
          <cell r="Q529">
            <v>7.3926073926073921E-2</v>
          </cell>
          <cell r="R529">
            <v>0.10506912442396313</v>
          </cell>
          <cell r="S529">
            <v>9.375E-2</v>
          </cell>
          <cell r="T529">
            <v>8.979947689625109E-2</v>
          </cell>
          <cell r="U529">
            <v>0.14741109268472452</v>
          </cell>
          <cell r="V529">
            <v>140</v>
          </cell>
          <cell r="W529">
            <v>140</v>
          </cell>
        </row>
        <row r="530">
          <cell r="M530" t="str">
            <v>G/W Amort</v>
          </cell>
          <cell r="O530">
            <v>-34</v>
          </cell>
          <cell r="P530">
            <v>-43</v>
          </cell>
          <cell r="Q530">
            <v>-35.325000000000003</v>
          </cell>
          <cell r="R530">
            <v>-32</v>
          </cell>
          <cell r="S530">
            <v>-30</v>
          </cell>
          <cell r="T530">
            <v>-2</v>
          </cell>
          <cell r="U530" t="str">
            <v xml:space="preserve"> </v>
          </cell>
          <cell r="V530">
            <v>0.15217391304347827</v>
          </cell>
          <cell r="W530">
            <v>0.16009148084619781</v>
          </cell>
          <cell r="X530" t="str">
            <v>-Favor. mix shift</v>
          </cell>
        </row>
        <row r="531">
          <cell r="M531" t="str">
            <v>Op. Profit</v>
          </cell>
          <cell r="O531">
            <v>52</v>
          </cell>
          <cell r="P531">
            <v>29</v>
          </cell>
          <cell r="Q531">
            <v>38.674999999999997</v>
          </cell>
          <cell r="R531">
            <v>82</v>
          </cell>
          <cell r="S531">
            <v>72</v>
          </cell>
          <cell r="T531">
            <v>101</v>
          </cell>
          <cell r="U531">
            <v>145</v>
          </cell>
        </row>
        <row r="532">
          <cell r="M532" t="str">
            <v xml:space="preserve">  %Sales</v>
          </cell>
          <cell r="O532">
            <v>4.6099290780141841E-2</v>
          </cell>
          <cell r="P532">
            <v>2.7804410354745925E-2</v>
          </cell>
          <cell r="Q532">
            <v>3.8636363636363635E-2</v>
          </cell>
          <cell r="R532">
            <v>7.5576036866359442E-2</v>
          </cell>
          <cell r="S532">
            <v>6.6176470588235295E-2</v>
          </cell>
          <cell r="T532">
            <v>8.8055797733217089E-2</v>
          </cell>
          <cell r="U532">
            <v>0.1335913027455316</v>
          </cell>
          <cell r="V532">
            <v>140</v>
          </cell>
          <cell r="W532">
            <v>140</v>
          </cell>
          <cell r="X532" t="str">
            <v xml:space="preserve"> </v>
          </cell>
        </row>
        <row r="533">
          <cell r="M533" t="str">
            <v>M-1 Delivs</v>
          </cell>
          <cell r="V533">
            <v>0.15217391304347827</v>
          </cell>
          <cell r="W533">
            <v>0.16009148084619781</v>
          </cell>
        </row>
        <row r="534">
          <cell r="M534" t="str">
            <v xml:space="preserve"> U.S.</v>
          </cell>
          <cell r="O534">
            <v>755</v>
          </cell>
          <cell r="P534">
            <v>947</v>
          </cell>
          <cell r="Q534">
            <v>785</v>
          </cell>
          <cell r="R534">
            <v>720</v>
          </cell>
          <cell r="S534">
            <v>718</v>
          </cell>
          <cell r="T534">
            <v>630</v>
          </cell>
          <cell r="U534" t="str">
            <v xml:space="preserve"> </v>
          </cell>
        </row>
        <row r="535">
          <cell r="M535" t="str">
            <v>U.S. M1A2 Upgrades</v>
          </cell>
          <cell r="U535">
            <v>110</v>
          </cell>
          <cell r="V535" t="str">
            <v xml:space="preserve"> </v>
          </cell>
          <cell r="X535" t="str">
            <v>-Ex prop. HASC add-on for 60</v>
          </cell>
        </row>
        <row r="536">
          <cell r="M536" t="str">
            <v xml:space="preserve"> Saudi (315)</v>
          </cell>
          <cell r="U536" t="str">
            <v xml:space="preserve"> </v>
          </cell>
          <cell r="V536">
            <v>112</v>
          </cell>
          <cell r="W536">
            <v>119</v>
          </cell>
        </row>
        <row r="537">
          <cell r="M537" t="str">
            <v>Kuwait (218)</v>
          </cell>
          <cell r="U537">
            <v>137</v>
          </cell>
          <cell r="V537" t="str">
            <v xml:space="preserve"> </v>
          </cell>
          <cell r="X537" t="str">
            <v>-315 approved/ex 150 request</v>
          </cell>
        </row>
        <row r="538">
          <cell r="M538" t="str">
            <v xml:space="preserve"> Egypt co-prodn</v>
          </cell>
          <cell r="T538">
            <v>19</v>
          </cell>
          <cell r="U538">
            <v>101</v>
          </cell>
          <cell r="V538" t="str">
            <v xml:space="preserve"> </v>
          </cell>
        </row>
        <row r="539">
          <cell r="M539" t="str">
            <v>Other FMS</v>
          </cell>
          <cell r="V539">
            <v>90</v>
          </cell>
          <cell r="W539">
            <v>0</v>
          </cell>
          <cell r="X539" t="str">
            <v xml:space="preserve"> </v>
          </cell>
        </row>
        <row r="540">
          <cell r="M540" t="str">
            <v>Total</v>
          </cell>
          <cell r="T540">
            <v>649</v>
          </cell>
          <cell r="U540">
            <v>348</v>
          </cell>
          <cell r="V540" t="str">
            <v xml:space="preserve"> </v>
          </cell>
          <cell r="W540">
            <v>55</v>
          </cell>
          <cell r="X540" t="str">
            <v>-Saudi-150 or Kuwait</v>
          </cell>
        </row>
        <row r="541">
          <cell r="M541" t="str">
            <v>SINCGARS</v>
          </cell>
          <cell r="U541">
            <v>13013</v>
          </cell>
          <cell r="V541">
            <v>202</v>
          </cell>
          <cell r="W541">
            <v>174</v>
          </cell>
        </row>
        <row r="542">
          <cell r="V542">
            <v>10400</v>
          </cell>
          <cell r="W542">
            <v>10264</v>
          </cell>
        </row>
        <row r="544">
          <cell r="M544" t="str">
            <v>Marine</v>
          </cell>
          <cell r="N544" t="str">
            <v>% Total Revs</v>
          </cell>
        </row>
        <row r="546">
          <cell r="M546">
            <v>1995</v>
          </cell>
          <cell r="N546">
            <v>1996</v>
          </cell>
          <cell r="O546">
            <v>1997</v>
          </cell>
          <cell r="P546">
            <v>1998</v>
          </cell>
        </row>
        <row r="547">
          <cell r="L547" t="str">
            <v>Trident</v>
          </cell>
          <cell r="M547">
            <v>0.13368112161721551</v>
          </cell>
          <cell r="N547">
            <v>9.0782122905027934E-2</v>
          </cell>
          <cell r="O547">
            <v>2.4618414574101428E-2</v>
          </cell>
          <cell r="P547">
            <v>1.5524241700501552E-2</v>
          </cell>
        </row>
        <row r="548">
          <cell r="L548" t="str">
            <v>SSN-688</v>
          </cell>
          <cell r="M548">
            <v>3.2605151613955004E-2</v>
          </cell>
          <cell r="N548">
            <v>8.3798882681564244E-3</v>
          </cell>
          <cell r="O548">
            <v>0</v>
          </cell>
          <cell r="P548">
            <v>0</v>
          </cell>
        </row>
        <row r="549">
          <cell r="L549" t="str">
            <v>Seawolf</v>
          </cell>
          <cell r="M549">
            <v>0.15487447016628628</v>
          </cell>
          <cell r="N549">
            <v>0.14804469273743018</v>
          </cell>
          <cell r="O549">
            <v>0.137863121614968</v>
          </cell>
          <cell r="P549">
            <v>0.14330069262001432</v>
          </cell>
        </row>
        <row r="550">
          <cell r="L550" t="str">
            <v>New Attack Sub</v>
          </cell>
          <cell r="M550">
            <v>0.16791653081186828</v>
          </cell>
          <cell r="N550">
            <v>0.15558659217877094</v>
          </cell>
          <cell r="O550">
            <v>0.15263417035942886</v>
          </cell>
          <cell r="P550">
            <v>0.1719608311440172</v>
          </cell>
        </row>
        <row r="551">
          <cell r="L551" t="str">
            <v>DDG-51</v>
          </cell>
          <cell r="M551">
            <v>9.9445712422562768E-2</v>
          </cell>
          <cell r="N551">
            <v>0.21787709497206703</v>
          </cell>
          <cell r="O551">
            <v>0.19694731659281142</v>
          </cell>
          <cell r="P551">
            <v>0.20062096966802007</v>
          </cell>
        </row>
        <row r="552">
          <cell r="L552" t="str">
            <v>Amsea</v>
          </cell>
          <cell r="M552">
            <v>2.2497554613628953E-2</v>
          </cell>
          <cell r="N552">
            <v>2.3743016759776536E-2</v>
          </cell>
          <cell r="O552">
            <v>2.3387493845396356E-2</v>
          </cell>
          <cell r="P552">
            <v>2.4122283257702413E-2</v>
          </cell>
        </row>
        <row r="553">
          <cell r="L553" t="str">
            <v>Other</v>
          </cell>
          <cell r="M553">
            <v>3.2605151613955006E-3</v>
          </cell>
          <cell r="N553">
            <v>6.9832402234636867E-3</v>
          </cell>
          <cell r="O553">
            <v>2.6095519448547513E-2</v>
          </cell>
          <cell r="P553">
            <v>7.0456173871507044E-2</v>
          </cell>
        </row>
        <row r="554">
          <cell r="L554" t="str">
            <v>Marine % Total GD</v>
          </cell>
          <cell r="M554">
            <v>0.61428105640691233</v>
          </cell>
          <cell r="N554">
            <v>0.65139664804469277</v>
          </cell>
          <cell r="O554">
            <v>0.56893156080748397</v>
          </cell>
          <cell r="P554">
            <v>0.63673274420826365</v>
          </cell>
        </row>
        <row r="557">
          <cell r="T557" t="str">
            <v>2004 EPS Actual vs. Expected - Nominal</v>
          </cell>
        </row>
        <row r="559">
          <cell r="U559" t="str">
            <v>Actual</v>
          </cell>
          <cell r="V559" t="str">
            <v>Expected</v>
          </cell>
          <cell r="W559" t="str">
            <v>Variance</v>
          </cell>
        </row>
        <row r="560">
          <cell r="T560" t="str">
            <v>EPS from Cont'g. Ops</v>
          </cell>
          <cell r="U560">
            <v>5.97</v>
          </cell>
          <cell r="V560">
            <v>6.1</v>
          </cell>
          <cell r="W560">
            <v>-0.12999999999999989</v>
          </cell>
        </row>
        <row r="561">
          <cell r="T561" t="str">
            <v>add EPS from 2Q04 Discont'g. Ops</v>
          </cell>
          <cell r="U561">
            <v>0.02</v>
          </cell>
          <cell r="V561">
            <v>0.02</v>
          </cell>
          <cell r="W561">
            <v>0</v>
          </cell>
        </row>
        <row r="562">
          <cell r="T562" t="str">
            <v>add EPS from Other Discont'g. Ops</v>
          </cell>
          <cell r="U562">
            <v>0.1</v>
          </cell>
          <cell r="V562" t="str">
            <v>NA</v>
          </cell>
          <cell r="W562">
            <v>0.1</v>
          </cell>
        </row>
        <row r="563">
          <cell r="T563" t="str">
            <v>EPS Reported</v>
          </cell>
          <cell r="U563">
            <v>6.089999999999999</v>
          </cell>
          <cell r="V563">
            <v>6.12</v>
          </cell>
          <cell r="W563">
            <v>-3.0000000000001137E-2</v>
          </cell>
        </row>
        <row r="565">
          <cell r="T565" t="str">
            <v>2004 EPS Actual vs. Expected - Impact of Divest &amp; Marine Charge</v>
          </cell>
        </row>
        <row r="567">
          <cell r="U567" t="str">
            <v>Actual</v>
          </cell>
          <cell r="V567" t="str">
            <v>Expected</v>
          </cell>
          <cell r="W567" t="str">
            <v>Variance</v>
          </cell>
        </row>
        <row r="568">
          <cell r="T568" t="str">
            <v>EPS from Cont'g. Ops</v>
          </cell>
          <cell r="U568">
            <v>5.97</v>
          </cell>
          <cell r="V568">
            <v>6.1</v>
          </cell>
          <cell r="W568">
            <v>-0.12999999999999989</v>
          </cell>
        </row>
        <row r="569">
          <cell r="T569" t="str">
            <v>add EPS from Other (non-2Q04) Discont'g. Ops</v>
          </cell>
          <cell r="U569">
            <v>0.1</v>
          </cell>
          <cell r="V569" t="str">
            <v>NA</v>
          </cell>
          <cell r="W569">
            <v>0.1</v>
          </cell>
        </row>
        <row r="570">
          <cell r="T570" t="str">
            <v>EPS After Divest</v>
          </cell>
          <cell r="U570">
            <v>6.0699999999999994</v>
          </cell>
          <cell r="V570">
            <v>6.1</v>
          </cell>
          <cell r="W570">
            <v>-3.0000000000000249E-2</v>
          </cell>
        </row>
        <row r="571">
          <cell r="T571" t="str">
            <v>add EPS 4Q04 Marine Charge ($19MM pretax)</v>
          </cell>
          <cell r="U571">
            <v>0.06</v>
          </cell>
          <cell r="V571" t="str">
            <v>NA</v>
          </cell>
          <cell r="W571">
            <v>0.06</v>
          </cell>
        </row>
        <row r="572">
          <cell r="T572" t="str">
            <v>Earnings Power</v>
          </cell>
          <cell r="U572">
            <v>6.129999999999999</v>
          </cell>
          <cell r="V572">
            <v>6.1</v>
          </cell>
          <cell r="W572">
            <v>2.9999999999999361E-2</v>
          </cell>
        </row>
        <row r="576">
          <cell r="U576" t="str">
            <v>2004A</v>
          </cell>
          <cell r="V576" t="str">
            <v>2005E</v>
          </cell>
          <cell r="W576" t="str">
            <v>2006E</v>
          </cell>
        </row>
        <row r="577">
          <cell r="T577" t="str">
            <v>EPS</v>
          </cell>
          <cell r="U577">
            <v>3.0178639677962145</v>
          </cell>
          <cell r="V577">
            <v>3.6087618069003673</v>
          </cell>
          <cell r="W577">
            <v>4.5624385447394298</v>
          </cell>
        </row>
        <row r="578">
          <cell r="T578" t="str">
            <v>Divestitures</v>
          </cell>
          <cell r="V578">
            <v>-0.12</v>
          </cell>
          <cell r="W578">
            <v>-0.12</v>
          </cell>
        </row>
        <row r="579">
          <cell r="T579" t="str">
            <v>New EPS</v>
          </cell>
          <cell r="V579" t="str">
            <v>6.73*</v>
          </cell>
          <cell r="W579" t="str">
            <v>7.58*</v>
          </cell>
        </row>
        <row r="580">
          <cell r="T580" t="str">
            <v>Stock option expsne</v>
          </cell>
          <cell r="V580">
            <v>-0.12</v>
          </cell>
          <cell r="W580">
            <v>-0.12</v>
          </cell>
        </row>
        <row r="581">
          <cell r="T581" t="str">
            <v>Possible Net New EPS</v>
          </cell>
          <cell r="V581">
            <v>6.61</v>
          </cell>
          <cell r="W581">
            <v>7.46</v>
          </cell>
        </row>
        <row r="583">
          <cell r="T583" t="str">
            <v>* Will change EPS after divestitures close</v>
          </cell>
        </row>
        <row r="592">
          <cell r="T592" t="str">
            <v>Gulfstream Deliveries (Green)</v>
          </cell>
        </row>
        <row r="594">
          <cell r="V594">
            <v>2003</v>
          </cell>
          <cell r="W594">
            <v>2004</v>
          </cell>
          <cell r="X594">
            <v>2005</v>
          </cell>
          <cell r="Y594" t="str">
            <v>2006A</v>
          </cell>
          <cell r="Z594" t="str">
            <v>2007E</v>
          </cell>
          <cell r="AA594" t="str">
            <v>2008E</v>
          </cell>
        </row>
        <row r="595">
          <cell r="T595" t="str">
            <v>Large Cabin Aircraft</v>
          </cell>
          <cell r="V595">
            <v>50</v>
          </cell>
          <cell r="W595">
            <v>56</v>
          </cell>
          <cell r="X595">
            <v>63</v>
          </cell>
          <cell r="Y595">
            <v>71</v>
          </cell>
          <cell r="Z595">
            <v>79</v>
          </cell>
          <cell r="AA595">
            <v>87</v>
          </cell>
        </row>
        <row r="596">
          <cell r="T596" t="str">
            <v>Midsize Aircraft</v>
          </cell>
          <cell r="V596">
            <v>24</v>
          </cell>
          <cell r="W596">
            <v>22</v>
          </cell>
          <cell r="X596">
            <v>26</v>
          </cell>
          <cell r="Y596">
            <v>42</v>
          </cell>
          <cell r="Z596">
            <v>59</v>
          </cell>
          <cell r="AA596">
            <v>69</v>
          </cell>
        </row>
        <row r="597">
          <cell r="T597" t="str">
            <v>Total</v>
          </cell>
          <cell r="V597">
            <v>74</v>
          </cell>
          <cell r="W597">
            <v>78</v>
          </cell>
          <cell r="X597">
            <v>89</v>
          </cell>
          <cell r="Y597">
            <v>113</v>
          </cell>
          <cell r="Z597">
            <v>138</v>
          </cell>
          <cell r="AA597">
            <v>156</v>
          </cell>
        </row>
        <row r="602">
          <cell r="T602" t="str">
            <v>EPS Changes</v>
          </cell>
        </row>
        <row r="603">
          <cell r="V603" t="str">
            <v>2006E</v>
          </cell>
          <cell r="W603" t="str">
            <v>2007E</v>
          </cell>
          <cell r="X603" t="str">
            <v>2008E</v>
          </cell>
        </row>
        <row r="604">
          <cell r="T604" t="str">
            <v>Prior EPS from Ops</v>
          </cell>
          <cell r="V604">
            <v>8.35</v>
          </cell>
          <cell r="W604">
            <v>9.1999999999999993</v>
          </cell>
          <cell r="X604" t="str">
            <v xml:space="preserve">NA </v>
          </cell>
        </row>
        <row r="606">
          <cell r="T606" t="str">
            <v>Current EPS from Ops</v>
          </cell>
          <cell r="V606">
            <v>8.1300000000000008</v>
          </cell>
          <cell r="W606">
            <v>8.86</v>
          </cell>
          <cell r="X606">
            <v>9.6199999999999992</v>
          </cell>
        </row>
        <row r="607">
          <cell r="T607" t="str">
            <v>ex FAS123R Stock Op</v>
          </cell>
          <cell r="V607">
            <v>-0.18</v>
          </cell>
          <cell r="W607">
            <v>-0.18</v>
          </cell>
          <cell r="X607">
            <v>-0.18</v>
          </cell>
        </row>
        <row r="608">
          <cell r="T608" t="str">
            <v>EPS Est</v>
          </cell>
          <cell r="V608">
            <v>7.9500000000000011</v>
          </cell>
          <cell r="W608">
            <v>8.68</v>
          </cell>
          <cell r="X608">
            <v>9.44</v>
          </cell>
        </row>
      </sheetData>
      <sheetData sheetId="11" refreshError="1">
        <row r="2">
          <cell r="A2" t="str">
            <v>General Dynamics</v>
          </cell>
        </row>
        <row r="3">
          <cell r="A3" t="str">
            <v>Discounted Cash Flow Analysis</v>
          </cell>
        </row>
        <row r="4">
          <cell r="A4" t="str">
            <v>($USD Millions)</v>
          </cell>
          <cell r="B4" t="str">
            <v>Est. Period</v>
          </cell>
          <cell r="E4" t="str">
            <v>Out Years</v>
          </cell>
          <cell r="N4" t="str">
            <v>Terminal</v>
          </cell>
        </row>
        <row r="5">
          <cell r="B5">
            <v>2008</v>
          </cell>
          <cell r="C5">
            <v>2009</v>
          </cell>
          <cell r="D5">
            <v>2010</v>
          </cell>
          <cell r="E5">
            <v>2011</v>
          </cell>
          <cell r="F5">
            <v>2012</v>
          </cell>
          <cell r="G5">
            <v>2013</v>
          </cell>
          <cell r="H5">
            <v>2014</v>
          </cell>
          <cell r="I5">
            <v>2015</v>
          </cell>
          <cell r="J5">
            <v>2016</v>
          </cell>
          <cell r="K5">
            <v>2017</v>
          </cell>
          <cell r="L5">
            <v>2018</v>
          </cell>
          <cell r="M5">
            <v>2019</v>
          </cell>
          <cell r="N5" t="str">
            <v>Value</v>
          </cell>
        </row>
        <row r="6">
          <cell r="R6" t="str">
            <v>DCF Operating Inputs</v>
          </cell>
        </row>
        <row r="7">
          <cell r="A7" t="str">
            <v>Operating Earnings</v>
          </cell>
          <cell r="B7">
            <v>3653</v>
          </cell>
          <cell r="C7">
            <v>3585.0249999999996</v>
          </cell>
          <cell r="D7">
            <v>3652.41</v>
          </cell>
          <cell r="E7">
            <v>3761.9823000000001</v>
          </cell>
          <cell r="F7">
            <v>3874.8417690000001</v>
          </cell>
          <cell r="G7">
            <v>3991.0870220700003</v>
          </cell>
          <cell r="H7">
            <v>4110.8196327321002</v>
          </cell>
          <cell r="I7">
            <v>4234.144221714063</v>
          </cell>
          <cell r="J7">
            <v>4361.1685483654846</v>
          </cell>
          <cell r="K7">
            <v>4492.0036048164493</v>
          </cell>
          <cell r="L7">
            <v>4626.7637129609429</v>
          </cell>
          <cell r="M7">
            <v>4765.5666243497717</v>
          </cell>
          <cell r="R7">
            <v>0.03</v>
          </cell>
          <cell r="S7" t="str">
            <v>EBIT Growth out years</v>
          </cell>
        </row>
        <row r="8">
          <cell r="A8" t="str">
            <v>Minority Interest</v>
          </cell>
          <cell r="B8">
            <v>0</v>
          </cell>
          <cell r="C8">
            <v>0</v>
          </cell>
          <cell r="D8">
            <v>0</v>
          </cell>
          <cell r="E8">
            <v>0</v>
          </cell>
          <cell r="F8">
            <v>0</v>
          </cell>
          <cell r="G8">
            <v>0</v>
          </cell>
          <cell r="H8">
            <v>0</v>
          </cell>
          <cell r="I8">
            <v>0</v>
          </cell>
          <cell r="J8">
            <v>0</v>
          </cell>
          <cell r="K8">
            <v>0</v>
          </cell>
          <cell r="L8">
            <v>0</v>
          </cell>
          <cell r="M8">
            <v>0</v>
          </cell>
          <cell r="R8">
            <v>0.03</v>
          </cell>
          <cell r="S8" t="str">
            <v>Minority Int. growth out years</v>
          </cell>
        </row>
        <row r="10">
          <cell r="A10" t="str">
            <v>Income Taxes</v>
          </cell>
          <cell r="B10">
            <v>1161</v>
          </cell>
          <cell r="C10">
            <v>1082.3801768799999</v>
          </cell>
          <cell r="D10">
            <v>1113.7496046554852</v>
          </cell>
          <cell r="E10">
            <v>1147.1620927951499</v>
          </cell>
          <cell r="F10">
            <v>1181.5769555790043</v>
          </cell>
          <cell r="G10">
            <v>1217.0242642463745</v>
          </cell>
          <cell r="H10">
            <v>1253.5349921737659</v>
          </cell>
          <cell r="I10">
            <v>1291.1410419389788</v>
          </cell>
          <cell r="J10">
            <v>1329.8752731971481</v>
          </cell>
          <cell r="K10">
            <v>1369.7715313930626</v>
          </cell>
          <cell r="L10">
            <v>1410.8646773348544</v>
          </cell>
          <cell r="M10">
            <v>1453.1906176549001</v>
          </cell>
          <cell r="R10">
            <v>0.03</v>
          </cell>
          <cell r="S10" t="str">
            <v>growth in taxes</v>
          </cell>
        </row>
        <row r="11">
          <cell r="A11" t="str">
            <v xml:space="preserve">+ Net Tax Shield </v>
          </cell>
          <cell r="B11">
            <v>21.261376248612653</v>
          </cell>
          <cell r="C11">
            <v>47.130093120000005</v>
          </cell>
          <cell r="D11">
            <v>40.411955344514922</v>
          </cell>
          <cell r="E11">
            <v>41.624314004850369</v>
          </cell>
          <cell r="F11">
            <v>42.873043424995885</v>
          </cell>
          <cell r="G11">
            <v>44.159234727745762</v>
          </cell>
          <cell r="H11">
            <v>45.484011769578139</v>
          </cell>
          <cell r="I11">
            <v>46.848532122665482</v>
          </cell>
          <cell r="J11">
            <v>48.253988086345444</v>
          </cell>
          <cell r="K11">
            <v>49.701607728935812</v>
          </cell>
          <cell r="L11">
            <v>51.19265596080389</v>
          </cell>
          <cell r="M11">
            <v>52.72843563962801</v>
          </cell>
          <cell r="R11">
            <v>0.03</v>
          </cell>
          <cell r="S11" t="str">
            <v>growth in tax shield</v>
          </cell>
        </row>
        <row r="12">
          <cell r="A12" t="str">
            <v>=Taxes on EBIT</v>
          </cell>
          <cell r="B12">
            <v>1182.2613762486126</v>
          </cell>
          <cell r="C12">
            <v>1129.51027</v>
          </cell>
          <cell r="D12">
            <v>1154.16156</v>
          </cell>
          <cell r="E12">
            <v>1188.7864068000003</v>
          </cell>
          <cell r="F12">
            <v>1224.4499990040001</v>
          </cell>
          <cell r="G12">
            <v>1261.1834989741203</v>
          </cell>
          <cell r="H12">
            <v>1299.0190039433439</v>
          </cell>
          <cell r="I12">
            <v>1337.9895740616444</v>
          </cell>
          <cell r="J12">
            <v>1378.1292612834936</v>
          </cell>
          <cell r="K12">
            <v>1419.4731391219984</v>
          </cell>
          <cell r="L12">
            <v>1462.0573332956583</v>
          </cell>
          <cell r="M12">
            <v>1505.9190532945281</v>
          </cell>
        </row>
        <row r="13">
          <cell r="A13" t="str">
            <v xml:space="preserve">+ Increase in Deferred Taxes </v>
          </cell>
          <cell r="B13">
            <v>196</v>
          </cell>
          <cell r="C13">
            <v>0</v>
          </cell>
          <cell r="D13">
            <v>0</v>
          </cell>
          <cell r="E13">
            <v>0</v>
          </cell>
          <cell r="F13">
            <v>0</v>
          </cell>
          <cell r="G13">
            <v>0</v>
          </cell>
          <cell r="H13">
            <v>0</v>
          </cell>
          <cell r="I13">
            <v>0</v>
          </cell>
          <cell r="J13">
            <v>0</v>
          </cell>
          <cell r="K13">
            <v>0</v>
          </cell>
          <cell r="L13">
            <v>0</v>
          </cell>
          <cell r="M13">
            <v>0</v>
          </cell>
          <cell r="R13">
            <v>0.03</v>
          </cell>
          <cell r="S13" t="str">
            <v>growth in deferred taxes</v>
          </cell>
        </row>
        <row r="15">
          <cell r="A15" t="str">
            <v>NOPLAT</v>
          </cell>
          <cell r="B15">
            <v>2666.7386237513874</v>
          </cell>
          <cell r="C15">
            <v>2455.5147299999999</v>
          </cell>
          <cell r="D15">
            <v>2498.2484399999998</v>
          </cell>
          <cell r="E15">
            <v>2573.1958931999998</v>
          </cell>
          <cell r="F15">
            <v>2650.3917699960002</v>
          </cell>
          <cell r="G15">
            <v>2729.9035230958798</v>
          </cell>
          <cell r="H15">
            <v>2811.8006287887565</v>
          </cell>
          <cell r="I15">
            <v>2896.1546476524186</v>
          </cell>
          <cell r="J15">
            <v>2983.039287081991</v>
          </cell>
          <cell r="K15">
            <v>3072.5304656944509</v>
          </cell>
          <cell r="L15">
            <v>3164.7063796652847</v>
          </cell>
          <cell r="M15">
            <v>3259.6475710552436</v>
          </cell>
        </row>
        <row r="16">
          <cell r="A16" t="str">
            <v>+Depreciation</v>
          </cell>
          <cell r="B16">
            <v>447</v>
          </cell>
          <cell r="C16">
            <v>498.125</v>
          </cell>
          <cell r="D16">
            <v>532.5</v>
          </cell>
          <cell r="E16">
            <v>548.47500000000002</v>
          </cell>
          <cell r="F16">
            <v>564.92925000000002</v>
          </cell>
          <cell r="G16">
            <v>581.87712750000003</v>
          </cell>
          <cell r="H16">
            <v>599.33344132500008</v>
          </cell>
          <cell r="I16">
            <v>617.31344456475006</v>
          </cell>
          <cell r="J16">
            <v>635.83284790169262</v>
          </cell>
          <cell r="K16">
            <v>654.90783333874344</v>
          </cell>
          <cell r="L16">
            <v>674.55506833890581</v>
          </cell>
          <cell r="M16">
            <v>694.79172038907302</v>
          </cell>
          <cell r="R16">
            <v>0.03</v>
          </cell>
          <cell r="S16" t="str">
            <v>growth in depreciation</v>
          </cell>
        </row>
        <row r="17">
          <cell r="A17" t="str">
            <v>Gross Cash Flow</v>
          </cell>
          <cell r="B17">
            <v>3113.7386237513874</v>
          </cell>
          <cell r="C17">
            <v>2953.6397299999999</v>
          </cell>
          <cell r="D17">
            <v>3030.7484399999998</v>
          </cell>
          <cell r="E17">
            <v>3121.6708931999997</v>
          </cell>
          <cell r="F17">
            <v>3215.3210199960004</v>
          </cell>
          <cell r="G17">
            <v>3311.7806505958797</v>
          </cell>
          <cell r="H17">
            <v>3411.1340701137565</v>
          </cell>
          <cell r="I17">
            <v>3513.4680922171688</v>
          </cell>
          <cell r="J17">
            <v>3618.8721349836837</v>
          </cell>
          <cell r="K17">
            <v>3727.4382990331942</v>
          </cell>
          <cell r="L17">
            <v>3839.2614480041902</v>
          </cell>
          <cell r="M17">
            <v>3954.4392914443165</v>
          </cell>
        </row>
        <row r="19">
          <cell r="A19" t="str">
            <v>- CAPEX</v>
          </cell>
          <cell r="B19">
            <v>-490</v>
          </cell>
          <cell r="C19">
            <v>-550</v>
          </cell>
          <cell r="D19">
            <v>-550</v>
          </cell>
          <cell r="E19">
            <v>-566.5</v>
          </cell>
          <cell r="F19">
            <v>-583.495</v>
          </cell>
          <cell r="G19">
            <v>-600.99985000000004</v>
          </cell>
          <cell r="H19">
            <v>-619.02984550000008</v>
          </cell>
          <cell r="I19">
            <v>-637.60074086500015</v>
          </cell>
          <cell r="J19">
            <v>-656.72876309095022</v>
          </cell>
          <cell r="K19">
            <v>-676.43062598367874</v>
          </cell>
          <cell r="L19">
            <v>-696.72354476318912</v>
          </cell>
          <cell r="M19">
            <v>-717.62525110608476</v>
          </cell>
          <cell r="R19">
            <v>0.03</v>
          </cell>
          <cell r="S19" t="str">
            <v>growth in capex out years</v>
          </cell>
        </row>
        <row r="20">
          <cell r="A20" t="str">
            <v>- Increase in WC</v>
          </cell>
          <cell r="B20">
            <v>112</v>
          </cell>
          <cell r="C20">
            <v>779.35571428355559</v>
          </cell>
          <cell r="D20">
            <v>126.39874316709802</v>
          </cell>
          <cell r="E20">
            <v>130.19070546211097</v>
          </cell>
          <cell r="F20">
            <v>134.09642662597429</v>
          </cell>
          <cell r="G20">
            <v>138.11931942475351</v>
          </cell>
          <cell r="H20">
            <v>142.26289900749612</v>
          </cell>
          <cell r="I20">
            <v>146.530785977721</v>
          </cell>
          <cell r="J20">
            <v>150.92670955705262</v>
          </cell>
          <cell r="K20">
            <v>155.45451084376421</v>
          </cell>
          <cell r="L20">
            <v>160.11814616907714</v>
          </cell>
          <cell r="M20">
            <v>164.92169055414945</v>
          </cell>
          <cell r="P20" t="str">
            <v>FCF</v>
          </cell>
          <cell r="R20">
            <v>0.03</v>
          </cell>
          <cell r="S20" t="str">
            <v>growth in WC out years</v>
          </cell>
        </row>
        <row r="21">
          <cell r="P21" t="str">
            <v>CAGR</v>
          </cell>
          <cell r="R21">
            <v>0.01</v>
          </cell>
          <cell r="S21" t="str">
            <v>growth in diluted shares</v>
          </cell>
        </row>
        <row r="22">
          <cell r="A22" t="str">
            <v>Free Cash Flow</v>
          </cell>
          <cell r="B22">
            <v>2735.7386237513874</v>
          </cell>
          <cell r="C22">
            <v>3182.9954442835556</v>
          </cell>
          <cell r="D22">
            <v>2607.1471831670979</v>
          </cell>
          <cell r="E22">
            <v>2685.3615986621107</v>
          </cell>
          <cell r="F22">
            <v>2765.9224466219748</v>
          </cell>
          <cell r="G22">
            <v>2848.900120020633</v>
          </cell>
          <cell r="H22">
            <v>2934.3671236212522</v>
          </cell>
          <cell r="I22">
            <v>3022.3981373298893</v>
          </cell>
          <cell r="J22">
            <v>3113.0700814497864</v>
          </cell>
          <cell r="K22">
            <v>3206.4621838932799</v>
          </cell>
          <cell r="L22">
            <v>3302.6560494100781</v>
          </cell>
          <cell r="M22">
            <v>3401.7357308923811</v>
          </cell>
          <cell r="N22">
            <v>31584.0199825081</v>
          </cell>
          <cell r="P22">
            <v>1.600337835339305E-2</v>
          </cell>
        </row>
        <row r="23">
          <cell r="A23" t="str">
            <v>Present Value of FCF</v>
          </cell>
          <cell r="B23">
            <v>2925.1826936812904</v>
          </cell>
          <cell r="C23">
            <v>3182.9954442835556</v>
          </cell>
          <cell r="D23">
            <v>2438.3000973586277</v>
          </cell>
          <cell r="E23">
            <v>2348.7997245646816</v>
          </cell>
          <cell r="F23">
            <v>2262.5845572050193</v>
          </cell>
          <cell r="G23">
            <v>2179.5340083545957</v>
          </cell>
          <cell r="H23">
            <v>2099.5319173584408</v>
          </cell>
          <cell r="I23">
            <v>2022.4663873607478</v>
          </cell>
          <cell r="J23">
            <v>1948.2296287976412</v>
          </cell>
          <cell r="K23">
            <v>1876.7178086346971</v>
          </cell>
          <cell r="L23">
            <v>1807.8309051383644</v>
          </cell>
          <cell r="M23">
            <v>1741.4725679781532</v>
          </cell>
          <cell r="N23">
            <v>16169.011568568487</v>
          </cell>
          <cell r="R23">
            <v>2009</v>
          </cell>
          <cell r="S23" t="str">
            <v>Year T</v>
          </cell>
        </row>
        <row r="24">
          <cell r="A24" t="str">
            <v>Free Cash Flow Per Share</v>
          </cell>
          <cell r="B24">
            <v>6.8616469118419552</v>
          </cell>
          <cell r="C24">
            <v>8.2670333113556573</v>
          </cell>
          <cell r="D24">
            <v>6.9165611073267232</v>
          </cell>
          <cell r="E24">
            <v>7.0535227134124012</v>
          </cell>
          <cell r="F24">
            <v>7.2651283948147753</v>
          </cell>
          <cell r="G24">
            <v>7.4830822466592153</v>
          </cell>
          <cell r="H24">
            <v>7.7075747140589925</v>
          </cell>
          <cell r="I24">
            <v>7.938801955480761</v>
          </cell>
          <cell r="J24">
            <v>8.1769660141451848</v>
          </cell>
          <cell r="K24">
            <v>8.4222749945695394</v>
          </cell>
          <cell r="L24">
            <v>8.6749432444066255</v>
          </cell>
          <cell r="M24">
            <v>8.9351915417388259</v>
          </cell>
          <cell r="R24">
            <v>2019</v>
          </cell>
          <cell r="S24" t="str">
            <v>Year T+10</v>
          </cell>
        </row>
        <row r="26">
          <cell r="A26" t="str">
            <v>Discount Rate</v>
          </cell>
          <cell r="C26" t="str">
            <v>Comments</v>
          </cell>
          <cell r="J26" t="str">
            <v>DCF Operating Input Assumptions</v>
          </cell>
        </row>
        <row r="27">
          <cell r="J27">
            <v>0.03</v>
          </cell>
          <cell r="K27" t="str">
            <v>EBIT Growth out years</v>
          </cell>
        </row>
        <row r="28">
          <cell r="A28" t="str">
            <v>Cost of Debt</v>
          </cell>
          <cell r="B28">
            <v>0.05</v>
          </cell>
          <cell r="J28">
            <v>0.03</v>
          </cell>
          <cell r="K28" t="str">
            <v>Minority Int. growth out years</v>
          </cell>
        </row>
        <row r="29">
          <cell r="A29" t="str">
            <v>Corporate Tax Rate</v>
          </cell>
          <cell r="B29">
            <v>0.32214206437291898</v>
          </cell>
          <cell r="J29">
            <v>0.03</v>
          </cell>
          <cell r="K29" t="str">
            <v>growth in taxes</v>
          </cell>
        </row>
        <row r="30">
          <cell r="A30" t="str">
            <v>Beta</v>
          </cell>
          <cell r="B30">
            <v>0.86</v>
          </cell>
          <cell r="J30">
            <v>0.03</v>
          </cell>
          <cell r="K30" t="str">
            <v>growth in tax shield</v>
          </cell>
        </row>
        <row r="31">
          <cell r="A31" t="str">
            <v>E(RM)-RF</v>
          </cell>
          <cell r="B31">
            <v>0.04</v>
          </cell>
          <cell r="J31">
            <v>0.03</v>
          </cell>
          <cell r="K31" t="str">
            <v>growth in deferred taxes</v>
          </cell>
        </row>
        <row r="32">
          <cell r="A32" t="str">
            <v>RF</v>
          </cell>
          <cell r="B32">
            <v>0.05</v>
          </cell>
          <cell r="J32">
            <v>0.03</v>
          </cell>
          <cell r="K32" t="str">
            <v>growth in depreciation</v>
          </cell>
        </row>
        <row r="33">
          <cell r="A33" t="str">
            <v>WACC</v>
          </cell>
          <cell r="B33">
            <v>8.4400000000000003E-2</v>
          </cell>
          <cell r="J33">
            <v>0.03</v>
          </cell>
          <cell r="K33" t="str">
            <v>growth in capex out years</v>
          </cell>
        </row>
        <row r="34">
          <cell r="A34" t="str">
            <v>Target Debt ratio</v>
          </cell>
          <cell r="B34">
            <v>0.3</v>
          </cell>
          <cell r="J34">
            <v>0.03</v>
          </cell>
          <cell r="K34" t="str">
            <v>growth in WC out years</v>
          </cell>
        </row>
        <row r="35">
          <cell r="A35" t="str">
            <v>Target Equity ratio</v>
          </cell>
          <cell r="B35">
            <v>0.7</v>
          </cell>
          <cell r="J35">
            <v>0.01</v>
          </cell>
          <cell r="K35" t="str">
            <v>growth in diluted shares</v>
          </cell>
        </row>
        <row r="37">
          <cell r="A37" t="str">
            <v>WACC</v>
          </cell>
          <cell r="B37">
            <v>6.9247869034406218E-2</v>
          </cell>
        </row>
        <row r="38">
          <cell r="A38" t="str">
            <v>Current ROIC</v>
          </cell>
          <cell r="B38">
            <v>0.17374903085286963</v>
          </cell>
        </row>
        <row r="39">
          <cell r="A39" t="str">
            <v>Terminal ROIC</v>
          </cell>
          <cell r="B39">
            <v>0.05</v>
          </cell>
        </row>
        <row r="40">
          <cell r="A40" t="str">
            <v>Growth Rate Yrs. 1-10</v>
          </cell>
          <cell r="B40">
            <v>1.600337835339305E-2</v>
          </cell>
        </row>
        <row r="41">
          <cell r="A41" t="str">
            <v>Terminal Growth Rate</v>
          </cell>
          <cell r="B41">
            <v>3.3000000000000002E-2</v>
          </cell>
          <cell r="C41" t="str">
            <v>- GDP gr range</v>
          </cell>
        </row>
        <row r="44">
          <cell r="A44" t="str">
            <v>DCF Results</v>
          </cell>
          <cell r="C44" t="str">
            <v>Comments</v>
          </cell>
          <cell r="G44" t="str">
            <v>Variance Table</v>
          </cell>
        </row>
        <row r="46">
          <cell r="A46" t="str">
            <v>Sum of DCF</v>
          </cell>
          <cell r="B46">
            <v>40077.474615603016</v>
          </cell>
          <cell r="J46" t="str">
            <v>Terminal ROIC</v>
          </cell>
        </row>
        <row r="47">
          <cell r="A47" t="str">
            <v>% of DCF from Terminal Value</v>
          </cell>
          <cell r="B47">
            <v>0.40344387274026355</v>
          </cell>
        </row>
        <row r="48">
          <cell r="A48" t="str">
            <v>Net Debt</v>
          </cell>
          <cell r="B48">
            <v>2403</v>
          </cell>
          <cell r="C48" t="str">
            <v>- net cash position</v>
          </cell>
          <cell r="H48">
            <v>94.4932897306321</v>
          </cell>
          <cell r="I48">
            <v>4.4999999999999998E-2</v>
          </cell>
          <cell r="J48">
            <v>4.7500000000000001E-2</v>
          </cell>
          <cell r="K48">
            <v>0.05</v>
          </cell>
          <cell r="L48">
            <v>5.2500000000000005E-2</v>
          </cell>
          <cell r="M48">
            <v>5.5000000000000007E-2</v>
          </cell>
        </row>
        <row r="49">
          <cell r="H49">
            <v>2.8000000000000004E-2</v>
          </cell>
          <cell r="I49">
            <v>93.345515456716114</v>
          </cell>
          <cell r="J49">
            <v>96.761563674069805</v>
          </cell>
          <cell r="K49">
            <v>99.836007069688122</v>
          </cell>
          <cell r="L49">
            <v>102.61764633239041</v>
          </cell>
          <cell r="M49">
            <v>105.14640929848339</v>
          </cell>
        </row>
        <row r="50">
          <cell r="A50" t="str">
            <v>Equity Value</v>
          </cell>
          <cell r="B50">
            <v>37674.474615603016</v>
          </cell>
          <cell r="H50">
            <v>3.0500000000000003E-2</v>
          </cell>
          <cell r="I50">
            <v>89.806048940772939</v>
          </cell>
          <cell r="J50">
            <v>93.776815677698565</v>
          </cell>
          <cell r="K50">
            <v>97.350505740931638</v>
          </cell>
          <cell r="L50">
            <v>100.58384436957108</v>
          </cell>
          <cell r="M50">
            <v>103.52324312287966</v>
          </cell>
        </row>
        <row r="51">
          <cell r="A51" t="str">
            <v>Shares Outstanding</v>
          </cell>
          <cell r="B51">
            <v>398.7</v>
          </cell>
          <cell r="H51">
            <v>3.3000000000000002E-2</v>
          </cell>
          <cell r="I51">
            <v>85.746277270811518</v>
          </cell>
          <cell r="J51">
            <v>90.349968039138147</v>
          </cell>
          <cell r="K51">
            <v>94.4932897306321</v>
          </cell>
          <cell r="L51">
            <v>98.242009356269492</v>
          </cell>
          <cell r="M51">
            <v>101.64993628866711</v>
          </cell>
        </row>
        <row r="52">
          <cell r="H52">
            <v>3.5500000000000004E-2</v>
          </cell>
          <cell r="I52">
            <v>81.05056977838413</v>
          </cell>
          <cell r="J52">
            <v>86.382770189944097</v>
          </cell>
          <cell r="K52">
            <v>91.18175056034805</v>
          </cell>
          <cell r="L52">
            <v>95.523685181189748</v>
          </cell>
          <cell r="M52">
            <v>99.470898472864008</v>
          </cell>
        </row>
        <row r="53">
          <cell r="A53" t="str">
            <v>Value Per Share</v>
          </cell>
          <cell r="B53">
            <v>94.4932897306321</v>
          </cell>
          <cell r="H53">
            <v>3.8000000000000006E-2</v>
          </cell>
          <cell r="I53">
            <v>75.566291457780608</v>
          </cell>
          <cell r="J53">
            <v>81.745529235689247</v>
          </cell>
          <cell r="K53">
            <v>87.306843235807037</v>
          </cell>
          <cell r="L53">
            <v>92.338508283532661</v>
          </cell>
          <cell r="M53">
            <v>96.912749236010484</v>
          </cell>
        </row>
        <row r="55">
          <cell r="A55" t="str">
            <v>Current Stock Price</v>
          </cell>
          <cell r="B55">
            <v>81.75</v>
          </cell>
        </row>
        <row r="56">
          <cell r="A56" t="str">
            <v>Potential Appreciation</v>
          </cell>
          <cell r="B56">
            <v>0.15588121994657</v>
          </cell>
        </row>
        <row r="58">
          <cell r="A58" t="str">
            <v>All Data Are Morgan Stanley Research Estimates</v>
          </cell>
        </row>
      </sheetData>
      <sheetData sheetId="12" refreshError="1"/>
      <sheetData sheetId="13" refreshError="1">
        <row r="1">
          <cell r="A1" t="str">
            <v>RRS-5.01</v>
          </cell>
          <cell r="D1" t="str">
            <v>RISK-REWARD SNAPSHOT
(You must upload your model to ModelWare to capture changes to your scenario values and NOT delete this worksheet.)</v>
          </cell>
          <cell r="I1" t="str">
            <v>Select Language</v>
          </cell>
          <cell r="N1" t="str">
            <v>http://ChartGallery</v>
          </cell>
          <cell r="O1" t="str">
            <v>http://ChartGallery</v>
          </cell>
          <cell r="AA1" t="str">
            <v>ElementName</v>
          </cell>
          <cell r="AB1" t="str">
            <v>ScaleOverride</v>
          </cell>
          <cell r="AC1" t="str">
            <v>UnitOverride</v>
          </cell>
          <cell r="AD1" t="str">
            <v>ReverseSign</v>
          </cell>
          <cell r="AE1" t="str">
            <v>IsDrivingAssumption</v>
          </cell>
          <cell r="AF1" t="str">
            <v>SegmentID</v>
          </cell>
        </row>
        <row r="2">
          <cell r="B2" t="str">
            <v>Instructions:</v>
          </cell>
        </row>
        <row r="3">
          <cell r="B3" t="str">
            <v>Step 1: Input or modify the scenario values in blue font (cells C6:C11)
Step 2: Click "Refresh RR Chart" button (incl. data inputs, volume/price history, and last close price)
Step 3: Upload model to Modelware</v>
          </cell>
        </row>
        <row r="4">
          <cell r="B4" t="str">
            <v>Ticker:</v>
          </cell>
          <cell r="C4" t="str">
            <v>GD.N</v>
          </cell>
          <cell r="E4" t="str">
            <v>Company Name:</v>
          </cell>
          <cell r="F4" t="str">
            <v>General Dynamics</v>
          </cell>
          <cell r="I4" t="str">
            <v>Sedol:</v>
          </cell>
          <cell r="J4">
            <v>2365161</v>
          </cell>
          <cell r="K4">
            <v>2365161</v>
          </cell>
        </row>
        <row r="5">
          <cell r="B5" t="str">
            <v xml:space="preserve">Chart Data Inputs (decimal formats will reflect on chart): </v>
          </cell>
          <cell r="H5" t="str">
            <v>Risk Reward Chart Gallery 
(Click on the below image for other Risk-Reward Charts)</v>
          </cell>
        </row>
        <row r="6">
          <cell r="B6" t="str">
            <v>Bull Case</v>
          </cell>
          <cell r="C6">
            <v>65</v>
          </cell>
          <cell r="AA6" t="str">
            <v>mstag:bullCaseValueEstimatePerShare</v>
          </cell>
          <cell r="AB6">
            <v>0</v>
          </cell>
          <cell r="AC6" t="str">
            <v>ISO4217:USD</v>
          </cell>
          <cell r="AD6" t="b">
            <v>0</v>
          </cell>
        </row>
        <row r="7">
          <cell r="B7" t="str">
            <v>Base Case</v>
          </cell>
          <cell r="C7">
            <v>52</v>
          </cell>
          <cell r="AA7" t="str">
            <v>mstag:met_12monthIntrinsicValueEstimate</v>
          </cell>
          <cell r="AB7">
            <v>0</v>
          </cell>
          <cell r="AC7" t="str">
            <v>ISO4217:USD</v>
          </cell>
          <cell r="AD7" t="b">
            <v>0</v>
          </cell>
        </row>
        <row r="8">
          <cell r="B8" t="str">
            <v>Bear Case</v>
          </cell>
          <cell r="C8">
            <v>40</v>
          </cell>
          <cell r="K8" t="str">
            <v>日本語</v>
          </cell>
          <cell r="M8" t="str">
            <v>-</v>
          </cell>
          <cell r="AA8" t="str">
            <v>mstag:bearCaseValueEstimatePerShare</v>
          </cell>
          <cell r="AB8">
            <v>0</v>
          </cell>
          <cell r="AC8" t="str">
            <v>ISO4217:USD</v>
          </cell>
          <cell r="AD8" t="b">
            <v>0</v>
          </cell>
        </row>
        <row r="9">
          <cell r="B9" t="str">
            <v>Extreme Upside</v>
          </cell>
          <cell r="K9" t="str">
            <v>English</v>
          </cell>
          <cell r="L9" t="str">
            <v>年</v>
          </cell>
          <cell r="M9" t="str">
            <v>月</v>
          </cell>
          <cell r="N9" t="str">
            <v>-</v>
          </cell>
          <cell r="AA9" t="str">
            <v>mstag:extremeBullCaseValueEstimatePerShare</v>
          </cell>
          <cell r="AB9">
            <v>0</v>
          </cell>
          <cell r="AC9" t="str">
            <v>ISO4217:USD</v>
          </cell>
          <cell r="AD9" t="b">
            <v>0</v>
          </cell>
          <cell r="AH9" t="str">
            <v>Other Refresh Chart Option</v>
          </cell>
        </row>
        <row r="10">
          <cell r="B10" t="str">
            <v>Extreme Downside</v>
          </cell>
          <cell r="O10" t="b">
            <v>0</v>
          </cell>
          <cell r="AA10" t="str">
            <v>mstag:extremeBearCaseValueEstimatePerShare</v>
          </cell>
          <cell r="AB10">
            <v>0</v>
          </cell>
          <cell r="AC10" t="str">
            <v>ISO4217:USD</v>
          </cell>
          <cell r="AD10" t="b">
            <v>0</v>
          </cell>
        </row>
        <row r="11">
          <cell r="B11" t="str">
            <v>Price Target</v>
          </cell>
          <cell r="C11">
            <v>52</v>
          </cell>
          <cell r="O11" t="b">
            <v>1</v>
          </cell>
        </row>
        <row r="12">
          <cell r="B12" t="str">
            <v>Currency</v>
          </cell>
          <cell r="C12" t="str">
            <v>USD American Dollar</v>
          </cell>
          <cell r="F12">
            <v>0</v>
          </cell>
        </row>
        <row r="13">
          <cell r="B13" t="str">
            <v>Currency Symbol</v>
          </cell>
          <cell r="C13" t="str">
            <v>$</v>
          </cell>
          <cell r="F13">
            <v>0</v>
          </cell>
        </row>
        <row r="14">
          <cell r="B14" t="str">
            <v>"Refresh RR Chart" updates chart dates below, as of today. If your PT time horizon is &gt; 1yr. or price history is &lt; 2yrs., adjust Start/End dates and select "Apply Manually Adjusted Dates" option.</v>
          </cell>
        </row>
        <row r="15">
          <cell r="B15" t="str">
            <v>Start Date (-2 Yrs)</v>
          </cell>
          <cell r="C15">
            <v>39294</v>
          </cell>
          <cell r="E15">
            <v>48</v>
          </cell>
          <cell r="F15" t="str">
            <v>USD</v>
          </cell>
        </row>
        <row r="16">
          <cell r="B16" t="str">
            <v>End Date (+1 Yr)</v>
          </cell>
          <cell r="C16">
            <v>40390</v>
          </cell>
          <cell r="E16" t="str">
            <v>USD</v>
          </cell>
          <cell r="F16" t="str">
            <v>USD</v>
          </cell>
        </row>
        <row r="17">
          <cell r="B17">
            <v>55.39</v>
          </cell>
          <cell r="C17" t="str">
            <v>Hand entert Share Price</v>
          </cell>
          <cell r="H17" t="str">
            <v>2007-FY</v>
          </cell>
        </row>
        <row r="18">
          <cell r="B18" t="b">
            <v>0</v>
          </cell>
          <cell r="C18">
            <v>40025</v>
          </cell>
        </row>
        <row r="19">
          <cell r="C19" t="str">
            <v>2008-FY</v>
          </cell>
        </row>
        <row r="34">
          <cell r="A34" t="str">
            <v>BullCase</v>
          </cell>
        </row>
        <row r="52">
          <cell r="A52">
            <v>40390</v>
          </cell>
          <cell r="B52">
            <v>757</v>
          </cell>
          <cell r="N52" t="str">
            <v>Jul-10</v>
          </cell>
          <cell r="R52" t="b">
            <v>0</v>
          </cell>
        </row>
        <row r="53">
          <cell r="A53" t="str">
            <v>Header</v>
          </cell>
          <cell r="B53" t="str">
            <v>Date</v>
          </cell>
          <cell r="C53" t="str">
            <v>Past/Future</v>
          </cell>
          <cell r="D53" t="str">
            <v>Historical Stock Performance</v>
          </cell>
          <cell r="E53" t="str">
            <v>Extreme Upside Cone</v>
          </cell>
          <cell r="F53" t="str">
            <v>Blue Cone</v>
          </cell>
          <cell r="G53" t="str">
            <v>Extreme Downside Cone</v>
          </cell>
          <cell r="H53" t="str">
            <v>White Mask</v>
          </cell>
          <cell r="I53" t="str">
            <v>Current Stock Price</v>
          </cell>
          <cell r="J53" t="str">
            <v>Extreme Upside Price(Jul-10)</v>
          </cell>
          <cell r="K53" t="str">
            <v>Bull Price(Jul-10)</v>
          </cell>
          <cell r="L53" t="str">
            <v>Bear Price(Jul-10)</v>
          </cell>
          <cell r="M53" t="str">
            <v>Extreme Downside Price(Jul-10)</v>
          </cell>
          <cell r="N53" t="str">
            <v>Price Target (Jul-10)</v>
          </cell>
          <cell r="O53" t="str">
            <v>Gray Line</v>
          </cell>
          <cell r="P53" t="str">
            <v>Prices</v>
          </cell>
          <cell r="Q53" t="str">
            <v>Volume</v>
          </cell>
          <cell r="R53" t="str">
            <v>Base Case(Jul-10)</v>
          </cell>
          <cell r="S53" t="str">
            <v>Header Row</v>
          </cell>
          <cell r="T53">
            <v>53</v>
          </cell>
          <cell r="U53">
            <v>0</v>
          </cell>
          <cell r="AI53" t="str">
            <v xml:space="preserve">Display </v>
          </cell>
          <cell r="AJ53" t="str">
            <v>Symbol</v>
          </cell>
          <cell r="AK53" t="str">
            <v>Unit</v>
          </cell>
          <cell r="AL53" t="str">
            <v>FactsetUnit</v>
          </cell>
          <cell r="AM53" t="str">
            <v>Right alligned</v>
          </cell>
          <cell r="AN53" t="str">
            <v>Display 2 Decimal Places for Currency Amount</v>
          </cell>
        </row>
        <row r="54">
          <cell r="A54">
            <v>39294</v>
          </cell>
          <cell r="B54">
            <v>39294</v>
          </cell>
          <cell r="C54" t="str">
            <v>Past</v>
          </cell>
          <cell r="D54">
            <v>78.56</v>
          </cell>
          <cell r="E54" t="e">
            <v>#N/A</v>
          </cell>
          <cell r="F54" t="e">
            <v>#N/A</v>
          </cell>
          <cell r="G54" t="e">
            <v>#N/A</v>
          </cell>
          <cell r="H54" t="e">
            <v>#N/A</v>
          </cell>
          <cell r="I54" t="e">
            <v>#N/A</v>
          </cell>
          <cell r="J54" t="e">
            <v>#N/A</v>
          </cell>
          <cell r="K54" t="e">
            <v>#N/A</v>
          </cell>
          <cell r="L54" t="e">
            <v>#N/A</v>
          </cell>
          <cell r="M54" t="e">
            <v>#N/A</v>
          </cell>
          <cell r="N54" t="e">
            <v>#N/A</v>
          </cell>
          <cell r="O54" t="e">
            <v>#N/A</v>
          </cell>
          <cell r="P54">
            <v>78.56</v>
          </cell>
          <cell r="Q54">
            <v>4.0040000000000004</v>
          </cell>
          <cell r="R54" t="e">
            <v>#N/A</v>
          </cell>
          <cell r="S54" t="str">
            <v>Count</v>
          </cell>
          <cell r="T54">
            <v>757</v>
          </cell>
          <cell r="U54">
            <v>65</v>
          </cell>
          <cell r="AI54" t="str">
            <v>AED UAE Dirham</v>
          </cell>
          <cell r="AJ54" t="str">
            <v>AED</v>
          </cell>
          <cell r="AK54" t="str">
            <v>AED</v>
          </cell>
          <cell r="AL54" t="str">
            <v>AED</v>
          </cell>
          <cell r="AM54">
            <v>0</v>
          </cell>
          <cell r="AN54">
            <v>2</v>
          </cell>
        </row>
        <row r="55">
          <cell r="A55">
            <v>39295</v>
          </cell>
          <cell r="B55">
            <v>39295</v>
          </cell>
          <cell r="C55" t="str">
            <v>Past</v>
          </cell>
          <cell r="D55">
            <v>78.459999999999994</v>
          </cell>
          <cell r="E55" t="e">
            <v>#N/A</v>
          </cell>
          <cell r="F55" t="e">
            <v>#N/A</v>
          </cell>
          <cell r="G55" t="e">
            <v>#N/A</v>
          </cell>
          <cell r="H55" t="e">
            <v>#N/A</v>
          </cell>
          <cell r="I55" t="e">
            <v>#N/A</v>
          </cell>
          <cell r="J55" t="e">
            <v>#N/A</v>
          </cell>
          <cell r="K55" t="e">
            <v>#N/A</v>
          </cell>
          <cell r="L55" t="e">
            <v>#N/A</v>
          </cell>
          <cell r="M55" t="e">
            <v>#N/A</v>
          </cell>
          <cell r="N55" t="e">
            <v>#N/A</v>
          </cell>
          <cell r="O55" t="e">
            <v>#N/A</v>
          </cell>
          <cell r="P55">
            <v>78.459999999999994</v>
          </cell>
          <cell r="Q55">
            <v>2.8416600000000001</v>
          </cell>
          <cell r="R55" t="e">
            <v>#N/A</v>
          </cell>
          <cell r="S55" t="str">
            <v>Curr Price</v>
          </cell>
          <cell r="T55">
            <v>55.39</v>
          </cell>
          <cell r="U55">
            <v>506</v>
          </cell>
          <cell r="V55">
            <v>53.326000000000001</v>
          </cell>
          <cell r="AI55" t="str">
            <v>ARS Argentinian Pesos</v>
          </cell>
          <cell r="AJ55" t="str">
            <v>Ar$</v>
          </cell>
          <cell r="AK55" t="str">
            <v>ARS</v>
          </cell>
          <cell r="AL55" t="str">
            <v>ARS</v>
          </cell>
          <cell r="AM55">
            <v>0</v>
          </cell>
          <cell r="AN55">
            <v>2</v>
          </cell>
        </row>
        <row r="56">
          <cell r="A56">
            <v>39296</v>
          </cell>
          <cell r="B56">
            <v>39296</v>
          </cell>
          <cell r="C56" t="str">
            <v>Past</v>
          </cell>
          <cell r="D56">
            <v>80.319999999999993</v>
          </cell>
          <cell r="E56" t="e">
            <v>#N/A</v>
          </cell>
          <cell r="F56" t="e">
            <v>#N/A</v>
          </cell>
          <cell r="G56" t="e">
            <v>#N/A</v>
          </cell>
          <cell r="H56" t="e">
            <v>#N/A</v>
          </cell>
          <cell r="I56" t="e">
            <v>#N/A</v>
          </cell>
          <cell r="J56" t="e">
            <v>#N/A</v>
          </cell>
          <cell r="K56" t="e">
            <v>#N/A</v>
          </cell>
          <cell r="L56" t="e">
            <v>#N/A</v>
          </cell>
          <cell r="M56" t="e">
            <v>#N/A</v>
          </cell>
          <cell r="N56" t="e">
            <v>#N/A</v>
          </cell>
          <cell r="O56" t="e">
            <v>#N/A</v>
          </cell>
          <cell r="P56">
            <v>80.319999999999993</v>
          </cell>
          <cell r="Q56">
            <v>2.5734779999999997</v>
          </cell>
          <cell r="R56" t="e">
            <v>#N/A</v>
          </cell>
          <cell r="S56" t="str">
            <v>Curr Price Date</v>
          </cell>
          <cell r="T56">
            <v>40025</v>
          </cell>
          <cell r="U56">
            <v>40023.821562500001</v>
          </cell>
          <cell r="AI56" t="str">
            <v>AUD Australian Dollar</v>
          </cell>
          <cell r="AJ56" t="str">
            <v>A$</v>
          </cell>
          <cell r="AK56" t="str">
            <v>AUD</v>
          </cell>
          <cell r="AL56" t="str">
            <v>AUD</v>
          </cell>
          <cell r="AM56">
            <v>0</v>
          </cell>
          <cell r="AN56">
            <v>2</v>
          </cell>
        </row>
        <row r="57">
          <cell r="A57">
            <v>39297</v>
          </cell>
          <cell r="B57">
            <v>39297</v>
          </cell>
          <cell r="C57" t="str">
            <v>Past</v>
          </cell>
          <cell r="D57">
            <v>79.48</v>
          </cell>
          <cell r="E57" t="e">
            <v>#N/A</v>
          </cell>
          <cell r="F57" t="e">
            <v>#N/A</v>
          </cell>
          <cell r="G57" t="e">
            <v>#N/A</v>
          </cell>
          <cell r="H57" t="e">
            <v>#N/A</v>
          </cell>
          <cell r="I57" t="e">
            <v>#N/A</v>
          </cell>
          <cell r="J57" t="e">
            <v>#N/A</v>
          </cell>
          <cell r="K57" t="e">
            <v>#N/A</v>
          </cell>
          <cell r="L57" t="e">
            <v>#N/A</v>
          </cell>
          <cell r="M57" t="e">
            <v>#N/A</v>
          </cell>
          <cell r="N57" t="e">
            <v>#N/A</v>
          </cell>
          <cell r="O57" t="e">
            <v>#N/A</v>
          </cell>
          <cell r="P57">
            <v>79.48</v>
          </cell>
          <cell r="Q57">
            <v>2.2623349999999998</v>
          </cell>
          <cell r="R57" t="e">
            <v>#N/A</v>
          </cell>
          <cell r="S57" t="str">
            <v>Bull-Curr</v>
          </cell>
          <cell r="T57">
            <v>9.61</v>
          </cell>
          <cell r="U57">
            <v>3.8134920634920633E-2</v>
          </cell>
          <cell r="AI57" t="str">
            <v>BGL Bulgarian levs</v>
          </cell>
          <cell r="AJ57" t="str">
            <v>BGL</v>
          </cell>
          <cell r="AK57" t="str">
            <v>BGL</v>
          </cell>
          <cell r="AL57" t="str">
            <v>BGN</v>
          </cell>
          <cell r="AM57">
            <v>0</v>
          </cell>
          <cell r="AN57">
            <v>2</v>
          </cell>
        </row>
        <row r="58">
          <cell r="A58">
            <v>39300</v>
          </cell>
          <cell r="B58">
            <v>39300</v>
          </cell>
          <cell r="C58" t="str">
            <v>Past</v>
          </cell>
          <cell r="D58">
            <v>79.91</v>
          </cell>
          <cell r="E58" t="e">
            <v>#N/A</v>
          </cell>
          <cell r="F58" t="e">
            <v>#N/A</v>
          </cell>
          <cell r="G58" t="e">
            <v>#N/A</v>
          </cell>
          <cell r="H58" t="e">
            <v>#N/A</v>
          </cell>
          <cell r="I58" t="e">
            <v>#N/A</v>
          </cell>
          <cell r="J58" t="e">
            <v>#N/A</v>
          </cell>
          <cell r="K58" t="e">
            <v>#N/A</v>
          </cell>
          <cell r="L58" t="e">
            <v>#N/A</v>
          </cell>
          <cell r="M58" t="e">
            <v>#N/A</v>
          </cell>
          <cell r="N58" t="e">
            <v>#N/A</v>
          </cell>
          <cell r="O58" t="e">
            <v>#N/A</v>
          </cell>
          <cell r="P58">
            <v>79.91</v>
          </cell>
          <cell r="Q58">
            <v>2.98</v>
          </cell>
          <cell r="R58" t="e">
            <v>#N/A</v>
          </cell>
          <cell r="S58" t="str">
            <v>Upp-Cur</v>
          </cell>
          <cell r="T58">
            <v>-55.39</v>
          </cell>
          <cell r="U58">
            <v>-0.2198015873015873</v>
          </cell>
          <cell r="AI58" t="str">
            <v>BMD Bermudan Dollars</v>
          </cell>
          <cell r="AJ58" t="str">
            <v>BMD</v>
          </cell>
          <cell r="AK58" t="str">
            <v>BMD</v>
          </cell>
          <cell r="AL58" t="str">
            <v>BMD</v>
          </cell>
          <cell r="AM58">
            <v>0</v>
          </cell>
          <cell r="AN58">
            <v>2</v>
          </cell>
        </row>
        <row r="59">
          <cell r="A59">
            <v>39301</v>
          </cell>
          <cell r="B59">
            <v>39301</v>
          </cell>
          <cell r="C59" t="str">
            <v>Past</v>
          </cell>
          <cell r="D59">
            <v>78.239999999999995</v>
          </cell>
          <cell r="E59" t="e">
            <v>#N/A</v>
          </cell>
          <cell r="F59" t="e">
            <v>#N/A</v>
          </cell>
          <cell r="G59" t="e">
            <v>#N/A</v>
          </cell>
          <cell r="H59" t="e">
            <v>#N/A</v>
          </cell>
          <cell r="I59" t="e">
            <v>#N/A</v>
          </cell>
          <cell r="J59" t="e">
            <v>#N/A</v>
          </cell>
          <cell r="K59" t="e">
            <v>#N/A</v>
          </cell>
          <cell r="L59" t="e">
            <v>#N/A</v>
          </cell>
          <cell r="M59" t="e">
            <v>#N/A</v>
          </cell>
          <cell r="N59" t="e">
            <v>#N/A</v>
          </cell>
          <cell r="O59" t="e">
            <v>#N/A</v>
          </cell>
          <cell r="P59">
            <v>78.239999999999995</v>
          </cell>
          <cell r="Q59">
            <v>3.4866000000000001</v>
          </cell>
          <cell r="R59" t="e">
            <v>#N/A</v>
          </cell>
          <cell r="S59" t="str">
            <v>Curr-Bear</v>
          </cell>
          <cell r="T59">
            <v>15.39</v>
          </cell>
          <cell r="U59">
            <v>6.1071428571428575E-2</v>
          </cell>
          <cell r="AI59" t="str">
            <v>BRL Brazilian Real</v>
          </cell>
          <cell r="AJ59" t="str">
            <v>R$</v>
          </cell>
          <cell r="AK59" t="str">
            <v>BRL</v>
          </cell>
          <cell r="AL59" t="str">
            <v>BRL</v>
          </cell>
          <cell r="AM59">
            <v>0</v>
          </cell>
          <cell r="AN59">
            <v>2</v>
          </cell>
        </row>
        <row r="60">
          <cell r="A60">
            <v>39302</v>
          </cell>
          <cell r="B60">
            <v>39302</v>
          </cell>
          <cell r="C60" t="str">
            <v>Past</v>
          </cell>
          <cell r="D60">
            <v>78.33</v>
          </cell>
          <cell r="E60" t="e">
            <v>#N/A</v>
          </cell>
          <cell r="F60" t="e">
            <v>#N/A</v>
          </cell>
          <cell r="G60" t="e">
            <v>#N/A</v>
          </cell>
          <cell r="H60" t="e">
            <v>#N/A</v>
          </cell>
          <cell r="I60" t="e">
            <v>#N/A</v>
          </cell>
          <cell r="J60" t="e">
            <v>#N/A</v>
          </cell>
          <cell r="K60" t="e">
            <v>#N/A</v>
          </cell>
          <cell r="L60" t="e">
            <v>#N/A</v>
          </cell>
          <cell r="M60" t="e">
            <v>#N/A</v>
          </cell>
          <cell r="N60" t="e">
            <v>#N/A</v>
          </cell>
          <cell r="O60" t="e">
            <v>#N/A</v>
          </cell>
          <cell r="P60">
            <v>78.33</v>
          </cell>
          <cell r="Q60">
            <v>3.7873000000000001</v>
          </cell>
          <cell r="R60" t="e">
            <v>#N/A</v>
          </cell>
          <cell r="S60" t="str">
            <v>Curr-Lower</v>
          </cell>
          <cell r="T60">
            <v>55.39</v>
          </cell>
          <cell r="U60">
            <v>0.2198015873015873</v>
          </cell>
          <cell r="AI60" t="str">
            <v>CAD Canadian Dollars</v>
          </cell>
          <cell r="AJ60" t="str">
            <v>C$</v>
          </cell>
          <cell r="AK60" t="str">
            <v>CAD</v>
          </cell>
          <cell r="AL60" t="str">
            <v>CAD</v>
          </cell>
          <cell r="AM60">
            <v>0</v>
          </cell>
          <cell r="AN60">
            <v>2</v>
          </cell>
        </row>
        <row r="61">
          <cell r="A61">
            <v>39303</v>
          </cell>
          <cell r="B61">
            <v>39303</v>
          </cell>
          <cell r="C61" t="str">
            <v>Past</v>
          </cell>
          <cell r="D61">
            <v>74.239999999999995</v>
          </cell>
          <cell r="E61" t="e">
            <v>#N/A</v>
          </cell>
          <cell r="F61" t="e">
            <v>#N/A</v>
          </cell>
          <cell r="G61" t="e">
            <v>#N/A</v>
          </cell>
          <cell r="H61" t="e">
            <v>#N/A</v>
          </cell>
          <cell r="I61" t="e">
            <v>#N/A</v>
          </cell>
          <cell r="J61" t="e">
            <v>#N/A</v>
          </cell>
          <cell r="K61" t="e">
            <v>#N/A</v>
          </cell>
          <cell r="L61" t="e">
            <v>#N/A</v>
          </cell>
          <cell r="M61" t="e">
            <v>#N/A</v>
          </cell>
          <cell r="N61" t="e">
            <v>#N/A</v>
          </cell>
          <cell r="O61" t="e">
            <v>#N/A</v>
          </cell>
          <cell r="P61">
            <v>74.239999999999995</v>
          </cell>
          <cell r="Q61">
            <v>5.6351000000000004</v>
          </cell>
          <cell r="R61" t="e">
            <v>#N/A</v>
          </cell>
          <cell r="S61" t="str">
            <v>PriceFoundAt</v>
          </cell>
          <cell r="T61">
            <v>506</v>
          </cell>
          <cell r="AI61" t="str">
            <v>CHF Swiss Francs</v>
          </cell>
          <cell r="AJ61" t="str">
            <v>SFr</v>
          </cell>
          <cell r="AK61" t="str">
            <v>CHF</v>
          </cell>
          <cell r="AL61" t="str">
            <v>CHF</v>
          </cell>
          <cell r="AM61">
            <v>0</v>
          </cell>
          <cell r="AN61">
            <v>2</v>
          </cell>
        </row>
        <row r="62">
          <cell r="A62">
            <v>39304</v>
          </cell>
          <cell r="B62">
            <v>39304</v>
          </cell>
          <cell r="C62" t="str">
            <v>Past</v>
          </cell>
          <cell r="D62">
            <v>77.31</v>
          </cell>
          <cell r="E62" t="e">
            <v>#N/A</v>
          </cell>
          <cell r="F62" t="e">
            <v>#N/A</v>
          </cell>
          <cell r="G62" t="e">
            <v>#N/A</v>
          </cell>
          <cell r="H62" t="e">
            <v>#N/A</v>
          </cell>
          <cell r="I62" t="e">
            <v>#N/A</v>
          </cell>
          <cell r="J62" t="e">
            <v>#N/A</v>
          </cell>
          <cell r="K62" t="e">
            <v>#N/A</v>
          </cell>
          <cell r="L62" t="e">
            <v>#N/A</v>
          </cell>
          <cell r="M62" t="e">
            <v>#N/A</v>
          </cell>
          <cell r="N62" t="e">
            <v>#N/A</v>
          </cell>
          <cell r="O62" t="e">
            <v>#N/A</v>
          </cell>
          <cell r="P62">
            <v>77.31</v>
          </cell>
          <cell r="Q62">
            <v>5.5776000000000003</v>
          </cell>
          <cell r="R62" t="e">
            <v>#N/A</v>
          </cell>
          <cell r="S62" t="str">
            <v>Starting Point</v>
          </cell>
          <cell r="T62">
            <v>559</v>
          </cell>
          <cell r="AI62" t="str">
            <v>CLP Chilean Pesos</v>
          </cell>
          <cell r="AJ62" t="str">
            <v>CLP</v>
          </cell>
          <cell r="AK62" t="str">
            <v>CLP</v>
          </cell>
          <cell r="AL62" t="str">
            <v>CLP</v>
          </cell>
          <cell r="AM62">
            <v>0</v>
          </cell>
          <cell r="AN62">
            <v>2</v>
          </cell>
        </row>
        <row r="63">
          <cell r="A63">
            <v>39307</v>
          </cell>
          <cell r="B63">
            <v>39307</v>
          </cell>
          <cell r="C63" t="str">
            <v>Past</v>
          </cell>
          <cell r="D63">
            <v>77.83</v>
          </cell>
          <cell r="E63" t="e">
            <v>#N/A</v>
          </cell>
          <cell r="F63" t="e">
            <v>#N/A</v>
          </cell>
          <cell r="G63" t="e">
            <v>#N/A</v>
          </cell>
          <cell r="H63" t="e">
            <v>#N/A</v>
          </cell>
          <cell r="I63" t="e">
            <v>#N/A</v>
          </cell>
          <cell r="J63" t="e">
            <v>#N/A</v>
          </cell>
          <cell r="K63" t="e">
            <v>#N/A</v>
          </cell>
          <cell r="L63" t="e">
            <v>#N/A</v>
          </cell>
          <cell r="M63" t="e">
            <v>#N/A</v>
          </cell>
          <cell r="N63" t="e">
            <v>#N/A</v>
          </cell>
          <cell r="O63" t="e">
            <v>#N/A</v>
          </cell>
          <cell r="P63">
            <v>77.83</v>
          </cell>
          <cell r="Q63">
            <v>2.6566000000000001</v>
          </cell>
          <cell r="R63" t="e">
            <v>#N/A</v>
          </cell>
          <cell r="S63" t="str">
            <v>Saved</v>
          </cell>
          <cell r="T63">
            <v>252</v>
          </cell>
          <cell r="AI63" t="str">
            <v>CNY Chinese Renminbi Yuan</v>
          </cell>
          <cell r="AJ63" t="str">
            <v>Rmb</v>
          </cell>
          <cell r="AK63" t="str">
            <v>CNY</v>
          </cell>
          <cell r="AL63" t="str">
            <v>CNY</v>
          </cell>
          <cell r="AM63">
            <v>0</v>
          </cell>
          <cell r="AN63">
            <v>2</v>
          </cell>
        </row>
        <row r="64">
          <cell r="A64">
            <v>39308</v>
          </cell>
          <cell r="B64">
            <v>39308</v>
          </cell>
          <cell r="C64" t="str">
            <v>Past</v>
          </cell>
          <cell r="D64">
            <v>75.56</v>
          </cell>
          <cell r="E64" t="e">
            <v>#N/A</v>
          </cell>
          <cell r="F64" t="e">
            <v>#N/A</v>
          </cell>
          <cell r="G64" t="e">
            <v>#N/A</v>
          </cell>
          <cell r="H64" t="e">
            <v>#N/A</v>
          </cell>
          <cell r="I64" t="e">
            <v>#N/A</v>
          </cell>
          <cell r="J64" t="e">
            <v>#N/A</v>
          </cell>
          <cell r="K64" t="e">
            <v>#N/A</v>
          </cell>
          <cell r="L64" t="e">
            <v>#N/A</v>
          </cell>
          <cell r="M64" t="e">
            <v>#N/A</v>
          </cell>
          <cell r="N64" t="e">
            <v>#N/A</v>
          </cell>
          <cell r="O64" t="e">
            <v>#N/A</v>
          </cell>
          <cell r="P64">
            <v>75.56</v>
          </cell>
          <cell r="Q64">
            <v>2.0733000000000001</v>
          </cell>
          <cell r="R64" t="e">
            <v>#N/A</v>
          </cell>
          <cell r="S64" t="str">
            <v>Right alligned</v>
          </cell>
          <cell r="T64">
            <v>0</v>
          </cell>
          <cell r="AI64" t="str">
            <v>COP Colombian Peso</v>
          </cell>
          <cell r="AJ64" t="str">
            <v>COP</v>
          </cell>
          <cell r="AK64" t="str">
            <v>COP</v>
          </cell>
          <cell r="AL64" t="str">
            <v>COP</v>
          </cell>
          <cell r="AM64">
            <v>0</v>
          </cell>
          <cell r="AN64">
            <v>2</v>
          </cell>
        </row>
        <row r="65">
          <cell r="A65">
            <v>39309</v>
          </cell>
          <cell r="B65">
            <v>39309</v>
          </cell>
          <cell r="C65" t="str">
            <v>Past</v>
          </cell>
          <cell r="D65">
            <v>75.28</v>
          </cell>
          <cell r="E65" t="e">
            <v>#N/A</v>
          </cell>
          <cell r="F65" t="e">
            <v>#N/A</v>
          </cell>
          <cell r="G65" t="e">
            <v>#N/A</v>
          </cell>
          <cell r="H65" t="e">
            <v>#N/A</v>
          </cell>
          <cell r="I65" t="e">
            <v>#N/A</v>
          </cell>
          <cell r="J65" t="e">
            <v>#N/A</v>
          </cell>
          <cell r="K65" t="e">
            <v>#N/A</v>
          </cell>
          <cell r="L65" t="e">
            <v>#N/A</v>
          </cell>
          <cell r="M65" t="e">
            <v>#N/A</v>
          </cell>
          <cell r="N65" t="e">
            <v>#N/A</v>
          </cell>
          <cell r="O65" t="e">
            <v>#N/A</v>
          </cell>
          <cell r="P65">
            <v>75.28</v>
          </cell>
          <cell r="Q65">
            <v>2.3744489999999998</v>
          </cell>
          <cell r="R65" t="e">
            <v>#N/A</v>
          </cell>
          <cell r="S65" t="str">
            <v>Decimal</v>
          </cell>
          <cell r="T65">
            <v>2</v>
          </cell>
          <cell r="AI65" t="str">
            <v>CZK Czech Krona</v>
          </cell>
          <cell r="AJ65" t="str">
            <v>Kcs</v>
          </cell>
          <cell r="AK65" t="str">
            <v>CZK</v>
          </cell>
          <cell r="AL65" t="str">
            <v>CZK</v>
          </cell>
          <cell r="AM65">
            <v>0</v>
          </cell>
          <cell r="AN65">
            <v>2</v>
          </cell>
        </row>
        <row r="66">
          <cell r="A66">
            <v>39310</v>
          </cell>
          <cell r="B66">
            <v>39310</v>
          </cell>
          <cell r="C66" t="str">
            <v>Past</v>
          </cell>
          <cell r="D66">
            <v>75.73</v>
          </cell>
          <cell r="E66" t="e">
            <v>#N/A</v>
          </cell>
          <cell r="F66" t="e">
            <v>#N/A</v>
          </cell>
          <cell r="G66" t="e">
            <v>#N/A</v>
          </cell>
          <cell r="H66" t="e">
            <v>#N/A</v>
          </cell>
          <cell r="I66" t="e">
            <v>#N/A</v>
          </cell>
          <cell r="J66" t="e">
            <v>#N/A</v>
          </cell>
          <cell r="K66" t="e">
            <v>#N/A</v>
          </cell>
          <cell r="L66" t="e">
            <v>#N/A</v>
          </cell>
          <cell r="M66" t="e">
            <v>#N/A</v>
          </cell>
          <cell r="N66" t="e">
            <v>#N/A</v>
          </cell>
          <cell r="O66" t="e">
            <v>#N/A</v>
          </cell>
          <cell r="P66">
            <v>75.73</v>
          </cell>
          <cell r="Q66">
            <v>3.1491000000000002</v>
          </cell>
          <cell r="R66" t="e">
            <v>#N/A</v>
          </cell>
          <cell r="S66" t="str">
            <v>default StartDate</v>
          </cell>
          <cell r="T66">
            <v>39294</v>
          </cell>
          <cell r="AI66" t="str">
            <v>DKK Danish Krone</v>
          </cell>
          <cell r="AJ66" t="str">
            <v>DKr</v>
          </cell>
          <cell r="AK66" t="str">
            <v>DKK</v>
          </cell>
          <cell r="AL66" t="str">
            <v>DKK</v>
          </cell>
          <cell r="AM66">
            <v>0</v>
          </cell>
          <cell r="AN66">
            <v>2</v>
          </cell>
        </row>
        <row r="67">
          <cell r="A67">
            <v>39311</v>
          </cell>
          <cell r="B67">
            <v>39311</v>
          </cell>
          <cell r="C67" t="str">
            <v>Past</v>
          </cell>
          <cell r="D67">
            <v>77.48</v>
          </cell>
          <cell r="E67" t="e">
            <v>#N/A</v>
          </cell>
          <cell r="F67" t="e">
            <v>#N/A</v>
          </cell>
          <cell r="G67" t="e">
            <v>#N/A</v>
          </cell>
          <cell r="H67" t="e">
            <v>#N/A</v>
          </cell>
          <cell r="I67" t="e">
            <v>#N/A</v>
          </cell>
          <cell r="J67" t="e">
            <v>#N/A</v>
          </cell>
          <cell r="K67" t="e">
            <v>#N/A</v>
          </cell>
          <cell r="L67" t="e">
            <v>#N/A</v>
          </cell>
          <cell r="M67" t="e">
            <v>#N/A</v>
          </cell>
          <cell r="N67" t="e">
            <v>#N/A</v>
          </cell>
          <cell r="O67" t="e">
            <v>#N/A</v>
          </cell>
          <cell r="P67">
            <v>77.48</v>
          </cell>
          <cell r="Q67">
            <v>2.8011360000000001</v>
          </cell>
          <cell r="R67" t="e">
            <v>#N/A</v>
          </cell>
          <cell r="S67" t="str">
            <v>default EndDate</v>
          </cell>
          <cell r="T67">
            <v>40390</v>
          </cell>
          <cell r="AI67" t="str">
            <v>DZD Algerian Dinar</v>
          </cell>
          <cell r="AJ67" t="str">
            <v>DZD</v>
          </cell>
          <cell r="AK67" t="str">
            <v>DZD</v>
          </cell>
          <cell r="AL67" t="str">
            <v>DZD</v>
          </cell>
          <cell r="AM67">
            <v>0</v>
          </cell>
          <cell r="AN67">
            <v>2</v>
          </cell>
        </row>
        <row r="68">
          <cell r="A68">
            <v>39314</v>
          </cell>
          <cell r="B68">
            <v>39314</v>
          </cell>
          <cell r="C68" t="str">
            <v>Past</v>
          </cell>
          <cell r="D68">
            <v>77.5</v>
          </cell>
          <cell r="E68" t="e">
            <v>#N/A</v>
          </cell>
          <cell r="F68" t="e">
            <v>#N/A</v>
          </cell>
          <cell r="G68" t="e">
            <v>#N/A</v>
          </cell>
          <cell r="H68" t="e">
            <v>#N/A</v>
          </cell>
          <cell r="I68" t="e">
            <v>#N/A</v>
          </cell>
          <cell r="J68" t="e">
            <v>#N/A</v>
          </cell>
          <cell r="K68" t="e">
            <v>#N/A</v>
          </cell>
          <cell r="L68" t="e">
            <v>#N/A</v>
          </cell>
          <cell r="M68" t="e">
            <v>#N/A</v>
          </cell>
          <cell r="N68" t="e">
            <v>#N/A</v>
          </cell>
          <cell r="O68" t="e">
            <v>#N/A</v>
          </cell>
          <cell r="P68">
            <v>77.5</v>
          </cell>
          <cell r="Q68">
            <v>1.2904</v>
          </cell>
          <cell r="R68" t="e">
            <v>#N/A</v>
          </cell>
          <cell r="S68" t="str">
            <v>Max sharePrice</v>
          </cell>
          <cell r="T68">
            <v>94.6</v>
          </cell>
          <cell r="AI68" t="str">
            <v>EGP Egyptian Pound</v>
          </cell>
          <cell r="AJ68" t="str">
            <v>EGP</v>
          </cell>
          <cell r="AK68" t="str">
            <v>EGP</v>
          </cell>
          <cell r="AL68" t="str">
            <v>EGP</v>
          </cell>
          <cell r="AM68">
            <v>0</v>
          </cell>
          <cell r="AN68">
            <v>2</v>
          </cell>
        </row>
        <row r="69">
          <cell r="A69">
            <v>39315</v>
          </cell>
          <cell r="B69">
            <v>39315</v>
          </cell>
          <cell r="C69" t="str">
            <v>Past</v>
          </cell>
          <cell r="D69">
            <v>77.7</v>
          </cell>
          <cell r="E69" t="e">
            <v>#N/A</v>
          </cell>
          <cell r="F69" t="e">
            <v>#N/A</v>
          </cell>
          <cell r="G69" t="e">
            <v>#N/A</v>
          </cell>
          <cell r="H69" t="e">
            <v>#N/A</v>
          </cell>
          <cell r="I69" t="e">
            <v>#N/A</v>
          </cell>
          <cell r="J69" t="e">
            <v>#N/A</v>
          </cell>
          <cell r="K69" t="e">
            <v>#N/A</v>
          </cell>
          <cell r="L69" t="e">
            <v>#N/A</v>
          </cell>
          <cell r="M69" t="e">
            <v>#N/A</v>
          </cell>
          <cell r="N69" t="e">
            <v>#N/A</v>
          </cell>
          <cell r="O69" t="e">
            <v>#N/A</v>
          </cell>
          <cell r="P69">
            <v>77.7</v>
          </cell>
          <cell r="Q69">
            <v>1.2981</v>
          </cell>
          <cell r="R69" t="e">
            <v>#N/A</v>
          </cell>
          <cell r="AI69" t="str">
            <v>EUR Euro</v>
          </cell>
          <cell r="AJ69" t="str">
            <v>€</v>
          </cell>
          <cell r="AK69" t="str">
            <v>EUR</v>
          </cell>
          <cell r="AL69" t="str">
            <v>EUR</v>
          </cell>
          <cell r="AM69">
            <v>0</v>
          </cell>
          <cell r="AN69">
            <v>2</v>
          </cell>
        </row>
        <row r="70">
          <cell r="A70">
            <v>39316</v>
          </cell>
          <cell r="B70">
            <v>39316</v>
          </cell>
          <cell r="C70" t="str">
            <v>Past</v>
          </cell>
          <cell r="D70">
            <v>78.17</v>
          </cell>
          <cell r="E70" t="e">
            <v>#N/A</v>
          </cell>
          <cell r="F70" t="e">
            <v>#N/A</v>
          </cell>
          <cell r="G70" t="e">
            <v>#N/A</v>
          </cell>
          <cell r="H70" t="e">
            <v>#N/A</v>
          </cell>
          <cell r="I70" t="e">
            <v>#N/A</v>
          </cell>
          <cell r="J70" t="e">
            <v>#N/A</v>
          </cell>
          <cell r="K70" t="e">
            <v>#N/A</v>
          </cell>
          <cell r="L70" t="e">
            <v>#N/A</v>
          </cell>
          <cell r="M70" t="e">
            <v>#N/A</v>
          </cell>
          <cell r="N70" t="e">
            <v>#N/A</v>
          </cell>
          <cell r="O70" t="e">
            <v>#N/A</v>
          </cell>
          <cell r="P70">
            <v>78.17</v>
          </cell>
          <cell r="Q70">
            <v>1.6291</v>
          </cell>
          <cell r="R70" t="e">
            <v>#N/A</v>
          </cell>
          <cell r="AI70" t="str">
            <v>GBp British Pence</v>
          </cell>
          <cell r="AJ70" t="str">
            <v>p</v>
          </cell>
          <cell r="AK70" t="str">
            <v>GBp</v>
          </cell>
          <cell r="AL70" t="str">
            <v>GBX</v>
          </cell>
          <cell r="AM70">
            <v>1</v>
          </cell>
          <cell r="AN70">
            <v>0</v>
          </cell>
        </row>
        <row r="71">
          <cell r="A71">
            <v>39317</v>
          </cell>
          <cell r="B71">
            <v>39317</v>
          </cell>
          <cell r="C71" t="str">
            <v>Past</v>
          </cell>
          <cell r="D71">
            <v>77.67</v>
          </cell>
          <cell r="E71" t="e">
            <v>#N/A</v>
          </cell>
          <cell r="F71" t="e">
            <v>#N/A</v>
          </cell>
          <cell r="G71" t="e">
            <v>#N/A</v>
          </cell>
          <cell r="H71" t="e">
            <v>#N/A</v>
          </cell>
          <cell r="I71" t="e">
            <v>#N/A</v>
          </cell>
          <cell r="J71" t="e">
            <v>#N/A</v>
          </cell>
          <cell r="K71" t="e">
            <v>#N/A</v>
          </cell>
          <cell r="L71" t="e">
            <v>#N/A</v>
          </cell>
          <cell r="M71" t="e">
            <v>#N/A</v>
          </cell>
          <cell r="N71" t="e">
            <v>#N/A</v>
          </cell>
          <cell r="O71" t="e">
            <v>#N/A</v>
          </cell>
          <cell r="P71">
            <v>77.67</v>
          </cell>
          <cell r="Q71">
            <v>0.91570000000000007</v>
          </cell>
          <cell r="R71" t="e">
            <v>#N/A</v>
          </cell>
          <cell r="AI71" t="str">
            <v>GBP British Pound</v>
          </cell>
          <cell r="AJ71" t="str">
            <v>₤</v>
          </cell>
          <cell r="AK71" t="str">
            <v>GBP</v>
          </cell>
          <cell r="AL71" t="str">
            <v>GBP</v>
          </cell>
          <cell r="AM71">
            <v>0</v>
          </cell>
          <cell r="AN71">
            <v>2</v>
          </cell>
        </row>
        <row r="72">
          <cell r="A72">
            <v>39318</v>
          </cell>
          <cell r="B72">
            <v>39318</v>
          </cell>
          <cell r="C72" t="str">
            <v>Past</v>
          </cell>
          <cell r="D72">
            <v>79.2</v>
          </cell>
          <cell r="E72" t="e">
            <v>#N/A</v>
          </cell>
          <cell r="F72" t="e">
            <v>#N/A</v>
          </cell>
          <cell r="G72" t="e">
            <v>#N/A</v>
          </cell>
          <cell r="H72" t="e">
            <v>#N/A</v>
          </cell>
          <cell r="I72" t="e">
            <v>#N/A</v>
          </cell>
          <cell r="J72" t="e">
            <v>#N/A</v>
          </cell>
          <cell r="K72" t="e">
            <v>#N/A</v>
          </cell>
          <cell r="L72" t="e">
            <v>#N/A</v>
          </cell>
          <cell r="M72" t="e">
            <v>#N/A</v>
          </cell>
          <cell r="N72" t="e">
            <v>#N/A</v>
          </cell>
          <cell r="O72" t="e">
            <v>#N/A</v>
          </cell>
          <cell r="P72">
            <v>79.2</v>
          </cell>
          <cell r="Q72">
            <v>1.0653000000000001</v>
          </cell>
          <cell r="R72" t="e">
            <v>#N/A</v>
          </cell>
          <cell r="AI72" t="str">
            <v>HKD Hong Kong Dollar</v>
          </cell>
          <cell r="AJ72" t="str">
            <v>HK$</v>
          </cell>
          <cell r="AK72" t="str">
            <v>HKD</v>
          </cell>
          <cell r="AL72" t="str">
            <v>HKD</v>
          </cell>
          <cell r="AM72">
            <v>0</v>
          </cell>
          <cell r="AN72">
            <v>2</v>
          </cell>
        </row>
        <row r="73">
          <cell r="A73">
            <v>39321</v>
          </cell>
          <cell r="B73">
            <v>39321</v>
          </cell>
          <cell r="C73" t="str">
            <v>Past</v>
          </cell>
          <cell r="D73">
            <v>79.47</v>
          </cell>
          <cell r="E73" t="e">
            <v>#N/A</v>
          </cell>
          <cell r="F73" t="e">
            <v>#N/A</v>
          </cell>
          <cell r="G73" t="e">
            <v>#N/A</v>
          </cell>
          <cell r="H73" t="e">
            <v>#N/A</v>
          </cell>
          <cell r="I73" t="e">
            <v>#N/A</v>
          </cell>
          <cell r="J73" t="e">
            <v>#N/A</v>
          </cell>
          <cell r="K73" t="e">
            <v>#N/A</v>
          </cell>
          <cell r="L73" t="e">
            <v>#N/A</v>
          </cell>
          <cell r="M73" t="e">
            <v>#N/A</v>
          </cell>
          <cell r="N73" t="e">
            <v>#N/A</v>
          </cell>
          <cell r="O73" t="e">
            <v>#N/A</v>
          </cell>
          <cell r="P73">
            <v>79.47</v>
          </cell>
          <cell r="Q73">
            <v>0.91350000000000009</v>
          </cell>
          <cell r="R73" t="e">
            <v>#N/A</v>
          </cell>
          <cell r="AI73" t="str">
            <v>HUF Hungarian forint</v>
          </cell>
          <cell r="AJ73" t="str">
            <v>Ft</v>
          </cell>
          <cell r="AK73" t="str">
            <v>HUF</v>
          </cell>
          <cell r="AL73" t="str">
            <v>HUF</v>
          </cell>
          <cell r="AM73">
            <v>0</v>
          </cell>
          <cell r="AN73">
            <v>2</v>
          </cell>
        </row>
        <row r="74">
          <cell r="A74">
            <v>39322</v>
          </cell>
          <cell r="B74">
            <v>39322</v>
          </cell>
          <cell r="C74" t="str">
            <v>Past</v>
          </cell>
          <cell r="D74">
            <v>76.349999999999994</v>
          </cell>
          <cell r="E74" t="e">
            <v>#N/A</v>
          </cell>
          <cell r="F74" t="e">
            <v>#N/A</v>
          </cell>
          <cell r="G74" t="e">
            <v>#N/A</v>
          </cell>
          <cell r="H74" t="e">
            <v>#N/A</v>
          </cell>
          <cell r="I74" t="e">
            <v>#N/A</v>
          </cell>
          <cell r="J74" t="e">
            <v>#N/A</v>
          </cell>
          <cell r="K74" t="e">
            <v>#N/A</v>
          </cell>
          <cell r="L74" t="e">
            <v>#N/A</v>
          </cell>
          <cell r="M74" t="e">
            <v>#N/A</v>
          </cell>
          <cell r="N74" t="e">
            <v>#N/A</v>
          </cell>
          <cell r="O74" t="e">
            <v>#N/A</v>
          </cell>
          <cell r="P74">
            <v>76.349999999999994</v>
          </cell>
          <cell r="Q74">
            <v>1.9054</v>
          </cell>
          <cell r="R74" t="e">
            <v>#N/A</v>
          </cell>
          <cell r="AI74" t="str">
            <v>IDR Indonesian Rupiah</v>
          </cell>
          <cell r="AJ74" t="str">
            <v>Rp</v>
          </cell>
          <cell r="AK74" t="str">
            <v>IDR</v>
          </cell>
          <cell r="AL74" t="str">
            <v>IDR</v>
          </cell>
          <cell r="AM74">
            <v>0</v>
          </cell>
          <cell r="AN74">
            <v>0</v>
          </cell>
        </row>
        <row r="75">
          <cell r="A75">
            <v>39323</v>
          </cell>
          <cell r="B75">
            <v>39323</v>
          </cell>
          <cell r="C75" t="str">
            <v>Past</v>
          </cell>
          <cell r="D75">
            <v>78.25</v>
          </cell>
          <cell r="E75" t="e">
            <v>#N/A</v>
          </cell>
          <cell r="F75" t="e">
            <v>#N/A</v>
          </cell>
          <cell r="G75" t="e">
            <v>#N/A</v>
          </cell>
          <cell r="H75" t="e">
            <v>#N/A</v>
          </cell>
          <cell r="I75" t="e">
            <v>#N/A</v>
          </cell>
          <cell r="J75" t="e">
            <v>#N/A</v>
          </cell>
          <cell r="K75" t="e">
            <v>#N/A</v>
          </cell>
          <cell r="L75" t="e">
            <v>#N/A</v>
          </cell>
          <cell r="M75" t="e">
            <v>#N/A</v>
          </cell>
          <cell r="N75" t="e">
            <v>#N/A</v>
          </cell>
          <cell r="O75" t="e">
            <v>#N/A</v>
          </cell>
          <cell r="P75">
            <v>78.25</v>
          </cell>
          <cell r="Q75">
            <v>1.3755000000000002</v>
          </cell>
          <cell r="R75" t="e">
            <v>#N/A</v>
          </cell>
          <cell r="AI75" t="str">
            <v>ILS Israeli shekel</v>
          </cell>
          <cell r="AJ75" t="str">
            <v>ILS</v>
          </cell>
          <cell r="AK75" t="str">
            <v>ILS</v>
          </cell>
          <cell r="AL75" t="str">
            <v>ILS</v>
          </cell>
          <cell r="AM75">
            <v>0</v>
          </cell>
          <cell r="AN75">
            <v>2</v>
          </cell>
        </row>
        <row r="76">
          <cell r="A76">
            <v>39324</v>
          </cell>
          <cell r="B76">
            <v>39324</v>
          </cell>
          <cell r="C76" t="str">
            <v>Past</v>
          </cell>
          <cell r="D76">
            <v>78.09</v>
          </cell>
          <cell r="E76" t="e">
            <v>#N/A</v>
          </cell>
          <cell r="F76" t="e">
            <v>#N/A</v>
          </cell>
          <cell r="G76" t="e">
            <v>#N/A</v>
          </cell>
          <cell r="H76" t="e">
            <v>#N/A</v>
          </cell>
          <cell r="I76" t="e">
            <v>#N/A</v>
          </cell>
          <cell r="J76" t="e">
            <v>#N/A</v>
          </cell>
          <cell r="K76" t="e">
            <v>#N/A</v>
          </cell>
          <cell r="L76" t="e">
            <v>#N/A</v>
          </cell>
          <cell r="M76" t="e">
            <v>#N/A</v>
          </cell>
          <cell r="N76" t="e">
            <v>#N/A</v>
          </cell>
          <cell r="O76" t="e">
            <v>#N/A</v>
          </cell>
          <cell r="P76">
            <v>78.09</v>
          </cell>
          <cell r="Q76">
            <v>1.0107000000000002</v>
          </cell>
          <cell r="R76" t="e">
            <v>#N/A</v>
          </cell>
          <cell r="AI76" t="str">
            <v>INR Indian Rupee</v>
          </cell>
          <cell r="AJ76" t="str">
            <v>Rs.</v>
          </cell>
          <cell r="AK76" t="str">
            <v>INR</v>
          </cell>
          <cell r="AL76" t="str">
            <v>INR</v>
          </cell>
          <cell r="AM76">
            <v>0</v>
          </cell>
          <cell r="AN76">
            <v>2</v>
          </cell>
        </row>
        <row r="77">
          <cell r="A77">
            <v>39325</v>
          </cell>
          <cell r="B77">
            <v>39325</v>
          </cell>
          <cell r="C77" t="str">
            <v>Past</v>
          </cell>
          <cell r="D77">
            <v>78.56</v>
          </cell>
          <cell r="E77" t="e">
            <v>#N/A</v>
          </cell>
          <cell r="F77" t="e">
            <v>#N/A</v>
          </cell>
          <cell r="G77" t="e">
            <v>#N/A</v>
          </cell>
          <cell r="H77" t="e">
            <v>#N/A</v>
          </cell>
          <cell r="I77" t="e">
            <v>#N/A</v>
          </cell>
          <cell r="J77" t="e">
            <v>#N/A</v>
          </cell>
          <cell r="K77" t="e">
            <v>#N/A</v>
          </cell>
          <cell r="L77" t="e">
            <v>#N/A</v>
          </cell>
          <cell r="M77" t="e">
            <v>#N/A</v>
          </cell>
          <cell r="N77" t="e">
            <v>#N/A</v>
          </cell>
          <cell r="O77" t="e">
            <v>#N/A</v>
          </cell>
          <cell r="P77">
            <v>78.56</v>
          </cell>
          <cell r="Q77">
            <v>1.2863</v>
          </cell>
          <cell r="R77" t="e">
            <v>#N/A</v>
          </cell>
          <cell r="AI77" t="str">
            <v>IQD Iraqi Dinar</v>
          </cell>
          <cell r="AJ77" t="str">
            <v>IQD</v>
          </cell>
          <cell r="AK77" t="str">
            <v>IQD</v>
          </cell>
          <cell r="AL77" t="str">
            <v>IQD</v>
          </cell>
          <cell r="AM77">
            <v>0</v>
          </cell>
          <cell r="AN77">
            <v>2</v>
          </cell>
        </row>
        <row r="78">
          <cell r="A78">
            <v>39329</v>
          </cell>
          <cell r="B78">
            <v>39329</v>
          </cell>
          <cell r="C78" t="str">
            <v>Past</v>
          </cell>
          <cell r="D78">
            <v>79.31</v>
          </cell>
          <cell r="E78" t="e">
            <v>#N/A</v>
          </cell>
          <cell r="F78" t="e">
            <v>#N/A</v>
          </cell>
          <cell r="G78" t="e">
            <v>#N/A</v>
          </cell>
          <cell r="H78" t="e">
            <v>#N/A</v>
          </cell>
          <cell r="I78" t="e">
            <v>#N/A</v>
          </cell>
          <cell r="J78" t="e">
            <v>#N/A</v>
          </cell>
          <cell r="K78" t="e">
            <v>#N/A</v>
          </cell>
          <cell r="L78" t="e">
            <v>#N/A</v>
          </cell>
          <cell r="M78" t="e">
            <v>#N/A</v>
          </cell>
          <cell r="N78" t="e">
            <v>#N/A</v>
          </cell>
          <cell r="O78" t="e">
            <v>#N/A</v>
          </cell>
          <cell r="P78">
            <v>79.31</v>
          </cell>
          <cell r="Q78">
            <v>1.0802</v>
          </cell>
          <cell r="R78" t="e">
            <v>#N/A</v>
          </cell>
          <cell r="AI78" t="str">
            <v>IRR Iranian Rial</v>
          </cell>
          <cell r="AJ78" t="str">
            <v>IRR</v>
          </cell>
          <cell r="AK78" t="str">
            <v>IRR</v>
          </cell>
          <cell r="AL78" t="str">
            <v>IRR</v>
          </cell>
          <cell r="AM78">
            <v>0</v>
          </cell>
          <cell r="AN78">
            <v>2</v>
          </cell>
        </row>
        <row r="79">
          <cell r="A79">
            <v>39330</v>
          </cell>
          <cell r="B79">
            <v>39330</v>
          </cell>
          <cell r="C79" t="str">
            <v>Past</v>
          </cell>
          <cell r="D79">
            <v>77.87</v>
          </cell>
          <cell r="E79" t="e">
            <v>#N/A</v>
          </cell>
          <cell r="F79" t="e">
            <v>#N/A</v>
          </cell>
          <cell r="G79" t="e">
            <v>#N/A</v>
          </cell>
          <cell r="H79" t="e">
            <v>#N/A</v>
          </cell>
          <cell r="I79" t="e">
            <v>#N/A</v>
          </cell>
          <cell r="J79" t="e">
            <v>#N/A</v>
          </cell>
          <cell r="K79" t="e">
            <v>#N/A</v>
          </cell>
          <cell r="L79" t="e">
            <v>#N/A</v>
          </cell>
          <cell r="M79" t="e">
            <v>#N/A</v>
          </cell>
          <cell r="N79" t="e">
            <v>#N/A</v>
          </cell>
          <cell r="O79" t="e">
            <v>#N/A</v>
          </cell>
          <cell r="P79">
            <v>77.87</v>
          </cell>
          <cell r="Q79">
            <v>1.0878000000000001</v>
          </cell>
          <cell r="R79" t="e">
            <v>#N/A</v>
          </cell>
          <cell r="AI79" t="str">
            <v>ISK Iceland Krona</v>
          </cell>
          <cell r="AJ79" t="str">
            <v>kr</v>
          </cell>
          <cell r="AK79" t="str">
            <v>ISK</v>
          </cell>
          <cell r="AL79" t="str">
            <v>ISK</v>
          </cell>
          <cell r="AM79">
            <v>0</v>
          </cell>
          <cell r="AN79">
            <v>2</v>
          </cell>
        </row>
        <row r="80">
          <cell r="A80">
            <v>39331</v>
          </cell>
          <cell r="B80">
            <v>39331</v>
          </cell>
          <cell r="C80" t="str">
            <v>Past</v>
          </cell>
          <cell r="D80">
            <v>78.849999999999994</v>
          </cell>
          <cell r="E80" t="e">
            <v>#N/A</v>
          </cell>
          <cell r="F80" t="e">
            <v>#N/A</v>
          </cell>
          <cell r="G80" t="e">
            <v>#N/A</v>
          </cell>
          <cell r="H80" t="e">
            <v>#N/A</v>
          </cell>
          <cell r="I80" t="e">
            <v>#N/A</v>
          </cell>
          <cell r="J80" t="e">
            <v>#N/A</v>
          </cell>
          <cell r="K80" t="e">
            <v>#N/A</v>
          </cell>
          <cell r="L80" t="e">
            <v>#N/A</v>
          </cell>
          <cell r="M80" t="e">
            <v>#N/A</v>
          </cell>
          <cell r="N80" t="e">
            <v>#N/A</v>
          </cell>
          <cell r="O80" t="e">
            <v>#N/A</v>
          </cell>
          <cell r="P80">
            <v>78.849999999999994</v>
          </cell>
          <cell r="Q80">
            <v>0.8821</v>
          </cell>
          <cell r="R80" t="e">
            <v>#N/A</v>
          </cell>
          <cell r="AI80" t="str">
            <v>JMD Jamaican Dollars</v>
          </cell>
          <cell r="AJ80" t="str">
            <v>JMD</v>
          </cell>
          <cell r="AK80" t="str">
            <v>JMD</v>
          </cell>
          <cell r="AL80" t="str">
            <v>JMD</v>
          </cell>
          <cell r="AM80">
            <v>0</v>
          </cell>
          <cell r="AN80">
            <v>2</v>
          </cell>
        </row>
        <row r="81">
          <cell r="A81">
            <v>39332</v>
          </cell>
          <cell r="B81">
            <v>39332</v>
          </cell>
          <cell r="C81" t="str">
            <v>Past</v>
          </cell>
          <cell r="D81">
            <v>78.14</v>
          </cell>
          <cell r="E81" t="e">
            <v>#N/A</v>
          </cell>
          <cell r="F81" t="e">
            <v>#N/A</v>
          </cell>
          <cell r="G81" t="e">
            <v>#N/A</v>
          </cell>
          <cell r="H81" t="e">
            <v>#N/A</v>
          </cell>
          <cell r="I81" t="e">
            <v>#N/A</v>
          </cell>
          <cell r="J81" t="e">
            <v>#N/A</v>
          </cell>
          <cell r="K81" t="e">
            <v>#N/A</v>
          </cell>
          <cell r="L81" t="e">
            <v>#N/A</v>
          </cell>
          <cell r="M81" t="e">
            <v>#N/A</v>
          </cell>
          <cell r="N81" t="e">
            <v>#N/A</v>
          </cell>
          <cell r="O81" t="e">
            <v>#N/A</v>
          </cell>
          <cell r="P81">
            <v>78.14</v>
          </cell>
          <cell r="Q81">
            <v>1.6656</v>
          </cell>
          <cell r="R81" t="e">
            <v>#N/A</v>
          </cell>
          <cell r="AI81" t="str">
            <v>JPY Japanese Yen</v>
          </cell>
          <cell r="AJ81" t="str">
            <v>¥</v>
          </cell>
          <cell r="AK81" t="str">
            <v>JPY</v>
          </cell>
          <cell r="AL81" t="str">
            <v>JPY</v>
          </cell>
          <cell r="AM81">
            <v>0</v>
          </cell>
          <cell r="AN81">
            <v>0</v>
          </cell>
        </row>
        <row r="82">
          <cell r="A82">
            <v>39335</v>
          </cell>
          <cell r="B82">
            <v>39335</v>
          </cell>
          <cell r="C82" t="str">
            <v>Past</v>
          </cell>
          <cell r="D82">
            <v>78.7</v>
          </cell>
          <cell r="E82" t="e">
            <v>#N/A</v>
          </cell>
          <cell r="F82" t="e">
            <v>#N/A</v>
          </cell>
          <cell r="G82" t="e">
            <v>#N/A</v>
          </cell>
          <cell r="H82" t="e">
            <v>#N/A</v>
          </cell>
          <cell r="I82" t="e">
            <v>#N/A</v>
          </cell>
          <cell r="J82" t="e">
            <v>#N/A</v>
          </cell>
          <cell r="K82" t="e">
            <v>#N/A</v>
          </cell>
          <cell r="L82" t="e">
            <v>#N/A</v>
          </cell>
          <cell r="M82" t="e">
            <v>#N/A</v>
          </cell>
          <cell r="N82" t="e">
            <v>#N/A</v>
          </cell>
          <cell r="O82" t="e">
            <v>#N/A</v>
          </cell>
          <cell r="P82">
            <v>78.7</v>
          </cell>
          <cell r="Q82">
            <v>1.1529</v>
          </cell>
          <cell r="R82" t="e">
            <v>#N/A</v>
          </cell>
          <cell r="AI82" t="str">
            <v>KES Kenyan Shilling</v>
          </cell>
          <cell r="AJ82" t="str">
            <v>KES</v>
          </cell>
          <cell r="AK82" t="str">
            <v>KES</v>
          </cell>
          <cell r="AL82" t="str">
            <v>KES</v>
          </cell>
          <cell r="AM82">
            <v>0</v>
          </cell>
          <cell r="AN82">
            <v>0</v>
          </cell>
        </row>
        <row r="83">
          <cell r="A83">
            <v>39336</v>
          </cell>
          <cell r="B83">
            <v>39336</v>
          </cell>
          <cell r="C83" t="str">
            <v>Past</v>
          </cell>
          <cell r="D83">
            <v>79.53</v>
          </cell>
          <cell r="E83" t="e">
            <v>#N/A</v>
          </cell>
          <cell r="F83" t="e">
            <v>#N/A</v>
          </cell>
          <cell r="G83" t="e">
            <v>#N/A</v>
          </cell>
          <cell r="H83" t="e">
            <v>#N/A</v>
          </cell>
          <cell r="I83" t="e">
            <v>#N/A</v>
          </cell>
          <cell r="J83" t="e">
            <v>#N/A</v>
          </cell>
          <cell r="K83" t="e">
            <v>#N/A</v>
          </cell>
          <cell r="L83" t="e">
            <v>#N/A</v>
          </cell>
          <cell r="M83" t="e">
            <v>#N/A</v>
          </cell>
          <cell r="N83" t="e">
            <v>#N/A</v>
          </cell>
          <cell r="O83" t="e">
            <v>#N/A</v>
          </cell>
          <cell r="P83">
            <v>79.53</v>
          </cell>
          <cell r="Q83">
            <v>1.468</v>
          </cell>
          <cell r="R83" t="e">
            <v>#N/A</v>
          </cell>
          <cell r="AI83" t="str">
            <v>KRW South Korean Won</v>
          </cell>
          <cell r="AJ83" t="str">
            <v>₩</v>
          </cell>
          <cell r="AK83" t="str">
            <v>KRW</v>
          </cell>
          <cell r="AL83" t="str">
            <v>KRW</v>
          </cell>
          <cell r="AM83">
            <v>0</v>
          </cell>
          <cell r="AN83">
            <v>0</v>
          </cell>
        </row>
        <row r="84">
          <cell r="A84">
            <v>39337</v>
          </cell>
          <cell r="B84">
            <v>39337</v>
          </cell>
          <cell r="C84" t="str">
            <v>Past</v>
          </cell>
          <cell r="D84">
            <v>80.08</v>
          </cell>
          <cell r="E84" t="e">
            <v>#N/A</v>
          </cell>
          <cell r="F84" t="e">
            <v>#N/A</v>
          </cell>
          <cell r="G84" t="e">
            <v>#N/A</v>
          </cell>
          <cell r="H84" t="e">
            <v>#N/A</v>
          </cell>
          <cell r="I84" t="e">
            <v>#N/A</v>
          </cell>
          <cell r="J84" t="e">
            <v>#N/A</v>
          </cell>
          <cell r="K84" t="e">
            <v>#N/A</v>
          </cell>
          <cell r="L84" t="e">
            <v>#N/A</v>
          </cell>
          <cell r="M84" t="e">
            <v>#N/A</v>
          </cell>
          <cell r="N84" t="e">
            <v>#N/A</v>
          </cell>
          <cell r="O84" t="e">
            <v>#N/A</v>
          </cell>
          <cell r="P84">
            <v>80.08</v>
          </cell>
          <cell r="Q84">
            <v>1.4951000000000001</v>
          </cell>
          <cell r="R84" t="e">
            <v>#N/A</v>
          </cell>
          <cell r="AI84" t="str">
            <v>KWD Kuwaiti Dinar</v>
          </cell>
          <cell r="AJ84" t="str">
            <v>KWD</v>
          </cell>
          <cell r="AK84" t="str">
            <v>KWD</v>
          </cell>
          <cell r="AL84" t="str">
            <v>KWD</v>
          </cell>
          <cell r="AM84">
            <v>0</v>
          </cell>
          <cell r="AN84">
            <v>2</v>
          </cell>
        </row>
        <row r="85">
          <cell r="A85">
            <v>39338</v>
          </cell>
          <cell r="B85">
            <v>39338</v>
          </cell>
          <cell r="C85" t="str">
            <v>Past</v>
          </cell>
          <cell r="D85">
            <v>80.86</v>
          </cell>
          <cell r="E85" t="e">
            <v>#N/A</v>
          </cell>
          <cell r="F85" t="e">
            <v>#N/A</v>
          </cell>
          <cell r="G85" t="e">
            <v>#N/A</v>
          </cell>
          <cell r="H85" t="e">
            <v>#N/A</v>
          </cell>
          <cell r="I85" t="e">
            <v>#N/A</v>
          </cell>
          <cell r="J85" t="e">
            <v>#N/A</v>
          </cell>
          <cell r="K85" t="e">
            <v>#N/A</v>
          </cell>
          <cell r="L85" t="e">
            <v>#N/A</v>
          </cell>
          <cell r="M85" t="e">
            <v>#N/A</v>
          </cell>
          <cell r="N85" t="e">
            <v>#N/A</v>
          </cell>
          <cell r="O85" t="e">
            <v>#N/A</v>
          </cell>
          <cell r="P85">
            <v>80.86</v>
          </cell>
          <cell r="Q85">
            <v>1.3408</v>
          </cell>
          <cell r="R85" t="e">
            <v>#N/A</v>
          </cell>
          <cell r="AI85" t="str">
            <v>KYD Cayman Dollars</v>
          </cell>
          <cell r="AJ85" t="str">
            <v>KYD</v>
          </cell>
          <cell r="AK85" t="str">
            <v>KYD</v>
          </cell>
          <cell r="AL85" t="str">
            <v>KYD</v>
          </cell>
          <cell r="AM85">
            <v>0</v>
          </cell>
          <cell r="AN85">
            <v>2</v>
          </cell>
        </row>
        <row r="86">
          <cell r="A86">
            <v>39339</v>
          </cell>
          <cell r="B86">
            <v>39339</v>
          </cell>
          <cell r="C86" t="str">
            <v>Past</v>
          </cell>
          <cell r="D86">
            <v>81.12</v>
          </cell>
          <cell r="E86" t="e">
            <v>#N/A</v>
          </cell>
          <cell r="F86" t="e">
            <v>#N/A</v>
          </cell>
          <cell r="G86" t="e">
            <v>#N/A</v>
          </cell>
          <cell r="H86" t="e">
            <v>#N/A</v>
          </cell>
          <cell r="I86" t="e">
            <v>#N/A</v>
          </cell>
          <cell r="J86" t="e">
            <v>#N/A</v>
          </cell>
          <cell r="K86" t="e">
            <v>#N/A</v>
          </cell>
          <cell r="L86" t="e">
            <v>#N/A</v>
          </cell>
          <cell r="M86" t="e">
            <v>#N/A</v>
          </cell>
          <cell r="N86" t="e">
            <v>#N/A</v>
          </cell>
          <cell r="O86" t="e">
            <v>#N/A</v>
          </cell>
          <cell r="P86">
            <v>81.12</v>
          </cell>
          <cell r="Q86">
            <v>2.1549</v>
          </cell>
          <cell r="R86" t="e">
            <v>#N/A</v>
          </cell>
          <cell r="AI86" t="str">
            <v>LKR Sri Lankan Rupee</v>
          </cell>
          <cell r="AJ86" t="str">
            <v>LKR</v>
          </cell>
          <cell r="AK86" t="str">
            <v>LKR</v>
          </cell>
          <cell r="AL86" t="str">
            <v>LKR</v>
          </cell>
          <cell r="AM86">
            <v>0</v>
          </cell>
          <cell r="AN86">
            <v>2</v>
          </cell>
        </row>
        <row r="87">
          <cell r="A87">
            <v>39342</v>
          </cell>
          <cell r="B87">
            <v>39342</v>
          </cell>
          <cell r="C87" t="str">
            <v>Past</v>
          </cell>
          <cell r="D87">
            <v>80.48</v>
          </cell>
          <cell r="E87" t="e">
            <v>#N/A</v>
          </cell>
          <cell r="F87" t="e">
            <v>#N/A</v>
          </cell>
          <cell r="G87" t="e">
            <v>#N/A</v>
          </cell>
          <cell r="H87" t="e">
            <v>#N/A</v>
          </cell>
          <cell r="I87" t="e">
            <v>#N/A</v>
          </cell>
          <cell r="J87" t="e">
            <v>#N/A</v>
          </cell>
          <cell r="K87" t="e">
            <v>#N/A</v>
          </cell>
          <cell r="L87" t="e">
            <v>#N/A</v>
          </cell>
          <cell r="M87" t="e">
            <v>#N/A</v>
          </cell>
          <cell r="N87" t="e">
            <v>#N/A</v>
          </cell>
          <cell r="O87" t="e">
            <v>#N/A</v>
          </cell>
          <cell r="P87">
            <v>80.48</v>
          </cell>
          <cell r="Q87">
            <v>1.0259</v>
          </cell>
          <cell r="R87" t="e">
            <v>#N/A</v>
          </cell>
          <cell r="AI87" t="str">
            <v>MAD Moroccan Dirham</v>
          </cell>
          <cell r="AJ87" t="str">
            <v>MAD</v>
          </cell>
          <cell r="AK87" t="str">
            <v>MAD</v>
          </cell>
          <cell r="AL87" t="str">
            <v>MAD</v>
          </cell>
          <cell r="AM87">
            <v>0</v>
          </cell>
          <cell r="AN87">
            <v>2</v>
          </cell>
        </row>
        <row r="88">
          <cell r="A88">
            <v>39343</v>
          </cell>
          <cell r="B88">
            <v>39343</v>
          </cell>
          <cell r="C88" t="str">
            <v>Past</v>
          </cell>
          <cell r="D88">
            <v>81.89</v>
          </cell>
          <cell r="E88" t="e">
            <v>#N/A</v>
          </cell>
          <cell r="F88" t="e">
            <v>#N/A</v>
          </cell>
          <cell r="G88" t="e">
            <v>#N/A</v>
          </cell>
          <cell r="H88" t="e">
            <v>#N/A</v>
          </cell>
          <cell r="I88" t="e">
            <v>#N/A</v>
          </cell>
          <cell r="J88" t="e">
            <v>#N/A</v>
          </cell>
          <cell r="K88" t="e">
            <v>#N/A</v>
          </cell>
          <cell r="L88" t="e">
            <v>#N/A</v>
          </cell>
          <cell r="M88" t="e">
            <v>#N/A</v>
          </cell>
          <cell r="N88" t="e">
            <v>#N/A</v>
          </cell>
          <cell r="O88" t="e">
            <v>#N/A</v>
          </cell>
          <cell r="P88">
            <v>81.89</v>
          </cell>
          <cell r="Q88">
            <v>1.4018000000000002</v>
          </cell>
          <cell r="R88" t="e">
            <v>#N/A</v>
          </cell>
          <cell r="AI88" t="str">
            <v>MXN Mexican Pesos (new)</v>
          </cell>
          <cell r="AJ88" t="str">
            <v>M$</v>
          </cell>
          <cell r="AK88" t="str">
            <v>MXN</v>
          </cell>
          <cell r="AL88" t="str">
            <v>MXN</v>
          </cell>
          <cell r="AM88">
            <v>0</v>
          </cell>
          <cell r="AN88">
            <v>2</v>
          </cell>
        </row>
        <row r="89">
          <cell r="A89">
            <v>39344</v>
          </cell>
          <cell r="B89">
            <v>39344</v>
          </cell>
          <cell r="C89" t="str">
            <v>Past</v>
          </cell>
          <cell r="D89">
            <v>83</v>
          </cell>
          <cell r="E89" t="e">
            <v>#N/A</v>
          </cell>
          <cell r="F89" t="e">
            <v>#N/A</v>
          </cell>
          <cell r="G89" t="e">
            <v>#N/A</v>
          </cell>
          <cell r="H89" t="e">
            <v>#N/A</v>
          </cell>
          <cell r="I89" t="e">
            <v>#N/A</v>
          </cell>
          <cell r="J89" t="e">
            <v>#N/A</v>
          </cell>
          <cell r="K89" t="e">
            <v>#N/A</v>
          </cell>
          <cell r="L89" t="e">
            <v>#N/A</v>
          </cell>
          <cell r="M89" t="e">
            <v>#N/A</v>
          </cell>
          <cell r="N89" t="e">
            <v>#N/A</v>
          </cell>
          <cell r="O89" t="e">
            <v>#N/A</v>
          </cell>
          <cell r="P89">
            <v>83</v>
          </cell>
          <cell r="Q89">
            <v>1.4385000000000001</v>
          </cell>
          <cell r="R89" t="e">
            <v>#N/A</v>
          </cell>
          <cell r="AI89" t="str">
            <v>MYR Malaysian Ringgit</v>
          </cell>
          <cell r="AJ89" t="str">
            <v>RM</v>
          </cell>
          <cell r="AK89" t="str">
            <v>MYR</v>
          </cell>
          <cell r="AL89" t="str">
            <v>MYR</v>
          </cell>
          <cell r="AM89">
            <v>0</v>
          </cell>
          <cell r="AN89">
            <v>2</v>
          </cell>
        </row>
        <row r="90">
          <cell r="A90">
            <v>39345</v>
          </cell>
          <cell r="B90">
            <v>39345</v>
          </cell>
          <cell r="C90" t="str">
            <v>Past</v>
          </cell>
          <cell r="D90">
            <v>83.22</v>
          </cell>
          <cell r="E90" t="e">
            <v>#N/A</v>
          </cell>
          <cell r="F90" t="e">
            <v>#N/A</v>
          </cell>
          <cell r="G90" t="e">
            <v>#N/A</v>
          </cell>
          <cell r="H90" t="e">
            <v>#N/A</v>
          </cell>
          <cell r="I90" t="e">
            <v>#N/A</v>
          </cell>
          <cell r="J90" t="e">
            <v>#N/A</v>
          </cell>
          <cell r="K90" t="e">
            <v>#N/A</v>
          </cell>
          <cell r="L90" t="e">
            <v>#N/A</v>
          </cell>
          <cell r="M90" t="e">
            <v>#N/A</v>
          </cell>
          <cell r="N90" t="e">
            <v>#N/A</v>
          </cell>
          <cell r="O90" t="e">
            <v>#N/A</v>
          </cell>
          <cell r="P90">
            <v>83.22</v>
          </cell>
          <cell r="Q90">
            <v>1.1611</v>
          </cell>
          <cell r="R90" t="e">
            <v>#N/A</v>
          </cell>
          <cell r="AI90" t="str">
            <v>NOK Norwegian Krone</v>
          </cell>
          <cell r="AJ90" t="str">
            <v>NKr</v>
          </cell>
          <cell r="AK90" t="str">
            <v>NOK</v>
          </cell>
          <cell r="AL90" t="str">
            <v>NOK</v>
          </cell>
          <cell r="AM90">
            <v>0</v>
          </cell>
          <cell r="AN90">
            <v>2</v>
          </cell>
        </row>
        <row r="91">
          <cell r="A91">
            <v>39346</v>
          </cell>
          <cell r="B91">
            <v>39346</v>
          </cell>
          <cell r="C91" t="str">
            <v>Past</v>
          </cell>
          <cell r="D91">
            <v>82.96</v>
          </cell>
          <cell r="E91" t="e">
            <v>#N/A</v>
          </cell>
          <cell r="F91" t="e">
            <v>#N/A</v>
          </cell>
          <cell r="G91" t="e">
            <v>#N/A</v>
          </cell>
          <cell r="H91" t="e">
            <v>#N/A</v>
          </cell>
          <cell r="I91" t="e">
            <v>#N/A</v>
          </cell>
          <cell r="J91" t="e">
            <v>#N/A</v>
          </cell>
          <cell r="K91" t="e">
            <v>#N/A</v>
          </cell>
          <cell r="L91" t="e">
            <v>#N/A</v>
          </cell>
          <cell r="M91" t="e">
            <v>#N/A</v>
          </cell>
          <cell r="N91" t="e">
            <v>#N/A</v>
          </cell>
          <cell r="O91" t="e">
            <v>#N/A</v>
          </cell>
          <cell r="P91">
            <v>82.96</v>
          </cell>
          <cell r="Q91">
            <v>2.8659000000000003</v>
          </cell>
          <cell r="R91" t="e">
            <v>#N/A</v>
          </cell>
          <cell r="AI91" t="str">
            <v>NZD New Zealand Dollars</v>
          </cell>
          <cell r="AJ91" t="str">
            <v>NZ$</v>
          </cell>
          <cell r="AK91" t="str">
            <v>NZD</v>
          </cell>
          <cell r="AL91" t="str">
            <v>NZD</v>
          </cell>
          <cell r="AM91">
            <v>0</v>
          </cell>
          <cell r="AN91">
            <v>2</v>
          </cell>
        </row>
        <row r="92">
          <cell r="A92">
            <v>39349</v>
          </cell>
          <cell r="B92">
            <v>39349</v>
          </cell>
          <cell r="C92" t="str">
            <v>Past</v>
          </cell>
          <cell r="D92">
            <v>81.739999999999995</v>
          </cell>
          <cell r="E92" t="e">
            <v>#N/A</v>
          </cell>
          <cell r="F92" t="e">
            <v>#N/A</v>
          </cell>
          <cell r="G92" t="e">
            <v>#N/A</v>
          </cell>
          <cell r="H92" t="e">
            <v>#N/A</v>
          </cell>
          <cell r="I92" t="e">
            <v>#N/A</v>
          </cell>
          <cell r="J92" t="e">
            <v>#N/A</v>
          </cell>
          <cell r="K92" t="e">
            <v>#N/A</v>
          </cell>
          <cell r="L92" t="e">
            <v>#N/A</v>
          </cell>
          <cell r="M92" t="e">
            <v>#N/A</v>
          </cell>
          <cell r="N92" t="e">
            <v>#N/A</v>
          </cell>
          <cell r="O92" t="e">
            <v>#N/A</v>
          </cell>
          <cell r="P92">
            <v>81.739999999999995</v>
          </cell>
          <cell r="Q92">
            <v>1.5362</v>
          </cell>
          <cell r="R92" t="e">
            <v>#N/A</v>
          </cell>
          <cell r="AI92" t="str">
            <v>OMR Rial Omani</v>
          </cell>
          <cell r="AJ92" t="str">
            <v>OMR</v>
          </cell>
          <cell r="AK92" t="str">
            <v>OMR</v>
          </cell>
          <cell r="AL92" t="str">
            <v>OMR</v>
          </cell>
          <cell r="AM92">
            <v>0</v>
          </cell>
          <cell r="AN92">
            <v>2</v>
          </cell>
        </row>
        <row r="93">
          <cell r="A93">
            <v>39350</v>
          </cell>
          <cell r="B93">
            <v>39350</v>
          </cell>
          <cell r="C93" t="str">
            <v>Past</v>
          </cell>
          <cell r="D93">
            <v>84.3</v>
          </cell>
          <cell r="E93" t="e">
            <v>#N/A</v>
          </cell>
          <cell r="F93" t="e">
            <v>#N/A</v>
          </cell>
          <cell r="G93" t="e">
            <v>#N/A</v>
          </cell>
          <cell r="H93" t="e">
            <v>#N/A</v>
          </cell>
          <cell r="I93" t="e">
            <v>#N/A</v>
          </cell>
          <cell r="J93" t="e">
            <v>#N/A</v>
          </cell>
          <cell r="K93" t="e">
            <v>#N/A</v>
          </cell>
          <cell r="L93" t="e">
            <v>#N/A</v>
          </cell>
          <cell r="M93" t="e">
            <v>#N/A</v>
          </cell>
          <cell r="N93" t="e">
            <v>#N/A</v>
          </cell>
          <cell r="O93" t="e">
            <v>#N/A</v>
          </cell>
          <cell r="P93">
            <v>84.3</v>
          </cell>
          <cell r="Q93">
            <v>1.8545</v>
          </cell>
          <cell r="R93" t="e">
            <v>#N/A</v>
          </cell>
          <cell r="AI93" t="str">
            <v>PAB Panamanian Balboa</v>
          </cell>
          <cell r="AJ93" t="str">
            <v>PAB</v>
          </cell>
          <cell r="AK93" t="str">
            <v>PAB</v>
          </cell>
          <cell r="AL93" t="str">
            <v>PAB</v>
          </cell>
          <cell r="AM93">
            <v>0</v>
          </cell>
          <cell r="AN93">
            <v>2</v>
          </cell>
        </row>
        <row r="94">
          <cell r="A94">
            <v>39351</v>
          </cell>
          <cell r="B94">
            <v>39351</v>
          </cell>
          <cell r="C94" t="str">
            <v>Past</v>
          </cell>
          <cell r="D94">
            <v>84.37</v>
          </cell>
          <cell r="E94" t="e">
            <v>#N/A</v>
          </cell>
          <cell r="F94" t="e">
            <v>#N/A</v>
          </cell>
          <cell r="G94" t="e">
            <v>#N/A</v>
          </cell>
          <cell r="H94" t="e">
            <v>#N/A</v>
          </cell>
          <cell r="I94" t="e">
            <v>#N/A</v>
          </cell>
          <cell r="J94" t="e">
            <v>#N/A</v>
          </cell>
          <cell r="K94" t="e">
            <v>#N/A</v>
          </cell>
          <cell r="L94" t="e">
            <v>#N/A</v>
          </cell>
          <cell r="M94" t="e">
            <v>#N/A</v>
          </cell>
          <cell r="N94" t="e">
            <v>#N/A</v>
          </cell>
          <cell r="O94" t="e">
            <v>#N/A</v>
          </cell>
          <cell r="P94">
            <v>84.37</v>
          </cell>
          <cell r="Q94">
            <v>1.6174999999999999</v>
          </cell>
          <cell r="R94" t="e">
            <v>#N/A</v>
          </cell>
          <cell r="AI94" t="str">
            <v>PEN Peruvian PEN</v>
          </cell>
          <cell r="AJ94" t="str">
            <v>PEN</v>
          </cell>
          <cell r="AK94" t="str">
            <v>PEN</v>
          </cell>
          <cell r="AL94" t="str">
            <v>PEN</v>
          </cell>
          <cell r="AM94">
            <v>0</v>
          </cell>
          <cell r="AN94">
            <v>2</v>
          </cell>
        </row>
        <row r="95">
          <cell r="A95">
            <v>39352</v>
          </cell>
          <cell r="B95">
            <v>39352</v>
          </cell>
          <cell r="C95" t="str">
            <v>Past</v>
          </cell>
          <cell r="D95">
            <v>84.79</v>
          </cell>
          <cell r="E95" t="e">
            <v>#N/A</v>
          </cell>
          <cell r="F95" t="e">
            <v>#N/A</v>
          </cell>
          <cell r="G95" t="e">
            <v>#N/A</v>
          </cell>
          <cell r="H95" t="e">
            <v>#N/A</v>
          </cell>
          <cell r="I95" t="e">
            <v>#N/A</v>
          </cell>
          <cell r="J95" t="e">
            <v>#N/A</v>
          </cell>
          <cell r="K95" t="e">
            <v>#N/A</v>
          </cell>
          <cell r="L95" t="e">
            <v>#N/A</v>
          </cell>
          <cell r="M95" t="e">
            <v>#N/A</v>
          </cell>
          <cell r="N95" t="e">
            <v>#N/A</v>
          </cell>
          <cell r="O95" t="e">
            <v>#N/A</v>
          </cell>
          <cell r="P95">
            <v>84.79</v>
          </cell>
          <cell r="Q95">
            <v>1.0502</v>
          </cell>
          <cell r="R95" t="e">
            <v>#N/A</v>
          </cell>
          <cell r="AI95" t="str">
            <v>PHP Philippino Peso</v>
          </cell>
          <cell r="AJ95" t="str">
            <v>PP</v>
          </cell>
          <cell r="AK95" t="str">
            <v>PHP</v>
          </cell>
          <cell r="AL95" t="str">
            <v>PHP</v>
          </cell>
          <cell r="AM95">
            <v>0</v>
          </cell>
          <cell r="AN95">
            <v>2</v>
          </cell>
        </row>
        <row r="96">
          <cell r="A96">
            <v>39353</v>
          </cell>
          <cell r="B96">
            <v>39353</v>
          </cell>
          <cell r="C96" t="str">
            <v>Past</v>
          </cell>
          <cell r="D96">
            <v>84.47</v>
          </cell>
          <cell r="E96" t="e">
            <v>#N/A</v>
          </cell>
          <cell r="F96" t="e">
            <v>#N/A</v>
          </cell>
          <cell r="G96" t="e">
            <v>#N/A</v>
          </cell>
          <cell r="H96" t="e">
            <v>#N/A</v>
          </cell>
          <cell r="I96" t="e">
            <v>#N/A</v>
          </cell>
          <cell r="J96" t="e">
            <v>#N/A</v>
          </cell>
          <cell r="K96" t="e">
            <v>#N/A</v>
          </cell>
          <cell r="L96" t="e">
            <v>#N/A</v>
          </cell>
          <cell r="M96" t="e">
            <v>#N/A</v>
          </cell>
          <cell r="N96" t="e">
            <v>#N/A</v>
          </cell>
          <cell r="O96" t="e">
            <v>#N/A</v>
          </cell>
          <cell r="P96">
            <v>84.47</v>
          </cell>
          <cell r="Q96">
            <v>1.566506</v>
          </cell>
          <cell r="R96" t="e">
            <v>#N/A</v>
          </cell>
          <cell r="AI96" t="str">
            <v>PKR Pakistani Rupee</v>
          </cell>
          <cell r="AJ96" t="str">
            <v>Rs.</v>
          </cell>
          <cell r="AK96" t="str">
            <v>PKR</v>
          </cell>
          <cell r="AL96" t="str">
            <v>PKR</v>
          </cell>
          <cell r="AM96">
            <v>0</v>
          </cell>
          <cell r="AN96">
            <v>2</v>
          </cell>
        </row>
        <row r="97">
          <cell r="A97">
            <v>39356</v>
          </cell>
          <cell r="B97">
            <v>39356</v>
          </cell>
          <cell r="C97" t="str">
            <v>Past</v>
          </cell>
          <cell r="D97">
            <v>84.51</v>
          </cell>
          <cell r="E97" t="e">
            <v>#N/A</v>
          </cell>
          <cell r="F97" t="e">
            <v>#N/A</v>
          </cell>
          <cell r="G97" t="e">
            <v>#N/A</v>
          </cell>
          <cell r="H97" t="e">
            <v>#N/A</v>
          </cell>
          <cell r="I97" t="e">
            <v>#N/A</v>
          </cell>
          <cell r="J97" t="e">
            <v>#N/A</v>
          </cell>
          <cell r="K97" t="e">
            <v>#N/A</v>
          </cell>
          <cell r="L97" t="e">
            <v>#N/A</v>
          </cell>
          <cell r="M97" t="e">
            <v>#N/A</v>
          </cell>
          <cell r="N97" t="e">
            <v>#N/A</v>
          </cell>
          <cell r="O97" t="e">
            <v>#N/A</v>
          </cell>
          <cell r="P97">
            <v>84.51</v>
          </cell>
          <cell r="Q97">
            <v>1.9405000000000001</v>
          </cell>
          <cell r="R97" t="e">
            <v>#N/A</v>
          </cell>
          <cell r="AI97" t="str">
            <v>PLN Polish Zloty</v>
          </cell>
          <cell r="AJ97" t="str">
            <v>zł</v>
          </cell>
          <cell r="AK97" t="str">
            <v>PLN</v>
          </cell>
          <cell r="AL97" t="str">
            <v>PLN</v>
          </cell>
          <cell r="AM97">
            <v>0</v>
          </cell>
          <cell r="AN97">
            <v>2</v>
          </cell>
        </row>
        <row r="98">
          <cell r="A98">
            <v>39357</v>
          </cell>
          <cell r="B98">
            <v>39357</v>
          </cell>
          <cell r="C98" t="str">
            <v>Past</v>
          </cell>
          <cell r="D98">
            <v>83.35</v>
          </cell>
          <cell r="E98" t="e">
            <v>#N/A</v>
          </cell>
          <cell r="F98" t="e">
            <v>#N/A</v>
          </cell>
          <cell r="G98" t="e">
            <v>#N/A</v>
          </cell>
          <cell r="H98" t="e">
            <v>#N/A</v>
          </cell>
          <cell r="I98" t="e">
            <v>#N/A</v>
          </cell>
          <cell r="J98" t="e">
            <v>#N/A</v>
          </cell>
          <cell r="K98" t="e">
            <v>#N/A</v>
          </cell>
          <cell r="L98" t="e">
            <v>#N/A</v>
          </cell>
          <cell r="M98" t="e">
            <v>#N/A</v>
          </cell>
          <cell r="N98" t="e">
            <v>#N/A</v>
          </cell>
          <cell r="O98" t="e">
            <v>#N/A</v>
          </cell>
          <cell r="P98">
            <v>83.35</v>
          </cell>
          <cell r="Q98">
            <v>2.4380000000000002</v>
          </cell>
          <cell r="R98" t="e">
            <v>#N/A</v>
          </cell>
          <cell r="AI98" t="str">
            <v>RUB Russian Rouble</v>
          </cell>
          <cell r="AJ98" t="str">
            <v>RUB</v>
          </cell>
          <cell r="AK98" t="str">
            <v>RUB</v>
          </cell>
          <cell r="AL98" t="str">
            <v>RUB</v>
          </cell>
          <cell r="AM98">
            <v>0</v>
          </cell>
          <cell r="AN98">
            <v>2</v>
          </cell>
        </row>
        <row r="99">
          <cell r="A99">
            <v>39358</v>
          </cell>
          <cell r="B99">
            <v>39358</v>
          </cell>
          <cell r="C99" t="str">
            <v>Past</v>
          </cell>
          <cell r="D99">
            <v>83.27</v>
          </cell>
          <cell r="E99" t="e">
            <v>#N/A</v>
          </cell>
          <cell r="F99" t="e">
            <v>#N/A</v>
          </cell>
          <cell r="G99" t="e">
            <v>#N/A</v>
          </cell>
          <cell r="H99" t="e">
            <v>#N/A</v>
          </cell>
          <cell r="I99" t="e">
            <v>#N/A</v>
          </cell>
          <cell r="J99" t="e">
            <v>#N/A</v>
          </cell>
          <cell r="K99" t="e">
            <v>#N/A</v>
          </cell>
          <cell r="L99" t="e">
            <v>#N/A</v>
          </cell>
          <cell r="M99" t="e">
            <v>#N/A</v>
          </cell>
          <cell r="N99" t="e">
            <v>#N/A</v>
          </cell>
          <cell r="O99" t="e">
            <v>#N/A</v>
          </cell>
          <cell r="P99">
            <v>83.27</v>
          </cell>
          <cell r="Q99">
            <v>1.276</v>
          </cell>
          <cell r="R99" t="e">
            <v>#N/A</v>
          </cell>
          <cell r="AI99" t="str">
            <v>SAR Saudi Riyal</v>
          </cell>
          <cell r="AJ99" t="str">
            <v>SAR</v>
          </cell>
          <cell r="AK99" t="str">
            <v>SAR</v>
          </cell>
          <cell r="AL99" t="str">
            <v>SAR</v>
          </cell>
          <cell r="AM99">
            <v>0</v>
          </cell>
          <cell r="AN99">
            <v>2</v>
          </cell>
        </row>
        <row r="100">
          <cell r="A100">
            <v>39359</v>
          </cell>
          <cell r="B100">
            <v>39359</v>
          </cell>
          <cell r="C100" t="str">
            <v>Past</v>
          </cell>
          <cell r="D100">
            <v>83.8</v>
          </cell>
          <cell r="E100" t="e">
            <v>#N/A</v>
          </cell>
          <cell r="F100" t="e">
            <v>#N/A</v>
          </cell>
          <cell r="G100" t="e">
            <v>#N/A</v>
          </cell>
          <cell r="H100" t="e">
            <v>#N/A</v>
          </cell>
          <cell r="I100" t="e">
            <v>#N/A</v>
          </cell>
          <cell r="J100" t="e">
            <v>#N/A</v>
          </cell>
          <cell r="K100" t="e">
            <v>#N/A</v>
          </cell>
          <cell r="L100" t="e">
            <v>#N/A</v>
          </cell>
          <cell r="M100" t="e">
            <v>#N/A</v>
          </cell>
          <cell r="N100" t="e">
            <v>#N/A</v>
          </cell>
          <cell r="O100" t="e">
            <v>#N/A</v>
          </cell>
          <cell r="P100">
            <v>83.8</v>
          </cell>
          <cell r="Q100">
            <v>0.76380000000000003</v>
          </cell>
          <cell r="R100" t="e">
            <v>#N/A</v>
          </cell>
          <cell r="AI100" t="str">
            <v>SEK Swedish Krona</v>
          </cell>
          <cell r="AJ100" t="str">
            <v>SKr</v>
          </cell>
          <cell r="AK100" t="str">
            <v>SEK</v>
          </cell>
          <cell r="AL100" t="str">
            <v>SEK</v>
          </cell>
          <cell r="AM100">
            <v>0</v>
          </cell>
          <cell r="AN100">
            <v>2</v>
          </cell>
        </row>
        <row r="101">
          <cell r="A101">
            <v>39360</v>
          </cell>
          <cell r="B101">
            <v>39360</v>
          </cell>
          <cell r="C101" t="str">
            <v>Past</v>
          </cell>
          <cell r="D101">
            <v>84.06</v>
          </cell>
          <cell r="E101" t="e">
            <v>#N/A</v>
          </cell>
          <cell r="F101" t="e">
            <v>#N/A</v>
          </cell>
          <cell r="G101" t="e">
            <v>#N/A</v>
          </cell>
          <cell r="H101" t="e">
            <v>#N/A</v>
          </cell>
          <cell r="I101" t="e">
            <v>#N/A</v>
          </cell>
          <cell r="J101" t="e">
            <v>#N/A</v>
          </cell>
          <cell r="K101" t="e">
            <v>#N/A</v>
          </cell>
          <cell r="L101" t="e">
            <v>#N/A</v>
          </cell>
          <cell r="M101" t="e">
            <v>#N/A</v>
          </cell>
          <cell r="N101" t="e">
            <v>#N/A</v>
          </cell>
          <cell r="O101" t="e">
            <v>#N/A</v>
          </cell>
          <cell r="P101">
            <v>84.06</v>
          </cell>
          <cell r="Q101">
            <v>1.0105</v>
          </cell>
          <cell r="R101" t="e">
            <v>#N/A</v>
          </cell>
          <cell r="AI101" t="str">
            <v>SGD Singapore Dollar</v>
          </cell>
          <cell r="AJ101" t="str">
            <v>S$</v>
          </cell>
          <cell r="AK101" t="str">
            <v>SGD</v>
          </cell>
          <cell r="AL101" t="str">
            <v>SGD</v>
          </cell>
          <cell r="AM101">
            <v>0</v>
          </cell>
          <cell r="AN101">
            <v>2</v>
          </cell>
        </row>
        <row r="102">
          <cell r="A102">
            <v>39363</v>
          </cell>
          <cell r="B102">
            <v>39363</v>
          </cell>
          <cell r="C102" t="str">
            <v>Past</v>
          </cell>
          <cell r="D102">
            <v>85.9</v>
          </cell>
          <cell r="E102" t="e">
            <v>#N/A</v>
          </cell>
          <cell r="F102" t="e">
            <v>#N/A</v>
          </cell>
          <cell r="G102" t="e">
            <v>#N/A</v>
          </cell>
          <cell r="H102" t="e">
            <v>#N/A</v>
          </cell>
          <cell r="I102" t="e">
            <v>#N/A</v>
          </cell>
          <cell r="J102" t="e">
            <v>#N/A</v>
          </cell>
          <cell r="K102" t="e">
            <v>#N/A</v>
          </cell>
          <cell r="L102" t="e">
            <v>#N/A</v>
          </cell>
          <cell r="M102" t="e">
            <v>#N/A</v>
          </cell>
          <cell r="N102" t="e">
            <v>#N/A</v>
          </cell>
          <cell r="O102" t="e">
            <v>#N/A</v>
          </cell>
          <cell r="P102">
            <v>85.9</v>
          </cell>
          <cell r="Q102">
            <v>1.405489</v>
          </cell>
          <cell r="R102" t="e">
            <v>#N/A</v>
          </cell>
          <cell r="AI102" t="str">
            <v>THB Thailand Baht</v>
          </cell>
          <cell r="AJ102" t="str">
            <v>Bt</v>
          </cell>
          <cell r="AK102" t="str">
            <v>THB</v>
          </cell>
          <cell r="AL102" t="str">
            <v>THB</v>
          </cell>
          <cell r="AM102">
            <v>0</v>
          </cell>
          <cell r="AN102">
            <v>2</v>
          </cell>
        </row>
        <row r="103">
          <cell r="A103">
            <v>39364</v>
          </cell>
          <cell r="B103">
            <v>39364</v>
          </cell>
          <cell r="C103" t="str">
            <v>Past</v>
          </cell>
          <cell r="D103">
            <v>87.17</v>
          </cell>
          <cell r="E103" t="e">
            <v>#N/A</v>
          </cell>
          <cell r="F103" t="e">
            <v>#N/A</v>
          </cell>
          <cell r="G103" t="e">
            <v>#N/A</v>
          </cell>
          <cell r="H103" t="e">
            <v>#N/A</v>
          </cell>
          <cell r="I103" t="e">
            <v>#N/A</v>
          </cell>
          <cell r="J103" t="e">
            <v>#N/A</v>
          </cell>
          <cell r="K103" t="e">
            <v>#N/A</v>
          </cell>
          <cell r="L103" t="e">
            <v>#N/A</v>
          </cell>
          <cell r="M103" t="e">
            <v>#N/A</v>
          </cell>
          <cell r="N103" t="e">
            <v>#N/A</v>
          </cell>
          <cell r="O103" t="e">
            <v>#N/A</v>
          </cell>
          <cell r="P103">
            <v>87.17</v>
          </cell>
          <cell r="Q103">
            <v>1.3877000000000002</v>
          </cell>
          <cell r="R103" t="e">
            <v>#N/A</v>
          </cell>
          <cell r="AI103" t="str">
            <v>TND Tunisian Dinar</v>
          </cell>
          <cell r="AJ103" t="str">
            <v>TND</v>
          </cell>
          <cell r="AK103" t="str">
            <v>TND</v>
          </cell>
          <cell r="AL103" t="str">
            <v>TND</v>
          </cell>
          <cell r="AM103">
            <v>0</v>
          </cell>
          <cell r="AN103">
            <v>2</v>
          </cell>
        </row>
        <row r="104">
          <cell r="A104">
            <v>39365</v>
          </cell>
          <cell r="B104">
            <v>39365</v>
          </cell>
          <cell r="C104" t="str">
            <v>Past</v>
          </cell>
          <cell r="D104">
            <v>85.98</v>
          </cell>
          <cell r="E104" t="e">
            <v>#N/A</v>
          </cell>
          <cell r="F104" t="e">
            <v>#N/A</v>
          </cell>
          <cell r="G104" t="e">
            <v>#N/A</v>
          </cell>
          <cell r="H104" t="e">
            <v>#N/A</v>
          </cell>
          <cell r="I104" t="e">
            <v>#N/A</v>
          </cell>
          <cell r="J104" t="e">
            <v>#N/A</v>
          </cell>
          <cell r="K104" t="e">
            <v>#N/A</v>
          </cell>
          <cell r="L104" t="e">
            <v>#N/A</v>
          </cell>
          <cell r="M104" t="e">
            <v>#N/A</v>
          </cell>
          <cell r="N104" t="e">
            <v>#N/A</v>
          </cell>
          <cell r="O104" t="e">
            <v>#N/A</v>
          </cell>
          <cell r="P104">
            <v>85.98</v>
          </cell>
          <cell r="Q104">
            <v>1.440015</v>
          </cell>
          <cell r="R104" t="e">
            <v>#N/A</v>
          </cell>
          <cell r="AI104" t="str">
            <v>TRY Turkish Lira</v>
          </cell>
          <cell r="AJ104" t="str">
            <v>YTL</v>
          </cell>
          <cell r="AK104" t="str">
            <v>TRY</v>
          </cell>
          <cell r="AL104" t="str">
            <v>TRY</v>
          </cell>
          <cell r="AM104">
            <v>0</v>
          </cell>
          <cell r="AN104">
            <v>2</v>
          </cell>
        </row>
        <row r="105">
          <cell r="A105">
            <v>39366</v>
          </cell>
          <cell r="B105">
            <v>39366</v>
          </cell>
          <cell r="C105" t="str">
            <v>Past</v>
          </cell>
          <cell r="D105">
            <v>87.01</v>
          </cell>
          <cell r="E105" t="e">
            <v>#N/A</v>
          </cell>
          <cell r="F105" t="e">
            <v>#N/A</v>
          </cell>
          <cell r="G105" t="e">
            <v>#N/A</v>
          </cell>
          <cell r="H105" t="e">
            <v>#N/A</v>
          </cell>
          <cell r="I105" t="e">
            <v>#N/A</v>
          </cell>
          <cell r="J105" t="e">
            <v>#N/A</v>
          </cell>
          <cell r="K105" t="e">
            <v>#N/A</v>
          </cell>
          <cell r="L105" t="e">
            <v>#N/A</v>
          </cell>
          <cell r="M105" t="e">
            <v>#N/A</v>
          </cell>
          <cell r="N105" t="e">
            <v>#N/A</v>
          </cell>
          <cell r="O105" t="e">
            <v>#N/A</v>
          </cell>
          <cell r="P105">
            <v>87.01</v>
          </cell>
          <cell r="Q105">
            <v>1.6574</v>
          </cell>
          <cell r="R105" t="e">
            <v>#N/A</v>
          </cell>
          <cell r="AI105" t="str">
            <v>TWD New Taiwan Dollar</v>
          </cell>
          <cell r="AJ105" t="str">
            <v>NT$</v>
          </cell>
          <cell r="AK105" t="str">
            <v>TWD</v>
          </cell>
          <cell r="AL105" t="str">
            <v>TWD</v>
          </cell>
          <cell r="AM105">
            <v>0</v>
          </cell>
          <cell r="AN105">
            <v>2</v>
          </cell>
        </row>
        <row r="106">
          <cell r="A106">
            <v>39367</v>
          </cell>
          <cell r="B106">
            <v>39367</v>
          </cell>
          <cell r="C106" t="str">
            <v>Past</v>
          </cell>
          <cell r="D106">
            <v>89.01</v>
          </cell>
          <cell r="E106" t="e">
            <v>#N/A</v>
          </cell>
          <cell r="F106" t="e">
            <v>#N/A</v>
          </cell>
          <cell r="G106" t="e">
            <v>#N/A</v>
          </cell>
          <cell r="H106" t="e">
            <v>#N/A</v>
          </cell>
          <cell r="I106" t="e">
            <v>#N/A</v>
          </cell>
          <cell r="J106" t="e">
            <v>#N/A</v>
          </cell>
          <cell r="K106" t="e">
            <v>#N/A</v>
          </cell>
          <cell r="L106" t="e">
            <v>#N/A</v>
          </cell>
          <cell r="M106" t="e">
            <v>#N/A</v>
          </cell>
          <cell r="N106" t="e">
            <v>#N/A</v>
          </cell>
          <cell r="O106" t="e">
            <v>#N/A</v>
          </cell>
          <cell r="P106">
            <v>89.01</v>
          </cell>
          <cell r="Q106">
            <v>1.603853</v>
          </cell>
          <cell r="R106" t="e">
            <v>#N/A</v>
          </cell>
          <cell r="AI106" t="str">
            <v>UAH Ukrainian Hryvnia</v>
          </cell>
          <cell r="AJ106" t="str">
            <v>UAH</v>
          </cell>
          <cell r="AK106" t="str">
            <v>UAH</v>
          </cell>
          <cell r="AL106" t="str">
            <v>UAH</v>
          </cell>
          <cell r="AM106">
            <v>0</v>
          </cell>
          <cell r="AN106">
            <v>2</v>
          </cell>
        </row>
        <row r="107">
          <cell r="A107">
            <v>39370</v>
          </cell>
          <cell r="B107">
            <v>39370</v>
          </cell>
          <cell r="C107" t="str">
            <v>Past</v>
          </cell>
          <cell r="D107">
            <v>88.95</v>
          </cell>
          <cell r="E107" t="e">
            <v>#N/A</v>
          </cell>
          <cell r="F107" t="e">
            <v>#N/A</v>
          </cell>
          <cell r="G107" t="e">
            <v>#N/A</v>
          </cell>
          <cell r="H107" t="e">
            <v>#N/A</v>
          </cell>
          <cell r="I107" t="e">
            <v>#N/A</v>
          </cell>
          <cell r="J107" t="e">
            <v>#N/A</v>
          </cell>
          <cell r="K107" t="e">
            <v>#N/A</v>
          </cell>
          <cell r="L107" t="e">
            <v>#N/A</v>
          </cell>
          <cell r="M107" t="e">
            <v>#N/A</v>
          </cell>
          <cell r="N107" t="e">
            <v>#N/A</v>
          </cell>
          <cell r="O107" t="e">
            <v>#N/A</v>
          </cell>
          <cell r="P107">
            <v>88.95</v>
          </cell>
          <cell r="Q107">
            <v>2.1007000000000002</v>
          </cell>
          <cell r="R107" t="e">
            <v>#N/A</v>
          </cell>
          <cell r="AI107" t="str">
            <v>USD American Dollar</v>
          </cell>
          <cell r="AJ107" t="str">
            <v>$</v>
          </cell>
          <cell r="AK107" t="str">
            <v>USD</v>
          </cell>
          <cell r="AL107" t="str">
            <v>USD</v>
          </cell>
          <cell r="AM107">
            <v>0</v>
          </cell>
          <cell r="AN107">
            <v>2</v>
          </cell>
        </row>
        <row r="108">
          <cell r="A108">
            <v>39371</v>
          </cell>
          <cell r="B108">
            <v>39371</v>
          </cell>
          <cell r="C108" t="str">
            <v>Past</v>
          </cell>
          <cell r="D108">
            <v>88.18</v>
          </cell>
          <cell r="E108" t="e">
            <v>#N/A</v>
          </cell>
          <cell r="F108" t="e">
            <v>#N/A</v>
          </cell>
          <cell r="G108" t="e">
            <v>#N/A</v>
          </cell>
          <cell r="H108" t="e">
            <v>#N/A</v>
          </cell>
          <cell r="I108" t="e">
            <v>#N/A</v>
          </cell>
          <cell r="J108" t="e">
            <v>#N/A</v>
          </cell>
          <cell r="K108" t="e">
            <v>#N/A</v>
          </cell>
          <cell r="L108" t="e">
            <v>#N/A</v>
          </cell>
          <cell r="M108" t="e">
            <v>#N/A</v>
          </cell>
          <cell r="N108" t="e">
            <v>#N/A</v>
          </cell>
          <cell r="O108" t="e">
            <v>#N/A</v>
          </cell>
          <cell r="P108">
            <v>88.18</v>
          </cell>
          <cell r="Q108">
            <v>1.2603</v>
          </cell>
          <cell r="R108" t="e">
            <v>#N/A</v>
          </cell>
          <cell r="AI108" t="str">
            <v>VEB Venezuelan Bolivar</v>
          </cell>
          <cell r="AJ108" t="str">
            <v>VEB</v>
          </cell>
          <cell r="AK108" t="str">
            <v>VEB</v>
          </cell>
          <cell r="AL108" t="str">
            <v>VEB</v>
          </cell>
          <cell r="AM108">
            <v>0</v>
          </cell>
          <cell r="AN108">
            <v>2</v>
          </cell>
        </row>
        <row r="109">
          <cell r="A109">
            <v>39372</v>
          </cell>
          <cell r="B109">
            <v>39372</v>
          </cell>
          <cell r="C109" t="str">
            <v>Past</v>
          </cell>
          <cell r="D109">
            <v>87.31</v>
          </cell>
          <cell r="E109" t="e">
            <v>#N/A</v>
          </cell>
          <cell r="F109" t="e">
            <v>#N/A</v>
          </cell>
          <cell r="G109" t="e">
            <v>#N/A</v>
          </cell>
          <cell r="H109" t="e">
            <v>#N/A</v>
          </cell>
          <cell r="I109" t="e">
            <v>#N/A</v>
          </cell>
          <cell r="J109" t="e">
            <v>#N/A</v>
          </cell>
          <cell r="K109" t="e">
            <v>#N/A</v>
          </cell>
          <cell r="L109" t="e">
            <v>#N/A</v>
          </cell>
          <cell r="M109" t="e">
            <v>#N/A</v>
          </cell>
          <cell r="N109" t="e">
            <v>#N/A</v>
          </cell>
          <cell r="O109" t="e">
            <v>#N/A</v>
          </cell>
          <cell r="P109">
            <v>87.31</v>
          </cell>
          <cell r="Q109">
            <v>1.4900500000000001</v>
          </cell>
          <cell r="R109" t="e">
            <v>#N/A</v>
          </cell>
          <cell r="AI109" t="str">
            <v>ZAR South African rand</v>
          </cell>
          <cell r="AJ109" t="str">
            <v>ZAR</v>
          </cell>
          <cell r="AK109" t="str">
            <v>ZAR</v>
          </cell>
          <cell r="AL109" t="str">
            <v>ZAR</v>
          </cell>
          <cell r="AM109">
            <v>0</v>
          </cell>
          <cell r="AN109">
            <v>2</v>
          </cell>
        </row>
        <row r="110">
          <cell r="A110">
            <v>39373</v>
          </cell>
          <cell r="B110">
            <v>39373</v>
          </cell>
          <cell r="C110" t="str">
            <v>Past</v>
          </cell>
          <cell r="D110">
            <v>87.74</v>
          </cell>
          <cell r="E110" t="e">
            <v>#N/A</v>
          </cell>
          <cell r="F110" t="e">
            <v>#N/A</v>
          </cell>
          <cell r="G110" t="e">
            <v>#N/A</v>
          </cell>
          <cell r="H110" t="e">
            <v>#N/A</v>
          </cell>
          <cell r="I110" t="e">
            <v>#N/A</v>
          </cell>
          <cell r="J110" t="e">
            <v>#N/A</v>
          </cell>
          <cell r="K110" t="e">
            <v>#N/A</v>
          </cell>
          <cell r="L110" t="e">
            <v>#N/A</v>
          </cell>
          <cell r="M110" t="e">
            <v>#N/A</v>
          </cell>
          <cell r="N110" t="e">
            <v>#N/A</v>
          </cell>
          <cell r="O110" t="e">
            <v>#N/A</v>
          </cell>
          <cell r="P110">
            <v>87.74</v>
          </cell>
          <cell r="Q110">
            <v>0.86370000000000002</v>
          </cell>
          <cell r="R110" t="e">
            <v>#N/A</v>
          </cell>
        </row>
        <row r="111">
          <cell r="A111">
            <v>39374</v>
          </cell>
          <cell r="B111">
            <v>39374</v>
          </cell>
          <cell r="C111" t="str">
            <v>Past</v>
          </cell>
          <cell r="D111">
            <v>85.47</v>
          </cell>
          <cell r="E111" t="e">
            <v>#N/A</v>
          </cell>
          <cell r="F111" t="e">
            <v>#N/A</v>
          </cell>
          <cell r="G111" t="e">
            <v>#N/A</v>
          </cell>
          <cell r="H111" t="e">
            <v>#N/A</v>
          </cell>
          <cell r="I111" t="e">
            <v>#N/A</v>
          </cell>
          <cell r="J111" t="e">
            <v>#N/A</v>
          </cell>
          <cell r="K111" t="e">
            <v>#N/A</v>
          </cell>
          <cell r="L111" t="e">
            <v>#N/A</v>
          </cell>
          <cell r="M111" t="e">
            <v>#N/A</v>
          </cell>
          <cell r="N111" t="e">
            <v>#N/A</v>
          </cell>
          <cell r="O111" t="e">
            <v>#N/A</v>
          </cell>
          <cell r="P111">
            <v>85.47</v>
          </cell>
          <cell r="Q111">
            <v>1.7183000000000002</v>
          </cell>
          <cell r="R111" t="e">
            <v>#N/A</v>
          </cell>
        </row>
        <row r="112">
          <cell r="A112">
            <v>39377</v>
          </cell>
          <cell r="B112">
            <v>39377</v>
          </cell>
          <cell r="C112" t="str">
            <v>Past</v>
          </cell>
          <cell r="D112">
            <v>85.94</v>
          </cell>
          <cell r="E112" t="e">
            <v>#N/A</v>
          </cell>
          <cell r="F112" t="e">
            <v>#N/A</v>
          </cell>
          <cell r="G112" t="e">
            <v>#N/A</v>
          </cell>
          <cell r="H112" t="e">
            <v>#N/A</v>
          </cell>
          <cell r="I112" t="e">
            <v>#N/A</v>
          </cell>
          <cell r="J112" t="e">
            <v>#N/A</v>
          </cell>
          <cell r="K112" t="e">
            <v>#N/A</v>
          </cell>
          <cell r="L112" t="e">
            <v>#N/A</v>
          </cell>
          <cell r="M112" t="e">
            <v>#N/A</v>
          </cell>
          <cell r="N112" t="e">
            <v>#N/A</v>
          </cell>
          <cell r="O112" t="e">
            <v>#N/A</v>
          </cell>
          <cell r="P112">
            <v>85.94</v>
          </cell>
          <cell r="Q112">
            <v>1.1211</v>
          </cell>
          <cell r="R112" t="e">
            <v>#N/A</v>
          </cell>
        </row>
        <row r="113">
          <cell r="A113">
            <v>39378</v>
          </cell>
          <cell r="B113">
            <v>39378</v>
          </cell>
          <cell r="C113" t="str">
            <v>Past</v>
          </cell>
          <cell r="D113">
            <v>87.1</v>
          </cell>
          <cell r="E113" t="e">
            <v>#N/A</v>
          </cell>
          <cell r="F113" t="e">
            <v>#N/A</v>
          </cell>
          <cell r="G113" t="e">
            <v>#N/A</v>
          </cell>
          <cell r="H113" t="e">
            <v>#N/A</v>
          </cell>
          <cell r="I113" t="e">
            <v>#N/A</v>
          </cell>
          <cell r="J113" t="e">
            <v>#N/A</v>
          </cell>
          <cell r="K113" t="e">
            <v>#N/A</v>
          </cell>
          <cell r="L113" t="e">
            <v>#N/A</v>
          </cell>
          <cell r="M113" t="e">
            <v>#N/A</v>
          </cell>
          <cell r="N113" t="e">
            <v>#N/A</v>
          </cell>
          <cell r="O113" t="e">
            <v>#N/A</v>
          </cell>
          <cell r="P113">
            <v>87.1</v>
          </cell>
          <cell r="Q113">
            <v>1.1406000000000001</v>
          </cell>
          <cell r="R113" t="e">
            <v>#N/A</v>
          </cell>
        </row>
        <row r="114">
          <cell r="A114">
            <v>39379</v>
          </cell>
          <cell r="B114">
            <v>39379</v>
          </cell>
          <cell r="C114" t="str">
            <v>Past</v>
          </cell>
          <cell r="D114">
            <v>90</v>
          </cell>
          <cell r="E114" t="e">
            <v>#N/A</v>
          </cell>
          <cell r="F114" t="e">
            <v>#N/A</v>
          </cell>
          <cell r="G114" t="e">
            <v>#N/A</v>
          </cell>
          <cell r="H114" t="e">
            <v>#N/A</v>
          </cell>
          <cell r="I114" t="e">
            <v>#N/A</v>
          </cell>
          <cell r="J114" t="e">
            <v>#N/A</v>
          </cell>
          <cell r="K114" t="e">
            <v>#N/A</v>
          </cell>
          <cell r="L114" t="e">
            <v>#N/A</v>
          </cell>
          <cell r="M114" t="e">
            <v>#N/A</v>
          </cell>
          <cell r="N114" t="e">
            <v>#N/A</v>
          </cell>
          <cell r="O114" t="e">
            <v>#N/A</v>
          </cell>
          <cell r="P114">
            <v>90</v>
          </cell>
          <cell r="Q114">
            <v>3.4662000000000002</v>
          </cell>
          <cell r="R114" t="e">
            <v>#N/A</v>
          </cell>
        </row>
        <row r="115">
          <cell r="A115">
            <v>39380</v>
          </cell>
          <cell r="B115">
            <v>39380</v>
          </cell>
          <cell r="C115" t="str">
            <v>Past</v>
          </cell>
          <cell r="D115">
            <v>90.38</v>
          </cell>
          <cell r="E115" t="e">
            <v>#N/A</v>
          </cell>
          <cell r="F115" t="e">
            <v>#N/A</v>
          </cell>
          <cell r="G115" t="e">
            <v>#N/A</v>
          </cell>
          <cell r="H115" t="e">
            <v>#N/A</v>
          </cell>
          <cell r="I115" t="e">
            <v>#N/A</v>
          </cell>
          <cell r="J115" t="e">
            <v>#N/A</v>
          </cell>
          <cell r="K115" t="e">
            <v>#N/A</v>
          </cell>
          <cell r="L115" t="e">
            <v>#N/A</v>
          </cell>
          <cell r="M115" t="e">
            <v>#N/A</v>
          </cell>
          <cell r="N115" t="e">
            <v>#N/A</v>
          </cell>
          <cell r="O115" t="e">
            <v>#N/A</v>
          </cell>
          <cell r="P115">
            <v>90.38</v>
          </cell>
          <cell r="Q115">
            <v>2.7833000000000001</v>
          </cell>
          <cell r="R115" t="e">
            <v>#N/A</v>
          </cell>
        </row>
        <row r="116">
          <cell r="A116">
            <v>39381</v>
          </cell>
          <cell r="B116">
            <v>39381</v>
          </cell>
          <cell r="C116" t="str">
            <v>Past</v>
          </cell>
          <cell r="D116">
            <v>91.23</v>
          </cell>
          <cell r="E116" t="e">
            <v>#N/A</v>
          </cell>
          <cell r="F116" t="e">
            <v>#N/A</v>
          </cell>
          <cell r="G116" t="e">
            <v>#N/A</v>
          </cell>
          <cell r="H116" t="e">
            <v>#N/A</v>
          </cell>
          <cell r="I116" t="e">
            <v>#N/A</v>
          </cell>
          <cell r="J116" t="e">
            <v>#N/A</v>
          </cell>
          <cell r="K116" t="e">
            <v>#N/A</v>
          </cell>
          <cell r="L116" t="e">
            <v>#N/A</v>
          </cell>
          <cell r="M116" t="e">
            <v>#N/A</v>
          </cell>
          <cell r="N116" t="e">
            <v>#N/A</v>
          </cell>
          <cell r="O116" t="e">
            <v>#N/A</v>
          </cell>
          <cell r="P116">
            <v>91.23</v>
          </cell>
          <cell r="Q116">
            <v>1.5422</v>
          </cell>
          <cell r="R116" t="e">
            <v>#N/A</v>
          </cell>
        </row>
        <row r="117">
          <cell r="A117">
            <v>39384</v>
          </cell>
          <cell r="B117">
            <v>39384</v>
          </cell>
          <cell r="C117" t="str">
            <v>Past</v>
          </cell>
          <cell r="D117">
            <v>90.45</v>
          </cell>
          <cell r="E117" t="e">
            <v>#N/A</v>
          </cell>
          <cell r="F117" t="e">
            <v>#N/A</v>
          </cell>
          <cell r="G117" t="e">
            <v>#N/A</v>
          </cell>
          <cell r="H117" t="e">
            <v>#N/A</v>
          </cell>
          <cell r="I117" t="e">
            <v>#N/A</v>
          </cell>
          <cell r="J117" t="e">
            <v>#N/A</v>
          </cell>
          <cell r="K117" t="e">
            <v>#N/A</v>
          </cell>
          <cell r="L117" t="e">
            <v>#N/A</v>
          </cell>
          <cell r="M117" t="e">
            <v>#N/A</v>
          </cell>
          <cell r="N117" t="e">
            <v>#N/A</v>
          </cell>
          <cell r="O117" t="e">
            <v>#N/A</v>
          </cell>
          <cell r="P117">
            <v>90.45</v>
          </cell>
          <cell r="Q117">
            <v>1.7682700000000002</v>
          </cell>
          <cell r="R117" t="e">
            <v>#N/A</v>
          </cell>
        </row>
        <row r="118">
          <cell r="A118">
            <v>39385</v>
          </cell>
          <cell r="B118">
            <v>39385</v>
          </cell>
          <cell r="C118" t="str">
            <v>Past</v>
          </cell>
          <cell r="D118">
            <v>89.98</v>
          </cell>
          <cell r="E118" t="e">
            <v>#N/A</v>
          </cell>
          <cell r="F118" t="e">
            <v>#N/A</v>
          </cell>
          <cell r="G118" t="e">
            <v>#N/A</v>
          </cell>
          <cell r="H118" t="e">
            <v>#N/A</v>
          </cell>
          <cell r="I118" t="e">
            <v>#N/A</v>
          </cell>
          <cell r="J118" t="e">
            <v>#N/A</v>
          </cell>
          <cell r="K118" t="e">
            <v>#N/A</v>
          </cell>
          <cell r="L118" t="e">
            <v>#N/A</v>
          </cell>
          <cell r="M118" t="e">
            <v>#N/A</v>
          </cell>
          <cell r="N118" t="e">
            <v>#N/A</v>
          </cell>
          <cell r="O118" t="e">
            <v>#N/A</v>
          </cell>
          <cell r="P118">
            <v>89.98</v>
          </cell>
          <cell r="Q118">
            <v>1.5804</v>
          </cell>
          <cell r="R118" t="e">
            <v>#N/A</v>
          </cell>
        </row>
        <row r="119">
          <cell r="A119">
            <v>39386</v>
          </cell>
          <cell r="B119">
            <v>39386</v>
          </cell>
          <cell r="C119" t="str">
            <v>Past</v>
          </cell>
          <cell r="D119">
            <v>90.96</v>
          </cell>
          <cell r="E119" t="e">
            <v>#N/A</v>
          </cell>
          <cell r="F119" t="e">
            <v>#N/A</v>
          </cell>
          <cell r="G119" t="e">
            <v>#N/A</v>
          </cell>
          <cell r="H119" t="e">
            <v>#N/A</v>
          </cell>
          <cell r="I119" t="e">
            <v>#N/A</v>
          </cell>
          <cell r="J119" t="e">
            <v>#N/A</v>
          </cell>
          <cell r="K119" t="e">
            <v>#N/A</v>
          </cell>
          <cell r="L119" t="e">
            <v>#N/A</v>
          </cell>
          <cell r="M119" t="e">
            <v>#N/A</v>
          </cell>
          <cell r="N119" t="e">
            <v>#N/A</v>
          </cell>
          <cell r="O119" t="e">
            <v>#N/A</v>
          </cell>
          <cell r="P119">
            <v>90.96</v>
          </cell>
          <cell r="Q119">
            <v>1.4225000000000001</v>
          </cell>
          <cell r="R119" t="e">
            <v>#N/A</v>
          </cell>
        </row>
        <row r="120">
          <cell r="A120">
            <v>39387</v>
          </cell>
          <cell r="B120">
            <v>39387</v>
          </cell>
          <cell r="C120" t="str">
            <v>Past</v>
          </cell>
          <cell r="D120">
            <v>89.92</v>
          </cell>
          <cell r="E120" t="e">
            <v>#N/A</v>
          </cell>
          <cell r="F120" t="e">
            <v>#N/A</v>
          </cell>
          <cell r="G120" t="e">
            <v>#N/A</v>
          </cell>
          <cell r="H120" t="e">
            <v>#N/A</v>
          </cell>
          <cell r="I120" t="e">
            <v>#N/A</v>
          </cell>
          <cell r="J120" t="e">
            <v>#N/A</v>
          </cell>
          <cell r="K120" t="e">
            <v>#N/A</v>
          </cell>
          <cell r="L120" t="e">
            <v>#N/A</v>
          </cell>
          <cell r="M120" t="e">
            <v>#N/A</v>
          </cell>
          <cell r="N120" t="e">
            <v>#N/A</v>
          </cell>
          <cell r="O120" t="e">
            <v>#N/A</v>
          </cell>
          <cell r="P120">
            <v>89.92</v>
          </cell>
          <cell r="Q120">
            <v>2.2279</v>
          </cell>
          <cell r="R120" t="e">
            <v>#N/A</v>
          </cell>
        </row>
        <row r="121">
          <cell r="A121">
            <v>39388</v>
          </cell>
          <cell r="B121">
            <v>39388</v>
          </cell>
          <cell r="C121" t="str">
            <v>Past</v>
          </cell>
          <cell r="D121">
            <v>90.13</v>
          </cell>
          <cell r="E121" t="e">
            <v>#N/A</v>
          </cell>
          <cell r="F121" t="e">
            <v>#N/A</v>
          </cell>
          <cell r="G121" t="e">
            <v>#N/A</v>
          </cell>
          <cell r="H121" t="e">
            <v>#N/A</v>
          </cell>
          <cell r="I121" t="e">
            <v>#N/A</v>
          </cell>
          <cell r="J121" t="e">
            <v>#N/A</v>
          </cell>
          <cell r="K121" t="e">
            <v>#N/A</v>
          </cell>
          <cell r="L121" t="e">
            <v>#N/A</v>
          </cell>
          <cell r="M121" t="e">
            <v>#N/A</v>
          </cell>
          <cell r="N121" t="e">
            <v>#N/A</v>
          </cell>
          <cell r="O121" t="e">
            <v>#N/A</v>
          </cell>
          <cell r="P121">
            <v>90.13</v>
          </cell>
          <cell r="Q121">
            <v>1.5527</v>
          </cell>
          <cell r="R121" t="e">
            <v>#N/A</v>
          </cell>
        </row>
        <row r="122">
          <cell r="A122">
            <v>39391</v>
          </cell>
          <cell r="B122">
            <v>39391</v>
          </cell>
          <cell r="C122" t="str">
            <v>Past</v>
          </cell>
          <cell r="D122">
            <v>91.85</v>
          </cell>
          <cell r="E122" t="e">
            <v>#N/A</v>
          </cell>
          <cell r="F122" t="e">
            <v>#N/A</v>
          </cell>
          <cell r="G122" t="e">
            <v>#N/A</v>
          </cell>
          <cell r="H122" t="e">
            <v>#N/A</v>
          </cell>
          <cell r="I122" t="e">
            <v>#N/A</v>
          </cell>
          <cell r="J122" t="e">
            <v>#N/A</v>
          </cell>
          <cell r="K122" t="e">
            <v>#N/A</v>
          </cell>
          <cell r="L122" t="e">
            <v>#N/A</v>
          </cell>
          <cell r="M122" t="e">
            <v>#N/A</v>
          </cell>
          <cell r="N122" t="e">
            <v>#N/A</v>
          </cell>
          <cell r="O122" t="e">
            <v>#N/A</v>
          </cell>
          <cell r="P122">
            <v>91.85</v>
          </cell>
          <cell r="Q122">
            <v>2.0296379999999998</v>
          </cell>
          <cell r="R122" t="e">
            <v>#N/A</v>
          </cell>
        </row>
        <row r="123">
          <cell r="A123">
            <v>39392</v>
          </cell>
          <cell r="B123">
            <v>39392</v>
          </cell>
          <cell r="C123" t="str">
            <v>Past</v>
          </cell>
          <cell r="D123">
            <v>93.52</v>
          </cell>
          <cell r="E123" t="e">
            <v>#N/A</v>
          </cell>
          <cell r="F123" t="e">
            <v>#N/A</v>
          </cell>
          <cell r="G123" t="e">
            <v>#N/A</v>
          </cell>
          <cell r="H123" t="e">
            <v>#N/A</v>
          </cell>
          <cell r="I123" t="e">
            <v>#N/A</v>
          </cell>
          <cell r="J123" t="e">
            <v>#N/A</v>
          </cell>
          <cell r="K123" t="e">
            <v>#N/A</v>
          </cell>
          <cell r="L123" t="e">
            <v>#N/A</v>
          </cell>
          <cell r="M123" t="e">
            <v>#N/A</v>
          </cell>
          <cell r="N123" t="e">
            <v>#N/A</v>
          </cell>
          <cell r="O123" t="e">
            <v>#N/A</v>
          </cell>
          <cell r="P123">
            <v>93.52</v>
          </cell>
          <cell r="Q123">
            <v>2.331016</v>
          </cell>
          <cell r="R123" t="e">
            <v>#N/A</v>
          </cell>
        </row>
        <row r="124">
          <cell r="A124">
            <v>39393</v>
          </cell>
          <cell r="B124">
            <v>39393</v>
          </cell>
          <cell r="C124" t="str">
            <v>Past</v>
          </cell>
          <cell r="D124">
            <v>90.46</v>
          </cell>
          <cell r="E124" t="e">
            <v>#N/A</v>
          </cell>
          <cell r="F124" t="e">
            <v>#N/A</v>
          </cell>
          <cell r="G124" t="e">
            <v>#N/A</v>
          </cell>
          <cell r="H124" t="e">
            <v>#N/A</v>
          </cell>
          <cell r="I124" t="e">
            <v>#N/A</v>
          </cell>
          <cell r="J124" t="e">
            <v>#N/A</v>
          </cell>
          <cell r="K124" t="e">
            <v>#N/A</v>
          </cell>
          <cell r="L124" t="e">
            <v>#N/A</v>
          </cell>
          <cell r="M124" t="e">
            <v>#N/A</v>
          </cell>
          <cell r="N124" t="e">
            <v>#N/A</v>
          </cell>
          <cell r="O124" t="e">
            <v>#N/A</v>
          </cell>
          <cell r="P124">
            <v>90.46</v>
          </cell>
          <cell r="Q124">
            <v>1.9924500000000001</v>
          </cell>
          <cell r="R124" t="e">
            <v>#N/A</v>
          </cell>
        </row>
        <row r="125">
          <cell r="A125">
            <v>39394</v>
          </cell>
          <cell r="B125">
            <v>39394</v>
          </cell>
          <cell r="C125" t="str">
            <v>Past</v>
          </cell>
          <cell r="D125">
            <v>90.94</v>
          </cell>
          <cell r="E125" t="e">
            <v>#N/A</v>
          </cell>
          <cell r="F125" t="e">
            <v>#N/A</v>
          </cell>
          <cell r="G125" t="e">
            <v>#N/A</v>
          </cell>
          <cell r="H125" t="e">
            <v>#N/A</v>
          </cell>
          <cell r="I125" t="e">
            <v>#N/A</v>
          </cell>
          <cell r="J125" t="e">
            <v>#N/A</v>
          </cell>
          <cell r="K125" t="e">
            <v>#N/A</v>
          </cell>
          <cell r="L125" t="e">
            <v>#N/A</v>
          </cell>
          <cell r="M125" t="e">
            <v>#N/A</v>
          </cell>
          <cell r="N125" t="e">
            <v>#N/A</v>
          </cell>
          <cell r="O125" t="e">
            <v>#N/A</v>
          </cell>
          <cell r="P125">
            <v>90.94</v>
          </cell>
          <cell r="Q125">
            <v>2.6257239999999999</v>
          </cell>
          <cell r="R125" t="e">
            <v>#N/A</v>
          </cell>
        </row>
        <row r="126">
          <cell r="A126">
            <v>39395</v>
          </cell>
          <cell r="B126">
            <v>39395</v>
          </cell>
          <cell r="C126" t="str">
            <v>Past</v>
          </cell>
          <cell r="D126">
            <v>88.24</v>
          </cell>
          <cell r="E126" t="e">
            <v>#N/A</v>
          </cell>
          <cell r="F126" t="e">
            <v>#N/A</v>
          </cell>
          <cell r="G126" t="e">
            <v>#N/A</v>
          </cell>
          <cell r="H126" t="e">
            <v>#N/A</v>
          </cell>
          <cell r="I126" t="e">
            <v>#N/A</v>
          </cell>
          <cell r="J126" t="e">
            <v>#N/A</v>
          </cell>
          <cell r="K126" t="e">
            <v>#N/A</v>
          </cell>
          <cell r="L126" t="e">
            <v>#N/A</v>
          </cell>
          <cell r="M126" t="e">
            <v>#N/A</v>
          </cell>
          <cell r="N126" t="e">
            <v>#N/A</v>
          </cell>
          <cell r="O126" t="e">
            <v>#N/A</v>
          </cell>
          <cell r="P126">
            <v>88.24</v>
          </cell>
          <cell r="Q126">
            <v>2.3877359999999999</v>
          </cell>
          <cell r="R126" t="e">
            <v>#N/A</v>
          </cell>
        </row>
        <row r="127">
          <cell r="A127">
            <v>39398</v>
          </cell>
          <cell r="B127">
            <v>39398</v>
          </cell>
          <cell r="C127" t="str">
            <v>Past</v>
          </cell>
          <cell r="D127">
            <v>86.76</v>
          </cell>
          <cell r="E127" t="e">
            <v>#N/A</v>
          </cell>
          <cell r="F127" t="e">
            <v>#N/A</v>
          </cell>
          <cell r="G127" t="e">
            <v>#N/A</v>
          </cell>
          <cell r="H127" t="e">
            <v>#N/A</v>
          </cell>
          <cell r="I127" t="e">
            <v>#N/A</v>
          </cell>
          <cell r="J127" t="e">
            <v>#N/A</v>
          </cell>
          <cell r="K127" t="e">
            <v>#N/A</v>
          </cell>
          <cell r="L127" t="e">
            <v>#N/A</v>
          </cell>
          <cell r="M127" t="e">
            <v>#N/A</v>
          </cell>
          <cell r="N127" t="e">
            <v>#N/A</v>
          </cell>
          <cell r="O127" t="e">
            <v>#N/A</v>
          </cell>
          <cell r="P127">
            <v>86.76</v>
          </cell>
          <cell r="Q127">
            <v>2.0103740000000001</v>
          </cell>
          <cell r="R127" t="e">
            <v>#N/A</v>
          </cell>
        </row>
        <row r="128">
          <cell r="A128">
            <v>39399</v>
          </cell>
          <cell r="B128">
            <v>39399</v>
          </cell>
          <cell r="C128" t="str">
            <v>Past</v>
          </cell>
          <cell r="D128">
            <v>88.34</v>
          </cell>
          <cell r="E128" t="e">
            <v>#N/A</v>
          </cell>
          <cell r="F128" t="e">
            <v>#N/A</v>
          </cell>
          <cell r="G128" t="e">
            <v>#N/A</v>
          </cell>
          <cell r="H128" t="e">
            <v>#N/A</v>
          </cell>
          <cell r="I128" t="e">
            <v>#N/A</v>
          </cell>
          <cell r="J128" t="e">
            <v>#N/A</v>
          </cell>
          <cell r="K128" t="e">
            <v>#N/A</v>
          </cell>
          <cell r="L128" t="e">
            <v>#N/A</v>
          </cell>
          <cell r="M128" t="e">
            <v>#N/A</v>
          </cell>
          <cell r="N128" t="e">
            <v>#N/A</v>
          </cell>
          <cell r="O128" t="e">
            <v>#N/A</v>
          </cell>
          <cell r="P128">
            <v>88.34</v>
          </cell>
          <cell r="Q128">
            <v>2.8575809999999997</v>
          </cell>
          <cell r="R128" t="e">
            <v>#N/A</v>
          </cell>
        </row>
        <row r="129">
          <cell r="A129">
            <v>39400</v>
          </cell>
          <cell r="B129">
            <v>39400</v>
          </cell>
          <cell r="C129" t="str">
            <v>Past</v>
          </cell>
          <cell r="D129">
            <v>88.48</v>
          </cell>
          <cell r="E129" t="e">
            <v>#N/A</v>
          </cell>
          <cell r="F129" t="e">
            <v>#N/A</v>
          </cell>
          <cell r="G129" t="e">
            <v>#N/A</v>
          </cell>
          <cell r="H129" t="e">
            <v>#N/A</v>
          </cell>
          <cell r="I129" t="e">
            <v>#N/A</v>
          </cell>
          <cell r="J129" t="e">
            <v>#N/A</v>
          </cell>
          <cell r="K129" t="e">
            <v>#N/A</v>
          </cell>
          <cell r="L129" t="e">
            <v>#N/A</v>
          </cell>
          <cell r="M129" t="e">
            <v>#N/A</v>
          </cell>
          <cell r="N129" t="e">
            <v>#N/A</v>
          </cell>
          <cell r="O129" t="e">
            <v>#N/A</v>
          </cell>
          <cell r="P129">
            <v>88.48</v>
          </cell>
          <cell r="Q129">
            <v>2.0508139999999999</v>
          </cell>
          <cell r="R129" t="e">
            <v>#N/A</v>
          </cell>
        </row>
        <row r="130">
          <cell r="A130">
            <v>39401</v>
          </cell>
          <cell r="B130">
            <v>39401</v>
          </cell>
          <cell r="C130" t="str">
            <v>Past</v>
          </cell>
          <cell r="D130">
            <v>88.01</v>
          </cell>
          <cell r="E130" t="e">
            <v>#N/A</v>
          </cell>
          <cell r="F130" t="e">
            <v>#N/A</v>
          </cell>
          <cell r="G130" t="e">
            <v>#N/A</v>
          </cell>
          <cell r="H130" t="e">
            <v>#N/A</v>
          </cell>
          <cell r="I130" t="e">
            <v>#N/A</v>
          </cell>
          <cell r="J130" t="e">
            <v>#N/A</v>
          </cell>
          <cell r="K130" t="e">
            <v>#N/A</v>
          </cell>
          <cell r="L130" t="e">
            <v>#N/A</v>
          </cell>
          <cell r="M130" t="e">
            <v>#N/A</v>
          </cell>
          <cell r="N130" t="e">
            <v>#N/A</v>
          </cell>
          <cell r="O130" t="e">
            <v>#N/A</v>
          </cell>
          <cell r="P130">
            <v>88.01</v>
          </cell>
          <cell r="Q130">
            <v>1.7160229999999999</v>
          </cell>
          <cell r="R130" t="e">
            <v>#N/A</v>
          </cell>
        </row>
        <row r="131">
          <cell r="A131">
            <v>39402</v>
          </cell>
          <cell r="B131">
            <v>39402</v>
          </cell>
          <cell r="C131" t="str">
            <v>Past</v>
          </cell>
          <cell r="D131">
            <v>89.75</v>
          </cell>
          <cell r="E131" t="e">
            <v>#N/A</v>
          </cell>
          <cell r="F131" t="e">
            <v>#N/A</v>
          </cell>
          <cell r="G131" t="e">
            <v>#N/A</v>
          </cell>
          <cell r="H131" t="e">
            <v>#N/A</v>
          </cell>
          <cell r="I131" t="e">
            <v>#N/A</v>
          </cell>
          <cell r="J131" t="e">
            <v>#N/A</v>
          </cell>
          <cell r="K131" t="e">
            <v>#N/A</v>
          </cell>
          <cell r="L131" t="e">
            <v>#N/A</v>
          </cell>
          <cell r="M131" t="e">
            <v>#N/A</v>
          </cell>
          <cell r="N131" t="e">
            <v>#N/A</v>
          </cell>
          <cell r="O131" t="e">
            <v>#N/A</v>
          </cell>
          <cell r="P131">
            <v>89.75</v>
          </cell>
          <cell r="Q131">
            <v>2.3777749999999997</v>
          </cell>
          <cell r="R131" t="e">
            <v>#N/A</v>
          </cell>
        </row>
        <row r="132">
          <cell r="A132">
            <v>39405</v>
          </cell>
          <cell r="B132">
            <v>39405</v>
          </cell>
          <cell r="C132" t="str">
            <v>Past</v>
          </cell>
          <cell r="D132">
            <v>88.45</v>
          </cell>
          <cell r="E132" t="e">
            <v>#N/A</v>
          </cell>
          <cell r="F132" t="e">
            <v>#N/A</v>
          </cell>
          <cell r="G132" t="e">
            <v>#N/A</v>
          </cell>
          <cell r="H132" t="e">
            <v>#N/A</v>
          </cell>
          <cell r="I132" t="e">
            <v>#N/A</v>
          </cell>
          <cell r="J132" t="e">
            <v>#N/A</v>
          </cell>
          <cell r="K132" t="e">
            <v>#N/A</v>
          </cell>
          <cell r="L132" t="e">
            <v>#N/A</v>
          </cell>
          <cell r="M132" t="e">
            <v>#N/A</v>
          </cell>
          <cell r="N132" t="e">
            <v>#N/A</v>
          </cell>
          <cell r="O132" t="e">
            <v>#N/A</v>
          </cell>
          <cell r="P132">
            <v>88.45</v>
          </cell>
          <cell r="Q132">
            <v>1.9615</v>
          </cell>
          <cell r="R132" t="e">
            <v>#N/A</v>
          </cell>
        </row>
        <row r="133">
          <cell r="A133">
            <v>39406</v>
          </cell>
          <cell r="B133">
            <v>39406</v>
          </cell>
          <cell r="C133" t="str">
            <v>Past</v>
          </cell>
          <cell r="D133">
            <v>88.46</v>
          </cell>
          <cell r="E133" t="e">
            <v>#N/A</v>
          </cell>
          <cell r="F133" t="e">
            <v>#N/A</v>
          </cell>
          <cell r="G133" t="e">
            <v>#N/A</v>
          </cell>
          <cell r="H133" t="e">
            <v>#N/A</v>
          </cell>
          <cell r="I133" t="e">
            <v>#N/A</v>
          </cell>
          <cell r="J133" t="e">
            <v>#N/A</v>
          </cell>
          <cell r="K133" t="e">
            <v>#N/A</v>
          </cell>
          <cell r="L133" t="e">
            <v>#N/A</v>
          </cell>
          <cell r="M133" t="e">
            <v>#N/A</v>
          </cell>
          <cell r="N133" t="e">
            <v>#N/A</v>
          </cell>
          <cell r="O133" t="e">
            <v>#N/A</v>
          </cell>
          <cell r="P133">
            <v>88.46</v>
          </cell>
          <cell r="Q133">
            <v>1.8718619999999999</v>
          </cell>
          <cell r="R133" t="e">
            <v>#N/A</v>
          </cell>
        </row>
        <row r="134">
          <cell r="A134">
            <v>39407</v>
          </cell>
          <cell r="B134">
            <v>39407</v>
          </cell>
          <cell r="C134" t="str">
            <v>Past</v>
          </cell>
          <cell r="D134">
            <v>86.79</v>
          </cell>
          <cell r="E134" t="e">
            <v>#N/A</v>
          </cell>
          <cell r="F134" t="e">
            <v>#N/A</v>
          </cell>
          <cell r="G134" t="e">
            <v>#N/A</v>
          </cell>
          <cell r="H134" t="e">
            <v>#N/A</v>
          </cell>
          <cell r="I134" t="e">
            <v>#N/A</v>
          </cell>
          <cell r="J134" t="e">
            <v>#N/A</v>
          </cell>
          <cell r="K134" t="e">
            <v>#N/A</v>
          </cell>
          <cell r="L134" t="e">
            <v>#N/A</v>
          </cell>
          <cell r="M134" t="e">
            <v>#N/A</v>
          </cell>
          <cell r="N134" t="e">
            <v>#N/A</v>
          </cell>
          <cell r="O134" t="e">
            <v>#N/A</v>
          </cell>
          <cell r="P134">
            <v>86.79</v>
          </cell>
          <cell r="Q134">
            <v>1.2158100000000001</v>
          </cell>
          <cell r="R134" t="e">
            <v>#N/A</v>
          </cell>
        </row>
        <row r="135">
          <cell r="A135">
            <v>39409</v>
          </cell>
          <cell r="B135">
            <v>39409</v>
          </cell>
          <cell r="C135" t="str">
            <v>Past</v>
          </cell>
          <cell r="D135">
            <v>88.5</v>
          </cell>
          <cell r="E135" t="e">
            <v>#N/A</v>
          </cell>
          <cell r="F135" t="e">
            <v>#N/A</v>
          </cell>
          <cell r="G135" t="e">
            <v>#N/A</v>
          </cell>
          <cell r="H135" t="e">
            <v>#N/A</v>
          </cell>
          <cell r="I135" t="e">
            <v>#N/A</v>
          </cell>
          <cell r="J135" t="e">
            <v>#N/A</v>
          </cell>
          <cell r="K135" t="e">
            <v>#N/A</v>
          </cell>
          <cell r="L135" t="e">
            <v>#N/A</v>
          </cell>
          <cell r="M135" t="e">
            <v>#N/A</v>
          </cell>
          <cell r="N135" t="e">
            <v>#N/A</v>
          </cell>
          <cell r="O135" t="e">
            <v>#N/A</v>
          </cell>
          <cell r="P135">
            <v>88.5</v>
          </cell>
          <cell r="Q135">
            <v>0.66964099999999993</v>
          </cell>
          <cell r="R135" t="e">
            <v>#N/A</v>
          </cell>
        </row>
        <row r="136">
          <cell r="A136">
            <v>39412</v>
          </cell>
          <cell r="B136">
            <v>39412</v>
          </cell>
          <cell r="C136" t="str">
            <v>Past</v>
          </cell>
          <cell r="D136">
            <v>87.3</v>
          </cell>
          <cell r="E136" t="e">
            <v>#N/A</v>
          </cell>
          <cell r="F136" t="e">
            <v>#N/A</v>
          </cell>
          <cell r="G136" t="e">
            <v>#N/A</v>
          </cell>
          <cell r="H136" t="e">
            <v>#N/A</v>
          </cell>
          <cell r="I136" t="e">
            <v>#N/A</v>
          </cell>
          <cell r="J136" t="e">
            <v>#N/A</v>
          </cell>
          <cell r="K136" t="e">
            <v>#N/A</v>
          </cell>
          <cell r="L136" t="e">
            <v>#N/A</v>
          </cell>
          <cell r="M136" t="e">
            <v>#N/A</v>
          </cell>
          <cell r="N136" t="e">
            <v>#N/A</v>
          </cell>
          <cell r="O136" t="e">
            <v>#N/A</v>
          </cell>
          <cell r="P136">
            <v>87.3</v>
          </cell>
          <cell r="Q136">
            <v>1.590965</v>
          </cell>
          <cell r="R136" t="e">
            <v>#N/A</v>
          </cell>
        </row>
        <row r="137">
          <cell r="A137">
            <v>39413</v>
          </cell>
          <cell r="B137">
            <v>39413</v>
          </cell>
          <cell r="C137" t="str">
            <v>Past</v>
          </cell>
          <cell r="D137">
            <v>88.23</v>
          </cell>
          <cell r="E137" t="e">
            <v>#N/A</v>
          </cell>
          <cell r="F137" t="e">
            <v>#N/A</v>
          </cell>
          <cell r="G137" t="e">
            <v>#N/A</v>
          </cell>
          <cell r="H137" t="e">
            <v>#N/A</v>
          </cell>
          <cell r="I137" t="e">
            <v>#N/A</v>
          </cell>
          <cell r="J137" t="e">
            <v>#N/A</v>
          </cell>
          <cell r="K137" t="e">
            <v>#N/A</v>
          </cell>
          <cell r="L137" t="e">
            <v>#N/A</v>
          </cell>
          <cell r="M137" t="e">
            <v>#N/A</v>
          </cell>
          <cell r="N137" t="e">
            <v>#N/A</v>
          </cell>
          <cell r="O137" t="e">
            <v>#N/A</v>
          </cell>
          <cell r="P137">
            <v>88.23</v>
          </cell>
          <cell r="Q137">
            <v>2.1616619999999998</v>
          </cell>
          <cell r="R137" t="e">
            <v>#N/A</v>
          </cell>
        </row>
        <row r="138">
          <cell r="A138">
            <v>39414</v>
          </cell>
          <cell r="B138">
            <v>39414</v>
          </cell>
          <cell r="C138" t="str">
            <v>Past</v>
          </cell>
          <cell r="D138">
            <v>90.02</v>
          </cell>
          <cell r="E138" t="e">
            <v>#N/A</v>
          </cell>
          <cell r="F138" t="e">
            <v>#N/A</v>
          </cell>
          <cell r="G138" t="e">
            <v>#N/A</v>
          </cell>
          <cell r="H138" t="e">
            <v>#N/A</v>
          </cell>
          <cell r="I138" t="e">
            <v>#N/A</v>
          </cell>
          <cell r="J138" t="e">
            <v>#N/A</v>
          </cell>
          <cell r="K138" t="e">
            <v>#N/A</v>
          </cell>
          <cell r="L138" t="e">
            <v>#N/A</v>
          </cell>
          <cell r="M138" t="e">
            <v>#N/A</v>
          </cell>
          <cell r="N138" t="e">
            <v>#N/A</v>
          </cell>
          <cell r="O138" t="e">
            <v>#N/A</v>
          </cell>
          <cell r="P138">
            <v>90.02</v>
          </cell>
          <cell r="Q138">
            <v>1.879346</v>
          </cell>
          <cell r="R138" t="e">
            <v>#N/A</v>
          </cell>
        </row>
        <row r="139">
          <cell r="A139">
            <v>39415</v>
          </cell>
          <cell r="B139">
            <v>39415</v>
          </cell>
          <cell r="C139" t="str">
            <v>Past</v>
          </cell>
          <cell r="D139">
            <v>88.78</v>
          </cell>
          <cell r="E139" t="e">
            <v>#N/A</v>
          </cell>
          <cell r="F139" t="e">
            <v>#N/A</v>
          </cell>
          <cell r="G139" t="e">
            <v>#N/A</v>
          </cell>
          <cell r="H139" t="e">
            <v>#N/A</v>
          </cell>
          <cell r="I139" t="e">
            <v>#N/A</v>
          </cell>
          <cell r="J139" t="e">
            <v>#N/A</v>
          </cell>
          <cell r="K139" t="e">
            <v>#N/A</v>
          </cell>
          <cell r="L139" t="e">
            <v>#N/A</v>
          </cell>
          <cell r="M139" t="e">
            <v>#N/A</v>
          </cell>
          <cell r="N139" t="e">
            <v>#N/A</v>
          </cell>
          <cell r="O139" t="e">
            <v>#N/A</v>
          </cell>
          <cell r="P139">
            <v>88.78</v>
          </cell>
          <cell r="Q139">
            <v>1.8478029999999999</v>
          </cell>
          <cell r="R139" t="e">
            <v>#N/A</v>
          </cell>
        </row>
        <row r="140">
          <cell r="A140">
            <v>39416</v>
          </cell>
          <cell r="B140">
            <v>39416</v>
          </cell>
          <cell r="C140" t="str">
            <v>Past</v>
          </cell>
          <cell r="D140">
            <v>88.78</v>
          </cell>
          <cell r="E140" t="e">
            <v>#N/A</v>
          </cell>
          <cell r="F140" t="e">
            <v>#N/A</v>
          </cell>
          <cell r="G140" t="e">
            <v>#N/A</v>
          </cell>
          <cell r="H140" t="e">
            <v>#N/A</v>
          </cell>
          <cell r="I140" t="e">
            <v>#N/A</v>
          </cell>
          <cell r="J140" t="e">
            <v>#N/A</v>
          </cell>
          <cell r="K140" t="e">
            <v>#N/A</v>
          </cell>
          <cell r="L140" t="e">
            <v>#N/A</v>
          </cell>
          <cell r="M140" t="e">
            <v>#N/A</v>
          </cell>
          <cell r="N140" t="e">
            <v>#N/A</v>
          </cell>
          <cell r="O140" t="e">
            <v>#N/A</v>
          </cell>
          <cell r="P140">
            <v>88.78</v>
          </cell>
          <cell r="Q140">
            <v>1.9213600000000002</v>
          </cell>
          <cell r="R140" t="e">
            <v>#N/A</v>
          </cell>
        </row>
        <row r="141">
          <cell r="A141">
            <v>39419</v>
          </cell>
          <cell r="B141">
            <v>39419</v>
          </cell>
          <cell r="C141" t="str">
            <v>Past</v>
          </cell>
          <cell r="D141">
            <v>89.01</v>
          </cell>
          <cell r="E141" t="e">
            <v>#N/A</v>
          </cell>
          <cell r="F141" t="e">
            <v>#N/A</v>
          </cell>
          <cell r="G141" t="e">
            <v>#N/A</v>
          </cell>
          <cell r="H141" t="e">
            <v>#N/A</v>
          </cell>
          <cell r="I141" t="e">
            <v>#N/A</v>
          </cell>
          <cell r="J141" t="e">
            <v>#N/A</v>
          </cell>
          <cell r="K141" t="e">
            <v>#N/A</v>
          </cell>
          <cell r="L141" t="e">
            <v>#N/A</v>
          </cell>
          <cell r="M141" t="e">
            <v>#N/A</v>
          </cell>
          <cell r="N141" t="e">
            <v>#N/A</v>
          </cell>
          <cell r="O141" t="e">
            <v>#N/A</v>
          </cell>
          <cell r="P141">
            <v>89.01</v>
          </cell>
          <cell r="Q141">
            <v>1.4937319999999998</v>
          </cell>
          <cell r="R141" t="e">
            <v>#N/A</v>
          </cell>
        </row>
        <row r="142">
          <cell r="A142">
            <v>39420</v>
          </cell>
          <cell r="B142">
            <v>39420</v>
          </cell>
          <cell r="C142" t="str">
            <v>Past</v>
          </cell>
          <cell r="D142">
            <v>89.86</v>
          </cell>
          <cell r="E142" t="e">
            <v>#N/A</v>
          </cell>
          <cell r="F142" t="e">
            <v>#N/A</v>
          </cell>
          <cell r="G142" t="e">
            <v>#N/A</v>
          </cell>
          <cell r="H142" t="e">
            <v>#N/A</v>
          </cell>
          <cell r="I142" t="e">
            <v>#N/A</v>
          </cell>
          <cell r="J142" t="e">
            <v>#N/A</v>
          </cell>
          <cell r="K142" t="e">
            <v>#N/A</v>
          </cell>
          <cell r="L142" t="e">
            <v>#N/A</v>
          </cell>
          <cell r="M142" t="e">
            <v>#N/A</v>
          </cell>
          <cell r="N142" t="e">
            <v>#N/A</v>
          </cell>
          <cell r="O142" t="e">
            <v>#N/A</v>
          </cell>
          <cell r="P142">
            <v>89.86</v>
          </cell>
          <cell r="Q142">
            <v>1.7155</v>
          </cell>
          <cell r="R142" t="e">
            <v>#N/A</v>
          </cell>
        </row>
        <row r="143">
          <cell r="A143">
            <v>39421</v>
          </cell>
          <cell r="B143">
            <v>39421</v>
          </cell>
          <cell r="C143" t="str">
            <v>Past</v>
          </cell>
          <cell r="D143">
            <v>92.43</v>
          </cell>
          <cell r="E143" t="e">
            <v>#N/A</v>
          </cell>
          <cell r="F143" t="e">
            <v>#N/A</v>
          </cell>
          <cell r="G143" t="e">
            <v>#N/A</v>
          </cell>
          <cell r="H143" t="e">
            <v>#N/A</v>
          </cell>
          <cell r="I143" t="e">
            <v>#N/A</v>
          </cell>
          <cell r="J143" t="e">
            <v>#N/A</v>
          </cell>
          <cell r="K143" t="e">
            <v>#N/A</v>
          </cell>
          <cell r="L143" t="e">
            <v>#N/A</v>
          </cell>
          <cell r="M143" t="e">
            <v>#N/A</v>
          </cell>
          <cell r="N143" t="e">
            <v>#N/A</v>
          </cell>
          <cell r="O143" t="e">
            <v>#N/A</v>
          </cell>
          <cell r="P143">
            <v>92.43</v>
          </cell>
          <cell r="Q143">
            <v>2.3766750000000001</v>
          </cell>
          <cell r="R143" t="e">
            <v>#N/A</v>
          </cell>
        </row>
        <row r="144">
          <cell r="A144">
            <v>39422</v>
          </cell>
          <cell r="B144">
            <v>39422</v>
          </cell>
          <cell r="C144" t="str">
            <v>Past</v>
          </cell>
          <cell r="D144">
            <v>93.07</v>
          </cell>
          <cell r="E144" t="e">
            <v>#N/A</v>
          </cell>
          <cell r="F144" t="e">
            <v>#N/A</v>
          </cell>
          <cell r="G144" t="e">
            <v>#N/A</v>
          </cell>
          <cell r="H144" t="e">
            <v>#N/A</v>
          </cell>
          <cell r="I144" t="e">
            <v>#N/A</v>
          </cell>
          <cell r="J144" t="e">
            <v>#N/A</v>
          </cell>
          <cell r="K144" t="e">
            <v>#N/A</v>
          </cell>
          <cell r="L144" t="e">
            <v>#N/A</v>
          </cell>
          <cell r="M144" t="e">
            <v>#N/A</v>
          </cell>
          <cell r="N144" t="e">
            <v>#N/A</v>
          </cell>
          <cell r="O144" t="e">
            <v>#N/A</v>
          </cell>
          <cell r="P144">
            <v>93.07</v>
          </cell>
          <cell r="Q144">
            <v>2.6076459999999999</v>
          </cell>
          <cell r="R144" t="e">
            <v>#N/A</v>
          </cell>
        </row>
        <row r="145">
          <cell r="A145">
            <v>39423</v>
          </cell>
          <cell r="B145">
            <v>39423</v>
          </cell>
          <cell r="C145" t="str">
            <v>Past</v>
          </cell>
          <cell r="D145">
            <v>93.68</v>
          </cell>
          <cell r="E145" t="e">
            <v>#N/A</v>
          </cell>
          <cell r="F145" t="e">
            <v>#N/A</v>
          </cell>
          <cell r="G145" t="e">
            <v>#N/A</v>
          </cell>
          <cell r="H145" t="e">
            <v>#N/A</v>
          </cell>
          <cell r="I145" t="e">
            <v>#N/A</v>
          </cell>
          <cell r="J145" t="e">
            <v>#N/A</v>
          </cell>
          <cell r="K145" t="e">
            <v>#N/A</v>
          </cell>
          <cell r="L145" t="e">
            <v>#N/A</v>
          </cell>
          <cell r="M145" t="e">
            <v>#N/A</v>
          </cell>
          <cell r="N145" t="e">
            <v>#N/A</v>
          </cell>
          <cell r="O145" t="e">
            <v>#N/A</v>
          </cell>
          <cell r="P145">
            <v>93.68</v>
          </cell>
          <cell r="Q145">
            <v>1.6725909999999999</v>
          </cell>
          <cell r="R145" t="e">
            <v>#N/A</v>
          </cell>
        </row>
        <row r="146">
          <cell r="A146">
            <v>39426</v>
          </cell>
          <cell r="B146">
            <v>39426</v>
          </cell>
          <cell r="C146" t="str">
            <v>Past</v>
          </cell>
          <cell r="D146">
            <v>94</v>
          </cell>
          <cell r="E146" t="e">
            <v>#N/A</v>
          </cell>
          <cell r="F146" t="e">
            <v>#N/A</v>
          </cell>
          <cell r="G146" t="e">
            <v>#N/A</v>
          </cell>
          <cell r="H146" t="e">
            <v>#N/A</v>
          </cell>
          <cell r="I146" t="e">
            <v>#N/A</v>
          </cell>
          <cell r="J146" t="e">
            <v>#N/A</v>
          </cell>
          <cell r="K146" t="e">
            <v>#N/A</v>
          </cell>
          <cell r="L146" t="e">
            <v>#N/A</v>
          </cell>
          <cell r="M146" t="e">
            <v>#N/A</v>
          </cell>
          <cell r="N146" t="e">
            <v>#N/A</v>
          </cell>
          <cell r="O146" t="e">
            <v>#N/A</v>
          </cell>
          <cell r="P146">
            <v>94</v>
          </cell>
          <cell r="Q146">
            <v>1.4330879999999999</v>
          </cell>
          <cell r="R146" t="e">
            <v>#N/A</v>
          </cell>
        </row>
        <row r="147">
          <cell r="A147">
            <v>39427</v>
          </cell>
          <cell r="B147">
            <v>39427</v>
          </cell>
          <cell r="C147" t="str">
            <v>Past</v>
          </cell>
          <cell r="D147">
            <v>91.29</v>
          </cell>
          <cell r="E147" t="e">
            <v>#N/A</v>
          </cell>
          <cell r="F147" t="e">
            <v>#N/A</v>
          </cell>
          <cell r="G147" t="e">
            <v>#N/A</v>
          </cell>
          <cell r="H147" t="e">
            <v>#N/A</v>
          </cell>
          <cell r="I147" t="e">
            <v>#N/A</v>
          </cell>
          <cell r="J147" t="e">
            <v>#N/A</v>
          </cell>
          <cell r="K147" t="e">
            <v>#N/A</v>
          </cell>
          <cell r="L147" t="e">
            <v>#N/A</v>
          </cell>
          <cell r="M147" t="e">
            <v>#N/A</v>
          </cell>
          <cell r="N147" t="e">
            <v>#N/A</v>
          </cell>
          <cell r="O147" t="e">
            <v>#N/A</v>
          </cell>
          <cell r="P147">
            <v>91.29</v>
          </cell>
          <cell r="Q147">
            <v>1.785258</v>
          </cell>
          <cell r="R147" t="e">
            <v>#N/A</v>
          </cell>
        </row>
        <row r="148">
          <cell r="A148">
            <v>39428</v>
          </cell>
          <cell r="B148">
            <v>39428</v>
          </cell>
          <cell r="C148" t="str">
            <v>Past</v>
          </cell>
          <cell r="D148">
            <v>91.68</v>
          </cell>
          <cell r="E148" t="e">
            <v>#N/A</v>
          </cell>
          <cell r="F148" t="e">
            <v>#N/A</v>
          </cell>
          <cell r="G148" t="e">
            <v>#N/A</v>
          </cell>
          <cell r="H148" t="e">
            <v>#N/A</v>
          </cell>
          <cell r="I148" t="e">
            <v>#N/A</v>
          </cell>
          <cell r="J148" t="e">
            <v>#N/A</v>
          </cell>
          <cell r="K148" t="e">
            <v>#N/A</v>
          </cell>
          <cell r="L148" t="e">
            <v>#N/A</v>
          </cell>
          <cell r="M148" t="e">
            <v>#N/A</v>
          </cell>
          <cell r="N148" t="e">
            <v>#N/A</v>
          </cell>
          <cell r="O148" t="e">
            <v>#N/A</v>
          </cell>
          <cell r="P148">
            <v>91.68</v>
          </cell>
          <cell r="Q148">
            <v>1.9419689999999998</v>
          </cell>
          <cell r="R148" t="e">
            <v>#N/A</v>
          </cell>
        </row>
        <row r="149">
          <cell r="A149">
            <v>39429</v>
          </cell>
          <cell r="B149">
            <v>39429</v>
          </cell>
          <cell r="C149" t="str">
            <v>Past</v>
          </cell>
          <cell r="D149">
            <v>92.76</v>
          </cell>
          <cell r="E149" t="e">
            <v>#N/A</v>
          </cell>
          <cell r="F149" t="e">
            <v>#N/A</v>
          </cell>
          <cell r="G149" t="e">
            <v>#N/A</v>
          </cell>
          <cell r="H149" t="e">
            <v>#N/A</v>
          </cell>
          <cell r="I149" t="e">
            <v>#N/A</v>
          </cell>
          <cell r="J149" t="e">
            <v>#N/A</v>
          </cell>
          <cell r="K149" t="e">
            <v>#N/A</v>
          </cell>
          <cell r="L149" t="e">
            <v>#N/A</v>
          </cell>
          <cell r="M149" t="e">
            <v>#N/A</v>
          </cell>
          <cell r="N149" t="e">
            <v>#N/A</v>
          </cell>
          <cell r="O149" t="e">
            <v>#N/A</v>
          </cell>
          <cell r="P149">
            <v>92.76</v>
          </cell>
          <cell r="Q149">
            <v>1.4335769999999999</v>
          </cell>
          <cell r="R149" t="e">
            <v>#N/A</v>
          </cell>
        </row>
        <row r="150">
          <cell r="A150">
            <v>39430</v>
          </cell>
          <cell r="B150">
            <v>39430</v>
          </cell>
          <cell r="C150" t="str">
            <v>Past</v>
          </cell>
          <cell r="D150">
            <v>91.44</v>
          </cell>
          <cell r="E150" t="e">
            <v>#N/A</v>
          </cell>
          <cell r="F150" t="e">
            <v>#N/A</v>
          </cell>
          <cell r="G150" t="e">
            <v>#N/A</v>
          </cell>
          <cell r="H150" t="e">
            <v>#N/A</v>
          </cell>
          <cell r="I150" t="e">
            <v>#N/A</v>
          </cell>
          <cell r="J150" t="e">
            <v>#N/A</v>
          </cell>
          <cell r="K150" t="e">
            <v>#N/A</v>
          </cell>
          <cell r="L150" t="e">
            <v>#N/A</v>
          </cell>
          <cell r="M150" t="e">
            <v>#N/A</v>
          </cell>
          <cell r="N150" t="e">
            <v>#N/A</v>
          </cell>
          <cell r="O150" t="e">
            <v>#N/A</v>
          </cell>
          <cell r="P150">
            <v>91.44</v>
          </cell>
          <cell r="Q150">
            <v>1.2447000000000001</v>
          </cell>
          <cell r="R150" t="e">
            <v>#N/A</v>
          </cell>
        </row>
        <row r="151">
          <cell r="A151">
            <v>39433</v>
          </cell>
          <cell r="B151">
            <v>39433</v>
          </cell>
          <cell r="C151" t="str">
            <v>Past</v>
          </cell>
          <cell r="D151">
            <v>89.6</v>
          </cell>
          <cell r="E151" t="e">
            <v>#N/A</v>
          </cell>
          <cell r="F151" t="e">
            <v>#N/A</v>
          </cell>
          <cell r="G151" t="e">
            <v>#N/A</v>
          </cell>
          <cell r="H151" t="e">
            <v>#N/A</v>
          </cell>
          <cell r="I151" t="e">
            <v>#N/A</v>
          </cell>
          <cell r="J151" t="e">
            <v>#N/A</v>
          </cell>
          <cell r="K151" t="e">
            <v>#N/A</v>
          </cell>
          <cell r="L151" t="e">
            <v>#N/A</v>
          </cell>
          <cell r="M151" t="e">
            <v>#N/A</v>
          </cell>
          <cell r="N151" t="e">
            <v>#N/A</v>
          </cell>
          <cell r="O151" t="e">
            <v>#N/A</v>
          </cell>
          <cell r="P151">
            <v>89.6</v>
          </cell>
          <cell r="Q151">
            <v>1.310638</v>
          </cell>
          <cell r="R151" t="e">
            <v>#N/A</v>
          </cell>
        </row>
        <row r="152">
          <cell r="A152">
            <v>39434</v>
          </cell>
          <cell r="B152">
            <v>39434</v>
          </cell>
          <cell r="C152" t="str">
            <v>Past</v>
          </cell>
          <cell r="D152">
            <v>88.28</v>
          </cell>
          <cell r="E152" t="e">
            <v>#N/A</v>
          </cell>
          <cell r="F152" t="e">
            <v>#N/A</v>
          </cell>
          <cell r="G152" t="e">
            <v>#N/A</v>
          </cell>
          <cell r="H152" t="e">
            <v>#N/A</v>
          </cell>
          <cell r="I152" t="e">
            <v>#N/A</v>
          </cell>
          <cell r="J152" t="e">
            <v>#N/A</v>
          </cell>
          <cell r="K152" t="e">
            <v>#N/A</v>
          </cell>
          <cell r="L152" t="e">
            <v>#N/A</v>
          </cell>
          <cell r="M152" t="e">
            <v>#N/A</v>
          </cell>
          <cell r="N152" t="e">
            <v>#N/A</v>
          </cell>
          <cell r="O152" t="e">
            <v>#N/A</v>
          </cell>
          <cell r="P152">
            <v>88.28</v>
          </cell>
          <cell r="Q152">
            <v>2.665708</v>
          </cell>
          <cell r="R152" t="e">
            <v>#N/A</v>
          </cell>
        </row>
        <row r="153">
          <cell r="A153">
            <v>39435</v>
          </cell>
          <cell r="B153">
            <v>39435</v>
          </cell>
          <cell r="C153" t="str">
            <v>Past</v>
          </cell>
          <cell r="D153">
            <v>88.12</v>
          </cell>
          <cell r="E153" t="e">
            <v>#N/A</v>
          </cell>
          <cell r="F153" t="e">
            <v>#N/A</v>
          </cell>
          <cell r="G153" t="e">
            <v>#N/A</v>
          </cell>
          <cell r="H153" t="e">
            <v>#N/A</v>
          </cell>
          <cell r="I153" t="e">
            <v>#N/A</v>
          </cell>
          <cell r="J153" t="e">
            <v>#N/A</v>
          </cell>
          <cell r="K153" t="e">
            <v>#N/A</v>
          </cell>
          <cell r="L153" t="e">
            <v>#N/A</v>
          </cell>
          <cell r="M153" t="e">
            <v>#N/A</v>
          </cell>
          <cell r="N153" t="e">
            <v>#N/A</v>
          </cell>
          <cell r="O153" t="e">
            <v>#N/A</v>
          </cell>
          <cell r="P153">
            <v>88.12</v>
          </cell>
          <cell r="Q153">
            <v>1.494731</v>
          </cell>
          <cell r="R153" t="e">
            <v>#N/A</v>
          </cell>
        </row>
        <row r="154">
          <cell r="A154">
            <v>39436</v>
          </cell>
          <cell r="B154">
            <v>39436</v>
          </cell>
          <cell r="C154" t="str">
            <v>Past</v>
          </cell>
          <cell r="D154">
            <v>88.41</v>
          </cell>
          <cell r="E154" t="e">
            <v>#N/A</v>
          </cell>
          <cell r="F154" t="e">
            <v>#N/A</v>
          </cell>
          <cell r="G154" t="e">
            <v>#N/A</v>
          </cell>
          <cell r="H154" t="e">
            <v>#N/A</v>
          </cell>
          <cell r="I154" t="e">
            <v>#N/A</v>
          </cell>
          <cell r="J154" t="e">
            <v>#N/A</v>
          </cell>
          <cell r="K154" t="e">
            <v>#N/A</v>
          </cell>
          <cell r="L154" t="e">
            <v>#N/A</v>
          </cell>
          <cell r="M154" t="e">
            <v>#N/A</v>
          </cell>
          <cell r="N154" t="e">
            <v>#N/A</v>
          </cell>
          <cell r="O154" t="e">
            <v>#N/A</v>
          </cell>
          <cell r="P154">
            <v>88.41</v>
          </cell>
          <cell r="Q154">
            <v>1.2489109999999999</v>
          </cell>
          <cell r="R154" t="e">
            <v>#N/A</v>
          </cell>
        </row>
        <row r="155">
          <cell r="A155">
            <v>39437</v>
          </cell>
          <cell r="B155">
            <v>39437</v>
          </cell>
          <cell r="C155" t="str">
            <v>Past</v>
          </cell>
          <cell r="D155">
            <v>89.24</v>
          </cell>
          <cell r="E155" t="e">
            <v>#N/A</v>
          </cell>
          <cell r="F155" t="e">
            <v>#N/A</v>
          </cell>
          <cell r="G155" t="e">
            <v>#N/A</v>
          </cell>
          <cell r="H155" t="e">
            <v>#N/A</v>
          </cell>
          <cell r="I155" t="e">
            <v>#N/A</v>
          </cell>
          <cell r="J155" t="e">
            <v>#N/A</v>
          </cell>
          <cell r="K155" t="e">
            <v>#N/A</v>
          </cell>
          <cell r="L155" t="e">
            <v>#N/A</v>
          </cell>
          <cell r="M155" t="e">
            <v>#N/A</v>
          </cell>
          <cell r="N155" t="e">
            <v>#N/A</v>
          </cell>
          <cell r="O155" t="e">
            <v>#N/A</v>
          </cell>
          <cell r="P155">
            <v>89.24</v>
          </cell>
          <cell r="Q155">
            <v>2.1890900000000002</v>
          </cell>
          <cell r="R155" t="e">
            <v>#N/A</v>
          </cell>
        </row>
        <row r="156">
          <cell r="A156">
            <v>39440</v>
          </cell>
          <cell r="B156">
            <v>39440</v>
          </cell>
          <cell r="C156" t="str">
            <v>Past</v>
          </cell>
          <cell r="D156">
            <v>90.71</v>
          </cell>
          <cell r="E156" t="e">
            <v>#N/A</v>
          </cell>
          <cell r="F156" t="e">
            <v>#N/A</v>
          </cell>
          <cell r="G156" t="e">
            <v>#N/A</v>
          </cell>
          <cell r="H156" t="e">
            <v>#N/A</v>
          </cell>
          <cell r="I156" t="e">
            <v>#N/A</v>
          </cell>
          <cell r="J156" t="e">
            <v>#N/A</v>
          </cell>
          <cell r="K156" t="e">
            <v>#N/A</v>
          </cell>
          <cell r="L156" t="e">
            <v>#N/A</v>
          </cell>
          <cell r="M156" t="e">
            <v>#N/A</v>
          </cell>
          <cell r="N156" t="e">
            <v>#N/A</v>
          </cell>
          <cell r="O156" t="e">
            <v>#N/A</v>
          </cell>
          <cell r="P156">
            <v>90.71</v>
          </cell>
          <cell r="Q156">
            <v>0.48283899999999996</v>
          </cell>
          <cell r="R156" t="e">
            <v>#N/A</v>
          </cell>
        </row>
        <row r="157">
          <cell r="A157">
            <v>39442</v>
          </cell>
          <cell r="B157">
            <v>39442</v>
          </cell>
          <cell r="C157" t="str">
            <v>Past</v>
          </cell>
          <cell r="D157">
            <v>90.43</v>
          </cell>
          <cell r="E157" t="e">
            <v>#N/A</v>
          </cell>
          <cell r="F157" t="e">
            <v>#N/A</v>
          </cell>
          <cell r="G157" t="e">
            <v>#N/A</v>
          </cell>
          <cell r="H157" t="e">
            <v>#N/A</v>
          </cell>
          <cell r="I157" t="e">
            <v>#N/A</v>
          </cell>
          <cell r="J157" t="e">
            <v>#N/A</v>
          </cell>
          <cell r="K157" t="e">
            <v>#N/A</v>
          </cell>
          <cell r="L157" t="e">
            <v>#N/A</v>
          </cell>
          <cell r="M157" t="e">
            <v>#N/A</v>
          </cell>
          <cell r="N157" t="e">
            <v>#N/A</v>
          </cell>
          <cell r="O157" t="e">
            <v>#N/A</v>
          </cell>
          <cell r="P157">
            <v>90.43</v>
          </cell>
          <cell r="Q157">
            <v>0.66506799999999999</v>
          </cell>
          <cell r="R157" t="e">
            <v>#N/A</v>
          </cell>
        </row>
        <row r="158">
          <cell r="A158">
            <v>39443</v>
          </cell>
          <cell r="B158">
            <v>39443</v>
          </cell>
          <cell r="C158" t="str">
            <v>Past</v>
          </cell>
          <cell r="D158">
            <v>89.22</v>
          </cell>
          <cell r="E158" t="e">
            <v>#N/A</v>
          </cell>
          <cell r="F158" t="e">
            <v>#N/A</v>
          </cell>
          <cell r="G158" t="e">
            <v>#N/A</v>
          </cell>
          <cell r="H158" t="e">
            <v>#N/A</v>
          </cell>
          <cell r="I158" t="e">
            <v>#N/A</v>
          </cell>
          <cell r="J158" t="e">
            <v>#N/A</v>
          </cell>
          <cell r="K158" t="e">
            <v>#N/A</v>
          </cell>
          <cell r="L158" t="e">
            <v>#N/A</v>
          </cell>
          <cell r="M158" t="e">
            <v>#N/A</v>
          </cell>
          <cell r="N158" t="e">
            <v>#N/A</v>
          </cell>
          <cell r="O158" t="e">
            <v>#N/A</v>
          </cell>
          <cell r="P158">
            <v>89.22</v>
          </cell>
          <cell r="Q158">
            <v>0.96616000000000013</v>
          </cell>
          <cell r="R158" t="e">
            <v>#N/A</v>
          </cell>
        </row>
        <row r="159">
          <cell r="A159">
            <v>39444</v>
          </cell>
          <cell r="B159">
            <v>39444</v>
          </cell>
          <cell r="C159" t="str">
            <v>Past</v>
          </cell>
          <cell r="D159">
            <v>89.05</v>
          </cell>
          <cell r="E159" t="e">
            <v>#N/A</v>
          </cell>
          <cell r="F159" t="e">
            <v>#N/A</v>
          </cell>
          <cell r="G159" t="e">
            <v>#N/A</v>
          </cell>
          <cell r="H159" t="e">
            <v>#N/A</v>
          </cell>
          <cell r="I159" t="e">
            <v>#N/A</v>
          </cell>
          <cell r="J159" t="e">
            <v>#N/A</v>
          </cell>
          <cell r="K159" t="e">
            <v>#N/A</v>
          </cell>
          <cell r="L159" t="e">
            <v>#N/A</v>
          </cell>
          <cell r="M159" t="e">
            <v>#N/A</v>
          </cell>
          <cell r="N159" t="e">
            <v>#N/A</v>
          </cell>
          <cell r="O159" t="e">
            <v>#N/A</v>
          </cell>
          <cell r="P159">
            <v>89.05</v>
          </cell>
          <cell r="Q159">
            <v>0.83689399999999992</v>
          </cell>
          <cell r="R159" t="e">
            <v>#N/A</v>
          </cell>
        </row>
        <row r="160">
          <cell r="A160">
            <v>39447</v>
          </cell>
          <cell r="B160">
            <v>39447</v>
          </cell>
          <cell r="C160" t="str">
            <v>Past</v>
          </cell>
          <cell r="D160">
            <v>88.99</v>
          </cell>
          <cell r="E160" t="e">
            <v>#N/A</v>
          </cell>
          <cell r="F160" t="e">
            <v>#N/A</v>
          </cell>
          <cell r="G160" t="e">
            <v>#N/A</v>
          </cell>
          <cell r="H160" t="e">
            <v>#N/A</v>
          </cell>
          <cell r="I160" t="e">
            <v>#N/A</v>
          </cell>
          <cell r="J160" t="e">
            <v>#N/A</v>
          </cell>
          <cell r="K160" t="e">
            <v>#N/A</v>
          </cell>
          <cell r="L160" t="e">
            <v>#N/A</v>
          </cell>
          <cell r="M160" t="e">
            <v>#N/A</v>
          </cell>
          <cell r="N160" t="e">
            <v>#N/A</v>
          </cell>
          <cell r="O160" t="e">
            <v>#N/A</v>
          </cell>
          <cell r="P160">
            <v>88.99</v>
          </cell>
          <cell r="Q160">
            <v>0.80078299999999991</v>
          </cell>
          <cell r="R160" t="e">
            <v>#N/A</v>
          </cell>
        </row>
        <row r="161">
          <cell r="A161">
            <v>39449</v>
          </cell>
          <cell r="B161">
            <v>39449</v>
          </cell>
          <cell r="C161" t="str">
            <v>Past</v>
          </cell>
          <cell r="D161">
            <v>87.44</v>
          </cell>
          <cell r="E161" t="e">
            <v>#N/A</v>
          </cell>
          <cell r="F161" t="e">
            <v>#N/A</v>
          </cell>
          <cell r="G161" t="e">
            <v>#N/A</v>
          </cell>
          <cell r="H161" t="e">
            <v>#N/A</v>
          </cell>
          <cell r="I161" t="e">
            <v>#N/A</v>
          </cell>
          <cell r="J161" t="e">
            <v>#N/A</v>
          </cell>
          <cell r="K161" t="e">
            <v>#N/A</v>
          </cell>
          <cell r="L161" t="e">
            <v>#N/A</v>
          </cell>
          <cell r="M161" t="e">
            <v>#N/A</v>
          </cell>
          <cell r="N161" t="e">
            <v>#N/A</v>
          </cell>
          <cell r="O161" t="e">
            <v>#N/A</v>
          </cell>
          <cell r="P161">
            <v>87.44</v>
          </cell>
          <cell r="Q161">
            <v>1.030996</v>
          </cell>
          <cell r="R161" t="e">
            <v>#N/A</v>
          </cell>
        </row>
        <row r="162">
          <cell r="A162">
            <v>39450</v>
          </cell>
          <cell r="B162">
            <v>39450</v>
          </cell>
          <cell r="C162" t="str">
            <v>Past</v>
          </cell>
          <cell r="D162">
            <v>88.5</v>
          </cell>
          <cell r="E162" t="e">
            <v>#N/A</v>
          </cell>
          <cell r="F162" t="e">
            <v>#N/A</v>
          </cell>
          <cell r="G162" t="e">
            <v>#N/A</v>
          </cell>
          <cell r="H162" t="e">
            <v>#N/A</v>
          </cell>
          <cell r="I162" t="e">
            <v>#N/A</v>
          </cell>
          <cell r="J162" t="e">
            <v>#N/A</v>
          </cell>
          <cell r="K162" t="e">
            <v>#N/A</v>
          </cell>
          <cell r="L162" t="e">
            <v>#N/A</v>
          </cell>
          <cell r="M162" t="e">
            <v>#N/A</v>
          </cell>
          <cell r="N162" t="e">
            <v>#N/A</v>
          </cell>
          <cell r="O162" t="e">
            <v>#N/A</v>
          </cell>
          <cell r="P162">
            <v>88.5</v>
          </cell>
          <cell r="Q162">
            <v>1.3632949999999999</v>
          </cell>
          <cell r="R162" t="e">
            <v>#N/A</v>
          </cell>
        </row>
        <row r="163">
          <cell r="A163">
            <v>39451</v>
          </cell>
          <cell r="B163">
            <v>39451</v>
          </cell>
          <cell r="C163" t="str">
            <v>Past</v>
          </cell>
          <cell r="D163">
            <v>86</v>
          </cell>
          <cell r="E163" t="e">
            <v>#N/A</v>
          </cell>
          <cell r="F163" t="e">
            <v>#N/A</v>
          </cell>
          <cell r="G163" t="e">
            <v>#N/A</v>
          </cell>
          <cell r="H163" t="e">
            <v>#N/A</v>
          </cell>
          <cell r="I163" t="e">
            <v>#N/A</v>
          </cell>
          <cell r="J163" t="e">
            <v>#N/A</v>
          </cell>
          <cell r="K163" t="e">
            <v>#N/A</v>
          </cell>
          <cell r="L163" t="e">
            <v>#N/A</v>
          </cell>
          <cell r="M163" t="e">
            <v>#N/A</v>
          </cell>
          <cell r="N163" t="e">
            <v>#N/A</v>
          </cell>
          <cell r="O163" t="e">
            <v>#N/A</v>
          </cell>
          <cell r="P163">
            <v>86</v>
          </cell>
          <cell r="Q163">
            <v>1.7306709999999998</v>
          </cell>
          <cell r="R163" t="e">
            <v>#N/A</v>
          </cell>
        </row>
        <row r="164">
          <cell r="A164">
            <v>39454</v>
          </cell>
          <cell r="B164">
            <v>39454</v>
          </cell>
          <cell r="C164" t="str">
            <v>Past</v>
          </cell>
          <cell r="D164">
            <v>85.91</v>
          </cell>
          <cell r="E164" t="e">
            <v>#N/A</v>
          </cell>
          <cell r="F164" t="e">
            <v>#N/A</v>
          </cell>
          <cell r="G164" t="e">
            <v>#N/A</v>
          </cell>
          <cell r="H164" t="e">
            <v>#N/A</v>
          </cell>
          <cell r="I164" t="e">
            <v>#N/A</v>
          </cell>
          <cell r="J164" t="e">
            <v>#N/A</v>
          </cell>
          <cell r="K164" t="e">
            <v>#N/A</v>
          </cell>
          <cell r="L164" t="e">
            <v>#N/A</v>
          </cell>
          <cell r="M164" t="e">
            <v>#N/A</v>
          </cell>
          <cell r="N164" t="e">
            <v>#N/A</v>
          </cell>
          <cell r="O164" t="e">
            <v>#N/A</v>
          </cell>
          <cell r="P164">
            <v>85.91</v>
          </cell>
          <cell r="Q164">
            <v>2.181797</v>
          </cell>
          <cell r="R164" t="e">
            <v>#N/A</v>
          </cell>
        </row>
        <row r="165">
          <cell r="A165">
            <v>39455</v>
          </cell>
          <cell r="B165">
            <v>39455</v>
          </cell>
          <cell r="C165" t="str">
            <v>Past</v>
          </cell>
          <cell r="D165">
            <v>85.63</v>
          </cell>
          <cell r="E165" t="e">
            <v>#N/A</v>
          </cell>
          <cell r="F165" t="e">
            <v>#N/A</v>
          </cell>
          <cell r="G165" t="e">
            <v>#N/A</v>
          </cell>
          <cell r="H165" t="e">
            <v>#N/A</v>
          </cell>
          <cell r="I165" t="e">
            <v>#N/A</v>
          </cell>
          <cell r="J165" t="e">
            <v>#N/A</v>
          </cell>
          <cell r="K165" t="e">
            <v>#N/A</v>
          </cell>
          <cell r="L165" t="e">
            <v>#N/A</v>
          </cell>
          <cell r="M165" t="e">
            <v>#N/A</v>
          </cell>
          <cell r="N165" t="e">
            <v>#N/A</v>
          </cell>
          <cell r="O165" t="e">
            <v>#N/A</v>
          </cell>
          <cell r="P165">
            <v>85.63</v>
          </cell>
          <cell r="Q165">
            <v>2.5070779999999999</v>
          </cell>
          <cell r="R165" t="e">
            <v>#N/A</v>
          </cell>
        </row>
        <row r="166">
          <cell r="A166">
            <v>39456</v>
          </cell>
          <cell r="B166">
            <v>39456</v>
          </cell>
          <cell r="C166" t="str">
            <v>Past</v>
          </cell>
          <cell r="D166">
            <v>88.93</v>
          </cell>
          <cell r="E166" t="e">
            <v>#N/A</v>
          </cell>
          <cell r="F166" t="e">
            <v>#N/A</v>
          </cell>
          <cell r="G166" t="e">
            <v>#N/A</v>
          </cell>
          <cell r="H166" t="e">
            <v>#N/A</v>
          </cell>
          <cell r="I166" t="e">
            <v>#N/A</v>
          </cell>
          <cell r="J166" t="e">
            <v>#N/A</v>
          </cell>
          <cell r="K166" t="e">
            <v>#N/A</v>
          </cell>
          <cell r="L166" t="e">
            <v>#N/A</v>
          </cell>
          <cell r="M166" t="e">
            <v>#N/A</v>
          </cell>
          <cell r="N166" t="e">
            <v>#N/A</v>
          </cell>
          <cell r="O166" t="e">
            <v>#N/A</v>
          </cell>
          <cell r="P166">
            <v>88.93</v>
          </cell>
          <cell r="Q166">
            <v>2.6670500000000001</v>
          </cell>
          <cell r="R166" t="e">
            <v>#N/A</v>
          </cell>
        </row>
        <row r="167">
          <cell r="A167">
            <v>39457</v>
          </cell>
          <cell r="B167">
            <v>39457</v>
          </cell>
          <cell r="C167" t="str">
            <v>Past</v>
          </cell>
          <cell r="D167">
            <v>88.83</v>
          </cell>
          <cell r="E167" t="e">
            <v>#N/A</v>
          </cell>
          <cell r="F167" t="e">
            <v>#N/A</v>
          </cell>
          <cell r="G167" t="e">
            <v>#N/A</v>
          </cell>
          <cell r="H167" t="e">
            <v>#N/A</v>
          </cell>
          <cell r="I167" t="e">
            <v>#N/A</v>
          </cell>
          <cell r="J167" t="e">
            <v>#N/A</v>
          </cell>
          <cell r="K167" t="e">
            <v>#N/A</v>
          </cell>
          <cell r="L167" t="e">
            <v>#N/A</v>
          </cell>
          <cell r="M167" t="e">
            <v>#N/A</v>
          </cell>
          <cell r="N167" t="e">
            <v>#N/A</v>
          </cell>
          <cell r="O167" t="e">
            <v>#N/A</v>
          </cell>
          <cell r="P167">
            <v>88.83</v>
          </cell>
          <cell r="Q167">
            <v>2.2145809999999999</v>
          </cell>
          <cell r="R167" t="e">
            <v>#N/A</v>
          </cell>
        </row>
        <row r="168">
          <cell r="A168">
            <v>39458</v>
          </cell>
          <cell r="B168">
            <v>39458</v>
          </cell>
          <cell r="C168" t="str">
            <v>Past</v>
          </cell>
          <cell r="D168">
            <v>86.56</v>
          </cell>
          <cell r="E168" t="e">
            <v>#N/A</v>
          </cell>
          <cell r="F168" t="e">
            <v>#N/A</v>
          </cell>
          <cell r="G168" t="e">
            <v>#N/A</v>
          </cell>
          <cell r="H168" t="e">
            <v>#N/A</v>
          </cell>
          <cell r="I168" t="e">
            <v>#N/A</v>
          </cell>
          <cell r="J168" t="e">
            <v>#N/A</v>
          </cell>
          <cell r="K168" t="e">
            <v>#N/A</v>
          </cell>
          <cell r="L168" t="e">
            <v>#N/A</v>
          </cell>
          <cell r="M168" t="e">
            <v>#N/A</v>
          </cell>
          <cell r="N168" t="e">
            <v>#N/A</v>
          </cell>
          <cell r="O168" t="e">
            <v>#N/A</v>
          </cell>
          <cell r="P168">
            <v>86.56</v>
          </cell>
          <cell r="Q168">
            <v>1.9330049999999999</v>
          </cell>
          <cell r="R168" t="e">
            <v>#N/A</v>
          </cell>
        </row>
        <row r="169">
          <cell r="A169">
            <v>39461</v>
          </cell>
          <cell r="B169">
            <v>39461</v>
          </cell>
          <cell r="C169" t="str">
            <v>Past</v>
          </cell>
          <cell r="D169">
            <v>86.4</v>
          </cell>
          <cell r="E169" t="e">
            <v>#N/A</v>
          </cell>
          <cell r="F169" t="e">
            <v>#N/A</v>
          </cell>
          <cell r="G169" t="e">
            <v>#N/A</v>
          </cell>
          <cell r="H169" t="e">
            <v>#N/A</v>
          </cell>
          <cell r="I169" t="e">
            <v>#N/A</v>
          </cell>
          <cell r="J169" t="e">
            <v>#N/A</v>
          </cell>
          <cell r="K169" t="e">
            <v>#N/A</v>
          </cell>
          <cell r="L169" t="e">
            <v>#N/A</v>
          </cell>
          <cell r="M169" t="e">
            <v>#N/A</v>
          </cell>
          <cell r="N169" t="e">
            <v>#N/A</v>
          </cell>
          <cell r="O169" t="e">
            <v>#N/A</v>
          </cell>
          <cell r="P169">
            <v>86.4</v>
          </cell>
          <cell r="Q169">
            <v>2.2890259999999998</v>
          </cell>
          <cell r="R169" t="e">
            <v>#N/A</v>
          </cell>
        </row>
        <row r="170">
          <cell r="A170">
            <v>39462</v>
          </cell>
          <cell r="B170">
            <v>39462</v>
          </cell>
          <cell r="C170" t="str">
            <v>Past</v>
          </cell>
          <cell r="D170">
            <v>85.32</v>
          </cell>
          <cell r="E170" t="e">
            <v>#N/A</v>
          </cell>
          <cell r="F170" t="e">
            <v>#N/A</v>
          </cell>
          <cell r="G170" t="e">
            <v>#N/A</v>
          </cell>
          <cell r="H170" t="e">
            <v>#N/A</v>
          </cell>
          <cell r="I170" t="e">
            <v>#N/A</v>
          </cell>
          <cell r="J170" t="e">
            <v>#N/A</v>
          </cell>
          <cell r="K170" t="e">
            <v>#N/A</v>
          </cell>
          <cell r="L170" t="e">
            <v>#N/A</v>
          </cell>
          <cell r="M170" t="e">
            <v>#N/A</v>
          </cell>
          <cell r="N170" t="e">
            <v>#N/A</v>
          </cell>
          <cell r="O170" t="e">
            <v>#N/A</v>
          </cell>
          <cell r="P170">
            <v>85.32</v>
          </cell>
          <cell r="Q170">
            <v>2.0715919999999999</v>
          </cell>
          <cell r="R170" t="e">
            <v>#N/A</v>
          </cell>
        </row>
        <row r="171">
          <cell r="A171">
            <v>39463</v>
          </cell>
          <cell r="B171">
            <v>39463</v>
          </cell>
          <cell r="C171" t="str">
            <v>Past</v>
          </cell>
          <cell r="D171">
            <v>83.97</v>
          </cell>
          <cell r="E171" t="e">
            <v>#N/A</v>
          </cell>
          <cell r="F171" t="e">
            <v>#N/A</v>
          </cell>
          <cell r="G171" t="e">
            <v>#N/A</v>
          </cell>
          <cell r="H171" t="e">
            <v>#N/A</v>
          </cell>
          <cell r="I171" t="e">
            <v>#N/A</v>
          </cell>
          <cell r="J171" t="e">
            <v>#N/A</v>
          </cell>
          <cell r="K171" t="e">
            <v>#N/A</v>
          </cell>
          <cell r="L171" t="e">
            <v>#N/A</v>
          </cell>
          <cell r="M171" t="e">
            <v>#N/A</v>
          </cell>
          <cell r="N171" t="e">
            <v>#N/A</v>
          </cell>
          <cell r="O171" t="e">
            <v>#N/A</v>
          </cell>
          <cell r="P171">
            <v>83.97</v>
          </cell>
          <cell r="Q171">
            <v>2.270743</v>
          </cell>
          <cell r="R171" t="e">
            <v>#N/A</v>
          </cell>
        </row>
        <row r="172">
          <cell r="A172">
            <v>39464</v>
          </cell>
          <cell r="B172">
            <v>39464</v>
          </cell>
          <cell r="C172" t="str">
            <v>Past</v>
          </cell>
          <cell r="D172">
            <v>80.790000000000006</v>
          </cell>
          <cell r="E172" t="e">
            <v>#N/A</v>
          </cell>
          <cell r="F172" t="e">
            <v>#N/A</v>
          </cell>
          <cell r="G172" t="e">
            <v>#N/A</v>
          </cell>
          <cell r="H172" t="e">
            <v>#N/A</v>
          </cell>
          <cell r="I172" t="e">
            <v>#N/A</v>
          </cell>
          <cell r="J172" t="e">
            <v>#N/A</v>
          </cell>
          <cell r="K172" t="e">
            <v>#N/A</v>
          </cell>
          <cell r="L172" t="e">
            <v>#N/A</v>
          </cell>
          <cell r="M172" t="e">
            <v>#N/A</v>
          </cell>
          <cell r="N172" t="e">
            <v>#N/A</v>
          </cell>
          <cell r="O172" t="e">
            <v>#N/A</v>
          </cell>
          <cell r="P172">
            <v>80.790000000000006</v>
          </cell>
          <cell r="Q172">
            <v>3.0620819999999997</v>
          </cell>
          <cell r="R172" t="e">
            <v>#N/A</v>
          </cell>
        </row>
        <row r="173">
          <cell r="A173">
            <v>39465</v>
          </cell>
          <cell r="B173">
            <v>39465</v>
          </cell>
          <cell r="C173" t="str">
            <v>Past</v>
          </cell>
          <cell r="D173">
            <v>80.8</v>
          </cell>
          <cell r="E173" t="e">
            <v>#N/A</v>
          </cell>
          <cell r="F173" t="e">
            <v>#N/A</v>
          </cell>
          <cell r="G173" t="e">
            <v>#N/A</v>
          </cell>
          <cell r="H173" t="e">
            <v>#N/A</v>
          </cell>
          <cell r="I173" t="e">
            <v>#N/A</v>
          </cell>
          <cell r="J173" t="e">
            <v>#N/A</v>
          </cell>
          <cell r="K173" t="e">
            <v>#N/A</v>
          </cell>
          <cell r="L173" t="e">
            <v>#N/A</v>
          </cell>
          <cell r="M173" t="e">
            <v>#N/A</v>
          </cell>
          <cell r="N173" t="e">
            <v>#N/A</v>
          </cell>
          <cell r="O173" t="e">
            <v>#N/A</v>
          </cell>
          <cell r="P173">
            <v>80.8</v>
          </cell>
          <cell r="Q173">
            <v>2.635875</v>
          </cell>
          <cell r="R173" t="e">
            <v>#N/A</v>
          </cell>
        </row>
        <row r="174">
          <cell r="A174">
            <v>39469</v>
          </cell>
          <cell r="B174">
            <v>39469</v>
          </cell>
          <cell r="C174" t="str">
            <v>Past</v>
          </cell>
          <cell r="D174">
            <v>78.849999999999994</v>
          </cell>
          <cell r="E174" t="e">
            <v>#N/A</v>
          </cell>
          <cell r="F174" t="e">
            <v>#N/A</v>
          </cell>
          <cell r="G174" t="e">
            <v>#N/A</v>
          </cell>
          <cell r="H174" t="e">
            <v>#N/A</v>
          </cell>
          <cell r="I174" t="e">
            <v>#N/A</v>
          </cell>
          <cell r="J174" t="e">
            <v>#N/A</v>
          </cell>
          <cell r="K174" t="e">
            <v>#N/A</v>
          </cell>
          <cell r="L174" t="e">
            <v>#N/A</v>
          </cell>
          <cell r="M174" t="e">
            <v>#N/A</v>
          </cell>
          <cell r="N174" t="e">
            <v>#N/A</v>
          </cell>
          <cell r="O174" t="e">
            <v>#N/A</v>
          </cell>
          <cell r="P174">
            <v>78.849999999999994</v>
          </cell>
          <cell r="Q174">
            <v>3.3672339999999998</v>
          </cell>
          <cell r="R174" t="e">
            <v>#N/A</v>
          </cell>
        </row>
        <row r="175">
          <cell r="A175">
            <v>39470</v>
          </cell>
          <cell r="B175">
            <v>39470</v>
          </cell>
          <cell r="C175" t="str">
            <v>Past</v>
          </cell>
          <cell r="D175">
            <v>79.05</v>
          </cell>
          <cell r="E175" t="e">
            <v>#N/A</v>
          </cell>
          <cell r="F175" t="e">
            <v>#N/A</v>
          </cell>
          <cell r="G175" t="e">
            <v>#N/A</v>
          </cell>
          <cell r="H175" t="e">
            <v>#N/A</v>
          </cell>
          <cell r="I175" t="e">
            <v>#N/A</v>
          </cell>
          <cell r="J175" t="e">
            <v>#N/A</v>
          </cell>
          <cell r="K175" t="e">
            <v>#N/A</v>
          </cell>
          <cell r="L175" t="e">
            <v>#N/A</v>
          </cell>
          <cell r="M175" t="e">
            <v>#N/A</v>
          </cell>
          <cell r="N175" t="e">
            <v>#N/A</v>
          </cell>
          <cell r="O175" t="e">
            <v>#N/A</v>
          </cell>
          <cell r="P175">
            <v>79.05</v>
          </cell>
          <cell r="Q175">
            <v>3.354663</v>
          </cell>
          <cell r="R175" t="e">
            <v>#N/A</v>
          </cell>
        </row>
        <row r="176">
          <cell r="A176">
            <v>39471</v>
          </cell>
          <cell r="B176">
            <v>39471</v>
          </cell>
          <cell r="C176" t="str">
            <v>Past</v>
          </cell>
          <cell r="D176">
            <v>83.07</v>
          </cell>
          <cell r="E176" t="e">
            <v>#N/A</v>
          </cell>
          <cell r="F176" t="e">
            <v>#N/A</v>
          </cell>
          <cell r="G176" t="e">
            <v>#N/A</v>
          </cell>
          <cell r="H176" t="e">
            <v>#N/A</v>
          </cell>
          <cell r="I176" t="e">
            <v>#N/A</v>
          </cell>
          <cell r="J176" t="e">
            <v>#N/A</v>
          </cell>
          <cell r="K176" t="e">
            <v>#N/A</v>
          </cell>
          <cell r="L176" t="e">
            <v>#N/A</v>
          </cell>
          <cell r="M176" t="e">
            <v>#N/A</v>
          </cell>
          <cell r="N176" t="e">
            <v>#N/A</v>
          </cell>
          <cell r="O176" t="e">
            <v>#N/A</v>
          </cell>
          <cell r="P176">
            <v>83.07</v>
          </cell>
          <cell r="Q176">
            <v>3.768783</v>
          </cell>
          <cell r="R176" t="e">
            <v>#N/A</v>
          </cell>
        </row>
        <row r="177">
          <cell r="A177">
            <v>39472</v>
          </cell>
          <cell r="B177">
            <v>39472</v>
          </cell>
          <cell r="C177" t="str">
            <v>Past</v>
          </cell>
          <cell r="D177">
            <v>81.13</v>
          </cell>
          <cell r="E177" t="e">
            <v>#N/A</v>
          </cell>
          <cell r="F177" t="e">
            <v>#N/A</v>
          </cell>
          <cell r="G177" t="e">
            <v>#N/A</v>
          </cell>
          <cell r="H177" t="e">
            <v>#N/A</v>
          </cell>
          <cell r="I177" t="e">
            <v>#N/A</v>
          </cell>
          <cell r="J177" t="e">
            <v>#N/A</v>
          </cell>
          <cell r="K177" t="e">
            <v>#N/A</v>
          </cell>
          <cell r="L177" t="e">
            <v>#N/A</v>
          </cell>
          <cell r="M177" t="e">
            <v>#N/A</v>
          </cell>
          <cell r="N177" t="e">
            <v>#N/A</v>
          </cell>
          <cell r="O177" t="e">
            <v>#N/A</v>
          </cell>
          <cell r="P177">
            <v>81.13</v>
          </cell>
          <cell r="Q177">
            <v>3.1753369999999999</v>
          </cell>
          <cell r="R177" t="e">
            <v>#N/A</v>
          </cell>
        </row>
        <row r="178">
          <cell r="A178">
            <v>39475</v>
          </cell>
          <cell r="B178">
            <v>39475</v>
          </cell>
          <cell r="C178" t="str">
            <v>Past</v>
          </cell>
          <cell r="D178">
            <v>82.8</v>
          </cell>
          <cell r="E178" t="e">
            <v>#N/A</v>
          </cell>
          <cell r="F178" t="e">
            <v>#N/A</v>
          </cell>
          <cell r="G178" t="e">
            <v>#N/A</v>
          </cell>
          <cell r="H178" t="e">
            <v>#N/A</v>
          </cell>
          <cell r="I178" t="e">
            <v>#N/A</v>
          </cell>
          <cell r="J178" t="e">
            <v>#N/A</v>
          </cell>
          <cell r="K178" t="e">
            <v>#N/A</v>
          </cell>
          <cell r="L178" t="e">
            <v>#N/A</v>
          </cell>
          <cell r="M178" t="e">
            <v>#N/A</v>
          </cell>
          <cell r="N178" t="e">
            <v>#N/A</v>
          </cell>
          <cell r="O178" t="e">
            <v>#N/A</v>
          </cell>
          <cell r="P178">
            <v>82.8</v>
          </cell>
          <cell r="Q178">
            <v>2.3740709999999998</v>
          </cell>
          <cell r="R178" t="e">
            <v>#N/A</v>
          </cell>
        </row>
        <row r="179">
          <cell r="A179">
            <v>39476</v>
          </cell>
          <cell r="B179">
            <v>39476</v>
          </cell>
          <cell r="C179" t="str">
            <v>Past</v>
          </cell>
          <cell r="D179">
            <v>83.32</v>
          </cell>
          <cell r="E179" t="e">
            <v>#N/A</v>
          </cell>
          <cell r="F179" t="e">
            <v>#N/A</v>
          </cell>
          <cell r="G179" t="e">
            <v>#N/A</v>
          </cell>
          <cell r="H179" t="e">
            <v>#N/A</v>
          </cell>
          <cell r="I179" t="e">
            <v>#N/A</v>
          </cell>
          <cell r="J179" t="e">
            <v>#N/A</v>
          </cell>
          <cell r="K179" t="e">
            <v>#N/A</v>
          </cell>
          <cell r="L179" t="e">
            <v>#N/A</v>
          </cell>
          <cell r="M179" t="e">
            <v>#N/A</v>
          </cell>
          <cell r="N179" t="e">
            <v>#N/A</v>
          </cell>
          <cell r="O179" t="e">
            <v>#N/A</v>
          </cell>
          <cell r="P179">
            <v>83.32</v>
          </cell>
          <cell r="Q179">
            <v>1.659095</v>
          </cell>
          <cell r="R179" t="e">
            <v>#N/A</v>
          </cell>
        </row>
        <row r="180">
          <cell r="A180">
            <v>39477</v>
          </cell>
          <cell r="B180">
            <v>39477</v>
          </cell>
          <cell r="C180" t="str">
            <v>Past</v>
          </cell>
          <cell r="D180">
            <v>83.71</v>
          </cell>
          <cell r="E180" t="e">
            <v>#N/A</v>
          </cell>
          <cell r="F180" t="e">
            <v>#N/A</v>
          </cell>
          <cell r="G180" t="e">
            <v>#N/A</v>
          </cell>
          <cell r="H180" t="e">
            <v>#N/A</v>
          </cell>
          <cell r="I180" t="e">
            <v>#N/A</v>
          </cell>
          <cell r="J180" t="e">
            <v>#N/A</v>
          </cell>
          <cell r="K180" t="e">
            <v>#N/A</v>
          </cell>
          <cell r="L180" t="e">
            <v>#N/A</v>
          </cell>
          <cell r="M180" t="e">
            <v>#N/A</v>
          </cell>
          <cell r="N180" t="e">
            <v>#N/A</v>
          </cell>
          <cell r="O180" t="e">
            <v>#N/A</v>
          </cell>
          <cell r="P180">
            <v>83.71</v>
          </cell>
          <cell r="Q180">
            <v>1.59433</v>
          </cell>
          <cell r="R180" t="e">
            <v>#N/A</v>
          </cell>
        </row>
        <row r="181">
          <cell r="A181">
            <v>39478</v>
          </cell>
          <cell r="B181">
            <v>39478</v>
          </cell>
          <cell r="C181" t="str">
            <v>Past</v>
          </cell>
          <cell r="D181">
            <v>84.53</v>
          </cell>
          <cell r="E181" t="e">
            <v>#N/A</v>
          </cell>
          <cell r="F181" t="e">
            <v>#N/A</v>
          </cell>
          <cell r="G181" t="e">
            <v>#N/A</v>
          </cell>
          <cell r="H181" t="e">
            <v>#N/A</v>
          </cell>
          <cell r="I181" t="e">
            <v>#N/A</v>
          </cell>
          <cell r="J181" t="e">
            <v>#N/A</v>
          </cell>
          <cell r="K181" t="e">
            <v>#N/A</v>
          </cell>
          <cell r="L181" t="e">
            <v>#N/A</v>
          </cell>
          <cell r="M181" t="e">
            <v>#N/A</v>
          </cell>
          <cell r="N181" t="e">
            <v>#N/A</v>
          </cell>
          <cell r="O181" t="e">
            <v>#N/A</v>
          </cell>
          <cell r="P181">
            <v>84.53</v>
          </cell>
          <cell r="Q181">
            <v>2.3517000000000001</v>
          </cell>
          <cell r="R181" t="e">
            <v>#N/A</v>
          </cell>
        </row>
        <row r="182">
          <cell r="A182">
            <v>39479</v>
          </cell>
          <cell r="B182">
            <v>39479</v>
          </cell>
          <cell r="C182" t="str">
            <v>Past</v>
          </cell>
          <cell r="D182">
            <v>85.34</v>
          </cell>
          <cell r="E182" t="e">
            <v>#N/A</v>
          </cell>
          <cell r="F182" t="e">
            <v>#N/A</v>
          </cell>
          <cell r="G182" t="e">
            <v>#N/A</v>
          </cell>
          <cell r="H182" t="e">
            <v>#N/A</v>
          </cell>
          <cell r="I182" t="e">
            <v>#N/A</v>
          </cell>
          <cell r="J182" t="e">
            <v>#N/A</v>
          </cell>
          <cell r="K182" t="e">
            <v>#N/A</v>
          </cell>
          <cell r="L182" t="e">
            <v>#N/A</v>
          </cell>
          <cell r="M182" t="e">
            <v>#N/A</v>
          </cell>
          <cell r="N182" t="e">
            <v>#N/A</v>
          </cell>
          <cell r="O182" t="e">
            <v>#N/A</v>
          </cell>
          <cell r="P182">
            <v>85.34</v>
          </cell>
          <cell r="Q182">
            <v>1.510537</v>
          </cell>
          <cell r="R182" t="e">
            <v>#N/A</v>
          </cell>
        </row>
        <row r="183">
          <cell r="A183">
            <v>39482</v>
          </cell>
          <cell r="B183">
            <v>39482</v>
          </cell>
          <cell r="C183" t="str">
            <v>Past</v>
          </cell>
          <cell r="D183">
            <v>84.88</v>
          </cell>
          <cell r="E183" t="e">
            <v>#N/A</v>
          </cell>
          <cell r="F183" t="e">
            <v>#N/A</v>
          </cell>
          <cell r="G183" t="e">
            <v>#N/A</v>
          </cell>
          <cell r="H183" t="e">
            <v>#N/A</v>
          </cell>
          <cell r="I183" t="e">
            <v>#N/A</v>
          </cell>
          <cell r="J183" t="e">
            <v>#N/A</v>
          </cell>
          <cell r="K183" t="e">
            <v>#N/A</v>
          </cell>
          <cell r="L183" t="e">
            <v>#N/A</v>
          </cell>
          <cell r="M183" t="e">
            <v>#N/A</v>
          </cell>
          <cell r="N183" t="e">
            <v>#N/A</v>
          </cell>
          <cell r="O183" t="e">
            <v>#N/A</v>
          </cell>
          <cell r="P183">
            <v>84.88</v>
          </cell>
          <cell r="Q183">
            <v>1.156817</v>
          </cell>
          <cell r="R183" t="e">
            <v>#N/A</v>
          </cell>
        </row>
        <row r="184">
          <cell r="A184">
            <v>39483</v>
          </cell>
          <cell r="B184">
            <v>39483</v>
          </cell>
          <cell r="C184" t="str">
            <v>Past</v>
          </cell>
          <cell r="D184">
            <v>82.93</v>
          </cell>
          <cell r="E184" t="e">
            <v>#N/A</v>
          </cell>
          <cell r="F184" t="e">
            <v>#N/A</v>
          </cell>
          <cell r="G184" t="e">
            <v>#N/A</v>
          </cell>
          <cell r="H184" t="e">
            <v>#N/A</v>
          </cell>
          <cell r="I184" t="e">
            <v>#N/A</v>
          </cell>
          <cell r="J184" t="e">
            <v>#N/A</v>
          </cell>
          <cell r="K184" t="e">
            <v>#N/A</v>
          </cell>
          <cell r="L184" t="e">
            <v>#N/A</v>
          </cell>
          <cell r="M184" t="e">
            <v>#N/A</v>
          </cell>
          <cell r="N184" t="e">
            <v>#N/A</v>
          </cell>
          <cell r="O184" t="e">
            <v>#N/A</v>
          </cell>
          <cell r="P184">
            <v>82.93</v>
          </cell>
          <cell r="Q184">
            <v>1.950564</v>
          </cell>
          <cell r="R184" t="e">
            <v>#N/A</v>
          </cell>
        </row>
        <row r="185">
          <cell r="A185">
            <v>39484</v>
          </cell>
          <cell r="B185">
            <v>39484</v>
          </cell>
          <cell r="C185" t="str">
            <v>Past</v>
          </cell>
          <cell r="D185">
            <v>82.99</v>
          </cell>
          <cell r="E185" t="e">
            <v>#N/A</v>
          </cell>
          <cell r="F185" t="e">
            <v>#N/A</v>
          </cell>
          <cell r="G185" t="e">
            <v>#N/A</v>
          </cell>
          <cell r="H185" t="e">
            <v>#N/A</v>
          </cell>
          <cell r="I185" t="e">
            <v>#N/A</v>
          </cell>
          <cell r="J185" t="e">
            <v>#N/A</v>
          </cell>
          <cell r="K185" t="e">
            <v>#N/A</v>
          </cell>
          <cell r="L185" t="e">
            <v>#N/A</v>
          </cell>
          <cell r="M185" t="e">
            <v>#N/A</v>
          </cell>
          <cell r="N185" t="e">
            <v>#N/A</v>
          </cell>
          <cell r="O185" t="e">
            <v>#N/A</v>
          </cell>
          <cell r="P185">
            <v>82.99</v>
          </cell>
          <cell r="Q185">
            <v>1.8402189999999998</v>
          </cell>
          <cell r="R185" t="e">
            <v>#N/A</v>
          </cell>
        </row>
        <row r="186">
          <cell r="A186">
            <v>39485</v>
          </cell>
          <cell r="B186">
            <v>39485</v>
          </cell>
          <cell r="C186" t="str">
            <v>Past</v>
          </cell>
          <cell r="D186">
            <v>83.45</v>
          </cell>
          <cell r="E186" t="e">
            <v>#N/A</v>
          </cell>
          <cell r="F186" t="e">
            <v>#N/A</v>
          </cell>
          <cell r="G186" t="e">
            <v>#N/A</v>
          </cell>
          <cell r="H186" t="e">
            <v>#N/A</v>
          </cell>
          <cell r="I186" t="e">
            <v>#N/A</v>
          </cell>
          <cell r="J186" t="e">
            <v>#N/A</v>
          </cell>
          <cell r="K186" t="e">
            <v>#N/A</v>
          </cell>
          <cell r="L186" t="e">
            <v>#N/A</v>
          </cell>
          <cell r="M186" t="e">
            <v>#N/A</v>
          </cell>
          <cell r="N186" t="e">
            <v>#N/A</v>
          </cell>
          <cell r="O186" t="e">
            <v>#N/A</v>
          </cell>
          <cell r="P186">
            <v>83.45</v>
          </cell>
          <cell r="Q186">
            <v>2.2602700000000002</v>
          </cell>
          <cell r="R186" t="e">
            <v>#N/A</v>
          </cell>
        </row>
        <row r="187">
          <cell r="A187">
            <v>39486</v>
          </cell>
          <cell r="B187">
            <v>39486</v>
          </cell>
          <cell r="C187" t="str">
            <v>Past</v>
          </cell>
          <cell r="D187">
            <v>83.37</v>
          </cell>
          <cell r="E187" t="e">
            <v>#N/A</v>
          </cell>
          <cell r="F187" t="e">
            <v>#N/A</v>
          </cell>
          <cell r="G187" t="e">
            <v>#N/A</v>
          </cell>
          <cell r="H187" t="e">
            <v>#N/A</v>
          </cell>
          <cell r="I187" t="e">
            <v>#N/A</v>
          </cell>
          <cell r="J187" t="e">
            <v>#N/A</v>
          </cell>
          <cell r="K187" t="e">
            <v>#N/A</v>
          </cell>
          <cell r="L187" t="e">
            <v>#N/A</v>
          </cell>
          <cell r="M187" t="e">
            <v>#N/A</v>
          </cell>
          <cell r="N187" t="e">
            <v>#N/A</v>
          </cell>
          <cell r="O187" t="e">
            <v>#N/A</v>
          </cell>
          <cell r="P187">
            <v>83.37</v>
          </cell>
          <cell r="Q187">
            <v>1.5627609999999998</v>
          </cell>
          <cell r="R187" t="e">
            <v>#N/A</v>
          </cell>
        </row>
        <row r="188">
          <cell r="A188">
            <v>39489</v>
          </cell>
          <cell r="B188">
            <v>39489</v>
          </cell>
          <cell r="C188" t="str">
            <v>Past</v>
          </cell>
          <cell r="D188">
            <v>83.3</v>
          </cell>
          <cell r="E188" t="e">
            <v>#N/A</v>
          </cell>
          <cell r="F188" t="e">
            <v>#N/A</v>
          </cell>
          <cell r="G188" t="e">
            <v>#N/A</v>
          </cell>
          <cell r="H188" t="e">
            <v>#N/A</v>
          </cell>
          <cell r="I188" t="e">
            <v>#N/A</v>
          </cell>
          <cell r="J188" t="e">
            <v>#N/A</v>
          </cell>
          <cell r="K188" t="e">
            <v>#N/A</v>
          </cell>
          <cell r="L188" t="e">
            <v>#N/A</v>
          </cell>
          <cell r="M188" t="e">
            <v>#N/A</v>
          </cell>
          <cell r="N188" t="e">
            <v>#N/A</v>
          </cell>
          <cell r="O188" t="e">
            <v>#N/A</v>
          </cell>
          <cell r="P188">
            <v>83.3</v>
          </cell>
          <cell r="Q188">
            <v>1.5929849999999999</v>
          </cell>
          <cell r="R188" t="e">
            <v>#N/A</v>
          </cell>
        </row>
        <row r="189">
          <cell r="A189">
            <v>39490</v>
          </cell>
          <cell r="B189">
            <v>39490</v>
          </cell>
          <cell r="C189" t="str">
            <v>Past</v>
          </cell>
          <cell r="D189">
            <v>84.04</v>
          </cell>
          <cell r="E189" t="e">
            <v>#N/A</v>
          </cell>
          <cell r="F189" t="e">
            <v>#N/A</v>
          </cell>
          <cell r="G189" t="e">
            <v>#N/A</v>
          </cell>
          <cell r="H189" t="e">
            <v>#N/A</v>
          </cell>
          <cell r="I189" t="e">
            <v>#N/A</v>
          </cell>
          <cell r="J189" t="e">
            <v>#N/A</v>
          </cell>
          <cell r="K189" t="e">
            <v>#N/A</v>
          </cell>
          <cell r="L189" t="e">
            <v>#N/A</v>
          </cell>
          <cell r="M189" t="e">
            <v>#N/A</v>
          </cell>
          <cell r="N189" t="e">
            <v>#N/A</v>
          </cell>
          <cell r="O189" t="e">
            <v>#N/A</v>
          </cell>
          <cell r="P189">
            <v>84.04</v>
          </cell>
          <cell r="Q189">
            <v>2.8136829999999997</v>
          </cell>
          <cell r="R189" t="e">
            <v>#N/A</v>
          </cell>
        </row>
        <row r="190">
          <cell r="A190">
            <v>39491</v>
          </cell>
          <cell r="B190">
            <v>39491</v>
          </cell>
          <cell r="C190" t="str">
            <v>Past</v>
          </cell>
          <cell r="D190">
            <v>84.15</v>
          </cell>
          <cell r="E190" t="e">
            <v>#N/A</v>
          </cell>
          <cell r="F190" t="e">
            <v>#N/A</v>
          </cell>
          <cell r="G190" t="e">
            <v>#N/A</v>
          </cell>
          <cell r="H190" t="e">
            <v>#N/A</v>
          </cell>
          <cell r="I190" t="e">
            <v>#N/A</v>
          </cell>
          <cell r="J190" t="e">
            <v>#N/A</v>
          </cell>
          <cell r="K190" t="e">
            <v>#N/A</v>
          </cell>
          <cell r="L190" t="e">
            <v>#N/A</v>
          </cell>
          <cell r="M190" t="e">
            <v>#N/A</v>
          </cell>
          <cell r="N190" t="e">
            <v>#N/A</v>
          </cell>
          <cell r="O190" t="e">
            <v>#N/A</v>
          </cell>
          <cell r="P190">
            <v>84.15</v>
          </cell>
          <cell r="Q190">
            <v>2.3163860000000001</v>
          </cell>
          <cell r="R190" t="e">
            <v>#N/A</v>
          </cell>
        </row>
        <row r="191">
          <cell r="A191">
            <v>39492</v>
          </cell>
          <cell r="B191">
            <v>39492</v>
          </cell>
          <cell r="C191" t="str">
            <v>Past</v>
          </cell>
          <cell r="D191">
            <v>83.33</v>
          </cell>
          <cell r="E191" t="e">
            <v>#N/A</v>
          </cell>
          <cell r="F191" t="e">
            <v>#N/A</v>
          </cell>
          <cell r="G191" t="e">
            <v>#N/A</v>
          </cell>
          <cell r="H191" t="e">
            <v>#N/A</v>
          </cell>
          <cell r="I191" t="e">
            <v>#N/A</v>
          </cell>
          <cell r="J191" t="e">
            <v>#N/A</v>
          </cell>
          <cell r="K191" t="e">
            <v>#N/A</v>
          </cell>
          <cell r="L191" t="e">
            <v>#N/A</v>
          </cell>
          <cell r="M191" t="e">
            <v>#N/A</v>
          </cell>
          <cell r="N191" t="e">
            <v>#N/A</v>
          </cell>
          <cell r="O191" t="e">
            <v>#N/A</v>
          </cell>
          <cell r="P191">
            <v>83.33</v>
          </cell>
          <cell r="Q191">
            <v>1.957611</v>
          </cell>
          <cell r="R191" t="e">
            <v>#N/A</v>
          </cell>
        </row>
        <row r="192">
          <cell r="A192">
            <v>39493</v>
          </cell>
          <cell r="B192">
            <v>39493</v>
          </cell>
          <cell r="C192" t="str">
            <v>Past</v>
          </cell>
          <cell r="D192">
            <v>83.43</v>
          </cell>
          <cell r="E192" t="e">
            <v>#N/A</v>
          </cell>
          <cell r="F192" t="e">
            <v>#N/A</v>
          </cell>
          <cell r="G192" t="e">
            <v>#N/A</v>
          </cell>
          <cell r="H192" t="e">
            <v>#N/A</v>
          </cell>
          <cell r="I192" t="e">
            <v>#N/A</v>
          </cell>
          <cell r="J192" t="e">
            <v>#N/A</v>
          </cell>
          <cell r="K192" t="e">
            <v>#N/A</v>
          </cell>
          <cell r="L192" t="e">
            <v>#N/A</v>
          </cell>
          <cell r="M192" t="e">
            <v>#N/A</v>
          </cell>
          <cell r="N192" t="e">
            <v>#N/A</v>
          </cell>
          <cell r="O192" t="e">
            <v>#N/A</v>
          </cell>
          <cell r="P192">
            <v>83.43</v>
          </cell>
          <cell r="Q192">
            <v>1.7531949999999998</v>
          </cell>
          <cell r="R192" t="e">
            <v>#N/A</v>
          </cell>
        </row>
        <row r="193">
          <cell r="A193">
            <v>39497</v>
          </cell>
          <cell r="B193">
            <v>39497</v>
          </cell>
          <cell r="C193" t="str">
            <v>Past</v>
          </cell>
          <cell r="D193">
            <v>83.93</v>
          </cell>
          <cell r="E193" t="e">
            <v>#N/A</v>
          </cell>
          <cell r="F193" t="e">
            <v>#N/A</v>
          </cell>
          <cell r="G193" t="e">
            <v>#N/A</v>
          </cell>
          <cell r="H193" t="e">
            <v>#N/A</v>
          </cell>
          <cell r="I193" t="e">
            <v>#N/A</v>
          </cell>
          <cell r="J193" t="e">
            <v>#N/A</v>
          </cell>
          <cell r="K193" t="e">
            <v>#N/A</v>
          </cell>
          <cell r="L193" t="e">
            <v>#N/A</v>
          </cell>
          <cell r="M193" t="e">
            <v>#N/A</v>
          </cell>
          <cell r="N193" t="e">
            <v>#N/A</v>
          </cell>
          <cell r="O193" t="e">
            <v>#N/A</v>
          </cell>
          <cell r="P193">
            <v>83.93</v>
          </cell>
          <cell r="Q193">
            <v>1.420752</v>
          </cell>
          <cell r="R193" t="e">
            <v>#N/A</v>
          </cell>
        </row>
        <row r="194">
          <cell r="A194">
            <v>39498</v>
          </cell>
          <cell r="B194">
            <v>39498</v>
          </cell>
          <cell r="C194" t="str">
            <v>Past</v>
          </cell>
          <cell r="D194">
            <v>84.16</v>
          </cell>
          <cell r="E194" t="e">
            <v>#N/A</v>
          </cell>
          <cell r="F194" t="e">
            <v>#N/A</v>
          </cell>
          <cell r="G194" t="e">
            <v>#N/A</v>
          </cell>
          <cell r="H194" t="e">
            <v>#N/A</v>
          </cell>
          <cell r="I194" t="e">
            <v>#N/A</v>
          </cell>
          <cell r="J194" t="e">
            <v>#N/A</v>
          </cell>
          <cell r="K194" t="e">
            <v>#N/A</v>
          </cell>
          <cell r="L194" t="e">
            <v>#N/A</v>
          </cell>
          <cell r="M194" t="e">
            <v>#N/A</v>
          </cell>
          <cell r="N194" t="e">
            <v>#N/A</v>
          </cell>
          <cell r="O194" t="e">
            <v>#N/A</v>
          </cell>
          <cell r="P194">
            <v>84.16</v>
          </cell>
          <cell r="Q194">
            <v>1.490688</v>
          </cell>
          <cell r="R194" t="e">
            <v>#N/A</v>
          </cell>
        </row>
        <row r="195">
          <cell r="A195">
            <v>39499</v>
          </cell>
          <cell r="B195">
            <v>39499</v>
          </cell>
          <cell r="C195" t="str">
            <v>Past</v>
          </cell>
          <cell r="D195">
            <v>82.8</v>
          </cell>
          <cell r="E195" t="e">
            <v>#N/A</v>
          </cell>
          <cell r="F195" t="e">
            <v>#N/A</v>
          </cell>
          <cell r="G195" t="e">
            <v>#N/A</v>
          </cell>
          <cell r="H195" t="e">
            <v>#N/A</v>
          </cell>
          <cell r="I195" t="e">
            <v>#N/A</v>
          </cell>
          <cell r="J195" t="e">
            <v>#N/A</v>
          </cell>
          <cell r="K195" t="e">
            <v>#N/A</v>
          </cell>
          <cell r="L195" t="e">
            <v>#N/A</v>
          </cell>
          <cell r="M195" t="e">
            <v>#N/A</v>
          </cell>
          <cell r="N195" t="e">
            <v>#N/A</v>
          </cell>
          <cell r="O195" t="e">
            <v>#N/A</v>
          </cell>
          <cell r="P195">
            <v>82.8</v>
          </cell>
          <cell r="Q195">
            <v>1.9195829999999998</v>
          </cell>
          <cell r="R195" t="e">
            <v>#N/A</v>
          </cell>
        </row>
        <row r="196">
          <cell r="A196">
            <v>39500</v>
          </cell>
          <cell r="B196">
            <v>39500</v>
          </cell>
          <cell r="C196" t="str">
            <v>Past</v>
          </cell>
          <cell r="D196">
            <v>83.65</v>
          </cell>
          <cell r="E196" t="e">
            <v>#N/A</v>
          </cell>
          <cell r="F196" t="e">
            <v>#N/A</v>
          </cell>
          <cell r="G196" t="e">
            <v>#N/A</v>
          </cell>
          <cell r="H196" t="e">
            <v>#N/A</v>
          </cell>
          <cell r="I196" t="e">
            <v>#N/A</v>
          </cell>
          <cell r="J196" t="e">
            <v>#N/A</v>
          </cell>
          <cell r="K196" t="e">
            <v>#N/A</v>
          </cell>
          <cell r="L196" t="e">
            <v>#N/A</v>
          </cell>
          <cell r="M196" t="e">
            <v>#N/A</v>
          </cell>
          <cell r="N196" t="e">
            <v>#N/A</v>
          </cell>
          <cell r="O196" t="e">
            <v>#N/A</v>
          </cell>
          <cell r="P196">
            <v>83.65</v>
          </cell>
          <cell r="Q196">
            <v>1.8880939999999999</v>
          </cell>
          <cell r="R196" t="e">
            <v>#N/A</v>
          </cell>
        </row>
        <row r="197">
          <cell r="A197">
            <v>39503</v>
          </cell>
          <cell r="B197">
            <v>39503</v>
          </cell>
          <cell r="C197" t="str">
            <v>Past</v>
          </cell>
          <cell r="D197">
            <v>83.93</v>
          </cell>
          <cell r="E197" t="e">
            <v>#N/A</v>
          </cell>
          <cell r="F197" t="e">
            <v>#N/A</v>
          </cell>
          <cell r="G197" t="e">
            <v>#N/A</v>
          </cell>
          <cell r="H197" t="e">
            <v>#N/A</v>
          </cell>
          <cell r="I197" t="e">
            <v>#N/A</v>
          </cell>
          <cell r="J197" t="e">
            <v>#N/A</v>
          </cell>
          <cell r="K197" t="e">
            <v>#N/A</v>
          </cell>
          <cell r="L197" t="e">
            <v>#N/A</v>
          </cell>
          <cell r="M197" t="e">
            <v>#N/A</v>
          </cell>
          <cell r="N197" t="e">
            <v>#N/A</v>
          </cell>
          <cell r="O197" t="e">
            <v>#N/A</v>
          </cell>
          <cell r="P197">
            <v>83.93</v>
          </cell>
          <cell r="Q197">
            <v>2.5656059999999998</v>
          </cell>
          <cell r="R197" t="e">
            <v>#N/A</v>
          </cell>
        </row>
        <row r="198">
          <cell r="A198">
            <v>39504</v>
          </cell>
          <cell r="B198">
            <v>39504</v>
          </cell>
          <cell r="C198" t="str">
            <v>Past</v>
          </cell>
          <cell r="D198">
            <v>83.46</v>
          </cell>
          <cell r="E198" t="e">
            <v>#N/A</v>
          </cell>
          <cell r="F198" t="e">
            <v>#N/A</v>
          </cell>
          <cell r="G198" t="e">
            <v>#N/A</v>
          </cell>
          <cell r="H198" t="e">
            <v>#N/A</v>
          </cell>
          <cell r="I198" t="e">
            <v>#N/A</v>
          </cell>
          <cell r="J198" t="e">
            <v>#N/A</v>
          </cell>
          <cell r="K198" t="e">
            <v>#N/A</v>
          </cell>
          <cell r="L198" t="e">
            <v>#N/A</v>
          </cell>
          <cell r="M198" t="e">
            <v>#N/A</v>
          </cell>
          <cell r="N198" t="e">
            <v>#N/A</v>
          </cell>
          <cell r="O198" t="e">
            <v>#N/A</v>
          </cell>
          <cell r="P198">
            <v>83.46</v>
          </cell>
          <cell r="Q198">
            <v>1.9623200000000001</v>
          </cell>
          <cell r="R198" t="e">
            <v>#N/A</v>
          </cell>
        </row>
        <row r="199">
          <cell r="A199">
            <v>39505</v>
          </cell>
          <cell r="B199">
            <v>39505</v>
          </cell>
          <cell r="C199" t="str">
            <v>Past</v>
          </cell>
          <cell r="D199">
            <v>83.37</v>
          </cell>
          <cell r="E199" t="e">
            <v>#N/A</v>
          </cell>
          <cell r="F199" t="e">
            <v>#N/A</v>
          </cell>
          <cell r="G199" t="e">
            <v>#N/A</v>
          </cell>
          <cell r="H199" t="e">
            <v>#N/A</v>
          </cell>
          <cell r="I199" t="e">
            <v>#N/A</v>
          </cell>
          <cell r="J199" t="e">
            <v>#N/A</v>
          </cell>
          <cell r="K199" t="e">
            <v>#N/A</v>
          </cell>
          <cell r="L199" t="e">
            <v>#N/A</v>
          </cell>
          <cell r="M199" t="e">
            <v>#N/A</v>
          </cell>
          <cell r="N199" t="e">
            <v>#N/A</v>
          </cell>
          <cell r="O199" t="e">
            <v>#N/A</v>
          </cell>
          <cell r="P199">
            <v>83.37</v>
          </cell>
          <cell r="Q199">
            <v>1.628412</v>
          </cell>
          <cell r="R199" t="e">
            <v>#N/A</v>
          </cell>
        </row>
        <row r="200">
          <cell r="A200">
            <v>39506</v>
          </cell>
          <cell r="B200">
            <v>39506</v>
          </cell>
          <cell r="C200" t="str">
            <v>Past</v>
          </cell>
          <cell r="D200">
            <v>83</v>
          </cell>
          <cell r="E200" t="e">
            <v>#N/A</v>
          </cell>
          <cell r="F200" t="e">
            <v>#N/A</v>
          </cell>
          <cell r="G200" t="e">
            <v>#N/A</v>
          </cell>
          <cell r="H200" t="e">
            <v>#N/A</v>
          </cell>
          <cell r="I200" t="e">
            <v>#N/A</v>
          </cell>
          <cell r="J200" t="e">
            <v>#N/A</v>
          </cell>
          <cell r="K200" t="e">
            <v>#N/A</v>
          </cell>
          <cell r="L200" t="e">
            <v>#N/A</v>
          </cell>
          <cell r="M200" t="e">
            <v>#N/A</v>
          </cell>
          <cell r="N200" t="e">
            <v>#N/A</v>
          </cell>
          <cell r="O200" t="e">
            <v>#N/A</v>
          </cell>
          <cell r="P200">
            <v>83</v>
          </cell>
          <cell r="Q200">
            <v>1.1867179999999999</v>
          </cell>
          <cell r="R200" t="e">
            <v>#N/A</v>
          </cell>
        </row>
        <row r="201">
          <cell r="A201">
            <v>39507</v>
          </cell>
          <cell r="B201">
            <v>39507</v>
          </cell>
          <cell r="C201" t="str">
            <v>Past</v>
          </cell>
          <cell r="D201">
            <v>81.849999999999994</v>
          </cell>
          <cell r="E201" t="e">
            <v>#N/A</v>
          </cell>
          <cell r="F201" t="e">
            <v>#N/A</v>
          </cell>
          <cell r="G201" t="e">
            <v>#N/A</v>
          </cell>
          <cell r="H201" t="e">
            <v>#N/A</v>
          </cell>
          <cell r="I201" t="e">
            <v>#N/A</v>
          </cell>
          <cell r="J201" t="e">
            <v>#N/A</v>
          </cell>
          <cell r="K201" t="e">
            <v>#N/A</v>
          </cell>
          <cell r="L201" t="e">
            <v>#N/A</v>
          </cell>
          <cell r="M201" t="e">
            <v>#N/A</v>
          </cell>
          <cell r="N201" t="e">
            <v>#N/A</v>
          </cell>
          <cell r="O201" t="e">
            <v>#N/A</v>
          </cell>
          <cell r="P201">
            <v>81.849999999999994</v>
          </cell>
          <cell r="Q201">
            <v>1.9083439999999998</v>
          </cell>
          <cell r="R201" t="e">
            <v>#N/A</v>
          </cell>
        </row>
        <row r="202">
          <cell r="A202">
            <v>39510</v>
          </cell>
          <cell r="B202">
            <v>39510</v>
          </cell>
          <cell r="C202" t="str">
            <v>Past</v>
          </cell>
          <cell r="D202">
            <v>81.75</v>
          </cell>
          <cell r="E202" t="e">
            <v>#N/A</v>
          </cell>
          <cell r="F202" t="e">
            <v>#N/A</v>
          </cell>
          <cell r="G202" t="e">
            <v>#N/A</v>
          </cell>
          <cell r="H202" t="e">
            <v>#N/A</v>
          </cell>
          <cell r="I202" t="e">
            <v>#N/A</v>
          </cell>
          <cell r="J202" t="e">
            <v>#N/A</v>
          </cell>
          <cell r="K202" t="e">
            <v>#N/A</v>
          </cell>
          <cell r="L202" t="e">
            <v>#N/A</v>
          </cell>
          <cell r="M202" t="e">
            <v>#N/A</v>
          </cell>
          <cell r="N202" t="e">
            <v>#N/A</v>
          </cell>
          <cell r="O202" t="e">
            <v>#N/A</v>
          </cell>
          <cell r="P202">
            <v>81.75</v>
          </cell>
          <cell r="Q202">
            <v>2.4922339999999998</v>
          </cell>
          <cell r="R202" t="e">
            <v>#N/A</v>
          </cell>
        </row>
        <row r="203">
          <cell r="A203">
            <v>39511</v>
          </cell>
          <cell r="B203">
            <v>39511</v>
          </cell>
          <cell r="C203" t="str">
            <v>Past</v>
          </cell>
          <cell r="D203">
            <v>82.61</v>
          </cell>
          <cell r="E203" t="e">
            <v>#N/A</v>
          </cell>
          <cell r="F203" t="e">
            <v>#N/A</v>
          </cell>
          <cell r="G203" t="e">
            <v>#N/A</v>
          </cell>
          <cell r="H203" t="e">
            <v>#N/A</v>
          </cell>
          <cell r="I203" t="e">
            <v>#N/A</v>
          </cell>
          <cell r="J203" t="e">
            <v>#N/A</v>
          </cell>
          <cell r="K203" t="e">
            <v>#N/A</v>
          </cell>
          <cell r="L203" t="e">
            <v>#N/A</v>
          </cell>
          <cell r="M203" t="e">
            <v>#N/A</v>
          </cell>
          <cell r="N203" t="e">
            <v>#N/A</v>
          </cell>
          <cell r="O203" t="e">
            <v>#N/A</v>
          </cell>
          <cell r="P203">
            <v>82.61</v>
          </cell>
          <cell r="Q203">
            <v>2.5891439999999997</v>
          </cell>
          <cell r="R203" t="e">
            <v>#N/A</v>
          </cell>
        </row>
        <row r="204">
          <cell r="A204">
            <v>39512</v>
          </cell>
          <cell r="B204">
            <v>39512</v>
          </cell>
          <cell r="C204" t="str">
            <v>Past</v>
          </cell>
          <cell r="D204">
            <v>83.52</v>
          </cell>
          <cell r="E204" t="e">
            <v>#N/A</v>
          </cell>
          <cell r="F204" t="e">
            <v>#N/A</v>
          </cell>
          <cell r="G204" t="e">
            <v>#N/A</v>
          </cell>
          <cell r="H204" t="e">
            <v>#N/A</v>
          </cell>
          <cell r="I204" t="e">
            <v>#N/A</v>
          </cell>
          <cell r="J204" t="e">
            <v>#N/A</v>
          </cell>
          <cell r="K204" t="e">
            <v>#N/A</v>
          </cell>
          <cell r="L204" t="e">
            <v>#N/A</v>
          </cell>
          <cell r="M204" t="e">
            <v>#N/A</v>
          </cell>
          <cell r="N204" t="e">
            <v>#N/A</v>
          </cell>
          <cell r="O204" t="e">
            <v>#N/A</v>
          </cell>
          <cell r="P204">
            <v>83.52</v>
          </cell>
          <cell r="Q204">
            <v>2.3827210000000001</v>
          </cell>
          <cell r="R204" t="e">
            <v>#N/A</v>
          </cell>
        </row>
        <row r="205">
          <cell r="A205">
            <v>39513</v>
          </cell>
          <cell r="B205">
            <v>39513</v>
          </cell>
          <cell r="C205" t="str">
            <v>Past</v>
          </cell>
          <cell r="D205">
            <v>83.22</v>
          </cell>
          <cell r="E205" t="e">
            <v>#N/A</v>
          </cell>
          <cell r="F205" t="e">
            <v>#N/A</v>
          </cell>
          <cell r="G205" t="e">
            <v>#N/A</v>
          </cell>
          <cell r="H205" t="e">
            <v>#N/A</v>
          </cell>
          <cell r="I205" t="e">
            <v>#N/A</v>
          </cell>
          <cell r="J205" t="e">
            <v>#N/A</v>
          </cell>
          <cell r="K205" t="e">
            <v>#N/A</v>
          </cell>
          <cell r="L205" t="e">
            <v>#N/A</v>
          </cell>
          <cell r="M205" t="e">
            <v>#N/A</v>
          </cell>
          <cell r="N205" t="e">
            <v>#N/A</v>
          </cell>
          <cell r="O205" t="e">
            <v>#N/A</v>
          </cell>
          <cell r="P205">
            <v>83.22</v>
          </cell>
          <cell r="Q205">
            <v>2.3144589999999998</v>
          </cell>
          <cell r="R205" t="e">
            <v>#N/A</v>
          </cell>
        </row>
        <row r="206">
          <cell r="A206">
            <v>39514</v>
          </cell>
          <cell r="B206">
            <v>39514</v>
          </cell>
          <cell r="C206" t="str">
            <v>Past</v>
          </cell>
          <cell r="D206">
            <v>82.81</v>
          </cell>
          <cell r="E206" t="e">
            <v>#N/A</v>
          </cell>
          <cell r="F206" t="e">
            <v>#N/A</v>
          </cell>
          <cell r="G206" t="e">
            <v>#N/A</v>
          </cell>
          <cell r="H206" t="e">
            <v>#N/A</v>
          </cell>
          <cell r="I206" t="e">
            <v>#N/A</v>
          </cell>
          <cell r="J206" t="e">
            <v>#N/A</v>
          </cell>
          <cell r="K206" t="e">
            <v>#N/A</v>
          </cell>
          <cell r="L206" t="e">
            <v>#N/A</v>
          </cell>
          <cell r="M206" t="e">
            <v>#N/A</v>
          </cell>
          <cell r="N206" t="e">
            <v>#N/A</v>
          </cell>
          <cell r="O206" t="e">
            <v>#N/A</v>
          </cell>
          <cell r="P206">
            <v>82.81</v>
          </cell>
          <cell r="Q206">
            <v>2.1210339999999999</v>
          </cell>
          <cell r="R206" t="e">
            <v>#N/A</v>
          </cell>
        </row>
        <row r="207">
          <cell r="A207">
            <v>39517</v>
          </cell>
          <cell r="B207">
            <v>39517</v>
          </cell>
          <cell r="C207" t="str">
            <v>Past</v>
          </cell>
          <cell r="D207">
            <v>81.78</v>
          </cell>
          <cell r="E207" t="e">
            <v>#N/A</v>
          </cell>
          <cell r="F207" t="e">
            <v>#N/A</v>
          </cell>
          <cell r="G207" t="e">
            <v>#N/A</v>
          </cell>
          <cell r="H207" t="e">
            <v>#N/A</v>
          </cell>
          <cell r="I207" t="e">
            <v>#N/A</v>
          </cell>
          <cell r="J207" t="e">
            <v>#N/A</v>
          </cell>
          <cell r="K207" t="e">
            <v>#N/A</v>
          </cell>
          <cell r="L207" t="e">
            <v>#N/A</v>
          </cell>
          <cell r="M207" t="e">
            <v>#N/A</v>
          </cell>
          <cell r="N207" t="e">
            <v>#N/A</v>
          </cell>
          <cell r="O207" t="e">
            <v>#N/A</v>
          </cell>
          <cell r="P207">
            <v>81.78</v>
          </cell>
          <cell r="Q207">
            <v>1.9101119999999998</v>
          </cell>
          <cell r="R207" t="e">
            <v>#N/A</v>
          </cell>
        </row>
        <row r="208">
          <cell r="A208">
            <v>39518</v>
          </cell>
          <cell r="B208">
            <v>39518</v>
          </cell>
          <cell r="C208" t="str">
            <v>Past</v>
          </cell>
          <cell r="D208">
            <v>83.33</v>
          </cell>
          <cell r="E208" t="e">
            <v>#N/A</v>
          </cell>
          <cell r="F208" t="e">
            <v>#N/A</v>
          </cell>
          <cell r="G208" t="e">
            <v>#N/A</v>
          </cell>
          <cell r="H208" t="e">
            <v>#N/A</v>
          </cell>
          <cell r="I208" t="e">
            <v>#N/A</v>
          </cell>
          <cell r="J208" t="e">
            <v>#N/A</v>
          </cell>
          <cell r="K208" t="e">
            <v>#N/A</v>
          </cell>
          <cell r="L208" t="e">
            <v>#N/A</v>
          </cell>
          <cell r="M208" t="e">
            <v>#N/A</v>
          </cell>
          <cell r="N208" t="e">
            <v>#N/A</v>
          </cell>
          <cell r="O208" t="e">
            <v>#N/A</v>
          </cell>
          <cell r="P208">
            <v>83.33</v>
          </cell>
          <cell r="Q208">
            <v>1.9449559999999999</v>
          </cell>
          <cell r="R208" t="e">
            <v>#N/A</v>
          </cell>
        </row>
        <row r="209">
          <cell r="A209">
            <v>39519</v>
          </cell>
          <cell r="B209">
            <v>39519</v>
          </cell>
          <cell r="C209" t="str">
            <v>Past</v>
          </cell>
          <cell r="D209">
            <v>84.62</v>
          </cell>
          <cell r="E209" t="e">
            <v>#N/A</v>
          </cell>
          <cell r="F209" t="e">
            <v>#N/A</v>
          </cell>
          <cell r="G209" t="e">
            <v>#N/A</v>
          </cell>
          <cell r="H209" t="e">
            <v>#N/A</v>
          </cell>
          <cell r="I209" t="e">
            <v>#N/A</v>
          </cell>
          <cell r="J209" t="e">
            <v>#N/A</v>
          </cell>
          <cell r="K209" t="e">
            <v>#N/A</v>
          </cell>
          <cell r="L209" t="e">
            <v>#N/A</v>
          </cell>
          <cell r="M209" t="e">
            <v>#N/A</v>
          </cell>
          <cell r="N209" t="e">
            <v>#N/A</v>
          </cell>
          <cell r="O209" t="e">
            <v>#N/A</v>
          </cell>
          <cell r="P209">
            <v>84.62</v>
          </cell>
          <cell r="Q209">
            <v>1.885138</v>
          </cell>
          <cell r="R209" t="e">
            <v>#N/A</v>
          </cell>
        </row>
        <row r="210">
          <cell r="A210">
            <v>39520</v>
          </cell>
          <cell r="B210">
            <v>39520</v>
          </cell>
          <cell r="C210" t="str">
            <v>Past</v>
          </cell>
          <cell r="D210">
            <v>86.1</v>
          </cell>
          <cell r="E210" t="e">
            <v>#N/A</v>
          </cell>
          <cell r="F210" t="e">
            <v>#N/A</v>
          </cell>
          <cell r="G210" t="e">
            <v>#N/A</v>
          </cell>
          <cell r="H210" t="e">
            <v>#N/A</v>
          </cell>
          <cell r="I210" t="e">
            <v>#N/A</v>
          </cell>
          <cell r="J210" t="e">
            <v>#N/A</v>
          </cell>
          <cell r="K210" t="e">
            <v>#N/A</v>
          </cell>
          <cell r="L210" t="e">
            <v>#N/A</v>
          </cell>
          <cell r="M210" t="e">
            <v>#N/A</v>
          </cell>
          <cell r="N210" t="e">
            <v>#N/A</v>
          </cell>
          <cell r="O210" t="e">
            <v>#N/A</v>
          </cell>
          <cell r="P210">
            <v>86.1</v>
          </cell>
          <cell r="Q210">
            <v>3.220783</v>
          </cell>
          <cell r="R210" t="e">
            <v>#N/A</v>
          </cell>
        </row>
        <row r="211">
          <cell r="A211">
            <v>39521</v>
          </cell>
          <cell r="B211">
            <v>39521</v>
          </cell>
          <cell r="C211" t="str">
            <v>Past</v>
          </cell>
          <cell r="D211">
            <v>84.39</v>
          </cell>
          <cell r="E211" t="e">
            <v>#N/A</v>
          </cell>
          <cell r="F211" t="e">
            <v>#N/A</v>
          </cell>
          <cell r="G211" t="e">
            <v>#N/A</v>
          </cell>
          <cell r="H211" t="e">
            <v>#N/A</v>
          </cell>
          <cell r="I211" t="e">
            <v>#N/A</v>
          </cell>
          <cell r="J211" t="e">
            <v>#N/A</v>
          </cell>
          <cell r="K211" t="e">
            <v>#N/A</v>
          </cell>
          <cell r="L211" t="e">
            <v>#N/A</v>
          </cell>
          <cell r="M211" t="e">
            <v>#N/A</v>
          </cell>
          <cell r="N211" t="e">
            <v>#N/A</v>
          </cell>
          <cell r="O211" t="e">
            <v>#N/A</v>
          </cell>
          <cell r="P211">
            <v>84.39</v>
          </cell>
          <cell r="Q211">
            <v>2.4404269999999997</v>
          </cell>
          <cell r="R211" t="e">
            <v>#N/A</v>
          </cell>
        </row>
        <row r="212">
          <cell r="A212">
            <v>39524</v>
          </cell>
          <cell r="B212">
            <v>39524</v>
          </cell>
          <cell r="C212" t="str">
            <v>Past</v>
          </cell>
          <cell r="D212">
            <v>84.28</v>
          </cell>
          <cell r="E212" t="e">
            <v>#N/A</v>
          </cell>
          <cell r="F212" t="e">
            <v>#N/A</v>
          </cell>
          <cell r="G212" t="e">
            <v>#N/A</v>
          </cell>
          <cell r="H212" t="e">
            <v>#N/A</v>
          </cell>
          <cell r="I212" t="e">
            <v>#N/A</v>
          </cell>
          <cell r="J212" t="e">
            <v>#N/A</v>
          </cell>
          <cell r="K212" t="e">
            <v>#N/A</v>
          </cell>
          <cell r="L212" t="e">
            <v>#N/A</v>
          </cell>
          <cell r="M212" t="e">
            <v>#N/A</v>
          </cell>
          <cell r="N212" t="e">
            <v>#N/A</v>
          </cell>
          <cell r="O212" t="e">
            <v>#N/A</v>
          </cell>
          <cell r="P212">
            <v>84.28</v>
          </cell>
          <cell r="Q212">
            <v>2.1918379999999997</v>
          </cell>
          <cell r="R212" t="e">
            <v>#N/A</v>
          </cell>
        </row>
        <row r="213">
          <cell r="A213">
            <v>39525</v>
          </cell>
          <cell r="B213">
            <v>39525</v>
          </cell>
          <cell r="C213" t="str">
            <v>Past</v>
          </cell>
          <cell r="D213">
            <v>85.35</v>
          </cell>
          <cell r="E213" t="e">
            <v>#N/A</v>
          </cell>
          <cell r="F213" t="e">
            <v>#N/A</v>
          </cell>
          <cell r="G213" t="e">
            <v>#N/A</v>
          </cell>
          <cell r="H213" t="e">
            <v>#N/A</v>
          </cell>
          <cell r="I213" t="e">
            <v>#N/A</v>
          </cell>
          <cell r="J213" t="e">
            <v>#N/A</v>
          </cell>
          <cell r="K213" t="e">
            <v>#N/A</v>
          </cell>
          <cell r="L213" t="e">
            <v>#N/A</v>
          </cell>
          <cell r="M213" t="e">
            <v>#N/A</v>
          </cell>
          <cell r="N213" t="e">
            <v>#N/A</v>
          </cell>
          <cell r="O213" t="e">
            <v>#N/A</v>
          </cell>
          <cell r="P213">
            <v>85.35</v>
          </cell>
          <cell r="Q213">
            <v>2.5675490000000001</v>
          </cell>
          <cell r="R213" t="e">
            <v>#N/A</v>
          </cell>
        </row>
        <row r="214">
          <cell r="A214">
            <v>39526</v>
          </cell>
          <cell r="B214">
            <v>39526</v>
          </cell>
          <cell r="C214" t="str">
            <v>Past</v>
          </cell>
          <cell r="D214">
            <v>85.04</v>
          </cell>
          <cell r="E214" t="e">
            <v>#N/A</v>
          </cell>
          <cell r="F214" t="e">
            <v>#N/A</v>
          </cell>
          <cell r="G214" t="e">
            <v>#N/A</v>
          </cell>
          <cell r="H214" t="e">
            <v>#N/A</v>
          </cell>
          <cell r="I214" t="e">
            <v>#N/A</v>
          </cell>
          <cell r="J214" t="e">
            <v>#N/A</v>
          </cell>
          <cell r="K214" t="e">
            <v>#N/A</v>
          </cell>
          <cell r="L214" t="e">
            <v>#N/A</v>
          </cell>
          <cell r="M214" t="e">
            <v>#N/A</v>
          </cell>
          <cell r="N214" t="e">
            <v>#N/A</v>
          </cell>
          <cell r="O214" t="e">
            <v>#N/A</v>
          </cell>
          <cell r="P214">
            <v>85.04</v>
          </cell>
          <cell r="Q214">
            <v>2.1065260000000001</v>
          </cell>
          <cell r="R214" t="e">
            <v>#N/A</v>
          </cell>
        </row>
        <row r="215">
          <cell r="A215">
            <v>39527</v>
          </cell>
          <cell r="B215">
            <v>39527</v>
          </cell>
          <cell r="C215" t="str">
            <v>Past</v>
          </cell>
          <cell r="D215">
            <v>85.66</v>
          </cell>
          <cell r="E215" t="e">
            <v>#N/A</v>
          </cell>
          <cell r="F215" t="e">
            <v>#N/A</v>
          </cell>
          <cell r="G215" t="e">
            <v>#N/A</v>
          </cell>
          <cell r="H215" t="e">
            <v>#N/A</v>
          </cell>
          <cell r="I215" t="e">
            <v>#N/A</v>
          </cell>
          <cell r="J215" t="e">
            <v>#N/A</v>
          </cell>
          <cell r="K215" t="e">
            <v>#N/A</v>
          </cell>
          <cell r="L215" t="e">
            <v>#N/A</v>
          </cell>
          <cell r="M215" t="e">
            <v>#N/A</v>
          </cell>
          <cell r="N215" t="e">
            <v>#N/A</v>
          </cell>
          <cell r="O215" t="e">
            <v>#N/A</v>
          </cell>
          <cell r="P215">
            <v>85.66</v>
          </cell>
          <cell r="Q215">
            <v>1.8961329999999998</v>
          </cell>
          <cell r="R215" t="e">
            <v>#N/A</v>
          </cell>
        </row>
        <row r="216">
          <cell r="A216">
            <v>39531</v>
          </cell>
          <cell r="B216">
            <v>39531</v>
          </cell>
          <cell r="C216" t="str">
            <v>Past</v>
          </cell>
          <cell r="D216">
            <v>85.36</v>
          </cell>
          <cell r="E216" t="e">
            <v>#N/A</v>
          </cell>
          <cell r="F216" t="e">
            <v>#N/A</v>
          </cell>
          <cell r="G216" t="e">
            <v>#N/A</v>
          </cell>
          <cell r="H216" t="e">
            <v>#N/A</v>
          </cell>
          <cell r="I216" t="e">
            <v>#N/A</v>
          </cell>
          <cell r="J216" t="e">
            <v>#N/A</v>
          </cell>
          <cell r="K216" t="e">
            <v>#N/A</v>
          </cell>
          <cell r="L216" t="e">
            <v>#N/A</v>
          </cell>
          <cell r="M216" t="e">
            <v>#N/A</v>
          </cell>
          <cell r="N216" t="e">
            <v>#N/A</v>
          </cell>
          <cell r="O216" t="e">
            <v>#N/A</v>
          </cell>
          <cell r="P216">
            <v>85.36</v>
          </cell>
          <cell r="Q216">
            <v>1.7043869999999999</v>
          </cell>
          <cell r="R216" t="e">
            <v>#N/A</v>
          </cell>
        </row>
        <row r="217">
          <cell r="A217">
            <v>39532</v>
          </cell>
          <cell r="B217">
            <v>39532</v>
          </cell>
          <cell r="C217" t="str">
            <v>Past</v>
          </cell>
          <cell r="D217">
            <v>85.01</v>
          </cell>
          <cell r="E217" t="e">
            <v>#N/A</v>
          </cell>
          <cell r="F217" t="e">
            <v>#N/A</v>
          </cell>
          <cell r="G217" t="e">
            <v>#N/A</v>
          </cell>
          <cell r="H217" t="e">
            <v>#N/A</v>
          </cell>
          <cell r="I217" t="e">
            <v>#N/A</v>
          </cell>
          <cell r="J217" t="e">
            <v>#N/A</v>
          </cell>
          <cell r="K217" t="e">
            <v>#N/A</v>
          </cell>
          <cell r="L217" t="e">
            <v>#N/A</v>
          </cell>
          <cell r="M217" t="e">
            <v>#N/A</v>
          </cell>
          <cell r="N217" t="e">
            <v>#N/A</v>
          </cell>
          <cell r="O217" t="e">
            <v>#N/A</v>
          </cell>
          <cell r="P217">
            <v>85.01</v>
          </cell>
          <cell r="Q217">
            <v>1.959187</v>
          </cell>
          <cell r="R217" t="e">
            <v>#N/A</v>
          </cell>
        </row>
        <row r="218">
          <cell r="A218">
            <v>39533</v>
          </cell>
          <cell r="B218">
            <v>39533</v>
          </cell>
          <cell r="C218" t="str">
            <v>Past</v>
          </cell>
          <cell r="D218">
            <v>84.04</v>
          </cell>
          <cell r="E218" t="e">
            <v>#N/A</v>
          </cell>
          <cell r="F218" t="e">
            <v>#N/A</v>
          </cell>
          <cell r="G218" t="e">
            <v>#N/A</v>
          </cell>
          <cell r="H218" t="e">
            <v>#N/A</v>
          </cell>
          <cell r="I218" t="e">
            <v>#N/A</v>
          </cell>
          <cell r="J218" t="e">
            <v>#N/A</v>
          </cell>
          <cell r="K218" t="e">
            <v>#N/A</v>
          </cell>
          <cell r="L218" t="e">
            <v>#N/A</v>
          </cell>
          <cell r="M218" t="e">
            <v>#N/A</v>
          </cell>
          <cell r="N218" t="e">
            <v>#N/A</v>
          </cell>
          <cell r="O218" t="e">
            <v>#N/A</v>
          </cell>
          <cell r="P218">
            <v>84.04</v>
          </cell>
          <cell r="Q218">
            <v>1.5941129999999999</v>
          </cell>
          <cell r="R218" t="e">
            <v>#N/A</v>
          </cell>
        </row>
        <row r="219">
          <cell r="A219">
            <v>39534</v>
          </cell>
          <cell r="B219">
            <v>39534</v>
          </cell>
          <cell r="C219" t="str">
            <v>Past</v>
          </cell>
          <cell r="D219">
            <v>83.12</v>
          </cell>
          <cell r="E219" t="e">
            <v>#N/A</v>
          </cell>
          <cell r="F219" t="e">
            <v>#N/A</v>
          </cell>
          <cell r="G219" t="e">
            <v>#N/A</v>
          </cell>
          <cell r="H219" t="e">
            <v>#N/A</v>
          </cell>
          <cell r="I219" t="e">
            <v>#N/A</v>
          </cell>
          <cell r="J219" t="e">
            <v>#N/A</v>
          </cell>
          <cell r="K219" t="e">
            <v>#N/A</v>
          </cell>
          <cell r="L219" t="e">
            <v>#N/A</v>
          </cell>
          <cell r="M219" t="e">
            <v>#N/A</v>
          </cell>
          <cell r="N219" t="e">
            <v>#N/A</v>
          </cell>
          <cell r="O219" t="e">
            <v>#N/A</v>
          </cell>
          <cell r="P219">
            <v>83.12</v>
          </cell>
          <cell r="Q219">
            <v>1.367575</v>
          </cell>
          <cell r="R219" t="e">
            <v>#N/A</v>
          </cell>
        </row>
        <row r="220">
          <cell r="A220">
            <v>39535</v>
          </cell>
          <cell r="B220">
            <v>39535</v>
          </cell>
          <cell r="C220" t="str">
            <v>Past</v>
          </cell>
          <cell r="D220">
            <v>83.36</v>
          </cell>
          <cell r="E220" t="e">
            <v>#N/A</v>
          </cell>
          <cell r="F220" t="e">
            <v>#N/A</v>
          </cell>
          <cell r="G220" t="e">
            <v>#N/A</v>
          </cell>
          <cell r="H220" t="e">
            <v>#N/A</v>
          </cell>
          <cell r="I220" t="e">
            <v>#N/A</v>
          </cell>
          <cell r="J220" t="e">
            <v>#N/A</v>
          </cell>
          <cell r="K220" t="e">
            <v>#N/A</v>
          </cell>
          <cell r="L220" t="e">
            <v>#N/A</v>
          </cell>
          <cell r="M220" t="e">
            <v>#N/A</v>
          </cell>
          <cell r="N220" t="e">
            <v>#N/A</v>
          </cell>
          <cell r="O220" t="e">
            <v>#N/A</v>
          </cell>
          <cell r="P220">
            <v>83.36</v>
          </cell>
          <cell r="Q220">
            <v>1.3203779999999998</v>
          </cell>
          <cell r="R220" t="e">
            <v>#N/A</v>
          </cell>
        </row>
        <row r="221">
          <cell r="A221">
            <v>39538</v>
          </cell>
          <cell r="B221">
            <v>39538</v>
          </cell>
          <cell r="C221" t="str">
            <v>Past</v>
          </cell>
          <cell r="D221">
            <v>83.37</v>
          </cell>
          <cell r="E221" t="e">
            <v>#N/A</v>
          </cell>
          <cell r="F221" t="e">
            <v>#N/A</v>
          </cell>
          <cell r="G221" t="e">
            <v>#N/A</v>
          </cell>
          <cell r="H221" t="e">
            <v>#N/A</v>
          </cell>
          <cell r="I221" t="e">
            <v>#N/A</v>
          </cell>
          <cell r="J221" t="e">
            <v>#N/A</v>
          </cell>
          <cell r="K221" t="e">
            <v>#N/A</v>
          </cell>
          <cell r="L221" t="e">
            <v>#N/A</v>
          </cell>
          <cell r="M221" t="e">
            <v>#N/A</v>
          </cell>
          <cell r="N221" t="e">
            <v>#N/A</v>
          </cell>
          <cell r="O221" t="e">
            <v>#N/A</v>
          </cell>
          <cell r="P221">
            <v>83.37</v>
          </cell>
          <cell r="Q221">
            <v>2.1094749999999998</v>
          </cell>
          <cell r="R221" t="e">
            <v>#N/A</v>
          </cell>
        </row>
        <row r="222">
          <cell r="A222">
            <v>39539</v>
          </cell>
          <cell r="B222">
            <v>39539</v>
          </cell>
          <cell r="C222" t="str">
            <v>Past</v>
          </cell>
          <cell r="D222">
            <v>85.9</v>
          </cell>
          <cell r="E222" t="e">
            <v>#N/A</v>
          </cell>
          <cell r="F222" t="e">
            <v>#N/A</v>
          </cell>
          <cell r="G222" t="e">
            <v>#N/A</v>
          </cell>
          <cell r="H222" t="e">
            <v>#N/A</v>
          </cell>
          <cell r="I222" t="e">
            <v>#N/A</v>
          </cell>
          <cell r="J222" t="e">
            <v>#N/A</v>
          </cell>
          <cell r="K222" t="e">
            <v>#N/A</v>
          </cell>
          <cell r="L222" t="e">
            <v>#N/A</v>
          </cell>
          <cell r="M222" t="e">
            <v>#N/A</v>
          </cell>
          <cell r="N222" t="e">
            <v>#N/A</v>
          </cell>
          <cell r="O222" t="e">
            <v>#N/A</v>
          </cell>
          <cell r="P222">
            <v>85.9</v>
          </cell>
          <cell r="Q222">
            <v>1.9092</v>
          </cell>
          <cell r="R222" t="e">
            <v>#N/A</v>
          </cell>
        </row>
        <row r="223">
          <cell r="A223">
            <v>39540</v>
          </cell>
          <cell r="B223">
            <v>39540</v>
          </cell>
          <cell r="C223" t="str">
            <v>Past</v>
          </cell>
          <cell r="D223">
            <v>85.44</v>
          </cell>
          <cell r="E223" t="e">
            <v>#N/A</v>
          </cell>
          <cell r="F223" t="e">
            <v>#N/A</v>
          </cell>
          <cell r="G223" t="e">
            <v>#N/A</v>
          </cell>
          <cell r="H223" t="e">
            <v>#N/A</v>
          </cell>
          <cell r="I223" t="e">
            <v>#N/A</v>
          </cell>
          <cell r="J223" t="e">
            <v>#N/A</v>
          </cell>
          <cell r="K223" t="e">
            <v>#N/A</v>
          </cell>
          <cell r="L223" t="e">
            <v>#N/A</v>
          </cell>
          <cell r="M223" t="e">
            <v>#N/A</v>
          </cell>
          <cell r="N223" t="e">
            <v>#N/A</v>
          </cell>
          <cell r="O223" t="e">
            <v>#N/A</v>
          </cell>
          <cell r="P223">
            <v>85.44</v>
          </cell>
          <cell r="Q223">
            <v>2.0366139999999997</v>
          </cell>
          <cell r="R223" t="e">
            <v>#N/A</v>
          </cell>
        </row>
        <row r="224">
          <cell r="A224">
            <v>39541</v>
          </cell>
          <cell r="B224">
            <v>39541</v>
          </cell>
          <cell r="C224" t="str">
            <v>Past</v>
          </cell>
          <cell r="D224">
            <v>84.65</v>
          </cell>
          <cell r="E224" t="e">
            <v>#N/A</v>
          </cell>
          <cell r="F224" t="e">
            <v>#N/A</v>
          </cell>
          <cell r="G224" t="e">
            <v>#N/A</v>
          </cell>
          <cell r="H224" t="e">
            <v>#N/A</v>
          </cell>
          <cell r="I224" t="e">
            <v>#N/A</v>
          </cell>
          <cell r="J224" t="e">
            <v>#N/A</v>
          </cell>
          <cell r="K224" t="e">
            <v>#N/A</v>
          </cell>
          <cell r="L224" t="e">
            <v>#N/A</v>
          </cell>
          <cell r="M224" t="e">
            <v>#N/A</v>
          </cell>
          <cell r="N224" t="e">
            <v>#N/A</v>
          </cell>
          <cell r="O224" t="e">
            <v>#N/A</v>
          </cell>
          <cell r="P224">
            <v>84.65</v>
          </cell>
          <cell r="Q224">
            <v>2.120139</v>
          </cell>
          <cell r="R224" t="e">
            <v>#N/A</v>
          </cell>
        </row>
        <row r="225">
          <cell r="A225">
            <v>39542</v>
          </cell>
          <cell r="B225">
            <v>39542</v>
          </cell>
          <cell r="C225" t="str">
            <v>Past</v>
          </cell>
          <cell r="D225">
            <v>85.42</v>
          </cell>
          <cell r="E225" t="e">
            <v>#N/A</v>
          </cell>
          <cell r="F225" t="e">
            <v>#N/A</v>
          </cell>
          <cell r="G225" t="e">
            <v>#N/A</v>
          </cell>
          <cell r="H225" t="e">
            <v>#N/A</v>
          </cell>
          <cell r="I225" t="e">
            <v>#N/A</v>
          </cell>
          <cell r="J225" t="e">
            <v>#N/A</v>
          </cell>
          <cell r="K225" t="e">
            <v>#N/A</v>
          </cell>
          <cell r="L225" t="e">
            <v>#N/A</v>
          </cell>
          <cell r="M225" t="e">
            <v>#N/A</v>
          </cell>
          <cell r="N225" t="e">
            <v>#N/A</v>
          </cell>
          <cell r="O225" t="e">
            <v>#N/A</v>
          </cell>
          <cell r="P225">
            <v>85.42</v>
          </cell>
          <cell r="Q225">
            <v>1.3739169999999998</v>
          </cell>
          <cell r="R225" t="e">
            <v>#N/A</v>
          </cell>
        </row>
        <row r="226">
          <cell r="A226">
            <v>39545</v>
          </cell>
          <cell r="B226">
            <v>39545</v>
          </cell>
          <cell r="C226" t="str">
            <v>Past</v>
          </cell>
          <cell r="D226">
            <v>85.51</v>
          </cell>
          <cell r="E226" t="e">
            <v>#N/A</v>
          </cell>
          <cell r="F226" t="e">
            <v>#N/A</v>
          </cell>
          <cell r="G226" t="e">
            <v>#N/A</v>
          </cell>
          <cell r="H226" t="e">
            <v>#N/A</v>
          </cell>
          <cell r="I226" t="e">
            <v>#N/A</v>
          </cell>
          <cell r="J226" t="e">
            <v>#N/A</v>
          </cell>
          <cell r="K226" t="e">
            <v>#N/A</v>
          </cell>
          <cell r="L226" t="e">
            <v>#N/A</v>
          </cell>
          <cell r="M226" t="e">
            <v>#N/A</v>
          </cell>
          <cell r="N226" t="e">
            <v>#N/A</v>
          </cell>
          <cell r="O226" t="e">
            <v>#N/A</v>
          </cell>
          <cell r="P226">
            <v>85.51</v>
          </cell>
          <cell r="Q226">
            <v>1.5136859999999999</v>
          </cell>
          <cell r="R226" t="e">
            <v>#N/A</v>
          </cell>
        </row>
        <row r="227">
          <cell r="A227">
            <v>39546</v>
          </cell>
          <cell r="B227">
            <v>39546</v>
          </cell>
          <cell r="C227" t="str">
            <v>Past</v>
          </cell>
          <cell r="D227">
            <v>84.8</v>
          </cell>
          <cell r="E227" t="e">
            <v>#N/A</v>
          </cell>
          <cell r="F227" t="e">
            <v>#N/A</v>
          </cell>
          <cell r="G227" t="e">
            <v>#N/A</v>
          </cell>
          <cell r="H227" t="e">
            <v>#N/A</v>
          </cell>
          <cell r="I227" t="e">
            <v>#N/A</v>
          </cell>
          <cell r="J227" t="e">
            <v>#N/A</v>
          </cell>
          <cell r="K227" t="e">
            <v>#N/A</v>
          </cell>
          <cell r="L227" t="e">
            <v>#N/A</v>
          </cell>
          <cell r="M227" t="e">
            <v>#N/A</v>
          </cell>
          <cell r="N227" t="e">
            <v>#N/A</v>
          </cell>
          <cell r="O227" t="e">
            <v>#N/A</v>
          </cell>
          <cell r="P227">
            <v>84.8</v>
          </cell>
          <cell r="Q227">
            <v>1.442569</v>
          </cell>
          <cell r="R227" t="e">
            <v>#N/A</v>
          </cell>
        </row>
        <row r="228">
          <cell r="A228">
            <v>39547</v>
          </cell>
          <cell r="B228">
            <v>39547</v>
          </cell>
          <cell r="C228" t="str">
            <v>Past</v>
          </cell>
          <cell r="D228">
            <v>84.97</v>
          </cell>
          <cell r="E228" t="e">
            <v>#N/A</v>
          </cell>
          <cell r="F228" t="e">
            <v>#N/A</v>
          </cell>
          <cell r="G228" t="e">
            <v>#N/A</v>
          </cell>
          <cell r="H228" t="e">
            <v>#N/A</v>
          </cell>
          <cell r="I228" t="e">
            <v>#N/A</v>
          </cell>
          <cell r="J228" t="e">
            <v>#N/A</v>
          </cell>
          <cell r="K228" t="e">
            <v>#N/A</v>
          </cell>
          <cell r="L228" t="e">
            <v>#N/A</v>
          </cell>
          <cell r="M228" t="e">
            <v>#N/A</v>
          </cell>
          <cell r="N228" t="e">
            <v>#N/A</v>
          </cell>
          <cell r="O228" t="e">
            <v>#N/A</v>
          </cell>
          <cell r="P228">
            <v>84.97</v>
          </cell>
          <cell r="Q228">
            <v>1.8538589999999999</v>
          </cell>
          <cell r="R228" t="e">
            <v>#N/A</v>
          </cell>
        </row>
        <row r="229">
          <cell r="A229">
            <v>39548</v>
          </cell>
          <cell r="B229">
            <v>39548</v>
          </cell>
          <cell r="C229" t="str">
            <v>Past</v>
          </cell>
          <cell r="D229">
            <v>84.76</v>
          </cell>
          <cell r="E229" t="e">
            <v>#N/A</v>
          </cell>
          <cell r="F229" t="e">
            <v>#N/A</v>
          </cell>
          <cell r="G229" t="e">
            <v>#N/A</v>
          </cell>
          <cell r="H229" t="e">
            <v>#N/A</v>
          </cell>
          <cell r="I229" t="e">
            <v>#N/A</v>
          </cell>
          <cell r="J229" t="e">
            <v>#N/A</v>
          </cell>
          <cell r="K229" t="e">
            <v>#N/A</v>
          </cell>
          <cell r="L229" t="e">
            <v>#N/A</v>
          </cell>
          <cell r="M229" t="e">
            <v>#N/A</v>
          </cell>
          <cell r="N229" t="e">
            <v>#N/A</v>
          </cell>
          <cell r="O229" t="e">
            <v>#N/A</v>
          </cell>
          <cell r="P229">
            <v>84.76</v>
          </cell>
          <cell r="Q229">
            <v>1.415316</v>
          </cell>
          <cell r="R229" t="e">
            <v>#N/A</v>
          </cell>
        </row>
        <row r="230">
          <cell r="A230">
            <v>39549</v>
          </cell>
          <cell r="B230">
            <v>39549</v>
          </cell>
          <cell r="C230" t="str">
            <v>Past</v>
          </cell>
          <cell r="D230">
            <v>83.65</v>
          </cell>
          <cell r="E230" t="e">
            <v>#N/A</v>
          </cell>
          <cell r="F230" t="e">
            <v>#N/A</v>
          </cell>
          <cell r="G230" t="e">
            <v>#N/A</v>
          </cell>
          <cell r="H230" t="e">
            <v>#N/A</v>
          </cell>
          <cell r="I230" t="e">
            <v>#N/A</v>
          </cell>
          <cell r="J230" t="e">
            <v>#N/A</v>
          </cell>
          <cell r="K230" t="e">
            <v>#N/A</v>
          </cell>
          <cell r="L230" t="e">
            <v>#N/A</v>
          </cell>
          <cell r="M230" t="e">
            <v>#N/A</v>
          </cell>
          <cell r="N230" t="e">
            <v>#N/A</v>
          </cell>
          <cell r="O230" t="e">
            <v>#N/A</v>
          </cell>
          <cell r="P230">
            <v>83.65</v>
          </cell>
          <cell r="Q230">
            <v>1.162792</v>
          </cell>
          <cell r="R230" t="e">
            <v>#N/A</v>
          </cell>
        </row>
        <row r="231">
          <cell r="A231">
            <v>39552</v>
          </cell>
          <cell r="B231">
            <v>39552</v>
          </cell>
          <cell r="C231" t="str">
            <v>Past</v>
          </cell>
          <cell r="D231">
            <v>83.9</v>
          </cell>
          <cell r="E231" t="e">
            <v>#N/A</v>
          </cell>
          <cell r="F231" t="e">
            <v>#N/A</v>
          </cell>
          <cell r="G231" t="e">
            <v>#N/A</v>
          </cell>
          <cell r="H231" t="e">
            <v>#N/A</v>
          </cell>
          <cell r="I231" t="e">
            <v>#N/A</v>
          </cell>
          <cell r="J231" t="e">
            <v>#N/A</v>
          </cell>
          <cell r="K231" t="e">
            <v>#N/A</v>
          </cell>
          <cell r="L231" t="e">
            <v>#N/A</v>
          </cell>
          <cell r="M231" t="e">
            <v>#N/A</v>
          </cell>
          <cell r="N231" t="e">
            <v>#N/A</v>
          </cell>
          <cell r="O231" t="e">
            <v>#N/A</v>
          </cell>
          <cell r="P231">
            <v>83.9</v>
          </cell>
          <cell r="Q231">
            <v>1.316856</v>
          </cell>
          <cell r="R231" t="e">
            <v>#N/A</v>
          </cell>
        </row>
        <row r="232">
          <cell r="A232">
            <v>39553</v>
          </cell>
          <cell r="B232">
            <v>39553</v>
          </cell>
          <cell r="C232" t="str">
            <v>Past</v>
          </cell>
          <cell r="D232">
            <v>82.9</v>
          </cell>
          <cell r="E232" t="e">
            <v>#N/A</v>
          </cell>
          <cell r="F232" t="e">
            <v>#N/A</v>
          </cell>
          <cell r="G232" t="e">
            <v>#N/A</v>
          </cell>
          <cell r="H232" t="e">
            <v>#N/A</v>
          </cell>
          <cell r="I232" t="e">
            <v>#N/A</v>
          </cell>
          <cell r="J232" t="e">
            <v>#N/A</v>
          </cell>
          <cell r="K232" t="e">
            <v>#N/A</v>
          </cell>
          <cell r="L232" t="e">
            <v>#N/A</v>
          </cell>
          <cell r="M232" t="e">
            <v>#N/A</v>
          </cell>
          <cell r="N232" t="e">
            <v>#N/A</v>
          </cell>
          <cell r="O232" t="e">
            <v>#N/A</v>
          </cell>
          <cell r="P232">
            <v>82.9</v>
          </cell>
          <cell r="Q232">
            <v>2.068505</v>
          </cell>
          <cell r="R232" t="e">
            <v>#N/A</v>
          </cell>
        </row>
        <row r="233">
          <cell r="A233">
            <v>39554</v>
          </cell>
          <cell r="B233">
            <v>39554</v>
          </cell>
          <cell r="C233" t="str">
            <v>Past</v>
          </cell>
          <cell r="D233">
            <v>86.03</v>
          </cell>
          <cell r="E233" t="e">
            <v>#N/A</v>
          </cell>
          <cell r="F233" t="e">
            <v>#N/A</v>
          </cell>
          <cell r="G233" t="e">
            <v>#N/A</v>
          </cell>
          <cell r="H233" t="e">
            <v>#N/A</v>
          </cell>
          <cell r="I233" t="e">
            <v>#N/A</v>
          </cell>
          <cell r="J233" t="e">
            <v>#N/A</v>
          </cell>
          <cell r="K233" t="e">
            <v>#N/A</v>
          </cell>
          <cell r="L233" t="e">
            <v>#N/A</v>
          </cell>
          <cell r="M233" t="e">
            <v>#N/A</v>
          </cell>
          <cell r="N233" t="e">
            <v>#N/A</v>
          </cell>
          <cell r="O233" t="e">
            <v>#N/A</v>
          </cell>
          <cell r="P233">
            <v>86.03</v>
          </cell>
          <cell r="Q233">
            <v>2.4338789999999997</v>
          </cell>
          <cell r="R233" t="e">
            <v>#N/A</v>
          </cell>
        </row>
        <row r="234">
          <cell r="A234">
            <v>39555</v>
          </cell>
          <cell r="B234">
            <v>39555</v>
          </cell>
          <cell r="C234" t="str">
            <v>Past</v>
          </cell>
          <cell r="D234">
            <v>86.21</v>
          </cell>
          <cell r="E234" t="e">
            <v>#N/A</v>
          </cell>
          <cell r="F234" t="e">
            <v>#N/A</v>
          </cell>
          <cell r="G234" t="e">
            <v>#N/A</v>
          </cell>
          <cell r="H234" t="e">
            <v>#N/A</v>
          </cell>
          <cell r="I234" t="e">
            <v>#N/A</v>
          </cell>
          <cell r="J234" t="e">
            <v>#N/A</v>
          </cell>
          <cell r="K234" t="e">
            <v>#N/A</v>
          </cell>
          <cell r="L234" t="e">
            <v>#N/A</v>
          </cell>
          <cell r="M234" t="e">
            <v>#N/A</v>
          </cell>
          <cell r="N234" t="e">
            <v>#N/A</v>
          </cell>
          <cell r="O234" t="e">
            <v>#N/A</v>
          </cell>
          <cell r="P234">
            <v>86.21</v>
          </cell>
          <cell r="Q234">
            <v>1.9224219999999999</v>
          </cell>
          <cell r="R234" t="e">
            <v>#N/A</v>
          </cell>
        </row>
        <row r="235">
          <cell r="A235">
            <v>39556</v>
          </cell>
          <cell r="B235">
            <v>39556</v>
          </cell>
          <cell r="C235" t="str">
            <v>Past</v>
          </cell>
          <cell r="D235">
            <v>88.98</v>
          </cell>
          <cell r="E235" t="e">
            <v>#N/A</v>
          </cell>
          <cell r="F235" t="e">
            <v>#N/A</v>
          </cell>
          <cell r="G235" t="e">
            <v>#N/A</v>
          </cell>
          <cell r="H235" t="e">
            <v>#N/A</v>
          </cell>
          <cell r="I235" t="e">
            <v>#N/A</v>
          </cell>
          <cell r="J235" t="e">
            <v>#N/A</v>
          </cell>
          <cell r="K235" t="e">
            <v>#N/A</v>
          </cell>
          <cell r="L235" t="e">
            <v>#N/A</v>
          </cell>
          <cell r="M235" t="e">
            <v>#N/A</v>
          </cell>
          <cell r="N235" t="e">
            <v>#N/A</v>
          </cell>
          <cell r="O235" t="e">
            <v>#N/A</v>
          </cell>
          <cell r="P235">
            <v>88.98</v>
          </cell>
          <cell r="Q235">
            <v>2.4151509999999998</v>
          </cell>
          <cell r="R235" t="e">
            <v>#N/A</v>
          </cell>
        </row>
        <row r="236">
          <cell r="A236">
            <v>39559</v>
          </cell>
          <cell r="B236">
            <v>39559</v>
          </cell>
          <cell r="C236" t="str">
            <v>Past</v>
          </cell>
          <cell r="D236">
            <v>88.01</v>
          </cell>
          <cell r="E236" t="e">
            <v>#N/A</v>
          </cell>
          <cell r="F236" t="e">
            <v>#N/A</v>
          </cell>
          <cell r="G236" t="e">
            <v>#N/A</v>
          </cell>
          <cell r="H236" t="e">
            <v>#N/A</v>
          </cell>
          <cell r="I236" t="e">
            <v>#N/A</v>
          </cell>
          <cell r="J236" t="e">
            <v>#N/A</v>
          </cell>
          <cell r="K236" t="e">
            <v>#N/A</v>
          </cell>
          <cell r="L236" t="e">
            <v>#N/A</v>
          </cell>
          <cell r="M236" t="e">
            <v>#N/A</v>
          </cell>
          <cell r="N236" t="e">
            <v>#N/A</v>
          </cell>
          <cell r="O236" t="e">
            <v>#N/A</v>
          </cell>
          <cell r="P236">
            <v>88.01</v>
          </cell>
          <cell r="Q236">
            <v>2.0028649999999999</v>
          </cell>
          <cell r="R236" t="e">
            <v>#N/A</v>
          </cell>
        </row>
        <row r="237">
          <cell r="A237">
            <v>39560</v>
          </cell>
          <cell r="B237">
            <v>39560</v>
          </cell>
          <cell r="C237" t="str">
            <v>Past</v>
          </cell>
          <cell r="D237">
            <v>88.01</v>
          </cell>
          <cell r="E237" t="e">
            <v>#N/A</v>
          </cell>
          <cell r="F237" t="e">
            <v>#N/A</v>
          </cell>
          <cell r="G237" t="e">
            <v>#N/A</v>
          </cell>
          <cell r="H237" t="e">
            <v>#N/A</v>
          </cell>
          <cell r="I237" t="e">
            <v>#N/A</v>
          </cell>
          <cell r="J237" t="e">
            <v>#N/A</v>
          </cell>
          <cell r="K237" t="e">
            <v>#N/A</v>
          </cell>
          <cell r="L237" t="e">
            <v>#N/A</v>
          </cell>
          <cell r="M237" t="e">
            <v>#N/A</v>
          </cell>
          <cell r="N237" t="e">
            <v>#N/A</v>
          </cell>
          <cell r="O237" t="e">
            <v>#N/A</v>
          </cell>
          <cell r="P237">
            <v>88.01</v>
          </cell>
          <cell r="Q237">
            <v>1.7737849999999999</v>
          </cell>
          <cell r="R237" t="e">
            <v>#N/A</v>
          </cell>
        </row>
        <row r="238">
          <cell r="A238">
            <v>39561</v>
          </cell>
          <cell r="B238">
            <v>39561</v>
          </cell>
          <cell r="C238" t="str">
            <v>Past</v>
          </cell>
          <cell r="D238">
            <v>87.69</v>
          </cell>
          <cell r="E238" t="e">
            <v>#N/A</v>
          </cell>
          <cell r="F238" t="e">
            <v>#N/A</v>
          </cell>
          <cell r="G238" t="e">
            <v>#N/A</v>
          </cell>
          <cell r="H238" t="e">
            <v>#N/A</v>
          </cell>
          <cell r="I238" t="e">
            <v>#N/A</v>
          </cell>
          <cell r="J238" t="e">
            <v>#N/A</v>
          </cell>
          <cell r="K238" t="e">
            <v>#N/A</v>
          </cell>
          <cell r="L238" t="e">
            <v>#N/A</v>
          </cell>
          <cell r="M238" t="e">
            <v>#N/A</v>
          </cell>
          <cell r="N238" t="e">
            <v>#N/A</v>
          </cell>
          <cell r="O238" t="e">
            <v>#N/A</v>
          </cell>
          <cell r="P238">
            <v>87.69</v>
          </cell>
          <cell r="Q238">
            <v>3.192761</v>
          </cell>
          <cell r="R238" t="e">
            <v>#N/A</v>
          </cell>
        </row>
        <row r="239">
          <cell r="A239">
            <v>39562</v>
          </cell>
          <cell r="B239">
            <v>39562</v>
          </cell>
          <cell r="C239" t="str">
            <v>Past</v>
          </cell>
          <cell r="D239">
            <v>88.7</v>
          </cell>
          <cell r="E239" t="e">
            <v>#N/A</v>
          </cell>
          <cell r="F239" t="e">
            <v>#N/A</v>
          </cell>
          <cell r="G239" t="e">
            <v>#N/A</v>
          </cell>
          <cell r="H239" t="e">
            <v>#N/A</v>
          </cell>
          <cell r="I239" t="e">
            <v>#N/A</v>
          </cell>
          <cell r="J239" t="e">
            <v>#N/A</v>
          </cell>
          <cell r="K239" t="e">
            <v>#N/A</v>
          </cell>
          <cell r="L239" t="e">
            <v>#N/A</v>
          </cell>
          <cell r="M239" t="e">
            <v>#N/A</v>
          </cell>
          <cell r="N239" t="e">
            <v>#N/A</v>
          </cell>
          <cell r="O239" t="e">
            <v>#N/A</v>
          </cell>
          <cell r="P239">
            <v>88.7</v>
          </cell>
          <cell r="Q239">
            <v>2.1736960000000001</v>
          </cell>
          <cell r="R239" t="e">
            <v>#N/A</v>
          </cell>
        </row>
        <row r="240">
          <cell r="A240">
            <v>39563</v>
          </cell>
          <cell r="B240">
            <v>39563</v>
          </cell>
          <cell r="C240" t="str">
            <v>Past</v>
          </cell>
          <cell r="D240">
            <v>90.92</v>
          </cell>
          <cell r="E240" t="e">
            <v>#N/A</v>
          </cell>
          <cell r="F240" t="e">
            <v>#N/A</v>
          </cell>
          <cell r="G240" t="e">
            <v>#N/A</v>
          </cell>
          <cell r="H240" t="e">
            <v>#N/A</v>
          </cell>
          <cell r="I240" t="e">
            <v>#N/A</v>
          </cell>
          <cell r="J240" t="e">
            <v>#N/A</v>
          </cell>
          <cell r="K240" t="e">
            <v>#N/A</v>
          </cell>
          <cell r="L240" t="e">
            <v>#N/A</v>
          </cell>
          <cell r="M240" t="e">
            <v>#N/A</v>
          </cell>
          <cell r="N240" t="e">
            <v>#N/A</v>
          </cell>
          <cell r="O240" t="e">
            <v>#N/A</v>
          </cell>
          <cell r="P240">
            <v>90.92</v>
          </cell>
          <cell r="Q240">
            <v>1.7363839999999999</v>
          </cell>
          <cell r="R240" t="e">
            <v>#N/A</v>
          </cell>
        </row>
        <row r="241">
          <cell r="A241">
            <v>39566</v>
          </cell>
          <cell r="B241">
            <v>39566</v>
          </cell>
          <cell r="C241" t="str">
            <v>Past</v>
          </cell>
          <cell r="D241">
            <v>90.23</v>
          </cell>
          <cell r="E241" t="e">
            <v>#N/A</v>
          </cell>
          <cell r="F241" t="e">
            <v>#N/A</v>
          </cell>
          <cell r="G241" t="e">
            <v>#N/A</v>
          </cell>
          <cell r="H241" t="e">
            <v>#N/A</v>
          </cell>
          <cell r="I241" t="e">
            <v>#N/A</v>
          </cell>
          <cell r="J241" t="e">
            <v>#N/A</v>
          </cell>
          <cell r="K241" t="e">
            <v>#N/A</v>
          </cell>
          <cell r="L241" t="e">
            <v>#N/A</v>
          </cell>
          <cell r="M241" t="e">
            <v>#N/A</v>
          </cell>
          <cell r="N241" t="e">
            <v>#N/A</v>
          </cell>
          <cell r="O241" t="e">
            <v>#N/A</v>
          </cell>
          <cell r="P241">
            <v>90.23</v>
          </cell>
          <cell r="Q241">
            <v>1.3298109999999999</v>
          </cell>
          <cell r="R241" t="e">
            <v>#N/A</v>
          </cell>
        </row>
        <row r="242">
          <cell r="A242">
            <v>39567</v>
          </cell>
          <cell r="B242">
            <v>39567</v>
          </cell>
          <cell r="C242" t="str">
            <v>Past</v>
          </cell>
          <cell r="D242">
            <v>90.35</v>
          </cell>
          <cell r="E242" t="e">
            <v>#N/A</v>
          </cell>
          <cell r="F242" t="e">
            <v>#N/A</v>
          </cell>
          <cell r="G242" t="e">
            <v>#N/A</v>
          </cell>
          <cell r="H242" t="e">
            <v>#N/A</v>
          </cell>
          <cell r="I242" t="e">
            <v>#N/A</v>
          </cell>
          <cell r="J242" t="e">
            <v>#N/A</v>
          </cell>
          <cell r="K242" t="e">
            <v>#N/A</v>
          </cell>
          <cell r="L242" t="e">
            <v>#N/A</v>
          </cell>
          <cell r="M242" t="e">
            <v>#N/A</v>
          </cell>
          <cell r="N242" t="e">
            <v>#N/A</v>
          </cell>
          <cell r="O242" t="e">
            <v>#N/A</v>
          </cell>
          <cell r="P242">
            <v>90.35</v>
          </cell>
          <cell r="Q242">
            <v>1.200882</v>
          </cell>
          <cell r="R242" t="e">
            <v>#N/A</v>
          </cell>
        </row>
        <row r="243">
          <cell r="A243">
            <v>39568</v>
          </cell>
          <cell r="B243">
            <v>39568</v>
          </cell>
          <cell r="C243" t="str">
            <v>Past</v>
          </cell>
          <cell r="D243">
            <v>90.42</v>
          </cell>
          <cell r="E243" t="e">
            <v>#N/A</v>
          </cell>
          <cell r="F243" t="e">
            <v>#N/A</v>
          </cell>
          <cell r="G243" t="e">
            <v>#N/A</v>
          </cell>
          <cell r="H243" t="e">
            <v>#N/A</v>
          </cell>
          <cell r="I243" t="e">
            <v>#N/A</v>
          </cell>
          <cell r="J243" t="e">
            <v>#N/A</v>
          </cell>
          <cell r="K243" t="e">
            <v>#N/A</v>
          </cell>
          <cell r="L243" t="e">
            <v>#N/A</v>
          </cell>
          <cell r="M243" t="e">
            <v>#N/A</v>
          </cell>
          <cell r="N243" t="e">
            <v>#N/A</v>
          </cell>
          <cell r="O243" t="e">
            <v>#N/A</v>
          </cell>
          <cell r="P243">
            <v>90.42</v>
          </cell>
          <cell r="Q243">
            <v>1.4589200000000002</v>
          </cell>
          <cell r="R243" t="e">
            <v>#N/A</v>
          </cell>
        </row>
        <row r="244">
          <cell r="A244">
            <v>39569</v>
          </cell>
          <cell r="B244">
            <v>39569</v>
          </cell>
          <cell r="C244" t="str">
            <v>Past</v>
          </cell>
          <cell r="D244">
            <v>90.51</v>
          </cell>
          <cell r="E244" t="e">
            <v>#N/A</v>
          </cell>
          <cell r="F244" t="e">
            <v>#N/A</v>
          </cell>
          <cell r="G244" t="e">
            <v>#N/A</v>
          </cell>
          <cell r="H244" t="e">
            <v>#N/A</v>
          </cell>
          <cell r="I244" t="e">
            <v>#N/A</v>
          </cell>
          <cell r="J244" t="e">
            <v>#N/A</v>
          </cell>
          <cell r="K244" t="e">
            <v>#N/A</v>
          </cell>
          <cell r="L244" t="e">
            <v>#N/A</v>
          </cell>
          <cell r="M244" t="e">
            <v>#N/A</v>
          </cell>
          <cell r="N244" t="e">
            <v>#N/A</v>
          </cell>
          <cell r="O244" t="e">
            <v>#N/A</v>
          </cell>
          <cell r="P244">
            <v>90.51</v>
          </cell>
          <cell r="Q244">
            <v>1.8733309999999999</v>
          </cell>
          <cell r="R244" t="e">
            <v>#N/A</v>
          </cell>
        </row>
        <row r="245">
          <cell r="A245">
            <v>39570</v>
          </cell>
          <cell r="B245">
            <v>39570</v>
          </cell>
          <cell r="C245" t="str">
            <v>Past</v>
          </cell>
          <cell r="D245">
            <v>90.69</v>
          </cell>
          <cell r="E245" t="e">
            <v>#N/A</v>
          </cell>
          <cell r="F245" t="e">
            <v>#N/A</v>
          </cell>
          <cell r="G245" t="e">
            <v>#N/A</v>
          </cell>
          <cell r="H245" t="e">
            <v>#N/A</v>
          </cell>
          <cell r="I245" t="e">
            <v>#N/A</v>
          </cell>
          <cell r="J245" t="e">
            <v>#N/A</v>
          </cell>
          <cell r="K245" t="e">
            <v>#N/A</v>
          </cell>
          <cell r="L245" t="e">
            <v>#N/A</v>
          </cell>
          <cell r="M245" t="e">
            <v>#N/A</v>
          </cell>
          <cell r="N245" t="e">
            <v>#N/A</v>
          </cell>
          <cell r="O245" t="e">
            <v>#N/A</v>
          </cell>
          <cell r="P245">
            <v>90.69</v>
          </cell>
          <cell r="Q245">
            <v>1.519944</v>
          </cell>
          <cell r="R245" t="e">
            <v>#N/A</v>
          </cell>
        </row>
        <row r="246">
          <cell r="A246">
            <v>39573</v>
          </cell>
          <cell r="B246">
            <v>39573</v>
          </cell>
          <cell r="C246" t="str">
            <v>Past</v>
          </cell>
          <cell r="D246">
            <v>90.31</v>
          </cell>
          <cell r="E246" t="e">
            <v>#N/A</v>
          </cell>
          <cell r="F246" t="e">
            <v>#N/A</v>
          </cell>
          <cell r="G246" t="e">
            <v>#N/A</v>
          </cell>
          <cell r="H246" t="e">
            <v>#N/A</v>
          </cell>
          <cell r="I246" t="e">
            <v>#N/A</v>
          </cell>
          <cell r="J246" t="e">
            <v>#N/A</v>
          </cell>
          <cell r="K246" t="e">
            <v>#N/A</v>
          </cell>
          <cell r="L246" t="e">
            <v>#N/A</v>
          </cell>
          <cell r="M246" t="e">
            <v>#N/A</v>
          </cell>
          <cell r="N246" t="e">
            <v>#N/A</v>
          </cell>
          <cell r="O246" t="e">
            <v>#N/A</v>
          </cell>
          <cell r="P246">
            <v>90.31</v>
          </cell>
          <cell r="Q246">
            <v>1.284035</v>
          </cell>
          <cell r="R246" t="e">
            <v>#N/A</v>
          </cell>
        </row>
        <row r="247">
          <cell r="A247">
            <v>39574</v>
          </cell>
          <cell r="B247">
            <v>39574</v>
          </cell>
          <cell r="C247" t="str">
            <v>Past</v>
          </cell>
          <cell r="D247">
            <v>90.16</v>
          </cell>
          <cell r="E247" t="e">
            <v>#N/A</v>
          </cell>
          <cell r="F247" t="e">
            <v>#N/A</v>
          </cell>
          <cell r="G247" t="e">
            <v>#N/A</v>
          </cell>
          <cell r="H247" t="e">
            <v>#N/A</v>
          </cell>
          <cell r="I247" t="e">
            <v>#N/A</v>
          </cell>
          <cell r="J247" t="e">
            <v>#N/A</v>
          </cell>
          <cell r="K247" t="e">
            <v>#N/A</v>
          </cell>
          <cell r="L247" t="e">
            <v>#N/A</v>
          </cell>
          <cell r="M247" t="e">
            <v>#N/A</v>
          </cell>
          <cell r="N247" t="e">
            <v>#N/A</v>
          </cell>
          <cell r="O247" t="e">
            <v>#N/A</v>
          </cell>
          <cell r="P247">
            <v>90.16</v>
          </cell>
          <cell r="Q247">
            <v>2.1639369999999998</v>
          </cell>
          <cell r="R247" t="e">
            <v>#N/A</v>
          </cell>
        </row>
        <row r="248">
          <cell r="A248">
            <v>39575</v>
          </cell>
          <cell r="B248">
            <v>39575</v>
          </cell>
          <cell r="C248" t="str">
            <v>Past</v>
          </cell>
          <cell r="D248">
            <v>89.68</v>
          </cell>
          <cell r="E248" t="e">
            <v>#N/A</v>
          </cell>
          <cell r="F248" t="e">
            <v>#N/A</v>
          </cell>
          <cell r="G248" t="e">
            <v>#N/A</v>
          </cell>
          <cell r="H248" t="e">
            <v>#N/A</v>
          </cell>
          <cell r="I248" t="e">
            <v>#N/A</v>
          </cell>
          <cell r="J248" t="e">
            <v>#N/A</v>
          </cell>
          <cell r="K248" t="e">
            <v>#N/A</v>
          </cell>
          <cell r="L248" t="e">
            <v>#N/A</v>
          </cell>
          <cell r="M248" t="e">
            <v>#N/A</v>
          </cell>
          <cell r="N248" t="e">
            <v>#N/A</v>
          </cell>
          <cell r="O248" t="e">
            <v>#N/A</v>
          </cell>
          <cell r="P248">
            <v>89.68</v>
          </cell>
          <cell r="Q248">
            <v>2.0969200000000003</v>
          </cell>
          <cell r="R248" t="e">
            <v>#N/A</v>
          </cell>
        </row>
        <row r="249">
          <cell r="A249">
            <v>39576</v>
          </cell>
          <cell r="B249">
            <v>39576</v>
          </cell>
          <cell r="C249" t="str">
            <v>Past</v>
          </cell>
          <cell r="D249">
            <v>91.46</v>
          </cell>
          <cell r="E249" t="e">
            <v>#N/A</v>
          </cell>
          <cell r="F249" t="e">
            <v>#N/A</v>
          </cell>
          <cell r="G249" t="e">
            <v>#N/A</v>
          </cell>
          <cell r="H249" t="e">
            <v>#N/A</v>
          </cell>
          <cell r="I249" t="e">
            <v>#N/A</v>
          </cell>
          <cell r="J249" t="e">
            <v>#N/A</v>
          </cell>
          <cell r="K249" t="e">
            <v>#N/A</v>
          </cell>
          <cell r="L249" t="e">
            <v>#N/A</v>
          </cell>
          <cell r="M249" t="e">
            <v>#N/A</v>
          </cell>
          <cell r="N249" t="e">
            <v>#N/A</v>
          </cell>
          <cell r="O249" t="e">
            <v>#N/A</v>
          </cell>
          <cell r="P249">
            <v>91.46</v>
          </cell>
          <cell r="Q249">
            <v>1.846376</v>
          </cell>
          <cell r="R249" t="e">
            <v>#N/A</v>
          </cell>
        </row>
        <row r="250">
          <cell r="A250">
            <v>39577</v>
          </cell>
          <cell r="B250">
            <v>39577</v>
          </cell>
          <cell r="C250" t="str">
            <v>Past</v>
          </cell>
          <cell r="D250">
            <v>90.92</v>
          </cell>
          <cell r="E250" t="e">
            <v>#N/A</v>
          </cell>
          <cell r="F250" t="e">
            <v>#N/A</v>
          </cell>
          <cell r="G250" t="e">
            <v>#N/A</v>
          </cell>
          <cell r="H250" t="e">
            <v>#N/A</v>
          </cell>
          <cell r="I250" t="e">
            <v>#N/A</v>
          </cell>
          <cell r="J250" t="e">
            <v>#N/A</v>
          </cell>
          <cell r="K250" t="e">
            <v>#N/A</v>
          </cell>
          <cell r="L250" t="e">
            <v>#N/A</v>
          </cell>
          <cell r="M250" t="e">
            <v>#N/A</v>
          </cell>
          <cell r="N250" t="e">
            <v>#N/A</v>
          </cell>
          <cell r="O250" t="e">
            <v>#N/A</v>
          </cell>
          <cell r="P250">
            <v>90.92</v>
          </cell>
          <cell r="Q250">
            <v>2.1435390000000001</v>
          </cell>
          <cell r="R250" t="e">
            <v>#N/A</v>
          </cell>
        </row>
        <row r="251">
          <cell r="A251">
            <v>39580</v>
          </cell>
          <cell r="B251">
            <v>39580</v>
          </cell>
          <cell r="C251" t="str">
            <v>Past</v>
          </cell>
          <cell r="D251">
            <v>92.6</v>
          </cell>
          <cell r="E251" t="e">
            <v>#N/A</v>
          </cell>
          <cell r="F251" t="e">
            <v>#N/A</v>
          </cell>
          <cell r="G251" t="e">
            <v>#N/A</v>
          </cell>
          <cell r="H251" t="e">
            <v>#N/A</v>
          </cell>
          <cell r="I251" t="e">
            <v>#N/A</v>
          </cell>
          <cell r="J251" t="e">
            <v>#N/A</v>
          </cell>
          <cell r="K251" t="e">
            <v>#N/A</v>
          </cell>
          <cell r="L251" t="e">
            <v>#N/A</v>
          </cell>
          <cell r="M251" t="e">
            <v>#N/A</v>
          </cell>
          <cell r="N251" t="e">
            <v>#N/A</v>
          </cell>
          <cell r="O251" t="e">
            <v>#N/A</v>
          </cell>
          <cell r="P251">
            <v>92.6</v>
          </cell>
          <cell r="Q251">
            <v>2.4043209999999999</v>
          </cell>
          <cell r="R251" t="e">
            <v>#N/A</v>
          </cell>
        </row>
        <row r="252">
          <cell r="A252">
            <v>39581</v>
          </cell>
          <cell r="B252">
            <v>39581</v>
          </cell>
          <cell r="C252" t="str">
            <v>Past</v>
          </cell>
          <cell r="D252">
            <v>92.91</v>
          </cell>
          <cell r="E252" t="e">
            <v>#N/A</v>
          </cell>
          <cell r="F252" t="e">
            <v>#N/A</v>
          </cell>
          <cell r="G252" t="e">
            <v>#N/A</v>
          </cell>
          <cell r="H252" t="e">
            <v>#N/A</v>
          </cell>
          <cell r="I252" t="e">
            <v>#N/A</v>
          </cell>
          <cell r="J252" t="e">
            <v>#N/A</v>
          </cell>
          <cell r="K252" t="e">
            <v>#N/A</v>
          </cell>
          <cell r="L252" t="e">
            <v>#N/A</v>
          </cell>
          <cell r="M252" t="e">
            <v>#N/A</v>
          </cell>
          <cell r="N252" t="e">
            <v>#N/A</v>
          </cell>
          <cell r="O252" t="e">
            <v>#N/A</v>
          </cell>
          <cell r="P252">
            <v>92.91</v>
          </cell>
          <cell r="Q252">
            <v>1.890695</v>
          </cell>
          <cell r="R252" t="e">
            <v>#N/A</v>
          </cell>
        </row>
        <row r="253">
          <cell r="A253">
            <v>39582</v>
          </cell>
          <cell r="B253">
            <v>39582</v>
          </cell>
          <cell r="C253" t="str">
            <v>Past</v>
          </cell>
          <cell r="D253">
            <v>93.24</v>
          </cell>
          <cell r="E253" t="e">
            <v>#N/A</v>
          </cell>
          <cell r="F253" t="e">
            <v>#N/A</v>
          </cell>
          <cell r="G253" t="e">
            <v>#N/A</v>
          </cell>
          <cell r="H253" t="e">
            <v>#N/A</v>
          </cell>
          <cell r="I253" t="e">
            <v>#N/A</v>
          </cell>
          <cell r="J253" t="e">
            <v>#N/A</v>
          </cell>
          <cell r="K253" t="e">
            <v>#N/A</v>
          </cell>
          <cell r="L253" t="e">
            <v>#N/A</v>
          </cell>
          <cell r="M253" t="e">
            <v>#N/A</v>
          </cell>
          <cell r="N253" t="e">
            <v>#N/A</v>
          </cell>
          <cell r="O253" t="e">
            <v>#N/A</v>
          </cell>
          <cell r="P253">
            <v>93.24</v>
          </cell>
          <cell r="Q253">
            <v>2.248138</v>
          </cell>
          <cell r="R253" t="e">
            <v>#N/A</v>
          </cell>
        </row>
        <row r="254">
          <cell r="A254">
            <v>39583</v>
          </cell>
          <cell r="B254">
            <v>39583</v>
          </cell>
          <cell r="C254" t="str">
            <v>Past</v>
          </cell>
          <cell r="D254">
            <v>93.23</v>
          </cell>
          <cell r="E254" t="e">
            <v>#N/A</v>
          </cell>
          <cell r="F254" t="e">
            <v>#N/A</v>
          </cell>
          <cell r="G254" t="e">
            <v>#N/A</v>
          </cell>
          <cell r="H254" t="e">
            <v>#N/A</v>
          </cell>
          <cell r="I254" t="e">
            <v>#N/A</v>
          </cell>
          <cell r="J254" t="e">
            <v>#N/A</v>
          </cell>
          <cell r="K254" t="e">
            <v>#N/A</v>
          </cell>
          <cell r="L254" t="e">
            <v>#N/A</v>
          </cell>
          <cell r="M254" t="e">
            <v>#N/A</v>
          </cell>
          <cell r="N254" t="e">
            <v>#N/A</v>
          </cell>
          <cell r="O254" t="e">
            <v>#N/A</v>
          </cell>
          <cell r="P254">
            <v>93.23</v>
          </cell>
          <cell r="Q254">
            <v>1.6802000000000001</v>
          </cell>
          <cell r="R254" t="e">
            <v>#N/A</v>
          </cell>
        </row>
        <row r="255">
          <cell r="A255">
            <v>39584</v>
          </cell>
          <cell r="B255">
            <v>39584</v>
          </cell>
          <cell r="C255" t="str">
            <v>Past</v>
          </cell>
          <cell r="D255">
            <v>92.93</v>
          </cell>
          <cell r="E255" t="e">
            <v>#N/A</v>
          </cell>
          <cell r="F255" t="e">
            <v>#N/A</v>
          </cell>
          <cell r="G255" t="e">
            <v>#N/A</v>
          </cell>
          <cell r="H255" t="e">
            <v>#N/A</v>
          </cell>
          <cell r="I255" t="e">
            <v>#N/A</v>
          </cell>
          <cell r="J255" t="e">
            <v>#N/A</v>
          </cell>
          <cell r="K255" t="e">
            <v>#N/A</v>
          </cell>
          <cell r="L255" t="e">
            <v>#N/A</v>
          </cell>
          <cell r="M255" t="e">
            <v>#N/A</v>
          </cell>
          <cell r="N255" t="e">
            <v>#N/A</v>
          </cell>
          <cell r="O255" t="e">
            <v>#N/A</v>
          </cell>
          <cell r="P255">
            <v>92.93</v>
          </cell>
          <cell r="Q255">
            <v>2.2702049999999998</v>
          </cell>
          <cell r="R255" t="e">
            <v>#N/A</v>
          </cell>
        </row>
        <row r="256">
          <cell r="A256">
            <v>39587</v>
          </cell>
          <cell r="B256">
            <v>39587</v>
          </cell>
          <cell r="C256" t="str">
            <v>Past</v>
          </cell>
          <cell r="D256">
            <v>94.6</v>
          </cell>
          <cell r="E256" t="e">
            <v>#N/A</v>
          </cell>
          <cell r="F256" t="e">
            <v>#N/A</v>
          </cell>
          <cell r="G256" t="e">
            <v>#N/A</v>
          </cell>
          <cell r="H256" t="e">
            <v>#N/A</v>
          </cell>
          <cell r="I256" t="e">
            <v>#N/A</v>
          </cell>
          <cell r="J256" t="e">
            <v>#N/A</v>
          </cell>
          <cell r="K256" t="e">
            <v>#N/A</v>
          </cell>
          <cell r="L256" t="e">
            <v>#N/A</v>
          </cell>
          <cell r="M256" t="e">
            <v>#N/A</v>
          </cell>
          <cell r="N256" t="e">
            <v>#N/A</v>
          </cell>
          <cell r="O256" t="e">
            <v>#N/A</v>
          </cell>
          <cell r="P256">
            <v>94.6</v>
          </cell>
          <cell r="Q256">
            <v>2.074551</v>
          </cell>
          <cell r="R256" t="e">
            <v>#N/A</v>
          </cell>
        </row>
        <row r="257">
          <cell r="A257">
            <v>39588</v>
          </cell>
          <cell r="B257">
            <v>39588</v>
          </cell>
          <cell r="C257" t="str">
            <v>Past</v>
          </cell>
          <cell r="D257">
            <v>93.72</v>
          </cell>
          <cell r="E257" t="e">
            <v>#N/A</v>
          </cell>
          <cell r="F257" t="e">
            <v>#N/A</v>
          </cell>
          <cell r="G257" t="e">
            <v>#N/A</v>
          </cell>
          <cell r="H257" t="e">
            <v>#N/A</v>
          </cell>
          <cell r="I257" t="e">
            <v>#N/A</v>
          </cell>
          <cell r="J257" t="e">
            <v>#N/A</v>
          </cell>
          <cell r="K257" t="e">
            <v>#N/A</v>
          </cell>
          <cell r="L257" t="e">
            <v>#N/A</v>
          </cell>
          <cell r="M257" t="e">
            <v>#N/A</v>
          </cell>
          <cell r="N257" t="e">
            <v>#N/A</v>
          </cell>
          <cell r="O257" t="e">
            <v>#N/A</v>
          </cell>
          <cell r="P257">
            <v>93.72</v>
          </cell>
          <cell r="Q257">
            <v>1.5382600000000002</v>
          </cell>
          <cell r="R257" t="e">
            <v>#N/A</v>
          </cell>
        </row>
        <row r="258">
          <cell r="A258">
            <v>39589</v>
          </cell>
          <cell r="B258">
            <v>39589</v>
          </cell>
          <cell r="C258" t="str">
            <v>Past</v>
          </cell>
          <cell r="D258">
            <v>91.64</v>
          </cell>
          <cell r="E258" t="e">
            <v>#N/A</v>
          </cell>
          <cell r="F258" t="e">
            <v>#N/A</v>
          </cell>
          <cell r="G258" t="e">
            <v>#N/A</v>
          </cell>
          <cell r="H258" t="e">
            <v>#N/A</v>
          </cell>
          <cell r="I258" t="e">
            <v>#N/A</v>
          </cell>
          <cell r="J258" t="e">
            <v>#N/A</v>
          </cell>
          <cell r="K258" t="e">
            <v>#N/A</v>
          </cell>
          <cell r="L258" t="e">
            <v>#N/A</v>
          </cell>
          <cell r="M258" t="e">
            <v>#N/A</v>
          </cell>
          <cell r="N258" t="e">
            <v>#N/A</v>
          </cell>
          <cell r="O258" t="e">
            <v>#N/A</v>
          </cell>
          <cell r="P258">
            <v>91.64</v>
          </cell>
          <cell r="Q258">
            <v>1.8667100000000001</v>
          </cell>
          <cell r="R258" t="e">
            <v>#N/A</v>
          </cell>
        </row>
        <row r="259">
          <cell r="A259">
            <v>39590</v>
          </cell>
          <cell r="B259">
            <v>39590</v>
          </cell>
          <cell r="C259" t="str">
            <v>Past</v>
          </cell>
          <cell r="D259">
            <v>91.49</v>
          </cell>
          <cell r="E259" t="e">
            <v>#N/A</v>
          </cell>
          <cell r="F259" t="e">
            <v>#N/A</v>
          </cell>
          <cell r="G259" t="e">
            <v>#N/A</v>
          </cell>
          <cell r="H259" t="e">
            <v>#N/A</v>
          </cell>
          <cell r="I259" t="e">
            <v>#N/A</v>
          </cell>
          <cell r="J259" t="e">
            <v>#N/A</v>
          </cell>
          <cell r="K259" t="e">
            <v>#N/A</v>
          </cell>
          <cell r="L259" t="e">
            <v>#N/A</v>
          </cell>
          <cell r="M259" t="e">
            <v>#N/A</v>
          </cell>
          <cell r="N259" t="e">
            <v>#N/A</v>
          </cell>
          <cell r="O259" t="e">
            <v>#N/A</v>
          </cell>
          <cell r="P259">
            <v>91.49</v>
          </cell>
          <cell r="Q259">
            <v>1.140315</v>
          </cell>
          <cell r="R259" t="e">
            <v>#N/A</v>
          </cell>
        </row>
        <row r="260">
          <cell r="A260">
            <v>39591</v>
          </cell>
          <cell r="B260">
            <v>39591</v>
          </cell>
          <cell r="C260" t="str">
            <v>Past</v>
          </cell>
          <cell r="D260">
            <v>90.37</v>
          </cell>
          <cell r="E260" t="e">
            <v>#N/A</v>
          </cell>
          <cell r="F260" t="e">
            <v>#N/A</v>
          </cell>
          <cell r="G260" t="e">
            <v>#N/A</v>
          </cell>
          <cell r="H260" t="e">
            <v>#N/A</v>
          </cell>
          <cell r="I260" t="e">
            <v>#N/A</v>
          </cell>
          <cell r="J260" t="e">
            <v>#N/A</v>
          </cell>
          <cell r="K260" t="e">
            <v>#N/A</v>
          </cell>
          <cell r="L260" t="e">
            <v>#N/A</v>
          </cell>
          <cell r="M260" t="e">
            <v>#N/A</v>
          </cell>
          <cell r="N260" t="e">
            <v>#N/A</v>
          </cell>
          <cell r="O260" t="e">
            <v>#N/A</v>
          </cell>
          <cell r="P260">
            <v>90.37</v>
          </cell>
          <cell r="Q260">
            <v>1.1197489999999999</v>
          </cell>
          <cell r="R260" t="e">
            <v>#N/A</v>
          </cell>
        </row>
        <row r="261">
          <cell r="A261">
            <v>39595</v>
          </cell>
          <cell r="B261">
            <v>39595</v>
          </cell>
          <cell r="C261" t="str">
            <v>Past</v>
          </cell>
          <cell r="D261">
            <v>90.55</v>
          </cell>
          <cell r="E261" t="e">
            <v>#N/A</v>
          </cell>
          <cell r="F261" t="e">
            <v>#N/A</v>
          </cell>
          <cell r="G261" t="e">
            <v>#N/A</v>
          </cell>
          <cell r="H261" t="e">
            <v>#N/A</v>
          </cell>
          <cell r="I261" t="e">
            <v>#N/A</v>
          </cell>
          <cell r="J261" t="e">
            <v>#N/A</v>
          </cell>
          <cell r="K261" t="e">
            <v>#N/A</v>
          </cell>
          <cell r="L261" t="e">
            <v>#N/A</v>
          </cell>
          <cell r="M261" t="e">
            <v>#N/A</v>
          </cell>
          <cell r="N261" t="e">
            <v>#N/A</v>
          </cell>
          <cell r="O261" t="e">
            <v>#N/A</v>
          </cell>
          <cell r="P261">
            <v>90.55</v>
          </cell>
          <cell r="Q261">
            <v>1.074484</v>
          </cell>
          <cell r="R261" t="e">
            <v>#N/A</v>
          </cell>
        </row>
        <row r="262">
          <cell r="A262">
            <v>39596</v>
          </cell>
          <cell r="B262">
            <v>39596</v>
          </cell>
          <cell r="C262" t="str">
            <v>Past</v>
          </cell>
          <cell r="D262">
            <v>92.1</v>
          </cell>
          <cell r="E262" t="e">
            <v>#N/A</v>
          </cell>
          <cell r="F262" t="e">
            <v>#N/A</v>
          </cell>
          <cell r="G262" t="e">
            <v>#N/A</v>
          </cell>
          <cell r="H262" t="e">
            <v>#N/A</v>
          </cell>
          <cell r="I262" t="e">
            <v>#N/A</v>
          </cell>
          <cell r="J262" t="e">
            <v>#N/A</v>
          </cell>
          <cell r="K262" t="e">
            <v>#N/A</v>
          </cell>
          <cell r="L262" t="e">
            <v>#N/A</v>
          </cell>
          <cell r="M262" t="e">
            <v>#N/A</v>
          </cell>
          <cell r="N262" t="e">
            <v>#N/A</v>
          </cell>
          <cell r="O262" t="e">
            <v>#N/A</v>
          </cell>
          <cell r="P262">
            <v>92.1</v>
          </cell>
          <cell r="Q262">
            <v>1.4803419999999998</v>
          </cell>
          <cell r="R262" t="e">
            <v>#N/A</v>
          </cell>
        </row>
        <row r="263">
          <cell r="A263">
            <v>39597</v>
          </cell>
          <cell r="B263">
            <v>39597</v>
          </cell>
          <cell r="C263" t="str">
            <v>Past</v>
          </cell>
          <cell r="D263">
            <v>91.85</v>
          </cell>
          <cell r="E263" t="e">
            <v>#N/A</v>
          </cell>
          <cell r="F263" t="e">
            <v>#N/A</v>
          </cell>
          <cell r="G263" t="e">
            <v>#N/A</v>
          </cell>
          <cell r="H263" t="e">
            <v>#N/A</v>
          </cell>
          <cell r="I263" t="e">
            <v>#N/A</v>
          </cell>
          <cell r="J263" t="e">
            <v>#N/A</v>
          </cell>
          <cell r="K263" t="e">
            <v>#N/A</v>
          </cell>
          <cell r="L263" t="e">
            <v>#N/A</v>
          </cell>
          <cell r="M263" t="e">
            <v>#N/A</v>
          </cell>
          <cell r="N263" t="e">
            <v>#N/A</v>
          </cell>
          <cell r="O263" t="e">
            <v>#N/A</v>
          </cell>
          <cell r="P263">
            <v>91.85</v>
          </cell>
          <cell r="Q263">
            <v>1.888552</v>
          </cell>
          <cell r="R263" t="e">
            <v>#N/A</v>
          </cell>
        </row>
        <row r="264">
          <cell r="A264">
            <v>39598</v>
          </cell>
          <cell r="B264">
            <v>39598</v>
          </cell>
          <cell r="C264" t="str">
            <v>Past</v>
          </cell>
          <cell r="D264">
            <v>92.15</v>
          </cell>
          <cell r="E264" t="e">
            <v>#N/A</v>
          </cell>
          <cell r="F264" t="e">
            <v>#N/A</v>
          </cell>
          <cell r="G264" t="e">
            <v>#N/A</v>
          </cell>
          <cell r="H264" t="e">
            <v>#N/A</v>
          </cell>
          <cell r="I264" t="e">
            <v>#N/A</v>
          </cell>
          <cell r="J264" t="e">
            <v>#N/A</v>
          </cell>
          <cell r="K264" t="e">
            <v>#N/A</v>
          </cell>
          <cell r="L264" t="e">
            <v>#N/A</v>
          </cell>
          <cell r="M264" t="e">
            <v>#N/A</v>
          </cell>
          <cell r="N264" t="e">
            <v>#N/A</v>
          </cell>
          <cell r="O264" t="e">
            <v>#N/A</v>
          </cell>
          <cell r="P264">
            <v>92.15</v>
          </cell>
          <cell r="Q264">
            <v>1.6830889999999998</v>
          </cell>
          <cell r="R264" t="e">
            <v>#N/A</v>
          </cell>
        </row>
        <row r="265">
          <cell r="A265">
            <v>39601</v>
          </cell>
          <cell r="B265">
            <v>39601</v>
          </cell>
          <cell r="C265" t="str">
            <v>Past</v>
          </cell>
          <cell r="D265">
            <v>91.33</v>
          </cell>
          <cell r="E265" t="e">
            <v>#N/A</v>
          </cell>
          <cell r="F265" t="e">
            <v>#N/A</v>
          </cell>
          <cell r="G265" t="e">
            <v>#N/A</v>
          </cell>
          <cell r="H265" t="e">
            <v>#N/A</v>
          </cell>
          <cell r="I265" t="e">
            <v>#N/A</v>
          </cell>
          <cell r="J265" t="e">
            <v>#N/A</v>
          </cell>
          <cell r="K265" t="e">
            <v>#N/A</v>
          </cell>
          <cell r="L265" t="e">
            <v>#N/A</v>
          </cell>
          <cell r="M265" t="e">
            <v>#N/A</v>
          </cell>
          <cell r="N265" t="e">
            <v>#N/A</v>
          </cell>
          <cell r="O265" t="e">
            <v>#N/A</v>
          </cell>
          <cell r="P265">
            <v>91.33</v>
          </cell>
          <cell r="Q265">
            <v>1.7745229999999999</v>
          </cell>
          <cell r="R265" t="e">
            <v>#N/A</v>
          </cell>
        </row>
        <row r="266">
          <cell r="A266">
            <v>39602</v>
          </cell>
          <cell r="B266">
            <v>39602</v>
          </cell>
          <cell r="C266" t="str">
            <v>Past</v>
          </cell>
          <cell r="D266">
            <v>89.83</v>
          </cell>
          <cell r="E266" t="e">
            <v>#N/A</v>
          </cell>
          <cell r="F266" t="e">
            <v>#N/A</v>
          </cell>
          <cell r="G266" t="e">
            <v>#N/A</v>
          </cell>
          <cell r="H266" t="e">
            <v>#N/A</v>
          </cell>
          <cell r="I266" t="e">
            <v>#N/A</v>
          </cell>
          <cell r="J266" t="e">
            <v>#N/A</v>
          </cell>
          <cell r="K266" t="e">
            <v>#N/A</v>
          </cell>
          <cell r="L266" t="e">
            <v>#N/A</v>
          </cell>
          <cell r="M266" t="e">
            <v>#N/A</v>
          </cell>
          <cell r="N266" t="e">
            <v>#N/A</v>
          </cell>
          <cell r="O266" t="e">
            <v>#N/A</v>
          </cell>
          <cell r="P266">
            <v>89.83</v>
          </cell>
          <cell r="Q266">
            <v>1.9371779999999998</v>
          </cell>
          <cell r="R266" t="e">
            <v>#N/A</v>
          </cell>
        </row>
        <row r="267">
          <cell r="A267">
            <v>39603</v>
          </cell>
          <cell r="B267">
            <v>39603</v>
          </cell>
          <cell r="C267" t="str">
            <v>Past</v>
          </cell>
          <cell r="D267">
            <v>88.71</v>
          </cell>
          <cell r="E267" t="e">
            <v>#N/A</v>
          </cell>
          <cell r="F267" t="e">
            <v>#N/A</v>
          </cell>
          <cell r="G267" t="e">
            <v>#N/A</v>
          </cell>
          <cell r="H267" t="e">
            <v>#N/A</v>
          </cell>
          <cell r="I267" t="e">
            <v>#N/A</v>
          </cell>
          <cell r="J267" t="e">
            <v>#N/A</v>
          </cell>
          <cell r="K267" t="e">
            <v>#N/A</v>
          </cell>
          <cell r="L267" t="e">
            <v>#N/A</v>
          </cell>
          <cell r="M267" t="e">
            <v>#N/A</v>
          </cell>
          <cell r="N267" t="e">
            <v>#N/A</v>
          </cell>
          <cell r="O267" t="e">
            <v>#N/A</v>
          </cell>
          <cell r="P267">
            <v>88.71</v>
          </cell>
          <cell r="Q267">
            <v>1.8012359999999998</v>
          </cell>
          <cell r="R267" t="e">
            <v>#N/A</v>
          </cell>
        </row>
        <row r="268">
          <cell r="A268">
            <v>39604</v>
          </cell>
          <cell r="B268">
            <v>39604</v>
          </cell>
          <cell r="C268" t="str">
            <v>Past</v>
          </cell>
          <cell r="D268">
            <v>89.64</v>
          </cell>
          <cell r="E268" t="e">
            <v>#N/A</v>
          </cell>
          <cell r="F268" t="e">
            <v>#N/A</v>
          </cell>
          <cell r="G268" t="e">
            <v>#N/A</v>
          </cell>
          <cell r="H268" t="e">
            <v>#N/A</v>
          </cell>
          <cell r="I268" t="e">
            <v>#N/A</v>
          </cell>
          <cell r="J268" t="e">
            <v>#N/A</v>
          </cell>
          <cell r="K268" t="e">
            <v>#N/A</v>
          </cell>
          <cell r="L268" t="e">
            <v>#N/A</v>
          </cell>
          <cell r="M268" t="e">
            <v>#N/A</v>
          </cell>
          <cell r="N268" t="e">
            <v>#N/A</v>
          </cell>
          <cell r="O268" t="e">
            <v>#N/A</v>
          </cell>
          <cell r="P268">
            <v>89.64</v>
          </cell>
          <cell r="Q268">
            <v>2.2385569999999997</v>
          </cell>
          <cell r="R268" t="e">
            <v>#N/A</v>
          </cell>
        </row>
        <row r="269">
          <cell r="A269">
            <v>39605</v>
          </cell>
          <cell r="B269">
            <v>39605</v>
          </cell>
          <cell r="C269" t="str">
            <v>Past</v>
          </cell>
          <cell r="D269">
            <v>86.65</v>
          </cell>
          <cell r="E269" t="e">
            <v>#N/A</v>
          </cell>
          <cell r="F269" t="e">
            <v>#N/A</v>
          </cell>
          <cell r="G269" t="e">
            <v>#N/A</v>
          </cell>
          <cell r="H269" t="e">
            <v>#N/A</v>
          </cell>
          <cell r="I269" t="e">
            <v>#N/A</v>
          </cell>
          <cell r="J269" t="e">
            <v>#N/A</v>
          </cell>
          <cell r="K269" t="e">
            <v>#N/A</v>
          </cell>
          <cell r="L269" t="e">
            <v>#N/A</v>
          </cell>
          <cell r="M269" t="e">
            <v>#N/A</v>
          </cell>
          <cell r="N269" t="e">
            <v>#N/A</v>
          </cell>
          <cell r="O269" t="e">
            <v>#N/A</v>
          </cell>
          <cell r="P269">
            <v>86.65</v>
          </cell>
          <cell r="Q269">
            <v>2.326524</v>
          </cell>
          <cell r="R269" t="e">
            <v>#N/A</v>
          </cell>
        </row>
        <row r="270">
          <cell r="A270">
            <v>39608</v>
          </cell>
          <cell r="B270">
            <v>39608</v>
          </cell>
          <cell r="C270" t="str">
            <v>Past</v>
          </cell>
          <cell r="D270">
            <v>86.13</v>
          </cell>
          <cell r="E270" t="e">
            <v>#N/A</v>
          </cell>
          <cell r="F270" t="e">
            <v>#N/A</v>
          </cell>
          <cell r="G270" t="e">
            <v>#N/A</v>
          </cell>
          <cell r="H270" t="e">
            <v>#N/A</v>
          </cell>
          <cell r="I270" t="e">
            <v>#N/A</v>
          </cell>
          <cell r="J270" t="e">
            <v>#N/A</v>
          </cell>
          <cell r="K270" t="e">
            <v>#N/A</v>
          </cell>
          <cell r="L270" t="e">
            <v>#N/A</v>
          </cell>
          <cell r="M270" t="e">
            <v>#N/A</v>
          </cell>
          <cell r="N270" t="e">
            <v>#N/A</v>
          </cell>
          <cell r="O270" t="e">
            <v>#N/A</v>
          </cell>
          <cell r="P270">
            <v>86.13</v>
          </cell>
          <cell r="Q270">
            <v>2.9393829999999999</v>
          </cell>
          <cell r="R270" t="e">
            <v>#N/A</v>
          </cell>
        </row>
        <row r="271">
          <cell r="A271">
            <v>39609</v>
          </cell>
          <cell r="B271">
            <v>39609</v>
          </cell>
          <cell r="C271" t="str">
            <v>Past</v>
          </cell>
          <cell r="D271">
            <v>85.99</v>
          </cell>
          <cell r="E271" t="e">
            <v>#N/A</v>
          </cell>
          <cell r="F271" t="e">
            <v>#N/A</v>
          </cell>
          <cell r="G271" t="e">
            <v>#N/A</v>
          </cell>
          <cell r="H271" t="e">
            <v>#N/A</v>
          </cell>
          <cell r="I271" t="e">
            <v>#N/A</v>
          </cell>
          <cell r="J271" t="e">
            <v>#N/A</v>
          </cell>
          <cell r="K271" t="e">
            <v>#N/A</v>
          </cell>
          <cell r="L271" t="e">
            <v>#N/A</v>
          </cell>
          <cell r="M271" t="e">
            <v>#N/A</v>
          </cell>
          <cell r="N271" t="e">
            <v>#N/A</v>
          </cell>
          <cell r="O271" t="e">
            <v>#N/A</v>
          </cell>
          <cell r="P271">
            <v>85.99</v>
          </cell>
          <cell r="Q271">
            <v>2.1200060000000001</v>
          </cell>
          <cell r="R271" t="e">
            <v>#N/A</v>
          </cell>
        </row>
        <row r="272">
          <cell r="A272">
            <v>39610</v>
          </cell>
          <cell r="B272">
            <v>39610</v>
          </cell>
          <cell r="C272" t="str">
            <v>Past</v>
          </cell>
          <cell r="D272">
            <v>85.33</v>
          </cell>
          <cell r="E272" t="e">
            <v>#N/A</v>
          </cell>
          <cell r="F272" t="e">
            <v>#N/A</v>
          </cell>
          <cell r="G272" t="e">
            <v>#N/A</v>
          </cell>
          <cell r="H272" t="e">
            <v>#N/A</v>
          </cell>
          <cell r="I272" t="e">
            <v>#N/A</v>
          </cell>
          <cell r="J272" t="e">
            <v>#N/A</v>
          </cell>
          <cell r="K272" t="e">
            <v>#N/A</v>
          </cell>
          <cell r="L272" t="e">
            <v>#N/A</v>
          </cell>
          <cell r="M272" t="e">
            <v>#N/A</v>
          </cell>
          <cell r="N272" t="e">
            <v>#N/A</v>
          </cell>
          <cell r="O272" t="e">
            <v>#N/A</v>
          </cell>
          <cell r="P272">
            <v>85.33</v>
          </cell>
          <cell r="Q272">
            <v>2.2012109999999998</v>
          </cell>
          <cell r="R272" t="e">
            <v>#N/A</v>
          </cell>
        </row>
        <row r="273">
          <cell r="A273">
            <v>39611</v>
          </cell>
          <cell r="B273">
            <v>39611</v>
          </cell>
          <cell r="C273" t="str">
            <v>Past</v>
          </cell>
          <cell r="D273">
            <v>85.71</v>
          </cell>
          <cell r="E273" t="e">
            <v>#N/A</v>
          </cell>
          <cell r="F273" t="e">
            <v>#N/A</v>
          </cell>
          <cell r="G273" t="e">
            <v>#N/A</v>
          </cell>
          <cell r="H273" t="e">
            <v>#N/A</v>
          </cell>
          <cell r="I273" t="e">
            <v>#N/A</v>
          </cell>
          <cell r="J273" t="e">
            <v>#N/A</v>
          </cell>
          <cell r="K273" t="e">
            <v>#N/A</v>
          </cell>
          <cell r="L273" t="e">
            <v>#N/A</v>
          </cell>
          <cell r="M273" t="e">
            <v>#N/A</v>
          </cell>
          <cell r="N273" t="e">
            <v>#N/A</v>
          </cell>
          <cell r="O273" t="e">
            <v>#N/A</v>
          </cell>
          <cell r="P273">
            <v>85.71</v>
          </cell>
          <cell r="Q273">
            <v>1.8174600000000001</v>
          </cell>
          <cell r="R273" t="e">
            <v>#N/A</v>
          </cell>
        </row>
        <row r="274">
          <cell r="A274">
            <v>39612</v>
          </cell>
          <cell r="B274">
            <v>39612</v>
          </cell>
          <cell r="C274" t="str">
            <v>Past</v>
          </cell>
          <cell r="D274">
            <v>86.45</v>
          </cell>
          <cell r="E274" t="e">
            <v>#N/A</v>
          </cell>
          <cell r="F274" t="e">
            <v>#N/A</v>
          </cell>
          <cell r="G274" t="e">
            <v>#N/A</v>
          </cell>
          <cell r="H274" t="e">
            <v>#N/A</v>
          </cell>
          <cell r="I274" t="e">
            <v>#N/A</v>
          </cell>
          <cell r="J274" t="e">
            <v>#N/A</v>
          </cell>
          <cell r="K274" t="e">
            <v>#N/A</v>
          </cell>
          <cell r="L274" t="e">
            <v>#N/A</v>
          </cell>
          <cell r="M274" t="e">
            <v>#N/A</v>
          </cell>
          <cell r="N274" t="e">
            <v>#N/A</v>
          </cell>
          <cell r="O274" t="e">
            <v>#N/A</v>
          </cell>
          <cell r="P274">
            <v>86.45</v>
          </cell>
          <cell r="Q274">
            <v>1.3249</v>
          </cell>
          <cell r="R274" t="e">
            <v>#N/A</v>
          </cell>
        </row>
        <row r="275">
          <cell r="A275">
            <v>39615</v>
          </cell>
          <cell r="B275">
            <v>39615</v>
          </cell>
          <cell r="C275" t="str">
            <v>Past</v>
          </cell>
          <cell r="D275">
            <v>86.1</v>
          </cell>
          <cell r="E275" t="e">
            <v>#N/A</v>
          </cell>
          <cell r="F275" t="e">
            <v>#N/A</v>
          </cell>
          <cell r="G275" t="e">
            <v>#N/A</v>
          </cell>
          <cell r="H275" t="e">
            <v>#N/A</v>
          </cell>
          <cell r="I275" t="e">
            <v>#N/A</v>
          </cell>
          <cell r="J275" t="e">
            <v>#N/A</v>
          </cell>
          <cell r="K275" t="e">
            <v>#N/A</v>
          </cell>
          <cell r="L275" t="e">
            <v>#N/A</v>
          </cell>
          <cell r="M275" t="e">
            <v>#N/A</v>
          </cell>
          <cell r="N275" t="e">
            <v>#N/A</v>
          </cell>
          <cell r="O275" t="e">
            <v>#N/A</v>
          </cell>
          <cell r="P275">
            <v>86.1</v>
          </cell>
          <cell r="Q275">
            <v>1.7950219999999999</v>
          </cell>
          <cell r="R275" t="e">
            <v>#N/A</v>
          </cell>
        </row>
        <row r="276">
          <cell r="A276">
            <v>39616</v>
          </cell>
          <cell r="B276">
            <v>39616</v>
          </cell>
          <cell r="C276" t="str">
            <v>Past</v>
          </cell>
          <cell r="D276">
            <v>85.35</v>
          </cell>
          <cell r="E276" t="e">
            <v>#N/A</v>
          </cell>
          <cell r="F276" t="e">
            <v>#N/A</v>
          </cell>
          <cell r="G276" t="e">
            <v>#N/A</v>
          </cell>
          <cell r="H276" t="e">
            <v>#N/A</v>
          </cell>
          <cell r="I276" t="e">
            <v>#N/A</v>
          </cell>
          <cell r="J276" t="e">
            <v>#N/A</v>
          </cell>
          <cell r="K276" t="e">
            <v>#N/A</v>
          </cell>
          <cell r="L276" t="e">
            <v>#N/A</v>
          </cell>
          <cell r="M276" t="e">
            <v>#N/A</v>
          </cell>
          <cell r="N276" t="e">
            <v>#N/A</v>
          </cell>
          <cell r="O276" t="e">
            <v>#N/A</v>
          </cell>
          <cell r="P276">
            <v>85.35</v>
          </cell>
          <cell r="Q276">
            <v>1.5703449999999999</v>
          </cell>
          <cell r="R276" t="e">
            <v>#N/A</v>
          </cell>
        </row>
        <row r="277">
          <cell r="A277">
            <v>39617</v>
          </cell>
          <cell r="B277">
            <v>39617</v>
          </cell>
          <cell r="C277" t="str">
            <v>Past</v>
          </cell>
          <cell r="D277">
            <v>85.48</v>
          </cell>
          <cell r="E277" t="e">
            <v>#N/A</v>
          </cell>
          <cell r="F277" t="e">
            <v>#N/A</v>
          </cell>
          <cell r="G277" t="e">
            <v>#N/A</v>
          </cell>
          <cell r="H277" t="e">
            <v>#N/A</v>
          </cell>
          <cell r="I277" t="e">
            <v>#N/A</v>
          </cell>
          <cell r="J277" t="e">
            <v>#N/A</v>
          </cell>
          <cell r="K277" t="e">
            <v>#N/A</v>
          </cell>
          <cell r="L277" t="e">
            <v>#N/A</v>
          </cell>
          <cell r="M277" t="e">
            <v>#N/A</v>
          </cell>
          <cell r="N277" t="e">
            <v>#N/A</v>
          </cell>
          <cell r="O277" t="e">
            <v>#N/A</v>
          </cell>
          <cell r="P277">
            <v>85.48</v>
          </cell>
          <cell r="Q277">
            <v>1.662857</v>
          </cell>
          <cell r="R277" t="e">
            <v>#N/A</v>
          </cell>
        </row>
        <row r="278">
          <cell r="A278">
            <v>39618</v>
          </cell>
          <cell r="B278">
            <v>39618</v>
          </cell>
          <cell r="C278" t="str">
            <v>Past</v>
          </cell>
          <cell r="D278">
            <v>87.59</v>
          </cell>
          <cell r="E278" t="e">
            <v>#N/A</v>
          </cell>
          <cell r="F278" t="e">
            <v>#N/A</v>
          </cell>
          <cell r="G278" t="e">
            <v>#N/A</v>
          </cell>
          <cell r="H278" t="e">
            <v>#N/A</v>
          </cell>
          <cell r="I278" t="e">
            <v>#N/A</v>
          </cell>
          <cell r="J278" t="e">
            <v>#N/A</v>
          </cell>
          <cell r="K278" t="e">
            <v>#N/A</v>
          </cell>
          <cell r="L278" t="e">
            <v>#N/A</v>
          </cell>
          <cell r="M278" t="e">
            <v>#N/A</v>
          </cell>
          <cell r="N278" t="e">
            <v>#N/A</v>
          </cell>
          <cell r="O278" t="e">
            <v>#N/A</v>
          </cell>
          <cell r="P278">
            <v>87.59</v>
          </cell>
          <cell r="Q278">
            <v>1.9655469999999999</v>
          </cell>
          <cell r="R278" t="e">
            <v>#N/A</v>
          </cell>
        </row>
        <row r="279">
          <cell r="A279">
            <v>39619</v>
          </cell>
          <cell r="B279">
            <v>39619</v>
          </cell>
          <cell r="C279" t="str">
            <v>Past</v>
          </cell>
          <cell r="D279">
            <v>85.5</v>
          </cell>
          <cell r="E279" t="e">
            <v>#N/A</v>
          </cell>
          <cell r="F279" t="e">
            <v>#N/A</v>
          </cell>
          <cell r="G279" t="e">
            <v>#N/A</v>
          </cell>
          <cell r="H279" t="e">
            <v>#N/A</v>
          </cell>
          <cell r="I279" t="e">
            <v>#N/A</v>
          </cell>
          <cell r="J279" t="e">
            <v>#N/A</v>
          </cell>
          <cell r="K279" t="e">
            <v>#N/A</v>
          </cell>
          <cell r="L279" t="e">
            <v>#N/A</v>
          </cell>
          <cell r="M279" t="e">
            <v>#N/A</v>
          </cell>
          <cell r="N279" t="e">
            <v>#N/A</v>
          </cell>
          <cell r="O279" t="e">
            <v>#N/A</v>
          </cell>
          <cell r="P279">
            <v>85.5</v>
          </cell>
          <cell r="Q279">
            <v>2.8041969999999998</v>
          </cell>
          <cell r="R279" t="e">
            <v>#N/A</v>
          </cell>
        </row>
        <row r="280">
          <cell r="A280">
            <v>39622</v>
          </cell>
          <cell r="B280">
            <v>39622</v>
          </cell>
          <cell r="C280" t="str">
            <v>Past</v>
          </cell>
          <cell r="D280">
            <v>87.25</v>
          </cell>
          <cell r="E280" t="e">
            <v>#N/A</v>
          </cell>
          <cell r="F280" t="e">
            <v>#N/A</v>
          </cell>
          <cell r="G280" t="e">
            <v>#N/A</v>
          </cell>
          <cell r="H280" t="e">
            <v>#N/A</v>
          </cell>
          <cell r="I280" t="e">
            <v>#N/A</v>
          </cell>
          <cell r="J280" t="e">
            <v>#N/A</v>
          </cell>
          <cell r="K280" t="e">
            <v>#N/A</v>
          </cell>
          <cell r="L280" t="e">
            <v>#N/A</v>
          </cell>
          <cell r="M280" t="e">
            <v>#N/A</v>
          </cell>
          <cell r="N280" t="e">
            <v>#N/A</v>
          </cell>
          <cell r="O280" t="e">
            <v>#N/A</v>
          </cell>
          <cell r="P280">
            <v>87.25</v>
          </cell>
          <cell r="Q280">
            <v>1.9534429999999998</v>
          </cell>
          <cell r="R280" t="e">
            <v>#N/A</v>
          </cell>
        </row>
        <row r="281">
          <cell r="A281">
            <v>39623</v>
          </cell>
          <cell r="B281">
            <v>39623</v>
          </cell>
          <cell r="C281" t="str">
            <v>Past</v>
          </cell>
          <cell r="D281">
            <v>86.81</v>
          </cell>
          <cell r="E281" t="e">
            <v>#N/A</v>
          </cell>
          <cell r="F281" t="e">
            <v>#N/A</v>
          </cell>
          <cell r="G281" t="e">
            <v>#N/A</v>
          </cell>
          <cell r="H281" t="e">
            <v>#N/A</v>
          </cell>
          <cell r="I281" t="e">
            <v>#N/A</v>
          </cell>
          <cell r="J281" t="e">
            <v>#N/A</v>
          </cell>
          <cell r="K281" t="e">
            <v>#N/A</v>
          </cell>
          <cell r="L281" t="e">
            <v>#N/A</v>
          </cell>
          <cell r="M281" t="e">
            <v>#N/A</v>
          </cell>
          <cell r="N281" t="e">
            <v>#N/A</v>
          </cell>
          <cell r="O281" t="e">
            <v>#N/A</v>
          </cell>
          <cell r="P281">
            <v>86.81</v>
          </cell>
          <cell r="Q281">
            <v>1.7384959999999998</v>
          </cell>
          <cell r="R281" t="e">
            <v>#N/A</v>
          </cell>
        </row>
        <row r="282">
          <cell r="A282">
            <v>39624</v>
          </cell>
          <cell r="B282">
            <v>39624</v>
          </cell>
          <cell r="C282" t="str">
            <v>Past</v>
          </cell>
          <cell r="D282">
            <v>86.05</v>
          </cell>
          <cell r="E282" t="e">
            <v>#N/A</v>
          </cell>
          <cell r="F282" t="e">
            <v>#N/A</v>
          </cell>
          <cell r="G282" t="e">
            <v>#N/A</v>
          </cell>
          <cell r="H282" t="e">
            <v>#N/A</v>
          </cell>
          <cell r="I282" t="e">
            <v>#N/A</v>
          </cell>
          <cell r="J282" t="e">
            <v>#N/A</v>
          </cell>
          <cell r="K282" t="e">
            <v>#N/A</v>
          </cell>
          <cell r="L282" t="e">
            <v>#N/A</v>
          </cell>
          <cell r="M282" t="e">
            <v>#N/A</v>
          </cell>
          <cell r="N282" t="e">
            <v>#N/A</v>
          </cell>
          <cell r="O282" t="e">
            <v>#N/A</v>
          </cell>
          <cell r="P282">
            <v>86.05</v>
          </cell>
          <cell r="Q282">
            <v>2.4657600000000004</v>
          </cell>
          <cell r="R282" t="e">
            <v>#N/A</v>
          </cell>
        </row>
        <row r="283">
          <cell r="A283">
            <v>39625</v>
          </cell>
          <cell r="B283">
            <v>39625</v>
          </cell>
          <cell r="C283" t="str">
            <v>Past</v>
          </cell>
          <cell r="D283">
            <v>82.94</v>
          </cell>
          <cell r="E283" t="e">
            <v>#N/A</v>
          </cell>
          <cell r="F283" t="e">
            <v>#N/A</v>
          </cell>
          <cell r="G283" t="e">
            <v>#N/A</v>
          </cell>
          <cell r="H283" t="e">
            <v>#N/A</v>
          </cell>
          <cell r="I283" t="e">
            <v>#N/A</v>
          </cell>
          <cell r="J283" t="e">
            <v>#N/A</v>
          </cell>
          <cell r="K283" t="e">
            <v>#N/A</v>
          </cell>
          <cell r="L283" t="e">
            <v>#N/A</v>
          </cell>
          <cell r="M283" t="e">
            <v>#N/A</v>
          </cell>
          <cell r="N283" t="e">
            <v>#N/A</v>
          </cell>
          <cell r="O283" t="e">
            <v>#N/A</v>
          </cell>
          <cell r="P283">
            <v>82.94</v>
          </cell>
          <cell r="Q283">
            <v>3.3067929999999999</v>
          </cell>
          <cell r="R283" t="e">
            <v>#N/A</v>
          </cell>
        </row>
        <row r="284">
          <cell r="A284">
            <v>39626</v>
          </cell>
          <cell r="B284">
            <v>39626</v>
          </cell>
          <cell r="C284" t="str">
            <v>Past</v>
          </cell>
          <cell r="D284">
            <v>83.28</v>
          </cell>
          <cell r="E284" t="e">
            <v>#N/A</v>
          </cell>
          <cell r="F284" t="e">
            <v>#N/A</v>
          </cell>
          <cell r="G284" t="e">
            <v>#N/A</v>
          </cell>
          <cell r="H284" t="e">
            <v>#N/A</v>
          </cell>
          <cell r="I284" t="e">
            <v>#N/A</v>
          </cell>
          <cell r="J284" t="e">
            <v>#N/A</v>
          </cell>
          <cell r="K284" t="e">
            <v>#N/A</v>
          </cell>
          <cell r="L284" t="e">
            <v>#N/A</v>
          </cell>
          <cell r="M284" t="e">
            <v>#N/A</v>
          </cell>
          <cell r="N284" t="e">
            <v>#N/A</v>
          </cell>
          <cell r="O284" t="e">
            <v>#N/A</v>
          </cell>
          <cell r="P284">
            <v>83.28</v>
          </cell>
          <cell r="Q284">
            <v>2.826959</v>
          </cell>
          <cell r="R284" t="e">
            <v>#N/A</v>
          </cell>
        </row>
        <row r="285">
          <cell r="A285">
            <v>39629</v>
          </cell>
          <cell r="B285">
            <v>39629</v>
          </cell>
          <cell r="C285" t="str">
            <v>Past</v>
          </cell>
          <cell r="D285">
            <v>84.2</v>
          </cell>
          <cell r="E285" t="e">
            <v>#N/A</v>
          </cell>
          <cell r="F285" t="e">
            <v>#N/A</v>
          </cell>
          <cell r="G285" t="e">
            <v>#N/A</v>
          </cell>
          <cell r="H285" t="e">
            <v>#N/A</v>
          </cell>
          <cell r="I285" t="e">
            <v>#N/A</v>
          </cell>
          <cell r="J285" t="e">
            <v>#N/A</v>
          </cell>
          <cell r="K285" t="e">
            <v>#N/A</v>
          </cell>
          <cell r="L285" t="e">
            <v>#N/A</v>
          </cell>
          <cell r="M285" t="e">
            <v>#N/A</v>
          </cell>
          <cell r="N285" t="e">
            <v>#N/A</v>
          </cell>
          <cell r="O285" t="e">
            <v>#N/A</v>
          </cell>
          <cell r="P285">
            <v>84.2</v>
          </cell>
          <cell r="Q285">
            <v>3.0457529999999999</v>
          </cell>
          <cell r="R285" t="e">
            <v>#N/A</v>
          </cell>
        </row>
        <row r="286">
          <cell r="A286">
            <v>39630</v>
          </cell>
          <cell r="B286">
            <v>39630</v>
          </cell>
          <cell r="C286" t="str">
            <v>Past</v>
          </cell>
          <cell r="D286">
            <v>83.61</v>
          </cell>
          <cell r="E286" t="e">
            <v>#N/A</v>
          </cell>
          <cell r="F286" t="e">
            <v>#N/A</v>
          </cell>
          <cell r="G286" t="e">
            <v>#N/A</v>
          </cell>
          <cell r="H286" t="e">
            <v>#N/A</v>
          </cell>
          <cell r="I286" t="e">
            <v>#N/A</v>
          </cell>
          <cell r="J286" t="e">
            <v>#N/A</v>
          </cell>
          <cell r="K286" t="e">
            <v>#N/A</v>
          </cell>
          <cell r="L286" t="e">
            <v>#N/A</v>
          </cell>
          <cell r="M286" t="e">
            <v>#N/A</v>
          </cell>
          <cell r="N286" t="e">
            <v>#N/A</v>
          </cell>
          <cell r="O286" t="e">
            <v>#N/A</v>
          </cell>
          <cell r="P286">
            <v>83.61</v>
          </cell>
          <cell r="Q286">
            <v>2.3231000000000002</v>
          </cell>
          <cell r="R286" t="e">
            <v>#N/A</v>
          </cell>
        </row>
        <row r="287">
          <cell r="A287">
            <v>39631</v>
          </cell>
          <cell r="B287">
            <v>39631</v>
          </cell>
          <cell r="C287" t="str">
            <v>Past</v>
          </cell>
          <cell r="D287">
            <v>81.86</v>
          </cell>
          <cell r="E287" t="e">
            <v>#N/A</v>
          </cell>
          <cell r="F287" t="e">
            <v>#N/A</v>
          </cell>
          <cell r="G287" t="e">
            <v>#N/A</v>
          </cell>
          <cell r="H287" t="e">
            <v>#N/A</v>
          </cell>
          <cell r="I287" t="e">
            <v>#N/A</v>
          </cell>
          <cell r="J287" t="e">
            <v>#N/A</v>
          </cell>
          <cell r="K287" t="e">
            <v>#N/A</v>
          </cell>
          <cell r="L287" t="e">
            <v>#N/A</v>
          </cell>
          <cell r="M287" t="e">
            <v>#N/A</v>
          </cell>
          <cell r="N287" t="e">
            <v>#N/A</v>
          </cell>
          <cell r="O287" t="e">
            <v>#N/A</v>
          </cell>
          <cell r="P287">
            <v>81.86</v>
          </cell>
          <cell r="Q287">
            <v>1.575693</v>
          </cell>
          <cell r="R287" t="e">
            <v>#N/A</v>
          </cell>
        </row>
        <row r="288">
          <cell r="A288">
            <v>39632</v>
          </cell>
          <cell r="B288">
            <v>39632</v>
          </cell>
          <cell r="C288" t="str">
            <v>Past</v>
          </cell>
          <cell r="D288">
            <v>83.22</v>
          </cell>
          <cell r="E288" t="e">
            <v>#N/A</v>
          </cell>
          <cell r="F288" t="e">
            <v>#N/A</v>
          </cell>
          <cell r="G288" t="e">
            <v>#N/A</v>
          </cell>
          <cell r="H288" t="e">
            <v>#N/A</v>
          </cell>
          <cell r="I288" t="e">
            <v>#N/A</v>
          </cell>
          <cell r="J288" t="e">
            <v>#N/A</v>
          </cell>
          <cell r="K288" t="e">
            <v>#N/A</v>
          </cell>
          <cell r="L288" t="e">
            <v>#N/A</v>
          </cell>
          <cell r="M288" t="e">
            <v>#N/A</v>
          </cell>
          <cell r="N288" t="e">
            <v>#N/A</v>
          </cell>
          <cell r="O288" t="e">
            <v>#N/A</v>
          </cell>
          <cell r="P288">
            <v>83.22</v>
          </cell>
          <cell r="Q288">
            <v>1.2485729999999999</v>
          </cell>
          <cell r="R288" t="e">
            <v>#N/A</v>
          </cell>
        </row>
        <row r="289">
          <cell r="A289">
            <v>39636</v>
          </cell>
          <cell r="B289">
            <v>39636</v>
          </cell>
          <cell r="C289" t="str">
            <v>Past</v>
          </cell>
          <cell r="D289">
            <v>81.790000000000006</v>
          </cell>
          <cell r="E289" t="e">
            <v>#N/A</v>
          </cell>
          <cell r="F289" t="e">
            <v>#N/A</v>
          </cell>
          <cell r="G289" t="e">
            <v>#N/A</v>
          </cell>
          <cell r="H289" t="e">
            <v>#N/A</v>
          </cell>
          <cell r="I289" t="e">
            <v>#N/A</v>
          </cell>
          <cell r="J289" t="e">
            <v>#N/A</v>
          </cell>
          <cell r="K289" t="e">
            <v>#N/A</v>
          </cell>
          <cell r="L289" t="e">
            <v>#N/A</v>
          </cell>
          <cell r="M289" t="e">
            <v>#N/A</v>
          </cell>
          <cell r="N289" t="e">
            <v>#N/A</v>
          </cell>
          <cell r="O289" t="e">
            <v>#N/A</v>
          </cell>
          <cell r="P289">
            <v>81.790000000000006</v>
          </cell>
          <cell r="Q289">
            <v>2.7581300000000004</v>
          </cell>
          <cell r="R289" t="e">
            <v>#N/A</v>
          </cell>
        </row>
        <row r="290">
          <cell r="A290">
            <v>39637</v>
          </cell>
          <cell r="B290">
            <v>39637</v>
          </cell>
          <cell r="C290" t="str">
            <v>Past</v>
          </cell>
          <cell r="D290">
            <v>83.64</v>
          </cell>
          <cell r="E290" t="e">
            <v>#N/A</v>
          </cell>
          <cell r="F290" t="e">
            <v>#N/A</v>
          </cell>
          <cell r="G290" t="e">
            <v>#N/A</v>
          </cell>
          <cell r="H290" t="e">
            <v>#N/A</v>
          </cell>
          <cell r="I290" t="e">
            <v>#N/A</v>
          </cell>
          <cell r="J290" t="e">
            <v>#N/A</v>
          </cell>
          <cell r="K290" t="e">
            <v>#N/A</v>
          </cell>
          <cell r="L290" t="e">
            <v>#N/A</v>
          </cell>
          <cell r="M290" t="e">
            <v>#N/A</v>
          </cell>
          <cell r="N290" t="e">
            <v>#N/A</v>
          </cell>
          <cell r="O290" t="e">
            <v>#N/A</v>
          </cell>
          <cell r="P290">
            <v>83.64</v>
          </cell>
          <cell r="Q290">
            <v>2.5590660000000001</v>
          </cell>
          <cell r="R290" t="e">
            <v>#N/A</v>
          </cell>
        </row>
        <row r="291">
          <cell r="A291">
            <v>39638</v>
          </cell>
          <cell r="B291">
            <v>39638</v>
          </cell>
          <cell r="C291" t="str">
            <v>Past</v>
          </cell>
          <cell r="D291">
            <v>81.87</v>
          </cell>
          <cell r="E291" t="e">
            <v>#N/A</v>
          </cell>
          <cell r="F291" t="e">
            <v>#N/A</v>
          </cell>
          <cell r="G291" t="e">
            <v>#N/A</v>
          </cell>
          <cell r="H291" t="e">
            <v>#N/A</v>
          </cell>
          <cell r="I291" t="e">
            <v>#N/A</v>
          </cell>
          <cell r="J291" t="e">
            <v>#N/A</v>
          </cell>
          <cell r="K291" t="e">
            <v>#N/A</v>
          </cell>
          <cell r="L291" t="e">
            <v>#N/A</v>
          </cell>
          <cell r="M291" t="e">
            <v>#N/A</v>
          </cell>
          <cell r="N291" t="e">
            <v>#N/A</v>
          </cell>
          <cell r="O291" t="e">
            <v>#N/A</v>
          </cell>
          <cell r="P291">
            <v>81.87</v>
          </cell>
          <cell r="Q291">
            <v>2.3185769999999999</v>
          </cell>
          <cell r="R291" t="e">
            <v>#N/A</v>
          </cell>
        </row>
        <row r="292">
          <cell r="A292">
            <v>39639</v>
          </cell>
          <cell r="B292">
            <v>39639</v>
          </cell>
          <cell r="C292" t="str">
            <v>Past</v>
          </cell>
          <cell r="D292">
            <v>81.69</v>
          </cell>
          <cell r="E292" t="e">
            <v>#N/A</v>
          </cell>
          <cell r="F292" t="e">
            <v>#N/A</v>
          </cell>
          <cell r="G292" t="e">
            <v>#N/A</v>
          </cell>
          <cell r="H292" t="e">
            <v>#N/A</v>
          </cell>
          <cell r="I292" t="e">
            <v>#N/A</v>
          </cell>
          <cell r="J292" t="e">
            <v>#N/A</v>
          </cell>
          <cell r="K292" t="e">
            <v>#N/A</v>
          </cell>
          <cell r="L292" t="e">
            <v>#N/A</v>
          </cell>
          <cell r="M292" t="e">
            <v>#N/A</v>
          </cell>
          <cell r="N292" t="e">
            <v>#N/A</v>
          </cell>
          <cell r="O292" t="e">
            <v>#N/A</v>
          </cell>
          <cell r="P292">
            <v>81.69</v>
          </cell>
          <cell r="Q292">
            <v>3.265641</v>
          </cell>
          <cell r="R292" t="e">
            <v>#N/A</v>
          </cell>
        </row>
        <row r="293">
          <cell r="A293">
            <v>39640</v>
          </cell>
          <cell r="B293">
            <v>39640</v>
          </cell>
          <cell r="C293" t="str">
            <v>Past</v>
          </cell>
          <cell r="D293">
            <v>81.05</v>
          </cell>
          <cell r="E293" t="e">
            <v>#N/A</v>
          </cell>
          <cell r="F293" t="e">
            <v>#N/A</v>
          </cell>
          <cell r="G293" t="e">
            <v>#N/A</v>
          </cell>
          <cell r="H293" t="e">
            <v>#N/A</v>
          </cell>
          <cell r="I293" t="e">
            <v>#N/A</v>
          </cell>
          <cell r="J293" t="e">
            <v>#N/A</v>
          </cell>
          <cell r="K293" t="e">
            <v>#N/A</v>
          </cell>
          <cell r="L293" t="e">
            <v>#N/A</v>
          </cell>
          <cell r="M293" t="e">
            <v>#N/A</v>
          </cell>
          <cell r="N293" t="e">
            <v>#N/A</v>
          </cell>
          <cell r="O293" t="e">
            <v>#N/A</v>
          </cell>
          <cell r="P293">
            <v>81.05</v>
          </cell>
          <cell r="Q293">
            <v>1.9883469999999999</v>
          </cell>
          <cell r="R293" t="e">
            <v>#N/A</v>
          </cell>
        </row>
        <row r="294">
          <cell r="A294">
            <v>39643</v>
          </cell>
          <cell r="B294">
            <v>39643</v>
          </cell>
          <cell r="C294" t="str">
            <v>Past</v>
          </cell>
          <cell r="D294">
            <v>81.69</v>
          </cell>
          <cell r="E294" t="e">
            <v>#N/A</v>
          </cell>
          <cell r="F294" t="e">
            <v>#N/A</v>
          </cell>
          <cell r="G294" t="e">
            <v>#N/A</v>
          </cell>
          <cell r="H294" t="e">
            <v>#N/A</v>
          </cell>
          <cell r="I294" t="e">
            <v>#N/A</v>
          </cell>
          <cell r="J294" t="e">
            <v>#N/A</v>
          </cell>
          <cell r="K294" t="e">
            <v>#N/A</v>
          </cell>
          <cell r="L294" t="e">
            <v>#N/A</v>
          </cell>
          <cell r="M294" t="e">
            <v>#N/A</v>
          </cell>
          <cell r="N294" t="e">
            <v>#N/A</v>
          </cell>
          <cell r="O294" t="e">
            <v>#N/A</v>
          </cell>
          <cell r="P294">
            <v>81.69</v>
          </cell>
          <cell r="Q294">
            <v>1.8061100000000001</v>
          </cell>
          <cell r="R294" t="e">
            <v>#N/A</v>
          </cell>
        </row>
        <row r="295">
          <cell r="A295">
            <v>39644</v>
          </cell>
          <cell r="B295">
            <v>39644</v>
          </cell>
          <cell r="C295" t="str">
            <v>Past</v>
          </cell>
          <cell r="D295">
            <v>81.540000000000006</v>
          </cell>
          <cell r="E295" t="e">
            <v>#N/A</v>
          </cell>
          <cell r="F295" t="e">
            <v>#N/A</v>
          </cell>
          <cell r="G295" t="e">
            <v>#N/A</v>
          </cell>
          <cell r="H295" t="e">
            <v>#N/A</v>
          </cell>
          <cell r="I295" t="e">
            <v>#N/A</v>
          </cell>
          <cell r="J295" t="e">
            <v>#N/A</v>
          </cell>
          <cell r="K295" t="e">
            <v>#N/A</v>
          </cell>
          <cell r="L295" t="e">
            <v>#N/A</v>
          </cell>
          <cell r="M295" t="e">
            <v>#N/A</v>
          </cell>
          <cell r="N295" t="e">
            <v>#N/A</v>
          </cell>
          <cell r="O295" t="e">
            <v>#N/A</v>
          </cell>
          <cell r="P295">
            <v>81.540000000000006</v>
          </cell>
          <cell r="Q295">
            <v>2.7887230000000001</v>
          </cell>
          <cell r="R295" t="e">
            <v>#N/A</v>
          </cell>
        </row>
        <row r="296">
          <cell r="A296">
            <v>39645</v>
          </cell>
          <cell r="B296">
            <v>39645</v>
          </cell>
          <cell r="C296" t="str">
            <v>Past</v>
          </cell>
          <cell r="D296">
            <v>82.17</v>
          </cell>
          <cell r="E296" t="e">
            <v>#N/A</v>
          </cell>
          <cell r="F296" t="e">
            <v>#N/A</v>
          </cell>
          <cell r="G296" t="e">
            <v>#N/A</v>
          </cell>
          <cell r="H296" t="e">
            <v>#N/A</v>
          </cell>
          <cell r="I296" t="e">
            <v>#N/A</v>
          </cell>
          <cell r="J296" t="e">
            <v>#N/A</v>
          </cell>
          <cell r="K296" t="e">
            <v>#N/A</v>
          </cell>
          <cell r="L296" t="e">
            <v>#N/A</v>
          </cell>
          <cell r="M296" t="e">
            <v>#N/A</v>
          </cell>
          <cell r="N296" t="e">
            <v>#N/A</v>
          </cell>
          <cell r="O296" t="e">
            <v>#N/A</v>
          </cell>
          <cell r="P296">
            <v>82.17</v>
          </cell>
          <cell r="Q296">
            <v>1.6487729999999998</v>
          </cell>
          <cell r="R296" t="e">
            <v>#N/A</v>
          </cell>
        </row>
        <row r="297">
          <cell r="A297">
            <v>39646</v>
          </cell>
          <cell r="B297">
            <v>39646</v>
          </cell>
          <cell r="C297" t="str">
            <v>Past</v>
          </cell>
          <cell r="D297">
            <v>81.209999999999994</v>
          </cell>
          <cell r="E297" t="e">
            <v>#N/A</v>
          </cell>
          <cell r="F297" t="e">
            <v>#N/A</v>
          </cell>
          <cell r="G297" t="e">
            <v>#N/A</v>
          </cell>
          <cell r="H297" t="e">
            <v>#N/A</v>
          </cell>
          <cell r="I297" t="e">
            <v>#N/A</v>
          </cell>
          <cell r="J297" t="e">
            <v>#N/A</v>
          </cell>
          <cell r="K297" t="e">
            <v>#N/A</v>
          </cell>
          <cell r="L297" t="e">
            <v>#N/A</v>
          </cell>
          <cell r="M297" t="e">
            <v>#N/A</v>
          </cell>
          <cell r="N297" t="e">
            <v>#N/A</v>
          </cell>
          <cell r="O297" t="e">
            <v>#N/A</v>
          </cell>
          <cell r="P297">
            <v>81.209999999999994</v>
          </cell>
          <cell r="Q297">
            <v>2.8331849999999998</v>
          </cell>
          <cell r="R297" t="e">
            <v>#N/A</v>
          </cell>
        </row>
        <row r="298">
          <cell r="A298">
            <v>39647</v>
          </cell>
          <cell r="B298">
            <v>39647</v>
          </cell>
          <cell r="C298" t="str">
            <v>Past</v>
          </cell>
          <cell r="D298">
            <v>82.07</v>
          </cell>
          <cell r="E298" t="e">
            <v>#N/A</v>
          </cell>
          <cell r="F298" t="e">
            <v>#N/A</v>
          </cell>
          <cell r="G298" t="e">
            <v>#N/A</v>
          </cell>
          <cell r="H298" t="e">
            <v>#N/A</v>
          </cell>
          <cell r="I298" t="e">
            <v>#N/A</v>
          </cell>
          <cell r="J298" t="e">
            <v>#N/A</v>
          </cell>
          <cell r="K298" t="e">
            <v>#N/A</v>
          </cell>
          <cell r="L298" t="e">
            <v>#N/A</v>
          </cell>
          <cell r="M298" t="e">
            <v>#N/A</v>
          </cell>
          <cell r="N298" t="e">
            <v>#N/A</v>
          </cell>
          <cell r="O298" t="e">
            <v>#N/A</v>
          </cell>
          <cell r="P298">
            <v>82.07</v>
          </cell>
          <cell r="Q298">
            <v>1.9940389999999999</v>
          </cell>
          <cell r="R298" t="e">
            <v>#N/A</v>
          </cell>
        </row>
        <row r="299">
          <cell r="A299">
            <v>39650</v>
          </cell>
          <cell r="B299">
            <v>39650</v>
          </cell>
          <cell r="C299" t="str">
            <v>Past</v>
          </cell>
          <cell r="D299">
            <v>82.02</v>
          </cell>
          <cell r="E299" t="e">
            <v>#N/A</v>
          </cell>
          <cell r="F299" t="e">
            <v>#N/A</v>
          </cell>
          <cell r="G299" t="e">
            <v>#N/A</v>
          </cell>
          <cell r="H299" t="e">
            <v>#N/A</v>
          </cell>
          <cell r="I299" t="e">
            <v>#N/A</v>
          </cell>
          <cell r="J299" t="e">
            <v>#N/A</v>
          </cell>
          <cell r="K299" t="e">
            <v>#N/A</v>
          </cell>
          <cell r="L299" t="e">
            <v>#N/A</v>
          </cell>
          <cell r="M299" t="e">
            <v>#N/A</v>
          </cell>
          <cell r="N299" t="e">
            <v>#N/A</v>
          </cell>
          <cell r="O299" t="e">
            <v>#N/A</v>
          </cell>
          <cell r="P299">
            <v>82.02</v>
          </cell>
          <cell r="Q299">
            <v>1.5304089999999999</v>
          </cell>
          <cell r="R299" t="e">
            <v>#N/A</v>
          </cell>
        </row>
        <row r="300">
          <cell r="A300">
            <v>39651</v>
          </cell>
          <cell r="B300">
            <v>39651</v>
          </cell>
          <cell r="C300" t="str">
            <v>Past</v>
          </cell>
          <cell r="D300">
            <v>83.45</v>
          </cell>
          <cell r="E300" t="e">
            <v>#N/A</v>
          </cell>
          <cell r="F300" t="e">
            <v>#N/A</v>
          </cell>
          <cell r="G300" t="e">
            <v>#N/A</v>
          </cell>
          <cell r="H300" t="e">
            <v>#N/A</v>
          </cell>
          <cell r="I300" t="e">
            <v>#N/A</v>
          </cell>
          <cell r="J300" t="e">
            <v>#N/A</v>
          </cell>
          <cell r="K300" t="e">
            <v>#N/A</v>
          </cell>
          <cell r="L300" t="e">
            <v>#N/A</v>
          </cell>
          <cell r="M300" t="e">
            <v>#N/A</v>
          </cell>
          <cell r="N300" t="e">
            <v>#N/A</v>
          </cell>
          <cell r="O300" t="e">
            <v>#N/A</v>
          </cell>
          <cell r="P300">
            <v>83.45</v>
          </cell>
          <cell r="Q300">
            <v>1.995147</v>
          </cell>
          <cell r="R300" t="e">
            <v>#N/A</v>
          </cell>
        </row>
        <row r="301">
          <cell r="A301">
            <v>39652</v>
          </cell>
          <cell r="B301">
            <v>39652</v>
          </cell>
          <cell r="C301" t="str">
            <v>Past</v>
          </cell>
          <cell r="D301">
            <v>89.27</v>
          </cell>
          <cell r="E301" t="e">
            <v>#N/A</v>
          </cell>
          <cell r="F301" t="e">
            <v>#N/A</v>
          </cell>
          <cell r="G301" t="e">
            <v>#N/A</v>
          </cell>
          <cell r="H301" t="e">
            <v>#N/A</v>
          </cell>
          <cell r="I301" t="e">
            <v>#N/A</v>
          </cell>
          <cell r="J301" t="e">
            <v>#N/A</v>
          </cell>
          <cell r="K301" t="e">
            <v>#N/A</v>
          </cell>
          <cell r="L301" t="e">
            <v>#N/A</v>
          </cell>
          <cell r="M301" t="e">
            <v>#N/A</v>
          </cell>
          <cell r="N301" t="e">
            <v>#N/A</v>
          </cell>
          <cell r="O301" t="e">
            <v>#N/A</v>
          </cell>
          <cell r="P301">
            <v>89.27</v>
          </cell>
          <cell r="Q301">
            <v>5.9495700000000005</v>
          </cell>
          <cell r="R301" t="e">
            <v>#N/A</v>
          </cell>
        </row>
        <row r="302">
          <cell r="A302">
            <v>39653</v>
          </cell>
          <cell r="B302">
            <v>39653</v>
          </cell>
          <cell r="C302" t="str">
            <v>Past</v>
          </cell>
          <cell r="D302">
            <v>87.06</v>
          </cell>
          <cell r="E302" t="e">
            <v>#N/A</v>
          </cell>
          <cell r="F302" t="e">
            <v>#N/A</v>
          </cell>
          <cell r="G302" t="e">
            <v>#N/A</v>
          </cell>
          <cell r="H302" t="e">
            <v>#N/A</v>
          </cell>
          <cell r="I302" t="e">
            <v>#N/A</v>
          </cell>
          <cell r="J302" t="e">
            <v>#N/A</v>
          </cell>
          <cell r="K302" t="e">
            <v>#N/A</v>
          </cell>
          <cell r="L302" t="e">
            <v>#N/A</v>
          </cell>
          <cell r="M302" t="e">
            <v>#N/A</v>
          </cell>
          <cell r="N302" t="e">
            <v>#N/A</v>
          </cell>
          <cell r="O302" t="e">
            <v>#N/A</v>
          </cell>
          <cell r="P302">
            <v>87.06</v>
          </cell>
          <cell r="Q302">
            <v>3.4409000000000001</v>
          </cell>
          <cell r="R302" t="e">
            <v>#N/A</v>
          </cell>
        </row>
        <row r="303">
          <cell r="A303">
            <v>39654</v>
          </cell>
          <cell r="B303">
            <v>39654</v>
          </cell>
          <cell r="C303" t="str">
            <v>Past</v>
          </cell>
          <cell r="D303">
            <v>89.19</v>
          </cell>
          <cell r="E303" t="e">
            <v>#N/A</v>
          </cell>
          <cell r="F303" t="e">
            <v>#N/A</v>
          </cell>
          <cell r="G303" t="e">
            <v>#N/A</v>
          </cell>
          <cell r="H303" t="e">
            <v>#N/A</v>
          </cell>
          <cell r="I303" t="e">
            <v>#N/A</v>
          </cell>
          <cell r="J303" t="e">
            <v>#N/A</v>
          </cell>
          <cell r="K303" t="e">
            <v>#N/A</v>
          </cell>
          <cell r="L303" t="e">
            <v>#N/A</v>
          </cell>
          <cell r="M303" t="e">
            <v>#N/A</v>
          </cell>
          <cell r="N303" t="e">
            <v>#N/A</v>
          </cell>
          <cell r="O303" t="e">
            <v>#N/A</v>
          </cell>
          <cell r="P303">
            <v>89.19</v>
          </cell>
          <cell r="Q303">
            <v>2.1514000000000002</v>
          </cell>
          <cell r="R303" t="e">
            <v>#N/A</v>
          </cell>
        </row>
        <row r="304">
          <cell r="A304">
            <v>39657</v>
          </cell>
          <cell r="B304">
            <v>39657</v>
          </cell>
          <cell r="C304" t="str">
            <v>Past</v>
          </cell>
          <cell r="D304">
            <v>87.91</v>
          </cell>
          <cell r="E304" t="e">
            <v>#N/A</v>
          </cell>
          <cell r="F304" t="e">
            <v>#N/A</v>
          </cell>
          <cell r="G304" t="e">
            <v>#N/A</v>
          </cell>
          <cell r="H304" t="e">
            <v>#N/A</v>
          </cell>
          <cell r="I304" t="e">
            <v>#N/A</v>
          </cell>
          <cell r="J304" t="e">
            <v>#N/A</v>
          </cell>
          <cell r="K304" t="e">
            <v>#N/A</v>
          </cell>
          <cell r="L304" t="e">
            <v>#N/A</v>
          </cell>
          <cell r="M304" t="e">
            <v>#N/A</v>
          </cell>
          <cell r="N304" t="e">
            <v>#N/A</v>
          </cell>
          <cell r="O304" t="e">
            <v>#N/A</v>
          </cell>
          <cell r="P304">
            <v>87.91</v>
          </cell>
          <cell r="Q304">
            <v>2.2774100000000002</v>
          </cell>
          <cell r="R304" t="e">
            <v>#N/A</v>
          </cell>
        </row>
        <row r="305">
          <cell r="A305">
            <v>39658</v>
          </cell>
          <cell r="B305">
            <v>39658</v>
          </cell>
          <cell r="C305" t="str">
            <v>Past</v>
          </cell>
          <cell r="D305">
            <v>89.94</v>
          </cell>
          <cell r="E305" t="e">
            <v>#N/A</v>
          </cell>
          <cell r="F305" t="e">
            <v>#N/A</v>
          </cell>
          <cell r="G305" t="e">
            <v>#N/A</v>
          </cell>
          <cell r="H305" t="e">
            <v>#N/A</v>
          </cell>
          <cell r="I305" t="e">
            <v>#N/A</v>
          </cell>
          <cell r="J305" t="e">
            <v>#N/A</v>
          </cell>
          <cell r="K305" t="e">
            <v>#N/A</v>
          </cell>
          <cell r="L305" t="e">
            <v>#N/A</v>
          </cell>
          <cell r="M305" t="e">
            <v>#N/A</v>
          </cell>
          <cell r="N305" t="e">
            <v>#N/A</v>
          </cell>
          <cell r="O305" t="e">
            <v>#N/A</v>
          </cell>
          <cell r="P305">
            <v>89.94</v>
          </cell>
          <cell r="Q305">
            <v>2.617604</v>
          </cell>
          <cell r="R305" t="e">
            <v>#N/A</v>
          </cell>
        </row>
        <row r="306">
          <cell r="A306">
            <v>39659</v>
          </cell>
          <cell r="B306">
            <v>39659</v>
          </cell>
          <cell r="C306" t="str">
            <v>Past</v>
          </cell>
          <cell r="D306">
            <v>90</v>
          </cell>
          <cell r="E306" t="e">
            <v>#N/A</v>
          </cell>
          <cell r="F306" t="e">
            <v>#N/A</v>
          </cell>
          <cell r="G306" t="e">
            <v>#N/A</v>
          </cell>
          <cell r="H306" t="e">
            <v>#N/A</v>
          </cell>
          <cell r="I306" t="e">
            <v>#N/A</v>
          </cell>
          <cell r="J306" t="e">
            <v>#N/A</v>
          </cell>
          <cell r="K306" t="e">
            <v>#N/A</v>
          </cell>
          <cell r="L306" t="e">
            <v>#N/A</v>
          </cell>
          <cell r="M306" t="e">
            <v>#N/A</v>
          </cell>
          <cell r="N306" t="e">
            <v>#N/A</v>
          </cell>
          <cell r="O306" t="e">
            <v>#N/A</v>
          </cell>
          <cell r="P306">
            <v>90</v>
          </cell>
          <cell r="Q306">
            <v>2.4593900000000004</v>
          </cell>
          <cell r="R306" t="e">
            <v>#N/A</v>
          </cell>
        </row>
        <row r="307">
          <cell r="A307">
            <v>39660</v>
          </cell>
          <cell r="B307">
            <v>39660</v>
          </cell>
          <cell r="C307" t="str">
            <v>Past</v>
          </cell>
          <cell r="D307">
            <v>89.14</v>
          </cell>
          <cell r="E307" t="e">
            <v>#N/A</v>
          </cell>
          <cell r="F307" t="e">
            <v>#N/A</v>
          </cell>
          <cell r="G307" t="e">
            <v>#N/A</v>
          </cell>
          <cell r="H307" t="e">
            <v>#N/A</v>
          </cell>
          <cell r="I307" t="e">
            <v>#N/A</v>
          </cell>
          <cell r="J307" t="e">
            <v>#N/A</v>
          </cell>
          <cell r="K307" t="e">
            <v>#N/A</v>
          </cell>
          <cell r="L307" t="e">
            <v>#N/A</v>
          </cell>
          <cell r="M307" t="e">
            <v>#N/A</v>
          </cell>
          <cell r="N307" t="e">
            <v>#N/A</v>
          </cell>
          <cell r="O307" t="e">
            <v>#N/A</v>
          </cell>
          <cell r="P307">
            <v>89.14</v>
          </cell>
          <cell r="Q307">
            <v>2.444903</v>
          </cell>
          <cell r="R307" t="e">
            <v>#N/A</v>
          </cell>
        </row>
        <row r="308">
          <cell r="A308">
            <v>39661</v>
          </cell>
          <cell r="B308">
            <v>39661</v>
          </cell>
          <cell r="C308" t="str">
            <v>Past</v>
          </cell>
          <cell r="D308">
            <v>89.58</v>
          </cell>
          <cell r="E308" t="e">
            <v>#N/A</v>
          </cell>
          <cell r="F308" t="e">
            <v>#N/A</v>
          </cell>
          <cell r="G308" t="e">
            <v>#N/A</v>
          </cell>
          <cell r="H308" t="e">
            <v>#N/A</v>
          </cell>
          <cell r="I308" t="e">
            <v>#N/A</v>
          </cell>
          <cell r="J308" t="e">
            <v>#N/A</v>
          </cell>
          <cell r="K308" t="e">
            <v>#N/A</v>
          </cell>
          <cell r="L308" t="e">
            <v>#N/A</v>
          </cell>
          <cell r="M308" t="e">
            <v>#N/A</v>
          </cell>
          <cell r="N308" t="e">
            <v>#N/A</v>
          </cell>
          <cell r="O308" t="e">
            <v>#N/A</v>
          </cell>
          <cell r="P308">
            <v>89.58</v>
          </cell>
          <cell r="Q308">
            <v>2.1038000000000001</v>
          </cell>
          <cell r="R308" t="e">
            <v>#N/A</v>
          </cell>
        </row>
        <row r="309">
          <cell r="A309">
            <v>39664</v>
          </cell>
          <cell r="B309">
            <v>39664</v>
          </cell>
          <cell r="C309" t="str">
            <v>Past</v>
          </cell>
          <cell r="D309">
            <v>89.07</v>
          </cell>
          <cell r="E309" t="e">
            <v>#N/A</v>
          </cell>
          <cell r="F309" t="e">
            <v>#N/A</v>
          </cell>
          <cell r="G309" t="e">
            <v>#N/A</v>
          </cell>
          <cell r="H309" t="e">
            <v>#N/A</v>
          </cell>
          <cell r="I309" t="e">
            <v>#N/A</v>
          </cell>
          <cell r="J309" t="e">
            <v>#N/A</v>
          </cell>
          <cell r="K309" t="e">
            <v>#N/A</v>
          </cell>
          <cell r="L309" t="e">
            <v>#N/A</v>
          </cell>
          <cell r="M309" t="e">
            <v>#N/A</v>
          </cell>
          <cell r="N309" t="e">
            <v>#N/A</v>
          </cell>
          <cell r="O309" t="e">
            <v>#N/A</v>
          </cell>
          <cell r="P309">
            <v>89.07</v>
          </cell>
          <cell r="Q309">
            <v>1.339715</v>
          </cell>
          <cell r="R309" t="e">
            <v>#N/A</v>
          </cell>
        </row>
        <row r="310">
          <cell r="A310">
            <v>39665</v>
          </cell>
          <cell r="B310">
            <v>39665</v>
          </cell>
          <cell r="C310" t="str">
            <v>Past</v>
          </cell>
          <cell r="D310">
            <v>90.79</v>
          </cell>
          <cell r="E310" t="e">
            <v>#N/A</v>
          </cell>
          <cell r="F310" t="e">
            <v>#N/A</v>
          </cell>
          <cell r="G310" t="e">
            <v>#N/A</v>
          </cell>
          <cell r="H310" t="e">
            <v>#N/A</v>
          </cell>
          <cell r="I310" t="e">
            <v>#N/A</v>
          </cell>
          <cell r="J310" t="e">
            <v>#N/A</v>
          </cell>
          <cell r="K310" t="e">
            <v>#N/A</v>
          </cell>
          <cell r="L310" t="e">
            <v>#N/A</v>
          </cell>
          <cell r="M310" t="e">
            <v>#N/A</v>
          </cell>
          <cell r="N310" t="e">
            <v>#N/A</v>
          </cell>
          <cell r="O310" t="e">
            <v>#N/A</v>
          </cell>
          <cell r="P310">
            <v>90.79</v>
          </cell>
          <cell r="Q310">
            <v>1.965128</v>
          </cell>
          <cell r="R310" t="e">
            <v>#N/A</v>
          </cell>
        </row>
        <row r="311">
          <cell r="A311">
            <v>39666</v>
          </cell>
          <cell r="B311">
            <v>39666</v>
          </cell>
          <cell r="C311" t="str">
            <v>Past</v>
          </cell>
          <cell r="D311">
            <v>90.98</v>
          </cell>
          <cell r="E311" t="e">
            <v>#N/A</v>
          </cell>
          <cell r="F311" t="e">
            <v>#N/A</v>
          </cell>
          <cell r="G311" t="e">
            <v>#N/A</v>
          </cell>
          <cell r="H311" t="e">
            <v>#N/A</v>
          </cell>
          <cell r="I311" t="e">
            <v>#N/A</v>
          </cell>
          <cell r="J311" t="e">
            <v>#N/A</v>
          </cell>
          <cell r="K311" t="e">
            <v>#N/A</v>
          </cell>
          <cell r="L311" t="e">
            <v>#N/A</v>
          </cell>
          <cell r="M311" t="e">
            <v>#N/A</v>
          </cell>
          <cell r="N311" t="e">
            <v>#N/A</v>
          </cell>
          <cell r="O311" t="e">
            <v>#N/A</v>
          </cell>
          <cell r="P311">
            <v>90.98</v>
          </cell>
          <cell r="Q311">
            <v>1.562692</v>
          </cell>
          <cell r="R311" t="e">
            <v>#N/A</v>
          </cell>
        </row>
        <row r="312">
          <cell r="A312">
            <v>39667</v>
          </cell>
          <cell r="B312">
            <v>39667</v>
          </cell>
          <cell r="C312" t="str">
            <v>Past</v>
          </cell>
          <cell r="D312">
            <v>90.27</v>
          </cell>
          <cell r="E312" t="e">
            <v>#N/A</v>
          </cell>
          <cell r="F312" t="e">
            <v>#N/A</v>
          </cell>
          <cell r="G312" t="e">
            <v>#N/A</v>
          </cell>
          <cell r="H312" t="e">
            <v>#N/A</v>
          </cell>
          <cell r="I312" t="e">
            <v>#N/A</v>
          </cell>
          <cell r="J312" t="e">
            <v>#N/A</v>
          </cell>
          <cell r="K312" t="e">
            <v>#N/A</v>
          </cell>
          <cell r="L312" t="e">
            <v>#N/A</v>
          </cell>
          <cell r="M312" t="e">
            <v>#N/A</v>
          </cell>
          <cell r="N312" t="e">
            <v>#N/A</v>
          </cell>
          <cell r="O312" t="e">
            <v>#N/A</v>
          </cell>
          <cell r="P312">
            <v>90.27</v>
          </cell>
          <cell r="Q312">
            <v>1.7120579999999999</v>
          </cell>
          <cell r="R312" t="e">
            <v>#N/A</v>
          </cell>
        </row>
        <row r="313">
          <cell r="A313">
            <v>39668</v>
          </cell>
          <cell r="B313">
            <v>39668</v>
          </cell>
          <cell r="C313" t="str">
            <v>Past</v>
          </cell>
          <cell r="D313">
            <v>92.81</v>
          </cell>
          <cell r="E313" t="e">
            <v>#N/A</v>
          </cell>
          <cell r="F313" t="e">
            <v>#N/A</v>
          </cell>
          <cell r="G313" t="e">
            <v>#N/A</v>
          </cell>
          <cell r="H313" t="e">
            <v>#N/A</v>
          </cell>
          <cell r="I313" t="e">
            <v>#N/A</v>
          </cell>
          <cell r="J313" t="e">
            <v>#N/A</v>
          </cell>
          <cell r="K313" t="e">
            <v>#N/A</v>
          </cell>
          <cell r="L313" t="e">
            <v>#N/A</v>
          </cell>
          <cell r="M313" t="e">
            <v>#N/A</v>
          </cell>
          <cell r="N313" t="e">
            <v>#N/A</v>
          </cell>
          <cell r="O313" t="e">
            <v>#N/A</v>
          </cell>
          <cell r="P313">
            <v>92.81</v>
          </cell>
          <cell r="Q313">
            <v>2.4893700000000001</v>
          </cell>
          <cell r="R313" t="e">
            <v>#N/A</v>
          </cell>
        </row>
        <row r="314">
          <cell r="A314">
            <v>39671</v>
          </cell>
          <cell r="B314">
            <v>39671</v>
          </cell>
          <cell r="C314" t="str">
            <v>Past</v>
          </cell>
          <cell r="D314">
            <v>93.92</v>
          </cell>
          <cell r="E314" t="e">
            <v>#N/A</v>
          </cell>
          <cell r="F314" t="e">
            <v>#N/A</v>
          </cell>
          <cell r="G314" t="e">
            <v>#N/A</v>
          </cell>
          <cell r="H314" t="e">
            <v>#N/A</v>
          </cell>
          <cell r="I314" t="e">
            <v>#N/A</v>
          </cell>
          <cell r="J314" t="e">
            <v>#N/A</v>
          </cell>
          <cell r="K314" t="e">
            <v>#N/A</v>
          </cell>
          <cell r="L314" t="e">
            <v>#N/A</v>
          </cell>
          <cell r="M314" t="e">
            <v>#N/A</v>
          </cell>
          <cell r="N314" t="e">
            <v>#N/A</v>
          </cell>
          <cell r="O314" t="e">
            <v>#N/A</v>
          </cell>
          <cell r="P314">
            <v>93.92</v>
          </cell>
          <cell r="Q314">
            <v>2.239214</v>
          </cell>
          <cell r="R314" t="e">
            <v>#N/A</v>
          </cell>
        </row>
        <row r="315">
          <cell r="A315">
            <v>39672</v>
          </cell>
          <cell r="B315">
            <v>39672</v>
          </cell>
          <cell r="C315" t="str">
            <v>Past</v>
          </cell>
          <cell r="D315">
            <v>94.25</v>
          </cell>
          <cell r="E315" t="e">
            <v>#N/A</v>
          </cell>
          <cell r="F315" t="e">
            <v>#N/A</v>
          </cell>
          <cell r="G315" t="e">
            <v>#N/A</v>
          </cell>
          <cell r="H315" t="e">
            <v>#N/A</v>
          </cell>
          <cell r="I315" t="e">
            <v>#N/A</v>
          </cell>
          <cell r="J315" t="e">
            <v>#N/A</v>
          </cell>
          <cell r="K315" t="e">
            <v>#N/A</v>
          </cell>
          <cell r="L315" t="e">
            <v>#N/A</v>
          </cell>
          <cell r="M315" t="e">
            <v>#N/A</v>
          </cell>
          <cell r="N315" t="e">
            <v>#N/A</v>
          </cell>
          <cell r="O315" t="e">
            <v>#N/A</v>
          </cell>
          <cell r="P315">
            <v>94.25</v>
          </cell>
          <cell r="Q315">
            <v>2.665762</v>
          </cell>
          <cell r="R315" t="e">
            <v>#N/A</v>
          </cell>
        </row>
        <row r="316">
          <cell r="A316">
            <v>39673</v>
          </cell>
          <cell r="B316">
            <v>39673</v>
          </cell>
          <cell r="C316" t="str">
            <v>Past</v>
          </cell>
          <cell r="D316">
            <v>93.46</v>
          </cell>
          <cell r="E316" t="e">
            <v>#N/A</v>
          </cell>
          <cell r="F316" t="e">
            <v>#N/A</v>
          </cell>
          <cell r="G316" t="e">
            <v>#N/A</v>
          </cell>
          <cell r="H316" t="e">
            <v>#N/A</v>
          </cell>
          <cell r="I316" t="e">
            <v>#N/A</v>
          </cell>
          <cell r="J316" t="e">
            <v>#N/A</v>
          </cell>
          <cell r="K316" t="e">
            <v>#N/A</v>
          </cell>
          <cell r="L316" t="e">
            <v>#N/A</v>
          </cell>
          <cell r="M316" t="e">
            <v>#N/A</v>
          </cell>
          <cell r="N316" t="e">
            <v>#N/A</v>
          </cell>
          <cell r="O316" t="e">
            <v>#N/A</v>
          </cell>
          <cell r="P316">
            <v>93.46</v>
          </cell>
          <cell r="Q316">
            <v>2.6415539999999997</v>
          </cell>
          <cell r="R316" t="e">
            <v>#N/A</v>
          </cell>
        </row>
        <row r="317">
          <cell r="A317">
            <v>39674</v>
          </cell>
          <cell r="B317">
            <v>39674</v>
          </cell>
          <cell r="C317" t="str">
            <v>Past</v>
          </cell>
          <cell r="D317">
            <v>92.46</v>
          </cell>
          <cell r="E317" t="e">
            <v>#N/A</v>
          </cell>
          <cell r="F317" t="e">
            <v>#N/A</v>
          </cell>
          <cell r="G317" t="e">
            <v>#N/A</v>
          </cell>
          <cell r="H317" t="e">
            <v>#N/A</v>
          </cell>
          <cell r="I317" t="e">
            <v>#N/A</v>
          </cell>
          <cell r="J317" t="e">
            <v>#N/A</v>
          </cell>
          <cell r="K317" t="e">
            <v>#N/A</v>
          </cell>
          <cell r="L317" t="e">
            <v>#N/A</v>
          </cell>
          <cell r="M317" t="e">
            <v>#N/A</v>
          </cell>
          <cell r="N317" t="e">
            <v>#N/A</v>
          </cell>
          <cell r="O317" t="e">
            <v>#N/A</v>
          </cell>
          <cell r="P317">
            <v>92.46</v>
          </cell>
          <cell r="Q317">
            <v>3.920639</v>
          </cell>
          <cell r="R317" t="e">
            <v>#N/A</v>
          </cell>
        </row>
        <row r="318">
          <cell r="A318">
            <v>39675</v>
          </cell>
          <cell r="B318">
            <v>39675</v>
          </cell>
          <cell r="C318" t="str">
            <v>Past</v>
          </cell>
          <cell r="D318">
            <v>93.41</v>
          </cell>
          <cell r="E318" t="e">
            <v>#N/A</v>
          </cell>
          <cell r="F318" t="e">
            <v>#N/A</v>
          </cell>
          <cell r="G318" t="e">
            <v>#N/A</v>
          </cell>
          <cell r="H318" t="e">
            <v>#N/A</v>
          </cell>
          <cell r="I318" t="e">
            <v>#N/A</v>
          </cell>
          <cell r="J318" t="e">
            <v>#N/A</v>
          </cell>
          <cell r="K318" t="e">
            <v>#N/A</v>
          </cell>
          <cell r="L318" t="e">
            <v>#N/A</v>
          </cell>
          <cell r="M318" t="e">
            <v>#N/A</v>
          </cell>
          <cell r="N318" t="e">
            <v>#N/A</v>
          </cell>
          <cell r="O318" t="e">
            <v>#N/A</v>
          </cell>
          <cell r="P318">
            <v>93.41</v>
          </cell>
          <cell r="Q318">
            <v>2.6591109999999998</v>
          </cell>
          <cell r="R318" t="e">
            <v>#N/A</v>
          </cell>
        </row>
        <row r="319">
          <cell r="A319">
            <v>39678</v>
          </cell>
          <cell r="B319">
            <v>39678</v>
          </cell>
          <cell r="C319" t="str">
            <v>Past</v>
          </cell>
          <cell r="D319">
            <v>92.24</v>
          </cell>
          <cell r="E319" t="e">
            <v>#N/A</v>
          </cell>
          <cell r="F319" t="e">
            <v>#N/A</v>
          </cell>
          <cell r="G319" t="e">
            <v>#N/A</v>
          </cell>
          <cell r="H319" t="e">
            <v>#N/A</v>
          </cell>
          <cell r="I319" t="e">
            <v>#N/A</v>
          </cell>
          <cell r="J319" t="e">
            <v>#N/A</v>
          </cell>
          <cell r="K319" t="e">
            <v>#N/A</v>
          </cell>
          <cell r="L319" t="e">
            <v>#N/A</v>
          </cell>
          <cell r="M319" t="e">
            <v>#N/A</v>
          </cell>
          <cell r="N319" t="e">
            <v>#N/A</v>
          </cell>
          <cell r="O319" t="e">
            <v>#N/A</v>
          </cell>
          <cell r="P319">
            <v>92.24</v>
          </cell>
          <cell r="Q319">
            <v>1.8523609999999999</v>
          </cell>
          <cell r="R319" t="e">
            <v>#N/A</v>
          </cell>
        </row>
        <row r="320">
          <cell r="A320">
            <v>39679</v>
          </cell>
          <cell r="B320">
            <v>39679</v>
          </cell>
          <cell r="C320" t="str">
            <v>Past</v>
          </cell>
          <cell r="D320">
            <v>91.99</v>
          </cell>
          <cell r="E320" t="e">
            <v>#N/A</v>
          </cell>
          <cell r="F320" t="e">
            <v>#N/A</v>
          </cell>
          <cell r="G320" t="e">
            <v>#N/A</v>
          </cell>
          <cell r="H320" t="e">
            <v>#N/A</v>
          </cell>
          <cell r="I320" t="e">
            <v>#N/A</v>
          </cell>
          <cell r="J320" t="e">
            <v>#N/A</v>
          </cell>
          <cell r="K320" t="e">
            <v>#N/A</v>
          </cell>
          <cell r="L320" t="e">
            <v>#N/A</v>
          </cell>
          <cell r="M320" t="e">
            <v>#N/A</v>
          </cell>
          <cell r="N320" t="e">
            <v>#N/A</v>
          </cell>
          <cell r="O320" t="e">
            <v>#N/A</v>
          </cell>
          <cell r="P320">
            <v>91.99</v>
          </cell>
          <cell r="Q320">
            <v>2.9586679999999999</v>
          </cell>
          <cell r="R320" t="e">
            <v>#N/A</v>
          </cell>
        </row>
        <row r="321">
          <cell r="A321">
            <v>39680</v>
          </cell>
          <cell r="B321">
            <v>39680</v>
          </cell>
          <cell r="C321" t="str">
            <v>Past</v>
          </cell>
          <cell r="D321">
            <v>91.26</v>
          </cell>
          <cell r="E321" t="e">
            <v>#N/A</v>
          </cell>
          <cell r="F321" t="e">
            <v>#N/A</v>
          </cell>
          <cell r="G321" t="e">
            <v>#N/A</v>
          </cell>
          <cell r="H321" t="e">
            <v>#N/A</v>
          </cell>
          <cell r="I321" t="e">
            <v>#N/A</v>
          </cell>
          <cell r="J321" t="e">
            <v>#N/A</v>
          </cell>
          <cell r="K321" t="e">
            <v>#N/A</v>
          </cell>
          <cell r="L321" t="e">
            <v>#N/A</v>
          </cell>
          <cell r="M321" t="e">
            <v>#N/A</v>
          </cell>
          <cell r="N321" t="e">
            <v>#N/A</v>
          </cell>
          <cell r="O321" t="e">
            <v>#N/A</v>
          </cell>
          <cell r="P321">
            <v>91.26</v>
          </cell>
          <cell r="Q321">
            <v>2.2439739999999997</v>
          </cell>
          <cell r="R321" t="e">
            <v>#N/A</v>
          </cell>
        </row>
        <row r="322">
          <cell r="A322">
            <v>39681</v>
          </cell>
          <cell r="B322">
            <v>39681</v>
          </cell>
          <cell r="C322" t="str">
            <v>Past</v>
          </cell>
          <cell r="D322">
            <v>91.77</v>
          </cell>
          <cell r="E322" t="e">
            <v>#N/A</v>
          </cell>
          <cell r="F322" t="e">
            <v>#N/A</v>
          </cell>
          <cell r="G322" t="e">
            <v>#N/A</v>
          </cell>
          <cell r="H322" t="e">
            <v>#N/A</v>
          </cell>
          <cell r="I322" t="e">
            <v>#N/A</v>
          </cell>
          <cell r="J322" t="e">
            <v>#N/A</v>
          </cell>
          <cell r="K322" t="e">
            <v>#N/A</v>
          </cell>
          <cell r="L322" t="e">
            <v>#N/A</v>
          </cell>
          <cell r="M322" t="e">
            <v>#N/A</v>
          </cell>
          <cell r="N322" t="e">
            <v>#N/A</v>
          </cell>
          <cell r="O322" t="e">
            <v>#N/A</v>
          </cell>
          <cell r="P322">
            <v>91.77</v>
          </cell>
          <cell r="Q322">
            <v>2.641966</v>
          </cell>
          <cell r="R322" t="e">
            <v>#N/A</v>
          </cell>
        </row>
        <row r="323">
          <cell r="A323">
            <v>39682</v>
          </cell>
          <cell r="B323">
            <v>39682</v>
          </cell>
          <cell r="C323" t="str">
            <v>Past</v>
          </cell>
          <cell r="D323">
            <v>92</v>
          </cell>
          <cell r="E323" t="e">
            <v>#N/A</v>
          </cell>
          <cell r="F323" t="e">
            <v>#N/A</v>
          </cell>
          <cell r="G323" t="e">
            <v>#N/A</v>
          </cell>
          <cell r="H323" t="e">
            <v>#N/A</v>
          </cell>
          <cell r="I323" t="e">
            <v>#N/A</v>
          </cell>
          <cell r="J323" t="e">
            <v>#N/A</v>
          </cell>
          <cell r="K323" t="e">
            <v>#N/A</v>
          </cell>
          <cell r="L323" t="e">
            <v>#N/A</v>
          </cell>
          <cell r="M323" t="e">
            <v>#N/A</v>
          </cell>
          <cell r="N323" t="e">
            <v>#N/A</v>
          </cell>
          <cell r="O323" t="e">
            <v>#N/A</v>
          </cell>
          <cell r="P323">
            <v>92</v>
          </cell>
          <cell r="Q323">
            <v>2.157832</v>
          </cell>
          <cell r="R323" t="e">
            <v>#N/A</v>
          </cell>
        </row>
        <row r="324">
          <cell r="A324">
            <v>39685</v>
          </cell>
          <cell r="B324">
            <v>39685</v>
          </cell>
          <cell r="C324" t="str">
            <v>Past</v>
          </cell>
          <cell r="D324">
            <v>91.12</v>
          </cell>
          <cell r="E324" t="e">
            <v>#N/A</v>
          </cell>
          <cell r="F324" t="e">
            <v>#N/A</v>
          </cell>
          <cell r="G324" t="e">
            <v>#N/A</v>
          </cell>
          <cell r="H324" t="e">
            <v>#N/A</v>
          </cell>
          <cell r="I324" t="e">
            <v>#N/A</v>
          </cell>
          <cell r="J324" t="e">
            <v>#N/A</v>
          </cell>
          <cell r="K324" t="e">
            <v>#N/A</v>
          </cell>
          <cell r="L324" t="e">
            <v>#N/A</v>
          </cell>
          <cell r="M324" t="e">
            <v>#N/A</v>
          </cell>
          <cell r="N324" t="e">
            <v>#N/A</v>
          </cell>
          <cell r="O324" t="e">
            <v>#N/A</v>
          </cell>
          <cell r="P324">
            <v>91.12</v>
          </cell>
          <cell r="Q324">
            <v>2.2415859999999999</v>
          </cell>
          <cell r="R324" t="e">
            <v>#N/A</v>
          </cell>
        </row>
        <row r="325">
          <cell r="A325">
            <v>39686</v>
          </cell>
          <cell r="B325">
            <v>39686</v>
          </cell>
          <cell r="C325" t="str">
            <v>Past</v>
          </cell>
          <cell r="D325">
            <v>92.21</v>
          </cell>
          <cell r="E325" t="e">
            <v>#N/A</v>
          </cell>
          <cell r="F325" t="e">
            <v>#N/A</v>
          </cell>
          <cell r="G325" t="e">
            <v>#N/A</v>
          </cell>
          <cell r="H325" t="e">
            <v>#N/A</v>
          </cell>
          <cell r="I325" t="e">
            <v>#N/A</v>
          </cell>
          <cell r="J325" t="e">
            <v>#N/A</v>
          </cell>
          <cell r="K325" t="e">
            <v>#N/A</v>
          </cell>
          <cell r="L325" t="e">
            <v>#N/A</v>
          </cell>
          <cell r="M325" t="e">
            <v>#N/A</v>
          </cell>
          <cell r="N325" t="e">
            <v>#N/A</v>
          </cell>
          <cell r="O325" t="e">
            <v>#N/A</v>
          </cell>
          <cell r="P325">
            <v>92.21</v>
          </cell>
          <cell r="Q325">
            <v>1.5725419999999999</v>
          </cell>
          <cell r="R325" t="e">
            <v>#N/A</v>
          </cell>
        </row>
        <row r="326">
          <cell r="A326">
            <v>39687</v>
          </cell>
          <cell r="B326">
            <v>39687</v>
          </cell>
          <cell r="C326" t="str">
            <v>Past</v>
          </cell>
          <cell r="D326">
            <v>92.31</v>
          </cell>
          <cell r="E326" t="e">
            <v>#N/A</v>
          </cell>
          <cell r="F326" t="e">
            <v>#N/A</v>
          </cell>
          <cell r="G326" t="e">
            <v>#N/A</v>
          </cell>
          <cell r="H326" t="e">
            <v>#N/A</v>
          </cell>
          <cell r="I326" t="e">
            <v>#N/A</v>
          </cell>
          <cell r="J326" t="e">
            <v>#N/A</v>
          </cell>
          <cell r="K326" t="e">
            <v>#N/A</v>
          </cell>
          <cell r="L326" t="e">
            <v>#N/A</v>
          </cell>
          <cell r="M326" t="e">
            <v>#N/A</v>
          </cell>
          <cell r="N326" t="e">
            <v>#N/A</v>
          </cell>
          <cell r="O326" t="e">
            <v>#N/A</v>
          </cell>
          <cell r="P326">
            <v>92.31</v>
          </cell>
          <cell r="Q326">
            <v>1.383489</v>
          </cell>
          <cell r="R326" t="e">
            <v>#N/A</v>
          </cell>
        </row>
        <row r="327">
          <cell r="A327">
            <v>39688</v>
          </cell>
          <cell r="B327">
            <v>39688</v>
          </cell>
          <cell r="C327" t="str">
            <v>Past</v>
          </cell>
          <cell r="D327">
            <v>94.01</v>
          </cell>
          <cell r="E327" t="e">
            <v>#N/A</v>
          </cell>
          <cell r="F327" t="e">
            <v>#N/A</v>
          </cell>
          <cell r="G327" t="e">
            <v>#N/A</v>
          </cell>
          <cell r="H327" t="e">
            <v>#N/A</v>
          </cell>
          <cell r="I327" t="e">
            <v>#N/A</v>
          </cell>
          <cell r="J327" t="e">
            <v>#N/A</v>
          </cell>
          <cell r="K327" t="e">
            <v>#N/A</v>
          </cell>
          <cell r="L327" t="e">
            <v>#N/A</v>
          </cell>
          <cell r="M327" t="e">
            <v>#N/A</v>
          </cell>
          <cell r="N327" t="e">
            <v>#N/A</v>
          </cell>
          <cell r="O327" t="e">
            <v>#N/A</v>
          </cell>
          <cell r="P327">
            <v>94.01</v>
          </cell>
          <cell r="Q327">
            <v>2.107221</v>
          </cell>
          <cell r="R327" t="e">
            <v>#N/A</v>
          </cell>
        </row>
        <row r="328">
          <cell r="A328">
            <v>39689</v>
          </cell>
          <cell r="B328">
            <v>39689</v>
          </cell>
          <cell r="C328" t="str">
            <v>Past</v>
          </cell>
          <cell r="D328">
            <v>92.3</v>
          </cell>
          <cell r="E328" t="e">
            <v>#N/A</v>
          </cell>
          <cell r="F328" t="e">
            <v>#N/A</v>
          </cell>
          <cell r="G328" t="e">
            <v>#N/A</v>
          </cell>
          <cell r="H328" t="e">
            <v>#N/A</v>
          </cell>
          <cell r="I328" t="e">
            <v>#N/A</v>
          </cell>
          <cell r="J328" t="e">
            <v>#N/A</v>
          </cell>
          <cell r="K328" t="e">
            <v>#N/A</v>
          </cell>
          <cell r="L328" t="e">
            <v>#N/A</v>
          </cell>
          <cell r="M328" t="e">
            <v>#N/A</v>
          </cell>
          <cell r="N328" t="e">
            <v>#N/A</v>
          </cell>
          <cell r="O328" t="e">
            <v>#N/A</v>
          </cell>
          <cell r="P328">
            <v>92.3</v>
          </cell>
          <cell r="Q328">
            <v>1.6965049999999999</v>
          </cell>
          <cell r="R328" t="e">
            <v>#N/A</v>
          </cell>
        </row>
        <row r="329">
          <cell r="A329">
            <v>39693</v>
          </cell>
          <cell r="B329">
            <v>39693</v>
          </cell>
          <cell r="C329" t="str">
            <v>Past</v>
          </cell>
          <cell r="D329">
            <v>92.56</v>
          </cell>
          <cell r="E329" t="e">
            <v>#N/A</v>
          </cell>
          <cell r="F329" t="e">
            <v>#N/A</v>
          </cell>
          <cell r="G329" t="e">
            <v>#N/A</v>
          </cell>
          <cell r="H329" t="e">
            <v>#N/A</v>
          </cell>
          <cell r="I329" t="e">
            <v>#N/A</v>
          </cell>
          <cell r="J329" t="e">
            <v>#N/A</v>
          </cell>
          <cell r="K329" t="e">
            <v>#N/A</v>
          </cell>
          <cell r="L329" t="e">
            <v>#N/A</v>
          </cell>
          <cell r="M329" t="e">
            <v>#N/A</v>
          </cell>
          <cell r="N329" t="e">
            <v>#N/A</v>
          </cell>
          <cell r="O329" t="e">
            <v>#N/A</v>
          </cell>
          <cell r="P329">
            <v>92.56</v>
          </cell>
          <cell r="Q329">
            <v>2.0724089999999999</v>
          </cell>
          <cell r="R329" t="e">
            <v>#N/A</v>
          </cell>
        </row>
        <row r="330">
          <cell r="A330">
            <v>39694</v>
          </cell>
          <cell r="B330">
            <v>39694</v>
          </cell>
          <cell r="C330" t="str">
            <v>Past</v>
          </cell>
          <cell r="D330">
            <v>91.17</v>
          </cell>
          <cell r="E330" t="e">
            <v>#N/A</v>
          </cell>
          <cell r="F330" t="e">
            <v>#N/A</v>
          </cell>
          <cell r="G330" t="e">
            <v>#N/A</v>
          </cell>
          <cell r="H330" t="e">
            <v>#N/A</v>
          </cell>
          <cell r="I330" t="e">
            <v>#N/A</v>
          </cell>
          <cell r="J330" t="e">
            <v>#N/A</v>
          </cell>
          <cell r="K330" t="e">
            <v>#N/A</v>
          </cell>
          <cell r="L330" t="e">
            <v>#N/A</v>
          </cell>
          <cell r="M330" t="e">
            <v>#N/A</v>
          </cell>
          <cell r="N330" t="e">
            <v>#N/A</v>
          </cell>
          <cell r="O330" t="e">
            <v>#N/A</v>
          </cell>
          <cell r="P330">
            <v>91.17</v>
          </cell>
          <cell r="Q330">
            <v>2.44177</v>
          </cell>
          <cell r="R330" t="e">
            <v>#N/A</v>
          </cell>
        </row>
        <row r="331">
          <cell r="A331">
            <v>39695</v>
          </cell>
          <cell r="B331">
            <v>39695</v>
          </cell>
          <cell r="C331" t="str">
            <v>Past</v>
          </cell>
          <cell r="D331">
            <v>85.29</v>
          </cell>
          <cell r="E331" t="e">
            <v>#N/A</v>
          </cell>
          <cell r="F331" t="e">
            <v>#N/A</v>
          </cell>
          <cell r="G331" t="e">
            <v>#N/A</v>
          </cell>
          <cell r="H331" t="e">
            <v>#N/A</v>
          </cell>
          <cell r="I331" t="e">
            <v>#N/A</v>
          </cell>
          <cell r="J331" t="e">
            <v>#N/A</v>
          </cell>
          <cell r="K331" t="e">
            <v>#N/A</v>
          </cell>
          <cell r="L331" t="e">
            <v>#N/A</v>
          </cell>
          <cell r="M331" t="e">
            <v>#N/A</v>
          </cell>
          <cell r="N331" t="e">
            <v>#N/A</v>
          </cell>
          <cell r="O331" t="e">
            <v>#N/A</v>
          </cell>
          <cell r="P331">
            <v>85.29</v>
          </cell>
          <cell r="Q331">
            <v>7.3636659999999994</v>
          </cell>
          <cell r="R331" t="e">
            <v>#N/A</v>
          </cell>
        </row>
        <row r="332">
          <cell r="A332">
            <v>39696</v>
          </cell>
          <cell r="B332">
            <v>39696</v>
          </cell>
          <cell r="C332" t="str">
            <v>Past</v>
          </cell>
          <cell r="D332">
            <v>85.64</v>
          </cell>
          <cell r="E332" t="e">
            <v>#N/A</v>
          </cell>
          <cell r="F332" t="e">
            <v>#N/A</v>
          </cell>
          <cell r="G332" t="e">
            <v>#N/A</v>
          </cell>
          <cell r="H332" t="e">
            <v>#N/A</v>
          </cell>
          <cell r="I332" t="e">
            <v>#N/A</v>
          </cell>
          <cell r="J332" t="e">
            <v>#N/A</v>
          </cell>
          <cell r="K332" t="e">
            <v>#N/A</v>
          </cell>
          <cell r="L332" t="e">
            <v>#N/A</v>
          </cell>
          <cell r="M332" t="e">
            <v>#N/A</v>
          </cell>
          <cell r="N332" t="e">
            <v>#N/A</v>
          </cell>
          <cell r="O332" t="e">
            <v>#N/A</v>
          </cell>
          <cell r="P332">
            <v>85.64</v>
          </cell>
          <cell r="Q332">
            <v>2.8914749999999998</v>
          </cell>
          <cell r="R332" t="e">
            <v>#N/A</v>
          </cell>
        </row>
        <row r="333">
          <cell r="A333">
            <v>39699</v>
          </cell>
          <cell r="B333">
            <v>39699</v>
          </cell>
          <cell r="C333" t="str">
            <v>Past</v>
          </cell>
          <cell r="D333">
            <v>86.21</v>
          </cell>
          <cell r="E333" t="e">
            <v>#N/A</v>
          </cell>
          <cell r="F333" t="e">
            <v>#N/A</v>
          </cell>
          <cell r="G333" t="e">
            <v>#N/A</v>
          </cell>
          <cell r="H333" t="e">
            <v>#N/A</v>
          </cell>
          <cell r="I333" t="e">
            <v>#N/A</v>
          </cell>
          <cell r="J333" t="e">
            <v>#N/A</v>
          </cell>
          <cell r="K333" t="e">
            <v>#N/A</v>
          </cell>
          <cell r="L333" t="e">
            <v>#N/A</v>
          </cell>
          <cell r="M333" t="e">
            <v>#N/A</v>
          </cell>
          <cell r="N333" t="e">
            <v>#N/A</v>
          </cell>
          <cell r="O333" t="e">
            <v>#N/A</v>
          </cell>
          <cell r="P333">
            <v>86.21</v>
          </cell>
          <cell r="Q333">
            <v>3.8600659999999998</v>
          </cell>
          <cell r="R333" t="e">
            <v>#N/A</v>
          </cell>
        </row>
        <row r="334">
          <cell r="A334">
            <v>39700</v>
          </cell>
          <cell r="B334">
            <v>39700</v>
          </cell>
          <cell r="C334" t="str">
            <v>Past</v>
          </cell>
          <cell r="D334">
            <v>84.55</v>
          </cell>
          <cell r="E334" t="e">
            <v>#N/A</v>
          </cell>
          <cell r="F334" t="e">
            <v>#N/A</v>
          </cell>
          <cell r="G334" t="e">
            <v>#N/A</v>
          </cell>
          <cell r="H334" t="e">
            <v>#N/A</v>
          </cell>
          <cell r="I334" t="e">
            <v>#N/A</v>
          </cell>
          <cell r="J334" t="e">
            <v>#N/A</v>
          </cell>
          <cell r="K334" t="e">
            <v>#N/A</v>
          </cell>
          <cell r="L334" t="e">
            <v>#N/A</v>
          </cell>
          <cell r="M334" t="e">
            <v>#N/A</v>
          </cell>
          <cell r="N334" t="e">
            <v>#N/A</v>
          </cell>
          <cell r="O334" t="e">
            <v>#N/A</v>
          </cell>
          <cell r="P334">
            <v>84.55</v>
          </cell>
          <cell r="Q334">
            <v>3.6430539999999998</v>
          </cell>
          <cell r="R334" t="e">
            <v>#N/A</v>
          </cell>
        </row>
        <row r="335">
          <cell r="A335">
            <v>39701</v>
          </cell>
          <cell r="B335">
            <v>39701</v>
          </cell>
          <cell r="C335" t="str">
            <v>Past</v>
          </cell>
          <cell r="D335">
            <v>83.02</v>
          </cell>
          <cell r="E335" t="e">
            <v>#N/A</v>
          </cell>
          <cell r="F335" t="e">
            <v>#N/A</v>
          </cell>
          <cell r="G335" t="e">
            <v>#N/A</v>
          </cell>
          <cell r="H335" t="e">
            <v>#N/A</v>
          </cell>
          <cell r="I335" t="e">
            <v>#N/A</v>
          </cell>
          <cell r="J335" t="e">
            <v>#N/A</v>
          </cell>
          <cell r="K335" t="e">
            <v>#N/A</v>
          </cell>
          <cell r="L335" t="e">
            <v>#N/A</v>
          </cell>
          <cell r="M335" t="e">
            <v>#N/A</v>
          </cell>
          <cell r="N335" t="e">
            <v>#N/A</v>
          </cell>
          <cell r="O335" t="e">
            <v>#N/A</v>
          </cell>
          <cell r="P335">
            <v>83.02</v>
          </cell>
          <cell r="Q335">
            <v>4.443816</v>
          </cell>
          <cell r="R335" t="e">
            <v>#N/A</v>
          </cell>
        </row>
        <row r="336">
          <cell r="A336">
            <v>39702</v>
          </cell>
          <cell r="B336">
            <v>39702</v>
          </cell>
          <cell r="C336" t="str">
            <v>Past</v>
          </cell>
          <cell r="D336">
            <v>84.77</v>
          </cell>
          <cell r="E336" t="e">
            <v>#N/A</v>
          </cell>
          <cell r="F336" t="e">
            <v>#N/A</v>
          </cell>
          <cell r="G336" t="e">
            <v>#N/A</v>
          </cell>
          <cell r="H336" t="e">
            <v>#N/A</v>
          </cell>
          <cell r="I336" t="e">
            <v>#N/A</v>
          </cell>
          <cell r="J336" t="e">
            <v>#N/A</v>
          </cell>
          <cell r="K336" t="e">
            <v>#N/A</v>
          </cell>
          <cell r="L336" t="e">
            <v>#N/A</v>
          </cell>
          <cell r="M336" t="e">
            <v>#N/A</v>
          </cell>
          <cell r="N336" t="e">
            <v>#N/A</v>
          </cell>
          <cell r="O336" t="e">
            <v>#N/A</v>
          </cell>
          <cell r="P336">
            <v>84.77</v>
          </cell>
          <cell r="Q336">
            <v>4.2162709999999999</v>
          </cell>
          <cell r="R336" t="e">
            <v>#N/A</v>
          </cell>
        </row>
        <row r="337">
          <cell r="A337">
            <v>39703</v>
          </cell>
          <cell r="B337">
            <v>39703</v>
          </cell>
          <cell r="C337" t="str">
            <v>Past</v>
          </cell>
          <cell r="D337">
            <v>84.93</v>
          </cell>
          <cell r="E337" t="e">
            <v>#N/A</v>
          </cell>
          <cell r="F337" t="e">
            <v>#N/A</v>
          </cell>
          <cell r="G337" t="e">
            <v>#N/A</v>
          </cell>
          <cell r="H337" t="e">
            <v>#N/A</v>
          </cell>
          <cell r="I337" t="e">
            <v>#N/A</v>
          </cell>
          <cell r="J337" t="e">
            <v>#N/A</v>
          </cell>
          <cell r="K337" t="e">
            <v>#N/A</v>
          </cell>
          <cell r="L337" t="e">
            <v>#N/A</v>
          </cell>
          <cell r="M337" t="e">
            <v>#N/A</v>
          </cell>
          <cell r="N337" t="e">
            <v>#N/A</v>
          </cell>
          <cell r="O337" t="e">
            <v>#N/A</v>
          </cell>
          <cell r="P337">
            <v>84.93</v>
          </cell>
          <cell r="Q337">
            <v>2.2859089999999997</v>
          </cell>
          <cell r="R337" t="e">
            <v>#N/A</v>
          </cell>
        </row>
        <row r="338">
          <cell r="A338">
            <v>39706</v>
          </cell>
          <cell r="B338">
            <v>39706</v>
          </cell>
          <cell r="C338" t="str">
            <v>Past</v>
          </cell>
          <cell r="D338">
            <v>83.91</v>
          </cell>
          <cell r="E338" t="e">
            <v>#N/A</v>
          </cell>
          <cell r="F338" t="e">
            <v>#N/A</v>
          </cell>
          <cell r="G338" t="e">
            <v>#N/A</v>
          </cell>
          <cell r="H338" t="e">
            <v>#N/A</v>
          </cell>
          <cell r="I338" t="e">
            <v>#N/A</v>
          </cell>
          <cell r="J338" t="e">
            <v>#N/A</v>
          </cell>
          <cell r="K338" t="e">
            <v>#N/A</v>
          </cell>
          <cell r="L338" t="e">
            <v>#N/A</v>
          </cell>
          <cell r="M338" t="e">
            <v>#N/A</v>
          </cell>
          <cell r="N338" t="e">
            <v>#N/A</v>
          </cell>
          <cell r="O338" t="e">
            <v>#N/A</v>
          </cell>
          <cell r="P338">
            <v>83.91</v>
          </cell>
          <cell r="Q338">
            <v>3.7290749999999999</v>
          </cell>
          <cell r="R338" t="e">
            <v>#N/A</v>
          </cell>
        </row>
        <row r="339">
          <cell r="A339">
            <v>39707</v>
          </cell>
          <cell r="B339">
            <v>39707</v>
          </cell>
          <cell r="C339" t="str">
            <v>Past</v>
          </cell>
          <cell r="D339">
            <v>85.09</v>
          </cell>
          <cell r="E339" t="e">
            <v>#N/A</v>
          </cell>
          <cell r="F339" t="e">
            <v>#N/A</v>
          </cell>
          <cell r="G339" t="e">
            <v>#N/A</v>
          </cell>
          <cell r="H339" t="e">
            <v>#N/A</v>
          </cell>
          <cell r="I339" t="e">
            <v>#N/A</v>
          </cell>
          <cell r="J339" t="e">
            <v>#N/A</v>
          </cell>
          <cell r="K339" t="e">
            <v>#N/A</v>
          </cell>
          <cell r="L339" t="e">
            <v>#N/A</v>
          </cell>
          <cell r="M339" t="e">
            <v>#N/A</v>
          </cell>
          <cell r="N339" t="e">
            <v>#N/A</v>
          </cell>
          <cell r="O339" t="e">
            <v>#N/A</v>
          </cell>
          <cell r="P339">
            <v>85.09</v>
          </cell>
          <cell r="Q339">
            <v>3.8579849999999998</v>
          </cell>
          <cell r="R339" t="e">
            <v>#N/A</v>
          </cell>
        </row>
        <row r="340">
          <cell r="A340">
            <v>39708</v>
          </cell>
          <cell r="B340">
            <v>39708</v>
          </cell>
          <cell r="C340" t="str">
            <v>Past</v>
          </cell>
          <cell r="D340">
            <v>82.28</v>
          </cell>
          <cell r="E340" t="e">
            <v>#N/A</v>
          </cell>
          <cell r="F340" t="e">
            <v>#N/A</v>
          </cell>
          <cell r="G340" t="e">
            <v>#N/A</v>
          </cell>
          <cell r="H340" t="e">
            <v>#N/A</v>
          </cell>
          <cell r="I340" t="e">
            <v>#N/A</v>
          </cell>
          <cell r="J340" t="e">
            <v>#N/A</v>
          </cell>
          <cell r="K340" t="e">
            <v>#N/A</v>
          </cell>
          <cell r="L340" t="e">
            <v>#N/A</v>
          </cell>
          <cell r="M340" t="e">
            <v>#N/A</v>
          </cell>
          <cell r="N340" t="e">
            <v>#N/A</v>
          </cell>
          <cell r="O340" t="e">
            <v>#N/A</v>
          </cell>
          <cell r="P340">
            <v>82.28</v>
          </cell>
          <cell r="Q340">
            <v>3.333132</v>
          </cell>
          <cell r="R340" t="e">
            <v>#N/A</v>
          </cell>
        </row>
        <row r="341">
          <cell r="A341">
            <v>39709</v>
          </cell>
          <cell r="B341">
            <v>39709</v>
          </cell>
          <cell r="C341" t="str">
            <v>Past</v>
          </cell>
          <cell r="D341">
            <v>83.84</v>
          </cell>
          <cell r="E341" t="e">
            <v>#N/A</v>
          </cell>
          <cell r="F341" t="e">
            <v>#N/A</v>
          </cell>
          <cell r="G341" t="e">
            <v>#N/A</v>
          </cell>
          <cell r="H341" t="e">
            <v>#N/A</v>
          </cell>
          <cell r="I341" t="e">
            <v>#N/A</v>
          </cell>
          <cell r="J341" t="e">
            <v>#N/A</v>
          </cell>
          <cell r="K341" t="e">
            <v>#N/A</v>
          </cell>
          <cell r="L341" t="e">
            <v>#N/A</v>
          </cell>
          <cell r="M341" t="e">
            <v>#N/A</v>
          </cell>
          <cell r="N341" t="e">
            <v>#N/A</v>
          </cell>
          <cell r="O341" t="e">
            <v>#N/A</v>
          </cell>
          <cell r="P341">
            <v>83.84</v>
          </cell>
          <cell r="Q341">
            <v>4.899</v>
          </cell>
          <cell r="R341" t="e">
            <v>#N/A</v>
          </cell>
        </row>
        <row r="342">
          <cell r="A342">
            <v>39710</v>
          </cell>
          <cell r="B342">
            <v>39710</v>
          </cell>
          <cell r="C342" t="str">
            <v>Past</v>
          </cell>
          <cell r="D342">
            <v>82.39</v>
          </cell>
          <cell r="E342" t="e">
            <v>#N/A</v>
          </cell>
          <cell r="F342" t="e">
            <v>#N/A</v>
          </cell>
          <cell r="G342" t="e">
            <v>#N/A</v>
          </cell>
          <cell r="H342" t="e">
            <v>#N/A</v>
          </cell>
          <cell r="I342" t="e">
            <v>#N/A</v>
          </cell>
          <cell r="J342" t="e">
            <v>#N/A</v>
          </cell>
          <cell r="K342" t="e">
            <v>#N/A</v>
          </cell>
          <cell r="L342" t="e">
            <v>#N/A</v>
          </cell>
          <cell r="M342" t="e">
            <v>#N/A</v>
          </cell>
          <cell r="N342" t="e">
            <v>#N/A</v>
          </cell>
          <cell r="O342" t="e">
            <v>#N/A</v>
          </cell>
          <cell r="P342">
            <v>82.39</v>
          </cell>
          <cell r="Q342">
            <v>4.1052279999999994</v>
          </cell>
          <cell r="R342" t="e">
            <v>#N/A</v>
          </cell>
        </row>
        <row r="343">
          <cell r="A343">
            <v>39713</v>
          </cell>
          <cell r="B343">
            <v>39713</v>
          </cell>
          <cell r="C343" t="str">
            <v>Past</v>
          </cell>
          <cell r="D343">
            <v>81.260000000000005</v>
          </cell>
          <cell r="E343" t="e">
            <v>#N/A</v>
          </cell>
          <cell r="F343" t="e">
            <v>#N/A</v>
          </cell>
          <cell r="G343" t="e">
            <v>#N/A</v>
          </cell>
          <cell r="H343" t="e">
            <v>#N/A</v>
          </cell>
          <cell r="I343" t="e">
            <v>#N/A</v>
          </cell>
          <cell r="J343" t="e">
            <v>#N/A</v>
          </cell>
          <cell r="K343" t="e">
            <v>#N/A</v>
          </cell>
          <cell r="L343" t="e">
            <v>#N/A</v>
          </cell>
          <cell r="M343" t="e">
            <v>#N/A</v>
          </cell>
          <cell r="N343" t="e">
            <v>#N/A</v>
          </cell>
          <cell r="O343" t="e">
            <v>#N/A</v>
          </cell>
          <cell r="P343">
            <v>81.260000000000005</v>
          </cell>
          <cell r="Q343">
            <v>2.560854</v>
          </cell>
          <cell r="R343" t="e">
            <v>#N/A</v>
          </cell>
        </row>
        <row r="344">
          <cell r="A344">
            <v>39714</v>
          </cell>
          <cell r="B344">
            <v>39714</v>
          </cell>
          <cell r="C344" t="str">
            <v>Past</v>
          </cell>
          <cell r="D344">
            <v>79.91</v>
          </cell>
          <cell r="E344" t="e">
            <v>#N/A</v>
          </cell>
          <cell r="F344" t="e">
            <v>#N/A</v>
          </cell>
          <cell r="G344" t="e">
            <v>#N/A</v>
          </cell>
          <cell r="H344" t="e">
            <v>#N/A</v>
          </cell>
          <cell r="I344" t="e">
            <v>#N/A</v>
          </cell>
          <cell r="J344" t="e">
            <v>#N/A</v>
          </cell>
          <cell r="K344" t="e">
            <v>#N/A</v>
          </cell>
          <cell r="L344" t="e">
            <v>#N/A</v>
          </cell>
          <cell r="M344" t="e">
            <v>#N/A</v>
          </cell>
          <cell r="N344" t="e">
            <v>#N/A</v>
          </cell>
          <cell r="O344" t="e">
            <v>#N/A</v>
          </cell>
          <cell r="P344">
            <v>79.91</v>
          </cell>
          <cell r="Q344">
            <v>1.9694900000000002</v>
          </cell>
          <cell r="R344" t="e">
            <v>#N/A</v>
          </cell>
        </row>
        <row r="345">
          <cell r="A345">
            <v>39715</v>
          </cell>
          <cell r="B345">
            <v>39715</v>
          </cell>
          <cell r="C345" t="str">
            <v>Past</v>
          </cell>
          <cell r="D345">
            <v>77.73</v>
          </cell>
          <cell r="E345" t="e">
            <v>#N/A</v>
          </cell>
          <cell r="F345" t="e">
            <v>#N/A</v>
          </cell>
          <cell r="G345" t="e">
            <v>#N/A</v>
          </cell>
          <cell r="H345" t="e">
            <v>#N/A</v>
          </cell>
          <cell r="I345" t="e">
            <v>#N/A</v>
          </cell>
          <cell r="J345" t="e">
            <v>#N/A</v>
          </cell>
          <cell r="K345" t="e">
            <v>#N/A</v>
          </cell>
          <cell r="L345" t="e">
            <v>#N/A</v>
          </cell>
          <cell r="M345" t="e">
            <v>#N/A</v>
          </cell>
          <cell r="N345" t="e">
            <v>#N/A</v>
          </cell>
          <cell r="O345" t="e">
            <v>#N/A</v>
          </cell>
          <cell r="P345">
            <v>77.73</v>
          </cell>
          <cell r="Q345">
            <v>4.6689539999999994</v>
          </cell>
          <cell r="R345" t="e">
            <v>#N/A</v>
          </cell>
        </row>
        <row r="346">
          <cell r="A346">
            <v>39716</v>
          </cell>
          <cell r="B346">
            <v>39716</v>
          </cell>
          <cell r="C346" t="str">
            <v>Past</v>
          </cell>
          <cell r="D346">
            <v>76.739999999999995</v>
          </cell>
          <cell r="E346" t="e">
            <v>#N/A</v>
          </cell>
          <cell r="F346" t="e">
            <v>#N/A</v>
          </cell>
          <cell r="G346" t="e">
            <v>#N/A</v>
          </cell>
          <cell r="H346" t="e">
            <v>#N/A</v>
          </cell>
          <cell r="I346" t="e">
            <v>#N/A</v>
          </cell>
          <cell r="J346" t="e">
            <v>#N/A</v>
          </cell>
          <cell r="K346" t="e">
            <v>#N/A</v>
          </cell>
          <cell r="L346" t="e">
            <v>#N/A</v>
          </cell>
          <cell r="M346" t="e">
            <v>#N/A</v>
          </cell>
          <cell r="N346" t="e">
            <v>#N/A</v>
          </cell>
          <cell r="O346" t="e">
            <v>#N/A</v>
          </cell>
          <cell r="P346">
            <v>76.739999999999995</v>
          </cell>
          <cell r="Q346">
            <v>4.6660389999999996</v>
          </cell>
          <cell r="R346" t="e">
            <v>#N/A</v>
          </cell>
        </row>
        <row r="347">
          <cell r="A347">
            <v>39717</v>
          </cell>
          <cell r="B347">
            <v>39717</v>
          </cell>
          <cell r="C347" t="str">
            <v>Past</v>
          </cell>
          <cell r="D347">
            <v>74.92</v>
          </cell>
          <cell r="E347" t="e">
            <v>#N/A</v>
          </cell>
          <cell r="F347" t="e">
            <v>#N/A</v>
          </cell>
          <cell r="G347" t="e">
            <v>#N/A</v>
          </cell>
          <cell r="H347" t="e">
            <v>#N/A</v>
          </cell>
          <cell r="I347" t="e">
            <v>#N/A</v>
          </cell>
          <cell r="J347" t="e">
            <v>#N/A</v>
          </cell>
          <cell r="K347" t="e">
            <v>#N/A</v>
          </cell>
          <cell r="L347" t="e">
            <v>#N/A</v>
          </cell>
          <cell r="M347" t="e">
            <v>#N/A</v>
          </cell>
          <cell r="N347" t="e">
            <v>#N/A</v>
          </cell>
          <cell r="O347" t="e">
            <v>#N/A</v>
          </cell>
          <cell r="P347">
            <v>74.92</v>
          </cell>
          <cell r="Q347">
            <v>6.1400419999999993</v>
          </cell>
          <cell r="R347" t="e">
            <v>#N/A</v>
          </cell>
        </row>
        <row r="348">
          <cell r="A348">
            <v>39720</v>
          </cell>
          <cell r="B348">
            <v>39720</v>
          </cell>
          <cell r="C348" t="str">
            <v>Past</v>
          </cell>
          <cell r="D348">
            <v>71.400000000000006</v>
          </cell>
          <cell r="E348" t="e">
            <v>#N/A</v>
          </cell>
          <cell r="F348" t="e">
            <v>#N/A</v>
          </cell>
          <cell r="G348" t="e">
            <v>#N/A</v>
          </cell>
          <cell r="H348" t="e">
            <v>#N/A</v>
          </cell>
          <cell r="I348" t="e">
            <v>#N/A</v>
          </cell>
          <cell r="J348" t="e">
            <v>#N/A</v>
          </cell>
          <cell r="K348" t="e">
            <v>#N/A</v>
          </cell>
          <cell r="L348" t="e">
            <v>#N/A</v>
          </cell>
          <cell r="M348" t="e">
            <v>#N/A</v>
          </cell>
          <cell r="N348" t="e">
            <v>#N/A</v>
          </cell>
          <cell r="O348" t="e">
            <v>#N/A</v>
          </cell>
          <cell r="P348">
            <v>71.400000000000006</v>
          </cell>
          <cell r="Q348">
            <v>5.5684589999999998</v>
          </cell>
          <cell r="R348" t="e">
            <v>#N/A</v>
          </cell>
        </row>
        <row r="349">
          <cell r="A349">
            <v>39721</v>
          </cell>
          <cell r="B349">
            <v>39721</v>
          </cell>
          <cell r="C349" t="str">
            <v>Past</v>
          </cell>
          <cell r="D349">
            <v>73.62</v>
          </cell>
          <cell r="E349" t="e">
            <v>#N/A</v>
          </cell>
          <cell r="F349" t="e">
            <v>#N/A</v>
          </cell>
          <cell r="G349" t="e">
            <v>#N/A</v>
          </cell>
          <cell r="H349" t="e">
            <v>#N/A</v>
          </cell>
          <cell r="I349" t="e">
            <v>#N/A</v>
          </cell>
          <cell r="J349" t="e">
            <v>#N/A</v>
          </cell>
          <cell r="K349" t="e">
            <v>#N/A</v>
          </cell>
          <cell r="L349" t="e">
            <v>#N/A</v>
          </cell>
          <cell r="M349" t="e">
            <v>#N/A</v>
          </cell>
          <cell r="N349" t="e">
            <v>#N/A</v>
          </cell>
          <cell r="O349" t="e">
            <v>#N/A</v>
          </cell>
          <cell r="P349">
            <v>73.62</v>
          </cell>
          <cell r="Q349">
            <v>3.7996649999999996</v>
          </cell>
          <cell r="R349" t="e">
            <v>#N/A</v>
          </cell>
        </row>
        <row r="350">
          <cell r="A350">
            <v>39722</v>
          </cell>
          <cell r="B350">
            <v>39722</v>
          </cell>
          <cell r="C350" t="str">
            <v>Past</v>
          </cell>
          <cell r="D350">
            <v>72</v>
          </cell>
          <cell r="E350" t="e">
            <v>#N/A</v>
          </cell>
          <cell r="F350" t="e">
            <v>#N/A</v>
          </cell>
          <cell r="G350" t="e">
            <v>#N/A</v>
          </cell>
          <cell r="H350" t="e">
            <v>#N/A</v>
          </cell>
          <cell r="I350" t="e">
            <v>#N/A</v>
          </cell>
          <cell r="J350" t="e">
            <v>#N/A</v>
          </cell>
          <cell r="K350" t="e">
            <v>#N/A</v>
          </cell>
          <cell r="L350" t="e">
            <v>#N/A</v>
          </cell>
          <cell r="M350" t="e">
            <v>#N/A</v>
          </cell>
          <cell r="N350" t="e">
            <v>#N/A</v>
          </cell>
          <cell r="O350" t="e">
            <v>#N/A</v>
          </cell>
          <cell r="P350">
            <v>72</v>
          </cell>
          <cell r="Q350">
            <v>4.4272400000000003</v>
          </cell>
          <cell r="R350" t="e">
            <v>#N/A</v>
          </cell>
        </row>
        <row r="351">
          <cell r="A351">
            <v>39723</v>
          </cell>
          <cell r="B351">
            <v>39723</v>
          </cell>
          <cell r="C351" t="str">
            <v>Past</v>
          </cell>
          <cell r="D351">
            <v>70.260000000000005</v>
          </cell>
          <cell r="E351" t="e">
            <v>#N/A</v>
          </cell>
          <cell r="F351" t="e">
            <v>#N/A</v>
          </cell>
          <cell r="G351" t="e">
            <v>#N/A</v>
          </cell>
          <cell r="H351" t="e">
            <v>#N/A</v>
          </cell>
          <cell r="I351" t="e">
            <v>#N/A</v>
          </cell>
          <cell r="J351" t="e">
            <v>#N/A</v>
          </cell>
          <cell r="K351" t="e">
            <v>#N/A</v>
          </cell>
          <cell r="L351" t="e">
            <v>#N/A</v>
          </cell>
          <cell r="M351" t="e">
            <v>#N/A</v>
          </cell>
          <cell r="N351" t="e">
            <v>#N/A</v>
          </cell>
          <cell r="O351" t="e">
            <v>#N/A</v>
          </cell>
          <cell r="P351">
            <v>70.260000000000005</v>
          </cell>
          <cell r="Q351">
            <v>5.5225439999999999</v>
          </cell>
          <cell r="R351" t="e">
            <v>#N/A</v>
          </cell>
        </row>
        <row r="352">
          <cell r="A352">
            <v>39724</v>
          </cell>
          <cell r="B352">
            <v>39724</v>
          </cell>
          <cell r="C352" t="str">
            <v>Past</v>
          </cell>
          <cell r="D352">
            <v>68.2</v>
          </cell>
          <cell r="E352" t="e">
            <v>#N/A</v>
          </cell>
          <cell r="F352" t="e">
            <v>#N/A</v>
          </cell>
          <cell r="G352" t="e">
            <v>#N/A</v>
          </cell>
          <cell r="H352" t="e">
            <v>#N/A</v>
          </cell>
          <cell r="I352" t="e">
            <v>#N/A</v>
          </cell>
          <cell r="J352" t="e">
            <v>#N/A</v>
          </cell>
          <cell r="K352" t="e">
            <v>#N/A</v>
          </cell>
          <cell r="L352" t="e">
            <v>#N/A</v>
          </cell>
          <cell r="M352" t="e">
            <v>#N/A</v>
          </cell>
          <cell r="N352" t="e">
            <v>#N/A</v>
          </cell>
          <cell r="O352" t="e">
            <v>#N/A</v>
          </cell>
          <cell r="P352">
            <v>68.2</v>
          </cell>
          <cell r="Q352">
            <v>4.8322069999999995</v>
          </cell>
          <cell r="R352" t="e">
            <v>#N/A</v>
          </cell>
        </row>
        <row r="353">
          <cell r="A353">
            <v>39727</v>
          </cell>
          <cell r="B353">
            <v>39727</v>
          </cell>
          <cell r="C353" t="str">
            <v>Past</v>
          </cell>
          <cell r="D353">
            <v>65.92</v>
          </cell>
          <cell r="E353" t="e">
            <v>#N/A</v>
          </cell>
          <cell r="F353" t="e">
            <v>#N/A</v>
          </cell>
          <cell r="G353" t="e">
            <v>#N/A</v>
          </cell>
          <cell r="H353" t="e">
            <v>#N/A</v>
          </cell>
          <cell r="I353" t="e">
            <v>#N/A</v>
          </cell>
          <cell r="J353" t="e">
            <v>#N/A</v>
          </cell>
          <cell r="K353" t="e">
            <v>#N/A</v>
          </cell>
          <cell r="L353" t="e">
            <v>#N/A</v>
          </cell>
          <cell r="M353" t="e">
            <v>#N/A</v>
          </cell>
          <cell r="N353" t="e">
            <v>#N/A</v>
          </cell>
          <cell r="O353" t="e">
            <v>#N/A</v>
          </cell>
          <cell r="P353">
            <v>65.92</v>
          </cell>
          <cell r="Q353">
            <v>4.804494</v>
          </cell>
          <cell r="R353" t="e">
            <v>#N/A</v>
          </cell>
        </row>
        <row r="354">
          <cell r="A354">
            <v>39728</v>
          </cell>
          <cell r="B354">
            <v>39728</v>
          </cell>
          <cell r="C354" t="str">
            <v>Past</v>
          </cell>
          <cell r="D354">
            <v>65.05</v>
          </cell>
          <cell r="E354" t="e">
            <v>#N/A</v>
          </cell>
          <cell r="F354" t="e">
            <v>#N/A</v>
          </cell>
          <cell r="G354" t="e">
            <v>#N/A</v>
          </cell>
          <cell r="H354" t="e">
            <v>#N/A</v>
          </cell>
          <cell r="I354" t="e">
            <v>#N/A</v>
          </cell>
          <cell r="J354" t="e">
            <v>#N/A</v>
          </cell>
          <cell r="K354" t="e">
            <v>#N/A</v>
          </cell>
          <cell r="L354" t="e">
            <v>#N/A</v>
          </cell>
          <cell r="M354" t="e">
            <v>#N/A</v>
          </cell>
          <cell r="N354" t="e">
            <v>#N/A</v>
          </cell>
          <cell r="O354" t="e">
            <v>#N/A</v>
          </cell>
          <cell r="P354">
            <v>65.05</v>
          </cell>
          <cell r="Q354">
            <v>4.3419889999999999</v>
          </cell>
          <cell r="R354" t="e">
            <v>#N/A</v>
          </cell>
        </row>
        <row r="355">
          <cell r="A355">
            <v>39729</v>
          </cell>
          <cell r="B355">
            <v>39729</v>
          </cell>
          <cell r="C355" t="str">
            <v>Past</v>
          </cell>
          <cell r="D355">
            <v>65.56</v>
          </cell>
          <cell r="E355" t="e">
            <v>#N/A</v>
          </cell>
          <cell r="F355" t="e">
            <v>#N/A</v>
          </cell>
          <cell r="G355" t="e">
            <v>#N/A</v>
          </cell>
          <cell r="H355" t="e">
            <v>#N/A</v>
          </cell>
          <cell r="I355" t="e">
            <v>#N/A</v>
          </cell>
          <cell r="J355" t="e">
            <v>#N/A</v>
          </cell>
          <cell r="K355" t="e">
            <v>#N/A</v>
          </cell>
          <cell r="L355" t="e">
            <v>#N/A</v>
          </cell>
          <cell r="M355" t="e">
            <v>#N/A</v>
          </cell>
          <cell r="N355" t="e">
            <v>#N/A</v>
          </cell>
          <cell r="O355" t="e">
            <v>#N/A</v>
          </cell>
          <cell r="P355">
            <v>65.56</v>
          </cell>
          <cell r="Q355">
            <v>5.4856700000000007</v>
          </cell>
          <cell r="R355" t="e">
            <v>#N/A</v>
          </cell>
        </row>
        <row r="356">
          <cell r="A356">
            <v>39730</v>
          </cell>
          <cell r="B356">
            <v>39730</v>
          </cell>
          <cell r="C356" t="str">
            <v>Past</v>
          </cell>
          <cell r="D356">
            <v>60.92</v>
          </cell>
          <cell r="E356" t="e">
            <v>#N/A</v>
          </cell>
          <cell r="F356" t="e">
            <v>#N/A</v>
          </cell>
          <cell r="G356" t="e">
            <v>#N/A</v>
          </cell>
          <cell r="H356" t="e">
            <v>#N/A</v>
          </cell>
          <cell r="I356" t="e">
            <v>#N/A</v>
          </cell>
          <cell r="J356" t="e">
            <v>#N/A</v>
          </cell>
          <cell r="K356" t="e">
            <v>#N/A</v>
          </cell>
          <cell r="L356" t="e">
            <v>#N/A</v>
          </cell>
          <cell r="M356" t="e">
            <v>#N/A</v>
          </cell>
          <cell r="N356" t="e">
            <v>#N/A</v>
          </cell>
          <cell r="O356" t="e">
            <v>#N/A</v>
          </cell>
          <cell r="P356">
            <v>60.92</v>
          </cell>
          <cell r="Q356">
            <v>4.1366459999999998</v>
          </cell>
          <cell r="R356" t="e">
            <v>#N/A</v>
          </cell>
        </row>
        <row r="357">
          <cell r="A357">
            <v>39731</v>
          </cell>
          <cell r="B357">
            <v>39731</v>
          </cell>
          <cell r="C357" t="str">
            <v>Past</v>
          </cell>
          <cell r="D357">
            <v>57.39</v>
          </cell>
          <cell r="E357" t="e">
            <v>#N/A</v>
          </cell>
          <cell r="F357" t="e">
            <v>#N/A</v>
          </cell>
          <cell r="G357" t="e">
            <v>#N/A</v>
          </cell>
          <cell r="H357" t="e">
            <v>#N/A</v>
          </cell>
          <cell r="I357" t="e">
            <v>#N/A</v>
          </cell>
          <cell r="J357" t="e">
            <v>#N/A</v>
          </cell>
          <cell r="K357" t="e">
            <v>#N/A</v>
          </cell>
          <cell r="L357" t="e">
            <v>#N/A</v>
          </cell>
          <cell r="M357" t="e">
            <v>#N/A</v>
          </cell>
          <cell r="N357" t="e">
            <v>#N/A</v>
          </cell>
          <cell r="O357" t="e">
            <v>#N/A</v>
          </cell>
          <cell r="P357">
            <v>57.39</v>
          </cell>
          <cell r="Q357">
            <v>7.3768689999999992</v>
          </cell>
          <cell r="R357" t="e">
            <v>#N/A</v>
          </cell>
        </row>
        <row r="358">
          <cell r="A358">
            <v>39734</v>
          </cell>
          <cell r="B358">
            <v>39734</v>
          </cell>
          <cell r="C358" t="str">
            <v>Past</v>
          </cell>
          <cell r="D358">
            <v>61.1</v>
          </cell>
          <cell r="E358" t="e">
            <v>#N/A</v>
          </cell>
          <cell r="F358" t="e">
            <v>#N/A</v>
          </cell>
          <cell r="G358" t="e">
            <v>#N/A</v>
          </cell>
          <cell r="H358" t="e">
            <v>#N/A</v>
          </cell>
          <cell r="I358" t="e">
            <v>#N/A</v>
          </cell>
          <cell r="J358" t="e">
            <v>#N/A</v>
          </cell>
          <cell r="K358" t="e">
            <v>#N/A</v>
          </cell>
          <cell r="L358" t="e">
            <v>#N/A</v>
          </cell>
          <cell r="M358" t="e">
            <v>#N/A</v>
          </cell>
          <cell r="N358" t="e">
            <v>#N/A</v>
          </cell>
          <cell r="O358" t="e">
            <v>#N/A</v>
          </cell>
          <cell r="P358">
            <v>61.1</v>
          </cell>
          <cell r="Q358">
            <v>3.5602559999999999</v>
          </cell>
          <cell r="R358" t="e">
            <v>#N/A</v>
          </cell>
        </row>
        <row r="359">
          <cell r="A359">
            <v>39735</v>
          </cell>
          <cell r="B359">
            <v>39735</v>
          </cell>
          <cell r="C359" t="str">
            <v>Past</v>
          </cell>
          <cell r="D359">
            <v>61.49</v>
          </cell>
          <cell r="E359" t="e">
            <v>#N/A</v>
          </cell>
          <cell r="F359" t="e">
            <v>#N/A</v>
          </cell>
          <cell r="G359" t="e">
            <v>#N/A</v>
          </cell>
          <cell r="H359" t="e">
            <v>#N/A</v>
          </cell>
          <cell r="I359" t="e">
            <v>#N/A</v>
          </cell>
          <cell r="J359" t="e">
            <v>#N/A</v>
          </cell>
          <cell r="K359" t="e">
            <v>#N/A</v>
          </cell>
          <cell r="L359" t="e">
            <v>#N/A</v>
          </cell>
          <cell r="M359" t="e">
            <v>#N/A</v>
          </cell>
          <cell r="N359" t="e">
            <v>#N/A</v>
          </cell>
          <cell r="O359" t="e">
            <v>#N/A</v>
          </cell>
          <cell r="P359">
            <v>61.49</v>
          </cell>
          <cell r="Q359">
            <v>4.3580360000000002</v>
          </cell>
          <cell r="R359" t="e">
            <v>#N/A</v>
          </cell>
        </row>
        <row r="360">
          <cell r="A360">
            <v>39736</v>
          </cell>
          <cell r="B360">
            <v>39736</v>
          </cell>
          <cell r="C360" t="str">
            <v>Past</v>
          </cell>
          <cell r="D360">
            <v>56.36</v>
          </cell>
          <cell r="E360" t="e">
            <v>#N/A</v>
          </cell>
          <cell r="F360" t="e">
            <v>#N/A</v>
          </cell>
          <cell r="G360" t="e">
            <v>#N/A</v>
          </cell>
          <cell r="H360" t="e">
            <v>#N/A</v>
          </cell>
          <cell r="I360" t="e">
            <v>#N/A</v>
          </cell>
          <cell r="J360" t="e">
            <v>#N/A</v>
          </cell>
          <cell r="K360" t="e">
            <v>#N/A</v>
          </cell>
          <cell r="L360" t="e">
            <v>#N/A</v>
          </cell>
          <cell r="M360" t="e">
            <v>#N/A</v>
          </cell>
          <cell r="N360" t="e">
            <v>#N/A</v>
          </cell>
          <cell r="O360" t="e">
            <v>#N/A</v>
          </cell>
          <cell r="P360">
            <v>56.36</v>
          </cell>
          <cell r="Q360">
            <v>3.1787289999999997</v>
          </cell>
          <cell r="R360" t="e">
            <v>#N/A</v>
          </cell>
        </row>
        <row r="361">
          <cell r="A361">
            <v>39737</v>
          </cell>
          <cell r="B361">
            <v>39737</v>
          </cell>
          <cell r="C361" t="str">
            <v>Past</v>
          </cell>
          <cell r="D361">
            <v>59.84</v>
          </cell>
          <cell r="E361" t="e">
            <v>#N/A</v>
          </cell>
          <cell r="F361" t="e">
            <v>#N/A</v>
          </cell>
          <cell r="G361" t="e">
            <v>#N/A</v>
          </cell>
          <cell r="H361" t="e">
            <v>#N/A</v>
          </cell>
          <cell r="I361" t="e">
            <v>#N/A</v>
          </cell>
          <cell r="J361" t="e">
            <v>#N/A</v>
          </cell>
          <cell r="K361" t="e">
            <v>#N/A</v>
          </cell>
          <cell r="L361" t="e">
            <v>#N/A</v>
          </cell>
          <cell r="M361" t="e">
            <v>#N/A</v>
          </cell>
          <cell r="N361" t="e">
            <v>#N/A</v>
          </cell>
          <cell r="O361" t="e">
            <v>#N/A</v>
          </cell>
          <cell r="P361">
            <v>59.84</v>
          </cell>
          <cell r="Q361">
            <v>4.29894</v>
          </cell>
          <cell r="R361" t="e">
            <v>#N/A</v>
          </cell>
        </row>
        <row r="362">
          <cell r="A362">
            <v>39738</v>
          </cell>
          <cell r="B362">
            <v>39738</v>
          </cell>
          <cell r="C362" t="str">
            <v>Past</v>
          </cell>
          <cell r="D362">
            <v>57.12</v>
          </cell>
          <cell r="E362" t="e">
            <v>#N/A</v>
          </cell>
          <cell r="F362" t="e">
            <v>#N/A</v>
          </cell>
          <cell r="G362" t="e">
            <v>#N/A</v>
          </cell>
          <cell r="H362" t="e">
            <v>#N/A</v>
          </cell>
          <cell r="I362" t="e">
            <v>#N/A</v>
          </cell>
          <cell r="J362" t="e">
            <v>#N/A</v>
          </cell>
          <cell r="K362" t="e">
            <v>#N/A</v>
          </cell>
          <cell r="L362" t="e">
            <v>#N/A</v>
          </cell>
          <cell r="M362" t="e">
            <v>#N/A</v>
          </cell>
          <cell r="N362" t="e">
            <v>#N/A</v>
          </cell>
          <cell r="O362" t="e">
            <v>#N/A</v>
          </cell>
          <cell r="P362">
            <v>57.12</v>
          </cell>
          <cell r="Q362">
            <v>4.0817679999999994</v>
          </cell>
          <cell r="R362" t="e">
            <v>#N/A</v>
          </cell>
        </row>
        <row r="363">
          <cell r="A363">
            <v>39741</v>
          </cell>
          <cell r="B363">
            <v>39741</v>
          </cell>
          <cell r="C363" t="str">
            <v>Past</v>
          </cell>
          <cell r="D363">
            <v>60.3</v>
          </cell>
          <cell r="E363" t="e">
            <v>#N/A</v>
          </cell>
          <cell r="F363" t="e">
            <v>#N/A</v>
          </cell>
          <cell r="G363" t="e">
            <v>#N/A</v>
          </cell>
          <cell r="H363" t="e">
            <v>#N/A</v>
          </cell>
          <cell r="I363" t="e">
            <v>#N/A</v>
          </cell>
          <cell r="J363" t="e">
            <v>#N/A</v>
          </cell>
          <cell r="K363" t="e">
            <v>#N/A</v>
          </cell>
          <cell r="L363" t="e">
            <v>#N/A</v>
          </cell>
          <cell r="M363" t="e">
            <v>#N/A</v>
          </cell>
          <cell r="N363" t="e">
            <v>#N/A</v>
          </cell>
          <cell r="O363" t="e">
            <v>#N/A</v>
          </cell>
          <cell r="P363">
            <v>60.3</v>
          </cell>
          <cell r="Q363">
            <v>2.4349029999999998</v>
          </cell>
          <cell r="R363" t="e">
            <v>#N/A</v>
          </cell>
        </row>
        <row r="364">
          <cell r="A364">
            <v>39742</v>
          </cell>
          <cell r="B364">
            <v>39742</v>
          </cell>
          <cell r="C364" t="str">
            <v>Past</v>
          </cell>
          <cell r="D364">
            <v>55.48</v>
          </cell>
          <cell r="E364" t="e">
            <v>#N/A</v>
          </cell>
          <cell r="F364" t="e">
            <v>#N/A</v>
          </cell>
          <cell r="G364" t="e">
            <v>#N/A</v>
          </cell>
          <cell r="H364" t="e">
            <v>#N/A</v>
          </cell>
          <cell r="I364" t="e">
            <v>#N/A</v>
          </cell>
          <cell r="J364" t="e">
            <v>#N/A</v>
          </cell>
          <cell r="K364" t="e">
            <v>#N/A</v>
          </cell>
          <cell r="L364" t="e">
            <v>#N/A</v>
          </cell>
          <cell r="M364" t="e">
            <v>#N/A</v>
          </cell>
          <cell r="N364" t="e">
            <v>#N/A</v>
          </cell>
          <cell r="O364" t="e">
            <v>#N/A</v>
          </cell>
          <cell r="P364">
            <v>55.48</v>
          </cell>
          <cell r="Q364">
            <v>4.293939</v>
          </cell>
          <cell r="R364" t="e">
            <v>#N/A</v>
          </cell>
        </row>
        <row r="365">
          <cell r="A365">
            <v>39743</v>
          </cell>
          <cell r="B365">
            <v>39743</v>
          </cell>
          <cell r="C365" t="str">
            <v>Past</v>
          </cell>
          <cell r="D365">
            <v>56.49</v>
          </cell>
          <cell r="E365" t="e">
            <v>#N/A</v>
          </cell>
          <cell r="F365" t="e">
            <v>#N/A</v>
          </cell>
          <cell r="G365" t="e">
            <v>#N/A</v>
          </cell>
          <cell r="H365" t="e">
            <v>#N/A</v>
          </cell>
          <cell r="I365" t="e">
            <v>#N/A</v>
          </cell>
          <cell r="J365" t="e">
            <v>#N/A</v>
          </cell>
          <cell r="K365" t="e">
            <v>#N/A</v>
          </cell>
          <cell r="L365" t="e">
            <v>#N/A</v>
          </cell>
          <cell r="M365" t="e">
            <v>#N/A</v>
          </cell>
          <cell r="N365" t="e">
            <v>#N/A</v>
          </cell>
          <cell r="O365" t="e">
            <v>#N/A</v>
          </cell>
          <cell r="P365">
            <v>56.49</v>
          </cell>
          <cell r="Q365">
            <v>5.4015759999999995</v>
          </cell>
          <cell r="R365" t="e">
            <v>#N/A</v>
          </cell>
        </row>
        <row r="366">
          <cell r="A366">
            <v>39744</v>
          </cell>
          <cell r="B366">
            <v>39744</v>
          </cell>
          <cell r="C366" t="str">
            <v>Past</v>
          </cell>
          <cell r="D366">
            <v>56.96</v>
          </cell>
          <cell r="E366" t="e">
            <v>#N/A</v>
          </cell>
          <cell r="F366" t="e">
            <v>#N/A</v>
          </cell>
          <cell r="G366" t="e">
            <v>#N/A</v>
          </cell>
          <cell r="H366" t="e">
            <v>#N/A</v>
          </cell>
          <cell r="I366" t="e">
            <v>#N/A</v>
          </cell>
          <cell r="J366" t="e">
            <v>#N/A</v>
          </cell>
          <cell r="K366" t="e">
            <v>#N/A</v>
          </cell>
          <cell r="L366" t="e">
            <v>#N/A</v>
          </cell>
          <cell r="M366" t="e">
            <v>#N/A</v>
          </cell>
          <cell r="N366" t="e">
            <v>#N/A</v>
          </cell>
          <cell r="O366" t="e">
            <v>#N/A</v>
          </cell>
          <cell r="P366">
            <v>56.96</v>
          </cell>
          <cell r="Q366">
            <v>3.507927</v>
          </cell>
          <cell r="R366" t="e">
            <v>#N/A</v>
          </cell>
        </row>
        <row r="367">
          <cell r="A367">
            <v>39745</v>
          </cell>
          <cell r="B367">
            <v>39745</v>
          </cell>
          <cell r="C367" t="str">
            <v>Past</v>
          </cell>
          <cell r="D367">
            <v>54.7</v>
          </cell>
          <cell r="E367" t="e">
            <v>#N/A</v>
          </cell>
          <cell r="F367" t="e">
            <v>#N/A</v>
          </cell>
          <cell r="G367" t="e">
            <v>#N/A</v>
          </cell>
          <cell r="H367" t="e">
            <v>#N/A</v>
          </cell>
          <cell r="I367" t="e">
            <v>#N/A</v>
          </cell>
          <cell r="J367" t="e">
            <v>#N/A</v>
          </cell>
          <cell r="K367" t="e">
            <v>#N/A</v>
          </cell>
          <cell r="L367" t="e">
            <v>#N/A</v>
          </cell>
          <cell r="M367" t="e">
            <v>#N/A</v>
          </cell>
          <cell r="N367" t="e">
            <v>#N/A</v>
          </cell>
          <cell r="O367" t="e">
            <v>#N/A</v>
          </cell>
          <cell r="P367">
            <v>54.7</v>
          </cell>
          <cell r="Q367">
            <v>3.3447429999999998</v>
          </cell>
          <cell r="R367" t="e">
            <v>#N/A</v>
          </cell>
        </row>
        <row r="368">
          <cell r="A368">
            <v>39748</v>
          </cell>
          <cell r="B368">
            <v>39748</v>
          </cell>
          <cell r="C368" t="str">
            <v>Past</v>
          </cell>
          <cell r="D368">
            <v>52.27</v>
          </cell>
          <cell r="E368" t="e">
            <v>#N/A</v>
          </cell>
          <cell r="F368" t="e">
            <v>#N/A</v>
          </cell>
          <cell r="G368" t="e">
            <v>#N/A</v>
          </cell>
          <cell r="H368" t="e">
            <v>#N/A</v>
          </cell>
          <cell r="I368" t="e">
            <v>#N/A</v>
          </cell>
          <cell r="J368" t="e">
            <v>#N/A</v>
          </cell>
          <cell r="K368" t="e">
            <v>#N/A</v>
          </cell>
          <cell r="L368" t="e">
            <v>#N/A</v>
          </cell>
          <cell r="M368" t="e">
            <v>#N/A</v>
          </cell>
          <cell r="N368" t="e">
            <v>#N/A</v>
          </cell>
          <cell r="O368" t="e">
            <v>#N/A</v>
          </cell>
          <cell r="P368">
            <v>52.27</v>
          </cell>
          <cell r="Q368">
            <v>3.4433149999999997</v>
          </cell>
          <cell r="R368" t="e">
            <v>#N/A</v>
          </cell>
        </row>
        <row r="369">
          <cell r="A369">
            <v>39749</v>
          </cell>
          <cell r="B369">
            <v>39749</v>
          </cell>
          <cell r="C369" t="str">
            <v>Past</v>
          </cell>
          <cell r="D369">
            <v>58.4</v>
          </cell>
          <cell r="E369" t="e">
            <v>#N/A</v>
          </cell>
          <cell r="F369" t="e">
            <v>#N/A</v>
          </cell>
          <cell r="G369" t="e">
            <v>#N/A</v>
          </cell>
          <cell r="H369" t="e">
            <v>#N/A</v>
          </cell>
          <cell r="I369" t="e">
            <v>#N/A</v>
          </cell>
          <cell r="J369" t="e">
            <v>#N/A</v>
          </cell>
          <cell r="K369" t="e">
            <v>#N/A</v>
          </cell>
          <cell r="L369" t="e">
            <v>#N/A</v>
          </cell>
          <cell r="M369" t="e">
            <v>#N/A</v>
          </cell>
          <cell r="N369" t="e">
            <v>#N/A</v>
          </cell>
          <cell r="O369" t="e">
            <v>#N/A</v>
          </cell>
          <cell r="P369">
            <v>58.4</v>
          </cell>
          <cell r="Q369">
            <v>2.796513</v>
          </cell>
          <cell r="R369" t="e">
            <v>#N/A</v>
          </cell>
        </row>
        <row r="370">
          <cell r="A370">
            <v>39750</v>
          </cell>
          <cell r="B370">
            <v>39750</v>
          </cell>
          <cell r="C370" t="str">
            <v>Past</v>
          </cell>
          <cell r="D370">
            <v>58.24</v>
          </cell>
          <cell r="E370" t="e">
            <v>#N/A</v>
          </cell>
          <cell r="F370" t="e">
            <v>#N/A</v>
          </cell>
          <cell r="G370" t="e">
            <v>#N/A</v>
          </cell>
          <cell r="H370" t="e">
            <v>#N/A</v>
          </cell>
          <cell r="I370" t="e">
            <v>#N/A</v>
          </cell>
          <cell r="J370" t="e">
            <v>#N/A</v>
          </cell>
          <cell r="K370" t="e">
            <v>#N/A</v>
          </cell>
          <cell r="L370" t="e">
            <v>#N/A</v>
          </cell>
          <cell r="M370" t="e">
            <v>#N/A</v>
          </cell>
          <cell r="N370" t="e">
            <v>#N/A</v>
          </cell>
          <cell r="O370" t="e">
            <v>#N/A</v>
          </cell>
          <cell r="P370">
            <v>58.24</v>
          </cell>
          <cell r="Q370">
            <v>3.8592</v>
          </cell>
          <cell r="R370" t="e">
            <v>#N/A</v>
          </cell>
        </row>
        <row r="371">
          <cell r="A371">
            <v>39751</v>
          </cell>
          <cell r="B371">
            <v>39751</v>
          </cell>
          <cell r="C371" t="str">
            <v>Past</v>
          </cell>
          <cell r="D371">
            <v>60.71</v>
          </cell>
          <cell r="E371" t="e">
            <v>#N/A</v>
          </cell>
          <cell r="F371" t="e">
            <v>#N/A</v>
          </cell>
          <cell r="G371" t="e">
            <v>#N/A</v>
          </cell>
          <cell r="H371" t="e">
            <v>#N/A</v>
          </cell>
          <cell r="I371" t="e">
            <v>#N/A</v>
          </cell>
          <cell r="J371" t="e">
            <v>#N/A</v>
          </cell>
          <cell r="K371" t="e">
            <v>#N/A</v>
          </cell>
          <cell r="L371" t="e">
            <v>#N/A</v>
          </cell>
          <cell r="M371" t="e">
            <v>#N/A</v>
          </cell>
          <cell r="N371" t="e">
            <v>#N/A</v>
          </cell>
          <cell r="O371" t="e">
            <v>#N/A</v>
          </cell>
          <cell r="P371">
            <v>60.71</v>
          </cell>
          <cell r="Q371">
            <v>2.9009369999999999</v>
          </cell>
          <cell r="R371" t="e">
            <v>#N/A</v>
          </cell>
        </row>
        <row r="372">
          <cell r="A372">
            <v>39752</v>
          </cell>
          <cell r="B372">
            <v>39752</v>
          </cell>
          <cell r="C372" t="str">
            <v>Past</v>
          </cell>
          <cell r="D372">
            <v>60.32</v>
          </cell>
          <cell r="E372" t="e">
            <v>#N/A</v>
          </cell>
          <cell r="F372" t="e">
            <v>#N/A</v>
          </cell>
          <cell r="G372" t="e">
            <v>#N/A</v>
          </cell>
          <cell r="H372" t="e">
            <v>#N/A</v>
          </cell>
          <cell r="I372" t="e">
            <v>#N/A</v>
          </cell>
          <cell r="J372" t="e">
            <v>#N/A</v>
          </cell>
          <cell r="K372" t="e">
            <v>#N/A</v>
          </cell>
          <cell r="L372" t="e">
            <v>#N/A</v>
          </cell>
          <cell r="M372" t="e">
            <v>#N/A</v>
          </cell>
          <cell r="N372" t="e">
            <v>#N/A</v>
          </cell>
          <cell r="O372" t="e">
            <v>#N/A</v>
          </cell>
          <cell r="P372">
            <v>60.32</v>
          </cell>
          <cell r="Q372">
            <v>2.8072309999999998</v>
          </cell>
          <cell r="R372" t="e">
            <v>#N/A</v>
          </cell>
        </row>
        <row r="373">
          <cell r="A373">
            <v>39755</v>
          </cell>
          <cell r="B373">
            <v>39755</v>
          </cell>
          <cell r="C373" t="str">
            <v>Past</v>
          </cell>
          <cell r="D373">
            <v>61.02</v>
          </cell>
          <cell r="E373" t="e">
            <v>#N/A</v>
          </cell>
          <cell r="F373" t="e">
            <v>#N/A</v>
          </cell>
          <cell r="G373" t="e">
            <v>#N/A</v>
          </cell>
          <cell r="H373" t="e">
            <v>#N/A</v>
          </cell>
          <cell r="I373" t="e">
            <v>#N/A</v>
          </cell>
          <cell r="J373" t="e">
            <v>#N/A</v>
          </cell>
          <cell r="K373" t="e">
            <v>#N/A</v>
          </cell>
          <cell r="L373" t="e">
            <v>#N/A</v>
          </cell>
          <cell r="M373" t="e">
            <v>#N/A</v>
          </cell>
          <cell r="N373" t="e">
            <v>#N/A</v>
          </cell>
          <cell r="O373" t="e">
            <v>#N/A</v>
          </cell>
          <cell r="P373">
            <v>61.02</v>
          </cell>
          <cell r="Q373">
            <v>2.367718</v>
          </cell>
          <cell r="R373" t="e">
            <v>#N/A</v>
          </cell>
        </row>
        <row r="374">
          <cell r="A374">
            <v>39756</v>
          </cell>
          <cell r="B374">
            <v>39756</v>
          </cell>
          <cell r="C374" t="str">
            <v>Past</v>
          </cell>
          <cell r="D374">
            <v>63.77</v>
          </cell>
          <cell r="E374" t="e">
            <v>#N/A</v>
          </cell>
          <cell r="F374" t="e">
            <v>#N/A</v>
          </cell>
          <cell r="G374" t="e">
            <v>#N/A</v>
          </cell>
          <cell r="H374" t="e">
            <v>#N/A</v>
          </cell>
          <cell r="I374" t="e">
            <v>#N/A</v>
          </cell>
          <cell r="J374" t="e">
            <v>#N/A</v>
          </cell>
          <cell r="K374" t="e">
            <v>#N/A</v>
          </cell>
          <cell r="L374" t="e">
            <v>#N/A</v>
          </cell>
          <cell r="M374" t="e">
            <v>#N/A</v>
          </cell>
          <cell r="N374" t="e">
            <v>#N/A</v>
          </cell>
          <cell r="O374" t="e">
            <v>#N/A</v>
          </cell>
          <cell r="P374">
            <v>63.77</v>
          </cell>
          <cell r="Q374">
            <v>2.575269</v>
          </cell>
          <cell r="R374" t="e">
            <v>#N/A</v>
          </cell>
        </row>
        <row r="375">
          <cell r="A375">
            <v>39757</v>
          </cell>
          <cell r="B375">
            <v>39757</v>
          </cell>
          <cell r="C375" t="str">
            <v>Past</v>
          </cell>
          <cell r="D375">
            <v>62.11</v>
          </cell>
          <cell r="E375" t="e">
            <v>#N/A</v>
          </cell>
          <cell r="F375" t="e">
            <v>#N/A</v>
          </cell>
          <cell r="G375" t="e">
            <v>#N/A</v>
          </cell>
          <cell r="H375" t="e">
            <v>#N/A</v>
          </cell>
          <cell r="I375" t="e">
            <v>#N/A</v>
          </cell>
          <cell r="J375" t="e">
            <v>#N/A</v>
          </cell>
          <cell r="K375" t="e">
            <v>#N/A</v>
          </cell>
          <cell r="L375" t="e">
            <v>#N/A</v>
          </cell>
          <cell r="M375" t="e">
            <v>#N/A</v>
          </cell>
          <cell r="N375" t="e">
            <v>#N/A</v>
          </cell>
          <cell r="O375" t="e">
            <v>#N/A</v>
          </cell>
          <cell r="P375">
            <v>62.11</v>
          </cell>
          <cell r="Q375">
            <v>3.462672</v>
          </cell>
          <cell r="R375" t="e">
            <v>#N/A</v>
          </cell>
        </row>
        <row r="376">
          <cell r="A376">
            <v>39758</v>
          </cell>
          <cell r="B376">
            <v>39758</v>
          </cell>
          <cell r="C376" t="str">
            <v>Past</v>
          </cell>
          <cell r="D376">
            <v>60.43</v>
          </cell>
          <cell r="E376" t="e">
            <v>#N/A</v>
          </cell>
          <cell r="F376" t="e">
            <v>#N/A</v>
          </cell>
          <cell r="G376" t="e">
            <v>#N/A</v>
          </cell>
          <cell r="H376" t="e">
            <v>#N/A</v>
          </cell>
          <cell r="I376" t="e">
            <v>#N/A</v>
          </cell>
          <cell r="J376" t="e">
            <v>#N/A</v>
          </cell>
          <cell r="K376" t="e">
            <v>#N/A</v>
          </cell>
          <cell r="L376" t="e">
            <v>#N/A</v>
          </cell>
          <cell r="M376" t="e">
            <v>#N/A</v>
          </cell>
          <cell r="N376" t="e">
            <v>#N/A</v>
          </cell>
          <cell r="O376" t="e">
            <v>#N/A</v>
          </cell>
          <cell r="P376">
            <v>60.43</v>
          </cell>
          <cell r="Q376">
            <v>4.9695999999999998</v>
          </cell>
          <cell r="R376" t="e">
            <v>#N/A</v>
          </cell>
        </row>
        <row r="377">
          <cell r="A377">
            <v>39759</v>
          </cell>
          <cell r="B377">
            <v>39759</v>
          </cell>
          <cell r="C377" t="str">
            <v>Past</v>
          </cell>
          <cell r="D377">
            <v>61.43</v>
          </cell>
          <cell r="E377" t="e">
            <v>#N/A</v>
          </cell>
          <cell r="F377" t="e">
            <v>#N/A</v>
          </cell>
          <cell r="G377" t="e">
            <v>#N/A</v>
          </cell>
          <cell r="H377" t="e">
            <v>#N/A</v>
          </cell>
          <cell r="I377" t="e">
            <v>#N/A</v>
          </cell>
          <cell r="J377" t="e">
            <v>#N/A</v>
          </cell>
          <cell r="K377" t="e">
            <v>#N/A</v>
          </cell>
          <cell r="L377" t="e">
            <v>#N/A</v>
          </cell>
          <cell r="M377" t="e">
            <v>#N/A</v>
          </cell>
          <cell r="N377" t="e">
            <v>#N/A</v>
          </cell>
          <cell r="O377" t="e">
            <v>#N/A</v>
          </cell>
          <cell r="P377">
            <v>61.43</v>
          </cell>
          <cell r="Q377">
            <v>3.0067300000000001</v>
          </cell>
          <cell r="R377" t="e">
            <v>#N/A</v>
          </cell>
        </row>
        <row r="378">
          <cell r="A378">
            <v>39762</v>
          </cell>
          <cell r="B378">
            <v>39762</v>
          </cell>
          <cell r="C378" t="str">
            <v>Past</v>
          </cell>
          <cell r="D378">
            <v>60.93</v>
          </cell>
          <cell r="E378" t="e">
            <v>#N/A</v>
          </cell>
          <cell r="F378" t="e">
            <v>#N/A</v>
          </cell>
          <cell r="G378" t="e">
            <v>#N/A</v>
          </cell>
          <cell r="H378" t="e">
            <v>#N/A</v>
          </cell>
          <cell r="I378" t="e">
            <v>#N/A</v>
          </cell>
          <cell r="J378" t="e">
            <v>#N/A</v>
          </cell>
          <cell r="K378" t="e">
            <v>#N/A</v>
          </cell>
          <cell r="L378" t="e">
            <v>#N/A</v>
          </cell>
          <cell r="M378" t="e">
            <v>#N/A</v>
          </cell>
          <cell r="N378" t="e">
            <v>#N/A</v>
          </cell>
          <cell r="O378" t="e">
            <v>#N/A</v>
          </cell>
          <cell r="P378">
            <v>60.93</v>
          </cell>
          <cell r="Q378">
            <v>2.1400200000000003</v>
          </cell>
          <cell r="R378" t="e">
            <v>#N/A</v>
          </cell>
        </row>
        <row r="379">
          <cell r="A379">
            <v>39763</v>
          </cell>
          <cell r="B379">
            <v>39763</v>
          </cell>
          <cell r="C379" t="str">
            <v>Past</v>
          </cell>
          <cell r="D379">
            <v>59.29</v>
          </cell>
          <cell r="E379" t="e">
            <v>#N/A</v>
          </cell>
          <cell r="F379" t="e">
            <v>#N/A</v>
          </cell>
          <cell r="G379" t="e">
            <v>#N/A</v>
          </cell>
          <cell r="H379" t="e">
            <v>#N/A</v>
          </cell>
          <cell r="I379" t="e">
            <v>#N/A</v>
          </cell>
          <cell r="J379" t="e">
            <v>#N/A</v>
          </cell>
          <cell r="K379" t="e">
            <v>#N/A</v>
          </cell>
          <cell r="L379" t="e">
            <v>#N/A</v>
          </cell>
          <cell r="M379" t="e">
            <v>#N/A</v>
          </cell>
          <cell r="N379" t="e">
            <v>#N/A</v>
          </cell>
          <cell r="O379" t="e">
            <v>#N/A</v>
          </cell>
          <cell r="P379">
            <v>59.29</v>
          </cell>
          <cell r="Q379">
            <v>2.5001869999999999</v>
          </cell>
          <cell r="R379" t="e">
            <v>#N/A</v>
          </cell>
        </row>
        <row r="380">
          <cell r="A380">
            <v>39764</v>
          </cell>
          <cell r="B380">
            <v>39764</v>
          </cell>
          <cell r="C380" t="str">
            <v>Past</v>
          </cell>
          <cell r="D380">
            <v>57.55</v>
          </cell>
          <cell r="E380" t="e">
            <v>#N/A</v>
          </cell>
          <cell r="F380" t="e">
            <v>#N/A</v>
          </cell>
          <cell r="G380" t="e">
            <v>#N/A</v>
          </cell>
          <cell r="H380" t="e">
            <v>#N/A</v>
          </cell>
          <cell r="I380" t="e">
            <v>#N/A</v>
          </cell>
          <cell r="J380" t="e">
            <v>#N/A</v>
          </cell>
          <cell r="K380" t="e">
            <v>#N/A</v>
          </cell>
          <cell r="L380" t="e">
            <v>#N/A</v>
          </cell>
          <cell r="M380" t="e">
            <v>#N/A</v>
          </cell>
          <cell r="N380" t="e">
            <v>#N/A</v>
          </cell>
          <cell r="O380" t="e">
            <v>#N/A</v>
          </cell>
          <cell r="P380">
            <v>57.55</v>
          </cell>
          <cell r="Q380">
            <v>4.0722149999999999</v>
          </cell>
          <cell r="R380" t="e">
            <v>#N/A</v>
          </cell>
        </row>
        <row r="381">
          <cell r="A381">
            <v>39765</v>
          </cell>
          <cell r="B381">
            <v>39765</v>
          </cell>
          <cell r="C381" t="str">
            <v>Past</v>
          </cell>
          <cell r="D381">
            <v>56.2</v>
          </cell>
          <cell r="E381" t="e">
            <v>#N/A</v>
          </cell>
          <cell r="F381" t="e">
            <v>#N/A</v>
          </cell>
          <cell r="G381" t="e">
            <v>#N/A</v>
          </cell>
          <cell r="H381" t="e">
            <v>#N/A</v>
          </cell>
          <cell r="I381" t="e">
            <v>#N/A</v>
          </cell>
          <cell r="J381" t="e">
            <v>#N/A</v>
          </cell>
          <cell r="K381" t="e">
            <v>#N/A</v>
          </cell>
          <cell r="L381" t="e">
            <v>#N/A</v>
          </cell>
          <cell r="M381" t="e">
            <v>#N/A</v>
          </cell>
          <cell r="N381" t="e">
            <v>#N/A</v>
          </cell>
          <cell r="O381" t="e">
            <v>#N/A</v>
          </cell>
          <cell r="P381">
            <v>56.2</v>
          </cell>
          <cell r="Q381">
            <v>7.8744229999999993</v>
          </cell>
          <cell r="R381" t="e">
            <v>#N/A</v>
          </cell>
        </row>
        <row r="382">
          <cell r="A382">
            <v>39766</v>
          </cell>
          <cell r="B382">
            <v>39766</v>
          </cell>
          <cell r="C382" t="str">
            <v>Past</v>
          </cell>
          <cell r="D382">
            <v>55.51</v>
          </cell>
          <cell r="E382" t="e">
            <v>#N/A</v>
          </cell>
          <cell r="F382" t="e">
            <v>#N/A</v>
          </cell>
          <cell r="G382" t="e">
            <v>#N/A</v>
          </cell>
          <cell r="H382" t="e">
            <v>#N/A</v>
          </cell>
          <cell r="I382" t="e">
            <v>#N/A</v>
          </cell>
          <cell r="J382" t="e">
            <v>#N/A</v>
          </cell>
          <cell r="K382" t="e">
            <v>#N/A</v>
          </cell>
          <cell r="L382" t="e">
            <v>#N/A</v>
          </cell>
          <cell r="M382" t="e">
            <v>#N/A</v>
          </cell>
          <cell r="N382" t="e">
            <v>#N/A</v>
          </cell>
          <cell r="O382" t="e">
            <v>#N/A</v>
          </cell>
          <cell r="P382">
            <v>55.51</v>
          </cell>
          <cell r="Q382">
            <v>3.4969519999999998</v>
          </cell>
          <cell r="R382" t="e">
            <v>#N/A</v>
          </cell>
        </row>
        <row r="383">
          <cell r="A383">
            <v>39769</v>
          </cell>
          <cell r="B383">
            <v>39769</v>
          </cell>
          <cell r="C383" t="str">
            <v>Past</v>
          </cell>
          <cell r="D383">
            <v>53.51</v>
          </cell>
          <cell r="E383" t="e">
            <v>#N/A</v>
          </cell>
          <cell r="F383" t="e">
            <v>#N/A</v>
          </cell>
          <cell r="G383" t="e">
            <v>#N/A</v>
          </cell>
          <cell r="H383" t="e">
            <v>#N/A</v>
          </cell>
          <cell r="I383" t="e">
            <v>#N/A</v>
          </cell>
          <cell r="J383" t="e">
            <v>#N/A</v>
          </cell>
          <cell r="K383" t="e">
            <v>#N/A</v>
          </cell>
          <cell r="L383" t="e">
            <v>#N/A</v>
          </cell>
          <cell r="M383" t="e">
            <v>#N/A</v>
          </cell>
          <cell r="N383" t="e">
            <v>#N/A</v>
          </cell>
          <cell r="O383" t="e">
            <v>#N/A</v>
          </cell>
          <cell r="P383">
            <v>53.51</v>
          </cell>
          <cell r="Q383">
            <v>3.5855100000000002</v>
          </cell>
          <cell r="R383" t="e">
            <v>#N/A</v>
          </cell>
        </row>
        <row r="384">
          <cell r="A384">
            <v>39770</v>
          </cell>
          <cell r="B384">
            <v>39770</v>
          </cell>
          <cell r="C384" t="str">
            <v>Past</v>
          </cell>
          <cell r="D384">
            <v>53.24</v>
          </cell>
          <cell r="E384" t="e">
            <v>#N/A</v>
          </cell>
          <cell r="F384" t="e">
            <v>#N/A</v>
          </cell>
          <cell r="G384" t="e">
            <v>#N/A</v>
          </cell>
          <cell r="H384" t="e">
            <v>#N/A</v>
          </cell>
          <cell r="I384" t="e">
            <v>#N/A</v>
          </cell>
          <cell r="J384" t="e">
            <v>#N/A</v>
          </cell>
          <cell r="K384" t="e">
            <v>#N/A</v>
          </cell>
          <cell r="L384" t="e">
            <v>#N/A</v>
          </cell>
          <cell r="M384" t="e">
            <v>#N/A</v>
          </cell>
          <cell r="N384" t="e">
            <v>#N/A</v>
          </cell>
          <cell r="O384" t="e">
            <v>#N/A</v>
          </cell>
          <cell r="P384">
            <v>53.24</v>
          </cell>
          <cell r="Q384">
            <v>4.4429150000000002</v>
          </cell>
          <cell r="R384" t="e">
            <v>#N/A</v>
          </cell>
        </row>
        <row r="385">
          <cell r="A385">
            <v>39771</v>
          </cell>
          <cell r="B385">
            <v>39771</v>
          </cell>
          <cell r="C385" t="str">
            <v>Past</v>
          </cell>
          <cell r="D385">
            <v>49.25</v>
          </cell>
          <cell r="E385" t="e">
            <v>#N/A</v>
          </cell>
          <cell r="F385" t="e">
            <v>#N/A</v>
          </cell>
          <cell r="G385" t="e">
            <v>#N/A</v>
          </cell>
          <cell r="H385" t="e">
            <v>#N/A</v>
          </cell>
          <cell r="I385" t="e">
            <v>#N/A</v>
          </cell>
          <cell r="J385" t="e">
            <v>#N/A</v>
          </cell>
          <cell r="K385" t="e">
            <v>#N/A</v>
          </cell>
          <cell r="L385" t="e">
            <v>#N/A</v>
          </cell>
          <cell r="M385" t="e">
            <v>#N/A</v>
          </cell>
          <cell r="N385" t="e">
            <v>#N/A</v>
          </cell>
          <cell r="O385" t="e">
            <v>#N/A</v>
          </cell>
          <cell r="P385">
            <v>49.25</v>
          </cell>
          <cell r="Q385">
            <v>4.6047739999999999</v>
          </cell>
          <cell r="R385" t="e">
            <v>#N/A</v>
          </cell>
        </row>
        <row r="386">
          <cell r="A386">
            <v>39772</v>
          </cell>
          <cell r="B386">
            <v>39772</v>
          </cell>
          <cell r="C386" t="str">
            <v>Past</v>
          </cell>
          <cell r="D386">
            <v>48.8</v>
          </cell>
          <cell r="E386" t="e">
            <v>#N/A</v>
          </cell>
          <cell r="F386" t="e">
            <v>#N/A</v>
          </cell>
          <cell r="G386" t="e">
            <v>#N/A</v>
          </cell>
          <cell r="H386" t="e">
            <v>#N/A</v>
          </cell>
          <cell r="I386" t="e">
            <v>#N/A</v>
          </cell>
          <cell r="J386" t="e">
            <v>#N/A</v>
          </cell>
          <cell r="K386" t="e">
            <v>#N/A</v>
          </cell>
          <cell r="L386" t="e">
            <v>#N/A</v>
          </cell>
          <cell r="M386" t="e">
            <v>#N/A</v>
          </cell>
          <cell r="N386" t="e">
            <v>#N/A</v>
          </cell>
          <cell r="O386" t="e">
            <v>#N/A</v>
          </cell>
          <cell r="P386">
            <v>48.8</v>
          </cell>
          <cell r="Q386">
            <v>5.7138269999999993</v>
          </cell>
          <cell r="R386" t="e">
            <v>#N/A</v>
          </cell>
        </row>
        <row r="387">
          <cell r="A387">
            <v>39773</v>
          </cell>
          <cell r="B387">
            <v>39773</v>
          </cell>
          <cell r="C387" t="str">
            <v>Past</v>
          </cell>
          <cell r="D387">
            <v>51.95</v>
          </cell>
          <cell r="E387" t="e">
            <v>#N/A</v>
          </cell>
          <cell r="F387" t="e">
            <v>#N/A</v>
          </cell>
          <cell r="G387" t="e">
            <v>#N/A</v>
          </cell>
          <cell r="H387" t="e">
            <v>#N/A</v>
          </cell>
          <cell r="I387" t="e">
            <v>#N/A</v>
          </cell>
          <cell r="J387" t="e">
            <v>#N/A</v>
          </cell>
          <cell r="K387" t="e">
            <v>#N/A</v>
          </cell>
          <cell r="L387" t="e">
            <v>#N/A</v>
          </cell>
          <cell r="M387" t="e">
            <v>#N/A</v>
          </cell>
          <cell r="N387" t="e">
            <v>#N/A</v>
          </cell>
          <cell r="O387" t="e">
            <v>#N/A</v>
          </cell>
          <cell r="P387">
            <v>51.95</v>
          </cell>
          <cell r="Q387">
            <v>4.7500669999999996</v>
          </cell>
          <cell r="R387" t="e">
            <v>#N/A</v>
          </cell>
        </row>
        <row r="388">
          <cell r="A388">
            <v>39776</v>
          </cell>
          <cell r="B388">
            <v>39776</v>
          </cell>
          <cell r="C388" t="str">
            <v>Past</v>
          </cell>
          <cell r="D388">
            <v>50.21</v>
          </cell>
          <cell r="E388" t="e">
            <v>#N/A</v>
          </cell>
          <cell r="F388" t="e">
            <v>#N/A</v>
          </cell>
          <cell r="G388" t="e">
            <v>#N/A</v>
          </cell>
          <cell r="H388" t="e">
            <v>#N/A</v>
          </cell>
          <cell r="I388" t="e">
            <v>#N/A</v>
          </cell>
          <cell r="J388" t="e">
            <v>#N/A</v>
          </cell>
          <cell r="K388" t="e">
            <v>#N/A</v>
          </cell>
          <cell r="L388" t="e">
            <v>#N/A</v>
          </cell>
          <cell r="M388" t="e">
            <v>#N/A</v>
          </cell>
          <cell r="N388" t="e">
            <v>#N/A</v>
          </cell>
          <cell r="O388" t="e">
            <v>#N/A</v>
          </cell>
          <cell r="P388">
            <v>50.21</v>
          </cell>
          <cell r="Q388">
            <v>4.7202999999999999</v>
          </cell>
          <cell r="R388" t="e">
            <v>#N/A</v>
          </cell>
        </row>
        <row r="389">
          <cell r="A389">
            <v>39777</v>
          </cell>
          <cell r="B389">
            <v>39777</v>
          </cell>
          <cell r="C389" t="str">
            <v>Past</v>
          </cell>
          <cell r="D389">
            <v>49.61</v>
          </cell>
          <cell r="E389" t="e">
            <v>#N/A</v>
          </cell>
          <cell r="F389" t="e">
            <v>#N/A</v>
          </cell>
          <cell r="G389" t="e">
            <v>#N/A</v>
          </cell>
          <cell r="H389" t="e">
            <v>#N/A</v>
          </cell>
          <cell r="I389" t="e">
            <v>#N/A</v>
          </cell>
          <cell r="J389" t="e">
            <v>#N/A</v>
          </cell>
          <cell r="K389" t="e">
            <v>#N/A</v>
          </cell>
          <cell r="L389" t="e">
            <v>#N/A</v>
          </cell>
          <cell r="M389" t="e">
            <v>#N/A</v>
          </cell>
          <cell r="N389" t="e">
            <v>#N/A</v>
          </cell>
          <cell r="O389" t="e">
            <v>#N/A</v>
          </cell>
          <cell r="P389">
            <v>49.61</v>
          </cell>
          <cell r="Q389">
            <v>4.5674450000000002</v>
          </cell>
          <cell r="R389" t="e">
            <v>#N/A</v>
          </cell>
        </row>
        <row r="390">
          <cell r="A390">
            <v>39778</v>
          </cell>
          <cell r="B390">
            <v>39778</v>
          </cell>
          <cell r="C390" t="str">
            <v>Past</v>
          </cell>
          <cell r="D390">
            <v>50.18</v>
          </cell>
          <cell r="E390" t="e">
            <v>#N/A</v>
          </cell>
          <cell r="F390" t="e">
            <v>#N/A</v>
          </cell>
          <cell r="G390" t="e">
            <v>#N/A</v>
          </cell>
          <cell r="H390" t="e">
            <v>#N/A</v>
          </cell>
          <cell r="I390" t="e">
            <v>#N/A</v>
          </cell>
          <cell r="J390" t="e">
            <v>#N/A</v>
          </cell>
          <cell r="K390" t="e">
            <v>#N/A</v>
          </cell>
          <cell r="L390" t="e">
            <v>#N/A</v>
          </cell>
          <cell r="M390" t="e">
            <v>#N/A</v>
          </cell>
          <cell r="N390" t="e">
            <v>#N/A</v>
          </cell>
          <cell r="O390" t="e">
            <v>#N/A</v>
          </cell>
          <cell r="P390">
            <v>50.18</v>
          </cell>
          <cell r="Q390">
            <v>3.3379800000000004</v>
          </cell>
          <cell r="R390" t="e">
            <v>#N/A</v>
          </cell>
        </row>
        <row r="391">
          <cell r="A391">
            <v>39780</v>
          </cell>
          <cell r="B391">
            <v>39780</v>
          </cell>
          <cell r="C391" t="str">
            <v>Past</v>
          </cell>
          <cell r="D391">
            <v>51.67</v>
          </cell>
          <cell r="E391" t="e">
            <v>#N/A</v>
          </cell>
          <cell r="F391" t="e">
            <v>#N/A</v>
          </cell>
          <cell r="G391" t="e">
            <v>#N/A</v>
          </cell>
          <cell r="H391" t="e">
            <v>#N/A</v>
          </cell>
          <cell r="I391" t="e">
            <v>#N/A</v>
          </cell>
          <cell r="J391" t="e">
            <v>#N/A</v>
          </cell>
          <cell r="K391" t="e">
            <v>#N/A</v>
          </cell>
          <cell r="L391" t="e">
            <v>#N/A</v>
          </cell>
          <cell r="M391" t="e">
            <v>#N/A</v>
          </cell>
          <cell r="N391" t="e">
            <v>#N/A</v>
          </cell>
          <cell r="O391" t="e">
            <v>#N/A</v>
          </cell>
          <cell r="P391">
            <v>51.67</v>
          </cell>
          <cell r="Q391">
            <v>1.0572109999999999</v>
          </cell>
          <cell r="R391" t="e">
            <v>#N/A</v>
          </cell>
        </row>
        <row r="392">
          <cell r="A392">
            <v>39783</v>
          </cell>
          <cell r="B392">
            <v>39783</v>
          </cell>
          <cell r="C392" t="str">
            <v>Past</v>
          </cell>
          <cell r="D392">
            <v>48.54</v>
          </cell>
          <cell r="E392" t="e">
            <v>#N/A</v>
          </cell>
          <cell r="F392" t="e">
            <v>#N/A</v>
          </cell>
          <cell r="G392" t="e">
            <v>#N/A</v>
          </cell>
          <cell r="H392" t="e">
            <v>#N/A</v>
          </cell>
          <cell r="I392" t="e">
            <v>#N/A</v>
          </cell>
          <cell r="J392" t="e">
            <v>#N/A</v>
          </cell>
          <cell r="K392" t="e">
            <v>#N/A</v>
          </cell>
          <cell r="L392" t="e">
            <v>#N/A</v>
          </cell>
          <cell r="M392" t="e">
            <v>#N/A</v>
          </cell>
          <cell r="N392" t="e">
            <v>#N/A</v>
          </cell>
          <cell r="O392" t="e">
            <v>#N/A</v>
          </cell>
          <cell r="P392">
            <v>48.54</v>
          </cell>
          <cell r="Q392">
            <v>3.290829</v>
          </cell>
          <cell r="R392" t="e">
            <v>#N/A</v>
          </cell>
        </row>
        <row r="393">
          <cell r="A393">
            <v>39784</v>
          </cell>
          <cell r="B393">
            <v>39784</v>
          </cell>
          <cell r="C393" t="str">
            <v>Past</v>
          </cell>
          <cell r="D393">
            <v>50.11</v>
          </cell>
          <cell r="E393" t="e">
            <v>#N/A</v>
          </cell>
          <cell r="F393" t="e">
            <v>#N/A</v>
          </cell>
          <cell r="G393" t="e">
            <v>#N/A</v>
          </cell>
          <cell r="H393" t="e">
            <v>#N/A</v>
          </cell>
          <cell r="I393" t="e">
            <v>#N/A</v>
          </cell>
          <cell r="J393" t="e">
            <v>#N/A</v>
          </cell>
          <cell r="K393" t="e">
            <v>#N/A</v>
          </cell>
          <cell r="L393" t="e">
            <v>#N/A</v>
          </cell>
          <cell r="M393" t="e">
            <v>#N/A</v>
          </cell>
          <cell r="N393" t="e">
            <v>#N/A</v>
          </cell>
          <cell r="O393" t="e">
            <v>#N/A</v>
          </cell>
          <cell r="P393">
            <v>50.11</v>
          </cell>
          <cell r="Q393">
            <v>3.0361229999999999</v>
          </cell>
          <cell r="R393" t="e">
            <v>#N/A</v>
          </cell>
        </row>
        <row r="394">
          <cell r="A394">
            <v>39785</v>
          </cell>
          <cell r="B394">
            <v>39785</v>
          </cell>
          <cell r="C394" t="str">
            <v>Past</v>
          </cell>
          <cell r="D394">
            <v>51.65</v>
          </cell>
          <cell r="E394" t="e">
            <v>#N/A</v>
          </cell>
          <cell r="F394" t="e">
            <v>#N/A</v>
          </cell>
          <cell r="G394" t="e">
            <v>#N/A</v>
          </cell>
          <cell r="H394" t="e">
            <v>#N/A</v>
          </cell>
          <cell r="I394" t="e">
            <v>#N/A</v>
          </cell>
          <cell r="J394" t="e">
            <v>#N/A</v>
          </cell>
          <cell r="K394" t="e">
            <v>#N/A</v>
          </cell>
          <cell r="L394" t="e">
            <v>#N/A</v>
          </cell>
          <cell r="M394" t="e">
            <v>#N/A</v>
          </cell>
          <cell r="N394" t="e">
            <v>#N/A</v>
          </cell>
          <cell r="O394" t="e">
            <v>#N/A</v>
          </cell>
          <cell r="P394">
            <v>51.65</v>
          </cell>
          <cell r="Q394">
            <v>3.4667000000000003</v>
          </cell>
          <cell r="R394" t="e">
            <v>#N/A</v>
          </cell>
        </row>
        <row r="395">
          <cell r="A395">
            <v>39786</v>
          </cell>
          <cell r="B395">
            <v>39786</v>
          </cell>
          <cell r="C395" t="str">
            <v>Past</v>
          </cell>
          <cell r="D395">
            <v>49.95</v>
          </cell>
          <cell r="E395" t="e">
            <v>#N/A</v>
          </cell>
          <cell r="F395" t="e">
            <v>#N/A</v>
          </cell>
          <cell r="G395" t="e">
            <v>#N/A</v>
          </cell>
          <cell r="H395" t="e">
            <v>#N/A</v>
          </cell>
          <cell r="I395" t="e">
            <v>#N/A</v>
          </cell>
          <cell r="J395" t="e">
            <v>#N/A</v>
          </cell>
          <cell r="K395" t="e">
            <v>#N/A</v>
          </cell>
          <cell r="L395" t="e">
            <v>#N/A</v>
          </cell>
          <cell r="M395" t="e">
            <v>#N/A</v>
          </cell>
          <cell r="N395" t="e">
            <v>#N/A</v>
          </cell>
          <cell r="O395" t="e">
            <v>#N/A</v>
          </cell>
          <cell r="P395">
            <v>49.95</v>
          </cell>
          <cell r="Q395">
            <v>3.253546</v>
          </cell>
          <cell r="R395" t="e">
            <v>#N/A</v>
          </cell>
        </row>
        <row r="396">
          <cell r="A396">
            <v>39787</v>
          </cell>
          <cell r="B396">
            <v>39787</v>
          </cell>
          <cell r="C396" t="str">
            <v>Past</v>
          </cell>
          <cell r="D396">
            <v>51.5</v>
          </cell>
          <cell r="E396" t="e">
            <v>#N/A</v>
          </cell>
          <cell r="F396" t="e">
            <v>#N/A</v>
          </cell>
          <cell r="G396" t="e">
            <v>#N/A</v>
          </cell>
          <cell r="H396" t="e">
            <v>#N/A</v>
          </cell>
          <cell r="I396" t="e">
            <v>#N/A</v>
          </cell>
          <cell r="J396" t="e">
            <v>#N/A</v>
          </cell>
          <cell r="K396" t="e">
            <v>#N/A</v>
          </cell>
          <cell r="L396" t="e">
            <v>#N/A</v>
          </cell>
          <cell r="M396" t="e">
            <v>#N/A</v>
          </cell>
          <cell r="N396" t="e">
            <v>#N/A</v>
          </cell>
          <cell r="O396" t="e">
            <v>#N/A</v>
          </cell>
          <cell r="P396">
            <v>51.5</v>
          </cell>
          <cell r="Q396">
            <v>3.0085869999999999</v>
          </cell>
          <cell r="R396" t="e">
            <v>#N/A</v>
          </cell>
        </row>
        <row r="397">
          <cell r="A397">
            <v>39790</v>
          </cell>
          <cell r="B397">
            <v>39790</v>
          </cell>
          <cell r="C397" t="str">
            <v>Past</v>
          </cell>
          <cell r="D397">
            <v>54.23</v>
          </cell>
          <cell r="E397" t="e">
            <v>#N/A</v>
          </cell>
          <cell r="F397" t="e">
            <v>#N/A</v>
          </cell>
          <cell r="G397" t="e">
            <v>#N/A</v>
          </cell>
          <cell r="H397" t="e">
            <v>#N/A</v>
          </cell>
          <cell r="I397" t="e">
            <v>#N/A</v>
          </cell>
          <cell r="J397" t="e">
            <v>#N/A</v>
          </cell>
          <cell r="K397" t="e">
            <v>#N/A</v>
          </cell>
          <cell r="L397" t="e">
            <v>#N/A</v>
          </cell>
          <cell r="M397" t="e">
            <v>#N/A</v>
          </cell>
          <cell r="N397" t="e">
            <v>#N/A</v>
          </cell>
          <cell r="O397" t="e">
            <v>#N/A</v>
          </cell>
          <cell r="P397">
            <v>54.23</v>
          </cell>
          <cell r="Q397">
            <v>3.7161949999999999</v>
          </cell>
          <cell r="R397" t="e">
            <v>#N/A</v>
          </cell>
        </row>
        <row r="398">
          <cell r="A398">
            <v>39791</v>
          </cell>
          <cell r="B398">
            <v>39791</v>
          </cell>
          <cell r="C398" t="str">
            <v>Past</v>
          </cell>
          <cell r="D398">
            <v>54.25</v>
          </cell>
          <cell r="E398" t="e">
            <v>#N/A</v>
          </cell>
          <cell r="F398" t="e">
            <v>#N/A</v>
          </cell>
          <cell r="G398" t="e">
            <v>#N/A</v>
          </cell>
          <cell r="H398" t="e">
            <v>#N/A</v>
          </cell>
          <cell r="I398" t="e">
            <v>#N/A</v>
          </cell>
          <cell r="J398" t="e">
            <v>#N/A</v>
          </cell>
          <cell r="K398" t="e">
            <v>#N/A</v>
          </cell>
          <cell r="L398" t="e">
            <v>#N/A</v>
          </cell>
          <cell r="M398" t="e">
            <v>#N/A</v>
          </cell>
          <cell r="N398" t="e">
            <v>#N/A</v>
          </cell>
          <cell r="O398" t="e">
            <v>#N/A</v>
          </cell>
          <cell r="P398">
            <v>54.25</v>
          </cell>
          <cell r="Q398">
            <v>2.7077589999999998</v>
          </cell>
          <cell r="R398" t="e">
            <v>#N/A</v>
          </cell>
        </row>
        <row r="399">
          <cell r="A399">
            <v>39792</v>
          </cell>
          <cell r="B399">
            <v>39792</v>
          </cell>
          <cell r="C399" t="str">
            <v>Past</v>
          </cell>
          <cell r="D399">
            <v>54.29</v>
          </cell>
          <cell r="E399" t="e">
            <v>#N/A</v>
          </cell>
          <cell r="F399" t="e">
            <v>#N/A</v>
          </cell>
          <cell r="G399" t="e">
            <v>#N/A</v>
          </cell>
          <cell r="H399" t="e">
            <v>#N/A</v>
          </cell>
          <cell r="I399" t="e">
            <v>#N/A</v>
          </cell>
          <cell r="J399" t="e">
            <v>#N/A</v>
          </cell>
          <cell r="K399" t="e">
            <v>#N/A</v>
          </cell>
          <cell r="L399" t="e">
            <v>#N/A</v>
          </cell>
          <cell r="M399" t="e">
            <v>#N/A</v>
          </cell>
          <cell r="N399" t="e">
            <v>#N/A</v>
          </cell>
          <cell r="O399" t="e">
            <v>#N/A</v>
          </cell>
          <cell r="P399">
            <v>54.29</v>
          </cell>
          <cell r="Q399">
            <v>2.7727589999999998</v>
          </cell>
          <cell r="R399" t="e">
            <v>#N/A</v>
          </cell>
        </row>
        <row r="400">
          <cell r="A400">
            <v>39793</v>
          </cell>
          <cell r="B400">
            <v>39793</v>
          </cell>
          <cell r="C400" t="str">
            <v>Past</v>
          </cell>
          <cell r="D400">
            <v>53.81</v>
          </cell>
          <cell r="E400" t="e">
            <v>#N/A</v>
          </cell>
          <cell r="F400" t="e">
            <v>#N/A</v>
          </cell>
          <cell r="G400" t="e">
            <v>#N/A</v>
          </cell>
          <cell r="H400" t="e">
            <v>#N/A</v>
          </cell>
          <cell r="I400" t="e">
            <v>#N/A</v>
          </cell>
          <cell r="J400" t="e">
            <v>#N/A</v>
          </cell>
          <cell r="K400" t="e">
            <v>#N/A</v>
          </cell>
          <cell r="L400" t="e">
            <v>#N/A</v>
          </cell>
          <cell r="M400" t="e">
            <v>#N/A</v>
          </cell>
          <cell r="N400" t="e">
            <v>#N/A</v>
          </cell>
          <cell r="O400" t="e">
            <v>#N/A</v>
          </cell>
          <cell r="P400">
            <v>53.81</v>
          </cell>
          <cell r="Q400">
            <v>2.4783939999999998</v>
          </cell>
          <cell r="R400" t="e">
            <v>#N/A</v>
          </cell>
        </row>
        <row r="401">
          <cell r="A401">
            <v>39794</v>
          </cell>
          <cell r="B401">
            <v>39794</v>
          </cell>
          <cell r="C401" t="str">
            <v>Past</v>
          </cell>
          <cell r="D401">
            <v>53.28</v>
          </cell>
          <cell r="E401" t="e">
            <v>#N/A</v>
          </cell>
          <cell r="F401" t="e">
            <v>#N/A</v>
          </cell>
          <cell r="G401" t="e">
            <v>#N/A</v>
          </cell>
          <cell r="H401" t="e">
            <v>#N/A</v>
          </cell>
          <cell r="I401" t="e">
            <v>#N/A</v>
          </cell>
          <cell r="J401" t="e">
            <v>#N/A</v>
          </cell>
          <cell r="K401" t="e">
            <v>#N/A</v>
          </cell>
          <cell r="L401" t="e">
            <v>#N/A</v>
          </cell>
          <cell r="M401" t="e">
            <v>#N/A</v>
          </cell>
          <cell r="N401" t="e">
            <v>#N/A</v>
          </cell>
          <cell r="O401" t="e">
            <v>#N/A</v>
          </cell>
          <cell r="P401">
            <v>53.28</v>
          </cell>
          <cell r="Q401">
            <v>2.8755439999999997</v>
          </cell>
          <cell r="R401" t="e">
            <v>#N/A</v>
          </cell>
        </row>
        <row r="402">
          <cell r="A402">
            <v>39797</v>
          </cell>
          <cell r="B402">
            <v>39797</v>
          </cell>
          <cell r="C402" t="str">
            <v>Past</v>
          </cell>
          <cell r="D402">
            <v>53.11</v>
          </cell>
          <cell r="E402" t="e">
            <v>#N/A</v>
          </cell>
          <cell r="F402" t="e">
            <v>#N/A</v>
          </cell>
          <cell r="G402" t="e">
            <v>#N/A</v>
          </cell>
          <cell r="H402" t="e">
            <v>#N/A</v>
          </cell>
          <cell r="I402" t="e">
            <v>#N/A</v>
          </cell>
          <cell r="J402" t="e">
            <v>#N/A</v>
          </cell>
          <cell r="K402" t="e">
            <v>#N/A</v>
          </cell>
          <cell r="L402" t="e">
            <v>#N/A</v>
          </cell>
          <cell r="M402" t="e">
            <v>#N/A</v>
          </cell>
          <cell r="N402" t="e">
            <v>#N/A</v>
          </cell>
          <cell r="O402" t="e">
            <v>#N/A</v>
          </cell>
          <cell r="P402">
            <v>53.11</v>
          </cell>
          <cell r="Q402">
            <v>2.7179319999999998</v>
          </cell>
          <cell r="R402" t="e">
            <v>#N/A</v>
          </cell>
        </row>
        <row r="403">
          <cell r="A403">
            <v>39798</v>
          </cell>
          <cell r="B403">
            <v>39798</v>
          </cell>
          <cell r="C403" t="str">
            <v>Past</v>
          </cell>
          <cell r="D403">
            <v>56.34</v>
          </cell>
          <cell r="E403" t="e">
            <v>#N/A</v>
          </cell>
          <cell r="F403" t="e">
            <v>#N/A</v>
          </cell>
          <cell r="G403" t="e">
            <v>#N/A</v>
          </cell>
          <cell r="H403" t="e">
            <v>#N/A</v>
          </cell>
          <cell r="I403" t="e">
            <v>#N/A</v>
          </cell>
          <cell r="J403" t="e">
            <v>#N/A</v>
          </cell>
          <cell r="K403" t="e">
            <v>#N/A</v>
          </cell>
          <cell r="L403" t="e">
            <v>#N/A</v>
          </cell>
          <cell r="M403" t="e">
            <v>#N/A</v>
          </cell>
          <cell r="N403" t="e">
            <v>#N/A</v>
          </cell>
          <cell r="O403" t="e">
            <v>#N/A</v>
          </cell>
          <cell r="P403">
            <v>56.34</v>
          </cell>
          <cell r="Q403">
            <v>2.4507379999999999</v>
          </cell>
          <cell r="R403" t="e">
            <v>#N/A</v>
          </cell>
        </row>
        <row r="404">
          <cell r="A404">
            <v>39799</v>
          </cell>
          <cell r="B404">
            <v>39799</v>
          </cell>
          <cell r="C404" t="str">
            <v>Past</v>
          </cell>
          <cell r="D404">
            <v>55.49</v>
          </cell>
          <cell r="E404" t="e">
            <v>#N/A</v>
          </cell>
          <cell r="F404" t="e">
            <v>#N/A</v>
          </cell>
          <cell r="G404" t="e">
            <v>#N/A</v>
          </cell>
          <cell r="H404" t="e">
            <v>#N/A</v>
          </cell>
          <cell r="I404" t="e">
            <v>#N/A</v>
          </cell>
          <cell r="J404" t="e">
            <v>#N/A</v>
          </cell>
          <cell r="K404" t="e">
            <v>#N/A</v>
          </cell>
          <cell r="L404" t="e">
            <v>#N/A</v>
          </cell>
          <cell r="M404" t="e">
            <v>#N/A</v>
          </cell>
          <cell r="N404" t="e">
            <v>#N/A</v>
          </cell>
          <cell r="O404" t="e">
            <v>#N/A</v>
          </cell>
          <cell r="P404">
            <v>55.49</v>
          </cell>
          <cell r="Q404">
            <v>2.006948</v>
          </cell>
          <cell r="R404" t="e">
            <v>#N/A</v>
          </cell>
        </row>
        <row r="405">
          <cell r="A405">
            <v>39800</v>
          </cell>
          <cell r="B405">
            <v>39800</v>
          </cell>
          <cell r="C405" t="str">
            <v>Past</v>
          </cell>
          <cell r="D405">
            <v>55.87</v>
          </cell>
          <cell r="E405" t="e">
            <v>#N/A</v>
          </cell>
          <cell r="F405" t="e">
            <v>#N/A</v>
          </cell>
          <cell r="G405" t="e">
            <v>#N/A</v>
          </cell>
          <cell r="H405" t="e">
            <v>#N/A</v>
          </cell>
          <cell r="I405" t="e">
            <v>#N/A</v>
          </cell>
          <cell r="J405" t="e">
            <v>#N/A</v>
          </cell>
          <cell r="K405" t="e">
            <v>#N/A</v>
          </cell>
          <cell r="L405" t="e">
            <v>#N/A</v>
          </cell>
          <cell r="M405" t="e">
            <v>#N/A</v>
          </cell>
          <cell r="N405" t="e">
            <v>#N/A</v>
          </cell>
          <cell r="O405" t="e">
            <v>#N/A</v>
          </cell>
          <cell r="P405">
            <v>55.87</v>
          </cell>
          <cell r="Q405">
            <v>3.1112349999999998</v>
          </cell>
          <cell r="R405" t="e">
            <v>#N/A</v>
          </cell>
        </row>
        <row r="406">
          <cell r="A406">
            <v>39801</v>
          </cell>
          <cell r="B406">
            <v>39801</v>
          </cell>
          <cell r="C406" t="str">
            <v>Past</v>
          </cell>
          <cell r="D406">
            <v>55.86</v>
          </cell>
          <cell r="E406" t="e">
            <v>#N/A</v>
          </cell>
          <cell r="F406" t="e">
            <v>#N/A</v>
          </cell>
          <cell r="G406" t="e">
            <v>#N/A</v>
          </cell>
          <cell r="H406" t="e">
            <v>#N/A</v>
          </cell>
          <cell r="I406" t="e">
            <v>#N/A</v>
          </cell>
          <cell r="J406" t="e">
            <v>#N/A</v>
          </cell>
          <cell r="K406" t="e">
            <v>#N/A</v>
          </cell>
          <cell r="L406" t="e">
            <v>#N/A</v>
          </cell>
          <cell r="M406" t="e">
            <v>#N/A</v>
          </cell>
          <cell r="N406" t="e">
            <v>#N/A</v>
          </cell>
          <cell r="O406" t="e">
            <v>#N/A</v>
          </cell>
          <cell r="P406">
            <v>55.86</v>
          </cell>
          <cell r="Q406">
            <v>3.693365</v>
          </cell>
          <cell r="R406" t="e">
            <v>#N/A</v>
          </cell>
        </row>
        <row r="407">
          <cell r="A407">
            <v>39804</v>
          </cell>
          <cell r="B407">
            <v>39804</v>
          </cell>
          <cell r="C407" t="str">
            <v>Past</v>
          </cell>
          <cell r="D407">
            <v>55.48</v>
          </cell>
          <cell r="E407" t="e">
            <v>#N/A</v>
          </cell>
          <cell r="F407" t="e">
            <v>#N/A</v>
          </cell>
          <cell r="G407" t="e">
            <v>#N/A</v>
          </cell>
          <cell r="H407" t="e">
            <v>#N/A</v>
          </cell>
          <cell r="I407" t="e">
            <v>#N/A</v>
          </cell>
          <cell r="J407" t="e">
            <v>#N/A</v>
          </cell>
          <cell r="K407" t="e">
            <v>#N/A</v>
          </cell>
          <cell r="L407" t="e">
            <v>#N/A</v>
          </cell>
          <cell r="M407" t="e">
            <v>#N/A</v>
          </cell>
          <cell r="N407" t="e">
            <v>#N/A</v>
          </cell>
          <cell r="O407" t="e">
            <v>#N/A</v>
          </cell>
          <cell r="P407">
            <v>55.48</v>
          </cell>
          <cell r="Q407">
            <v>2.3531749999999998</v>
          </cell>
          <cell r="R407" t="e">
            <v>#N/A</v>
          </cell>
        </row>
        <row r="408">
          <cell r="A408">
            <v>39805</v>
          </cell>
          <cell r="B408">
            <v>39805</v>
          </cell>
          <cell r="C408" t="str">
            <v>Past</v>
          </cell>
          <cell r="D408">
            <v>54.73</v>
          </cell>
          <cell r="E408" t="e">
            <v>#N/A</v>
          </cell>
          <cell r="F408" t="e">
            <v>#N/A</v>
          </cell>
          <cell r="G408" t="e">
            <v>#N/A</v>
          </cell>
          <cell r="H408" t="e">
            <v>#N/A</v>
          </cell>
          <cell r="I408" t="e">
            <v>#N/A</v>
          </cell>
          <cell r="J408" t="e">
            <v>#N/A</v>
          </cell>
          <cell r="K408" t="e">
            <v>#N/A</v>
          </cell>
          <cell r="L408" t="e">
            <v>#N/A</v>
          </cell>
          <cell r="M408" t="e">
            <v>#N/A</v>
          </cell>
          <cell r="N408" t="e">
            <v>#N/A</v>
          </cell>
          <cell r="O408" t="e">
            <v>#N/A</v>
          </cell>
          <cell r="P408">
            <v>54.73</v>
          </cell>
          <cell r="Q408">
            <v>1.7628600000000001</v>
          </cell>
          <cell r="R408" t="e">
            <v>#N/A</v>
          </cell>
        </row>
        <row r="409">
          <cell r="A409">
            <v>39806</v>
          </cell>
          <cell r="B409">
            <v>39806</v>
          </cell>
          <cell r="C409" t="str">
            <v>Past</v>
          </cell>
          <cell r="D409">
            <v>55.26</v>
          </cell>
          <cell r="E409" t="e">
            <v>#N/A</v>
          </cell>
          <cell r="F409" t="e">
            <v>#N/A</v>
          </cell>
          <cell r="G409" t="e">
            <v>#N/A</v>
          </cell>
          <cell r="H409" t="e">
            <v>#N/A</v>
          </cell>
          <cell r="I409" t="e">
            <v>#N/A</v>
          </cell>
          <cell r="J409" t="e">
            <v>#N/A</v>
          </cell>
          <cell r="K409" t="e">
            <v>#N/A</v>
          </cell>
          <cell r="L409" t="e">
            <v>#N/A</v>
          </cell>
          <cell r="M409" t="e">
            <v>#N/A</v>
          </cell>
          <cell r="N409" t="e">
            <v>#N/A</v>
          </cell>
          <cell r="O409" t="e">
            <v>#N/A</v>
          </cell>
          <cell r="P409">
            <v>55.26</v>
          </cell>
          <cell r="Q409">
            <v>0.51195599999999997</v>
          </cell>
          <cell r="R409" t="e">
            <v>#N/A</v>
          </cell>
        </row>
        <row r="410">
          <cell r="A410">
            <v>39808</v>
          </cell>
          <cell r="B410">
            <v>39808</v>
          </cell>
          <cell r="C410" t="str">
            <v>Past</v>
          </cell>
          <cell r="D410">
            <v>55.91</v>
          </cell>
          <cell r="E410" t="e">
            <v>#N/A</v>
          </cell>
          <cell r="F410" t="e">
            <v>#N/A</v>
          </cell>
          <cell r="G410" t="e">
            <v>#N/A</v>
          </cell>
          <cell r="H410" t="e">
            <v>#N/A</v>
          </cell>
          <cell r="I410" t="e">
            <v>#N/A</v>
          </cell>
          <cell r="J410" t="e">
            <v>#N/A</v>
          </cell>
          <cell r="K410" t="e">
            <v>#N/A</v>
          </cell>
          <cell r="L410" t="e">
            <v>#N/A</v>
          </cell>
          <cell r="M410" t="e">
            <v>#N/A</v>
          </cell>
          <cell r="N410" t="e">
            <v>#N/A</v>
          </cell>
          <cell r="O410" t="e">
            <v>#N/A</v>
          </cell>
          <cell r="P410">
            <v>55.91</v>
          </cell>
          <cell r="Q410">
            <v>0.70707199999999992</v>
          </cell>
          <cell r="R410" t="e">
            <v>#N/A</v>
          </cell>
        </row>
        <row r="411">
          <cell r="A411">
            <v>39811</v>
          </cell>
          <cell r="B411">
            <v>39811</v>
          </cell>
          <cell r="C411" t="str">
            <v>Past</v>
          </cell>
          <cell r="D411">
            <v>54.53</v>
          </cell>
          <cell r="E411" t="e">
            <v>#N/A</v>
          </cell>
          <cell r="F411" t="e">
            <v>#N/A</v>
          </cell>
          <cell r="G411" t="e">
            <v>#N/A</v>
          </cell>
          <cell r="H411" t="e">
            <v>#N/A</v>
          </cell>
          <cell r="I411" t="e">
            <v>#N/A</v>
          </cell>
          <cell r="J411" t="e">
            <v>#N/A</v>
          </cell>
          <cell r="K411" t="e">
            <v>#N/A</v>
          </cell>
          <cell r="L411" t="e">
            <v>#N/A</v>
          </cell>
          <cell r="M411" t="e">
            <v>#N/A</v>
          </cell>
          <cell r="N411" t="e">
            <v>#N/A</v>
          </cell>
          <cell r="O411" t="e">
            <v>#N/A</v>
          </cell>
          <cell r="P411">
            <v>54.53</v>
          </cell>
          <cell r="Q411">
            <v>1.8301239999999999</v>
          </cell>
          <cell r="R411" t="e">
            <v>#N/A</v>
          </cell>
        </row>
        <row r="412">
          <cell r="A412">
            <v>39812</v>
          </cell>
          <cell r="B412">
            <v>39812</v>
          </cell>
          <cell r="C412" t="str">
            <v>Past</v>
          </cell>
          <cell r="D412">
            <v>56.41</v>
          </cell>
          <cell r="E412" t="e">
            <v>#N/A</v>
          </cell>
          <cell r="F412" t="e">
            <v>#N/A</v>
          </cell>
          <cell r="G412" t="e">
            <v>#N/A</v>
          </cell>
          <cell r="H412" t="e">
            <v>#N/A</v>
          </cell>
          <cell r="I412" t="e">
            <v>#N/A</v>
          </cell>
          <cell r="J412" t="e">
            <v>#N/A</v>
          </cell>
          <cell r="K412" t="e">
            <v>#N/A</v>
          </cell>
          <cell r="L412" t="e">
            <v>#N/A</v>
          </cell>
          <cell r="M412" t="e">
            <v>#N/A</v>
          </cell>
          <cell r="N412" t="e">
            <v>#N/A</v>
          </cell>
          <cell r="O412" t="e">
            <v>#N/A</v>
          </cell>
          <cell r="P412">
            <v>56.41</v>
          </cell>
          <cell r="Q412">
            <v>1.36426</v>
          </cell>
          <cell r="R412" t="e">
            <v>#N/A</v>
          </cell>
        </row>
        <row r="413">
          <cell r="A413">
            <v>39813</v>
          </cell>
          <cell r="B413">
            <v>39813</v>
          </cell>
          <cell r="C413" t="str">
            <v>Past</v>
          </cell>
          <cell r="D413">
            <v>57.59</v>
          </cell>
          <cell r="E413" t="e">
            <v>#N/A</v>
          </cell>
          <cell r="F413" t="e">
            <v>#N/A</v>
          </cell>
          <cell r="G413" t="e">
            <v>#N/A</v>
          </cell>
          <cell r="H413" t="e">
            <v>#N/A</v>
          </cell>
          <cell r="I413" t="e">
            <v>#N/A</v>
          </cell>
          <cell r="J413" t="e">
            <v>#N/A</v>
          </cell>
          <cell r="K413" t="e">
            <v>#N/A</v>
          </cell>
          <cell r="L413" t="e">
            <v>#N/A</v>
          </cell>
          <cell r="M413" t="e">
            <v>#N/A</v>
          </cell>
          <cell r="N413" t="e">
            <v>#N/A</v>
          </cell>
          <cell r="O413" t="e">
            <v>#N/A</v>
          </cell>
          <cell r="P413">
            <v>57.59</v>
          </cell>
          <cell r="Q413">
            <v>1.626636</v>
          </cell>
          <cell r="R413" t="e">
            <v>#N/A</v>
          </cell>
        </row>
        <row r="414">
          <cell r="A414">
            <v>39815</v>
          </cell>
          <cell r="B414">
            <v>39815</v>
          </cell>
          <cell r="C414" t="str">
            <v>Past</v>
          </cell>
          <cell r="D414">
            <v>59.76</v>
          </cell>
          <cell r="E414" t="e">
            <v>#N/A</v>
          </cell>
          <cell r="F414" t="e">
            <v>#N/A</v>
          </cell>
          <cell r="G414" t="e">
            <v>#N/A</v>
          </cell>
          <cell r="H414" t="e">
            <v>#N/A</v>
          </cell>
          <cell r="I414" t="e">
            <v>#N/A</v>
          </cell>
          <cell r="J414" t="e">
            <v>#N/A</v>
          </cell>
          <cell r="K414" t="e">
            <v>#N/A</v>
          </cell>
          <cell r="L414" t="e">
            <v>#N/A</v>
          </cell>
          <cell r="M414" t="e">
            <v>#N/A</v>
          </cell>
          <cell r="N414" t="e">
            <v>#N/A</v>
          </cell>
          <cell r="O414" t="e">
            <v>#N/A</v>
          </cell>
          <cell r="P414">
            <v>59.76</v>
          </cell>
          <cell r="Q414">
            <v>1.649057</v>
          </cell>
          <cell r="R414" t="e">
            <v>#N/A</v>
          </cell>
        </row>
        <row r="415">
          <cell r="A415">
            <v>39818</v>
          </cell>
          <cell r="B415">
            <v>39818</v>
          </cell>
          <cell r="C415" t="str">
            <v>Past</v>
          </cell>
          <cell r="D415">
            <v>59.74</v>
          </cell>
          <cell r="E415" t="e">
            <v>#N/A</v>
          </cell>
          <cell r="F415" t="e">
            <v>#N/A</v>
          </cell>
          <cell r="G415" t="e">
            <v>#N/A</v>
          </cell>
          <cell r="H415" t="e">
            <v>#N/A</v>
          </cell>
          <cell r="I415" t="e">
            <v>#N/A</v>
          </cell>
          <cell r="J415" t="e">
            <v>#N/A</v>
          </cell>
          <cell r="K415" t="e">
            <v>#N/A</v>
          </cell>
          <cell r="L415" t="e">
            <v>#N/A</v>
          </cell>
          <cell r="M415" t="e">
            <v>#N/A</v>
          </cell>
          <cell r="N415" t="e">
            <v>#N/A</v>
          </cell>
          <cell r="O415" t="e">
            <v>#N/A</v>
          </cell>
          <cell r="P415">
            <v>59.74</v>
          </cell>
          <cell r="Q415">
            <v>1.467122</v>
          </cell>
          <cell r="R415" t="e">
            <v>#N/A</v>
          </cell>
        </row>
        <row r="416">
          <cell r="A416">
            <v>39819</v>
          </cell>
          <cell r="B416">
            <v>39819</v>
          </cell>
          <cell r="C416" t="str">
            <v>Past</v>
          </cell>
          <cell r="D416">
            <v>61.23</v>
          </cell>
          <cell r="E416" t="e">
            <v>#N/A</v>
          </cell>
          <cell r="F416" t="e">
            <v>#N/A</v>
          </cell>
          <cell r="G416" t="e">
            <v>#N/A</v>
          </cell>
          <cell r="H416" t="e">
            <v>#N/A</v>
          </cell>
          <cell r="I416" t="e">
            <v>#N/A</v>
          </cell>
          <cell r="J416" t="e">
            <v>#N/A</v>
          </cell>
          <cell r="K416" t="e">
            <v>#N/A</v>
          </cell>
          <cell r="L416" t="e">
            <v>#N/A</v>
          </cell>
          <cell r="M416" t="e">
            <v>#N/A</v>
          </cell>
          <cell r="N416" t="e">
            <v>#N/A</v>
          </cell>
          <cell r="O416" t="e">
            <v>#N/A</v>
          </cell>
          <cell r="P416">
            <v>61.23</v>
          </cell>
          <cell r="Q416">
            <v>2.2565919999999999</v>
          </cell>
          <cell r="R416" t="e">
            <v>#N/A</v>
          </cell>
        </row>
        <row r="417">
          <cell r="A417">
            <v>39820</v>
          </cell>
          <cell r="B417">
            <v>39820</v>
          </cell>
          <cell r="C417" t="str">
            <v>Past</v>
          </cell>
          <cell r="D417">
            <v>58.83</v>
          </cell>
          <cell r="E417" t="e">
            <v>#N/A</v>
          </cell>
          <cell r="F417" t="e">
            <v>#N/A</v>
          </cell>
          <cell r="G417" t="e">
            <v>#N/A</v>
          </cell>
          <cell r="H417" t="e">
            <v>#N/A</v>
          </cell>
          <cell r="I417" t="e">
            <v>#N/A</v>
          </cell>
          <cell r="J417" t="e">
            <v>#N/A</v>
          </cell>
          <cell r="K417" t="e">
            <v>#N/A</v>
          </cell>
          <cell r="L417" t="e">
            <v>#N/A</v>
          </cell>
          <cell r="M417" t="e">
            <v>#N/A</v>
          </cell>
          <cell r="N417" t="e">
            <v>#N/A</v>
          </cell>
          <cell r="O417" t="e">
            <v>#N/A</v>
          </cell>
          <cell r="P417">
            <v>58.83</v>
          </cell>
          <cell r="Q417">
            <v>1.7511219999999998</v>
          </cell>
          <cell r="R417" t="e">
            <v>#N/A</v>
          </cell>
        </row>
        <row r="418">
          <cell r="A418">
            <v>39821</v>
          </cell>
          <cell r="B418">
            <v>39821</v>
          </cell>
          <cell r="C418" t="str">
            <v>Past</v>
          </cell>
          <cell r="D418">
            <v>59.21</v>
          </cell>
          <cell r="E418" t="e">
            <v>#N/A</v>
          </cell>
          <cell r="F418" t="e">
            <v>#N/A</v>
          </cell>
          <cell r="G418" t="e">
            <v>#N/A</v>
          </cell>
          <cell r="H418" t="e">
            <v>#N/A</v>
          </cell>
          <cell r="I418" t="e">
            <v>#N/A</v>
          </cell>
          <cell r="J418" t="e">
            <v>#N/A</v>
          </cell>
          <cell r="K418" t="e">
            <v>#N/A</v>
          </cell>
          <cell r="L418" t="e">
            <v>#N/A</v>
          </cell>
          <cell r="M418" t="e">
            <v>#N/A</v>
          </cell>
          <cell r="N418" t="e">
            <v>#N/A</v>
          </cell>
          <cell r="O418" t="e">
            <v>#N/A</v>
          </cell>
          <cell r="P418">
            <v>59.21</v>
          </cell>
          <cell r="Q418">
            <v>1.929373</v>
          </cell>
          <cell r="R418" t="e">
            <v>#N/A</v>
          </cell>
        </row>
        <row r="419">
          <cell r="A419">
            <v>39822</v>
          </cell>
          <cell r="B419">
            <v>39822</v>
          </cell>
          <cell r="C419" t="str">
            <v>Past</v>
          </cell>
          <cell r="D419">
            <v>57.92</v>
          </cell>
          <cell r="E419" t="e">
            <v>#N/A</v>
          </cell>
          <cell r="F419" t="e">
            <v>#N/A</v>
          </cell>
          <cell r="G419" t="e">
            <v>#N/A</v>
          </cell>
          <cell r="H419" t="e">
            <v>#N/A</v>
          </cell>
          <cell r="I419" t="e">
            <v>#N/A</v>
          </cell>
          <cell r="J419" t="e">
            <v>#N/A</v>
          </cell>
          <cell r="K419" t="e">
            <v>#N/A</v>
          </cell>
          <cell r="L419" t="e">
            <v>#N/A</v>
          </cell>
          <cell r="M419" t="e">
            <v>#N/A</v>
          </cell>
          <cell r="N419" t="e">
            <v>#N/A</v>
          </cell>
          <cell r="O419" t="e">
            <v>#N/A</v>
          </cell>
          <cell r="P419">
            <v>57.92</v>
          </cell>
          <cell r="Q419">
            <v>1.7613179999999999</v>
          </cell>
          <cell r="R419" t="e">
            <v>#N/A</v>
          </cell>
        </row>
        <row r="420">
          <cell r="A420">
            <v>39825</v>
          </cell>
          <cell r="B420">
            <v>39825</v>
          </cell>
          <cell r="C420" t="str">
            <v>Past</v>
          </cell>
          <cell r="D420">
            <v>57.68</v>
          </cell>
          <cell r="E420" t="e">
            <v>#N/A</v>
          </cell>
          <cell r="F420" t="e">
            <v>#N/A</v>
          </cell>
          <cell r="G420" t="e">
            <v>#N/A</v>
          </cell>
          <cell r="H420" t="e">
            <v>#N/A</v>
          </cell>
          <cell r="I420" t="e">
            <v>#N/A</v>
          </cell>
          <cell r="J420" t="e">
            <v>#N/A</v>
          </cell>
          <cell r="K420" t="e">
            <v>#N/A</v>
          </cell>
          <cell r="L420" t="e">
            <v>#N/A</v>
          </cell>
          <cell r="M420" t="e">
            <v>#N/A</v>
          </cell>
          <cell r="N420" t="e">
            <v>#N/A</v>
          </cell>
          <cell r="O420" t="e">
            <v>#N/A</v>
          </cell>
          <cell r="P420">
            <v>57.68</v>
          </cell>
          <cell r="Q420">
            <v>1.8068689999999998</v>
          </cell>
          <cell r="R420" t="e">
            <v>#N/A</v>
          </cell>
        </row>
        <row r="421">
          <cell r="A421">
            <v>39826</v>
          </cell>
          <cell r="B421">
            <v>39826</v>
          </cell>
          <cell r="C421" t="str">
            <v>Past</v>
          </cell>
          <cell r="D421">
            <v>55.1</v>
          </cell>
          <cell r="E421" t="e">
            <v>#N/A</v>
          </cell>
          <cell r="F421" t="e">
            <v>#N/A</v>
          </cell>
          <cell r="G421" t="e">
            <v>#N/A</v>
          </cell>
          <cell r="H421" t="e">
            <v>#N/A</v>
          </cell>
          <cell r="I421" t="e">
            <v>#N/A</v>
          </cell>
          <cell r="J421" t="e">
            <v>#N/A</v>
          </cell>
          <cell r="K421" t="e">
            <v>#N/A</v>
          </cell>
          <cell r="L421" t="e">
            <v>#N/A</v>
          </cell>
          <cell r="M421" t="e">
            <v>#N/A</v>
          </cell>
          <cell r="N421" t="e">
            <v>#N/A</v>
          </cell>
          <cell r="O421" t="e">
            <v>#N/A</v>
          </cell>
          <cell r="P421">
            <v>55.1</v>
          </cell>
          <cell r="Q421">
            <v>4.1611349999999998</v>
          </cell>
          <cell r="R421" t="e">
            <v>#N/A</v>
          </cell>
        </row>
        <row r="422">
          <cell r="A422">
            <v>39827</v>
          </cell>
          <cell r="B422">
            <v>39827</v>
          </cell>
          <cell r="C422" t="str">
            <v>Past</v>
          </cell>
          <cell r="D422">
            <v>54.47</v>
          </cell>
          <cell r="E422" t="e">
            <v>#N/A</v>
          </cell>
          <cell r="F422" t="e">
            <v>#N/A</v>
          </cell>
          <cell r="G422" t="e">
            <v>#N/A</v>
          </cell>
          <cell r="H422" t="e">
            <v>#N/A</v>
          </cell>
          <cell r="I422" t="e">
            <v>#N/A</v>
          </cell>
          <cell r="J422" t="e">
            <v>#N/A</v>
          </cell>
          <cell r="K422" t="e">
            <v>#N/A</v>
          </cell>
          <cell r="L422" t="e">
            <v>#N/A</v>
          </cell>
          <cell r="M422" t="e">
            <v>#N/A</v>
          </cell>
          <cell r="N422" t="e">
            <v>#N/A</v>
          </cell>
          <cell r="O422" t="e">
            <v>#N/A</v>
          </cell>
          <cell r="P422">
            <v>54.47</v>
          </cell>
          <cell r="Q422">
            <v>4.0762580000000002</v>
          </cell>
          <cell r="R422" t="e">
            <v>#N/A</v>
          </cell>
        </row>
        <row r="423">
          <cell r="A423">
            <v>39828</v>
          </cell>
          <cell r="B423">
            <v>39828</v>
          </cell>
          <cell r="C423" t="str">
            <v>Past</v>
          </cell>
          <cell r="D423">
            <v>53.06</v>
          </cell>
          <cell r="E423" t="e">
            <v>#N/A</v>
          </cell>
          <cell r="F423" t="e">
            <v>#N/A</v>
          </cell>
          <cell r="G423" t="e">
            <v>#N/A</v>
          </cell>
          <cell r="H423" t="e">
            <v>#N/A</v>
          </cell>
          <cell r="I423" t="e">
            <v>#N/A</v>
          </cell>
          <cell r="J423" t="e">
            <v>#N/A</v>
          </cell>
          <cell r="K423" t="e">
            <v>#N/A</v>
          </cell>
          <cell r="L423" t="e">
            <v>#N/A</v>
          </cell>
          <cell r="M423" t="e">
            <v>#N/A</v>
          </cell>
          <cell r="N423" t="e">
            <v>#N/A</v>
          </cell>
          <cell r="O423" t="e">
            <v>#N/A</v>
          </cell>
          <cell r="P423">
            <v>53.06</v>
          </cell>
          <cell r="Q423">
            <v>3.9531139999999998</v>
          </cell>
          <cell r="R423" t="e">
            <v>#N/A</v>
          </cell>
        </row>
        <row r="424">
          <cell r="A424">
            <v>39829</v>
          </cell>
          <cell r="B424">
            <v>39829</v>
          </cell>
          <cell r="C424" t="str">
            <v>Past</v>
          </cell>
          <cell r="D424">
            <v>54.59</v>
          </cell>
          <cell r="E424" t="e">
            <v>#N/A</v>
          </cell>
          <cell r="F424" t="e">
            <v>#N/A</v>
          </cell>
          <cell r="G424" t="e">
            <v>#N/A</v>
          </cell>
          <cell r="H424" t="e">
            <v>#N/A</v>
          </cell>
          <cell r="I424" t="e">
            <v>#N/A</v>
          </cell>
          <cell r="J424" t="e">
            <v>#N/A</v>
          </cell>
          <cell r="K424" t="e">
            <v>#N/A</v>
          </cell>
          <cell r="L424" t="e">
            <v>#N/A</v>
          </cell>
          <cell r="M424" t="e">
            <v>#N/A</v>
          </cell>
          <cell r="N424" t="e">
            <v>#N/A</v>
          </cell>
          <cell r="O424" t="e">
            <v>#N/A</v>
          </cell>
          <cell r="P424">
            <v>54.59</v>
          </cell>
          <cell r="Q424">
            <v>2.9543119999999998</v>
          </cell>
          <cell r="R424" t="e">
            <v>#N/A</v>
          </cell>
        </row>
        <row r="425">
          <cell r="A425">
            <v>39833</v>
          </cell>
          <cell r="B425">
            <v>39833</v>
          </cell>
          <cell r="C425" t="str">
            <v>Past</v>
          </cell>
          <cell r="D425">
            <v>52.2</v>
          </cell>
          <cell r="E425" t="e">
            <v>#N/A</v>
          </cell>
          <cell r="F425" t="e">
            <v>#N/A</v>
          </cell>
          <cell r="G425" t="e">
            <v>#N/A</v>
          </cell>
          <cell r="H425" t="e">
            <v>#N/A</v>
          </cell>
          <cell r="I425" t="e">
            <v>#N/A</v>
          </cell>
          <cell r="J425" t="e">
            <v>#N/A</v>
          </cell>
          <cell r="K425" t="e">
            <v>#N/A</v>
          </cell>
          <cell r="L425" t="e">
            <v>#N/A</v>
          </cell>
          <cell r="M425" t="e">
            <v>#N/A</v>
          </cell>
          <cell r="N425" t="e">
            <v>#N/A</v>
          </cell>
          <cell r="O425" t="e">
            <v>#N/A</v>
          </cell>
          <cell r="P425">
            <v>52.2</v>
          </cell>
          <cell r="Q425">
            <v>4.0216789999999998</v>
          </cell>
          <cell r="R425" t="e">
            <v>#N/A</v>
          </cell>
        </row>
        <row r="426">
          <cell r="A426">
            <v>39834</v>
          </cell>
          <cell r="B426">
            <v>39834</v>
          </cell>
          <cell r="C426" t="str">
            <v>Past</v>
          </cell>
          <cell r="D426">
            <v>54.01</v>
          </cell>
          <cell r="E426" t="e">
            <v>#N/A</v>
          </cell>
          <cell r="F426" t="e">
            <v>#N/A</v>
          </cell>
          <cell r="G426" t="e">
            <v>#N/A</v>
          </cell>
          <cell r="H426" t="e">
            <v>#N/A</v>
          </cell>
          <cell r="I426" t="e">
            <v>#N/A</v>
          </cell>
          <cell r="J426" t="e">
            <v>#N/A</v>
          </cell>
          <cell r="K426" t="e">
            <v>#N/A</v>
          </cell>
          <cell r="L426" t="e">
            <v>#N/A</v>
          </cell>
          <cell r="M426" t="e">
            <v>#N/A</v>
          </cell>
          <cell r="N426" t="e">
            <v>#N/A</v>
          </cell>
          <cell r="O426" t="e">
            <v>#N/A</v>
          </cell>
          <cell r="P426">
            <v>54.01</v>
          </cell>
          <cell r="Q426">
            <v>2.4818039999999999</v>
          </cell>
          <cell r="R426" t="e">
            <v>#N/A</v>
          </cell>
        </row>
        <row r="427">
          <cell r="A427">
            <v>39835</v>
          </cell>
          <cell r="B427">
            <v>39835</v>
          </cell>
          <cell r="C427" t="str">
            <v>Past</v>
          </cell>
          <cell r="D427">
            <v>53.88</v>
          </cell>
          <cell r="E427" t="e">
            <v>#N/A</v>
          </cell>
          <cell r="F427" t="e">
            <v>#N/A</v>
          </cell>
          <cell r="G427" t="e">
            <v>#N/A</v>
          </cell>
          <cell r="H427" t="e">
            <v>#N/A</v>
          </cell>
          <cell r="I427" t="e">
            <v>#N/A</v>
          </cell>
          <cell r="J427" t="e">
            <v>#N/A</v>
          </cell>
          <cell r="K427" t="e">
            <v>#N/A</v>
          </cell>
          <cell r="L427" t="e">
            <v>#N/A</v>
          </cell>
          <cell r="M427" t="e">
            <v>#N/A</v>
          </cell>
          <cell r="N427" t="e">
            <v>#N/A</v>
          </cell>
          <cell r="O427" t="e">
            <v>#N/A</v>
          </cell>
          <cell r="P427">
            <v>53.88</v>
          </cell>
          <cell r="Q427">
            <v>2.8272219999999999</v>
          </cell>
          <cell r="R427" t="e">
            <v>#N/A</v>
          </cell>
        </row>
        <row r="428">
          <cell r="A428">
            <v>39836</v>
          </cell>
          <cell r="B428">
            <v>39836</v>
          </cell>
          <cell r="C428" t="str">
            <v>Past</v>
          </cell>
          <cell r="D428">
            <v>53.32</v>
          </cell>
          <cell r="E428" t="e">
            <v>#N/A</v>
          </cell>
          <cell r="F428" t="e">
            <v>#N/A</v>
          </cell>
          <cell r="G428" t="e">
            <v>#N/A</v>
          </cell>
          <cell r="H428" t="e">
            <v>#N/A</v>
          </cell>
          <cell r="I428" t="e">
            <v>#N/A</v>
          </cell>
          <cell r="J428" t="e">
            <v>#N/A</v>
          </cell>
          <cell r="K428" t="e">
            <v>#N/A</v>
          </cell>
          <cell r="L428" t="e">
            <v>#N/A</v>
          </cell>
          <cell r="M428" t="e">
            <v>#N/A</v>
          </cell>
          <cell r="N428" t="e">
            <v>#N/A</v>
          </cell>
          <cell r="O428" t="e">
            <v>#N/A</v>
          </cell>
          <cell r="P428">
            <v>53.32</v>
          </cell>
          <cell r="Q428">
            <v>2.1626349999999999</v>
          </cell>
          <cell r="R428" t="e">
            <v>#N/A</v>
          </cell>
        </row>
        <row r="429">
          <cell r="A429">
            <v>39839</v>
          </cell>
          <cell r="B429">
            <v>39839</v>
          </cell>
          <cell r="C429" t="str">
            <v>Past</v>
          </cell>
          <cell r="D429">
            <v>54.6</v>
          </cell>
          <cell r="E429" t="e">
            <v>#N/A</v>
          </cell>
          <cell r="F429" t="e">
            <v>#N/A</v>
          </cell>
          <cell r="G429" t="e">
            <v>#N/A</v>
          </cell>
          <cell r="H429" t="e">
            <v>#N/A</v>
          </cell>
          <cell r="I429" t="e">
            <v>#N/A</v>
          </cell>
          <cell r="J429" t="e">
            <v>#N/A</v>
          </cell>
          <cell r="K429" t="e">
            <v>#N/A</v>
          </cell>
          <cell r="L429" t="e">
            <v>#N/A</v>
          </cell>
          <cell r="M429" t="e">
            <v>#N/A</v>
          </cell>
          <cell r="N429" t="e">
            <v>#N/A</v>
          </cell>
          <cell r="O429" t="e">
            <v>#N/A</v>
          </cell>
          <cell r="P429">
            <v>54.6</v>
          </cell>
          <cell r="Q429">
            <v>3.3388</v>
          </cell>
          <cell r="R429" t="e">
            <v>#N/A</v>
          </cell>
        </row>
        <row r="430">
          <cell r="A430">
            <v>39840</v>
          </cell>
          <cell r="B430">
            <v>39840</v>
          </cell>
          <cell r="C430" t="str">
            <v>Past</v>
          </cell>
          <cell r="D430">
            <v>55.72</v>
          </cell>
          <cell r="E430" t="e">
            <v>#N/A</v>
          </cell>
          <cell r="F430" t="e">
            <v>#N/A</v>
          </cell>
          <cell r="G430" t="e">
            <v>#N/A</v>
          </cell>
          <cell r="H430" t="e">
            <v>#N/A</v>
          </cell>
          <cell r="I430" t="e">
            <v>#N/A</v>
          </cell>
          <cell r="J430" t="e">
            <v>#N/A</v>
          </cell>
          <cell r="K430" t="e">
            <v>#N/A</v>
          </cell>
          <cell r="L430" t="e">
            <v>#N/A</v>
          </cell>
          <cell r="M430" t="e">
            <v>#N/A</v>
          </cell>
          <cell r="N430" t="e">
            <v>#N/A</v>
          </cell>
          <cell r="O430" t="e">
            <v>#N/A</v>
          </cell>
          <cell r="P430">
            <v>55.72</v>
          </cell>
          <cell r="Q430">
            <v>2.636682</v>
          </cell>
          <cell r="R430" t="e">
            <v>#N/A</v>
          </cell>
        </row>
        <row r="431">
          <cell r="A431">
            <v>39841</v>
          </cell>
          <cell r="B431">
            <v>39841</v>
          </cell>
          <cell r="C431" t="str">
            <v>Past</v>
          </cell>
          <cell r="D431">
            <v>60.01</v>
          </cell>
          <cell r="E431" t="e">
            <v>#N/A</v>
          </cell>
          <cell r="F431" t="e">
            <v>#N/A</v>
          </cell>
          <cell r="G431" t="e">
            <v>#N/A</v>
          </cell>
          <cell r="H431" t="e">
            <v>#N/A</v>
          </cell>
          <cell r="I431" t="e">
            <v>#N/A</v>
          </cell>
          <cell r="J431" t="e">
            <v>#N/A</v>
          </cell>
          <cell r="K431" t="e">
            <v>#N/A</v>
          </cell>
          <cell r="L431" t="e">
            <v>#N/A</v>
          </cell>
          <cell r="M431" t="e">
            <v>#N/A</v>
          </cell>
          <cell r="N431" t="e">
            <v>#N/A</v>
          </cell>
          <cell r="O431" t="e">
            <v>#N/A</v>
          </cell>
          <cell r="P431">
            <v>60.01</v>
          </cell>
          <cell r="Q431">
            <v>5.3191379999999997</v>
          </cell>
          <cell r="R431" t="e">
            <v>#N/A</v>
          </cell>
        </row>
        <row r="432">
          <cell r="A432">
            <v>39842</v>
          </cell>
          <cell r="B432">
            <v>39842</v>
          </cell>
          <cell r="C432" t="str">
            <v>Past</v>
          </cell>
          <cell r="D432">
            <v>58.24</v>
          </cell>
          <cell r="E432" t="e">
            <v>#N/A</v>
          </cell>
          <cell r="F432" t="e">
            <v>#N/A</v>
          </cell>
          <cell r="G432" t="e">
            <v>#N/A</v>
          </cell>
          <cell r="H432" t="e">
            <v>#N/A</v>
          </cell>
          <cell r="I432" t="e">
            <v>#N/A</v>
          </cell>
          <cell r="J432" t="e">
            <v>#N/A</v>
          </cell>
          <cell r="K432" t="e">
            <v>#N/A</v>
          </cell>
          <cell r="L432" t="e">
            <v>#N/A</v>
          </cell>
          <cell r="M432" t="e">
            <v>#N/A</v>
          </cell>
          <cell r="N432" t="e">
            <v>#N/A</v>
          </cell>
          <cell r="O432" t="e">
            <v>#N/A</v>
          </cell>
          <cell r="P432">
            <v>58.24</v>
          </cell>
          <cell r="Q432">
            <v>5.1890100000000006</v>
          </cell>
          <cell r="R432" t="e">
            <v>#N/A</v>
          </cell>
        </row>
        <row r="433">
          <cell r="A433">
            <v>39843</v>
          </cell>
          <cell r="B433">
            <v>39843</v>
          </cell>
          <cell r="C433" t="str">
            <v>Past</v>
          </cell>
          <cell r="D433">
            <v>56.73</v>
          </cell>
          <cell r="E433" t="e">
            <v>#N/A</v>
          </cell>
          <cell r="F433" t="e">
            <v>#N/A</v>
          </cell>
          <cell r="G433" t="e">
            <v>#N/A</v>
          </cell>
          <cell r="H433" t="e">
            <v>#N/A</v>
          </cell>
          <cell r="I433" t="e">
            <v>#N/A</v>
          </cell>
          <cell r="J433" t="e">
            <v>#N/A</v>
          </cell>
          <cell r="K433" t="e">
            <v>#N/A</v>
          </cell>
          <cell r="L433" t="e">
            <v>#N/A</v>
          </cell>
          <cell r="M433" t="e">
            <v>#N/A</v>
          </cell>
          <cell r="N433" t="e">
            <v>#N/A</v>
          </cell>
          <cell r="O433" t="e">
            <v>#N/A</v>
          </cell>
          <cell r="P433">
            <v>56.73</v>
          </cell>
          <cell r="Q433">
            <v>2.683745</v>
          </cell>
          <cell r="R433" t="e">
            <v>#N/A</v>
          </cell>
        </row>
        <row r="434">
          <cell r="A434">
            <v>39846</v>
          </cell>
          <cell r="B434">
            <v>39846</v>
          </cell>
          <cell r="C434" t="str">
            <v>Past</v>
          </cell>
          <cell r="D434">
            <v>55.29</v>
          </cell>
          <cell r="E434" t="e">
            <v>#N/A</v>
          </cell>
          <cell r="F434" t="e">
            <v>#N/A</v>
          </cell>
          <cell r="G434" t="e">
            <v>#N/A</v>
          </cell>
          <cell r="H434" t="e">
            <v>#N/A</v>
          </cell>
          <cell r="I434" t="e">
            <v>#N/A</v>
          </cell>
          <cell r="J434" t="e">
            <v>#N/A</v>
          </cell>
          <cell r="K434" t="e">
            <v>#N/A</v>
          </cell>
          <cell r="L434" t="e">
            <v>#N/A</v>
          </cell>
          <cell r="M434" t="e">
            <v>#N/A</v>
          </cell>
          <cell r="N434" t="e">
            <v>#N/A</v>
          </cell>
          <cell r="O434" t="e">
            <v>#N/A</v>
          </cell>
          <cell r="P434">
            <v>55.29</v>
          </cell>
          <cell r="Q434">
            <v>2.578182</v>
          </cell>
          <cell r="R434" t="e">
            <v>#N/A</v>
          </cell>
        </row>
        <row r="435">
          <cell r="A435">
            <v>39847</v>
          </cell>
          <cell r="B435">
            <v>39847</v>
          </cell>
          <cell r="C435" t="str">
            <v>Past</v>
          </cell>
          <cell r="D435">
            <v>55.3</v>
          </cell>
          <cell r="E435" t="e">
            <v>#N/A</v>
          </cell>
          <cell r="F435" t="e">
            <v>#N/A</v>
          </cell>
          <cell r="G435" t="e">
            <v>#N/A</v>
          </cell>
          <cell r="H435" t="e">
            <v>#N/A</v>
          </cell>
          <cell r="I435" t="e">
            <v>#N/A</v>
          </cell>
          <cell r="J435" t="e">
            <v>#N/A</v>
          </cell>
          <cell r="K435" t="e">
            <v>#N/A</v>
          </cell>
          <cell r="L435" t="e">
            <v>#N/A</v>
          </cell>
          <cell r="M435" t="e">
            <v>#N/A</v>
          </cell>
          <cell r="N435" t="e">
            <v>#N/A</v>
          </cell>
          <cell r="O435" t="e">
            <v>#N/A</v>
          </cell>
          <cell r="P435">
            <v>55.3</v>
          </cell>
          <cell r="Q435">
            <v>3.5140789999999997</v>
          </cell>
          <cell r="R435" t="e">
            <v>#N/A</v>
          </cell>
        </row>
        <row r="436">
          <cell r="A436">
            <v>39848</v>
          </cell>
          <cell r="B436">
            <v>39848</v>
          </cell>
          <cell r="C436" t="str">
            <v>Past</v>
          </cell>
          <cell r="D436">
            <v>55.05</v>
          </cell>
          <cell r="E436" t="e">
            <v>#N/A</v>
          </cell>
          <cell r="F436" t="e">
            <v>#N/A</v>
          </cell>
          <cell r="G436" t="e">
            <v>#N/A</v>
          </cell>
          <cell r="H436" t="e">
            <v>#N/A</v>
          </cell>
          <cell r="I436" t="e">
            <v>#N/A</v>
          </cell>
          <cell r="J436" t="e">
            <v>#N/A</v>
          </cell>
          <cell r="K436" t="e">
            <v>#N/A</v>
          </cell>
          <cell r="L436" t="e">
            <v>#N/A</v>
          </cell>
          <cell r="M436" t="e">
            <v>#N/A</v>
          </cell>
          <cell r="N436" t="e">
            <v>#N/A</v>
          </cell>
          <cell r="O436" t="e">
            <v>#N/A</v>
          </cell>
          <cell r="P436">
            <v>55.05</v>
          </cell>
          <cell r="Q436">
            <v>2.4665319999999999</v>
          </cell>
          <cell r="R436" t="e">
            <v>#N/A</v>
          </cell>
        </row>
        <row r="437">
          <cell r="A437">
            <v>39849</v>
          </cell>
          <cell r="B437">
            <v>39849</v>
          </cell>
          <cell r="C437" t="str">
            <v>Past</v>
          </cell>
          <cell r="D437">
            <v>56.23</v>
          </cell>
          <cell r="E437" t="e">
            <v>#N/A</v>
          </cell>
          <cell r="F437" t="e">
            <v>#N/A</v>
          </cell>
          <cell r="G437" t="e">
            <v>#N/A</v>
          </cell>
          <cell r="H437" t="e">
            <v>#N/A</v>
          </cell>
          <cell r="I437" t="e">
            <v>#N/A</v>
          </cell>
          <cell r="J437" t="e">
            <v>#N/A</v>
          </cell>
          <cell r="K437" t="e">
            <v>#N/A</v>
          </cell>
          <cell r="L437" t="e">
            <v>#N/A</v>
          </cell>
          <cell r="M437" t="e">
            <v>#N/A</v>
          </cell>
          <cell r="N437" t="e">
            <v>#N/A</v>
          </cell>
          <cell r="O437" t="e">
            <v>#N/A</v>
          </cell>
          <cell r="P437">
            <v>56.23</v>
          </cell>
          <cell r="Q437">
            <v>2.357888</v>
          </cell>
          <cell r="R437" t="e">
            <v>#N/A</v>
          </cell>
        </row>
        <row r="438">
          <cell r="A438">
            <v>39850</v>
          </cell>
          <cell r="B438">
            <v>39850</v>
          </cell>
          <cell r="C438" t="str">
            <v>Past</v>
          </cell>
          <cell r="D438">
            <v>57.21</v>
          </cell>
          <cell r="E438" t="e">
            <v>#N/A</v>
          </cell>
          <cell r="F438" t="e">
            <v>#N/A</v>
          </cell>
          <cell r="G438" t="e">
            <v>#N/A</v>
          </cell>
          <cell r="H438" t="e">
            <v>#N/A</v>
          </cell>
          <cell r="I438" t="e">
            <v>#N/A</v>
          </cell>
          <cell r="J438" t="e">
            <v>#N/A</v>
          </cell>
          <cell r="K438" t="e">
            <v>#N/A</v>
          </cell>
          <cell r="L438" t="e">
            <v>#N/A</v>
          </cell>
          <cell r="M438" t="e">
            <v>#N/A</v>
          </cell>
          <cell r="N438" t="e">
            <v>#N/A</v>
          </cell>
          <cell r="O438" t="e">
            <v>#N/A</v>
          </cell>
          <cell r="P438">
            <v>57.21</v>
          </cell>
          <cell r="Q438">
            <v>3.2541959999999999</v>
          </cell>
          <cell r="R438" t="e">
            <v>#N/A</v>
          </cell>
        </row>
        <row r="439">
          <cell r="A439">
            <v>39853</v>
          </cell>
          <cell r="B439">
            <v>39853</v>
          </cell>
          <cell r="C439" t="str">
            <v>Past</v>
          </cell>
          <cell r="D439">
            <v>56.75</v>
          </cell>
          <cell r="E439" t="e">
            <v>#N/A</v>
          </cell>
          <cell r="F439" t="e">
            <v>#N/A</v>
          </cell>
          <cell r="G439" t="e">
            <v>#N/A</v>
          </cell>
          <cell r="H439" t="e">
            <v>#N/A</v>
          </cell>
          <cell r="I439" t="e">
            <v>#N/A</v>
          </cell>
          <cell r="J439" t="e">
            <v>#N/A</v>
          </cell>
          <cell r="K439" t="e">
            <v>#N/A</v>
          </cell>
          <cell r="L439" t="e">
            <v>#N/A</v>
          </cell>
          <cell r="M439" t="e">
            <v>#N/A</v>
          </cell>
          <cell r="N439" t="e">
            <v>#N/A</v>
          </cell>
          <cell r="O439" t="e">
            <v>#N/A</v>
          </cell>
          <cell r="P439">
            <v>56.75</v>
          </cell>
          <cell r="Q439">
            <v>2.4471039999999999</v>
          </cell>
          <cell r="R439" t="e">
            <v>#N/A</v>
          </cell>
        </row>
        <row r="440">
          <cell r="A440">
            <v>39854</v>
          </cell>
          <cell r="B440">
            <v>39854</v>
          </cell>
          <cell r="C440" t="str">
            <v>Past</v>
          </cell>
          <cell r="D440">
            <v>54.44</v>
          </cell>
          <cell r="E440" t="e">
            <v>#N/A</v>
          </cell>
          <cell r="F440" t="e">
            <v>#N/A</v>
          </cell>
          <cell r="G440" t="e">
            <v>#N/A</v>
          </cell>
          <cell r="H440" t="e">
            <v>#N/A</v>
          </cell>
          <cell r="I440" t="e">
            <v>#N/A</v>
          </cell>
          <cell r="J440" t="e">
            <v>#N/A</v>
          </cell>
          <cell r="K440" t="e">
            <v>#N/A</v>
          </cell>
          <cell r="L440" t="e">
            <v>#N/A</v>
          </cell>
          <cell r="M440" t="e">
            <v>#N/A</v>
          </cell>
          <cell r="N440" t="e">
            <v>#N/A</v>
          </cell>
          <cell r="O440" t="e">
            <v>#N/A</v>
          </cell>
          <cell r="P440">
            <v>54.44</v>
          </cell>
          <cell r="Q440">
            <v>2.6316739999999998</v>
          </cell>
          <cell r="R440" t="e">
            <v>#N/A</v>
          </cell>
        </row>
        <row r="441">
          <cell r="A441">
            <v>39855</v>
          </cell>
          <cell r="B441">
            <v>39855</v>
          </cell>
          <cell r="C441" t="str">
            <v>Past</v>
          </cell>
          <cell r="D441">
            <v>53.89</v>
          </cell>
          <cell r="E441" t="e">
            <v>#N/A</v>
          </cell>
          <cell r="F441" t="e">
            <v>#N/A</v>
          </cell>
          <cell r="G441" t="e">
            <v>#N/A</v>
          </cell>
          <cell r="H441" t="e">
            <v>#N/A</v>
          </cell>
          <cell r="I441" t="e">
            <v>#N/A</v>
          </cell>
          <cell r="J441" t="e">
            <v>#N/A</v>
          </cell>
          <cell r="K441" t="e">
            <v>#N/A</v>
          </cell>
          <cell r="L441" t="e">
            <v>#N/A</v>
          </cell>
          <cell r="M441" t="e">
            <v>#N/A</v>
          </cell>
          <cell r="N441" t="e">
            <v>#N/A</v>
          </cell>
          <cell r="O441" t="e">
            <v>#N/A</v>
          </cell>
          <cell r="P441">
            <v>53.89</v>
          </cell>
          <cell r="Q441">
            <v>2.8348260000000001</v>
          </cell>
          <cell r="R441" t="e">
            <v>#N/A</v>
          </cell>
        </row>
        <row r="442">
          <cell r="A442">
            <v>39856</v>
          </cell>
          <cell r="B442">
            <v>39856</v>
          </cell>
          <cell r="C442" t="str">
            <v>Past</v>
          </cell>
          <cell r="D442">
            <v>53.83</v>
          </cell>
          <cell r="E442" t="e">
            <v>#N/A</v>
          </cell>
          <cell r="F442" t="e">
            <v>#N/A</v>
          </cell>
          <cell r="G442" t="e">
            <v>#N/A</v>
          </cell>
          <cell r="H442" t="e">
            <v>#N/A</v>
          </cell>
          <cell r="I442" t="e">
            <v>#N/A</v>
          </cell>
          <cell r="J442" t="e">
            <v>#N/A</v>
          </cell>
          <cell r="K442" t="e">
            <v>#N/A</v>
          </cell>
          <cell r="L442" t="e">
            <v>#N/A</v>
          </cell>
          <cell r="M442" t="e">
            <v>#N/A</v>
          </cell>
          <cell r="N442" t="e">
            <v>#N/A</v>
          </cell>
          <cell r="O442" t="e">
            <v>#N/A</v>
          </cell>
          <cell r="P442">
            <v>53.83</v>
          </cell>
          <cell r="Q442">
            <v>3.5099339999999999</v>
          </cell>
          <cell r="R442" t="e">
            <v>#N/A</v>
          </cell>
        </row>
        <row r="443">
          <cell r="A443">
            <v>39857</v>
          </cell>
          <cell r="B443">
            <v>39857</v>
          </cell>
          <cell r="C443" t="str">
            <v>Past</v>
          </cell>
          <cell r="D443">
            <v>54.49</v>
          </cell>
          <cell r="E443" t="e">
            <v>#N/A</v>
          </cell>
          <cell r="F443" t="e">
            <v>#N/A</v>
          </cell>
          <cell r="G443" t="e">
            <v>#N/A</v>
          </cell>
          <cell r="H443" t="e">
            <v>#N/A</v>
          </cell>
          <cell r="I443" t="e">
            <v>#N/A</v>
          </cell>
          <cell r="J443" t="e">
            <v>#N/A</v>
          </cell>
          <cell r="K443" t="e">
            <v>#N/A</v>
          </cell>
          <cell r="L443" t="e">
            <v>#N/A</v>
          </cell>
          <cell r="M443" t="e">
            <v>#N/A</v>
          </cell>
          <cell r="N443" t="e">
            <v>#N/A</v>
          </cell>
          <cell r="O443" t="e">
            <v>#N/A</v>
          </cell>
          <cell r="P443">
            <v>54.49</v>
          </cell>
          <cell r="Q443">
            <v>2.0370589999999997</v>
          </cell>
          <cell r="R443" t="e">
            <v>#N/A</v>
          </cell>
        </row>
        <row r="444">
          <cell r="A444">
            <v>39861</v>
          </cell>
          <cell r="B444">
            <v>39861</v>
          </cell>
          <cell r="C444" t="str">
            <v>Past</v>
          </cell>
          <cell r="D444">
            <v>52.88</v>
          </cell>
          <cell r="E444" t="e">
            <v>#N/A</v>
          </cell>
          <cell r="F444" t="e">
            <v>#N/A</v>
          </cell>
          <cell r="G444" t="e">
            <v>#N/A</v>
          </cell>
          <cell r="H444" t="e">
            <v>#N/A</v>
          </cell>
          <cell r="I444" t="e">
            <v>#N/A</v>
          </cell>
          <cell r="J444" t="e">
            <v>#N/A</v>
          </cell>
          <cell r="K444" t="e">
            <v>#N/A</v>
          </cell>
          <cell r="L444" t="e">
            <v>#N/A</v>
          </cell>
          <cell r="M444" t="e">
            <v>#N/A</v>
          </cell>
          <cell r="N444" t="e">
            <v>#N/A</v>
          </cell>
          <cell r="O444" t="e">
            <v>#N/A</v>
          </cell>
          <cell r="P444">
            <v>52.88</v>
          </cell>
          <cell r="Q444">
            <v>3.1036519999999999</v>
          </cell>
          <cell r="R444" t="e">
            <v>#N/A</v>
          </cell>
        </row>
        <row r="445">
          <cell r="A445">
            <v>39862</v>
          </cell>
          <cell r="B445">
            <v>39862</v>
          </cell>
          <cell r="C445" t="str">
            <v>Past</v>
          </cell>
          <cell r="D445">
            <v>51.96</v>
          </cell>
          <cell r="E445" t="e">
            <v>#N/A</v>
          </cell>
          <cell r="F445" t="e">
            <v>#N/A</v>
          </cell>
          <cell r="G445" t="e">
            <v>#N/A</v>
          </cell>
          <cell r="H445" t="e">
            <v>#N/A</v>
          </cell>
          <cell r="I445" t="e">
            <v>#N/A</v>
          </cell>
          <cell r="J445" t="e">
            <v>#N/A</v>
          </cell>
          <cell r="K445" t="e">
            <v>#N/A</v>
          </cell>
          <cell r="L445" t="e">
            <v>#N/A</v>
          </cell>
          <cell r="M445" t="e">
            <v>#N/A</v>
          </cell>
          <cell r="N445" t="e">
            <v>#N/A</v>
          </cell>
          <cell r="O445" t="e">
            <v>#N/A</v>
          </cell>
          <cell r="P445">
            <v>51.96</v>
          </cell>
          <cell r="Q445">
            <v>2.690836</v>
          </cell>
          <cell r="R445" t="e">
            <v>#N/A</v>
          </cell>
        </row>
        <row r="446">
          <cell r="A446">
            <v>39863</v>
          </cell>
          <cell r="B446">
            <v>39863</v>
          </cell>
          <cell r="C446" t="str">
            <v>Past</v>
          </cell>
          <cell r="D446">
            <v>51.87</v>
          </cell>
          <cell r="E446" t="e">
            <v>#N/A</v>
          </cell>
          <cell r="F446" t="e">
            <v>#N/A</v>
          </cell>
          <cell r="G446" t="e">
            <v>#N/A</v>
          </cell>
          <cell r="H446" t="e">
            <v>#N/A</v>
          </cell>
          <cell r="I446" t="e">
            <v>#N/A</v>
          </cell>
          <cell r="J446" t="e">
            <v>#N/A</v>
          </cell>
          <cell r="K446" t="e">
            <v>#N/A</v>
          </cell>
          <cell r="L446" t="e">
            <v>#N/A</v>
          </cell>
          <cell r="M446" t="e">
            <v>#N/A</v>
          </cell>
          <cell r="N446" t="e">
            <v>#N/A</v>
          </cell>
          <cell r="O446" t="e">
            <v>#N/A</v>
          </cell>
          <cell r="P446">
            <v>51.87</v>
          </cell>
          <cell r="Q446">
            <v>3.0400959999999997</v>
          </cell>
          <cell r="R446" t="e">
            <v>#N/A</v>
          </cell>
        </row>
        <row r="447">
          <cell r="A447">
            <v>39864</v>
          </cell>
          <cell r="B447">
            <v>39864</v>
          </cell>
          <cell r="C447" t="str">
            <v>Past</v>
          </cell>
          <cell r="D447">
            <v>50.82</v>
          </cell>
          <cell r="E447" t="e">
            <v>#N/A</v>
          </cell>
          <cell r="F447" t="e">
            <v>#N/A</v>
          </cell>
          <cell r="G447" t="e">
            <v>#N/A</v>
          </cell>
          <cell r="H447" t="e">
            <v>#N/A</v>
          </cell>
          <cell r="I447" t="e">
            <v>#N/A</v>
          </cell>
          <cell r="J447" t="e">
            <v>#N/A</v>
          </cell>
          <cell r="K447" t="e">
            <v>#N/A</v>
          </cell>
          <cell r="L447" t="e">
            <v>#N/A</v>
          </cell>
          <cell r="M447" t="e">
            <v>#N/A</v>
          </cell>
          <cell r="N447" t="e">
            <v>#N/A</v>
          </cell>
          <cell r="O447" t="e">
            <v>#N/A</v>
          </cell>
          <cell r="P447">
            <v>50.82</v>
          </cell>
          <cell r="Q447">
            <v>4.0806040000000001</v>
          </cell>
          <cell r="R447" t="e">
            <v>#N/A</v>
          </cell>
        </row>
        <row r="448">
          <cell r="A448">
            <v>39867</v>
          </cell>
          <cell r="B448">
            <v>39867</v>
          </cell>
          <cell r="C448" t="str">
            <v>Past</v>
          </cell>
          <cell r="D448">
            <v>48.94</v>
          </cell>
          <cell r="E448" t="e">
            <v>#N/A</v>
          </cell>
          <cell r="F448" t="e">
            <v>#N/A</v>
          </cell>
          <cell r="G448" t="e">
            <v>#N/A</v>
          </cell>
          <cell r="H448" t="e">
            <v>#N/A</v>
          </cell>
          <cell r="I448" t="e">
            <v>#N/A</v>
          </cell>
          <cell r="J448" t="e">
            <v>#N/A</v>
          </cell>
          <cell r="K448" t="e">
            <v>#N/A</v>
          </cell>
          <cell r="L448" t="e">
            <v>#N/A</v>
          </cell>
          <cell r="M448" t="e">
            <v>#N/A</v>
          </cell>
          <cell r="N448" t="e">
            <v>#N/A</v>
          </cell>
          <cell r="O448" t="e">
            <v>#N/A</v>
          </cell>
          <cell r="P448">
            <v>48.94</v>
          </cell>
          <cell r="Q448">
            <v>2.2190949999999998</v>
          </cell>
          <cell r="R448" t="e">
            <v>#N/A</v>
          </cell>
        </row>
        <row r="449">
          <cell r="A449">
            <v>39868</v>
          </cell>
          <cell r="B449">
            <v>39868</v>
          </cell>
          <cell r="C449" t="str">
            <v>Past</v>
          </cell>
          <cell r="D449">
            <v>49.02</v>
          </cell>
          <cell r="E449" t="e">
            <v>#N/A</v>
          </cell>
          <cell r="F449" t="e">
            <v>#N/A</v>
          </cell>
          <cell r="G449" t="e">
            <v>#N/A</v>
          </cell>
          <cell r="H449" t="e">
            <v>#N/A</v>
          </cell>
          <cell r="I449" t="e">
            <v>#N/A</v>
          </cell>
          <cell r="J449" t="e">
            <v>#N/A</v>
          </cell>
          <cell r="K449" t="e">
            <v>#N/A</v>
          </cell>
          <cell r="L449" t="e">
            <v>#N/A</v>
          </cell>
          <cell r="M449" t="e">
            <v>#N/A</v>
          </cell>
          <cell r="N449" t="e">
            <v>#N/A</v>
          </cell>
          <cell r="O449" t="e">
            <v>#N/A</v>
          </cell>
          <cell r="P449">
            <v>49.02</v>
          </cell>
          <cell r="Q449">
            <v>3.9338469999999996</v>
          </cell>
          <cell r="R449" t="e">
            <v>#N/A</v>
          </cell>
        </row>
        <row r="450">
          <cell r="A450">
            <v>39869</v>
          </cell>
          <cell r="B450">
            <v>39869</v>
          </cell>
          <cell r="C450" t="str">
            <v>Past</v>
          </cell>
          <cell r="D450">
            <v>46.54</v>
          </cell>
          <cell r="E450" t="e">
            <v>#N/A</v>
          </cell>
          <cell r="F450" t="e">
            <v>#N/A</v>
          </cell>
          <cell r="G450" t="e">
            <v>#N/A</v>
          </cell>
          <cell r="H450" t="e">
            <v>#N/A</v>
          </cell>
          <cell r="I450" t="e">
            <v>#N/A</v>
          </cell>
          <cell r="J450" t="e">
            <v>#N/A</v>
          </cell>
          <cell r="K450" t="e">
            <v>#N/A</v>
          </cell>
          <cell r="L450" t="e">
            <v>#N/A</v>
          </cell>
          <cell r="M450" t="e">
            <v>#N/A</v>
          </cell>
          <cell r="N450" t="e">
            <v>#N/A</v>
          </cell>
          <cell r="O450" t="e">
            <v>#N/A</v>
          </cell>
          <cell r="P450">
            <v>46.54</v>
          </cell>
          <cell r="Q450">
            <v>5.0784760000000002</v>
          </cell>
          <cell r="R450" t="e">
            <v>#N/A</v>
          </cell>
        </row>
        <row r="451">
          <cell r="A451">
            <v>39870</v>
          </cell>
          <cell r="B451">
            <v>39870</v>
          </cell>
          <cell r="C451" t="str">
            <v>Past</v>
          </cell>
          <cell r="D451">
            <v>45.68</v>
          </cell>
          <cell r="E451" t="e">
            <v>#N/A</v>
          </cell>
          <cell r="F451" t="e">
            <v>#N/A</v>
          </cell>
          <cell r="G451" t="e">
            <v>#N/A</v>
          </cell>
          <cell r="H451" t="e">
            <v>#N/A</v>
          </cell>
          <cell r="I451" t="e">
            <v>#N/A</v>
          </cell>
          <cell r="J451" t="e">
            <v>#N/A</v>
          </cell>
          <cell r="K451" t="e">
            <v>#N/A</v>
          </cell>
          <cell r="L451" t="e">
            <v>#N/A</v>
          </cell>
          <cell r="M451" t="e">
            <v>#N/A</v>
          </cell>
          <cell r="N451" t="e">
            <v>#N/A</v>
          </cell>
          <cell r="O451" t="e">
            <v>#N/A</v>
          </cell>
          <cell r="P451">
            <v>45.68</v>
          </cell>
          <cell r="Q451">
            <v>2.8676969999999997</v>
          </cell>
          <cell r="R451" t="e">
            <v>#N/A</v>
          </cell>
        </row>
        <row r="452">
          <cell r="A452">
            <v>39871</v>
          </cell>
          <cell r="B452">
            <v>39871</v>
          </cell>
          <cell r="C452" t="str">
            <v>Past</v>
          </cell>
          <cell r="D452">
            <v>43.82</v>
          </cell>
          <cell r="E452" t="e">
            <v>#N/A</v>
          </cell>
          <cell r="F452" t="e">
            <v>#N/A</v>
          </cell>
          <cell r="G452" t="e">
            <v>#N/A</v>
          </cell>
          <cell r="H452" t="e">
            <v>#N/A</v>
          </cell>
          <cell r="I452" t="e">
            <v>#N/A</v>
          </cell>
          <cell r="J452" t="e">
            <v>#N/A</v>
          </cell>
          <cell r="K452" t="e">
            <v>#N/A</v>
          </cell>
          <cell r="L452" t="e">
            <v>#N/A</v>
          </cell>
          <cell r="M452" t="e">
            <v>#N/A</v>
          </cell>
          <cell r="N452" t="e">
            <v>#N/A</v>
          </cell>
          <cell r="O452" t="e">
            <v>#N/A</v>
          </cell>
          <cell r="P452">
            <v>43.82</v>
          </cell>
          <cell r="Q452">
            <v>3.5662849999999997</v>
          </cell>
          <cell r="R452" t="e">
            <v>#N/A</v>
          </cell>
        </row>
        <row r="453">
          <cell r="A453">
            <v>39874</v>
          </cell>
          <cell r="B453">
            <v>39874</v>
          </cell>
          <cell r="C453" t="str">
            <v>Past</v>
          </cell>
          <cell r="D453">
            <v>41.05</v>
          </cell>
          <cell r="E453" t="e">
            <v>#N/A</v>
          </cell>
          <cell r="F453" t="e">
            <v>#N/A</v>
          </cell>
          <cell r="G453" t="e">
            <v>#N/A</v>
          </cell>
          <cell r="H453" t="e">
            <v>#N/A</v>
          </cell>
          <cell r="I453" t="e">
            <v>#N/A</v>
          </cell>
          <cell r="J453" t="e">
            <v>#N/A</v>
          </cell>
          <cell r="K453" t="e">
            <v>#N/A</v>
          </cell>
          <cell r="L453" t="e">
            <v>#N/A</v>
          </cell>
          <cell r="M453" t="e">
            <v>#N/A</v>
          </cell>
          <cell r="N453" t="e">
            <v>#N/A</v>
          </cell>
          <cell r="O453" t="e">
            <v>#N/A</v>
          </cell>
          <cell r="P453">
            <v>41.05</v>
          </cell>
          <cell r="Q453">
            <v>5.0633080000000001</v>
          </cell>
          <cell r="R453" t="e">
            <v>#N/A</v>
          </cell>
        </row>
        <row r="454">
          <cell r="A454">
            <v>39875</v>
          </cell>
          <cell r="B454">
            <v>39875</v>
          </cell>
          <cell r="C454" t="str">
            <v>Past</v>
          </cell>
          <cell r="D454">
            <v>39.83</v>
          </cell>
          <cell r="E454" t="e">
            <v>#N/A</v>
          </cell>
          <cell r="F454" t="e">
            <v>#N/A</v>
          </cell>
          <cell r="G454" t="e">
            <v>#N/A</v>
          </cell>
          <cell r="H454" t="e">
            <v>#N/A</v>
          </cell>
          <cell r="I454" t="e">
            <v>#N/A</v>
          </cell>
          <cell r="J454" t="e">
            <v>#N/A</v>
          </cell>
          <cell r="K454" t="e">
            <v>#N/A</v>
          </cell>
          <cell r="L454" t="e">
            <v>#N/A</v>
          </cell>
          <cell r="M454" t="e">
            <v>#N/A</v>
          </cell>
          <cell r="N454" t="e">
            <v>#N/A</v>
          </cell>
          <cell r="O454" t="e">
            <v>#N/A</v>
          </cell>
          <cell r="P454">
            <v>39.83</v>
          </cell>
          <cell r="Q454">
            <v>4.8762219999999994</v>
          </cell>
          <cell r="R454" t="e">
            <v>#N/A</v>
          </cell>
        </row>
        <row r="455">
          <cell r="A455">
            <v>39876</v>
          </cell>
          <cell r="B455">
            <v>39876</v>
          </cell>
          <cell r="C455" t="str">
            <v>Past</v>
          </cell>
          <cell r="D455">
            <v>40.22</v>
          </cell>
          <cell r="E455" t="e">
            <v>#N/A</v>
          </cell>
          <cell r="F455" t="e">
            <v>#N/A</v>
          </cell>
          <cell r="G455" t="e">
            <v>#N/A</v>
          </cell>
          <cell r="H455" t="e">
            <v>#N/A</v>
          </cell>
          <cell r="I455" t="e">
            <v>#N/A</v>
          </cell>
          <cell r="J455" t="e">
            <v>#N/A</v>
          </cell>
          <cell r="K455" t="e">
            <v>#N/A</v>
          </cell>
          <cell r="L455" t="e">
            <v>#N/A</v>
          </cell>
          <cell r="M455" t="e">
            <v>#N/A</v>
          </cell>
          <cell r="N455" t="e">
            <v>#N/A</v>
          </cell>
          <cell r="O455" t="e">
            <v>#N/A</v>
          </cell>
          <cell r="P455">
            <v>40.22</v>
          </cell>
          <cell r="Q455">
            <v>7.1071929999999996</v>
          </cell>
          <cell r="R455" t="e">
            <v>#N/A</v>
          </cell>
        </row>
        <row r="456">
          <cell r="A456">
            <v>39877</v>
          </cell>
          <cell r="B456">
            <v>39877</v>
          </cell>
          <cell r="C456" t="str">
            <v>Past</v>
          </cell>
          <cell r="D456">
            <v>37.380000000000003</v>
          </cell>
          <cell r="E456" t="e">
            <v>#N/A</v>
          </cell>
          <cell r="F456" t="e">
            <v>#N/A</v>
          </cell>
          <cell r="G456" t="e">
            <v>#N/A</v>
          </cell>
          <cell r="H456" t="e">
            <v>#N/A</v>
          </cell>
          <cell r="I456" t="e">
            <v>#N/A</v>
          </cell>
          <cell r="J456" t="e">
            <v>#N/A</v>
          </cell>
          <cell r="K456" t="e">
            <v>#N/A</v>
          </cell>
          <cell r="L456" t="e">
            <v>#N/A</v>
          </cell>
          <cell r="M456" t="e">
            <v>#N/A</v>
          </cell>
          <cell r="N456" t="e">
            <v>#N/A</v>
          </cell>
          <cell r="O456" t="e">
            <v>#N/A</v>
          </cell>
          <cell r="P456">
            <v>37.380000000000003</v>
          </cell>
          <cell r="Q456">
            <v>10.6652</v>
          </cell>
          <cell r="R456" t="e">
            <v>#N/A</v>
          </cell>
        </row>
        <row r="457">
          <cell r="A457">
            <v>39878</v>
          </cell>
          <cell r="B457">
            <v>39878</v>
          </cell>
          <cell r="C457" t="str">
            <v>Past</v>
          </cell>
          <cell r="D457">
            <v>36.49</v>
          </cell>
          <cell r="E457" t="e">
            <v>#N/A</v>
          </cell>
          <cell r="F457" t="e">
            <v>#N/A</v>
          </cell>
          <cell r="G457" t="e">
            <v>#N/A</v>
          </cell>
          <cell r="H457" t="e">
            <v>#N/A</v>
          </cell>
          <cell r="I457" t="e">
            <v>#N/A</v>
          </cell>
          <cell r="J457" t="e">
            <v>#N/A</v>
          </cell>
          <cell r="K457" t="e">
            <v>#N/A</v>
          </cell>
          <cell r="L457" t="e">
            <v>#N/A</v>
          </cell>
          <cell r="M457" t="e">
            <v>#N/A</v>
          </cell>
          <cell r="N457" t="e">
            <v>#N/A</v>
          </cell>
          <cell r="O457" t="e">
            <v>#N/A</v>
          </cell>
          <cell r="P457">
            <v>36.49</v>
          </cell>
          <cell r="Q457">
            <v>7.4985349999999995</v>
          </cell>
          <cell r="R457" t="e">
            <v>#N/A</v>
          </cell>
        </row>
        <row r="458">
          <cell r="A458">
            <v>39881</v>
          </cell>
          <cell r="B458">
            <v>39881</v>
          </cell>
          <cell r="C458" t="str">
            <v>Past</v>
          </cell>
          <cell r="D458">
            <v>36.31</v>
          </cell>
          <cell r="E458" t="e">
            <v>#N/A</v>
          </cell>
          <cell r="F458" t="e">
            <v>#N/A</v>
          </cell>
          <cell r="G458" t="e">
            <v>#N/A</v>
          </cell>
          <cell r="H458" t="e">
            <v>#N/A</v>
          </cell>
          <cell r="I458" t="e">
            <v>#N/A</v>
          </cell>
          <cell r="J458" t="e">
            <v>#N/A</v>
          </cell>
          <cell r="K458" t="e">
            <v>#N/A</v>
          </cell>
          <cell r="L458" t="e">
            <v>#N/A</v>
          </cell>
          <cell r="M458" t="e">
            <v>#N/A</v>
          </cell>
          <cell r="N458" t="e">
            <v>#N/A</v>
          </cell>
          <cell r="O458" t="e">
            <v>#N/A</v>
          </cell>
          <cell r="P458">
            <v>36.31</v>
          </cell>
          <cell r="Q458">
            <v>5.2917779999999999</v>
          </cell>
          <cell r="R458" t="e">
            <v>#N/A</v>
          </cell>
        </row>
        <row r="459">
          <cell r="A459">
            <v>39882</v>
          </cell>
          <cell r="B459">
            <v>39882</v>
          </cell>
          <cell r="C459" t="str">
            <v>Past</v>
          </cell>
          <cell r="D459">
            <v>37.6</v>
          </cell>
          <cell r="E459" t="e">
            <v>#N/A</v>
          </cell>
          <cell r="F459" t="e">
            <v>#N/A</v>
          </cell>
          <cell r="G459" t="e">
            <v>#N/A</v>
          </cell>
          <cell r="H459" t="e">
            <v>#N/A</v>
          </cell>
          <cell r="I459" t="e">
            <v>#N/A</v>
          </cell>
          <cell r="J459" t="e">
            <v>#N/A</v>
          </cell>
          <cell r="K459" t="e">
            <v>#N/A</v>
          </cell>
          <cell r="L459" t="e">
            <v>#N/A</v>
          </cell>
          <cell r="M459" t="e">
            <v>#N/A</v>
          </cell>
          <cell r="N459" t="e">
            <v>#N/A</v>
          </cell>
          <cell r="O459" t="e">
            <v>#N/A</v>
          </cell>
          <cell r="P459">
            <v>37.6</v>
          </cell>
          <cell r="Q459">
            <v>4.2916369999999997</v>
          </cell>
          <cell r="R459" t="e">
            <v>#N/A</v>
          </cell>
        </row>
        <row r="460">
          <cell r="A460">
            <v>39883</v>
          </cell>
          <cell r="B460">
            <v>39883</v>
          </cell>
          <cell r="C460" t="str">
            <v>Past</v>
          </cell>
          <cell r="D460">
            <v>36.409999999999997</v>
          </cell>
          <cell r="E460" t="e">
            <v>#N/A</v>
          </cell>
          <cell r="F460" t="e">
            <v>#N/A</v>
          </cell>
          <cell r="G460" t="e">
            <v>#N/A</v>
          </cell>
          <cell r="H460" t="e">
            <v>#N/A</v>
          </cell>
          <cell r="I460" t="e">
            <v>#N/A</v>
          </cell>
          <cell r="J460" t="e">
            <v>#N/A</v>
          </cell>
          <cell r="K460" t="e">
            <v>#N/A</v>
          </cell>
          <cell r="L460" t="e">
            <v>#N/A</v>
          </cell>
          <cell r="M460" t="e">
            <v>#N/A</v>
          </cell>
          <cell r="N460" t="e">
            <v>#N/A</v>
          </cell>
          <cell r="O460" t="e">
            <v>#N/A</v>
          </cell>
          <cell r="P460">
            <v>36.409999999999997</v>
          </cell>
          <cell r="Q460">
            <v>4.4459629999999999</v>
          </cell>
          <cell r="R460" t="e">
            <v>#N/A</v>
          </cell>
        </row>
        <row r="461">
          <cell r="A461">
            <v>39884</v>
          </cell>
          <cell r="B461">
            <v>39884</v>
          </cell>
          <cell r="C461" t="str">
            <v>Past</v>
          </cell>
          <cell r="D461">
            <v>37.57</v>
          </cell>
          <cell r="E461" t="e">
            <v>#N/A</v>
          </cell>
          <cell r="F461" t="e">
            <v>#N/A</v>
          </cell>
          <cell r="G461" t="e">
            <v>#N/A</v>
          </cell>
          <cell r="H461" t="e">
            <v>#N/A</v>
          </cell>
          <cell r="I461" t="e">
            <v>#N/A</v>
          </cell>
          <cell r="J461" t="e">
            <v>#N/A</v>
          </cell>
          <cell r="K461" t="e">
            <v>#N/A</v>
          </cell>
          <cell r="L461" t="e">
            <v>#N/A</v>
          </cell>
          <cell r="M461" t="e">
            <v>#N/A</v>
          </cell>
          <cell r="N461" t="e">
            <v>#N/A</v>
          </cell>
          <cell r="O461" t="e">
            <v>#N/A</v>
          </cell>
          <cell r="P461">
            <v>37.57</v>
          </cell>
          <cell r="Q461">
            <v>4.2113809999999994</v>
          </cell>
          <cell r="R461" t="e">
            <v>#N/A</v>
          </cell>
        </row>
        <row r="462">
          <cell r="A462">
            <v>39885</v>
          </cell>
          <cell r="B462">
            <v>39885</v>
          </cell>
          <cell r="C462" t="str">
            <v>Past</v>
          </cell>
          <cell r="D462">
            <v>37.6</v>
          </cell>
          <cell r="E462" t="e">
            <v>#N/A</v>
          </cell>
          <cell r="F462" t="e">
            <v>#N/A</v>
          </cell>
          <cell r="G462" t="e">
            <v>#N/A</v>
          </cell>
          <cell r="H462" t="e">
            <v>#N/A</v>
          </cell>
          <cell r="I462" t="e">
            <v>#N/A</v>
          </cell>
          <cell r="J462" t="e">
            <v>#N/A</v>
          </cell>
          <cell r="K462" t="e">
            <v>#N/A</v>
          </cell>
          <cell r="L462" t="e">
            <v>#N/A</v>
          </cell>
          <cell r="M462" t="e">
            <v>#N/A</v>
          </cell>
          <cell r="N462" t="e">
            <v>#N/A</v>
          </cell>
          <cell r="O462" t="e">
            <v>#N/A</v>
          </cell>
          <cell r="P462">
            <v>37.6</v>
          </cell>
          <cell r="Q462">
            <v>3.9677529999999996</v>
          </cell>
          <cell r="R462" t="e">
            <v>#N/A</v>
          </cell>
        </row>
        <row r="463">
          <cell r="A463">
            <v>39888</v>
          </cell>
          <cell r="B463">
            <v>39888</v>
          </cell>
          <cell r="C463" t="str">
            <v>Past</v>
          </cell>
          <cell r="D463">
            <v>39.049999999999997</v>
          </cell>
          <cell r="E463" t="e">
            <v>#N/A</v>
          </cell>
          <cell r="F463" t="e">
            <v>#N/A</v>
          </cell>
          <cell r="G463" t="e">
            <v>#N/A</v>
          </cell>
          <cell r="H463" t="e">
            <v>#N/A</v>
          </cell>
          <cell r="I463" t="e">
            <v>#N/A</v>
          </cell>
          <cell r="J463" t="e">
            <v>#N/A</v>
          </cell>
          <cell r="K463" t="e">
            <v>#N/A</v>
          </cell>
          <cell r="L463" t="e">
            <v>#N/A</v>
          </cell>
          <cell r="M463" t="e">
            <v>#N/A</v>
          </cell>
          <cell r="N463" t="e">
            <v>#N/A</v>
          </cell>
          <cell r="O463" t="e">
            <v>#N/A</v>
          </cell>
          <cell r="P463">
            <v>39.049999999999997</v>
          </cell>
          <cell r="Q463">
            <v>4.3051309999999994</v>
          </cell>
          <cell r="R463" t="e">
            <v>#N/A</v>
          </cell>
        </row>
        <row r="464">
          <cell r="A464">
            <v>39889</v>
          </cell>
          <cell r="B464">
            <v>39889</v>
          </cell>
          <cell r="C464" t="str">
            <v>Past</v>
          </cell>
          <cell r="D464">
            <v>39.549999999999997</v>
          </cell>
          <cell r="E464" t="e">
            <v>#N/A</v>
          </cell>
          <cell r="F464" t="e">
            <v>#N/A</v>
          </cell>
          <cell r="G464" t="e">
            <v>#N/A</v>
          </cell>
          <cell r="H464" t="e">
            <v>#N/A</v>
          </cell>
          <cell r="I464" t="e">
            <v>#N/A</v>
          </cell>
          <cell r="J464" t="e">
            <v>#N/A</v>
          </cell>
          <cell r="K464" t="e">
            <v>#N/A</v>
          </cell>
          <cell r="L464" t="e">
            <v>#N/A</v>
          </cell>
          <cell r="M464" t="e">
            <v>#N/A</v>
          </cell>
          <cell r="N464" t="e">
            <v>#N/A</v>
          </cell>
          <cell r="O464" t="e">
            <v>#N/A</v>
          </cell>
          <cell r="P464">
            <v>39.549999999999997</v>
          </cell>
          <cell r="Q464">
            <v>3.4064600000000005</v>
          </cell>
          <cell r="R464" t="e">
            <v>#N/A</v>
          </cell>
        </row>
        <row r="465">
          <cell r="A465">
            <v>39890</v>
          </cell>
          <cell r="B465">
            <v>39890</v>
          </cell>
          <cell r="C465" t="str">
            <v>Past</v>
          </cell>
          <cell r="D465">
            <v>39.22</v>
          </cell>
          <cell r="E465" t="e">
            <v>#N/A</v>
          </cell>
          <cell r="F465" t="e">
            <v>#N/A</v>
          </cell>
          <cell r="G465" t="e">
            <v>#N/A</v>
          </cell>
          <cell r="H465" t="e">
            <v>#N/A</v>
          </cell>
          <cell r="I465" t="e">
            <v>#N/A</v>
          </cell>
          <cell r="J465" t="e">
            <v>#N/A</v>
          </cell>
          <cell r="K465" t="e">
            <v>#N/A</v>
          </cell>
          <cell r="L465" t="e">
            <v>#N/A</v>
          </cell>
          <cell r="M465" t="e">
            <v>#N/A</v>
          </cell>
          <cell r="N465" t="e">
            <v>#N/A</v>
          </cell>
          <cell r="O465" t="e">
            <v>#N/A</v>
          </cell>
          <cell r="P465">
            <v>39.22</v>
          </cell>
          <cell r="Q465">
            <v>4.4639049999999996</v>
          </cell>
          <cell r="R465" t="e">
            <v>#N/A</v>
          </cell>
        </row>
        <row r="466">
          <cell r="A466">
            <v>39891</v>
          </cell>
          <cell r="B466">
            <v>39891</v>
          </cell>
          <cell r="C466" t="str">
            <v>Past</v>
          </cell>
          <cell r="D466">
            <v>37.86</v>
          </cell>
          <cell r="E466" t="e">
            <v>#N/A</v>
          </cell>
          <cell r="F466" t="e">
            <v>#N/A</v>
          </cell>
          <cell r="G466" t="e">
            <v>#N/A</v>
          </cell>
          <cell r="H466" t="e">
            <v>#N/A</v>
          </cell>
          <cell r="I466" t="e">
            <v>#N/A</v>
          </cell>
          <cell r="J466" t="e">
            <v>#N/A</v>
          </cell>
          <cell r="K466" t="e">
            <v>#N/A</v>
          </cell>
          <cell r="L466" t="e">
            <v>#N/A</v>
          </cell>
          <cell r="M466" t="e">
            <v>#N/A</v>
          </cell>
          <cell r="N466" t="e">
            <v>#N/A</v>
          </cell>
          <cell r="O466" t="e">
            <v>#N/A</v>
          </cell>
          <cell r="P466">
            <v>37.86</v>
          </cell>
          <cell r="Q466">
            <v>5.6530909999999999</v>
          </cell>
          <cell r="R466" t="e">
            <v>#N/A</v>
          </cell>
        </row>
        <row r="467">
          <cell r="A467">
            <v>39892</v>
          </cell>
          <cell r="B467">
            <v>39892</v>
          </cell>
          <cell r="C467" t="str">
            <v>Past</v>
          </cell>
          <cell r="D467">
            <v>37.65</v>
          </cell>
          <cell r="E467" t="e">
            <v>#N/A</v>
          </cell>
          <cell r="F467" t="e">
            <v>#N/A</v>
          </cell>
          <cell r="G467" t="e">
            <v>#N/A</v>
          </cell>
          <cell r="H467" t="e">
            <v>#N/A</v>
          </cell>
          <cell r="I467" t="e">
            <v>#N/A</v>
          </cell>
          <cell r="J467" t="e">
            <v>#N/A</v>
          </cell>
          <cell r="K467" t="e">
            <v>#N/A</v>
          </cell>
          <cell r="L467" t="e">
            <v>#N/A</v>
          </cell>
          <cell r="M467" t="e">
            <v>#N/A</v>
          </cell>
          <cell r="N467" t="e">
            <v>#N/A</v>
          </cell>
          <cell r="O467" t="e">
            <v>#N/A</v>
          </cell>
          <cell r="P467">
            <v>37.65</v>
          </cell>
          <cell r="Q467">
            <v>4.4139039999999996</v>
          </cell>
          <cell r="R467" t="e">
            <v>#N/A</v>
          </cell>
        </row>
        <row r="468">
          <cell r="A468">
            <v>39895</v>
          </cell>
          <cell r="B468">
            <v>39895</v>
          </cell>
          <cell r="C468" t="str">
            <v>Past</v>
          </cell>
          <cell r="D468">
            <v>39.64</v>
          </cell>
          <cell r="E468" t="e">
            <v>#N/A</v>
          </cell>
          <cell r="F468" t="e">
            <v>#N/A</v>
          </cell>
          <cell r="G468" t="e">
            <v>#N/A</v>
          </cell>
          <cell r="H468" t="e">
            <v>#N/A</v>
          </cell>
          <cell r="I468" t="e">
            <v>#N/A</v>
          </cell>
          <cell r="J468" t="e">
            <v>#N/A</v>
          </cell>
          <cell r="K468" t="e">
            <v>#N/A</v>
          </cell>
          <cell r="L468" t="e">
            <v>#N/A</v>
          </cell>
          <cell r="M468" t="e">
            <v>#N/A</v>
          </cell>
          <cell r="N468" t="e">
            <v>#N/A</v>
          </cell>
          <cell r="O468" t="e">
            <v>#N/A</v>
          </cell>
          <cell r="P468">
            <v>39.64</v>
          </cell>
          <cell r="Q468">
            <v>4.3599449999999997</v>
          </cell>
          <cell r="R468" t="e">
            <v>#N/A</v>
          </cell>
        </row>
        <row r="469">
          <cell r="A469">
            <v>39896</v>
          </cell>
          <cell r="B469">
            <v>39896</v>
          </cell>
          <cell r="C469" t="str">
            <v>Past</v>
          </cell>
          <cell r="D469">
            <v>39.5</v>
          </cell>
          <cell r="E469" t="e">
            <v>#N/A</v>
          </cell>
          <cell r="F469" t="e">
            <v>#N/A</v>
          </cell>
          <cell r="G469" t="e">
            <v>#N/A</v>
          </cell>
          <cell r="H469" t="e">
            <v>#N/A</v>
          </cell>
          <cell r="I469" t="e">
            <v>#N/A</v>
          </cell>
          <cell r="J469" t="e">
            <v>#N/A</v>
          </cell>
          <cell r="K469" t="e">
            <v>#N/A</v>
          </cell>
          <cell r="L469" t="e">
            <v>#N/A</v>
          </cell>
          <cell r="M469" t="e">
            <v>#N/A</v>
          </cell>
          <cell r="N469" t="e">
            <v>#N/A</v>
          </cell>
          <cell r="O469" t="e">
            <v>#N/A</v>
          </cell>
          <cell r="P469">
            <v>39.5</v>
          </cell>
          <cell r="Q469">
            <v>4.2064969999999997</v>
          </cell>
          <cell r="R469" t="e">
            <v>#N/A</v>
          </cell>
        </row>
        <row r="470">
          <cell r="A470">
            <v>39897</v>
          </cell>
          <cell r="B470">
            <v>39897</v>
          </cell>
          <cell r="C470" t="str">
            <v>Past</v>
          </cell>
          <cell r="D470">
            <v>40.31</v>
          </cell>
          <cell r="E470" t="e">
            <v>#N/A</v>
          </cell>
          <cell r="F470" t="e">
            <v>#N/A</v>
          </cell>
          <cell r="G470" t="e">
            <v>#N/A</v>
          </cell>
          <cell r="H470" t="e">
            <v>#N/A</v>
          </cell>
          <cell r="I470" t="e">
            <v>#N/A</v>
          </cell>
          <cell r="J470" t="e">
            <v>#N/A</v>
          </cell>
          <cell r="K470" t="e">
            <v>#N/A</v>
          </cell>
          <cell r="L470" t="e">
            <v>#N/A</v>
          </cell>
          <cell r="M470" t="e">
            <v>#N/A</v>
          </cell>
          <cell r="N470" t="e">
            <v>#N/A</v>
          </cell>
          <cell r="O470" t="e">
            <v>#N/A</v>
          </cell>
          <cell r="P470">
            <v>40.31</v>
          </cell>
          <cell r="Q470">
            <v>3.6856589999999998</v>
          </cell>
          <cell r="R470" t="e">
            <v>#N/A</v>
          </cell>
        </row>
        <row r="471">
          <cell r="A471">
            <v>39898</v>
          </cell>
          <cell r="B471">
            <v>39898</v>
          </cell>
          <cell r="C471" t="str">
            <v>Past</v>
          </cell>
          <cell r="D471">
            <v>43.07</v>
          </cell>
          <cell r="E471" t="e">
            <v>#N/A</v>
          </cell>
          <cell r="F471" t="e">
            <v>#N/A</v>
          </cell>
          <cell r="G471" t="e">
            <v>#N/A</v>
          </cell>
          <cell r="H471" t="e">
            <v>#N/A</v>
          </cell>
          <cell r="I471" t="e">
            <v>#N/A</v>
          </cell>
          <cell r="J471" t="e">
            <v>#N/A</v>
          </cell>
          <cell r="K471" t="e">
            <v>#N/A</v>
          </cell>
          <cell r="L471" t="e">
            <v>#N/A</v>
          </cell>
          <cell r="M471" t="e">
            <v>#N/A</v>
          </cell>
          <cell r="N471" t="e">
            <v>#N/A</v>
          </cell>
          <cell r="O471" t="e">
            <v>#N/A</v>
          </cell>
          <cell r="P471">
            <v>43.07</v>
          </cell>
          <cell r="Q471">
            <v>4.8744319999999997</v>
          </cell>
          <cell r="R471" t="e">
            <v>#N/A</v>
          </cell>
        </row>
        <row r="472">
          <cell r="A472">
            <v>39899</v>
          </cell>
          <cell r="B472">
            <v>39899</v>
          </cell>
          <cell r="C472" t="str">
            <v>Past</v>
          </cell>
          <cell r="D472">
            <v>43.12</v>
          </cell>
          <cell r="E472" t="e">
            <v>#N/A</v>
          </cell>
          <cell r="F472" t="e">
            <v>#N/A</v>
          </cell>
          <cell r="G472" t="e">
            <v>#N/A</v>
          </cell>
          <cell r="H472" t="e">
            <v>#N/A</v>
          </cell>
          <cell r="I472" t="e">
            <v>#N/A</v>
          </cell>
          <cell r="J472" t="e">
            <v>#N/A</v>
          </cell>
          <cell r="K472" t="e">
            <v>#N/A</v>
          </cell>
          <cell r="L472" t="e">
            <v>#N/A</v>
          </cell>
          <cell r="M472" t="e">
            <v>#N/A</v>
          </cell>
          <cell r="N472" t="e">
            <v>#N/A</v>
          </cell>
          <cell r="O472" t="e">
            <v>#N/A</v>
          </cell>
          <cell r="P472">
            <v>43.12</v>
          </cell>
          <cell r="Q472">
            <v>4.6524919999999996</v>
          </cell>
          <cell r="R472" t="e">
            <v>#N/A</v>
          </cell>
        </row>
        <row r="473">
          <cell r="A473">
            <v>39902</v>
          </cell>
          <cell r="B473">
            <v>39902</v>
          </cell>
          <cell r="C473" t="str">
            <v>Past</v>
          </cell>
          <cell r="D473">
            <v>42.34</v>
          </cell>
          <cell r="E473" t="e">
            <v>#N/A</v>
          </cell>
          <cell r="F473" t="e">
            <v>#N/A</v>
          </cell>
          <cell r="G473" t="e">
            <v>#N/A</v>
          </cell>
          <cell r="H473" t="e">
            <v>#N/A</v>
          </cell>
          <cell r="I473" t="e">
            <v>#N/A</v>
          </cell>
          <cell r="J473" t="e">
            <v>#N/A</v>
          </cell>
          <cell r="K473" t="e">
            <v>#N/A</v>
          </cell>
          <cell r="L473" t="e">
            <v>#N/A</v>
          </cell>
          <cell r="M473" t="e">
            <v>#N/A</v>
          </cell>
          <cell r="N473" t="e">
            <v>#N/A</v>
          </cell>
          <cell r="O473" t="e">
            <v>#N/A</v>
          </cell>
          <cell r="P473">
            <v>42.34</v>
          </cell>
          <cell r="Q473">
            <v>5.5851159999999993</v>
          </cell>
          <cell r="R473" t="e">
            <v>#N/A</v>
          </cell>
        </row>
        <row r="474">
          <cell r="A474">
            <v>39903</v>
          </cell>
          <cell r="B474">
            <v>39903</v>
          </cell>
          <cell r="C474" t="str">
            <v>Past</v>
          </cell>
          <cell r="D474">
            <v>41.59</v>
          </cell>
          <cell r="E474" t="e">
            <v>#N/A</v>
          </cell>
          <cell r="F474" t="e">
            <v>#N/A</v>
          </cell>
          <cell r="G474" t="e">
            <v>#N/A</v>
          </cell>
          <cell r="H474" t="e">
            <v>#N/A</v>
          </cell>
          <cell r="I474" t="e">
            <v>#N/A</v>
          </cell>
          <cell r="J474" t="e">
            <v>#N/A</v>
          </cell>
          <cell r="K474" t="e">
            <v>#N/A</v>
          </cell>
          <cell r="L474" t="e">
            <v>#N/A</v>
          </cell>
          <cell r="M474" t="e">
            <v>#N/A</v>
          </cell>
          <cell r="N474" t="e">
            <v>#N/A</v>
          </cell>
          <cell r="O474" t="e">
            <v>#N/A</v>
          </cell>
          <cell r="P474">
            <v>41.59</v>
          </cell>
          <cell r="Q474">
            <v>4.7996449999999999</v>
          </cell>
          <cell r="R474" t="e">
            <v>#N/A</v>
          </cell>
        </row>
        <row r="475">
          <cell r="A475">
            <v>39904</v>
          </cell>
          <cell r="B475">
            <v>39904</v>
          </cell>
          <cell r="C475" t="str">
            <v>Past</v>
          </cell>
          <cell r="D475">
            <v>42.19</v>
          </cell>
          <cell r="E475" t="e">
            <v>#N/A</v>
          </cell>
          <cell r="F475" t="e">
            <v>#N/A</v>
          </cell>
          <cell r="G475" t="e">
            <v>#N/A</v>
          </cell>
          <cell r="H475" t="e">
            <v>#N/A</v>
          </cell>
          <cell r="I475" t="e">
            <v>#N/A</v>
          </cell>
          <cell r="J475" t="e">
            <v>#N/A</v>
          </cell>
          <cell r="K475" t="e">
            <v>#N/A</v>
          </cell>
          <cell r="L475" t="e">
            <v>#N/A</v>
          </cell>
          <cell r="M475" t="e">
            <v>#N/A</v>
          </cell>
          <cell r="N475" t="e">
            <v>#N/A</v>
          </cell>
          <cell r="O475" t="e">
            <v>#N/A</v>
          </cell>
          <cell r="P475">
            <v>42.19</v>
          </cell>
          <cell r="Q475">
            <v>3.3985559999999997</v>
          </cell>
          <cell r="R475" t="e">
            <v>#N/A</v>
          </cell>
        </row>
        <row r="476">
          <cell r="A476">
            <v>39905</v>
          </cell>
          <cell r="B476">
            <v>39905</v>
          </cell>
          <cell r="C476" t="str">
            <v>Past</v>
          </cell>
          <cell r="D476">
            <v>43.12</v>
          </cell>
          <cell r="E476" t="e">
            <v>#N/A</v>
          </cell>
          <cell r="F476" t="e">
            <v>#N/A</v>
          </cell>
          <cell r="G476" t="e">
            <v>#N/A</v>
          </cell>
          <cell r="H476" t="e">
            <v>#N/A</v>
          </cell>
          <cell r="I476" t="e">
            <v>#N/A</v>
          </cell>
          <cell r="J476" t="e">
            <v>#N/A</v>
          </cell>
          <cell r="K476" t="e">
            <v>#N/A</v>
          </cell>
          <cell r="L476" t="e">
            <v>#N/A</v>
          </cell>
          <cell r="M476" t="e">
            <v>#N/A</v>
          </cell>
          <cell r="N476" t="e">
            <v>#N/A</v>
          </cell>
          <cell r="O476" t="e">
            <v>#N/A</v>
          </cell>
          <cell r="P476">
            <v>43.12</v>
          </cell>
          <cell r="Q476">
            <v>4.05288</v>
          </cell>
          <cell r="R476" t="e">
            <v>#N/A</v>
          </cell>
        </row>
        <row r="477">
          <cell r="A477">
            <v>39906</v>
          </cell>
          <cell r="B477">
            <v>39906</v>
          </cell>
          <cell r="C477" t="str">
            <v>Past</v>
          </cell>
          <cell r="D477">
            <v>42.66</v>
          </cell>
          <cell r="E477" t="e">
            <v>#N/A</v>
          </cell>
          <cell r="F477" t="e">
            <v>#N/A</v>
          </cell>
          <cell r="G477" t="e">
            <v>#N/A</v>
          </cell>
          <cell r="H477" t="e">
            <v>#N/A</v>
          </cell>
          <cell r="I477" t="e">
            <v>#N/A</v>
          </cell>
          <cell r="J477" t="e">
            <v>#N/A</v>
          </cell>
          <cell r="K477" t="e">
            <v>#N/A</v>
          </cell>
          <cell r="L477" t="e">
            <v>#N/A</v>
          </cell>
          <cell r="M477" t="e">
            <v>#N/A</v>
          </cell>
          <cell r="N477" t="e">
            <v>#N/A</v>
          </cell>
          <cell r="O477" t="e">
            <v>#N/A</v>
          </cell>
          <cell r="P477">
            <v>42.66</v>
          </cell>
          <cell r="Q477">
            <v>3.4079959999999998</v>
          </cell>
          <cell r="R477" t="e">
            <v>#N/A</v>
          </cell>
        </row>
        <row r="478">
          <cell r="A478">
            <v>39909</v>
          </cell>
          <cell r="B478">
            <v>39909</v>
          </cell>
          <cell r="C478" t="str">
            <v>Past</v>
          </cell>
          <cell r="D478">
            <v>45.56</v>
          </cell>
          <cell r="E478" t="e">
            <v>#N/A</v>
          </cell>
          <cell r="F478" t="e">
            <v>#N/A</v>
          </cell>
          <cell r="G478" t="e">
            <v>#N/A</v>
          </cell>
          <cell r="H478" t="e">
            <v>#N/A</v>
          </cell>
          <cell r="I478" t="e">
            <v>#N/A</v>
          </cell>
          <cell r="J478" t="e">
            <v>#N/A</v>
          </cell>
          <cell r="K478" t="e">
            <v>#N/A</v>
          </cell>
          <cell r="L478" t="e">
            <v>#N/A</v>
          </cell>
          <cell r="M478" t="e">
            <v>#N/A</v>
          </cell>
          <cell r="N478" t="e">
            <v>#N/A</v>
          </cell>
          <cell r="O478" t="e">
            <v>#N/A</v>
          </cell>
          <cell r="P478">
            <v>45.56</v>
          </cell>
          <cell r="Q478">
            <v>5.8816079999999999</v>
          </cell>
          <cell r="R478" t="e">
            <v>#N/A</v>
          </cell>
        </row>
        <row r="479">
          <cell r="A479">
            <v>39910</v>
          </cell>
          <cell r="B479">
            <v>39910</v>
          </cell>
          <cell r="C479" t="str">
            <v>Past</v>
          </cell>
          <cell r="D479">
            <v>43.55</v>
          </cell>
          <cell r="E479" t="e">
            <v>#N/A</v>
          </cell>
          <cell r="F479" t="e">
            <v>#N/A</v>
          </cell>
          <cell r="G479" t="e">
            <v>#N/A</v>
          </cell>
          <cell r="H479" t="e">
            <v>#N/A</v>
          </cell>
          <cell r="I479" t="e">
            <v>#N/A</v>
          </cell>
          <cell r="J479" t="e">
            <v>#N/A</v>
          </cell>
          <cell r="K479" t="e">
            <v>#N/A</v>
          </cell>
          <cell r="L479" t="e">
            <v>#N/A</v>
          </cell>
          <cell r="M479" t="e">
            <v>#N/A</v>
          </cell>
          <cell r="N479" t="e">
            <v>#N/A</v>
          </cell>
          <cell r="O479" t="e">
            <v>#N/A</v>
          </cell>
          <cell r="P479">
            <v>43.55</v>
          </cell>
          <cell r="Q479">
            <v>4.3181779999999996</v>
          </cell>
          <cell r="R479" t="e">
            <v>#N/A</v>
          </cell>
        </row>
        <row r="480">
          <cell r="A480">
            <v>39911</v>
          </cell>
          <cell r="B480">
            <v>39911</v>
          </cell>
          <cell r="C480" t="str">
            <v>Past</v>
          </cell>
          <cell r="D480">
            <v>44</v>
          </cell>
          <cell r="E480" t="e">
            <v>#N/A</v>
          </cell>
          <cell r="F480" t="e">
            <v>#N/A</v>
          </cell>
          <cell r="G480" t="e">
            <v>#N/A</v>
          </cell>
          <cell r="H480" t="e">
            <v>#N/A</v>
          </cell>
          <cell r="I480" t="e">
            <v>#N/A</v>
          </cell>
          <cell r="J480" t="e">
            <v>#N/A</v>
          </cell>
          <cell r="K480" t="e">
            <v>#N/A</v>
          </cell>
          <cell r="L480" t="e">
            <v>#N/A</v>
          </cell>
          <cell r="M480" t="e">
            <v>#N/A</v>
          </cell>
          <cell r="N480" t="e">
            <v>#N/A</v>
          </cell>
          <cell r="O480" t="e">
            <v>#N/A</v>
          </cell>
          <cell r="P480">
            <v>44</v>
          </cell>
          <cell r="Q480">
            <v>2.6753749999999998</v>
          </cell>
          <cell r="R480" t="e">
            <v>#N/A</v>
          </cell>
        </row>
        <row r="481">
          <cell r="A481">
            <v>39912</v>
          </cell>
          <cell r="B481">
            <v>39912</v>
          </cell>
          <cell r="C481" t="str">
            <v>Past</v>
          </cell>
          <cell r="D481">
            <v>44.94</v>
          </cell>
          <cell r="E481" t="e">
            <v>#N/A</v>
          </cell>
          <cell r="F481" t="e">
            <v>#N/A</v>
          </cell>
          <cell r="G481" t="e">
            <v>#N/A</v>
          </cell>
          <cell r="H481" t="e">
            <v>#N/A</v>
          </cell>
          <cell r="I481" t="e">
            <v>#N/A</v>
          </cell>
          <cell r="J481" t="e">
            <v>#N/A</v>
          </cell>
          <cell r="K481" t="e">
            <v>#N/A</v>
          </cell>
          <cell r="L481" t="e">
            <v>#N/A</v>
          </cell>
          <cell r="M481" t="e">
            <v>#N/A</v>
          </cell>
          <cell r="N481" t="e">
            <v>#N/A</v>
          </cell>
          <cell r="O481" t="e">
            <v>#N/A</v>
          </cell>
          <cell r="P481">
            <v>44.94</v>
          </cell>
          <cell r="Q481">
            <v>3.582627</v>
          </cell>
          <cell r="R481" t="e">
            <v>#N/A</v>
          </cell>
        </row>
        <row r="482">
          <cell r="A482">
            <v>39916</v>
          </cell>
          <cell r="B482">
            <v>39916</v>
          </cell>
          <cell r="C482" t="str">
            <v>Past</v>
          </cell>
          <cell r="D482">
            <v>44.01</v>
          </cell>
          <cell r="E482" t="e">
            <v>#N/A</v>
          </cell>
          <cell r="F482" t="e">
            <v>#N/A</v>
          </cell>
          <cell r="G482" t="e">
            <v>#N/A</v>
          </cell>
          <cell r="H482" t="e">
            <v>#N/A</v>
          </cell>
          <cell r="I482" t="e">
            <v>#N/A</v>
          </cell>
          <cell r="J482" t="e">
            <v>#N/A</v>
          </cell>
          <cell r="K482" t="e">
            <v>#N/A</v>
          </cell>
          <cell r="L482" t="e">
            <v>#N/A</v>
          </cell>
          <cell r="M482" t="e">
            <v>#N/A</v>
          </cell>
          <cell r="N482" t="e">
            <v>#N/A</v>
          </cell>
          <cell r="O482" t="e">
            <v>#N/A</v>
          </cell>
          <cell r="P482">
            <v>44.01</v>
          </cell>
          <cell r="Q482">
            <v>2.8987909999999997</v>
          </cell>
          <cell r="R482" t="e">
            <v>#N/A</v>
          </cell>
        </row>
        <row r="483">
          <cell r="A483">
            <v>39917</v>
          </cell>
          <cell r="B483">
            <v>39917</v>
          </cell>
          <cell r="C483" t="str">
            <v>Past</v>
          </cell>
          <cell r="D483">
            <v>43.93</v>
          </cell>
          <cell r="E483" t="e">
            <v>#N/A</v>
          </cell>
          <cell r="F483" t="e">
            <v>#N/A</v>
          </cell>
          <cell r="G483" t="e">
            <v>#N/A</v>
          </cell>
          <cell r="H483" t="e">
            <v>#N/A</v>
          </cell>
          <cell r="I483" t="e">
            <v>#N/A</v>
          </cell>
          <cell r="J483" t="e">
            <v>#N/A</v>
          </cell>
          <cell r="K483" t="e">
            <v>#N/A</v>
          </cell>
          <cell r="L483" t="e">
            <v>#N/A</v>
          </cell>
          <cell r="M483" t="e">
            <v>#N/A</v>
          </cell>
          <cell r="N483" t="e">
            <v>#N/A</v>
          </cell>
          <cell r="O483" t="e">
            <v>#N/A</v>
          </cell>
          <cell r="P483">
            <v>43.93</v>
          </cell>
          <cell r="Q483">
            <v>2.6540189999999999</v>
          </cell>
          <cell r="R483" t="e">
            <v>#N/A</v>
          </cell>
        </row>
        <row r="484">
          <cell r="A484">
            <v>39918</v>
          </cell>
          <cell r="B484">
            <v>39918</v>
          </cell>
          <cell r="C484" t="str">
            <v>Past</v>
          </cell>
          <cell r="D484">
            <v>44.3</v>
          </cell>
          <cell r="E484" t="e">
            <v>#N/A</v>
          </cell>
          <cell r="F484" t="e">
            <v>#N/A</v>
          </cell>
          <cell r="G484" t="e">
            <v>#N/A</v>
          </cell>
          <cell r="H484" t="e">
            <v>#N/A</v>
          </cell>
          <cell r="I484" t="e">
            <v>#N/A</v>
          </cell>
          <cell r="J484" t="e">
            <v>#N/A</v>
          </cell>
          <cell r="K484" t="e">
            <v>#N/A</v>
          </cell>
          <cell r="L484" t="e">
            <v>#N/A</v>
          </cell>
          <cell r="M484" t="e">
            <v>#N/A</v>
          </cell>
          <cell r="N484" t="e">
            <v>#N/A</v>
          </cell>
          <cell r="O484" t="e">
            <v>#N/A</v>
          </cell>
          <cell r="P484">
            <v>44.3</v>
          </cell>
          <cell r="Q484">
            <v>2.3003139999999997</v>
          </cell>
          <cell r="R484" t="e">
            <v>#N/A</v>
          </cell>
        </row>
        <row r="485">
          <cell r="A485">
            <v>39919</v>
          </cell>
          <cell r="B485">
            <v>39919</v>
          </cell>
          <cell r="C485" t="str">
            <v>Past</v>
          </cell>
          <cell r="D485">
            <v>45.54</v>
          </cell>
          <cell r="E485" t="e">
            <v>#N/A</v>
          </cell>
          <cell r="F485" t="e">
            <v>#N/A</v>
          </cell>
          <cell r="G485" t="e">
            <v>#N/A</v>
          </cell>
          <cell r="H485" t="e">
            <v>#N/A</v>
          </cell>
          <cell r="I485" t="e">
            <v>#N/A</v>
          </cell>
          <cell r="J485" t="e">
            <v>#N/A</v>
          </cell>
          <cell r="K485" t="e">
            <v>#N/A</v>
          </cell>
          <cell r="L485" t="e">
            <v>#N/A</v>
          </cell>
          <cell r="M485" t="e">
            <v>#N/A</v>
          </cell>
          <cell r="N485" t="e">
            <v>#N/A</v>
          </cell>
          <cell r="O485" t="e">
            <v>#N/A</v>
          </cell>
          <cell r="P485">
            <v>45.54</v>
          </cell>
          <cell r="Q485">
            <v>3.1398319999999997</v>
          </cell>
          <cell r="R485" t="e">
            <v>#N/A</v>
          </cell>
        </row>
        <row r="486">
          <cell r="A486">
            <v>39920</v>
          </cell>
          <cell r="B486">
            <v>39920</v>
          </cell>
          <cell r="C486" t="str">
            <v>Past</v>
          </cell>
          <cell r="D486">
            <v>46.55</v>
          </cell>
          <cell r="E486" t="e">
            <v>#N/A</v>
          </cell>
          <cell r="F486" t="e">
            <v>#N/A</v>
          </cell>
          <cell r="G486" t="e">
            <v>#N/A</v>
          </cell>
          <cell r="H486" t="e">
            <v>#N/A</v>
          </cell>
          <cell r="I486" t="e">
            <v>#N/A</v>
          </cell>
          <cell r="J486" t="e">
            <v>#N/A</v>
          </cell>
          <cell r="K486" t="e">
            <v>#N/A</v>
          </cell>
          <cell r="L486" t="e">
            <v>#N/A</v>
          </cell>
          <cell r="M486" t="e">
            <v>#N/A</v>
          </cell>
          <cell r="N486" t="e">
            <v>#N/A</v>
          </cell>
          <cell r="O486" t="e">
            <v>#N/A</v>
          </cell>
          <cell r="P486">
            <v>46.55</v>
          </cell>
          <cell r="Q486">
            <v>4.0767379999999998</v>
          </cell>
          <cell r="R486" t="e">
            <v>#N/A</v>
          </cell>
        </row>
        <row r="487">
          <cell r="A487">
            <v>39923</v>
          </cell>
          <cell r="B487">
            <v>39923</v>
          </cell>
          <cell r="C487" t="str">
            <v>Past</v>
          </cell>
          <cell r="D487">
            <v>45.37</v>
          </cell>
          <cell r="E487" t="e">
            <v>#N/A</v>
          </cell>
          <cell r="F487" t="e">
            <v>#N/A</v>
          </cell>
          <cell r="G487" t="e">
            <v>#N/A</v>
          </cell>
          <cell r="H487" t="e">
            <v>#N/A</v>
          </cell>
          <cell r="I487" t="e">
            <v>#N/A</v>
          </cell>
          <cell r="J487" t="e">
            <v>#N/A</v>
          </cell>
          <cell r="K487" t="e">
            <v>#N/A</v>
          </cell>
          <cell r="L487" t="e">
            <v>#N/A</v>
          </cell>
          <cell r="M487" t="e">
            <v>#N/A</v>
          </cell>
          <cell r="N487" t="e">
            <v>#N/A</v>
          </cell>
          <cell r="O487" t="e">
            <v>#N/A</v>
          </cell>
          <cell r="P487">
            <v>45.37</v>
          </cell>
          <cell r="Q487">
            <v>3.5436189999999996</v>
          </cell>
          <cell r="R487" t="e">
            <v>#N/A</v>
          </cell>
        </row>
        <row r="488">
          <cell r="A488">
            <v>39924</v>
          </cell>
          <cell r="B488">
            <v>39924</v>
          </cell>
          <cell r="C488" t="str">
            <v>Past</v>
          </cell>
          <cell r="D488">
            <v>46.47</v>
          </cell>
          <cell r="E488" t="e">
            <v>#N/A</v>
          </cell>
          <cell r="F488" t="e">
            <v>#N/A</v>
          </cell>
          <cell r="G488" t="e">
            <v>#N/A</v>
          </cell>
          <cell r="H488" t="e">
            <v>#N/A</v>
          </cell>
          <cell r="I488" t="e">
            <v>#N/A</v>
          </cell>
          <cell r="J488" t="e">
            <v>#N/A</v>
          </cell>
          <cell r="K488" t="e">
            <v>#N/A</v>
          </cell>
          <cell r="L488" t="e">
            <v>#N/A</v>
          </cell>
          <cell r="M488" t="e">
            <v>#N/A</v>
          </cell>
          <cell r="N488" t="e">
            <v>#N/A</v>
          </cell>
          <cell r="O488" t="e">
            <v>#N/A</v>
          </cell>
          <cell r="P488">
            <v>46.47</v>
          </cell>
          <cell r="Q488">
            <v>4.226712</v>
          </cell>
          <cell r="R488" t="e">
            <v>#N/A</v>
          </cell>
        </row>
        <row r="489">
          <cell r="A489">
            <v>39925</v>
          </cell>
          <cell r="B489">
            <v>39925</v>
          </cell>
          <cell r="C489" t="str">
            <v>Past</v>
          </cell>
          <cell r="D489">
            <v>48.23</v>
          </cell>
          <cell r="E489" t="e">
            <v>#N/A</v>
          </cell>
          <cell r="F489" t="e">
            <v>#N/A</v>
          </cell>
          <cell r="G489" t="e">
            <v>#N/A</v>
          </cell>
          <cell r="H489" t="e">
            <v>#N/A</v>
          </cell>
          <cell r="I489" t="e">
            <v>#N/A</v>
          </cell>
          <cell r="J489" t="e">
            <v>#N/A</v>
          </cell>
          <cell r="K489" t="e">
            <v>#N/A</v>
          </cell>
          <cell r="L489" t="e">
            <v>#N/A</v>
          </cell>
          <cell r="M489" t="e">
            <v>#N/A</v>
          </cell>
          <cell r="N489" t="e">
            <v>#N/A</v>
          </cell>
          <cell r="O489" t="e">
            <v>#N/A</v>
          </cell>
          <cell r="P489">
            <v>48.23</v>
          </cell>
          <cell r="Q489">
            <v>4.1012170000000001</v>
          </cell>
          <cell r="R489" t="e">
            <v>#N/A</v>
          </cell>
        </row>
        <row r="490">
          <cell r="A490">
            <v>39926</v>
          </cell>
          <cell r="B490">
            <v>39926</v>
          </cell>
          <cell r="C490" t="str">
            <v>Past</v>
          </cell>
          <cell r="D490">
            <v>49.5</v>
          </cell>
          <cell r="E490" t="e">
            <v>#N/A</v>
          </cell>
          <cell r="F490" t="e">
            <v>#N/A</v>
          </cell>
          <cell r="G490" t="e">
            <v>#N/A</v>
          </cell>
          <cell r="H490" t="e">
            <v>#N/A</v>
          </cell>
          <cell r="I490" t="e">
            <v>#N/A</v>
          </cell>
          <cell r="J490" t="e">
            <v>#N/A</v>
          </cell>
          <cell r="K490" t="e">
            <v>#N/A</v>
          </cell>
          <cell r="L490" t="e">
            <v>#N/A</v>
          </cell>
          <cell r="M490" t="e">
            <v>#N/A</v>
          </cell>
          <cell r="N490" t="e">
            <v>#N/A</v>
          </cell>
          <cell r="O490" t="e">
            <v>#N/A</v>
          </cell>
          <cell r="P490">
            <v>49.5</v>
          </cell>
          <cell r="Q490">
            <v>4.6396439999999997</v>
          </cell>
          <cell r="R490" t="e">
            <v>#N/A</v>
          </cell>
        </row>
        <row r="491">
          <cell r="A491">
            <v>39927</v>
          </cell>
          <cell r="B491">
            <v>39927</v>
          </cell>
          <cell r="C491" t="str">
            <v>Past</v>
          </cell>
          <cell r="D491">
            <v>49.18</v>
          </cell>
          <cell r="E491" t="e">
            <v>#N/A</v>
          </cell>
          <cell r="F491" t="e">
            <v>#N/A</v>
          </cell>
          <cell r="G491" t="e">
            <v>#N/A</v>
          </cell>
          <cell r="H491" t="e">
            <v>#N/A</v>
          </cell>
          <cell r="I491" t="e">
            <v>#N/A</v>
          </cell>
          <cell r="J491" t="e">
            <v>#N/A</v>
          </cell>
          <cell r="K491" t="e">
            <v>#N/A</v>
          </cell>
          <cell r="L491" t="e">
            <v>#N/A</v>
          </cell>
          <cell r="M491" t="e">
            <v>#N/A</v>
          </cell>
          <cell r="N491" t="e">
            <v>#N/A</v>
          </cell>
          <cell r="O491" t="e">
            <v>#N/A</v>
          </cell>
          <cell r="P491">
            <v>49.18</v>
          </cell>
          <cell r="Q491">
            <v>3.3718000000000004</v>
          </cell>
          <cell r="R491" t="e">
            <v>#N/A</v>
          </cell>
        </row>
        <row r="492">
          <cell r="A492">
            <v>39930</v>
          </cell>
          <cell r="B492">
            <v>39930</v>
          </cell>
          <cell r="C492" t="str">
            <v>Past</v>
          </cell>
          <cell r="D492">
            <v>51.28</v>
          </cell>
          <cell r="E492" t="e">
            <v>#N/A</v>
          </cell>
          <cell r="F492" t="e">
            <v>#N/A</v>
          </cell>
          <cell r="G492" t="e">
            <v>#N/A</v>
          </cell>
          <cell r="H492" t="e">
            <v>#N/A</v>
          </cell>
          <cell r="I492" t="e">
            <v>#N/A</v>
          </cell>
          <cell r="J492" t="e">
            <v>#N/A</v>
          </cell>
          <cell r="K492" t="e">
            <v>#N/A</v>
          </cell>
          <cell r="L492" t="e">
            <v>#N/A</v>
          </cell>
          <cell r="M492" t="e">
            <v>#N/A</v>
          </cell>
          <cell r="N492" t="e">
            <v>#N/A</v>
          </cell>
          <cell r="O492" t="e">
            <v>#N/A</v>
          </cell>
          <cell r="P492">
            <v>51.28</v>
          </cell>
          <cell r="Q492">
            <v>4.0476209999999995</v>
          </cell>
          <cell r="R492" t="e">
            <v>#N/A</v>
          </cell>
        </row>
        <row r="493">
          <cell r="A493">
            <v>39931</v>
          </cell>
          <cell r="B493">
            <v>39931</v>
          </cell>
          <cell r="C493" t="str">
            <v>Past</v>
          </cell>
          <cell r="D493">
            <v>50.61</v>
          </cell>
          <cell r="E493" t="e">
            <v>#N/A</v>
          </cell>
          <cell r="F493" t="e">
            <v>#N/A</v>
          </cell>
          <cell r="G493" t="e">
            <v>#N/A</v>
          </cell>
          <cell r="H493" t="e">
            <v>#N/A</v>
          </cell>
          <cell r="I493" t="e">
            <v>#N/A</v>
          </cell>
          <cell r="J493" t="e">
            <v>#N/A</v>
          </cell>
          <cell r="K493" t="e">
            <v>#N/A</v>
          </cell>
          <cell r="L493" t="e">
            <v>#N/A</v>
          </cell>
          <cell r="M493" t="e">
            <v>#N/A</v>
          </cell>
          <cell r="N493" t="e">
            <v>#N/A</v>
          </cell>
          <cell r="O493" t="e">
            <v>#N/A</v>
          </cell>
          <cell r="P493">
            <v>50.61</v>
          </cell>
          <cell r="Q493">
            <v>2.5002649999999997</v>
          </cell>
          <cell r="R493" t="e">
            <v>#N/A</v>
          </cell>
        </row>
        <row r="494">
          <cell r="A494">
            <v>39932</v>
          </cell>
          <cell r="B494">
            <v>39932</v>
          </cell>
          <cell r="C494" t="str">
            <v>Past</v>
          </cell>
          <cell r="D494">
            <v>53.34</v>
          </cell>
          <cell r="E494" t="e">
            <v>#N/A</v>
          </cell>
          <cell r="F494" t="e">
            <v>#N/A</v>
          </cell>
          <cell r="G494" t="e">
            <v>#N/A</v>
          </cell>
          <cell r="H494" t="e">
            <v>#N/A</v>
          </cell>
          <cell r="I494" t="e">
            <v>#N/A</v>
          </cell>
          <cell r="J494" t="e">
            <v>#N/A</v>
          </cell>
          <cell r="K494" t="e">
            <v>#N/A</v>
          </cell>
          <cell r="L494" t="e">
            <v>#N/A</v>
          </cell>
          <cell r="M494" t="e">
            <v>#N/A</v>
          </cell>
          <cell r="N494" t="e">
            <v>#N/A</v>
          </cell>
          <cell r="O494" t="e">
            <v>#N/A</v>
          </cell>
          <cell r="P494">
            <v>53.34</v>
          </cell>
          <cell r="Q494">
            <v>4.2113059999999995</v>
          </cell>
          <cell r="R494" t="e">
            <v>#N/A</v>
          </cell>
        </row>
        <row r="495">
          <cell r="A495">
            <v>39933</v>
          </cell>
          <cell r="B495">
            <v>39933</v>
          </cell>
          <cell r="C495" t="str">
            <v>Past</v>
          </cell>
          <cell r="D495">
            <v>51.67</v>
          </cell>
          <cell r="E495" t="e">
            <v>#N/A</v>
          </cell>
          <cell r="F495" t="e">
            <v>#N/A</v>
          </cell>
          <cell r="G495" t="e">
            <v>#N/A</v>
          </cell>
          <cell r="H495" t="e">
            <v>#N/A</v>
          </cell>
          <cell r="I495" t="e">
            <v>#N/A</v>
          </cell>
          <cell r="J495" t="e">
            <v>#N/A</v>
          </cell>
          <cell r="K495" t="e">
            <v>#N/A</v>
          </cell>
          <cell r="L495" t="e">
            <v>#N/A</v>
          </cell>
          <cell r="M495" t="e">
            <v>#N/A</v>
          </cell>
          <cell r="N495" t="e">
            <v>#N/A</v>
          </cell>
          <cell r="O495" t="e">
            <v>#N/A</v>
          </cell>
          <cell r="P495">
            <v>51.67</v>
          </cell>
          <cell r="Q495">
            <v>4.6450179999999994</v>
          </cell>
          <cell r="R495" t="e">
            <v>#N/A</v>
          </cell>
        </row>
        <row r="496">
          <cell r="A496">
            <v>39934</v>
          </cell>
          <cell r="B496">
            <v>39934</v>
          </cell>
          <cell r="C496" t="str">
            <v>Past</v>
          </cell>
          <cell r="D496">
            <v>52.38</v>
          </cell>
          <cell r="E496" t="e">
            <v>#N/A</v>
          </cell>
          <cell r="F496" t="e">
            <v>#N/A</v>
          </cell>
          <cell r="G496" t="e">
            <v>#N/A</v>
          </cell>
          <cell r="H496" t="e">
            <v>#N/A</v>
          </cell>
          <cell r="I496" t="e">
            <v>#N/A</v>
          </cell>
          <cell r="J496" t="e">
            <v>#N/A</v>
          </cell>
          <cell r="K496" t="e">
            <v>#N/A</v>
          </cell>
          <cell r="L496" t="e">
            <v>#N/A</v>
          </cell>
          <cell r="M496" t="e">
            <v>#N/A</v>
          </cell>
          <cell r="N496" t="e">
            <v>#N/A</v>
          </cell>
          <cell r="O496" t="e">
            <v>#N/A</v>
          </cell>
          <cell r="P496">
            <v>52.38</v>
          </cell>
          <cell r="Q496">
            <v>3.303572</v>
          </cell>
          <cell r="R496" t="e">
            <v>#N/A</v>
          </cell>
        </row>
        <row r="497">
          <cell r="A497">
            <v>39937</v>
          </cell>
          <cell r="B497">
            <v>39937</v>
          </cell>
          <cell r="C497" t="str">
            <v>Past</v>
          </cell>
          <cell r="D497">
            <v>54</v>
          </cell>
          <cell r="E497" t="e">
            <v>#N/A</v>
          </cell>
          <cell r="F497" t="e">
            <v>#N/A</v>
          </cell>
          <cell r="G497" t="e">
            <v>#N/A</v>
          </cell>
          <cell r="H497" t="e">
            <v>#N/A</v>
          </cell>
          <cell r="I497" t="e">
            <v>#N/A</v>
          </cell>
          <cell r="J497" t="e">
            <v>#N/A</v>
          </cell>
          <cell r="K497" t="e">
            <v>#N/A</v>
          </cell>
          <cell r="L497" t="e">
            <v>#N/A</v>
          </cell>
          <cell r="M497" t="e">
            <v>#N/A</v>
          </cell>
          <cell r="N497" t="e">
            <v>#N/A</v>
          </cell>
          <cell r="O497" t="e">
            <v>#N/A</v>
          </cell>
          <cell r="P497">
            <v>54</v>
          </cell>
          <cell r="Q497">
            <v>2.9000849999999998</v>
          </cell>
          <cell r="R497" t="e">
            <v>#N/A</v>
          </cell>
        </row>
        <row r="498">
          <cell r="A498">
            <v>39938</v>
          </cell>
          <cell r="B498">
            <v>39938</v>
          </cell>
          <cell r="C498" t="str">
            <v>Past</v>
          </cell>
          <cell r="D498">
            <v>53.62</v>
          </cell>
          <cell r="E498" t="e">
            <v>#N/A</v>
          </cell>
          <cell r="F498" t="e">
            <v>#N/A</v>
          </cell>
          <cell r="G498" t="e">
            <v>#N/A</v>
          </cell>
          <cell r="H498" t="e">
            <v>#N/A</v>
          </cell>
          <cell r="I498" t="e">
            <v>#N/A</v>
          </cell>
          <cell r="J498" t="e">
            <v>#N/A</v>
          </cell>
          <cell r="K498" t="e">
            <v>#N/A</v>
          </cell>
          <cell r="L498" t="e">
            <v>#N/A</v>
          </cell>
          <cell r="M498" t="e">
            <v>#N/A</v>
          </cell>
          <cell r="N498" t="e">
            <v>#N/A</v>
          </cell>
          <cell r="O498" t="e">
            <v>#N/A</v>
          </cell>
          <cell r="P498">
            <v>53.62</v>
          </cell>
          <cell r="Q498">
            <v>2.1525339999999997</v>
          </cell>
          <cell r="R498" t="e">
            <v>#N/A</v>
          </cell>
        </row>
        <row r="499">
          <cell r="A499">
            <v>39939</v>
          </cell>
          <cell r="B499">
            <v>39939</v>
          </cell>
          <cell r="C499" t="str">
            <v>Past</v>
          </cell>
          <cell r="D499">
            <v>54.24</v>
          </cell>
          <cell r="E499" t="e">
            <v>#N/A</v>
          </cell>
          <cell r="F499" t="e">
            <v>#N/A</v>
          </cell>
          <cell r="G499" t="e">
            <v>#N/A</v>
          </cell>
          <cell r="H499" t="e">
            <v>#N/A</v>
          </cell>
          <cell r="I499" t="e">
            <v>#N/A</v>
          </cell>
          <cell r="J499" t="e">
            <v>#N/A</v>
          </cell>
          <cell r="K499" t="e">
            <v>#N/A</v>
          </cell>
          <cell r="L499" t="e">
            <v>#N/A</v>
          </cell>
          <cell r="M499" t="e">
            <v>#N/A</v>
          </cell>
          <cell r="N499" t="e">
            <v>#N/A</v>
          </cell>
          <cell r="O499" t="e">
            <v>#N/A</v>
          </cell>
          <cell r="P499">
            <v>54.24</v>
          </cell>
          <cell r="Q499">
            <v>2.1520139999999999</v>
          </cell>
          <cell r="R499" t="e">
            <v>#N/A</v>
          </cell>
        </row>
        <row r="500">
          <cell r="A500">
            <v>39940</v>
          </cell>
          <cell r="B500">
            <v>39940</v>
          </cell>
          <cell r="C500" t="str">
            <v>Past</v>
          </cell>
          <cell r="D500">
            <v>53.66</v>
          </cell>
          <cell r="E500" t="e">
            <v>#N/A</v>
          </cell>
          <cell r="F500" t="e">
            <v>#N/A</v>
          </cell>
          <cell r="G500" t="e">
            <v>#N/A</v>
          </cell>
          <cell r="H500" t="e">
            <v>#N/A</v>
          </cell>
          <cell r="I500" t="e">
            <v>#N/A</v>
          </cell>
          <cell r="J500" t="e">
            <v>#N/A</v>
          </cell>
          <cell r="K500" t="e">
            <v>#N/A</v>
          </cell>
          <cell r="L500" t="e">
            <v>#N/A</v>
          </cell>
          <cell r="M500" t="e">
            <v>#N/A</v>
          </cell>
          <cell r="N500" t="e">
            <v>#N/A</v>
          </cell>
          <cell r="O500" t="e">
            <v>#N/A</v>
          </cell>
          <cell r="P500">
            <v>53.66</v>
          </cell>
          <cell r="Q500">
            <v>3.3123869999999997</v>
          </cell>
          <cell r="R500" t="e">
            <v>#N/A</v>
          </cell>
        </row>
        <row r="501">
          <cell r="A501">
            <v>39941</v>
          </cell>
          <cell r="B501">
            <v>39941</v>
          </cell>
          <cell r="C501" t="str">
            <v>Past</v>
          </cell>
          <cell r="D501">
            <v>55.88</v>
          </cell>
          <cell r="E501" t="e">
            <v>#N/A</v>
          </cell>
          <cell r="F501" t="e">
            <v>#N/A</v>
          </cell>
          <cell r="G501" t="e">
            <v>#N/A</v>
          </cell>
          <cell r="H501" t="e">
            <v>#N/A</v>
          </cell>
          <cell r="I501" t="e">
            <v>#N/A</v>
          </cell>
          <cell r="J501" t="e">
            <v>#N/A</v>
          </cell>
          <cell r="K501" t="e">
            <v>#N/A</v>
          </cell>
          <cell r="L501" t="e">
            <v>#N/A</v>
          </cell>
          <cell r="M501" t="e">
            <v>#N/A</v>
          </cell>
          <cell r="N501" t="e">
            <v>#N/A</v>
          </cell>
          <cell r="O501" t="e">
            <v>#N/A</v>
          </cell>
          <cell r="P501">
            <v>55.88</v>
          </cell>
          <cell r="Q501">
            <v>3.2748359999999996</v>
          </cell>
          <cell r="R501" t="e">
            <v>#N/A</v>
          </cell>
        </row>
        <row r="502">
          <cell r="A502">
            <v>39944</v>
          </cell>
          <cell r="B502">
            <v>39944</v>
          </cell>
          <cell r="C502" t="str">
            <v>Past</v>
          </cell>
          <cell r="D502">
            <v>54.13</v>
          </cell>
          <cell r="E502" t="e">
            <v>#N/A</v>
          </cell>
          <cell r="F502" t="e">
            <v>#N/A</v>
          </cell>
          <cell r="G502" t="e">
            <v>#N/A</v>
          </cell>
          <cell r="H502" t="e">
            <v>#N/A</v>
          </cell>
          <cell r="I502" t="e">
            <v>#N/A</v>
          </cell>
          <cell r="J502" t="e">
            <v>#N/A</v>
          </cell>
          <cell r="K502" t="e">
            <v>#N/A</v>
          </cell>
          <cell r="L502" t="e">
            <v>#N/A</v>
          </cell>
          <cell r="M502" t="e">
            <v>#N/A</v>
          </cell>
          <cell r="N502" t="e">
            <v>#N/A</v>
          </cell>
          <cell r="O502" t="e">
            <v>#N/A</v>
          </cell>
          <cell r="P502">
            <v>54.13</v>
          </cell>
          <cell r="Q502">
            <v>2.5372859999999999</v>
          </cell>
          <cell r="R502" t="e">
            <v>#N/A</v>
          </cell>
        </row>
        <row r="503">
          <cell r="A503">
            <v>39945</v>
          </cell>
          <cell r="B503">
            <v>39945</v>
          </cell>
          <cell r="C503" t="str">
            <v>Past</v>
          </cell>
          <cell r="D503">
            <v>55.3</v>
          </cell>
          <cell r="E503" t="e">
            <v>#N/A</v>
          </cell>
          <cell r="F503" t="e">
            <v>#N/A</v>
          </cell>
          <cell r="G503" t="e">
            <v>#N/A</v>
          </cell>
          <cell r="H503" t="e">
            <v>#N/A</v>
          </cell>
          <cell r="I503" t="e">
            <v>#N/A</v>
          </cell>
          <cell r="J503" t="e">
            <v>#N/A</v>
          </cell>
          <cell r="K503" t="e">
            <v>#N/A</v>
          </cell>
          <cell r="L503" t="e">
            <v>#N/A</v>
          </cell>
          <cell r="M503" t="e">
            <v>#N/A</v>
          </cell>
          <cell r="N503" t="e">
            <v>#N/A</v>
          </cell>
          <cell r="O503" t="e">
            <v>#N/A</v>
          </cell>
          <cell r="P503">
            <v>55.3</v>
          </cell>
          <cell r="Q503">
            <v>2.4634589999999998</v>
          </cell>
          <cell r="R503" t="e">
            <v>#N/A</v>
          </cell>
        </row>
        <row r="504">
          <cell r="A504">
            <v>39946</v>
          </cell>
          <cell r="B504">
            <v>39946</v>
          </cell>
          <cell r="C504" t="str">
            <v>Past</v>
          </cell>
          <cell r="D504">
            <v>55.3</v>
          </cell>
          <cell r="E504" t="e">
            <v>#N/A</v>
          </cell>
          <cell r="F504" t="e">
            <v>#N/A</v>
          </cell>
          <cell r="G504" t="e">
            <v>#N/A</v>
          </cell>
          <cell r="H504" t="e">
            <v>#N/A</v>
          </cell>
          <cell r="I504" t="e">
            <v>#N/A</v>
          </cell>
          <cell r="J504" t="e">
            <v>#N/A</v>
          </cell>
          <cell r="K504" t="e">
            <v>#N/A</v>
          </cell>
          <cell r="L504" t="e">
            <v>#N/A</v>
          </cell>
          <cell r="M504" t="e">
            <v>#N/A</v>
          </cell>
          <cell r="N504" t="e">
            <v>#N/A</v>
          </cell>
          <cell r="O504" t="e">
            <v>#N/A</v>
          </cell>
          <cell r="P504">
            <v>55.3</v>
          </cell>
          <cell r="Q504">
            <v>3.4822729999999997</v>
          </cell>
          <cell r="R504" t="e">
            <v>#N/A</v>
          </cell>
        </row>
        <row r="505">
          <cell r="A505">
            <v>39947</v>
          </cell>
          <cell r="B505">
            <v>39947</v>
          </cell>
          <cell r="C505" t="str">
            <v>Past</v>
          </cell>
          <cell r="D505">
            <v>55.84</v>
          </cell>
          <cell r="E505" t="e">
            <v>#N/A</v>
          </cell>
          <cell r="F505" t="e">
            <v>#N/A</v>
          </cell>
          <cell r="G505" t="e">
            <v>#N/A</v>
          </cell>
          <cell r="H505" t="e">
            <v>#N/A</v>
          </cell>
          <cell r="I505" t="e">
            <v>#N/A</v>
          </cell>
          <cell r="J505" t="e">
            <v>#N/A</v>
          </cell>
          <cell r="K505" t="e">
            <v>#N/A</v>
          </cell>
          <cell r="L505" t="e">
            <v>#N/A</v>
          </cell>
          <cell r="M505" t="e">
            <v>#N/A</v>
          </cell>
          <cell r="N505" t="e">
            <v>#N/A</v>
          </cell>
          <cell r="O505" t="e">
            <v>#N/A</v>
          </cell>
          <cell r="P505">
            <v>55.84</v>
          </cell>
          <cell r="Q505">
            <v>3.1050469999999999</v>
          </cell>
          <cell r="R505" t="e">
            <v>#N/A</v>
          </cell>
        </row>
        <row r="506">
          <cell r="A506">
            <v>39948</v>
          </cell>
          <cell r="B506">
            <v>39948</v>
          </cell>
          <cell r="C506" t="str">
            <v>Past</v>
          </cell>
          <cell r="D506">
            <v>55.01</v>
          </cell>
          <cell r="E506" t="e">
            <v>#N/A</v>
          </cell>
          <cell r="F506" t="e">
            <v>#N/A</v>
          </cell>
          <cell r="G506" t="e">
            <v>#N/A</v>
          </cell>
          <cell r="H506" t="e">
            <v>#N/A</v>
          </cell>
          <cell r="I506" t="e">
            <v>#N/A</v>
          </cell>
          <cell r="J506" t="e">
            <v>#N/A</v>
          </cell>
          <cell r="K506" t="e">
            <v>#N/A</v>
          </cell>
          <cell r="L506" t="e">
            <v>#N/A</v>
          </cell>
          <cell r="M506" t="e">
            <v>#N/A</v>
          </cell>
          <cell r="N506" t="e">
            <v>#N/A</v>
          </cell>
          <cell r="O506" t="e">
            <v>#N/A</v>
          </cell>
          <cell r="P506">
            <v>55.01</v>
          </cell>
          <cell r="Q506">
            <v>3.4888439999999998</v>
          </cell>
          <cell r="R506" t="e">
            <v>#N/A</v>
          </cell>
        </row>
        <row r="507">
          <cell r="A507">
            <v>39951</v>
          </cell>
          <cell r="B507">
            <v>39951</v>
          </cell>
          <cell r="C507" t="str">
            <v>Past</v>
          </cell>
          <cell r="D507">
            <v>55.46</v>
          </cell>
          <cell r="E507" t="e">
            <v>#N/A</v>
          </cell>
          <cell r="F507" t="e">
            <v>#N/A</v>
          </cell>
          <cell r="G507" t="e">
            <v>#N/A</v>
          </cell>
          <cell r="H507" t="e">
            <v>#N/A</v>
          </cell>
          <cell r="I507" t="e">
            <v>#N/A</v>
          </cell>
          <cell r="J507" t="e">
            <v>#N/A</v>
          </cell>
          <cell r="K507" t="e">
            <v>#N/A</v>
          </cell>
          <cell r="L507" t="e">
            <v>#N/A</v>
          </cell>
          <cell r="M507" t="e">
            <v>#N/A</v>
          </cell>
          <cell r="N507" t="e">
            <v>#N/A</v>
          </cell>
          <cell r="O507" t="e">
            <v>#N/A</v>
          </cell>
          <cell r="P507">
            <v>55.46</v>
          </cell>
          <cell r="Q507">
            <v>3.3032569999999999</v>
          </cell>
          <cell r="R507" t="e">
            <v>#N/A</v>
          </cell>
        </row>
        <row r="508">
          <cell r="A508">
            <v>39952</v>
          </cell>
          <cell r="B508">
            <v>39952</v>
          </cell>
          <cell r="C508" t="str">
            <v>Past</v>
          </cell>
          <cell r="D508">
            <v>56.87</v>
          </cell>
          <cell r="E508" t="e">
            <v>#N/A</v>
          </cell>
          <cell r="F508" t="e">
            <v>#N/A</v>
          </cell>
          <cell r="G508" t="e">
            <v>#N/A</v>
          </cell>
          <cell r="H508" t="e">
            <v>#N/A</v>
          </cell>
          <cell r="I508" t="e">
            <v>#N/A</v>
          </cell>
          <cell r="J508" t="e">
            <v>#N/A</v>
          </cell>
          <cell r="K508" t="e">
            <v>#N/A</v>
          </cell>
          <cell r="L508" t="e">
            <v>#N/A</v>
          </cell>
          <cell r="M508" t="e">
            <v>#N/A</v>
          </cell>
          <cell r="N508" t="e">
            <v>#N/A</v>
          </cell>
          <cell r="O508" t="e">
            <v>#N/A</v>
          </cell>
          <cell r="P508">
            <v>56.87</v>
          </cell>
          <cell r="Q508">
            <v>2.9326460000000001</v>
          </cell>
          <cell r="R508" t="e">
            <v>#N/A</v>
          </cell>
        </row>
        <row r="509">
          <cell r="A509">
            <v>39953</v>
          </cell>
          <cell r="B509">
            <v>39953</v>
          </cell>
          <cell r="C509" t="str">
            <v>Past</v>
          </cell>
          <cell r="D509">
            <v>57.17</v>
          </cell>
          <cell r="E509" t="e">
            <v>#N/A</v>
          </cell>
          <cell r="F509" t="e">
            <v>#N/A</v>
          </cell>
          <cell r="G509" t="e">
            <v>#N/A</v>
          </cell>
          <cell r="H509" t="e">
            <v>#N/A</v>
          </cell>
          <cell r="I509" t="e">
            <v>#N/A</v>
          </cell>
          <cell r="J509" t="e">
            <v>#N/A</v>
          </cell>
          <cell r="K509" t="e">
            <v>#N/A</v>
          </cell>
          <cell r="L509" t="e">
            <v>#N/A</v>
          </cell>
          <cell r="M509" t="e">
            <v>#N/A</v>
          </cell>
          <cell r="N509" t="e">
            <v>#N/A</v>
          </cell>
          <cell r="O509" t="e">
            <v>#N/A</v>
          </cell>
          <cell r="P509">
            <v>57.17</v>
          </cell>
          <cell r="Q509">
            <v>2.5432739999999998</v>
          </cell>
          <cell r="R509" t="e">
            <v>#N/A</v>
          </cell>
        </row>
        <row r="510">
          <cell r="A510">
            <v>39954</v>
          </cell>
          <cell r="B510">
            <v>39954</v>
          </cell>
          <cell r="C510" t="str">
            <v>Past</v>
          </cell>
          <cell r="D510">
            <v>55.7</v>
          </cell>
          <cell r="E510" t="e">
            <v>#N/A</v>
          </cell>
          <cell r="F510" t="e">
            <v>#N/A</v>
          </cell>
          <cell r="G510" t="e">
            <v>#N/A</v>
          </cell>
          <cell r="H510" t="e">
            <v>#N/A</v>
          </cell>
          <cell r="I510" t="e">
            <v>#N/A</v>
          </cell>
          <cell r="J510" t="e">
            <v>#N/A</v>
          </cell>
          <cell r="K510" t="e">
            <v>#N/A</v>
          </cell>
          <cell r="L510" t="e">
            <v>#N/A</v>
          </cell>
          <cell r="M510" t="e">
            <v>#N/A</v>
          </cell>
          <cell r="N510" t="e">
            <v>#N/A</v>
          </cell>
          <cell r="O510" t="e">
            <v>#N/A</v>
          </cell>
          <cell r="P510">
            <v>55.7</v>
          </cell>
          <cell r="Q510">
            <v>2.202677</v>
          </cell>
          <cell r="R510" t="e">
            <v>#N/A</v>
          </cell>
        </row>
        <row r="511">
          <cell r="A511">
            <v>39955</v>
          </cell>
          <cell r="B511">
            <v>39955</v>
          </cell>
          <cell r="C511" t="str">
            <v>Past</v>
          </cell>
          <cell r="D511">
            <v>55.7</v>
          </cell>
          <cell r="E511" t="e">
            <v>#N/A</v>
          </cell>
          <cell r="F511" t="e">
            <v>#N/A</v>
          </cell>
          <cell r="G511" t="e">
            <v>#N/A</v>
          </cell>
          <cell r="H511" t="e">
            <v>#N/A</v>
          </cell>
          <cell r="I511" t="e">
            <v>#N/A</v>
          </cell>
          <cell r="J511" t="e">
            <v>#N/A</v>
          </cell>
          <cell r="K511" t="e">
            <v>#N/A</v>
          </cell>
          <cell r="L511" t="e">
            <v>#N/A</v>
          </cell>
          <cell r="M511" t="e">
            <v>#N/A</v>
          </cell>
          <cell r="N511" t="e">
            <v>#N/A</v>
          </cell>
          <cell r="O511" t="e">
            <v>#N/A</v>
          </cell>
          <cell r="P511">
            <v>55.7</v>
          </cell>
          <cell r="Q511">
            <v>1.8300139999999998</v>
          </cell>
          <cell r="R511" t="e">
            <v>#N/A</v>
          </cell>
        </row>
        <row r="512">
          <cell r="A512">
            <v>39959</v>
          </cell>
          <cell r="B512">
            <v>39959</v>
          </cell>
          <cell r="C512" t="str">
            <v>Past</v>
          </cell>
          <cell r="D512">
            <v>56.27</v>
          </cell>
          <cell r="E512" t="e">
            <v>#N/A</v>
          </cell>
          <cell r="F512" t="e">
            <v>#N/A</v>
          </cell>
          <cell r="G512" t="e">
            <v>#N/A</v>
          </cell>
          <cell r="H512" t="e">
            <v>#N/A</v>
          </cell>
          <cell r="I512" t="e">
            <v>#N/A</v>
          </cell>
          <cell r="J512" t="e">
            <v>#N/A</v>
          </cell>
          <cell r="K512" t="e">
            <v>#N/A</v>
          </cell>
          <cell r="L512" t="e">
            <v>#N/A</v>
          </cell>
          <cell r="M512" t="e">
            <v>#N/A</v>
          </cell>
          <cell r="N512" t="e">
            <v>#N/A</v>
          </cell>
          <cell r="O512" t="e">
            <v>#N/A</v>
          </cell>
          <cell r="P512">
            <v>56.27</v>
          </cell>
          <cell r="Q512">
            <v>4.6037609999999995</v>
          </cell>
          <cell r="R512" t="e">
            <v>#N/A</v>
          </cell>
        </row>
        <row r="513">
          <cell r="A513">
            <v>39960</v>
          </cell>
          <cell r="B513">
            <v>39960</v>
          </cell>
          <cell r="C513" t="str">
            <v>Past</v>
          </cell>
          <cell r="D513">
            <v>55.72</v>
          </cell>
          <cell r="E513" t="e">
            <v>#N/A</v>
          </cell>
          <cell r="F513" t="e">
            <v>#N/A</v>
          </cell>
          <cell r="G513" t="e">
            <v>#N/A</v>
          </cell>
          <cell r="H513" t="e">
            <v>#N/A</v>
          </cell>
          <cell r="I513" t="e">
            <v>#N/A</v>
          </cell>
          <cell r="J513" t="e">
            <v>#N/A</v>
          </cell>
          <cell r="K513" t="e">
            <v>#N/A</v>
          </cell>
          <cell r="L513" t="e">
            <v>#N/A</v>
          </cell>
          <cell r="M513" t="e">
            <v>#N/A</v>
          </cell>
          <cell r="N513" t="e">
            <v>#N/A</v>
          </cell>
          <cell r="O513" t="e">
            <v>#N/A</v>
          </cell>
          <cell r="P513">
            <v>55.72</v>
          </cell>
          <cell r="Q513">
            <v>2.2418269999999998</v>
          </cell>
          <cell r="R513" t="e">
            <v>#N/A</v>
          </cell>
        </row>
        <row r="514">
          <cell r="A514">
            <v>39961</v>
          </cell>
          <cell r="B514">
            <v>39961</v>
          </cell>
          <cell r="C514" t="str">
            <v>Past</v>
          </cell>
          <cell r="D514">
            <v>57.04</v>
          </cell>
          <cell r="E514" t="e">
            <v>#N/A</v>
          </cell>
          <cell r="F514" t="e">
            <v>#N/A</v>
          </cell>
          <cell r="G514" t="e">
            <v>#N/A</v>
          </cell>
          <cell r="H514" t="e">
            <v>#N/A</v>
          </cell>
          <cell r="I514" t="e">
            <v>#N/A</v>
          </cell>
          <cell r="J514" t="e">
            <v>#N/A</v>
          </cell>
          <cell r="K514" t="e">
            <v>#N/A</v>
          </cell>
          <cell r="L514" t="e">
            <v>#N/A</v>
          </cell>
          <cell r="M514" t="e">
            <v>#N/A</v>
          </cell>
          <cell r="N514" t="e">
            <v>#N/A</v>
          </cell>
          <cell r="O514" t="e">
            <v>#N/A</v>
          </cell>
          <cell r="P514">
            <v>57.04</v>
          </cell>
          <cell r="Q514">
            <v>2.3433660000000001</v>
          </cell>
          <cell r="R514" t="e">
            <v>#N/A</v>
          </cell>
        </row>
        <row r="515">
          <cell r="A515">
            <v>39962</v>
          </cell>
          <cell r="B515">
            <v>39962</v>
          </cell>
          <cell r="C515" t="str">
            <v>Past</v>
          </cell>
          <cell r="D515">
            <v>56.9</v>
          </cell>
          <cell r="E515" t="e">
            <v>#N/A</v>
          </cell>
          <cell r="F515" t="e">
            <v>#N/A</v>
          </cell>
          <cell r="G515" t="e">
            <v>#N/A</v>
          </cell>
          <cell r="H515" t="e">
            <v>#N/A</v>
          </cell>
          <cell r="I515" t="e">
            <v>#N/A</v>
          </cell>
          <cell r="J515" t="e">
            <v>#N/A</v>
          </cell>
          <cell r="K515" t="e">
            <v>#N/A</v>
          </cell>
          <cell r="L515" t="e">
            <v>#N/A</v>
          </cell>
          <cell r="M515" t="e">
            <v>#N/A</v>
          </cell>
          <cell r="N515" t="e">
            <v>#N/A</v>
          </cell>
          <cell r="O515" t="e">
            <v>#N/A</v>
          </cell>
          <cell r="P515">
            <v>56.9</v>
          </cell>
          <cell r="Q515">
            <v>2.3618669999999997</v>
          </cell>
          <cell r="R515" t="e">
            <v>#N/A</v>
          </cell>
        </row>
        <row r="516">
          <cell r="A516">
            <v>39965</v>
          </cell>
          <cell r="B516">
            <v>39965</v>
          </cell>
          <cell r="C516" t="str">
            <v>Past</v>
          </cell>
          <cell r="D516">
            <v>59.31</v>
          </cell>
          <cell r="E516" t="e">
            <v>#N/A</v>
          </cell>
          <cell r="F516" t="e">
            <v>#N/A</v>
          </cell>
          <cell r="G516" t="e">
            <v>#N/A</v>
          </cell>
          <cell r="H516" t="e">
            <v>#N/A</v>
          </cell>
          <cell r="I516" t="e">
            <v>#N/A</v>
          </cell>
          <cell r="J516" t="e">
            <v>#N/A</v>
          </cell>
          <cell r="K516" t="e">
            <v>#N/A</v>
          </cell>
          <cell r="L516" t="e">
            <v>#N/A</v>
          </cell>
          <cell r="M516" t="e">
            <v>#N/A</v>
          </cell>
          <cell r="N516" t="e">
            <v>#N/A</v>
          </cell>
          <cell r="O516" t="e">
            <v>#N/A</v>
          </cell>
          <cell r="P516">
            <v>59.31</v>
          </cell>
          <cell r="Q516">
            <v>2.066103</v>
          </cell>
          <cell r="R516" t="e">
            <v>#N/A</v>
          </cell>
        </row>
        <row r="517">
          <cell r="A517">
            <v>39966</v>
          </cell>
          <cell r="B517">
            <v>39966</v>
          </cell>
          <cell r="C517" t="str">
            <v>Past</v>
          </cell>
          <cell r="D517">
            <v>59.98</v>
          </cell>
          <cell r="E517" t="e">
            <v>#N/A</v>
          </cell>
          <cell r="F517" t="e">
            <v>#N/A</v>
          </cell>
          <cell r="G517" t="e">
            <v>#N/A</v>
          </cell>
          <cell r="H517" t="e">
            <v>#N/A</v>
          </cell>
          <cell r="I517" t="e">
            <v>#N/A</v>
          </cell>
          <cell r="J517" t="e">
            <v>#N/A</v>
          </cell>
          <cell r="K517" t="e">
            <v>#N/A</v>
          </cell>
          <cell r="L517" t="e">
            <v>#N/A</v>
          </cell>
          <cell r="M517" t="e">
            <v>#N/A</v>
          </cell>
          <cell r="N517" t="e">
            <v>#N/A</v>
          </cell>
          <cell r="O517" t="e">
            <v>#N/A</v>
          </cell>
          <cell r="P517">
            <v>59.98</v>
          </cell>
          <cell r="Q517">
            <v>2.1165100000000003</v>
          </cell>
          <cell r="R517" t="e">
            <v>#N/A</v>
          </cell>
        </row>
        <row r="518">
          <cell r="A518">
            <v>39967</v>
          </cell>
          <cell r="B518">
            <v>39967</v>
          </cell>
          <cell r="C518" t="str">
            <v>Past</v>
          </cell>
          <cell r="D518">
            <v>58.59</v>
          </cell>
          <cell r="E518" t="e">
            <v>#N/A</v>
          </cell>
          <cell r="F518" t="e">
            <v>#N/A</v>
          </cell>
          <cell r="G518" t="e">
            <v>#N/A</v>
          </cell>
          <cell r="H518" t="e">
            <v>#N/A</v>
          </cell>
          <cell r="I518" t="e">
            <v>#N/A</v>
          </cell>
          <cell r="J518" t="e">
            <v>#N/A</v>
          </cell>
          <cell r="K518" t="e">
            <v>#N/A</v>
          </cell>
          <cell r="L518" t="e">
            <v>#N/A</v>
          </cell>
          <cell r="M518" t="e">
            <v>#N/A</v>
          </cell>
          <cell r="N518" t="e">
            <v>#N/A</v>
          </cell>
          <cell r="O518" t="e">
            <v>#N/A</v>
          </cell>
          <cell r="P518">
            <v>58.59</v>
          </cell>
          <cell r="Q518">
            <v>2.3009659999999998</v>
          </cell>
          <cell r="R518" t="e">
            <v>#N/A</v>
          </cell>
        </row>
        <row r="519">
          <cell r="A519">
            <v>39968</v>
          </cell>
          <cell r="B519">
            <v>39968</v>
          </cell>
          <cell r="C519" t="str">
            <v>Past</v>
          </cell>
          <cell r="D519">
            <v>59.1</v>
          </cell>
          <cell r="E519" t="e">
            <v>#N/A</v>
          </cell>
          <cell r="F519" t="e">
            <v>#N/A</v>
          </cell>
          <cell r="G519" t="e">
            <v>#N/A</v>
          </cell>
          <cell r="H519" t="e">
            <v>#N/A</v>
          </cell>
          <cell r="I519" t="e">
            <v>#N/A</v>
          </cell>
          <cell r="J519" t="e">
            <v>#N/A</v>
          </cell>
          <cell r="K519" t="e">
            <v>#N/A</v>
          </cell>
          <cell r="L519" t="e">
            <v>#N/A</v>
          </cell>
          <cell r="M519" t="e">
            <v>#N/A</v>
          </cell>
          <cell r="N519" t="e">
            <v>#N/A</v>
          </cell>
          <cell r="O519" t="e">
            <v>#N/A</v>
          </cell>
          <cell r="P519">
            <v>59.1</v>
          </cell>
          <cell r="Q519">
            <v>2.0281829999999998</v>
          </cell>
          <cell r="R519" t="e">
            <v>#N/A</v>
          </cell>
        </row>
        <row r="520">
          <cell r="A520">
            <v>39969</v>
          </cell>
          <cell r="B520">
            <v>39969</v>
          </cell>
          <cell r="C520" t="str">
            <v>Past</v>
          </cell>
          <cell r="D520">
            <v>60.45</v>
          </cell>
          <cell r="E520" t="e">
            <v>#N/A</v>
          </cell>
          <cell r="F520" t="e">
            <v>#N/A</v>
          </cell>
          <cell r="G520" t="e">
            <v>#N/A</v>
          </cell>
          <cell r="H520" t="e">
            <v>#N/A</v>
          </cell>
          <cell r="I520" t="e">
            <v>#N/A</v>
          </cell>
          <cell r="J520" t="e">
            <v>#N/A</v>
          </cell>
          <cell r="K520" t="e">
            <v>#N/A</v>
          </cell>
          <cell r="L520" t="e">
            <v>#N/A</v>
          </cell>
          <cell r="M520" t="e">
            <v>#N/A</v>
          </cell>
          <cell r="N520" t="e">
            <v>#N/A</v>
          </cell>
          <cell r="O520" t="e">
            <v>#N/A</v>
          </cell>
          <cell r="P520">
            <v>60.45</v>
          </cell>
          <cell r="Q520">
            <v>2.7689909999999998</v>
          </cell>
          <cell r="R520" t="e">
            <v>#N/A</v>
          </cell>
        </row>
        <row r="521">
          <cell r="A521">
            <v>39972</v>
          </cell>
          <cell r="B521">
            <v>39972</v>
          </cell>
          <cell r="C521" t="str">
            <v>Past</v>
          </cell>
          <cell r="D521">
            <v>60.46</v>
          </cell>
          <cell r="E521" t="e">
            <v>#N/A</v>
          </cell>
          <cell r="F521" t="e">
            <v>#N/A</v>
          </cell>
          <cell r="G521" t="e">
            <v>#N/A</v>
          </cell>
          <cell r="H521" t="e">
            <v>#N/A</v>
          </cell>
          <cell r="I521" t="e">
            <v>#N/A</v>
          </cell>
          <cell r="J521" t="e">
            <v>#N/A</v>
          </cell>
          <cell r="K521" t="e">
            <v>#N/A</v>
          </cell>
          <cell r="L521" t="e">
            <v>#N/A</v>
          </cell>
          <cell r="M521" t="e">
            <v>#N/A</v>
          </cell>
          <cell r="N521" t="e">
            <v>#N/A</v>
          </cell>
          <cell r="O521" t="e">
            <v>#N/A</v>
          </cell>
          <cell r="P521">
            <v>60.46</v>
          </cell>
          <cell r="Q521">
            <v>2.2860529999999999</v>
          </cell>
          <cell r="R521" t="e">
            <v>#N/A</v>
          </cell>
        </row>
        <row r="522">
          <cell r="A522">
            <v>39973</v>
          </cell>
          <cell r="B522">
            <v>39973</v>
          </cell>
          <cell r="C522" t="str">
            <v>Past</v>
          </cell>
          <cell r="D522">
            <v>59.25</v>
          </cell>
          <cell r="E522" t="e">
            <v>#N/A</v>
          </cell>
          <cell r="F522" t="e">
            <v>#N/A</v>
          </cell>
          <cell r="G522" t="e">
            <v>#N/A</v>
          </cell>
          <cell r="H522" t="e">
            <v>#N/A</v>
          </cell>
          <cell r="I522" t="e">
            <v>#N/A</v>
          </cell>
          <cell r="J522" t="e">
            <v>#N/A</v>
          </cell>
          <cell r="K522" t="e">
            <v>#N/A</v>
          </cell>
          <cell r="L522" t="e">
            <v>#N/A</v>
          </cell>
          <cell r="M522" t="e">
            <v>#N/A</v>
          </cell>
          <cell r="N522" t="e">
            <v>#N/A</v>
          </cell>
          <cell r="O522" t="e">
            <v>#N/A</v>
          </cell>
          <cell r="P522">
            <v>59.25</v>
          </cell>
          <cell r="Q522">
            <v>2.8197169999999998</v>
          </cell>
          <cell r="R522" t="e">
            <v>#N/A</v>
          </cell>
        </row>
        <row r="523">
          <cell r="A523">
            <v>39974</v>
          </cell>
          <cell r="B523">
            <v>39974</v>
          </cell>
          <cell r="C523" t="str">
            <v>Past</v>
          </cell>
          <cell r="D523">
            <v>59.04</v>
          </cell>
          <cell r="E523" t="e">
            <v>#N/A</v>
          </cell>
          <cell r="F523" t="e">
            <v>#N/A</v>
          </cell>
          <cell r="G523" t="e">
            <v>#N/A</v>
          </cell>
          <cell r="H523" t="e">
            <v>#N/A</v>
          </cell>
          <cell r="I523" t="e">
            <v>#N/A</v>
          </cell>
          <cell r="J523" t="e">
            <v>#N/A</v>
          </cell>
          <cell r="K523" t="e">
            <v>#N/A</v>
          </cell>
          <cell r="L523" t="e">
            <v>#N/A</v>
          </cell>
          <cell r="M523" t="e">
            <v>#N/A</v>
          </cell>
          <cell r="N523" t="e">
            <v>#N/A</v>
          </cell>
          <cell r="O523" t="e">
            <v>#N/A</v>
          </cell>
          <cell r="P523">
            <v>59.04</v>
          </cell>
          <cell r="Q523">
            <v>2.0353509999999999</v>
          </cell>
          <cell r="R523" t="e">
            <v>#N/A</v>
          </cell>
        </row>
        <row r="524">
          <cell r="A524">
            <v>39975</v>
          </cell>
          <cell r="B524">
            <v>39975</v>
          </cell>
          <cell r="C524" t="str">
            <v>Past</v>
          </cell>
          <cell r="D524">
            <v>59.29</v>
          </cell>
          <cell r="E524" t="e">
            <v>#N/A</v>
          </cell>
          <cell r="F524" t="e">
            <v>#N/A</v>
          </cell>
          <cell r="G524" t="e">
            <v>#N/A</v>
          </cell>
          <cell r="H524" t="e">
            <v>#N/A</v>
          </cell>
          <cell r="I524" t="e">
            <v>#N/A</v>
          </cell>
          <cell r="J524" t="e">
            <v>#N/A</v>
          </cell>
          <cell r="K524" t="e">
            <v>#N/A</v>
          </cell>
          <cell r="L524" t="e">
            <v>#N/A</v>
          </cell>
          <cell r="M524" t="e">
            <v>#N/A</v>
          </cell>
          <cell r="N524" t="e">
            <v>#N/A</v>
          </cell>
          <cell r="O524" t="e">
            <v>#N/A</v>
          </cell>
          <cell r="P524">
            <v>59.29</v>
          </cell>
          <cell r="Q524">
            <v>2.0232999999999999</v>
          </cell>
          <cell r="R524" t="e">
            <v>#N/A</v>
          </cell>
        </row>
        <row r="525">
          <cell r="A525">
            <v>39976</v>
          </cell>
          <cell r="B525">
            <v>39976</v>
          </cell>
          <cell r="C525" t="str">
            <v>Past</v>
          </cell>
          <cell r="D525">
            <v>59.76</v>
          </cell>
          <cell r="E525" t="e">
            <v>#N/A</v>
          </cell>
          <cell r="F525" t="e">
            <v>#N/A</v>
          </cell>
          <cell r="G525" t="e">
            <v>#N/A</v>
          </cell>
          <cell r="H525" t="e">
            <v>#N/A</v>
          </cell>
          <cell r="I525" t="e">
            <v>#N/A</v>
          </cell>
          <cell r="J525" t="e">
            <v>#N/A</v>
          </cell>
          <cell r="K525" t="e">
            <v>#N/A</v>
          </cell>
          <cell r="L525" t="e">
            <v>#N/A</v>
          </cell>
          <cell r="M525" t="e">
            <v>#N/A</v>
          </cell>
          <cell r="N525" t="e">
            <v>#N/A</v>
          </cell>
          <cell r="O525" t="e">
            <v>#N/A</v>
          </cell>
          <cell r="P525">
            <v>59.76</v>
          </cell>
          <cell r="Q525">
            <v>1.5357829999999999</v>
          </cell>
          <cell r="R525" t="e">
            <v>#N/A</v>
          </cell>
        </row>
        <row r="526">
          <cell r="A526">
            <v>39979</v>
          </cell>
          <cell r="B526">
            <v>39979</v>
          </cell>
          <cell r="C526" t="str">
            <v>Past</v>
          </cell>
          <cell r="D526">
            <v>58.08</v>
          </cell>
          <cell r="E526" t="e">
            <v>#N/A</v>
          </cell>
          <cell r="F526" t="e">
            <v>#N/A</v>
          </cell>
          <cell r="G526" t="e">
            <v>#N/A</v>
          </cell>
          <cell r="H526" t="e">
            <v>#N/A</v>
          </cell>
          <cell r="I526" t="e">
            <v>#N/A</v>
          </cell>
          <cell r="J526" t="e">
            <v>#N/A</v>
          </cell>
          <cell r="K526" t="e">
            <v>#N/A</v>
          </cell>
          <cell r="L526" t="e">
            <v>#N/A</v>
          </cell>
          <cell r="M526" t="e">
            <v>#N/A</v>
          </cell>
          <cell r="N526" t="e">
            <v>#N/A</v>
          </cell>
          <cell r="O526" t="e">
            <v>#N/A</v>
          </cell>
          <cell r="P526">
            <v>58.08</v>
          </cell>
          <cell r="Q526">
            <v>1.9122209999999999</v>
          </cell>
          <cell r="R526" t="e">
            <v>#N/A</v>
          </cell>
        </row>
        <row r="527">
          <cell r="A527">
            <v>39980</v>
          </cell>
          <cell r="B527">
            <v>39980</v>
          </cell>
          <cell r="C527" t="str">
            <v>Past</v>
          </cell>
          <cell r="D527">
            <v>57.46</v>
          </cell>
          <cell r="E527" t="e">
            <v>#N/A</v>
          </cell>
          <cell r="F527" t="e">
            <v>#N/A</v>
          </cell>
          <cell r="G527" t="e">
            <v>#N/A</v>
          </cell>
          <cell r="H527" t="e">
            <v>#N/A</v>
          </cell>
          <cell r="I527" t="e">
            <v>#N/A</v>
          </cell>
          <cell r="J527" t="e">
            <v>#N/A</v>
          </cell>
          <cell r="K527" t="e">
            <v>#N/A</v>
          </cell>
          <cell r="L527" t="e">
            <v>#N/A</v>
          </cell>
          <cell r="M527" t="e">
            <v>#N/A</v>
          </cell>
          <cell r="N527" t="e">
            <v>#N/A</v>
          </cell>
          <cell r="O527" t="e">
            <v>#N/A</v>
          </cell>
          <cell r="P527">
            <v>57.46</v>
          </cell>
          <cell r="Q527">
            <v>1.850536</v>
          </cell>
          <cell r="R527" t="e">
            <v>#N/A</v>
          </cell>
        </row>
        <row r="528">
          <cell r="A528">
            <v>39981</v>
          </cell>
          <cell r="B528">
            <v>39981</v>
          </cell>
          <cell r="C528" t="str">
            <v>Past</v>
          </cell>
          <cell r="D528">
            <v>57.62</v>
          </cell>
          <cell r="E528" t="e">
            <v>#N/A</v>
          </cell>
          <cell r="F528" t="e">
            <v>#N/A</v>
          </cell>
          <cell r="G528" t="e">
            <v>#N/A</v>
          </cell>
          <cell r="H528" t="e">
            <v>#N/A</v>
          </cell>
          <cell r="I528" t="e">
            <v>#N/A</v>
          </cell>
          <cell r="J528" t="e">
            <v>#N/A</v>
          </cell>
          <cell r="K528" t="e">
            <v>#N/A</v>
          </cell>
          <cell r="L528" t="e">
            <v>#N/A</v>
          </cell>
          <cell r="M528" t="e">
            <v>#N/A</v>
          </cell>
          <cell r="N528" t="e">
            <v>#N/A</v>
          </cell>
          <cell r="O528" t="e">
            <v>#N/A</v>
          </cell>
          <cell r="P528">
            <v>57.62</v>
          </cell>
          <cell r="Q528">
            <v>1.4562759999999999</v>
          </cell>
          <cell r="R528" t="e">
            <v>#N/A</v>
          </cell>
        </row>
        <row r="529">
          <cell r="A529">
            <v>39982</v>
          </cell>
          <cell r="B529">
            <v>39982</v>
          </cell>
          <cell r="C529" t="str">
            <v>Past</v>
          </cell>
          <cell r="D529">
            <v>58.21</v>
          </cell>
          <cell r="E529" t="e">
            <v>#N/A</v>
          </cell>
          <cell r="F529" t="e">
            <v>#N/A</v>
          </cell>
          <cell r="G529" t="e">
            <v>#N/A</v>
          </cell>
          <cell r="H529" t="e">
            <v>#N/A</v>
          </cell>
          <cell r="I529" t="e">
            <v>#N/A</v>
          </cell>
          <cell r="J529" t="e">
            <v>#N/A</v>
          </cell>
          <cell r="K529" t="e">
            <v>#N/A</v>
          </cell>
          <cell r="L529" t="e">
            <v>#N/A</v>
          </cell>
          <cell r="M529" t="e">
            <v>#N/A</v>
          </cell>
          <cell r="N529" t="e">
            <v>#N/A</v>
          </cell>
          <cell r="O529" t="e">
            <v>#N/A</v>
          </cell>
          <cell r="P529">
            <v>58.21</v>
          </cell>
          <cell r="Q529">
            <v>1.646644</v>
          </cell>
          <cell r="R529" t="e">
            <v>#N/A</v>
          </cell>
        </row>
        <row r="530">
          <cell r="A530">
            <v>39983</v>
          </cell>
          <cell r="B530">
            <v>39983</v>
          </cell>
          <cell r="C530" t="str">
            <v>Past</v>
          </cell>
          <cell r="D530">
            <v>58.74</v>
          </cell>
          <cell r="E530" t="e">
            <v>#N/A</v>
          </cell>
          <cell r="F530" t="e">
            <v>#N/A</v>
          </cell>
          <cell r="G530" t="e">
            <v>#N/A</v>
          </cell>
          <cell r="H530" t="e">
            <v>#N/A</v>
          </cell>
          <cell r="I530" t="e">
            <v>#N/A</v>
          </cell>
          <cell r="J530" t="e">
            <v>#N/A</v>
          </cell>
          <cell r="K530" t="e">
            <v>#N/A</v>
          </cell>
          <cell r="L530" t="e">
            <v>#N/A</v>
          </cell>
          <cell r="M530" t="e">
            <v>#N/A</v>
          </cell>
          <cell r="N530" t="e">
            <v>#N/A</v>
          </cell>
          <cell r="O530" t="e">
            <v>#N/A</v>
          </cell>
          <cell r="P530">
            <v>58.74</v>
          </cell>
          <cell r="Q530">
            <v>3.212421</v>
          </cell>
          <cell r="R530" t="e">
            <v>#N/A</v>
          </cell>
        </row>
        <row r="531">
          <cell r="A531">
            <v>39986</v>
          </cell>
          <cell r="B531">
            <v>39986</v>
          </cell>
          <cell r="C531" t="str">
            <v>Past</v>
          </cell>
          <cell r="D531">
            <v>57.45</v>
          </cell>
          <cell r="E531" t="e">
            <v>#N/A</v>
          </cell>
          <cell r="F531" t="e">
            <v>#N/A</v>
          </cell>
          <cell r="G531" t="e">
            <v>#N/A</v>
          </cell>
          <cell r="H531" t="e">
            <v>#N/A</v>
          </cell>
          <cell r="I531" t="e">
            <v>#N/A</v>
          </cell>
          <cell r="J531" t="e">
            <v>#N/A</v>
          </cell>
          <cell r="K531" t="e">
            <v>#N/A</v>
          </cell>
          <cell r="L531" t="e">
            <v>#N/A</v>
          </cell>
          <cell r="M531" t="e">
            <v>#N/A</v>
          </cell>
          <cell r="N531" t="e">
            <v>#N/A</v>
          </cell>
          <cell r="O531" t="e">
            <v>#N/A</v>
          </cell>
          <cell r="P531">
            <v>57.45</v>
          </cell>
          <cell r="Q531">
            <v>2.689813</v>
          </cell>
          <cell r="R531" t="e">
            <v>#N/A</v>
          </cell>
        </row>
        <row r="532">
          <cell r="A532">
            <v>39987</v>
          </cell>
          <cell r="B532">
            <v>39987</v>
          </cell>
          <cell r="C532" t="str">
            <v>Past</v>
          </cell>
          <cell r="D532">
            <v>55.99</v>
          </cell>
          <cell r="E532" t="e">
            <v>#N/A</v>
          </cell>
          <cell r="F532" t="e">
            <v>#N/A</v>
          </cell>
          <cell r="G532" t="e">
            <v>#N/A</v>
          </cell>
          <cell r="H532" t="e">
            <v>#N/A</v>
          </cell>
          <cell r="I532" t="e">
            <v>#N/A</v>
          </cell>
          <cell r="J532" t="e">
            <v>#N/A</v>
          </cell>
          <cell r="K532" t="e">
            <v>#N/A</v>
          </cell>
          <cell r="L532" t="e">
            <v>#N/A</v>
          </cell>
          <cell r="M532" t="e">
            <v>#N/A</v>
          </cell>
          <cell r="N532" t="e">
            <v>#N/A</v>
          </cell>
          <cell r="O532" t="e">
            <v>#N/A</v>
          </cell>
          <cell r="P532">
            <v>55.99</v>
          </cell>
          <cell r="Q532">
            <v>2.3772439999999997</v>
          </cell>
          <cell r="R532" t="e">
            <v>#N/A</v>
          </cell>
        </row>
        <row r="533">
          <cell r="A533">
            <v>39988</v>
          </cell>
          <cell r="B533">
            <v>39988</v>
          </cell>
          <cell r="C533" t="str">
            <v>Past</v>
          </cell>
          <cell r="D533">
            <v>54.54</v>
          </cell>
          <cell r="E533" t="e">
            <v>#N/A</v>
          </cell>
          <cell r="F533" t="e">
            <v>#N/A</v>
          </cell>
          <cell r="G533" t="e">
            <v>#N/A</v>
          </cell>
          <cell r="H533" t="e">
            <v>#N/A</v>
          </cell>
          <cell r="I533" t="e">
            <v>#N/A</v>
          </cell>
          <cell r="J533" t="e">
            <v>#N/A</v>
          </cell>
          <cell r="K533" t="e">
            <v>#N/A</v>
          </cell>
          <cell r="L533" t="e">
            <v>#N/A</v>
          </cell>
          <cell r="M533" t="e">
            <v>#N/A</v>
          </cell>
          <cell r="N533" t="e">
            <v>#N/A</v>
          </cell>
          <cell r="O533" t="e">
            <v>#N/A</v>
          </cell>
          <cell r="P533">
            <v>54.54</v>
          </cell>
          <cell r="Q533">
            <v>2.653483</v>
          </cell>
          <cell r="R533" t="e">
            <v>#N/A</v>
          </cell>
        </row>
        <row r="534">
          <cell r="A534">
            <v>39989</v>
          </cell>
          <cell r="B534">
            <v>39989</v>
          </cell>
          <cell r="C534" t="str">
            <v>Past</v>
          </cell>
          <cell r="D534">
            <v>55.82</v>
          </cell>
          <cell r="E534" t="e">
            <v>#N/A</v>
          </cell>
          <cell r="F534" t="e">
            <v>#N/A</v>
          </cell>
          <cell r="G534" t="e">
            <v>#N/A</v>
          </cell>
          <cell r="H534" t="e">
            <v>#N/A</v>
          </cell>
          <cell r="I534" t="e">
            <v>#N/A</v>
          </cell>
          <cell r="J534" t="e">
            <v>#N/A</v>
          </cell>
          <cell r="K534" t="e">
            <v>#N/A</v>
          </cell>
          <cell r="L534" t="e">
            <v>#N/A</v>
          </cell>
          <cell r="M534" t="e">
            <v>#N/A</v>
          </cell>
          <cell r="N534" t="e">
            <v>#N/A</v>
          </cell>
          <cell r="O534" t="e">
            <v>#N/A</v>
          </cell>
          <cell r="P534">
            <v>55.82</v>
          </cell>
          <cell r="Q534">
            <v>2.511037</v>
          </cell>
          <cell r="R534" t="e">
            <v>#N/A</v>
          </cell>
        </row>
        <row r="535">
          <cell r="A535">
            <v>39990</v>
          </cell>
          <cell r="B535">
            <v>39990</v>
          </cell>
          <cell r="C535" t="str">
            <v>Past</v>
          </cell>
          <cell r="D535">
            <v>55.46</v>
          </cell>
          <cell r="E535" t="e">
            <v>#N/A</v>
          </cell>
          <cell r="F535" t="e">
            <v>#N/A</v>
          </cell>
          <cell r="G535" t="e">
            <v>#N/A</v>
          </cell>
          <cell r="H535" t="e">
            <v>#N/A</v>
          </cell>
          <cell r="I535" t="e">
            <v>#N/A</v>
          </cell>
          <cell r="J535" t="e">
            <v>#N/A</v>
          </cell>
          <cell r="K535" t="e">
            <v>#N/A</v>
          </cell>
          <cell r="L535" t="e">
            <v>#N/A</v>
          </cell>
          <cell r="M535" t="e">
            <v>#N/A</v>
          </cell>
          <cell r="N535" t="e">
            <v>#N/A</v>
          </cell>
          <cell r="O535" t="e">
            <v>#N/A</v>
          </cell>
          <cell r="P535">
            <v>55.46</v>
          </cell>
          <cell r="Q535">
            <v>4.4194079999999998</v>
          </cell>
          <cell r="R535" t="e">
            <v>#N/A</v>
          </cell>
        </row>
        <row r="536">
          <cell r="A536">
            <v>39993</v>
          </cell>
          <cell r="B536">
            <v>39993</v>
          </cell>
          <cell r="C536" t="str">
            <v>Past</v>
          </cell>
          <cell r="D536">
            <v>57</v>
          </cell>
          <cell r="E536" t="e">
            <v>#N/A</v>
          </cell>
          <cell r="F536" t="e">
            <v>#N/A</v>
          </cell>
          <cell r="G536" t="e">
            <v>#N/A</v>
          </cell>
          <cell r="H536" t="e">
            <v>#N/A</v>
          </cell>
          <cell r="I536" t="e">
            <v>#N/A</v>
          </cell>
          <cell r="J536" t="e">
            <v>#N/A</v>
          </cell>
          <cell r="K536" t="e">
            <v>#N/A</v>
          </cell>
          <cell r="L536" t="e">
            <v>#N/A</v>
          </cell>
          <cell r="M536" t="e">
            <v>#N/A</v>
          </cell>
          <cell r="N536" t="e">
            <v>#N/A</v>
          </cell>
          <cell r="O536" t="e">
            <v>#N/A</v>
          </cell>
          <cell r="P536">
            <v>57</v>
          </cell>
          <cell r="Q536">
            <v>2.9721229999999998</v>
          </cell>
          <cell r="R536" t="e">
            <v>#N/A</v>
          </cell>
        </row>
        <row r="537">
          <cell r="A537">
            <v>39994</v>
          </cell>
          <cell r="B537">
            <v>39994</v>
          </cell>
          <cell r="C537" t="str">
            <v>Past</v>
          </cell>
          <cell r="D537">
            <v>55.39</v>
          </cell>
          <cell r="E537" t="e">
            <v>#N/A</v>
          </cell>
          <cell r="F537" t="e">
            <v>#N/A</v>
          </cell>
          <cell r="G537" t="e">
            <v>#N/A</v>
          </cell>
          <cell r="H537" t="e">
            <v>#N/A</v>
          </cell>
          <cell r="I537" t="e">
            <v>#N/A</v>
          </cell>
          <cell r="J537" t="e">
            <v>#N/A</v>
          </cell>
          <cell r="K537" t="e">
            <v>#N/A</v>
          </cell>
          <cell r="L537" t="e">
            <v>#N/A</v>
          </cell>
          <cell r="M537" t="e">
            <v>#N/A</v>
          </cell>
          <cell r="N537" t="e">
            <v>#N/A</v>
          </cell>
          <cell r="O537" t="e">
            <v>#N/A</v>
          </cell>
          <cell r="P537">
            <v>55.39</v>
          </cell>
          <cell r="Q537">
            <v>2.4120360000000001</v>
          </cell>
          <cell r="R537" t="e">
            <v>#N/A</v>
          </cell>
        </row>
        <row r="538">
          <cell r="A538">
            <v>39995</v>
          </cell>
          <cell r="B538">
            <v>39995</v>
          </cell>
          <cell r="C538" t="str">
            <v>Past</v>
          </cell>
          <cell r="D538">
            <v>55.68</v>
          </cell>
          <cell r="E538" t="e">
            <v>#N/A</v>
          </cell>
          <cell r="F538" t="e">
            <v>#N/A</v>
          </cell>
          <cell r="G538" t="e">
            <v>#N/A</v>
          </cell>
          <cell r="H538" t="e">
            <v>#N/A</v>
          </cell>
          <cell r="I538" t="e">
            <v>#N/A</v>
          </cell>
          <cell r="J538" t="e">
            <v>#N/A</v>
          </cell>
          <cell r="K538" t="e">
            <v>#N/A</v>
          </cell>
          <cell r="L538" t="e">
            <v>#N/A</v>
          </cell>
          <cell r="M538" t="e">
            <v>#N/A</v>
          </cell>
          <cell r="N538" t="e">
            <v>#N/A</v>
          </cell>
          <cell r="O538" t="e">
            <v>#N/A</v>
          </cell>
          <cell r="P538">
            <v>55.68</v>
          </cell>
          <cell r="Q538">
            <v>1.9950000000000001</v>
          </cell>
          <cell r="R538" t="e">
            <v>#N/A</v>
          </cell>
        </row>
        <row r="539">
          <cell r="A539">
            <v>39996</v>
          </cell>
          <cell r="B539">
            <v>39996</v>
          </cell>
          <cell r="C539" t="str">
            <v>Past</v>
          </cell>
          <cell r="D539">
            <v>53.62</v>
          </cell>
          <cell r="E539" t="e">
            <v>#N/A</v>
          </cell>
          <cell r="F539" t="e">
            <v>#N/A</v>
          </cell>
          <cell r="G539" t="e">
            <v>#N/A</v>
          </cell>
          <cell r="H539" t="e">
            <v>#N/A</v>
          </cell>
          <cell r="I539" t="e">
            <v>#N/A</v>
          </cell>
          <cell r="J539" t="e">
            <v>#N/A</v>
          </cell>
          <cell r="K539" t="e">
            <v>#N/A</v>
          </cell>
          <cell r="L539" t="e">
            <v>#N/A</v>
          </cell>
          <cell r="M539" t="e">
            <v>#N/A</v>
          </cell>
          <cell r="N539" t="e">
            <v>#N/A</v>
          </cell>
          <cell r="O539" t="e">
            <v>#N/A</v>
          </cell>
          <cell r="P539">
            <v>53.62</v>
          </cell>
          <cell r="Q539">
            <v>2.0670470000000001</v>
          </cell>
          <cell r="R539" t="e">
            <v>#N/A</v>
          </cell>
        </row>
        <row r="540">
          <cell r="A540">
            <v>40000</v>
          </cell>
          <cell r="B540">
            <v>40000</v>
          </cell>
          <cell r="C540" t="str">
            <v>Past</v>
          </cell>
          <cell r="D540">
            <v>53.93</v>
          </cell>
          <cell r="E540" t="e">
            <v>#N/A</v>
          </cell>
          <cell r="F540" t="e">
            <v>#N/A</v>
          </cell>
          <cell r="G540" t="e">
            <v>#N/A</v>
          </cell>
          <cell r="H540" t="e">
            <v>#N/A</v>
          </cell>
          <cell r="I540" t="e">
            <v>#N/A</v>
          </cell>
          <cell r="J540" t="e">
            <v>#N/A</v>
          </cell>
          <cell r="K540" t="e">
            <v>#N/A</v>
          </cell>
          <cell r="L540" t="e">
            <v>#N/A</v>
          </cell>
          <cell r="M540" t="e">
            <v>#N/A</v>
          </cell>
          <cell r="N540" t="e">
            <v>#N/A</v>
          </cell>
          <cell r="O540" t="e">
            <v>#N/A</v>
          </cell>
          <cell r="P540">
            <v>53.93</v>
          </cell>
          <cell r="Q540">
            <v>1.866177</v>
          </cell>
          <cell r="R540" t="e">
            <v>#N/A</v>
          </cell>
        </row>
        <row r="541">
          <cell r="A541">
            <v>40001</v>
          </cell>
          <cell r="B541">
            <v>40001</v>
          </cell>
          <cell r="C541" t="str">
            <v>Past</v>
          </cell>
          <cell r="D541">
            <v>52.06</v>
          </cell>
          <cell r="E541" t="e">
            <v>#N/A</v>
          </cell>
          <cell r="F541" t="e">
            <v>#N/A</v>
          </cell>
          <cell r="G541" t="e">
            <v>#N/A</v>
          </cell>
          <cell r="H541" t="e">
            <v>#N/A</v>
          </cell>
          <cell r="I541" t="e">
            <v>#N/A</v>
          </cell>
          <cell r="J541" t="e">
            <v>#N/A</v>
          </cell>
          <cell r="K541" t="e">
            <v>#N/A</v>
          </cell>
          <cell r="L541" t="e">
            <v>#N/A</v>
          </cell>
          <cell r="M541" t="e">
            <v>#N/A</v>
          </cell>
          <cell r="N541" t="e">
            <v>#N/A</v>
          </cell>
          <cell r="O541" t="e">
            <v>#N/A</v>
          </cell>
          <cell r="P541">
            <v>52.06</v>
          </cell>
          <cell r="Q541">
            <v>2.4891509999999997</v>
          </cell>
          <cell r="R541" t="e">
            <v>#N/A</v>
          </cell>
        </row>
        <row r="542">
          <cell r="A542">
            <v>40002</v>
          </cell>
          <cell r="B542">
            <v>40002</v>
          </cell>
          <cell r="C542" t="str">
            <v>Past</v>
          </cell>
          <cell r="D542">
            <v>51.91</v>
          </cell>
          <cell r="E542" t="e">
            <v>#N/A</v>
          </cell>
          <cell r="F542" t="e">
            <v>#N/A</v>
          </cell>
          <cell r="G542" t="e">
            <v>#N/A</v>
          </cell>
          <cell r="H542" t="e">
            <v>#N/A</v>
          </cell>
          <cell r="I542" t="e">
            <v>#N/A</v>
          </cell>
          <cell r="J542" t="e">
            <v>#N/A</v>
          </cell>
          <cell r="K542" t="e">
            <v>#N/A</v>
          </cell>
          <cell r="L542" t="e">
            <v>#N/A</v>
          </cell>
          <cell r="M542" t="e">
            <v>#N/A</v>
          </cell>
          <cell r="N542" t="e">
            <v>#N/A</v>
          </cell>
          <cell r="O542" t="e">
            <v>#N/A</v>
          </cell>
          <cell r="P542">
            <v>51.91</v>
          </cell>
          <cell r="Q542">
            <v>2.3313300000000003</v>
          </cell>
          <cell r="R542" t="e">
            <v>#N/A</v>
          </cell>
        </row>
        <row r="543">
          <cell r="A543">
            <v>40003</v>
          </cell>
          <cell r="B543">
            <v>40003</v>
          </cell>
          <cell r="C543" t="str">
            <v>Past</v>
          </cell>
          <cell r="D543">
            <v>51.54</v>
          </cell>
          <cell r="E543" t="e">
            <v>#N/A</v>
          </cell>
          <cell r="F543" t="e">
            <v>#N/A</v>
          </cell>
          <cell r="G543" t="e">
            <v>#N/A</v>
          </cell>
          <cell r="H543" t="e">
            <v>#N/A</v>
          </cell>
          <cell r="I543" t="e">
            <v>#N/A</v>
          </cell>
          <cell r="J543" t="e">
            <v>#N/A</v>
          </cell>
          <cell r="K543" t="e">
            <v>#N/A</v>
          </cell>
          <cell r="L543" t="e">
            <v>#N/A</v>
          </cell>
          <cell r="M543" t="e">
            <v>#N/A</v>
          </cell>
          <cell r="N543" t="e">
            <v>#N/A</v>
          </cell>
          <cell r="O543" t="e">
            <v>#N/A</v>
          </cell>
          <cell r="P543">
            <v>51.54</v>
          </cell>
          <cell r="Q543">
            <v>1.995444</v>
          </cell>
          <cell r="R543" t="e">
            <v>#N/A</v>
          </cell>
        </row>
        <row r="544">
          <cell r="A544">
            <v>40004</v>
          </cell>
          <cell r="B544">
            <v>40004</v>
          </cell>
          <cell r="C544" t="str">
            <v>Past</v>
          </cell>
          <cell r="D544">
            <v>51.59</v>
          </cell>
          <cell r="E544" t="e">
            <v>#N/A</v>
          </cell>
          <cell r="F544" t="e">
            <v>#N/A</v>
          </cell>
          <cell r="G544" t="e">
            <v>#N/A</v>
          </cell>
          <cell r="H544" t="e">
            <v>#N/A</v>
          </cell>
          <cell r="I544" t="e">
            <v>#N/A</v>
          </cell>
          <cell r="J544" t="e">
            <v>#N/A</v>
          </cell>
          <cell r="K544" t="e">
            <v>#N/A</v>
          </cell>
          <cell r="L544" t="e">
            <v>#N/A</v>
          </cell>
          <cell r="M544" t="e">
            <v>#N/A</v>
          </cell>
          <cell r="N544" t="e">
            <v>#N/A</v>
          </cell>
          <cell r="O544" t="e">
            <v>#N/A</v>
          </cell>
          <cell r="P544">
            <v>51.59</v>
          </cell>
          <cell r="Q544">
            <v>1.928804</v>
          </cell>
          <cell r="R544" t="e">
            <v>#N/A</v>
          </cell>
        </row>
        <row r="545">
          <cell r="A545">
            <v>40007</v>
          </cell>
          <cell r="B545">
            <v>40007</v>
          </cell>
          <cell r="C545" t="str">
            <v>Past</v>
          </cell>
          <cell r="D545">
            <v>52.29</v>
          </cell>
          <cell r="E545" t="e">
            <v>#N/A</v>
          </cell>
          <cell r="F545" t="e">
            <v>#N/A</v>
          </cell>
          <cell r="G545" t="e">
            <v>#N/A</v>
          </cell>
          <cell r="H545" t="e">
            <v>#N/A</v>
          </cell>
          <cell r="I545" t="e">
            <v>#N/A</v>
          </cell>
          <cell r="J545" t="e">
            <v>#N/A</v>
          </cell>
          <cell r="K545" t="e">
            <v>#N/A</v>
          </cell>
          <cell r="L545" t="e">
            <v>#N/A</v>
          </cell>
          <cell r="M545" t="e">
            <v>#N/A</v>
          </cell>
          <cell r="N545" t="e">
            <v>#N/A</v>
          </cell>
          <cell r="O545" t="e">
            <v>#N/A</v>
          </cell>
          <cell r="P545">
            <v>52.29</v>
          </cell>
          <cell r="Q545">
            <v>2.4747509999999999</v>
          </cell>
          <cell r="R545" t="e">
            <v>#N/A</v>
          </cell>
        </row>
        <row r="546">
          <cell r="A546">
            <v>40008</v>
          </cell>
          <cell r="B546">
            <v>40008</v>
          </cell>
          <cell r="C546" t="str">
            <v>Past</v>
          </cell>
          <cell r="D546">
            <v>53.1</v>
          </cell>
          <cell r="E546" t="e">
            <v>#N/A</v>
          </cell>
          <cell r="F546" t="e">
            <v>#N/A</v>
          </cell>
          <cell r="G546" t="e">
            <v>#N/A</v>
          </cell>
          <cell r="H546" t="e">
            <v>#N/A</v>
          </cell>
          <cell r="I546" t="e">
            <v>#N/A</v>
          </cell>
          <cell r="J546" t="e">
            <v>#N/A</v>
          </cell>
          <cell r="K546" t="e">
            <v>#N/A</v>
          </cell>
          <cell r="L546" t="e">
            <v>#N/A</v>
          </cell>
          <cell r="M546" t="e">
            <v>#N/A</v>
          </cell>
          <cell r="N546" t="e">
            <v>#N/A</v>
          </cell>
          <cell r="O546" t="e">
            <v>#N/A</v>
          </cell>
          <cell r="P546">
            <v>53.1</v>
          </cell>
          <cell r="Q546">
            <v>2.1884889999999997</v>
          </cell>
          <cell r="R546" t="e">
            <v>#N/A</v>
          </cell>
        </row>
        <row r="547">
          <cell r="A547">
            <v>40009</v>
          </cell>
          <cell r="B547">
            <v>40009</v>
          </cell>
          <cell r="C547" t="str">
            <v>Past</v>
          </cell>
          <cell r="D547">
            <v>54.14</v>
          </cell>
          <cell r="E547" t="e">
            <v>#N/A</v>
          </cell>
          <cell r="F547" t="e">
            <v>#N/A</v>
          </cell>
          <cell r="G547" t="e">
            <v>#N/A</v>
          </cell>
          <cell r="H547" t="e">
            <v>#N/A</v>
          </cell>
          <cell r="I547" t="e">
            <v>#N/A</v>
          </cell>
          <cell r="J547" t="e">
            <v>#N/A</v>
          </cell>
          <cell r="K547" t="e">
            <v>#N/A</v>
          </cell>
          <cell r="L547" t="e">
            <v>#N/A</v>
          </cell>
          <cell r="M547" t="e">
            <v>#N/A</v>
          </cell>
          <cell r="N547" t="e">
            <v>#N/A</v>
          </cell>
          <cell r="O547" t="e">
            <v>#N/A</v>
          </cell>
          <cell r="P547">
            <v>54.14</v>
          </cell>
          <cell r="Q547">
            <v>1.6477709999999999</v>
          </cell>
          <cell r="R547" t="e">
            <v>#N/A</v>
          </cell>
        </row>
        <row r="548">
          <cell r="A548">
            <v>40010</v>
          </cell>
          <cell r="B548">
            <v>40010</v>
          </cell>
          <cell r="C548" t="str">
            <v>Past</v>
          </cell>
          <cell r="D548">
            <v>54.76</v>
          </cell>
          <cell r="E548" t="e">
            <v>#N/A</v>
          </cell>
          <cell r="F548" t="e">
            <v>#N/A</v>
          </cell>
          <cell r="G548" t="e">
            <v>#N/A</v>
          </cell>
          <cell r="H548" t="e">
            <v>#N/A</v>
          </cell>
          <cell r="I548" t="e">
            <v>#N/A</v>
          </cell>
          <cell r="J548" t="e">
            <v>#N/A</v>
          </cell>
          <cell r="K548" t="e">
            <v>#N/A</v>
          </cell>
          <cell r="L548" t="e">
            <v>#N/A</v>
          </cell>
          <cell r="M548" t="e">
            <v>#N/A</v>
          </cell>
          <cell r="N548" t="e">
            <v>#N/A</v>
          </cell>
          <cell r="O548" t="e">
            <v>#N/A</v>
          </cell>
          <cell r="P548">
            <v>54.76</v>
          </cell>
          <cell r="Q548">
            <v>2.2277269999999998</v>
          </cell>
          <cell r="R548" t="e">
            <v>#N/A</v>
          </cell>
        </row>
        <row r="549">
          <cell r="A549">
            <v>40011</v>
          </cell>
          <cell r="B549">
            <v>40011</v>
          </cell>
          <cell r="C549" t="str">
            <v>Past</v>
          </cell>
          <cell r="D549">
            <v>53.56</v>
          </cell>
          <cell r="E549" t="e">
            <v>#N/A</v>
          </cell>
          <cell r="F549" t="e">
            <v>#N/A</v>
          </cell>
          <cell r="G549" t="e">
            <v>#N/A</v>
          </cell>
          <cell r="H549" t="e">
            <v>#N/A</v>
          </cell>
          <cell r="I549" t="e">
            <v>#N/A</v>
          </cell>
          <cell r="J549" t="e">
            <v>#N/A</v>
          </cell>
          <cell r="K549" t="e">
            <v>#N/A</v>
          </cell>
          <cell r="L549" t="e">
            <v>#N/A</v>
          </cell>
          <cell r="M549" t="e">
            <v>#N/A</v>
          </cell>
          <cell r="N549" t="e">
            <v>#N/A</v>
          </cell>
          <cell r="O549" t="e">
            <v>#N/A</v>
          </cell>
          <cell r="P549">
            <v>53.56</v>
          </cell>
          <cell r="Q549">
            <v>2.3309419999999998</v>
          </cell>
          <cell r="R549" t="e">
            <v>#N/A</v>
          </cell>
        </row>
        <row r="550">
          <cell r="A550">
            <v>40014</v>
          </cell>
          <cell r="B550">
            <v>40014</v>
          </cell>
          <cell r="C550" t="str">
            <v>Past</v>
          </cell>
          <cell r="D550">
            <v>54.47</v>
          </cell>
          <cell r="E550" t="e">
            <v>#N/A</v>
          </cell>
          <cell r="F550" t="e">
            <v>#N/A</v>
          </cell>
          <cell r="G550" t="e">
            <v>#N/A</v>
          </cell>
          <cell r="H550" t="e">
            <v>#N/A</v>
          </cell>
          <cell r="I550" t="e">
            <v>#N/A</v>
          </cell>
          <cell r="J550" t="e">
            <v>#N/A</v>
          </cell>
          <cell r="K550" t="e">
            <v>#N/A</v>
          </cell>
          <cell r="L550" t="e">
            <v>#N/A</v>
          </cell>
          <cell r="M550" t="e">
            <v>#N/A</v>
          </cell>
          <cell r="N550" t="e">
            <v>#N/A</v>
          </cell>
          <cell r="O550" t="e">
            <v>#N/A</v>
          </cell>
          <cell r="P550">
            <v>54.47</v>
          </cell>
          <cell r="Q550">
            <v>1.5162419999999999</v>
          </cell>
          <cell r="R550" t="e">
            <v>#N/A</v>
          </cell>
        </row>
        <row r="551">
          <cell r="A551">
            <v>40015</v>
          </cell>
          <cell r="B551">
            <v>40015</v>
          </cell>
          <cell r="C551" t="str">
            <v>Past</v>
          </cell>
          <cell r="D551">
            <v>54.55</v>
          </cell>
          <cell r="E551" t="e">
            <v>#N/A</v>
          </cell>
          <cell r="F551" t="e">
            <v>#N/A</v>
          </cell>
          <cell r="G551" t="e">
            <v>#N/A</v>
          </cell>
          <cell r="H551" t="e">
            <v>#N/A</v>
          </cell>
          <cell r="I551" t="e">
            <v>#N/A</v>
          </cell>
          <cell r="J551" t="e">
            <v>#N/A</v>
          </cell>
          <cell r="K551" t="e">
            <v>#N/A</v>
          </cell>
          <cell r="L551" t="e">
            <v>#N/A</v>
          </cell>
          <cell r="M551" t="e">
            <v>#N/A</v>
          </cell>
          <cell r="N551" t="e">
            <v>#N/A</v>
          </cell>
          <cell r="O551" t="e">
            <v>#N/A</v>
          </cell>
          <cell r="P551">
            <v>54.55</v>
          </cell>
          <cell r="Q551">
            <v>2.3011729999999999</v>
          </cell>
          <cell r="R551" t="e">
            <v>#N/A</v>
          </cell>
        </row>
        <row r="552">
          <cell r="A552">
            <v>40016</v>
          </cell>
          <cell r="B552">
            <v>40016</v>
          </cell>
          <cell r="C552" t="str">
            <v>Past</v>
          </cell>
          <cell r="D552">
            <v>54</v>
          </cell>
          <cell r="E552" t="e">
            <v>#N/A</v>
          </cell>
          <cell r="F552" t="e">
            <v>#N/A</v>
          </cell>
          <cell r="G552" t="e">
            <v>#N/A</v>
          </cell>
          <cell r="H552" t="e">
            <v>#N/A</v>
          </cell>
          <cell r="I552" t="e">
            <v>#N/A</v>
          </cell>
          <cell r="J552" t="e">
            <v>#N/A</v>
          </cell>
          <cell r="K552" t="e">
            <v>#N/A</v>
          </cell>
          <cell r="L552" t="e">
            <v>#N/A</v>
          </cell>
          <cell r="M552" t="e">
            <v>#N/A</v>
          </cell>
          <cell r="N552" t="e">
            <v>#N/A</v>
          </cell>
          <cell r="O552" t="e">
            <v>#N/A</v>
          </cell>
          <cell r="P552">
            <v>54</v>
          </cell>
          <cell r="Q552">
            <v>2.2205749999999997</v>
          </cell>
          <cell r="R552" t="e">
            <v>#N/A</v>
          </cell>
        </row>
        <row r="553">
          <cell r="A553">
            <v>40017</v>
          </cell>
          <cell r="B553">
            <v>40017</v>
          </cell>
          <cell r="C553" t="str">
            <v>Past</v>
          </cell>
          <cell r="D553">
            <v>53.71</v>
          </cell>
          <cell r="E553" t="e">
            <v>#N/A</v>
          </cell>
          <cell r="F553" t="e">
            <v>#N/A</v>
          </cell>
          <cell r="G553" t="e">
            <v>#N/A</v>
          </cell>
          <cell r="H553" t="e">
            <v>#N/A</v>
          </cell>
          <cell r="I553" t="e">
            <v>#N/A</v>
          </cell>
          <cell r="J553" t="e">
            <v>#N/A</v>
          </cell>
          <cell r="K553" t="e">
            <v>#N/A</v>
          </cell>
          <cell r="L553" t="e">
            <v>#N/A</v>
          </cell>
          <cell r="M553" t="e">
            <v>#N/A</v>
          </cell>
          <cell r="N553" t="e">
            <v>#N/A</v>
          </cell>
          <cell r="O553" t="e">
            <v>#N/A</v>
          </cell>
          <cell r="P553">
            <v>53.71</v>
          </cell>
          <cell r="Q553">
            <v>3.188132</v>
          </cell>
          <cell r="R553" t="e">
            <v>#N/A</v>
          </cell>
        </row>
        <row r="554">
          <cell r="A554">
            <v>40018</v>
          </cell>
          <cell r="B554">
            <v>40018</v>
          </cell>
          <cell r="C554" t="str">
            <v>Past</v>
          </cell>
          <cell r="D554">
            <v>52.49</v>
          </cell>
          <cell r="E554" t="e">
            <v>#N/A</v>
          </cell>
          <cell r="F554" t="e">
            <v>#N/A</v>
          </cell>
          <cell r="G554" t="e">
            <v>#N/A</v>
          </cell>
          <cell r="H554" t="e">
            <v>#N/A</v>
          </cell>
          <cell r="I554" t="e">
            <v>#N/A</v>
          </cell>
          <cell r="J554" t="e">
            <v>#N/A</v>
          </cell>
          <cell r="K554" t="e">
            <v>#N/A</v>
          </cell>
          <cell r="L554" t="e">
            <v>#N/A</v>
          </cell>
          <cell r="M554" t="e">
            <v>#N/A</v>
          </cell>
          <cell r="N554" t="e">
            <v>#N/A</v>
          </cell>
          <cell r="O554" t="e">
            <v>#N/A</v>
          </cell>
          <cell r="P554">
            <v>52.49</v>
          </cell>
          <cell r="Q554">
            <v>2.8109769999999998</v>
          </cell>
          <cell r="R554" t="e">
            <v>#N/A</v>
          </cell>
        </row>
        <row r="555">
          <cell r="A555">
            <v>40021</v>
          </cell>
          <cell r="B555">
            <v>40021</v>
          </cell>
          <cell r="C555" t="str">
            <v>Past</v>
          </cell>
          <cell r="D555">
            <v>51.89</v>
          </cell>
          <cell r="E555" t="e">
            <v>#N/A</v>
          </cell>
          <cell r="F555" t="e">
            <v>#N/A</v>
          </cell>
          <cell r="G555" t="e">
            <v>#N/A</v>
          </cell>
          <cell r="H555" t="e">
            <v>#N/A</v>
          </cell>
          <cell r="I555" t="e">
            <v>#N/A</v>
          </cell>
          <cell r="J555" t="e">
            <v>#N/A</v>
          </cell>
          <cell r="K555" t="e">
            <v>#N/A</v>
          </cell>
          <cell r="L555" t="e">
            <v>#N/A</v>
          </cell>
          <cell r="M555" t="e">
            <v>#N/A</v>
          </cell>
          <cell r="N555" t="e">
            <v>#N/A</v>
          </cell>
          <cell r="O555" t="e">
            <v>#N/A</v>
          </cell>
          <cell r="P555">
            <v>51.89</v>
          </cell>
          <cell r="Q555">
            <v>7.0457130000000001</v>
          </cell>
          <cell r="R555" t="e">
            <v>#N/A</v>
          </cell>
        </row>
        <row r="556">
          <cell r="A556">
            <v>40022</v>
          </cell>
          <cell r="B556">
            <v>40022</v>
          </cell>
          <cell r="C556" t="str">
            <v>Past</v>
          </cell>
          <cell r="D556">
            <v>53.74</v>
          </cell>
          <cell r="E556" t="e">
            <v>#N/A</v>
          </cell>
          <cell r="F556" t="e">
            <v>#N/A</v>
          </cell>
          <cell r="G556" t="e">
            <v>#N/A</v>
          </cell>
          <cell r="H556" t="e">
            <v>#N/A</v>
          </cell>
          <cell r="I556" t="e">
            <v>#N/A</v>
          </cell>
          <cell r="J556" t="e">
            <v>#N/A</v>
          </cell>
          <cell r="K556" t="e">
            <v>#N/A</v>
          </cell>
          <cell r="L556" t="e">
            <v>#N/A</v>
          </cell>
          <cell r="M556" t="e">
            <v>#N/A</v>
          </cell>
          <cell r="N556" t="e">
            <v>#N/A</v>
          </cell>
          <cell r="O556" t="e">
            <v>#N/A</v>
          </cell>
          <cell r="P556">
            <v>53.74</v>
          </cell>
          <cell r="Q556">
            <v>4.0562290000000001</v>
          </cell>
          <cell r="R556" t="e">
            <v>#N/A</v>
          </cell>
        </row>
        <row r="557">
          <cell r="A557">
            <v>40023</v>
          </cell>
          <cell r="B557">
            <v>40023</v>
          </cell>
          <cell r="C557" t="str">
            <v>Past</v>
          </cell>
          <cell r="D557">
            <v>54.55</v>
          </cell>
          <cell r="E557" t="e">
            <v>#N/A</v>
          </cell>
          <cell r="F557" t="e">
            <v>#N/A</v>
          </cell>
          <cell r="G557" t="e">
            <v>#N/A</v>
          </cell>
          <cell r="H557" t="e">
            <v>#N/A</v>
          </cell>
          <cell r="I557" t="e">
            <v>#N/A</v>
          </cell>
          <cell r="J557" t="e">
            <v>#N/A</v>
          </cell>
          <cell r="K557" t="e">
            <v>#N/A</v>
          </cell>
          <cell r="L557" t="e">
            <v>#N/A</v>
          </cell>
          <cell r="M557" t="e">
            <v>#N/A</v>
          </cell>
          <cell r="N557" t="e">
            <v>#N/A</v>
          </cell>
          <cell r="O557" t="e">
            <v>#N/A</v>
          </cell>
          <cell r="P557">
            <v>54.55</v>
          </cell>
          <cell r="Q557">
            <v>3.7622119999999999</v>
          </cell>
          <cell r="R557" t="e">
            <v>#N/A</v>
          </cell>
        </row>
        <row r="558">
          <cell r="A558">
            <v>40024</v>
          </cell>
          <cell r="B558">
            <v>40024</v>
          </cell>
          <cell r="C558" t="str">
            <v>Past</v>
          </cell>
          <cell r="D558">
            <v>55.13</v>
          </cell>
          <cell r="E558" t="e">
            <v>#N/A</v>
          </cell>
          <cell r="F558" t="e">
            <v>#N/A</v>
          </cell>
          <cell r="G558" t="e">
            <v>#N/A</v>
          </cell>
          <cell r="H558" t="e">
            <v>#N/A</v>
          </cell>
          <cell r="I558" t="e">
            <v>#N/A</v>
          </cell>
          <cell r="J558" t="e">
            <v>#N/A</v>
          </cell>
          <cell r="K558" t="e">
            <v>#N/A</v>
          </cell>
          <cell r="L558" t="e">
            <v>#N/A</v>
          </cell>
          <cell r="M558" t="e">
            <v>#N/A</v>
          </cell>
          <cell r="N558" t="e">
            <v>#N/A</v>
          </cell>
          <cell r="O558">
            <v>0</v>
          </cell>
          <cell r="P558">
            <v>55.13</v>
          </cell>
          <cell r="Q558">
            <v>3.081982</v>
          </cell>
          <cell r="R558" t="e">
            <v>#N/A</v>
          </cell>
        </row>
        <row r="559">
          <cell r="A559">
            <v>40025</v>
          </cell>
          <cell r="B559">
            <v>40025</v>
          </cell>
          <cell r="C559" t="str">
            <v>Current</v>
          </cell>
          <cell r="D559">
            <v>55.39</v>
          </cell>
          <cell r="E559">
            <v>55.39</v>
          </cell>
          <cell r="F559">
            <v>55.39</v>
          </cell>
          <cell r="G559">
            <v>55.39</v>
          </cell>
          <cell r="H559">
            <v>55.39</v>
          </cell>
          <cell r="I559">
            <v>55.39</v>
          </cell>
          <cell r="J559" t="e">
            <v>#N/A</v>
          </cell>
          <cell r="K559" t="e">
            <v>#N/A</v>
          </cell>
          <cell r="L559" t="e">
            <v>#N/A</v>
          </cell>
          <cell r="M559" t="e">
            <v>#N/A</v>
          </cell>
          <cell r="N559" t="e">
            <v>#N/A</v>
          </cell>
          <cell r="O559">
            <v>53.326000000000001</v>
          </cell>
          <cell r="P559">
            <v>55.39</v>
          </cell>
          <cell r="Q559">
            <v>2.5236730000000001</v>
          </cell>
          <cell r="R559" t="e">
            <v>#N/A</v>
          </cell>
        </row>
        <row r="560">
          <cell r="A560">
            <v>40028</v>
          </cell>
          <cell r="B560">
            <v>40028</v>
          </cell>
          <cell r="C560" t="str">
            <v>Future</v>
          </cell>
          <cell r="D560" t="e">
            <v>#N/A</v>
          </cell>
          <cell r="E560">
            <v>55.170198412698412</v>
          </cell>
          <cell r="F560">
            <v>55.428134920634918</v>
          </cell>
          <cell r="G560">
            <v>55.32892857142857</v>
          </cell>
          <cell r="H560">
            <v>55.32892857142857</v>
          </cell>
          <cell r="I560" t="e">
            <v>#N/A</v>
          </cell>
          <cell r="J560" t="e">
            <v>#N/A</v>
          </cell>
          <cell r="K560" t="e">
            <v>#N/A</v>
          </cell>
          <cell r="L560" t="e">
            <v>#N/A</v>
          </cell>
          <cell r="M560" t="e">
            <v>#N/A</v>
          </cell>
          <cell r="N560" t="e">
            <v>#N/A</v>
          </cell>
          <cell r="O560" t="e">
            <v>#N/A</v>
          </cell>
          <cell r="P560">
            <v>55.39</v>
          </cell>
          <cell r="Q560">
            <v>0</v>
          </cell>
          <cell r="R560" t="e">
            <v>#N/A</v>
          </cell>
        </row>
        <row r="561">
          <cell r="A561">
            <v>40029</v>
          </cell>
          <cell r="B561">
            <v>40029</v>
          </cell>
          <cell r="C561" t="str">
            <v>Future</v>
          </cell>
          <cell r="D561" t="e">
            <v>#N/A</v>
          </cell>
          <cell r="E561">
            <v>54.950396825396822</v>
          </cell>
          <cell r="F561">
            <v>55.466269841269835</v>
          </cell>
          <cell r="G561">
            <v>55.267857142857139</v>
          </cell>
          <cell r="H561">
            <v>55.267857142857139</v>
          </cell>
          <cell r="I561" t="e">
            <v>#N/A</v>
          </cell>
          <cell r="J561" t="e">
            <v>#N/A</v>
          </cell>
          <cell r="K561" t="e">
            <v>#N/A</v>
          </cell>
          <cell r="L561" t="e">
            <v>#N/A</v>
          </cell>
          <cell r="M561" t="e">
            <v>#N/A</v>
          </cell>
          <cell r="N561" t="e">
            <v>#N/A</v>
          </cell>
          <cell r="O561" t="e">
            <v>#N/A</v>
          </cell>
          <cell r="P561">
            <v>55.39</v>
          </cell>
          <cell r="Q561" t="str">
            <v/>
          </cell>
          <cell r="R561" t="e">
            <v>#N/A</v>
          </cell>
        </row>
        <row r="562">
          <cell r="A562">
            <v>40030</v>
          </cell>
          <cell r="B562">
            <v>40030</v>
          </cell>
          <cell r="C562" t="str">
            <v>Future</v>
          </cell>
          <cell r="D562" t="e">
            <v>#N/A</v>
          </cell>
          <cell r="E562">
            <v>54.730595238095233</v>
          </cell>
          <cell r="F562">
            <v>55.504404761904752</v>
          </cell>
          <cell r="G562">
            <v>55.206785714285708</v>
          </cell>
          <cell r="H562">
            <v>55.206785714285708</v>
          </cell>
          <cell r="I562" t="e">
            <v>#N/A</v>
          </cell>
          <cell r="J562" t="e">
            <v>#N/A</v>
          </cell>
          <cell r="K562" t="e">
            <v>#N/A</v>
          </cell>
          <cell r="L562" t="e">
            <v>#N/A</v>
          </cell>
          <cell r="M562" t="e">
            <v>#N/A</v>
          </cell>
          <cell r="N562" t="e">
            <v>#N/A</v>
          </cell>
          <cell r="O562" t="e">
            <v>#N/A</v>
          </cell>
          <cell r="P562">
            <v>55.39</v>
          </cell>
          <cell r="Q562" t="str">
            <v/>
          </cell>
          <cell r="R562" t="e">
            <v>#N/A</v>
          </cell>
        </row>
        <row r="563">
          <cell r="A563">
            <v>40031</v>
          </cell>
          <cell r="B563">
            <v>40031</v>
          </cell>
          <cell r="C563" t="str">
            <v>Future</v>
          </cell>
          <cell r="D563" t="e">
            <v>#N/A</v>
          </cell>
          <cell r="E563">
            <v>54.510793650793644</v>
          </cell>
          <cell r="F563">
            <v>55.542539682539669</v>
          </cell>
          <cell r="G563">
            <v>55.145714285714277</v>
          </cell>
          <cell r="H563">
            <v>55.145714285714277</v>
          </cell>
          <cell r="I563" t="e">
            <v>#N/A</v>
          </cell>
          <cell r="J563" t="e">
            <v>#N/A</v>
          </cell>
          <cell r="K563" t="e">
            <v>#N/A</v>
          </cell>
          <cell r="L563" t="e">
            <v>#N/A</v>
          </cell>
          <cell r="M563" t="e">
            <v>#N/A</v>
          </cell>
          <cell r="N563" t="e">
            <v>#N/A</v>
          </cell>
          <cell r="O563" t="e">
            <v>#N/A</v>
          </cell>
          <cell r="P563">
            <v>55.39</v>
          </cell>
          <cell r="Q563" t="str">
            <v/>
          </cell>
          <cell r="R563" t="e">
            <v>#N/A</v>
          </cell>
        </row>
        <row r="564">
          <cell r="A564">
            <v>40032</v>
          </cell>
          <cell r="B564">
            <v>40032</v>
          </cell>
          <cell r="C564" t="str">
            <v>Future</v>
          </cell>
          <cell r="D564" t="e">
            <v>#N/A</v>
          </cell>
          <cell r="E564">
            <v>54.290992063492055</v>
          </cell>
          <cell r="F564">
            <v>55.580674603174586</v>
          </cell>
          <cell r="G564">
            <v>55.084642857142846</v>
          </cell>
          <cell r="H564">
            <v>55.084642857142846</v>
          </cell>
          <cell r="I564" t="e">
            <v>#N/A</v>
          </cell>
          <cell r="J564" t="e">
            <v>#N/A</v>
          </cell>
          <cell r="K564" t="e">
            <v>#N/A</v>
          </cell>
          <cell r="L564" t="e">
            <v>#N/A</v>
          </cell>
          <cell r="M564" t="e">
            <v>#N/A</v>
          </cell>
          <cell r="N564" t="e">
            <v>#N/A</v>
          </cell>
          <cell r="O564" t="e">
            <v>#N/A</v>
          </cell>
          <cell r="P564">
            <v>55.39</v>
          </cell>
          <cell r="Q564" t="str">
            <v/>
          </cell>
          <cell r="R564" t="e">
            <v>#N/A</v>
          </cell>
        </row>
        <row r="565">
          <cell r="A565">
            <v>40035</v>
          </cell>
          <cell r="B565">
            <v>40035</v>
          </cell>
          <cell r="C565" t="str">
            <v>Future</v>
          </cell>
          <cell r="D565" t="e">
            <v>#N/A</v>
          </cell>
          <cell r="E565">
            <v>54.071190476190466</v>
          </cell>
          <cell r="F565">
            <v>55.618809523809503</v>
          </cell>
          <cell r="G565">
            <v>55.023571428571415</v>
          </cell>
          <cell r="H565">
            <v>55.023571428571415</v>
          </cell>
          <cell r="I565" t="e">
            <v>#N/A</v>
          </cell>
          <cell r="J565" t="e">
            <v>#N/A</v>
          </cell>
          <cell r="K565" t="e">
            <v>#N/A</v>
          </cell>
          <cell r="L565" t="e">
            <v>#N/A</v>
          </cell>
          <cell r="M565" t="e">
            <v>#N/A</v>
          </cell>
          <cell r="N565" t="e">
            <v>#N/A</v>
          </cell>
          <cell r="O565" t="e">
            <v>#N/A</v>
          </cell>
          <cell r="P565">
            <v>55.39</v>
          </cell>
          <cell r="Q565" t="str">
            <v/>
          </cell>
          <cell r="R565" t="e">
            <v>#N/A</v>
          </cell>
        </row>
        <row r="566">
          <cell r="A566">
            <v>40036</v>
          </cell>
          <cell r="B566">
            <v>40036</v>
          </cell>
          <cell r="C566" t="str">
            <v>Future</v>
          </cell>
          <cell r="D566" t="e">
            <v>#N/A</v>
          </cell>
          <cell r="E566">
            <v>53.851388888888877</v>
          </cell>
          <cell r="F566">
            <v>55.65694444444442</v>
          </cell>
          <cell r="G566">
            <v>54.962499999999984</v>
          </cell>
          <cell r="H566">
            <v>54.962499999999984</v>
          </cell>
          <cell r="I566" t="e">
            <v>#N/A</v>
          </cell>
          <cell r="J566" t="e">
            <v>#N/A</v>
          </cell>
          <cell r="K566" t="e">
            <v>#N/A</v>
          </cell>
          <cell r="L566" t="e">
            <v>#N/A</v>
          </cell>
          <cell r="M566" t="e">
            <v>#N/A</v>
          </cell>
          <cell r="N566" t="e">
            <v>#N/A</v>
          </cell>
          <cell r="O566" t="e">
            <v>#N/A</v>
          </cell>
          <cell r="P566">
            <v>55.39</v>
          </cell>
          <cell r="Q566" t="str">
            <v/>
          </cell>
          <cell r="R566" t="e">
            <v>#N/A</v>
          </cell>
        </row>
        <row r="567">
          <cell r="A567">
            <v>40037</v>
          </cell>
          <cell r="B567">
            <v>40037</v>
          </cell>
          <cell r="C567" t="str">
            <v>Future</v>
          </cell>
          <cell r="D567" t="e">
            <v>#N/A</v>
          </cell>
          <cell r="E567">
            <v>53.631587301587288</v>
          </cell>
          <cell r="F567">
            <v>55.695079365079337</v>
          </cell>
          <cell r="G567">
            <v>54.901428571428553</v>
          </cell>
          <cell r="H567">
            <v>54.901428571428553</v>
          </cell>
          <cell r="I567" t="e">
            <v>#N/A</v>
          </cell>
          <cell r="J567" t="e">
            <v>#N/A</v>
          </cell>
          <cell r="K567" t="e">
            <v>#N/A</v>
          </cell>
          <cell r="L567" t="e">
            <v>#N/A</v>
          </cell>
          <cell r="M567" t="e">
            <v>#N/A</v>
          </cell>
          <cell r="N567" t="e">
            <v>#N/A</v>
          </cell>
          <cell r="O567" t="e">
            <v>#N/A</v>
          </cell>
          <cell r="P567">
            <v>55.39</v>
          </cell>
          <cell r="Q567" t="str">
            <v/>
          </cell>
          <cell r="R567" t="e">
            <v>#N/A</v>
          </cell>
        </row>
        <row r="568">
          <cell r="A568">
            <v>40038</v>
          </cell>
          <cell r="B568">
            <v>40038</v>
          </cell>
          <cell r="C568" t="str">
            <v>Future</v>
          </cell>
          <cell r="D568" t="e">
            <v>#N/A</v>
          </cell>
          <cell r="E568">
            <v>53.411785714285699</v>
          </cell>
          <cell r="F568">
            <v>55.733214285714254</v>
          </cell>
          <cell r="G568">
            <v>54.840357142857123</v>
          </cell>
          <cell r="H568">
            <v>54.840357142857123</v>
          </cell>
          <cell r="I568" t="e">
            <v>#N/A</v>
          </cell>
          <cell r="J568" t="e">
            <v>#N/A</v>
          </cell>
          <cell r="K568" t="e">
            <v>#N/A</v>
          </cell>
          <cell r="L568" t="e">
            <v>#N/A</v>
          </cell>
          <cell r="M568" t="e">
            <v>#N/A</v>
          </cell>
          <cell r="N568" t="e">
            <v>#N/A</v>
          </cell>
          <cell r="O568" t="e">
            <v>#N/A</v>
          </cell>
          <cell r="P568">
            <v>55.39</v>
          </cell>
          <cell r="Q568" t="str">
            <v/>
          </cell>
          <cell r="R568" t="e">
            <v>#N/A</v>
          </cell>
        </row>
        <row r="569">
          <cell r="A569">
            <v>40039</v>
          </cell>
          <cell r="B569">
            <v>40039</v>
          </cell>
          <cell r="C569" t="str">
            <v>Future</v>
          </cell>
          <cell r="D569" t="e">
            <v>#N/A</v>
          </cell>
          <cell r="E569">
            <v>53.19198412698411</v>
          </cell>
          <cell r="F569">
            <v>55.771349206349171</v>
          </cell>
          <cell r="G569">
            <v>54.779285714285692</v>
          </cell>
          <cell r="H569">
            <v>54.779285714285692</v>
          </cell>
          <cell r="I569" t="e">
            <v>#N/A</v>
          </cell>
          <cell r="J569" t="e">
            <v>#N/A</v>
          </cell>
          <cell r="K569" t="e">
            <v>#N/A</v>
          </cell>
          <cell r="L569" t="e">
            <v>#N/A</v>
          </cell>
          <cell r="M569" t="e">
            <v>#N/A</v>
          </cell>
          <cell r="N569" t="e">
            <v>#N/A</v>
          </cell>
          <cell r="O569" t="e">
            <v>#N/A</v>
          </cell>
          <cell r="P569">
            <v>55.39</v>
          </cell>
          <cell r="Q569" t="str">
            <v/>
          </cell>
          <cell r="R569" t="e">
            <v>#N/A</v>
          </cell>
        </row>
        <row r="570">
          <cell r="A570">
            <v>40042</v>
          </cell>
          <cell r="B570">
            <v>40042</v>
          </cell>
          <cell r="C570" t="str">
            <v>Future</v>
          </cell>
          <cell r="D570" t="e">
            <v>#N/A</v>
          </cell>
          <cell r="E570">
            <v>52.972182539682521</v>
          </cell>
          <cell r="F570">
            <v>55.809484126984088</v>
          </cell>
          <cell r="G570">
            <v>54.718214285714261</v>
          </cell>
          <cell r="H570">
            <v>54.718214285714261</v>
          </cell>
          <cell r="I570" t="e">
            <v>#N/A</v>
          </cell>
          <cell r="J570" t="e">
            <v>#N/A</v>
          </cell>
          <cell r="K570" t="e">
            <v>#N/A</v>
          </cell>
          <cell r="L570" t="e">
            <v>#N/A</v>
          </cell>
          <cell r="M570" t="e">
            <v>#N/A</v>
          </cell>
          <cell r="N570" t="e">
            <v>#N/A</v>
          </cell>
          <cell r="O570" t="e">
            <v>#N/A</v>
          </cell>
          <cell r="P570">
            <v>55.39</v>
          </cell>
          <cell r="Q570" t="str">
            <v/>
          </cell>
          <cell r="R570" t="e">
            <v>#N/A</v>
          </cell>
        </row>
        <row r="571">
          <cell r="A571">
            <v>40043</v>
          </cell>
          <cell r="B571">
            <v>40043</v>
          </cell>
          <cell r="C571" t="str">
            <v>Future</v>
          </cell>
          <cell r="D571" t="e">
            <v>#N/A</v>
          </cell>
          <cell r="E571">
            <v>52.752380952380932</v>
          </cell>
          <cell r="F571">
            <v>55.847619047619006</v>
          </cell>
          <cell r="G571">
            <v>54.65714285714283</v>
          </cell>
          <cell r="H571">
            <v>54.65714285714283</v>
          </cell>
          <cell r="I571" t="e">
            <v>#N/A</v>
          </cell>
          <cell r="J571" t="e">
            <v>#N/A</v>
          </cell>
          <cell r="K571" t="e">
            <v>#N/A</v>
          </cell>
          <cell r="L571" t="e">
            <v>#N/A</v>
          </cell>
          <cell r="M571" t="e">
            <v>#N/A</v>
          </cell>
          <cell r="N571" t="e">
            <v>#N/A</v>
          </cell>
          <cell r="O571" t="e">
            <v>#N/A</v>
          </cell>
          <cell r="P571">
            <v>55.39</v>
          </cell>
          <cell r="Q571" t="str">
            <v/>
          </cell>
          <cell r="R571" t="e">
            <v>#N/A</v>
          </cell>
        </row>
        <row r="572">
          <cell r="A572">
            <v>40044</v>
          </cell>
          <cell r="B572">
            <v>40044</v>
          </cell>
          <cell r="C572" t="str">
            <v>Future</v>
          </cell>
          <cell r="D572" t="e">
            <v>#N/A</v>
          </cell>
          <cell r="E572">
            <v>52.532579365079343</v>
          </cell>
          <cell r="F572">
            <v>55.885753968253923</v>
          </cell>
          <cell r="G572">
            <v>54.596071428571399</v>
          </cell>
          <cell r="H572">
            <v>54.596071428571399</v>
          </cell>
          <cell r="I572" t="e">
            <v>#N/A</v>
          </cell>
          <cell r="J572" t="e">
            <v>#N/A</v>
          </cell>
          <cell r="K572" t="e">
            <v>#N/A</v>
          </cell>
          <cell r="L572" t="e">
            <v>#N/A</v>
          </cell>
          <cell r="M572" t="e">
            <v>#N/A</v>
          </cell>
          <cell r="N572" t="e">
            <v>#N/A</v>
          </cell>
          <cell r="O572" t="e">
            <v>#N/A</v>
          </cell>
          <cell r="P572">
            <v>55.39</v>
          </cell>
          <cell r="Q572" t="str">
            <v/>
          </cell>
          <cell r="R572" t="e">
            <v>#N/A</v>
          </cell>
        </row>
        <row r="573">
          <cell r="A573">
            <v>40045</v>
          </cell>
          <cell r="B573">
            <v>40045</v>
          </cell>
          <cell r="C573" t="str">
            <v>Future</v>
          </cell>
          <cell r="D573" t="e">
            <v>#N/A</v>
          </cell>
          <cell r="E573">
            <v>52.312777777777754</v>
          </cell>
          <cell r="F573">
            <v>55.92388888888884</v>
          </cell>
          <cell r="G573">
            <v>54.534999999999968</v>
          </cell>
          <cell r="H573">
            <v>54.534999999999968</v>
          </cell>
          <cell r="I573" t="e">
            <v>#N/A</v>
          </cell>
          <cell r="J573" t="e">
            <v>#N/A</v>
          </cell>
          <cell r="K573" t="e">
            <v>#N/A</v>
          </cell>
          <cell r="L573" t="e">
            <v>#N/A</v>
          </cell>
          <cell r="M573" t="e">
            <v>#N/A</v>
          </cell>
          <cell r="N573" t="e">
            <v>#N/A</v>
          </cell>
          <cell r="O573" t="e">
            <v>#N/A</v>
          </cell>
          <cell r="P573">
            <v>55.39</v>
          </cell>
          <cell r="Q573" t="str">
            <v/>
          </cell>
          <cell r="R573" t="e">
            <v>#N/A</v>
          </cell>
        </row>
        <row r="574">
          <cell r="A574">
            <v>40046</v>
          </cell>
          <cell r="B574">
            <v>40046</v>
          </cell>
          <cell r="C574" t="str">
            <v>Future</v>
          </cell>
          <cell r="D574" t="e">
            <v>#N/A</v>
          </cell>
          <cell r="E574">
            <v>52.092976190476165</v>
          </cell>
          <cell r="F574">
            <v>55.962023809523757</v>
          </cell>
          <cell r="G574">
            <v>54.473928571428537</v>
          </cell>
          <cell r="H574">
            <v>54.473928571428537</v>
          </cell>
          <cell r="I574" t="e">
            <v>#N/A</v>
          </cell>
          <cell r="J574" t="e">
            <v>#N/A</v>
          </cell>
          <cell r="K574" t="e">
            <v>#N/A</v>
          </cell>
          <cell r="L574" t="e">
            <v>#N/A</v>
          </cell>
          <cell r="M574" t="e">
            <v>#N/A</v>
          </cell>
          <cell r="N574" t="e">
            <v>#N/A</v>
          </cell>
          <cell r="O574" t="e">
            <v>#N/A</v>
          </cell>
          <cell r="P574">
            <v>55.39</v>
          </cell>
          <cell r="Q574" t="str">
            <v/>
          </cell>
          <cell r="R574" t="e">
            <v>#N/A</v>
          </cell>
        </row>
        <row r="575">
          <cell r="A575">
            <v>40049</v>
          </cell>
          <cell r="B575">
            <v>40049</v>
          </cell>
          <cell r="C575" t="str">
            <v>Future</v>
          </cell>
          <cell r="D575" t="e">
            <v>#N/A</v>
          </cell>
          <cell r="E575">
            <v>51.873174603174576</v>
          </cell>
          <cell r="F575">
            <v>56.000158730158674</v>
          </cell>
          <cell r="G575">
            <v>54.412857142857106</v>
          </cell>
          <cell r="H575">
            <v>54.412857142857106</v>
          </cell>
          <cell r="I575" t="e">
            <v>#N/A</v>
          </cell>
          <cell r="J575" t="e">
            <v>#N/A</v>
          </cell>
          <cell r="K575" t="e">
            <v>#N/A</v>
          </cell>
          <cell r="L575" t="e">
            <v>#N/A</v>
          </cell>
          <cell r="M575" t="e">
            <v>#N/A</v>
          </cell>
          <cell r="N575" t="e">
            <v>#N/A</v>
          </cell>
          <cell r="O575" t="e">
            <v>#N/A</v>
          </cell>
          <cell r="P575">
            <v>55.39</v>
          </cell>
          <cell r="Q575" t="str">
            <v/>
          </cell>
          <cell r="R575" t="e">
            <v>#N/A</v>
          </cell>
        </row>
        <row r="576">
          <cell r="A576">
            <v>40050</v>
          </cell>
          <cell r="B576">
            <v>40050</v>
          </cell>
          <cell r="C576" t="str">
            <v>Future</v>
          </cell>
          <cell r="D576" t="e">
            <v>#N/A</v>
          </cell>
          <cell r="E576">
            <v>51.653373015872987</v>
          </cell>
          <cell r="F576">
            <v>56.038293650793591</v>
          </cell>
          <cell r="G576">
            <v>54.351785714285676</v>
          </cell>
          <cell r="H576">
            <v>54.351785714285676</v>
          </cell>
          <cell r="I576" t="e">
            <v>#N/A</v>
          </cell>
          <cell r="J576" t="e">
            <v>#N/A</v>
          </cell>
          <cell r="K576" t="e">
            <v>#N/A</v>
          </cell>
          <cell r="L576" t="e">
            <v>#N/A</v>
          </cell>
          <cell r="M576" t="e">
            <v>#N/A</v>
          </cell>
          <cell r="N576" t="e">
            <v>#N/A</v>
          </cell>
          <cell r="O576" t="e">
            <v>#N/A</v>
          </cell>
          <cell r="P576">
            <v>55.39</v>
          </cell>
          <cell r="Q576" t="str">
            <v/>
          </cell>
          <cell r="R576" t="e">
            <v>#N/A</v>
          </cell>
        </row>
        <row r="577">
          <cell r="A577">
            <v>40051</v>
          </cell>
          <cell r="B577">
            <v>40051</v>
          </cell>
          <cell r="C577" t="str">
            <v>Future</v>
          </cell>
          <cell r="D577" t="e">
            <v>#N/A</v>
          </cell>
          <cell r="E577">
            <v>51.433571428571398</v>
          </cell>
          <cell r="F577">
            <v>56.076428571428508</v>
          </cell>
          <cell r="G577">
            <v>54.290714285714245</v>
          </cell>
          <cell r="H577">
            <v>54.290714285714245</v>
          </cell>
          <cell r="I577" t="e">
            <v>#N/A</v>
          </cell>
          <cell r="J577" t="e">
            <v>#N/A</v>
          </cell>
          <cell r="K577" t="e">
            <v>#N/A</v>
          </cell>
          <cell r="L577" t="e">
            <v>#N/A</v>
          </cell>
          <cell r="M577" t="e">
            <v>#N/A</v>
          </cell>
          <cell r="N577" t="e">
            <v>#N/A</v>
          </cell>
          <cell r="O577" t="e">
            <v>#N/A</v>
          </cell>
          <cell r="P577">
            <v>55.39</v>
          </cell>
          <cell r="Q577" t="str">
            <v/>
          </cell>
          <cell r="R577" t="e">
            <v>#N/A</v>
          </cell>
        </row>
        <row r="578">
          <cell r="A578">
            <v>40052</v>
          </cell>
          <cell r="B578">
            <v>40052</v>
          </cell>
          <cell r="C578" t="str">
            <v>Future</v>
          </cell>
          <cell r="D578" t="e">
            <v>#N/A</v>
          </cell>
          <cell r="E578">
            <v>51.213769841269809</v>
          </cell>
          <cell r="F578">
            <v>56.114563492063425</v>
          </cell>
          <cell r="G578">
            <v>54.229642857142814</v>
          </cell>
          <cell r="H578">
            <v>54.229642857142814</v>
          </cell>
          <cell r="I578" t="e">
            <v>#N/A</v>
          </cell>
          <cell r="J578" t="e">
            <v>#N/A</v>
          </cell>
          <cell r="K578" t="e">
            <v>#N/A</v>
          </cell>
          <cell r="L578" t="e">
            <v>#N/A</v>
          </cell>
          <cell r="M578" t="e">
            <v>#N/A</v>
          </cell>
          <cell r="N578" t="e">
            <v>#N/A</v>
          </cell>
          <cell r="O578" t="e">
            <v>#N/A</v>
          </cell>
          <cell r="P578">
            <v>55.39</v>
          </cell>
          <cell r="Q578" t="str">
            <v/>
          </cell>
          <cell r="R578" t="e">
            <v>#N/A</v>
          </cell>
        </row>
        <row r="579">
          <cell r="A579">
            <v>40053</v>
          </cell>
          <cell r="B579">
            <v>40053</v>
          </cell>
          <cell r="C579" t="str">
            <v>Future</v>
          </cell>
          <cell r="D579" t="e">
            <v>#N/A</v>
          </cell>
          <cell r="E579">
            <v>50.99396825396822</v>
          </cell>
          <cell r="F579">
            <v>56.152698412698342</v>
          </cell>
          <cell r="G579">
            <v>54.168571428571383</v>
          </cell>
          <cell r="H579">
            <v>54.168571428571383</v>
          </cell>
          <cell r="I579" t="e">
            <v>#N/A</v>
          </cell>
          <cell r="J579" t="e">
            <v>#N/A</v>
          </cell>
          <cell r="K579" t="e">
            <v>#N/A</v>
          </cell>
          <cell r="L579" t="e">
            <v>#N/A</v>
          </cell>
          <cell r="M579" t="e">
            <v>#N/A</v>
          </cell>
          <cell r="N579" t="e">
            <v>#N/A</v>
          </cell>
          <cell r="O579" t="e">
            <v>#N/A</v>
          </cell>
          <cell r="P579">
            <v>55.39</v>
          </cell>
          <cell r="Q579" t="str">
            <v/>
          </cell>
          <cell r="R579" t="e">
            <v>#N/A</v>
          </cell>
        </row>
        <row r="580">
          <cell r="A580">
            <v>40056</v>
          </cell>
          <cell r="B580">
            <v>40056</v>
          </cell>
          <cell r="C580" t="str">
            <v>Future</v>
          </cell>
          <cell r="D580" t="e">
            <v>#N/A</v>
          </cell>
          <cell r="E580">
            <v>50.77416666666663</v>
          </cell>
          <cell r="F580">
            <v>56.190833333333259</v>
          </cell>
          <cell r="G580">
            <v>54.107499999999952</v>
          </cell>
          <cell r="H580">
            <v>54.107499999999952</v>
          </cell>
          <cell r="I580" t="e">
            <v>#N/A</v>
          </cell>
          <cell r="J580" t="e">
            <v>#N/A</v>
          </cell>
          <cell r="K580" t="e">
            <v>#N/A</v>
          </cell>
          <cell r="L580" t="e">
            <v>#N/A</v>
          </cell>
          <cell r="M580" t="e">
            <v>#N/A</v>
          </cell>
          <cell r="N580" t="e">
            <v>#N/A</v>
          </cell>
          <cell r="O580" t="e">
            <v>#N/A</v>
          </cell>
          <cell r="P580">
            <v>55.39</v>
          </cell>
          <cell r="Q580" t="str">
            <v/>
          </cell>
          <cell r="R580" t="e">
            <v>#N/A</v>
          </cell>
        </row>
        <row r="581">
          <cell r="A581">
            <v>40057</v>
          </cell>
          <cell r="B581">
            <v>40057</v>
          </cell>
          <cell r="C581" t="str">
            <v>Future</v>
          </cell>
          <cell r="D581" t="e">
            <v>#N/A</v>
          </cell>
          <cell r="E581">
            <v>50.554365079365041</v>
          </cell>
          <cell r="F581">
            <v>56.228968253968176</v>
          </cell>
          <cell r="G581">
            <v>54.046428571428521</v>
          </cell>
          <cell r="H581">
            <v>54.046428571428521</v>
          </cell>
          <cell r="I581" t="e">
            <v>#N/A</v>
          </cell>
          <cell r="J581" t="e">
            <v>#N/A</v>
          </cell>
          <cell r="K581" t="e">
            <v>#N/A</v>
          </cell>
          <cell r="L581" t="e">
            <v>#N/A</v>
          </cell>
          <cell r="M581" t="e">
            <v>#N/A</v>
          </cell>
          <cell r="N581" t="e">
            <v>#N/A</v>
          </cell>
          <cell r="O581" t="e">
            <v>#N/A</v>
          </cell>
          <cell r="P581">
            <v>55.39</v>
          </cell>
          <cell r="Q581" t="str">
            <v/>
          </cell>
          <cell r="R581" t="e">
            <v>#N/A</v>
          </cell>
        </row>
        <row r="582">
          <cell r="A582">
            <v>40058</v>
          </cell>
          <cell r="B582">
            <v>40058</v>
          </cell>
          <cell r="C582" t="str">
            <v>Future</v>
          </cell>
          <cell r="D582" t="e">
            <v>#N/A</v>
          </cell>
          <cell r="E582">
            <v>50.334563492063452</v>
          </cell>
          <cell r="F582">
            <v>56.267103174603093</v>
          </cell>
          <cell r="G582">
            <v>53.98535714285709</v>
          </cell>
          <cell r="H582">
            <v>53.98535714285709</v>
          </cell>
          <cell r="I582" t="e">
            <v>#N/A</v>
          </cell>
          <cell r="J582" t="e">
            <v>#N/A</v>
          </cell>
          <cell r="K582" t="e">
            <v>#N/A</v>
          </cell>
          <cell r="L582" t="e">
            <v>#N/A</v>
          </cell>
          <cell r="M582" t="e">
            <v>#N/A</v>
          </cell>
          <cell r="N582" t="e">
            <v>#N/A</v>
          </cell>
          <cell r="O582" t="e">
            <v>#N/A</v>
          </cell>
          <cell r="P582">
            <v>55.39</v>
          </cell>
          <cell r="Q582" t="str">
            <v/>
          </cell>
          <cell r="R582" t="e">
            <v>#N/A</v>
          </cell>
        </row>
        <row r="583">
          <cell r="A583">
            <v>40059</v>
          </cell>
          <cell r="B583">
            <v>40059</v>
          </cell>
          <cell r="C583" t="str">
            <v>Future</v>
          </cell>
          <cell r="D583" t="e">
            <v>#N/A</v>
          </cell>
          <cell r="E583">
            <v>50.114761904761863</v>
          </cell>
          <cell r="F583">
            <v>56.30523809523801</v>
          </cell>
          <cell r="G583">
            <v>53.924285714285659</v>
          </cell>
          <cell r="H583">
            <v>53.924285714285659</v>
          </cell>
          <cell r="I583" t="e">
            <v>#N/A</v>
          </cell>
          <cell r="J583" t="e">
            <v>#N/A</v>
          </cell>
          <cell r="K583" t="e">
            <v>#N/A</v>
          </cell>
          <cell r="L583" t="e">
            <v>#N/A</v>
          </cell>
          <cell r="M583" t="e">
            <v>#N/A</v>
          </cell>
          <cell r="N583" t="e">
            <v>#N/A</v>
          </cell>
          <cell r="O583" t="e">
            <v>#N/A</v>
          </cell>
          <cell r="P583">
            <v>55.39</v>
          </cell>
          <cell r="Q583" t="str">
            <v/>
          </cell>
          <cell r="R583" t="e">
            <v>#N/A</v>
          </cell>
        </row>
        <row r="584">
          <cell r="A584">
            <v>40060</v>
          </cell>
          <cell r="B584">
            <v>40060</v>
          </cell>
          <cell r="C584" t="str">
            <v>Future</v>
          </cell>
          <cell r="D584" t="e">
            <v>#N/A</v>
          </cell>
          <cell r="E584">
            <v>49.894960317460274</v>
          </cell>
          <cell r="F584">
            <v>56.343373015872928</v>
          </cell>
          <cell r="G584">
            <v>53.863214285714228</v>
          </cell>
          <cell r="H584">
            <v>53.863214285714228</v>
          </cell>
          <cell r="I584" t="e">
            <v>#N/A</v>
          </cell>
          <cell r="J584" t="e">
            <v>#N/A</v>
          </cell>
          <cell r="K584" t="e">
            <v>#N/A</v>
          </cell>
          <cell r="L584" t="e">
            <v>#N/A</v>
          </cell>
          <cell r="M584" t="e">
            <v>#N/A</v>
          </cell>
          <cell r="N584" t="e">
            <v>#N/A</v>
          </cell>
          <cell r="O584" t="e">
            <v>#N/A</v>
          </cell>
          <cell r="P584">
            <v>55.39</v>
          </cell>
          <cell r="Q584" t="str">
            <v/>
          </cell>
          <cell r="R584" t="e">
            <v>#N/A</v>
          </cell>
        </row>
        <row r="585">
          <cell r="A585">
            <v>40064</v>
          </cell>
          <cell r="B585">
            <v>40064</v>
          </cell>
          <cell r="C585" t="str">
            <v>Future</v>
          </cell>
          <cell r="D585" t="e">
            <v>#N/A</v>
          </cell>
          <cell r="E585">
            <v>49.675158730158685</v>
          </cell>
          <cell r="F585">
            <v>56.381507936507845</v>
          </cell>
          <cell r="G585">
            <v>53.802142857142798</v>
          </cell>
          <cell r="H585">
            <v>53.802142857142798</v>
          </cell>
          <cell r="I585" t="e">
            <v>#N/A</v>
          </cell>
          <cell r="J585" t="e">
            <v>#N/A</v>
          </cell>
          <cell r="K585" t="e">
            <v>#N/A</v>
          </cell>
          <cell r="L585" t="e">
            <v>#N/A</v>
          </cell>
          <cell r="M585" t="e">
            <v>#N/A</v>
          </cell>
          <cell r="N585" t="e">
            <v>#N/A</v>
          </cell>
          <cell r="O585" t="e">
            <v>#N/A</v>
          </cell>
          <cell r="P585">
            <v>55.39</v>
          </cell>
          <cell r="Q585" t="str">
            <v/>
          </cell>
          <cell r="R585" t="e">
            <v>#N/A</v>
          </cell>
        </row>
        <row r="586">
          <cell r="A586">
            <v>40065</v>
          </cell>
          <cell r="B586">
            <v>40065</v>
          </cell>
          <cell r="C586" t="str">
            <v>Future</v>
          </cell>
          <cell r="D586" t="e">
            <v>#N/A</v>
          </cell>
          <cell r="E586">
            <v>49.455357142857096</v>
          </cell>
          <cell r="F586">
            <v>56.419642857142762</v>
          </cell>
          <cell r="G586">
            <v>53.741071428571367</v>
          </cell>
          <cell r="H586">
            <v>53.741071428571367</v>
          </cell>
          <cell r="I586" t="e">
            <v>#N/A</v>
          </cell>
          <cell r="J586" t="e">
            <v>#N/A</v>
          </cell>
          <cell r="K586" t="e">
            <v>#N/A</v>
          </cell>
          <cell r="L586" t="e">
            <v>#N/A</v>
          </cell>
          <cell r="M586" t="e">
            <v>#N/A</v>
          </cell>
          <cell r="N586" t="e">
            <v>#N/A</v>
          </cell>
          <cell r="O586" t="e">
            <v>#N/A</v>
          </cell>
          <cell r="P586">
            <v>55.39</v>
          </cell>
          <cell r="Q586" t="str">
            <v/>
          </cell>
          <cell r="R586" t="e">
            <v>#N/A</v>
          </cell>
        </row>
        <row r="587">
          <cell r="A587">
            <v>40066</v>
          </cell>
          <cell r="B587">
            <v>40066</v>
          </cell>
          <cell r="C587" t="str">
            <v>Future</v>
          </cell>
          <cell r="D587" t="e">
            <v>#N/A</v>
          </cell>
          <cell r="E587">
            <v>49.235555555555507</v>
          </cell>
          <cell r="F587">
            <v>56.457777777777679</v>
          </cell>
          <cell r="G587">
            <v>53.679999999999936</v>
          </cell>
          <cell r="H587">
            <v>53.679999999999936</v>
          </cell>
          <cell r="I587" t="e">
            <v>#N/A</v>
          </cell>
          <cell r="J587" t="e">
            <v>#N/A</v>
          </cell>
          <cell r="K587" t="e">
            <v>#N/A</v>
          </cell>
          <cell r="L587" t="e">
            <v>#N/A</v>
          </cell>
          <cell r="M587" t="e">
            <v>#N/A</v>
          </cell>
          <cell r="N587" t="e">
            <v>#N/A</v>
          </cell>
          <cell r="O587" t="e">
            <v>#N/A</v>
          </cell>
          <cell r="P587">
            <v>55.39</v>
          </cell>
          <cell r="Q587" t="str">
            <v/>
          </cell>
          <cell r="R587" t="e">
            <v>#N/A</v>
          </cell>
        </row>
        <row r="588">
          <cell r="A588">
            <v>40067</v>
          </cell>
          <cell r="B588">
            <v>40067</v>
          </cell>
          <cell r="C588" t="str">
            <v>Future</v>
          </cell>
          <cell r="D588" t="e">
            <v>#N/A</v>
          </cell>
          <cell r="E588">
            <v>49.015753968253918</v>
          </cell>
          <cell r="F588">
            <v>56.495912698412596</v>
          </cell>
          <cell r="G588">
            <v>53.618928571428505</v>
          </cell>
          <cell r="H588">
            <v>53.618928571428505</v>
          </cell>
          <cell r="I588" t="e">
            <v>#N/A</v>
          </cell>
          <cell r="J588" t="e">
            <v>#N/A</v>
          </cell>
          <cell r="K588" t="e">
            <v>#N/A</v>
          </cell>
          <cell r="L588" t="e">
            <v>#N/A</v>
          </cell>
          <cell r="M588" t="e">
            <v>#N/A</v>
          </cell>
          <cell r="N588" t="e">
            <v>#N/A</v>
          </cell>
          <cell r="O588" t="e">
            <v>#N/A</v>
          </cell>
          <cell r="P588">
            <v>55.39</v>
          </cell>
          <cell r="Q588" t="str">
            <v/>
          </cell>
          <cell r="R588" t="e">
            <v>#N/A</v>
          </cell>
        </row>
        <row r="589">
          <cell r="A589">
            <v>40070</v>
          </cell>
          <cell r="B589">
            <v>40070</v>
          </cell>
          <cell r="C589" t="str">
            <v>Future</v>
          </cell>
          <cell r="D589" t="e">
            <v>#N/A</v>
          </cell>
          <cell r="E589">
            <v>48.795952380952329</v>
          </cell>
          <cell r="F589">
            <v>56.534047619047513</v>
          </cell>
          <cell r="G589">
            <v>53.557857142857074</v>
          </cell>
          <cell r="H589">
            <v>53.557857142857074</v>
          </cell>
          <cell r="I589" t="e">
            <v>#N/A</v>
          </cell>
          <cell r="J589" t="e">
            <v>#N/A</v>
          </cell>
          <cell r="K589" t="e">
            <v>#N/A</v>
          </cell>
          <cell r="L589" t="e">
            <v>#N/A</v>
          </cell>
          <cell r="M589" t="e">
            <v>#N/A</v>
          </cell>
          <cell r="N589" t="e">
            <v>#N/A</v>
          </cell>
          <cell r="O589" t="e">
            <v>#N/A</v>
          </cell>
          <cell r="P589">
            <v>55.39</v>
          </cell>
          <cell r="Q589" t="str">
            <v/>
          </cell>
          <cell r="R589" t="e">
            <v>#N/A</v>
          </cell>
        </row>
        <row r="590">
          <cell r="A590">
            <v>40071</v>
          </cell>
          <cell r="B590">
            <v>40071</v>
          </cell>
          <cell r="C590" t="str">
            <v>Future</v>
          </cell>
          <cell r="D590" t="e">
            <v>#N/A</v>
          </cell>
          <cell r="E590">
            <v>48.57615079365074</v>
          </cell>
          <cell r="F590">
            <v>56.57218253968243</v>
          </cell>
          <cell r="G590">
            <v>53.496785714285643</v>
          </cell>
          <cell r="H590">
            <v>53.496785714285643</v>
          </cell>
          <cell r="I590" t="e">
            <v>#N/A</v>
          </cell>
          <cell r="J590" t="e">
            <v>#N/A</v>
          </cell>
          <cell r="K590" t="e">
            <v>#N/A</v>
          </cell>
          <cell r="L590" t="e">
            <v>#N/A</v>
          </cell>
          <cell r="M590" t="e">
            <v>#N/A</v>
          </cell>
          <cell r="N590" t="e">
            <v>#N/A</v>
          </cell>
          <cell r="O590" t="e">
            <v>#N/A</v>
          </cell>
          <cell r="P590">
            <v>55.39</v>
          </cell>
          <cell r="Q590" t="str">
            <v/>
          </cell>
          <cell r="R590" t="e">
            <v>#N/A</v>
          </cell>
        </row>
        <row r="591">
          <cell r="A591">
            <v>40072</v>
          </cell>
          <cell r="B591">
            <v>40072</v>
          </cell>
          <cell r="C591" t="str">
            <v>Future</v>
          </cell>
          <cell r="D591" t="e">
            <v>#N/A</v>
          </cell>
          <cell r="E591">
            <v>48.356349206349151</v>
          </cell>
          <cell r="F591">
            <v>56.610317460317347</v>
          </cell>
          <cell r="G591">
            <v>53.435714285714212</v>
          </cell>
          <cell r="H591">
            <v>53.435714285714212</v>
          </cell>
          <cell r="I591" t="e">
            <v>#N/A</v>
          </cell>
          <cell r="J591" t="e">
            <v>#N/A</v>
          </cell>
          <cell r="K591" t="e">
            <v>#N/A</v>
          </cell>
          <cell r="L591" t="e">
            <v>#N/A</v>
          </cell>
          <cell r="M591" t="e">
            <v>#N/A</v>
          </cell>
          <cell r="N591" t="e">
            <v>#N/A</v>
          </cell>
          <cell r="O591" t="e">
            <v>#N/A</v>
          </cell>
          <cell r="P591">
            <v>55.39</v>
          </cell>
          <cell r="Q591" t="str">
            <v/>
          </cell>
          <cell r="R591" t="e">
            <v>#N/A</v>
          </cell>
        </row>
        <row r="592">
          <cell r="A592">
            <v>40073</v>
          </cell>
          <cell r="B592">
            <v>40073</v>
          </cell>
          <cell r="C592" t="str">
            <v>Future</v>
          </cell>
          <cell r="D592" t="e">
            <v>#N/A</v>
          </cell>
          <cell r="E592">
            <v>48.136547619047562</v>
          </cell>
          <cell r="F592">
            <v>56.648452380952264</v>
          </cell>
          <cell r="G592">
            <v>53.374642857142781</v>
          </cell>
          <cell r="H592">
            <v>53.374642857142781</v>
          </cell>
          <cell r="I592" t="e">
            <v>#N/A</v>
          </cell>
          <cell r="J592" t="e">
            <v>#N/A</v>
          </cell>
          <cell r="K592" t="e">
            <v>#N/A</v>
          </cell>
          <cell r="L592" t="e">
            <v>#N/A</v>
          </cell>
          <cell r="M592" t="e">
            <v>#N/A</v>
          </cell>
          <cell r="N592" t="e">
            <v>#N/A</v>
          </cell>
          <cell r="O592" t="e">
            <v>#N/A</v>
          </cell>
          <cell r="P592">
            <v>55.39</v>
          </cell>
          <cell r="Q592" t="str">
            <v/>
          </cell>
          <cell r="R592" t="e">
            <v>#N/A</v>
          </cell>
        </row>
        <row r="593">
          <cell r="A593">
            <v>40074</v>
          </cell>
          <cell r="B593">
            <v>40074</v>
          </cell>
          <cell r="C593" t="str">
            <v>Future</v>
          </cell>
          <cell r="D593" t="e">
            <v>#N/A</v>
          </cell>
          <cell r="E593">
            <v>47.916746031745973</v>
          </cell>
          <cell r="F593">
            <v>56.686587301587181</v>
          </cell>
          <cell r="G593">
            <v>53.31357142857135</v>
          </cell>
          <cell r="H593">
            <v>53.31357142857135</v>
          </cell>
          <cell r="I593" t="e">
            <v>#N/A</v>
          </cell>
          <cell r="J593" t="e">
            <v>#N/A</v>
          </cell>
          <cell r="K593" t="e">
            <v>#N/A</v>
          </cell>
          <cell r="L593" t="e">
            <v>#N/A</v>
          </cell>
          <cell r="M593" t="e">
            <v>#N/A</v>
          </cell>
          <cell r="N593" t="e">
            <v>#N/A</v>
          </cell>
          <cell r="O593" t="e">
            <v>#N/A</v>
          </cell>
          <cell r="P593">
            <v>55.39</v>
          </cell>
          <cell r="Q593" t="str">
            <v/>
          </cell>
          <cell r="R593" t="e">
            <v>#N/A</v>
          </cell>
        </row>
        <row r="594">
          <cell r="A594">
            <v>40077</v>
          </cell>
          <cell r="B594">
            <v>40077</v>
          </cell>
          <cell r="C594" t="str">
            <v>Future</v>
          </cell>
          <cell r="D594" t="e">
            <v>#N/A</v>
          </cell>
          <cell r="E594">
            <v>47.696944444444384</v>
          </cell>
          <cell r="F594">
            <v>56.724722222222098</v>
          </cell>
          <cell r="G594">
            <v>53.25249999999992</v>
          </cell>
          <cell r="H594">
            <v>53.25249999999992</v>
          </cell>
          <cell r="I594" t="e">
            <v>#N/A</v>
          </cell>
          <cell r="J594" t="e">
            <v>#N/A</v>
          </cell>
          <cell r="K594" t="e">
            <v>#N/A</v>
          </cell>
          <cell r="L594" t="e">
            <v>#N/A</v>
          </cell>
          <cell r="M594" t="e">
            <v>#N/A</v>
          </cell>
          <cell r="N594" t="e">
            <v>#N/A</v>
          </cell>
          <cell r="O594" t="e">
            <v>#N/A</v>
          </cell>
          <cell r="P594">
            <v>55.39</v>
          </cell>
          <cell r="Q594" t="str">
            <v/>
          </cell>
          <cell r="R594" t="e">
            <v>#N/A</v>
          </cell>
        </row>
        <row r="595">
          <cell r="A595">
            <v>40078</v>
          </cell>
          <cell r="B595">
            <v>40078</v>
          </cell>
          <cell r="C595" t="str">
            <v>Future</v>
          </cell>
          <cell r="D595" t="e">
            <v>#N/A</v>
          </cell>
          <cell r="E595">
            <v>47.477142857142795</v>
          </cell>
          <cell r="F595">
            <v>56.762857142857015</v>
          </cell>
          <cell r="G595">
            <v>53.191428571428489</v>
          </cell>
          <cell r="H595">
            <v>53.191428571428489</v>
          </cell>
          <cell r="I595" t="e">
            <v>#N/A</v>
          </cell>
          <cell r="J595" t="e">
            <v>#N/A</v>
          </cell>
          <cell r="K595" t="e">
            <v>#N/A</v>
          </cell>
          <cell r="L595" t="e">
            <v>#N/A</v>
          </cell>
          <cell r="M595" t="e">
            <v>#N/A</v>
          </cell>
          <cell r="N595" t="e">
            <v>#N/A</v>
          </cell>
          <cell r="O595" t="e">
            <v>#N/A</v>
          </cell>
          <cell r="P595">
            <v>55.39</v>
          </cell>
          <cell r="Q595" t="str">
            <v/>
          </cell>
          <cell r="R595" t="e">
            <v>#N/A</v>
          </cell>
        </row>
        <row r="596">
          <cell r="A596">
            <v>40079</v>
          </cell>
          <cell r="B596">
            <v>40079</v>
          </cell>
          <cell r="C596" t="str">
            <v>Future</v>
          </cell>
          <cell r="D596" t="e">
            <v>#N/A</v>
          </cell>
          <cell r="E596">
            <v>47.257341269841206</v>
          </cell>
          <cell r="F596">
            <v>56.800992063491933</v>
          </cell>
          <cell r="G596">
            <v>53.130357142857058</v>
          </cell>
          <cell r="H596">
            <v>53.130357142857058</v>
          </cell>
          <cell r="I596" t="e">
            <v>#N/A</v>
          </cell>
          <cell r="J596" t="e">
            <v>#N/A</v>
          </cell>
          <cell r="K596" t="e">
            <v>#N/A</v>
          </cell>
          <cell r="L596" t="e">
            <v>#N/A</v>
          </cell>
          <cell r="M596" t="e">
            <v>#N/A</v>
          </cell>
          <cell r="N596" t="e">
            <v>#N/A</v>
          </cell>
          <cell r="O596" t="e">
            <v>#N/A</v>
          </cell>
          <cell r="P596">
            <v>55.39</v>
          </cell>
          <cell r="Q596" t="str">
            <v/>
          </cell>
          <cell r="R596" t="e">
            <v>#N/A</v>
          </cell>
        </row>
        <row r="597">
          <cell r="A597">
            <v>40080</v>
          </cell>
          <cell r="B597">
            <v>40080</v>
          </cell>
          <cell r="C597" t="str">
            <v>Future</v>
          </cell>
          <cell r="D597" t="e">
            <v>#N/A</v>
          </cell>
          <cell r="E597">
            <v>47.037539682539617</v>
          </cell>
          <cell r="F597">
            <v>56.83912698412685</v>
          </cell>
          <cell r="G597">
            <v>53.069285714285627</v>
          </cell>
          <cell r="H597">
            <v>53.069285714285627</v>
          </cell>
          <cell r="I597" t="e">
            <v>#N/A</v>
          </cell>
          <cell r="J597" t="e">
            <v>#N/A</v>
          </cell>
          <cell r="K597" t="e">
            <v>#N/A</v>
          </cell>
          <cell r="L597" t="e">
            <v>#N/A</v>
          </cell>
          <cell r="M597" t="e">
            <v>#N/A</v>
          </cell>
          <cell r="N597" t="e">
            <v>#N/A</v>
          </cell>
          <cell r="O597" t="e">
            <v>#N/A</v>
          </cell>
          <cell r="P597">
            <v>55.39</v>
          </cell>
          <cell r="Q597" t="str">
            <v/>
          </cell>
          <cell r="R597" t="e">
            <v>#N/A</v>
          </cell>
        </row>
        <row r="598">
          <cell r="A598">
            <v>40081</v>
          </cell>
          <cell r="B598">
            <v>40081</v>
          </cell>
          <cell r="C598" t="str">
            <v>Future</v>
          </cell>
          <cell r="D598" t="e">
            <v>#N/A</v>
          </cell>
          <cell r="E598">
            <v>46.817738095238028</v>
          </cell>
          <cell r="F598">
            <v>56.877261904761767</v>
          </cell>
          <cell r="G598">
            <v>53.008214285714196</v>
          </cell>
          <cell r="H598">
            <v>53.008214285714196</v>
          </cell>
          <cell r="I598" t="e">
            <v>#N/A</v>
          </cell>
          <cell r="J598" t="e">
            <v>#N/A</v>
          </cell>
          <cell r="K598" t="e">
            <v>#N/A</v>
          </cell>
          <cell r="L598" t="e">
            <v>#N/A</v>
          </cell>
          <cell r="M598" t="e">
            <v>#N/A</v>
          </cell>
          <cell r="N598" t="e">
            <v>#N/A</v>
          </cell>
          <cell r="O598" t="e">
            <v>#N/A</v>
          </cell>
          <cell r="P598">
            <v>55.39</v>
          </cell>
          <cell r="Q598" t="str">
            <v/>
          </cell>
          <cell r="R598" t="e">
            <v>#N/A</v>
          </cell>
        </row>
        <row r="599">
          <cell r="A599">
            <v>40084</v>
          </cell>
          <cell r="B599">
            <v>40084</v>
          </cell>
          <cell r="C599" t="str">
            <v>Future</v>
          </cell>
          <cell r="D599" t="e">
            <v>#N/A</v>
          </cell>
          <cell r="E599">
            <v>46.597936507936438</v>
          </cell>
          <cell r="F599">
            <v>56.915396825396684</v>
          </cell>
          <cell r="G599">
            <v>52.947142857142765</v>
          </cell>
          <cell r="H599">
            <v>52.947142857142765</v>
          </cell>
          <cell r="I599" t="e">
            <v>#N/A</v>
          </cell>
          <cell r="J599" t="e">
            <v>#N/A</v>
          </cell>
          <cell r="K599" t="e">
            <v>#N/A</v>
          </cell>
          <cell r="L599" t="e">
            <v>#N/A</v>
          </cell>
          <cell r="M599" t="e">
            <v>#N/A</v>
          </cell>
          <cell r="N599" t="e">
            <v>#N/A</v>
          </cell>
          <cell r="O599" t="e">
            <v>#N/A</v>
          </cell>
          <cell r="P599">
            <v>55.39</v>
          </cell>
          <cell r="Q599" t="str">
            <v/>
          </cell>
          <cell r="R599" t="e">
            <v>#N/A</v>
          </cell>
        </row>
        <row r="600">
          <cell r="A600">
            <v>40085</v>
          </cell>
          <cell r="B600">
            <v>40085</v>
          </cell>
          <cell r="C600" t="str">
            <v>Future</v>
          </cell>
          <cell r="D600" t="e">
            <v>#N/A</v>
          </cell>
          <cell r="E600">
            <v>46.378134920634849</v>
          </cell>
          <cell r="F600">
            <v>56.953531746031601</v>
          </cell>
          <cell r="G600">
            <v>52.886071428571334</v>
          </cell>
          <cell r="H600">
            <v>52.886071428571334</v>
          </cell>
          <cell r="I600" t="e">
            <v>#N/A</v>
          </cell>
          <cell r="J600" t="e">
            <v>#N/A</v>
          </cell>
          <cell r="K600" t="e">
            <v>#N/A</v>
          </cell>
          <cell r="L600" t="e">
            <v>#N/A</v>
          </cell>
          <cell r="M600" t="e">
            <v>#N/A</v>
          </cell>
          <cell r="N600" t="e">
            <v>#N/A</v>
          </cell>
          <cell r="O600" t="e">
            <v>#N/A</v>
          </cell>
          <cell r="P600">
            <v>55.39</v>
          </cell>
          <cell r="Q600" t="str">
            <v/>
          </cell>
          <cell r="R600" t="e">
            <v>#N/A</v>
          </cell>
        </row>
        <row r="601">
          <cell r="A601">
            <v>40086</v>
          </cell>
          <cell r="B601">
            <v>40086</v>
          </cell>
          <cell r="C601" t="str">
            <v>Future</v>
          </cell>
          <cell r="D601" t="e">
            <v>#N/A</v>
          </cell>
          <cell r="E601">
            <v>46.15833333333326</v>
          </cell>
          <cell r="F601">
            <v>56.991666666666518</v>
          </cell>
          <cell r="G601">
            <v>52.824999999999903</v>
          </cell>
          <cell r="H601">
            <v>52.824999999999903</v>
          </cell>
          <cell r="I601" t="e">
            <v>#N/A</v>
          </cell>
          <cell r="J601" t="e">
            <v>#N/A</v>
          </cell>
          <cell r="K601" t="e">
            <v>#N/A</v>
          </cell>
          <cell r="L601" t="e">
            <v>#N/A</v>
          </cell>
          <cell r="M601" t="e">
            <v>#N/A</v>
          </cell>
          <cell r="N601" t="e">
            <v>#N/A</v>
          </cell>
          <cell r="O601" t="e">
            <v>#N/A</v>
          </cell>
          <cell r="P601">
            <v>55.39</v>
          </cell>
          <cell r="Q601" t="str">
            <v/>
          </cell>
          <cell r="R601" t="e">
            <v>#N/A</v>
          </cell>
        </row>
        <row r="602">
          <cell r="A602">
            <v>40087</v>
          </cell>
          <cell r="B602">
            <v>40087</v>
          </cell>
          <cell r="C602" t="str">
            <v>Future</v>
          </cell>
          <cell r="D602" t="e">
            <v>#N/A</v>
          </cell>
          <cell r="E602">
            <v>45.938531746031671</v>
          </cell>
          <cell r="F602">
            <v>57.029801587301435</v>
          </cell>
          <cell r="G602">
            <v>52.763928571428472</v>
          </cell>
          <cell r="H602">
            <v>52.763928571428472</v>
          </cell>
          <cell r="I602" t="e">
            <v>#N/A</v>
          </cell>
          <cell r="J602" t="e">
            <v>#N/A</v>
          </cell>
          <cell r="K602" t="e">
            <v>#N/A</v>
          </cell>
          <cell r="L602" t="e">
            <v>#N/A</v>
          </cell>
          <cell r="M602" t="e">
            <v>#N/A</v>
          </cell>
          <cell r="N602" t="e">
            <v>#N/A</v>
          </cell>
          <cell r="O602" t="e">
            <v>#N/A</v>
          </cell>
          <cell r="P602">
            <v>55.39</v>
          </cell>
          <cell r="Q602" t="str">
            <v/>
          </cell>
          <cell r="R602" t="e">
            <v>#N/A</v>
          </cell>
        </row>
        <row r="603">
          <cell r="A603">
            <v>40088</v>
          </cell>
          <cell r="B603">
            <v>40088</v>
          </cell>
          <cell r="C603" t="str">
            <v>Future</v>
          </cell>
          <cell r="D603" t="e">
            <v>#N/A</v>
          </cell>
          <cell r="E603">
            <v>45.718730158730082</v>
          </cell>
          <cell r="F603">
            <v>57.067936507936352</v>
          </cell>
          <cell r="G603">
            <v>52.702857142857042</v>
          </cell>
          <cell r="H603">
            <v>52.702857142857042</v>
          </cell>
          <cell r="I603" t="e">
            <v>#N/A</v>
          </cell>
          <cell r="J603" t="e">
            <v>#N/A</v>
          </cell>
          <cell r="K603" t="e">
            <v>#N/A</v>
          </cell>
          <cell r="L603" t="e">
            <v>#N/A</v>
          </cell>
          <cell r="M603" t="e">
            <v>#N/A</v>
          </cell>
          <cell r="N603" t="e">
            <v>#N/A</v>
          </cell>
          <cell r="O603" t="e">
            <v>#N/A</v>
          </cell>
          <cell r="P603">
            <v>55.39</v>
          </cell>
          <cell r="Q603" t="str">
            <v/>
          </cell>
          <cell r="R603" t="e">
            <v>#N/A</v>
          </cell>
        </row>
        <row r="604">
          <cell r="A604">
            <v>40091</v>
          </cell>
          <cell r="B604">
            <v>40091</v>
          </cell>
          <cell r="C604" t="str">
            <v>Future</v>
          </cell>
          <cell r="D604" t="e">
            <v>#N/A</v>
          </cell>
          <cell r="E604">
            <v>45.498928571428493</v>
          </cell>
          <cell r="F604">
            <v>57.106071428571269</v>
          </cell>
          <cell r="G604">
            <v>52.641785714285611</v>
          </cell>
          <cell r="H604">
            <v>52.641785714285611</v>
          </cell>
          <cell r="I604" t="e">
            <v>#N/A</v>
          </cell>
          <cell r="J604" t="e">
            <v>#N/A</v>
          </cell>
          <cell r="K604" t="e">
            <v>#N/A</v>
          </cell>
          <cell r="L604" t="e">
            <v>#N/A</v>
          </cell>
          <cell r="M604" t="e">
            <v>#N/A</v>
          </cell>
          <cell r="N604" t="e">
            <v>#N/A</v>
          </cell>
          <cell r="O604" t="e">
            <v>#N/A</v>
          </cell>
          <cell r="P604">
            <v>55.39</v>
          </cell>
          <cell r="Q604" t="str">
            <v/>
          </cell>
          <cell r="R604" t="e">
            <v>#N/A</v>
          </cell>
        </row>
        <row r="605">
          <cell r="A605">
            <v>40092</v>
          </cell>
          <cell r="B605">
            <v>40092</v>
          </cell>
          <cell r="C605" t="str">
            <v>Future</v>
          </cell>
          <cell r="D605" t="e">
            <v>#N/A</v>
          </cell>
          <cell r="E605">
            <v>45.279126984126904</v>
          </cell>
          <cell r="F605">
            <v>57.144206349206186</v>
          </cell>
          <cell r="G605">
            <v>52.58071428571418</v>
          </cell>
          <cell r="H605">
            <v>52.58071428571418</v>
          </cell>
          <cell r="I605" t="e">
            <v>#N/A</v>
          </cell>
          <cell r="J605" t="e">
            <v>#N/A</v>
          </cell>
          <cell r="K605" t="e">
            <v>#N/A</v>
          </cell>
          <cell r="L605" t="e">
            <v>#N/A</v>
          </cell>
          <cell r="M605" t="e">
            <v>#N/A</v>
          </cell>
          <cell r="N605" t="e">
            <v>#N/A</v>
          </cell>
          <cell r="O605" t="e">
            <v>#N/A</v>
          </cell>
          <cell r="P605">
            <v>55.39</v>
          </cell>
          <cell r="Q605" t="str">
            <v/>
          </cell>
          <cell r="R605" t="e">
            <v>#N/A</v>
          </cell>
        </row>
        <row r="606">
          <cell r="A606">
            <v>40093</v>
          </cell>
          <cell r="B606">
            <v>40093</v>
          </cell>
          <cell r="C606" t="str">
            <v>Future</v>
          </cell>
          <cell r="D606" t="e">
            <v>#N/A</v>
          </cell>
          <cell r="E606">
            <v>45.059325396825315</v>
          </cell>
          <cell r="F606">
            <v>57.182341269841103</v>
          </cell>
          <cell r="G606">
            <v>52.519642857142749</v>
          </cell>
          <cell r="H606">
            <v>52.519642857142749</v>
          </cell>
          <cell r="I606" t="e">
            <v>#N/A</v>
          </cell>
          <cell r="J606" t="e">
            <v>#N/A</v>
          </cell>
          <cell r="K606" t="e">
            <v>#N/A</v>
          </cell>
          <cell r="L606" t="e">
            <v>#N/A</v>
          </cell>
          <cell r="M606" t="e">
            <v>#N/A</v>
          </cell>
          <cell r="N606" t="e">
            <v>#N/A</v>
          </cell>
          <cell r="O606" t="e">
            <v>#N/A</v>
          </cell>
          <cell r="P606">
            <v>55.39</v>
          </cell>
          <cell r="Q606" t="str">
            <v/>
          </cell>
          <cell r="R606" t="e">
            <v>#N/A</v>
          </cell>
        </row>
        <row r="607">
          <cell r="A607">
            <v>40094</v>
          </cell>
          <cell r="B607">
            <v>40094</v>
          </cell>
          <cell r="C607" t="str">
            <v>Future</v>
          </cell>
          <cell r="D607" t="e">
            <v>#N/A</v>
          </cell>
          <cell r="E607">
            <v>44.839523809523726</v>
          </cell>
          <cell r="F607">
            <v>57.22047619047602</v>
          </cell>
          <cell r="G607">
            <v>52.458571428571318</v>
          </cell>
          <cell r="H607">
            <v>52.458571428571318</v>
          </cell>
          <cell r="I607" t="e">
            <v>#N/A</v>
          </cell>
          <cell r="J607" t="e">
            <v>#N/A</v>
          </cell>
          <cell r="K607" t="e">
            <v>#N/A</v>
          </cell>
          <cell r="L607" t="e">
            <v>#N/A</v>
          </cell>
          <cell r="M607" t="e">
            <v>#N/A</v>
          </cell>
          <cell r="N607" t="e">
            <v>#N/A</v>
          </cell>
          <cell r="O607" t="e">
            <v>#N/A</v>
          </cell>
          <cell r="P607">
            <v>55.39</v>
          </cell>
          <cell r="Q607" t="str">
            <v/>
          </cell>
          <cell r="R607" t="e">
            <v>#N/A</v>
          </cell>
        </row>
        <row r="608">
          <cell r="A608">
            <v>40095</v>
          </cell>
          <cell r="B608">
            <v>40095</v>
          </cell>
          <cell r="C608" t="str">
            <v>Future</v>
          </cell>
          <cell r="D608" t="e">
            <v>#N/A</v>
          </cell>
          <cell r="E608">
            <v>44.619722222222137</v>
          </cell>
          <cell r="F608">
            <v>57.258611111110937</v>
          </cell>
          <cell r="G608">
            <v>52.397499999999887</v>
          </cell>
          <cell r="H608">
            <v>52.397499999999887</v>
          </cell>
          <cell r="I608" t="e">
            <v>#N/A</v>
          </cell>
          <cell r="J608" t="e">
            <v>#N/A</v>
          </cell>
          <cell r="K608" t="e">
            <v>#N/A</v>
          </cell>
          <cell r="L608" t="e">
            <v>#N/A</v>
          </cell>
          <cell r="M608" t="e">
            <v>#N/A</v>
          </cell>
          <cell r="N608" t="e">
            <v>#N/A</v>
          </cell>
          <cell r="O608" t="e">
            <v>#N/A</v>
          </cell>
          <cell r="P608">
            <v>55.39</v>
          </cell>
          <cell r="Q608" t="str">
            <v/>
          </cell>
          <cell r="R608" t="e">
            <v>#N/A</v>
          </cell>
        </row>
        <row r="609">
          <cell r="A609">
            <v>40098</v>
          </cell>
          <cell r="B609">
            <v>40098</v>
          </cell>
          <cell r="C609" t="str">
            <v>Future</v>
          </cell>
          <cell r="D609" t="e">
            <v>#N/A</v>
          </cell>
          <cell r="E609">
            <v>44.399920634920548</v>
          </cell>
          <cell r="F609">
            <v>57.296746031745855</v>
          </cell>
          <cell r="G609">
            <v>52.336428571428456</v>
          </cell>
          <cell r="H609">
            <v>52.336428571428456</v>
          </cell>
          <cell r="I609" t="e">
            <v>#N/A</v>
          </cell>
          <cell r="J609" t="e">
            <v>#N/A</v>
          </cell>
          <cell r="K609" t="e">
            <v>#N/A</v>
          </cell>
          <cell r="L609" t="e">
            <v>#N/A</v>
          </cell>
          <cell r="M609" t="e">
            <v>#N/A</v>
          </cell>
          <cell r="N609" t="e">
            <v>#N/A</v>
          </cell>
          <cell r="O609" t="e">
            <v>#N/A</v>
          </cell>
          <cell r="P609">
            <v>55.39</v>
          </cell>
          <cell r="Q609" t="str">
            <v/>
          </cell>
          <cell r="R609" t="e">
            <v>#N/A</v>
          </cell>
        </row>
        <row r="610">
          <cell r="A610">
            <v>40099</v>
          </cell>
          <cell r="B610">
            <v>40099</v>
          </cell>
          <cell r="C610" t="str">
            <v>Future</v>
          </cell>
          <cell r="D610" t="e">
            <v>#N/A</v>
          </cell>
          <cell r="E610">
            <v>44.180119047618959</v>
          </cell>
          <cell r="F610">
            <v>57.334880952380772</v>
          </cell>
          <cell r="G610">
            <v>52.275357142857025</v>
          </cell>
          <cell r="H610">
            <v>52.275357142857025</v>
          </cell>
          <cell r="I610" t="e">
            <v>#N/A</v>
          </cell>
          <cell r="J610" t="e">
            <v>#N/A</v>
          </cell>
          <cell r="K610" t="e">
            <v>#N/A</v>
          </cell>
          <cell r="L610" t="e">
            <v>#N/A</v>
          </cell>
          <cell r="M610" t="e">
            <v>#N/A</v>
          </cell>
          <cell r="N610" t="e">
            <v>#N/A</v>
          </cell>
          <cell r="O610" t="e">
            <v>#N/A</v>
          </cell>
          <cell r="P610">
            <v>55.39</v>
          </cell>
          <cell r="Q610" t="str">
            <v/>
          </cell>
          <cell r="R610" t="e">
            <v>#N/A</v>
          </cell>
        </row>
        <row r="611">
          <cell r="A611">
            <v>40100</v>
          </cell>
          <cell r="B611">
            <v>40100</v>
          </cell>
          <cell r="C611" t="str">
            <v>Future</v>
          </cell>
          <cell r="D611" t="e">
            <v>#N/A</v>
          </cell>
          <cell r="E611">
            <v>43.96031746031737</v>
          </cell>
          <cell r="F611">
            <v>57.373015873015689</v>
          </cell>
          <cell r="G611">
            <v>52.214285714285595</v>
          </cell>
          <cell r="H611">
            <v>52.214285714285595</v>
          </cell>
          <cell r="I611" t="e">
            <v>#N/A</v>
          </cell>
          <cell r="J611" t="e">
            <v>#N/A</v>
          </cell>
          <cell r="K611" t="e">
            <v>#N/A</v>
          </cell>
          <cell r="L611" t="e">
            <v>#N/A</v>
          </cell>
          <cell r="M611" t="e">
            <v>#N/A</v>
          </cell>
          <cell r="N611" t="e">
            <v>#N/A</v>
          </cell>
          <cell r="O611" t="e">
            <v>#N/A</v>
          </cell>
          <cell r="P611">
            <v>55.39</v>
          </cell>
          <cell r="Q611" t="str">
            <v/>
          </cell>
          <cell r="R611" t="e">
            <v>#N/A</v>
          </cell>
        </row>
        <row r="612">
          <cell r="A612">
            <v>40101</v>
          </cell>
          <cell r="B612">
            <v>40101</v>
          </cell>
          <cell r="C612" t="str">
            <v>Future</v>
          </cell>
          <cell r="D612" t="e">
            <v>#N/A</v>
          </cell>
          <cell r="E612">
            <v>43.740515873015781</v>
          </cell>
          <cell r="F612">
            <v>57.411150793650606</v>
          </cell>
          <cell r="G612">
            <v>52.153214285714164</v>
          </cell>
          <cell r="H612">
            <v>52.153214285714164</v>
          </cell>
          <cell r="I612" t="e">
            <v>#N/A</v>
          </cell>
          <cell r="J612" t="e">
            <v>#N/A</v>
          </cell>
          <cell r="K612" t="e">
            <v>#N/A</v>
          </cell>
          <cell r="L612" t="e">
            <v>#N/A</v>
          </cell>
          <cell r="M612" t="e">
            <v>#N/A</v>
          </cell>
          <cell r="N612" t="e">
            <v>#N/A</v>
          </cell>
          <cell r="O612" t="e">
            <v>#N/A</v>
          </cell>
          <cell r="P612">
            <v>55.39</v>
          </cell>
          <cell r="Q612" t="str">
            <v/>
          </cell>
          <cell r="R612" t="e">
            <v>#N/A</v>
          </cell>
        </row>
        <row r="613">
          <cell r="A613">
            <v>40102</v>
          </cell>
          <cell r="B613">
            <v>40102</v>
          </cell>
          <cell r="C613" t="str">
            <v>Future</v>
          </cell>
          <cell r="D613" t="e">
            <v>#N/A</v>
          </cell>
          <cell r="E613">
            <v>43.520714285714192</v>
          </cell>
          <cell r="F613">
            <v>57.449285714285523</v>
          </cell>
          <cell r="G613">
            <v>52.092142857142733</v>
          </cell>
          <cell r="H613">
            <v>52.092142857142733</v>
          </cell>
          <cell r="I613" t="e">
            <v>#N/A</v>
          </cell>
          <cell r="J613" t="e">
            <v>#N/A</v>
          </cell>
          <cell r="K613" t="e">
            <v>#N/A</v>
          </cell>
          <cell r="L613" t="e">
            <v>#N/A</v>
          </cell>
          <cell r="M613" t="e">
            <v>#N/A</v>
          </cell>
          <cell r="N613" t="e">
            <v>#N/A</v>
          </cell>
          <cell r="O613" t="e">
            <v>#N/A</v>
          </cell>
          <cell r="P613">
            <v>55.39</v>
          </cell>
          <cell r="Q613" t="str">
            <v/>
          </cell>
          <cell r="R613" t="e">
            <v>#N/A</v>
          </cell>
        </row>
        <row r="614">
          <cell r="A614">
            <v>40105</v>
          </cell>
          <cell r="B614">
            <v>40105</v>
          </cell>
          <cell r="C614" t="str">
            <v>Future</v>
          </cell>
          <cell r="D614" t="e">
            <v>#N/A</v>
          </cell>
          <cell r="E614">
            <v>43.300912698412603</v>
          </cell>
          <cell r="F614">
            <v>57.48742063492044</v>
          </cell>
          <cell r="G614">
            <v>52.031071428571302</v>
          </cell>
          <cell r="H614">
            <v>52.031071428571302</v>
          </cell>
          <cell r="I614" t="e">
            <v>#N/A</v>
          </cell>
          <cell r="J614" t="e">
            <v>#N/A</v>
          </cell>
          <cell r="K614" t="e">
            <v>#N/A</v>
          </cell>
          <cell r="L614" t="e">
            <v>#N/A</v>
          </cell>
          <cell r="M614" t="e">
            <v>#N/A</v>
          </cell>
          <cell r="N614" t="e">
            <v>#N/A</v>
          </cell>
          <cell r="O614" t="e">
            <v>#N/A</v>
          </cell>
          <cell r="P614">
            <v>55.39</v>
          </cell>
          <cell r="Q614" t="str">
            <v/>
          </cell>
          <cell r="R614" t="e">
            <v>#N/A</v>
          </cell>
        </row>
        <row r="615">
          <cell r="A615">
            <v>40106</v>
          </cell>
          <cell r="B615">
            <v>40106</v>
          </cell>
          <cell r="C615" t="str">
            <v>Future</v>
          </cell>
          <cell r="D615" t="e">
            <v>#N/A</v>
          </cell>
          <cell r="E615">
            <v>43.081111111111014</v>
          </cell>
          <cell r="F615">
            <v>57.525555555555357</v>
          </cell>
          <cell r="G615">
            <v>51.969999999999871</v>
          </cell>
          <cell r="H615">
            <v>51.969999999999871</v>
          </cell>
          <cell r="I615" t="e">
            <v>#N/A</v>
          </cell>
          <cell r="J615" t="e">
            <v>#N/A</v>
          </cell>
          <cell r="K615" t="e">
            <v>#N/A</v>
          </cell>
          <cell r="L615" t="e">
            <v>#N/A</v>
          </cell>
          <cell r="M615" t="e">
            <v>#N/A</v>
          </cell>
          <cell r="N615" t="e">
            <v>#N/A</v>
          </cell>
          <cell r="O615" t="e">
            <v>#N/A</v>
          </cell>
          <cell r="P615">
            <v>55.39</v>
          </cell>
          <cell r="Q615" t="str">
            <v/>
          </cell>
          <cell r="R615" t="e">
            <v>#N/A</v>
          </cell>
        </row>
        <row r="616">
          <cell r="A616">
            <v>40107</v>
          </cell>
          <cell r="B616">
            <v>40107</v>
          </cell>
          <cell r="C616" t="str">
            <v>Future</v>
          </cell>
          <cell r="D616" t="e">
            <v>#N/A</v>
          </cell>
          <cell r="E616">
            <v>42.861309523809425</v>
          </cell>
          <cell r="F616">
            <v>57.563690476190274</v>
          </cell>
          <cell r="G616">
            <v>51.90892857142844</v>
          </cell>
          <cell r="H616">
            <v>51.90892857142844</v>
          </cell>
          <cell r="I616" t="e">
            <v>#N/A</v>
          </cell>
          <cell r="J616" t="e">
            <v>#N/A</v>
          </cell>
          <cell r="K616" t="e">
            <v>#N/A</v>
          </cell>
          <cell r="L616" t="e">
            <v>#N/A</v>
          </cell>
          <cell r="M616" t="e">
            <v>#N/A</v>
          </cell>
          <cell r="N616" t="e">
            <v>#N/A</v>
          </cell>
          <cell r="O616" t="e">
            <v>#N/A</v>
          </cell>
          <cell r="P616">
            <v>55.39</v>
          </cell>
          <cell r="Q616" t="str">
            <v/>
          </cell>
          <cell r="R616" t="e">
            <v>#N/A</v>
          </cell>
        </row>
        <row r="617">
          <cell r="A617">
            <v>40108</v>
          </cell>
          <cell r="B617">
            <v>40108</v>
          </cell>
          <cell r="C617" t="str">
            <v>Future</v>
          </cell>
          <cell r="D617" t="e">
            <v>#N/A</v>
          </cell>
          <cell r="E617">
            <v>42.641507936507836</v>
          </cell>
          <cell r="F617">
            <v>57.601825396825191</v>
          </cell>
          <cell r="G617">
            <v>51.847857142857009</v>
          </cell>
          <cell r="H617">
            <v>51.847857142857009</v>
          </cell>
          <cell r="I617" t="e">
            <v>#N/A</v>
          </cell>
          <cell r="J617" t="e">
            <v>#N/A</v>
          </cell>
          <cell r="K617" t="e">
            <v>#N/A</v>
          </cell>
          <cell r="L617" t="e">
            <v>#N/A</v>
          </cell>
          <cell r="M617" t="e">
            <v>#N/A</v>
          </cell>
          <cell r="N617" t="e">
            <v>#N/A</v>
          </cell>
          <cell r="O617" t="e">
            <v>#N/A</v>
          </cell>
          <cell r="P617">
            <v>55.39</v>
          </cell>
          <cell r="Q617" t="str">
            <v/>
          </cell>
          <cell r="R617" t="e">
            <v>#N/A</v>
          </cell>
        </row>
        <row r="618">
          <cell r="A618">
            <v>40109</v>
          </cell>
          <cell r="B618">
            <v>40109</v>
          </cell>
          <cell r="C618" t="str">
            <v>Future</v>
          </cell>
          <cell r="D618" t="e">
            <v>#N/A</v>
          </cell>
          <cell r="E618">
            <v>42.421706349206247</v>
          </cell>
          <cell r="F618">
            <v>57.639960317460108</v>
          </cell>
          <cell r="G618">
            <v>51.786785714285578</v>
          </cell>
          <cell r="H618">
            <v>51.786785714285578</v>
          </cell>
          <cell r="I618" t="e">
            <v>#N/A</v>
          </cell>
          <cell r="J618" t="e">
            <v>#N/A</v>
          </cell>
          <cell r="K618" t="e">
            <v>#N/A</v>
          </cell>
          <cell r="L618" t="e">
            <v>#N/A</v>
          </cell>
          <cell r="M618" t="e">
            <v>#N/A</v>
          </cell>
          <cell r="N618" t="e">
            <v>#N/A</v>
          </cell>
          <cell r="O618" t="e">
            <v>#N/A</v>
          </cell>
          <cell r="P618">
            <v>55.39</v>
          </cell>
          <cell r="Q618" t="str">
            <v/>
          </cell>
          <cell r="R618" t="e">
            <v>#N/A</v>
          </cell>
        </row>
        <row r="619">
          <cell r="A619">
            <v>40112</v>
          </cell>
          <cell r="B619">
            <v>40112</v>
          </cell>
          <cell r="C619" t="str">
            <v>Future</v>
          </cell>
          <cell r="D619" t="e">
            <v>#N/A</v>
          </cell>
          <cell r="E619">
            <v>42.201904761904657</v>
          </cell>
          <cell r="F619">
            <v>57.678095238095025</v>
          </cell>
          <cell r="G619">
            <v>51.725714285714147</v>
          </cell>
          <cell r="H619">
            <v>51.725714285714147</v>
          </cell>
          <cell r="I619" t="e">
            <v>#N/A</v>
          </cell>
          <cell r="J619" t="e">
            <v>#N/A</v>
          </cell>
          <cell r="K619" t="e">
            <v>#N/A</v>
          </cell>
          <cell r="L619" t="e">
            <v>#N/A</v>
          </cell>
          <cell r="M619" t="e">
            <v>#N/A</v>
          </cell>
          <cell r="N619" t="e">
            <v>#N/A</v>
          </cell>
          <cell r="O619" t="e">
            <v>#N/A</v>
          </cell>
          <cell r="P619">
            <v>55.39</v>
          </cell>
          <cell r="Q619" t="str">
            <v/>
          </cell>
          <cell r="R619" t="e">
            <v>#N/A</v>
          </cell>
        </row>
        <row r="620">
          <cell r="A620">
            <v>40113</v>
          </cell>
          <cell r="B620">
            <v>40113</v>
          </cell>
          <cell r="C620" t="str">
            <v>Future</v>
          </cell>
          <cell r="D620" t="e">
            <v>#N/A</v>
          </cell>
          <cell r="E620">
            <v>41.982103174603068</v>
          </cell>
          <cell r="F620">
            <v>57.716230158729942</v>
          </cell>
          <cell r="G620">
            <v>51.664642857142717</v>
          </cell>
          <cell r="H620">
            <v>51.664642857142717</v>
          </cell>
          <cell r="I620" t="e">
            <v>#N/A</v>
          </cell>
          <cell r="J620" t="e">
            <v>#N/A</v>
          </cell>
          <cell r="K620" t="e">
            <v>#N/A</v>
          </cell>
          <cell r="L620" t="e">
            <v>#N/A</v>
          </cell>
          <cell r="M620" t="e">
            <v>#N/A</v>
          </cell>
          <cell r="N620" t="e">
            <v>#N/A</v>
          </cell>
          <cell r="O620" t="e">
            <v>#N/A</v>
          </cell>
          <cell r="P620">
            <v>55.39</v>
          </cell>
          <cell r="Q620" t="str">
            <v/>
          </cell>
          <cell r="R620" t="e">
            <v>#N/A</v>
          </cell>
        </row>
        <row r="621">
          <cell r="A621">
            <v>40114</v>
          </cell>
          <cell r="B621">
            <v>40114</v>
          </cell>
          <cell r="C621" t="str">
            <v>Future</v>
          </cell>
          <cell r="D621" t="e">
            <v>#N/A</v>
          </cell>
          <cell r="E621">
            <v>41.762301587301479</v>
          </cell>
          <cell r="F621">
            <v>57.75436507936486</v>
          </cell>
          <cell r="G621">
            <v>51.603571428571286</v>
          </cell>
          <cell r="H621">
            <v>51.603571428571286</v>
          </cell>
          <cell r="I621" t="e">
            <v>#N/A</v>
          </cell>
          <cell r="J621" t="e">
            <v>#N/A</v>
          </cell>
          <cell r="K621" t="e">
            <v>#N/A</v>
          </cell>
          <cell r="L621" t="e">
            <v>#N/A</v>
          </cell>
          <cell r="M621" t="e">
            <v>#N/A</v>
          </cell>
          <cell r="N621" t="e">
            <v>#N/A</v>
          </cell>
          <cell r="O621" t="e">
            <v>#N/A</v>
          </cell>
          <cell r="P621">
            <v>55.39</v>
          </cell>
          <cell r="Q621" t="str">
            <v/>
          </cell>
          <cell r="R621" t="e">
            <v>#N/A</v>
          </cell>
        </row>
        <row r="622">
          <cell r="A622">
            <v>40115</v>
          </cell>
          <cell r="B622">
            <v>40115</v>
          </cell>
          <cell r="C622" t="str">
            <v>Future</v>
          </cell>
          <cell r="D622" t="e">
            <v>#N/A</v>
          </cell>
          <cell r="E622">
            <v>41.54249999999989</v>
          </cell>
          <cell r="F622">
            <v>57.792499999999777</v>
          </cell>
          <cell r="G622">
            <v>51.542499999999855</v>
          </cell>
          <cell r="H622">
            <v>51.542499999999855</v>
          </cell>
          <cell r="I622" t="e">
            <v>#N/A</v>
          </cell>
          <cell r="J622" t="e">
            <v>#N/A</v>
          </cell>
          <cell r="K622" t="e">
            <v>#N/A</v>
          </cell>
          <cell r="L622" t="e">
            <v>#N/A</v>
          </cell>
          <cell r="M622" t="e">
            <v>#N/A</v>
          </cell>
          <cell r="N622" t="e">
            <v>#N/A</v>
          </cell>
          <cell r="O622" t="e">
            <v>#N/A</v>
          </cell>
          <cell r="P622">
            <v>55.39</v>
          </cell>
          <cell r="Q622" t="str">
            <v/>
          </cell>
          <cell r="R622" t="e">
            <v>#N/A</v>
          </cell>
        </row>
        <row r="623">
          <cell r="A623">
            <v>40116</v>
          </cell>
          <cell r="B623">
            <v>40116</v>
          </cell>
          <cell r="C623" t="str">
            <v>Future</v>
          </cell>
          <cell r="D623" t="e">
            <v>#N/A</v>
          </cell>
          <cell r="E623">
            <v>41.322698412698301</v>
          </cell>
          <cell r="F623">
            <v>57.830634920634694</v>
          </cell>
          <cell r="G623">
            <v>51.481428571428424</v>
          </cell>
          <cell r="H623">
            <v>51.481428571428424</v>
          </cell>
          <cell r="I623" t="e">
            <v>#N/A</v>
          </cell>
          <cell r="J623" t="e">
            <v>#N/A</v>
          </cell>
          <cell r="K623" t="e">
            <v>#N/A</v>
          </cell>
          <cell r="L623" t="e">
            <v>#N/A</v>
          </cell>
          <cell r="M623" t="e">
            <v>#N/A</v>
          </cell>
          <cell r="N623" t="e">
            <v>#N/A</v>
          </cell>
          <cell r="O623" t="e">
            <v>#N/A</v>
          </cell>
          <cell r="P623">
            <v>55.39</v>
          </cell>
          <cell r="Q623" t="str">
            <v/>
          </cell>
          <cell r="R623" t="e">
            <v>#N/A</v>
          </cell>
        </row>
        <row r="624">
          <cell r="A624">
            <v>40119</v>
          </cell>
          <cell r="B624">
            <v>40119</v>
          </cell>
          <cell r="C624" t="str">
            <v>Future</v>
          </cell>
          <cell r="D624" t="e">
            <v>#N/A</v>
          </cell>
          <cell r="E624">
            <v>41.102896825396712</v>
          </cell>
          <cell r="F624">
            <v>57.868769841269611</v>
          </cell>
          <cell r="G624">
            <v>51.420357142856993</v>
          </cell>
          <cell r="H624">
            <v>51.420357142856993</v>
          </cell>
          <cell r="I624" t="e">
            <v>#N/A</v>
          </cell>
          <cell r="J624" t="e">
            <v>#N/A</v>
          </cell>
          <cell r="K624" t="e">
            <v>#N/A</v>
          </cell>
          <cell r="L624" t="e">
            <v>#N/A</v>
          </cell>
          <cell r="M624" t="e">
            <v>#N/A</v>
          </cell>
          <cell r="N624" t="e">
            <v>#N/A</v>
          </cell>
          <cell r="O624" t="e">
            <v>#N/A</v>
          </cell>
          <cell r="P624">
            <v>55.39</v>
          </cell>
          <cell r="Q624" t="str">
            <v/>
          </cell>
          <cell r="R624" t="e">
            <v>#N/A</v>
          </cell>
        </row>
        <row r="625">
          <cell r="A625">
            <v>40120</v>
          </cell>
          <cell r="B625">
            <v>40120</v>
          </cell>
          <cell r="C625" t="str">
            <v>Future</v>
          </cell>
          <cell r="D625" t="e">
            <v>#N/A</v>
          </cell>
          <cell r="E625">
            <v>40.883095238095123</v>
          </cell>
          <cell r="F625">
            <v>57.906904761904528</v>
          </cell>
          <cell r="G625">
            <v>51.359285714285562</v>
          </cell>
          <cell r="H625">
            <v>51.359285714285562</v>
          </cell>
          <cell r="I625" t="e">
            <v>#N/A</v>
          </cell>
          <cell r="J625" t="e">
            <v>#N/A</v>
          </cell>
          <cell r="K625" t="e">
            <v>#N/A</v>
          </cell>
          <cell r="L625" t="e">
            <v>#N/A</v>
          </cell>
          <cell r="M625" t="e">
            <v>#N/A</v>
          </cell>
          <cell r="N625" t="e">
            <v>#N/A</v>
          </cell>
          <cell r="O625" t="e">
            <v>#N/A</v>
          </cell>
          <cell r="P625">
            <v>55.39</v>
          </cell>
          <cell r="Q625" t="str">
            <v/>
          </cell>
          <cell r="R625" t="e">
            <v>#N/A</v>
          </cell>
        </row>
        <row r="626">
          <cell r="A626">
            <v>40121</v>
          </cell>
          <cell r="B626">
            <v>40121</v>
          </cell>
          <cell r="C626" t="str">
            <v>Future</v>
          </cell>
          <cell r="D626" t="e">
            <v>#N/A</v>
          </cell>
          <cell r="E626">
            <v>40.663293650793534</v>
          </cell>
          <cell r="F626">
            <v>57.945039682539445</v>
          </cell>
          <cell r="G626">
            <v>51.298214285714131</v>
          </cell>
          <cell r="H626">
            <v>51.298214285714131</v>
          </cell>
          <cell r="I626" t="e">
            <v>#N/A</v>
          </cell>
          <cell r="J626" t="e">
            <v>#N/A</v>
          </cell>
          <cell r="K626" t="e">
            <v>#N/A</v>
          </cell>
          <cell r="L626" t="e">
            <v>#N/A</v>
          </cell>
          <cell r="M626" t="e">
            <v>#N/A</v>
          </cell>
          <cell r="N626" t="e">
            <v>#N/A</v>
          </cell>
          <cell r="O626" t="e">
            <v>#N/A</v>
          </cell>
          <cell r="P626">
            <v>55.39</v>
          </cell>
          <cell r="Q626" t="str">
            <v/>
          </cell>
          <cell r="R626" t="e">
            <v>#N/A</v>
          </cell>
        </row>
        <row r="627">
          <cell r="A627">
            <v>40122</v>
          </cell>
          <cell r="B627">
            <v>40122</v>
          </cell>
          <cell r="C627" t="str">
            <v>Future</v>
          </cell>
          <cell r="D627" t="e">
            <v>#N/A</v>
          </cell>
          <cell r="E627">
            <v>40.443492063491945</v>
          </cell>
          <cell r="F627">
            <v>57.983174603174362</v>
          </cell>
          <cell r="G627">
            <v>51.2371428571427</v>
          </cell>
          <cell r="H627">
            <v>51.2371428571427</v>
          </cell>
          <cell r="I627" t="e">
            <v>#N/A</v>
          </cell>
          <cell r="J627" t="e">
            <v>#N/A</v>
          </cell>
          <cell r="K627" t="e">
            <v>#N/A</v>
          </cell>
          <cell r="L627" t="e">
            <v>#N/A</v>
          </cell>
          <cell r="M627" t="e">
            <v>#N/A</v>
          </cell>
          <cell r="N627" t="e">
            <v>#N/A</v>
          </cell>
          <cell r="O627" t="e">
            <v>#N/A</v>
          </cell>
          <cell r="P627">
            <v>55.39</v>
          </cell>
          <cell r="Q627" t="str">
            <v/>
          </cell>
          <cell r="R627" t="e">
            <v>#N/A</v>
          </cell>
        </row>
        <row r="628">
          <cell r="A628">
            <v>40123</v>
          </cell>
          <cell r="B628">
            <v>40123</v>
          </cell>
          <cell r="C628" t="str">
            <v>Future</v>
          </cell>
          <cell r="D628" t="e">
            <v>#N/A</v>
          </cell>
          <cell r="E628">
            <v>40.223690476190356</v>
          </cell>
          <cell r="F628">
            <v>58.021309523809279</v>
          </cell>
          <cell r="G628">
            <v>51.176071428571269</v>
          </cell>
          <cell r="H628">
            <v>51.176071428571269</v>
          </cell>
          <cell r="I628" t="e">
            <v>#N/A</v>
          </cell>
          <cell r="J628" t="e">
            <v>#N/A</v>
          </cell>
          <cell r="K628" t="e">
            <v>#N/A</v>
          </cell>
          <cell r="L628" t="e">
            <v>#N/A</v>
          </cell>
          <cell r="M628" t="e">
            <v>#N/A</v>
          </cell>
          <cell r="N628" t="e">
            <v>#N/A</v>
          </cell>
          <cell r="O628" t="e">
            <v>#N/A</v>
          </cell>
          <cell r="P628">
            <v>55.39</v>
          </cell>
          <cell r="Q628" t="str">
            <v/>
          </cell>
          <cell r="R628" t="e">
            <v>#N/A</v>
          </cell>
        </row>
        <row r="629">
          <cell r="A629">
            <v>40126</v>
          </cell>
          <cell r="B629">
            <v>40126</v>
          </cell>
          <cell r="C629" t="str">
            <v>Future</v>
          </cell>
          <cell r="D629" t="e">
            <v>#N/A</v>
          </cell>
          <cell r="E629">
            <v>40.003888888888767</v>
          </cell>
          <cell r="F629">
            <v>58.059444444444196</v>
          </cell>
          <cell r="G629">
            <v>51.114999999999839</v>
          </cell>
          <cell r="H629">
            <v>51.114999999999839</v>
          </cell>
          <cell r="I629" t="e">
            <v>#N/A</v>
          </cell>
          <cell r="J629" t="e">
            <v>#N/A</v>
          </cell>
          <cell r="K629" t="e">
            <v>#N/A</v>
          </cell>
          <cell r="L629" t="e">
            <v>#N/A</v>
          </cell>
          <cell r="M629" t="e">
            <v>#N/A</v>
          </cell>
          <cell r="N629" t="e">
            <v>#N/A</v>
          </cell>
          <cell r="O629" t="e">
            <v>#N/A</v>
          </cell>
          <cell r="P629">
            <v>55.39</v>
          </cell>
          <cell r="Q629" t="str">
            <v/>
          </cell>
          <cell r="R629" t="e">
            <v>#N/A</v>
          </cell>
        </row>
        <row r="630">
          <cell r="A630">
            <v>40127</v>
          </cell>
          <cell r="B630">
            <v>40127</v>
          </cell>
          <cell r="C630" t="str">
            <v>Future</v>
          </cell>
          <cell r="D630" t="e">
            <v>#N/A</v>
          </cell>
          <cell r="E630">
            <v>39.784087301587178</v>
          </cell>
          <cell r="F630">
            <v>58.097579365079113</v>
          </cell>
          <cell r="G630">
            <v>51.053928571428408</v>
          </cell>
          <cell r="H630">
            <v>51.053928571428408</v>
          </cell>
          <cell r="I630" t="e">
            <v>#N/A</v>
          </cell>
          <cell r="J630" t="e">
            <v>#N/A</v>
          </cell>
          <cell r="K630" t="e">
            <v>#N/A</v>
          </cell>
          <cell r="L630" t="e">
            <v>#N/A</v>
          </cell>
          <cell r="M630" t="e">
            <v>#N/A</v>
          </cell>
          <cell r="N630" t="e">
            <v>#N/A</v>
          </cell>
          <cell r="O630" t="e">
            <v>#N/A</v>
          </cell>
          <cell r="P630">
            <v>55.39</v>
          </cell>
          <cell r="Q630" t="str">
            <v/>
          </cell>
          <cell r="R630" t="e">
            <v>#N/A</v>
          </cell>
        </row>
        <row r="631">
          <cell r="A631">
            <v>40128</v>
          </cell>
          <cell r="B631">
            <v>40128</v>
          </cell>
          <cell r="C631" t="str">
            <v>Future</v>
          </cell>
          <cell r="D631" t="e">
            <v>#N/A</v>
          </cell>
          <cell r="E631">
            <v>39.564285714285589</v>
          </cell>
          <cell r="F631">
            <v>58.13571428571403</v>
          </cell>
          <cell r="G631">
            <v>50.992857142856977</v>
          </cell>
          <cell r="H631">
            <v>50.992857142856977</v>
          </cell>
          <cell r="I631" t="e">
            <v>#N/A</v>
          </cell>
          <cell r="J631" t="e">
            <v>#N/A</v>
          </cell>
          <cell r="K631" t="e">
            <v>#N/A</v>
          </cell>
          <cell r="L631" t="e">
            <v>#N/A</v>
          </cell>
          <cell r="M631" t="e">
            <v>#N/A</v>
          </cell>
          <cell r="N631" t="e">
            <v>#N/A</v>
          </cell>
          <cell r="O631" t="e">
            <v>#N/A</v>
          </cell>
          <cell r="P631">
            <v>55.39</v>
          </cell>
          <cell r="Q631" t="str">
            <v/>
          </cell>
          <cell r="R631" t="e">
            <v>#N/A</v>
          </cell>
        </row>
        <row r="632">
          <cell r="A632">
            <v>40129</v>
          </cell>
          <cell r="B632">
            <v>40129</v>
          </cell>
          <cell r="C632" t="str">
            <v>Future</v>
          </cell>
          <cell r="D632" t="e">
            <v>#N/A</v>
          </cell>
          <cell r="E632">
            <v>39.344484126984</v>
          </cell>
          <cell r="F632">
            <v>58.173849206348947</v>
          </cell>
          <cell r="G632">
            <v>50.931785714285546</v>
          </cell>
          <cell r="H632">
            <v>50.931785714285546</v>
          </cell>
          <cell r="I632" t="e">
            <v>#N/A</v>
          </cell>
          <cell r="J632" t="e">
            <v>#N/A</v>
          </cell>
          <cell r="K632" t="e">
            <v>#N/A</v>
          </cell>
          <cell r="L632" t="e">
            <v>#N/A</v>
          </cell>
          <cell r="M632" t="e">
            <v>#N/A</v>
          </cell>
          <cell r="N632" t="e">
            <v>#N/A</v>
          </cell>
          <cell r="O632" t="e">
            <v>#N/A</v>
          </cell>
          <cell r="P632">
            <v>55.39</v>
          </cell>
          <cell r="Q632" t="str">
            <v/>
          </cell>
          <cell r="R632" t="e">
            <v>#N/A</v>
          </cell>
        </row>
        <row r="633">
          <cell r="A633">
            <v>40130</v>
          </cell>
          <cell r="B633">
            <v>40130</v>
          </cell>
          <cell r="C633" t="str">
            <v>Future</v>
          </cell>
          <cell r="D633" t="e">
            <v>#N/A</v>
          </cell>
          <cell r="E633">
            <v>39.124682539682411</v>
          </cell>
          <cell r="F633">
            <v>58.211984126983864</v>
          </cell>
          <cell r="G633">
            <v>50.870714285714115</v>
          </cell>
          <cell r="H633">
            <v>50.870714285714115</v>
          </cell>
          <cell r="I633" t="e">
            <v>#N/A</v>
          </cell>
          <cell r="J633" t="e">
            <v>#N/A</v>
          </cell>
          <cell r="K633" t="e">
            <v>#N/A</v>
          </cell>
          <cell r="L633" t="e">
            <v>#N/A</v>
          </cell>
          <cell r="M633" t="e">
            <v>#N/A</v>
          </cell>
          <cell r="N633" t="e">
            <v>#N/A</v>
          </cell>
          <cell r="O633" t="e">
            <v>#N/A</v>
          </cell>
          <cell r="P633">
            <v>55.39</v>
          </cell>
          <cell r="Q633" t="str">
            <v/>
          </cell>
          <cell r="R633" t="e">
            <v>#N/A</v>
          </cell>
        </row>
        <row r="634">
          <cell r="A634">
            <v>40133</v>
          </cell>
          <cell r="B634">
            <v>40133</v>
          </cell>
          <cell r="C634" t="str">
            <v>Future</v>
          </cell>
          <cell r="D634" t="e">
            <v>#N/A</v>
          </cell>
          <cell r="E634">
            <v>38.904880952380822</v>
          </cell>
          <cell r="F634">
            <v>58.250119047618782</v>
          </cell>
          <cell r="G634">
            <v>50.809642857142684</v>
          </cell>
          <cell r="H634">
            <v>50.809642857142684</v>
          </cell>
          <cell r="I634" t="e">
            <v>#N/A</v>
          </cell>
          <cell r="J634" t="e">
            <v>#N/A</v>
          </cell>
          <cell r="K634" t="e">
            <v>#N/A</v>
          </cell>
          <cell r="L634" t="e">
            <v>#N/A</v>
          </cell>
          <cell r="M634" t="e">
            <v>#N/A</v>
          </cell>
          <cell r="N634" t="e">
            <v>#N/A</v>
          </cell>
          <cell r="O634" t="e">
            <v>#N/A</v>
          </cell>
          <cell r="P634">
            <v>55.39</v>
          </cell>
          <cell r="Q634" t="str">
            <v/>
          </cell>
          <cell r="R634" t="e">
            <v>#N/A</v>
          </cell>
        </row>
        <row r="635">
          <cell r="A635">
            <v>40134</v>
          </cell>
          <cell r="B635">
            <v>40134</v>
          </cell>
          <cell r="C635" t="str">
            <v>Future</v>
          </cell>
          <cell r="D635" t="e">
            <v>#N/A</v>
          </cell>
          <cell r="E635">
            <v>38.685079365079233</v>
          </cell>
          <cell r="F635">
            <v>58.288253968253699</v>
          </cell>
          <cell r="G635">
            <v>50.748571428571253</v>
          </cell>
          <cell r="H635">
            <v>50.748571428571253</v>
          </cell>
          <cell r="I635" t="e">
            <v>#N/A</v>
          </cell>
          <cell r="J635" t="e">
            <v>#N/A</v>
          </cell>
          <cell r="K635" t="e">
            <v>#N/A</v>
          </cell>
          <cell r="L635" t="e">
            <v>#N/A</v>
          </cell>
          <cell r="M635" t="e">
            <v>#N/A</v>
          </cell>
          <cell r="N635" t="e">
            <v>#N/A</v>
          </cell>
          <cell r="O635" t="e">
            <v>#N/A</v>
          </cell>
          <cell r="P635">
            <v>55.39</v>
          </cell>
          <cell r="Q635" t="str">
            <v/>
          </cell>
          <cell r="R635" t="e">
            <v>#N/A</v>
          </cell>
        </row>
        <row r="636">
          <cell r="A636">
            <v>40135</v>
          </cell>
          <cell r="B636">
            <v>40135</v>
          </cell>
          <cell r="C636" t="str">
            <v>Future</v>
          </cell>
          <cell r="D636" t="e">
            <v>#N/A</v>
          </cell>
          <cell r="E636">
            <v>38.465277777777644</v>
          </cell>
          <cell r="F636">
            <v>58.326388888888616</v>
          </cell>
          <cell r="G636">
            <v>50.687499999999822</v>
          </cell>
          <cell r="H636">
            <v>50.687499999999822</v>
          </cell>
          <cell r="I636" t="e">
            <v>#N/A</v>
          </cell>
          <cell r="J636" t="e">
            <v>#N/A</v>
          </cell>
          <cell r="K636" t="e">
            <v>#N/A</v>
          </cell>
          <cell r="L636" t="e">
            <v>#N/A</v>
          </cell>
          <cell r="M636" t="e">
            <v>#N/A</v>
          </cell>
          <cell r="N636" t="e">
            <v>#N/A</v>
          </cell>
          <cell r="O636" t="e">
            <v>#N/A</v>
          </cell>
          <cell r="P636">
            <v>55.39</v>
          </cell>
          <cell r="Q636" t="str">
            <v/>
          </cell>
          <cell r="R636" t="e">
            <v>#N/A</v>
          </cell>
        </row>
        <row r="637">
          <cell r="A637">
            <v>40136</v>
          </cell>
          <cell r="B637">
            <v>40136</v>
          </cell>
          <cell r="C637" t="str">
            <v>Future</v>
          </cell>
          <cell r="D637" t="e">
            <v>#N/A</v>
          </cell>
          <cell r="E637">
            <v>38.245476190476055</v>
          </cell>
          <cell r="F637">
            <v>58.364523809523533</v>
          </cell>
          <cell r="G637">
            <v>50.626428571428391</v>
          </cell>
          <cell r="H637">
            <v>50.626428571428391</v>
          </cell>
          <cell r="I637" t="e">
            <v>#N/A</v>
          </cell>
          <cell r="J637" t="e">
            <v>#N/A</v>
          </cell>
          <cell r="K637" t="e">
            <v>#N/A</v>
          </cell>
          <cell r="L637" t="e">
            <v>#N/A</v>
          </cell>
          <cell r="M637" t="e">
            <v>#N/A</v>
          </cell>
          <cell r="N637" t="e">
            <v>#N/A</v>
          </cell>
          <cell r="O637" t="e">
            <v>#N/A</v>
          </cell>
          <cell r="P637">
            <v>55.39</v>
          </cell>
          <cell r="Q637" t="str">
            <v/>
          </cell>
          <cell r="R637" t="e">
            <v>#N/A</v>
          </cell>
        </row>
        <row r="638">
          <cell r="A638">
            <v>40137</v>
          </cell>
          <cell r="B638">
            <v>40137</v>
          </cell>
          <cell r="C638" t="str">
            <v>Future</v>
          </cell>
          <cell r="D638" t="e">
            <v>#N/A</v>
          </cell>
          <cell r="E638">
            <v>38.025674603174465</v>
          </cell>
          <cell r="F638">
            <v>58.40265873015845</v>
          </cell>
          <cell r="G638">
            <v>50.565357142856961</v>
          </cell>
          <cell r="H638">
            <v>50.565357142856961</v>
          </cell>
          <cell r="I638" t="e">
            <v>#N/A</v>
          </cell>
          <cell r="J638" t="e">
            <v>#N/A</v>
          </cell>
          <cell r="K638" t="e">
            <v>#N/A</v>
          </cell>
          <cell r="L638" t="e">
            <v>#N/A</v>
          </cell>
          <cell r="M638" t="e">
            <v>#N/A</v>
          </cell>
          <cell r="N638" t="e">
            <v>#N/A</v>
          </cell>
          <cell r="O638" t="e">
            <v>#N/A</v>
          </cell>
          <cell r="P638">
            <v>55.39</v>
          </cell>
          <cell r="Q638" t="str">
            <v/>
          </cell>
          <cell r="R638" t="e">
            <v>#N/A</v>
          </cell>
        </row>
        <row r="639">
          <cell r="A639">
            <v>40140</v>
          </cell>
          <cell r="B639">
            <v>40140</v>
          </cell>
          <cell r="C639" t="str">
            <v>Future</v>
          </cell>
          <cell r="D639" t="e">
            <v>#N/A</v>
          </cell>
          <cell r="E639">
            <v>37.805873015872876</v>
          </cell>
          <cell r="F639">
            <v>58.440793650793367</v>
          </cell>
          <cell r="G639">
            <v>50.50428571428553</v>
          </cell>
          <cell r="H639">
            <v>50.50428571428553</v>
          </cell>
          <cell r="I639" t="e">
            <v>#N/A</v>
          </cell>
          <cell r="J639" t="e">
            <v>#N/A</v>
          </cell>
          <cell r="K639" t="e">
            <v>#N/A</v>
          </cell>
          <cell r="L639" t="e">
            <v>#N/A</v>
          </cell>
          <cell r="M639" t="e">
            <v>#N/A</v>
          </cell>
          <cell r="N639" t="e">
            <v>#N/A</v>
          </cell>
          <cell r="O639" t="e">
            <v>#N/A</v>
          </cell>
          <cell r="P639">
            <v>55.39</v>
          </cell>
          <cell r="Q639" t="str">
            <v/>
          </cell>
          <cell r="R639" t="e">
            <v>#N/A</v>
          </cell>
        </row>
        <row r="640">
          <cell r="A640">
            <v>40141</v>
          </cell>
          <cell r="B640">
            <v>40141</v>
          </cell>
          <cell r="C640" t="str">
            <v>Future</v>
          </cell>
          <cell r="D640" t="e">
            <v>#N/A</v>
          </cell>
          <cell r="E640">
            <v>37.586071428571287</v>
          </cell>
          <cell r="F640">
            <v>58.478928571428284</v>
          </cell>
          <cell r="G640">
            <v>50.443214285714099</v>
          </cell>
          <cell r="H640">
            <v>50.443214285714099</v>
          </cell>
          <cell r="I640" t="e">
            <v>#N/A</v>
          </cell>
          <cell r="J640" t="e">
            <v>#N/A</v>
          </cell>
          <cell r="K640" t="e">
            <v>#N/A</v>
          </cell>
          <cell r="L640" t="e">
            <v>#N/A</v>
          </cell>
          <cell r="M640" t="e">
            <v>#N/A</v>
          </cell>
          <cell r="N640" t="e">
            <v>#N/A</v>
          </cell>
          <cell r="O640" t="e">
            <v>#N/A</v>
          </cell>
          <cell r="P640">
            <v>55.39</v>
          </cell>
          <cell r="Q640" t="str">
            <v/>
          </cell>
          <cell r="R640" t="e">
            <v>#N/A</v>
          </cell>
        </row>
        <row r="641">
          <cell r="A641">
            <v>40142</v>
          </cell>
          <cell r="B641">
            <v>40142</v>
          </cell>
          <cell r="C641" t="str">
            <v>Future</v>
          </cell>
          <cell r="D641" t="e">
            <v>#N/A</v>
          </cell>
          <cell r="E641">
            <v>37.366269841269698</v>
          </cell>
          <cell r="F641">
            <v>58.517063492063201</v>
          </cell>
          <cell r="G641">
            <v>50.382142857142668</v>
          </cell>
          <cell r="H641">
            <v>50.382142857142668</v>
          </cell>
          <cell r="I641" t="e">
            <v>#N/A</v>
          </cell>
          <cell r="J641" t="e">
            <v>#N/A</v>
          </cell>
          <cell r="K641" t="e">
            <v>#N/A</v>
          </cell>
          <cell r="L641" t="e">
            <v>#N/A</v>
          </cell>
          <cell r="M641" t="e">
            <v>#N/A</v>
          </cell>
          <cell r="N641" t="e">
            <v>#N/A</v>
          </cell>
          <cell r="O641" t="e">
            <v>#N/A</v>
          </cell>
          <cell r="P641">
            <v>55.39</v>
          </cell>
          <cell r="Q641" t="str">
            <v/>
          </cell>
          <cell r="R641" t="e">
            <v>#N/A</v>
          </cell>
        </row>
        <row r="642">
          <cell r="A642">
            <v>40144</v>
          </cell>
          <cell r="B642">
            <v>40144</v>
          </cell>
          <cell r="C642" t="str">
            <v>Future</v>
          </cell>
          <cell r="D642" t="e">
            <v>#N/A</v>
          </cell>
          <cell r="E642">
            <v>37.146468253968109</v>
          </cell>
          <cell r="F642">
            <v>58.555198412698118</v>
          </cell>
          <cell r="G642">
            <v>50.321071428571237</v>
          </cell>
          <cell r="H642">
            <v>50.321071428571237</v>
          </cell>
          <cell r="I642" t="e">
            <v>#N/A</v>
          </cell>
          <cell r="J642" t="e">
            <v>#N/A</v>
          </cell>
          <cell r="K642" t="e">
            <v>#N/A</v>
          </cell>
          <cell r="L642" t="e">
            <v>#N/A</v>
          </cell>
          <cell r="M642" t="e">
            <v>#N/A</v>
          </cell>
          <cell r="N642" t="e">
            <v>#N/A</v>
          </cell>
          <cell r="O642" t="e">
            <v>#N/A</v>
          </cell>
          <cell r="P642">
            <v>55.39</v>
          </cell>
          <cell r="Q642" t="str">
            <v/>
          </cell>
          <cell r="R642" t="e">
            <v>#N/A</v>
          </cell>
        </row>
        <row r="643">
          <cell r="A643">
            <v>40147</v>
          </cell>
          <cell r="B643">
            <v>40147</v>
          </cell>
          <cell r="C643" t="str">
            <v>Future</v>
          </cell>
          <cell r="D643" t="e">
            <v>#N/A</v>
          </cell>
          <cell r="E643">
            <v>36.92666666666652</v>
          </cell>
          <cell r="F643">
            <v>58.593333333333035</v>
          </cell>
          <cell r="G643">
            <v>50.259999999999806</v>
          </cell>
          <cell r="H643">
            <v>50.259999999999806</v>
          </cell>
          <cell r="I643" t="e">
            <v>#N/A</v>
          </cell>
          <cell r="J643" t="e">
            <v>#N/A</v>
          </cell>
          <cell r="K643" t="e">
            <v>#N/A</v>
          </cell>
          <cell r="L643" t="e">
            <v>#N/A</v>
          </cell>
          <cell r="M643" t="e">
            <v>#N/A</v>
          </cell>
          <cell r="N643" t="e">
            <v>#N/A</v>
          </cell>
          <cell r="O643" t="e">
            <v>#N/A</v>
          </cell>
          <cell r="P643">
            <v>55.39</v>
          </cell>
          <cell r="Q643" t="str">
            <v/>
          </cell>
          <cell r="R643" t="e">
            <v>#N/A</v>
          </cell>
        </row>
        <row r="644">
          <cell r="A644">
            <v>40148</v>
          </cell>
          <cell r="B644">
            <v>40148</v>
          </cell>
          <cell r="C644" t="str">
            <v>Future</v>
          </cell>
          <cell r="D644" t="e">
            <v>#N/A</v>
          </cell>
          <cell r="E644">
            <v>36.706865079364931</v>
          </cell>
          <cell r="F644">
            <v>58.631468253967952</v>
          </cell>
          <cell r="G644">
            <v>50.198928571428375</v>
          </cell>
          <cell r="H644">
            <v>50.198928571428375</v>
          </cell>
          <cell r="I644" t="e">
            <v>#N/A</v>
          </cell>
          <cell r="J644" t="e">
            <v>#N/A</v>
          </cell>
          <cell r="K644" t="e">
            <v>#N/A</v>
          </cell>
          <cell r="L644" t="e">
            <v>#N/A</v>
          </cell>
          <cell r="M644" t="e">
            <v>#N/A</v>
          </cell>
          <cell r="N644" t="e">
            <v>#N/A</v>
          </cell>
          <cell r="O644" t="e">
            <v>#N/A</v>
          </cell>
          <cell r="P644">
            <v>55.39</v>
          </cell>
          <cell r="Q644" t="str">
            <v/>
          </cell>
          <cell r="R644" t="e">
            <v>#N/A</v>
          </cell>
        </row>
        <row r="645">
          <cell r="A645">
            <v>40149</v>
          </cell>
          <cell r="B645">
            <v>40149</v>
          </cell>
          <cell r="C645" t="str">
            <v>Future</v>
          </cell>
          <cell r="D645" t="e">
            <v>#N/A</v>
          </cell>
          <cell r="E645">
            <v>36.487063492063342</v>
          </cell>
          <cell r="F645">
            <v>58.669603174602869</v>
          </cell>
          <cell r="G645">
            <v>50.137857142856944</v>
          </cell>
          <cell r="H645">
            <v>50.137857142856944</v>
          </cell>
          <cell r="I645" t="e">
            <v>#N/A</v>
          </cell>
          <cell r="J645" t="e">
            <v>#N/A</v>
          </cell>
          <cell r="K645" t="e">
            <v>#N/A</v>
          </cell>
          <cell r="L645" t="e">
            <v>#N/A</v>
          </cell>
          <cell r="M645" t="e">
            <v>#N/A</v>
          </cell>
          <cell r="N645" t="e">
            <v>#N/A</v>
          </cell>
          <cell r="O645" t="e">
            <v>#N/A</v>
          </cell>
          <cell r="P645">
            <v>55.39</v>
          </cell>
          <cell r="Q645" t="str">
            <v/>
          </cell>
          <cell r="R645" t="e">
            <v>#N/A</v>
          </cell>
        </row>
        <row r="646">
          <cell r="A646">
            <v>40150</v>
          </cell>
          <cell r="B646">
            <v>40150</v>
          </cell>
          <cell r="C646" t="str">
            <v>Future</v>
          </cell>
          <cell r="D646" t="e">
            <v>#N/A</v>
          </cell>
          <cell r="E646">
            <v>36.267261904761753</v>
          </cell>
          <cell r="F646">
            <v>58.707738095237787</v>
          </cell>
          <cell r="G646">
            <v>50.076785714285514</v>
          </cell>
          <cell r="H646">
            <v>50.076785714285514</v>
          </cell>
          <cell r="I646" t="e">
            <v>#N/A</v>
          </cell>
          <cell r="J646" t="e">
            <v>#N/A</v>
          </cell>
          <cell r="K646" t="e">
            <v>#N/A</v>
          </cell>
          <cell r="L646" t="e">
            <v>#N/A</v>
          </cell>
          <cell r="M646" t="e">
            <v>#N/A</v>
          </cell>
          <cell r="N646" t="e">
            <v>#N/A</v>
          </cell>
          <cell r="O646" t="e">
            <v>#N/A</v>
          </cell>
          <cell r="P646">
            <v>55.39</v>
          </cell>
          <cell r="Q646" t="str">
            <v/>
          </cell>
          <cell r="R646" t="e">
            <v>#N/A</v>
          </cell>
        </row>
        <row r="647">
          <cell r="A647">
            <v>40151</v>
          </cell>
          <cell r="B647">
            <v>40151</v>
          </cell>
          <cell r="C647" t="str">
            <v>Future</v>
          </cell>
          <cell r="D647" t="e">
            <v>#N/A</v>
          </cell>
          <cell r="E647">
            <v>36.047460317460164</v>
          </cell>
          <cell r="F647">
            <v>58.745873015872704</v>
          </cell>
          <cell r="G647">
            <v>50.015714285714083</v>
          </cell>
          <cell r="H647">
            <v>50.015714285714083</v>
          </cell>
          <cell r="I647" t="e">
            <v>#N/A</v>
          </cell>
          <cell r="J647" t="e">
            <v>#N/A</v>
          </cell>
          <cell r="K647" t="e">
            <v>#N/A</v>
          </cell>
          <cell r="L647" t="e">
            <v>#N/A</v>
          </cell>
          <cell r="M647" t="e">
            <v>#N/A</v>
          </cell>
          <cell r="N647" t="e">
            <v>#N/A</v>
          </cell>
          <cell r="O647" t="e">
            <v>#N/A</v>
          </cell>
          <cell r="P647">
            <v>55.39</v>
          </cell>
          <cell r="Q647" t="str">
            <v/>
          </cell>
          <cell r="R647" t="e">
            <v>#N/A</v>
          </cell>
        </row>
        <row r="648">
          <cell r="A648">
            <v>40154</v>
          </cell>
          <cell r="B648">
            <v>40154</v>
          </cell>
          <cell r="C648" t="str">
            <v>Future</v>
          </cell>
          <cell r="D648" t="e">
            <v>#N/A</v>
          </cell>
          <cell r="E648">
            <v>35.827658730158575</v>
          </cell>
          <cell r="F648">
            <v>58.784007936507621</v>
          </cell>
          <cell r="G648">
            <v>49.954642857142652</v>
          </cell>
          <cell r="H648">
            <v>49.954642857142652</v>
          </cell>
          <cell r="I648" t="e">
            <v>#N/A</v>
          </cell>
          <cell r="J648" t="e">
            <v>#N/A</v>
          </cell>
          <cell r="K648" t="e">
            <v>#N/A</v>
          </cell>
          <cell r="L648" t="e">
            <v>#N/A</v>
          </cell>
          <cell r="M648" t="e">
            <v>#N/A</v>
          </cell>
          <cell r="N648" t="e">
            <v>#N/A</v>
          </cell>
          <cell r="O648" t="e">
            <v>#N/A</v>
          </cell>
          <cell r="P648">
            <v>55.39</v>
          </cell>
          <cell r="Q648" t="str">
            <v/>
          </cell>
          <cell r="R648" t="e">
            <v>#N/A</v>
          </cell>
        </row>
        <row r="649">
          <cell r="A649">
            <v>40155</v>
          </cell>
          <cell r="B649">
            <v>40155</v>
          </cell>
          <cell r="C649" t="str">
            <v>Future</v>
          </cell>
          <cell r="D649" t="e">
            <v>#N/A</v>
          </cell>
          <cell r="E649">
            <v>35.607857142856986</v>
          </cell>
          <cell r="F649">
            <v>58.822142857142538</v>
          </cell>
          <cell r="G649">
            <v>49.893571428571221</v>
          </cell>
          <cell r="H649">
            <v>49.893571428571221</v>
          </cell>
          <cell r="I649" t="e">
            <v>#N/A</v>
          </cell>
          <cell r="J649" t="e">
            <v>#N/A</v>
          </cell>
          <cell r="K649" t="e">
            <v>#N/A</v>
          </cell>
          <cell r="L649" t="e">
            <v>#N/A</v>
          </cell>
          <cell r="M649" t="e">
            <v>#N/A</v>
          </cell>
          <cell r="N649" t="e">
            <v>#N/A</v>
          </cell>
          <cell r="O649" t="e">
            <v>#N/A</v>
          </cell>
          <cell r="P649">
            <v>55.39</v>
          </cell>
          <cell r="Q649" t="str">
            <v/>
          </cell>
          <cell r="R649" t="e">
            <v>#N/A</v>
          </cell>
        </row>
        <row r="650">
          <cell r="A650">
            <v>40156</v>
          </cell>
          <cell r="B650">
            <v>40156</v>
          </cell>
          <cell r="C650" t="str">
            <v>Future</v>
          </cell>
          <cell r="D650" t="e">
            <v>#N/A</v>
          </cell>
          <cell r="E650">
            <v>35.388055555555397</v>
          </cell>
          <cell r="F650">
            <v>58.860277777777455</v>
          </cell>
          <cell r="G650">
            <v>49.83249999999979</v>
          </cell>
          <cell r="H650">
            <v>49.83249999999979</v>
          </cell>
          <cell r="I650" t="e">
            <v>#N/A</v>
          </cell>
          <cell r="J650" t="e">
            <v>#N/A</v>
          </cell>
          <cell r="K650" t="e">
            <v>#N/A</v>
          </cell>
          <cell r="L650" t="e">
            <v>#N/A</v>
          </cell>
          <cell r="M650" t="e">
            <v>#N/A</v>
          </cell>
          <cell r="N650" t="e">
            <v>#N/A</v>
          </cell>
          <cell r="O650" t="e">
            <v>#N/A</v>
          </cell>
          <cell r="P650">
            <v>55.39</v>
          </cell>
          <cell r="Q650" t="str">
            <v/>
          </cell>
          <cell r="R650" t="e">
            <v>#N/A</v>
          </cell>
        </row>
        <row r="651">
          <cell r="A651">
            <v>40157</v>
          </cell>
          <cell r="B651">
            <v>40157</v>
          </cell>
          <cell r="C651" t="str">
            <v>Future</v>
          </cell>
          <cell r="D651" t="e">
            <v>#N/A</v>
          </cell>
          <cell r="E651">
            <v>35.168253968253808</v>
          </cell>
          <cell r="F651">
            <v>58.898412698412372</v>
          </cell>
          <cell r="G651">
            <v>49.771428571428359</v>
          </cell>
          <cell r="H651">
            <v>49.771428571428359</v>
          </cell>
          <cell r="I651" t="e">
            <v>#N/A</v>
          </cell>
          <cell r="J651" t="e">
            <v>#N/A</v>
          </cell>
          <cell r="K651" t="e">
            <v>#N/A</v>
          </cell>
          <cell r="L651" t="e">
            <v>#N/A</v>
          </cell>
          <cell r="M651" t="e">
            <v>#N/A</v>
          </cell>
          <cell r="N651" t="e">
            <v>#N/A</v>
          </cell>
          <cell r="O651" t="e">
            <v>#N/A</v>
          </cell>
          <cell r="P651">
            <v>55.39</v>
          </cell>
          <cell r="Q651" t="str">
            <v/>
          </cell>
          <cell r="R651" t="e">
            <v>#N/A</v>
          </cell>
        </row>
        <row r="652">
          <cell r="A652">
            <v>40158</v>
          </cell>
          <cell r="B652">
            <v>40158</v>
          </cell>
          <cell r="C652" t="str">
            <v>Future</v>
          </cell>
          <cell r="D652" t="e">
            <v>#N/A</v>
          </cell>
          <cell r="E652">
            <v>34.948452380952219</v>
          </cell>
          <cell r="F652">
            <v>58.936547619047289</v>
          </cell>
          <cell r="G652">
            <v>49.710357142856928</v>
          </cell>
          <cell r="H652">
            <v>49.710357142856928</v>
          </cell>
          <cell r="I652" t="e">
            <v>#N/A</v>
          </cell>
          <cell r="J652" t="e">
            <v>#N/A</v>
          </cell>
          <cell r="K652" t="e">
            <v>#N/A</v>
          </cell>
          <cell r="L652" t="e">
            <v>#N/A</v>
          </cell>
          <cell r="M652" t="e">
            <v>#N/A</v>
          </cell>
          <cell r="N652" t="e">
            <v>#N/A</v>
          </cell>
          <cell r="O652" t="e">
            <v>#N/A</v>
          </cell>
          <cell r="P652">
            <v>55.39</v>
          </cell>
          <cell r="Q652" t="str">
            <v/>
          </cell>
          <cell r="R652" t="e">
            <v>#N/A</v>
          </cell>
        </row>
        <row r="653">
          <cell r="A653">
            <v>40161</v>
          </cell>
          <cell r="B653">
            <v>40161</v>
          </cell>
          <cell r="C653" t="str">
            <v>Future</v>
          </cell>
          <cell r="D653" t="e">
            <v>#N/A</v>
          </cell>
          <cell r="E653">
            <v>34.72865079365063</v>
          </cell>
          <cell r="F653">
            <v>58.974682539682206</v>
          </cell>
          <cell r="G653">
            <v>49.649285714285497</v>
          </cell>
          <cell r="H653">
            <v>49.649285714285497</v>
          </cell>
          <cell r="I653" t="e">
            <v>#N/A</v>
          </cell>
          <cell r="J653" t="e">
            <v>#N/A</v>
          </cell>
          <cell r="K653" t="e">
            <v>#N/A</v>
          </cell>
          <cell r="L653" t="e">
            <v>#N/A</v>
          </cell>
          <cell r="M653" t="e">
            <v>#N/A</v>
          </cell>
          <cell r="N653" t="e">
            <v>#N/A</v>
          </cell>
          <cell r="O653" t="e">
            <v>#N/A</v>
          </cell>
          <cell r="P653">
            <v>55.39</v>
          </cell>
          <cell r="Q653" t="str">
            <v/>
          </cell>
          <cell r="R653" t="e">
            <v>#N/A</v>
          </cell>
        </row>
        <row r="654">
          <cell r="A654">
            <v>40162</v>
          </cell>
          <cell r="B654">
            <v>40162</v>
          </cell>
          <cell r="C654" t="str">
            <v>Future</v>
          </cell>
          <cell r="D654" t="e">
            <v>#N/A</v>
          </cell>
          <cell r="E654">
            <v>34.508849206349041</v>
          </cell>
          <cell r="F654">
            <v>59.012817460317123</v>
          </cell>
          <cell r="G654">
            <v>49.588214285714066</v>
          </cell>
          <cell r="H654">
            <v>49.588214285714066</v>
          </cell>
          <cell r="I654" t="e">
            <v>#N/A</v>
          </cell>
          <cell r="J654" t="e">
            <v>#N/A</v>
          </cell>
          <cell r="K654" t="e">
            <v>#N/A</v>
          </cell>
          <cell r="L654" t="e">
            <v>#N/A</v>
          </cell>
          <cell r="M654" t="e">
            <v>#N/A</v>
          </cell>
          <cell r="N654" t="e">
            <v>#N/A</v>
          </cell>
          <cell r="O654" t="e">
            <v>#N/A</v>
          </cell>
          <cell r="P654">
            <v>55.39</v>
          </cell>
          <cell r="Q654" t="str">
            <v/>
          </cell>
          <cell r="R654" t="e">
            <v>#N/A</v>
          </cell>
        </row>
        <row r="655">
          <cell r="A655">
            <v>40163</v>
          </cell>
          <cell r="B655">
            <v>40163</v>
          </cell>
          <cell r="C655" t="str">
            <v>Future</v>
          </cell>
          <cell r="D655" t="e">
            <v>#N/A</v>
          </cell>
          <cell r="E655">
            <v>34.289047619047452</v>
          </cell>
          <cell r="F655">
            <v>59.05095238095204</v>
          </cell>
          <cell r="G655">
            <v>49.527142857142636</v>
          </cell>
          <cell r="H655">
            <v>49.527142857142636</v>
          </cell>
          <cell r="I655" t="e">
            <v>#N/A</v>
          </cell>
          <cell r="J655" t="e">
            <v>#N/A</v>
          </cell>
          <cell r="K655" t="e">
            <v>#N/A</v>
          </cell>
          <cell r="L655" t="e">
            <v>#N/A</v>
          </cell>
          <cell r="M655" t="e">
            <v>#N/A</v>
          </cell>
          <cell r="N655" t="e">
            <v>#N/A</v>
          </cell>
          <cell r="O655" t="e">
            <v>#N/A</v>
          </cell>
          <cell r="P655">
            <v>55.39</v>
          </cell>
          <cell r="Q655" t="str">
            <v/>
          </cell>
          <cell r="R655" t="e">
            <v>#N/A</v>
          </cell>
        </row>
        <row r="656">
          <cell r="A656">
            <v>40164</v>
          </cell>
          <cell r="B656">
            <v>40164</v>
          </cell>
          <cell r="C656" t="str">
            <v>Future</v>
          </cell>
          <cell r="D656" t="e">
            <v>#N/A</v>
          </cell>
          <cell r="E656">
            <v>34.069246031745863</v>
          </cell>
          <cell r="F656">
            <v>59.089087301586957</v>
          </cell>
          <cell r="G656">
            <v>49.466071428571205</v>
          </cell>
          <cell r="H656">
            <v>49.466071428571205</v>
          </cell>
          <cell r="I656" t="e">
            <v>#N/A</v>
          </cell>
          <cell r="J656" t="e">
            <v>#N/A</v>
          </cell>
          <cell r="K656" t="e">
            <v>#N/A</v>
          </cell>
          <cell r="L656" t="e">
            <v>#N/A</v>
          </cell>
          <cell r="M656" t="e">
            <v>#N/A</v>
          </cell>
          <cell r="N656" t="e">
            <v>#N/A</v>
          </cell>
          <cell r="O656" t="e">
            <v>#N/A</v>
          </cell>
          <cell r="P656">
            <v>55.39</v>
          </cell>
          <cell r="Q656" t="str">
            <v/>
          </cell>
          <cell r="R656" t="e">
            <v>#N/A</v>
          </cell>
        </row>
        <row r="657">
          <cell r="A657">
            <v>40165</v>
          </cell>
          <cell r="B657">
            <v>40165</v>
          </cell>
          <cell r="C657" t="str">
            <v>Future</v>
          </cell>
          <cell r="D657" t="e">
            <v>#N/A</v>
          </cell>
          <cell r="E657">
            <v>33.849444444444273</v>
          </cell>
          <cell r="F657">
            <v>59.127222222221874</v>
          </cell>
          <cell r="G657">
            <v>49.404999999999774</v>
          </cell>
          <cell r="H657">
            <v>49.404999999999774</v>
          </cell>
          <cell r="I657" t="e">
            <v>#N/A</v>
          </cell>
          <cell r="J657" t="e">
            <v>#N/A</v>
          </cell>
          <cell r="K657" t="e">
            <v>#N/A</v>
          </cell>
          <cell r="L657" t="e">
            <v>#N/A</v>
          </cell>
          <cell r="M657" t="e">
            <v>#N/A</v>
          </cell>
          <cell r="N657" t="e">
            <v>#N/A</v>
          </cell>
          <cell r="O657" t="e">
            <v>#N/A</v>
          </cell>
          <cell r="P657">
            <v>55.39</v>
          </cell>
          <cell r="Q657" t="str">
            <v/>
          </cell>
          <cell r="R657" t="e">
            <v>#N/A</v>
          </cell>
        </row>
        <row r="658">
          <cell r="A658">
            <v>40168</v>
          </cell>
          <cell r="B658">
            <v>40168</v>
          </cell>
          <cell r="C658" t="str">
            <v>Future</v>
          </cell>
          <cell r="D658" t="e">
            <v>#N/A</v>
          </cell>
          <cell r="E658">
            <v>33.629642857142684</v>
          </cell>
          <cell r="F658">
            <v>59.165357142856791</v>
          </cell>
          <cell r="G658">
            <v>49.343928571428343</v>
          </cell>
          <cell r="H658">
            <v>49.343928571428343</v>
          </cell>
          <cell r="I658" t="e">
            <v>#N/A</v>
          </cell>
          <cell r="J658" t="e">
            <v>#N/A</v>
          </cell>
          <cell r="K658" t="e">
            <v>#N/A</v>
          </cell>
          <cell r="L658" t="e">
            <v>#N/A</v>
          </cell>
          <cell r="M658" t="e">
            <v>#N/A</v>
          </cell>
          <cell r="N658" t="e">
            <v>#N/A</v>
          </cell>
          <cell r="O658" t="e">
            <v>#N/A</v>
          </cell>
          <cell r="P658">
            <v>55.39</v>
          </cell>
          <cell r="Q658" t="str">
            <v/>
          </cell>
          <cell r="R658" t="e">
            <v>#N/A</v>
          </cell>
        </row>
        <row r="659">
          <cell r="A659">
            <v>40169</v>
          </cell>
          <cell r="B659">
            <v>40169</v>
          </cell>
          <cell r="C659" t="str">
            <v>Future</v>
          </cell>
          <cell r="D659" t="e">
            <v>#N/A</v>
          </cell>
          <cell r="E659">
            <v>33.409841269841095</v>
          </cell>
          <cell r="F659">
            <v>59.203492063491709</v>
          </cell>
          <cell r="G659">
            <v>49.282857142856912</v>
          </cell>
          <cell r="H659">
            <v>49.282857142856912</v>
          </cell>
          <cell r="I659" t="e">
            <v>#N/A</v>
          </cell>
          <cell r="J659" t="e">
            <v>#N/A</v>
          </cell>
          <cell r="K659" t="e">
            <v>#N/A</v>
          </cell>
          <cell r="L659" t="e">
            <v>#N/A</v>
          </cell>
          <cell r="M659" t="e">
            <v>#N/A</v>
          </cell>
          <cell r="N659" t="e">
            <v>#N/A</v>
          </cell>
          <cell r="O659" t="e">
            <v>#N/A</v>
          </cell>
          <cell r="P659">
            <v>55.39</v>
          </cell>
          <cell r="Q659" t="str">
            <v/>
          </cell>
          <cell r="R659" t="e">
            <v>#N/A</v>
          </cell>
        </row>
        <row r="660">
          <cell r="A660">
            <v>40170</v>
          </cell>
          <cell r="B660">
            <v>40170</v>
          </cell>
          <cell r="C660" t="str">
            <v>Future</v>
          </cell>
          <cell r="D660" t="e">
            <v>#N/A</v>
          </cell>
          <cell r="E660">
            <v>33.190039682539506</v>
          </cell>
          <cell r="F660">
            <v>59.241626984126626</v>
          </cell>
          <cell r="G660">
            <v>49.221785714285481</v>
          </cell>
          <cell r="H660">
            <v>49.221785714285481</v>
          </cell>
          <cell r="I660" t="e">
            <v>#N/A</v>
          </cell>
          <cell r="J660" t="e">
            <v>#N/A</v>
          </cell>
          <cell r="K660" t="e">
            <v>#N/A</v>
          </cell>
          <cell r="L660" t="e">
            <v>#N/A</v>
          </cell>
          <cell r="M660" t="e">
            <v>#N/A</v>
          </cell>
          <cell r="N660" t="e">
            <v>#N/A</v>
          </cell>
          <cell r="O660" t="e">
            <v>#N/A</v>
          </cell>
          <cell r="P660">
            <v>55.39</v>
          </cell>
          <cell r="Q660" t="str">
            <v/>
          </cell>
          <cell r="R660" t="e">
            <v>#N/A</v>
          </cell>
        </row>
        <row r="661">
          <cell r="A661">
            <v>40171</v>
          </cell>
          <cell r="B661">
            <v>40171</v>
          </cell>
          <cell r="C661" t="str">
            <v>Future</v>
          </cell>
          <cell r="D661" t="e">
            <v>#N/A</v>
          </cell>
          <cell r="E661">
            <v>32.970238095237917</v>
          </cell>
          <cell r="F661">
            <v>59.279761904761543</v>
          </cell>
          <cell r="G661">
            <v>49.16071428571405</v>
          </cell>
          <cell r="H661">
            <v>49.16071428571405</v>
          </cell>
          <cell r="I661" t="e">
            <v>#N/A</v>
          </cell>
          <cell r="J661" t="e">
            <v>#N/A</v>
          </cell>
          <cell r="K661" t="e">
            <v>#N/A</v>
          </cell>
          <cell r="L661" t="e">
            <v>#N/A</v>
          </cell>
          <cell r="M661" t="e">
            <v>#N/A</v>
          </cell>
          <cell r="N661" t="e">
            <v>#N/A</v>
          </cell>
          <cell r="O661" t="e">
            <v>#N/A</v>
          </cell>
          <cell r="P661">
            <v>55.39</v>
          </cell>
          <cell r="Q661" t="str">
            <v/>
          </cell>
          <cell r="R661" t="e">
            <v>#N/A</v>
          </cell>
        </row>
        <row r="662">
          <cell r="A662">
            <v>40175</v>
          </cell>
          <cell r="B662">
            <v>40175</v>
          </cell>
          <cell r="C662" t="str">
            <v>Future</v>
          </cell>
          <cell r="D662" t="e">
            <v>#N/A</v>
          </cell>
          <cell r="E662">
            <v>32.750436507936328</v>
          </cell>
          <cell r="F662">
            <v>59.31789682539646</v>
          </cell>
          <cell r="G662">
            <v>49.099642857142619</v>
          </cell>
          <cell r="H662">
            <v>49.099642857142619</v>
          </cell>
          <cell r="I662" t="e">
            <v>#N/A</v>
          </cell>
          <cell r="J662" t="e">
            <v>#N/A</v>
          </cell>
          <cell r="K662" t="e">
            <v>#N/A</v>
          </cell>
          <cell r="L662" t="e">
            <v>#N/A</v>
          </cell>
          <cell r="M662" t="e">
            <v>#N/A</v>
          </cell>
          <cell r="N662" t="e">
            <v>#N/A</v>
          </cell>
          <cell r="O662" t="e">
            <v>#N/A</v>
          </cell>
          <cell r="P662">
            <v>55.39</v>
          </cell>
          <cell r="Q662" t="str">
            <v/>
          </cell>
          <cell r="R662" t="e">
            <v>#N/A</v>
          </cell>
        </row>
        <row r="663">
          <cell r="A663">
            <v>40176</v>
          </cell>
          <cell r="B663">
            <v>40176</v>
          </cell>
          <cell r="C663" t="str">
            <v>Future</v>
          </cell>
          <cell r="D663" t="e">
            <v>#N/A</v>
          </cell>
          <cell r="E663">
            <v>32.530634920634739</v>
          </cell>
          <cell r="F663">
            <v>59.356031746031377</v>
          </cell>
          <cell r="G663">
            <v>49.038571428571188</v>
          </cell>
          <cell r="H663">
            <v>49.038571428571188</v>
          </cell>
          <cell r="I663" t="e">
            <v>#N/A</v>
          </cell>
          <cell r="J663" t="e">
            <v>#N/A</v>
          </cell>
          <cell r="K663" t="e">
            <v>#N/A</v>
          </cell>
          <cell r="L663" t="e">
            <v>#N/A</v>
          </cell>
          <cell r="M663" t="e">
            <v>#N/A</v>
          </cell>
          <cell r="N663" t="e">
            <v>#N/A</v>
          </cell>
          <cell r="O663" t="e">
            <v>#N/A</v>
          </cell>
          <cell r="P663">
            <v>55.39</v>
          </cell>
          <cell r="Q663" t="str">
            <v/>
          </cell>
          <cell r="R663" t="e">
            <v>#N/A</v>
          </cell>
        </row>
        <row r="664">
          <cell r="A664">
            <v>40177</v>
          </cell>
          <cell r="B664">
            <v>40177</v>
          </cell>
          <cell r="C664" t="str">
            <v>Future</v>
          </cell>
          <cell r="D664" t="e">
            <v>#N/A</v>
          </cell>
          <cell r="E664">
            <v>32.31083333333315</v>
          </cell>
          <cell r="F664">
            <v>59.394166666666294</v>
          </cell>
          <cell r="G664">
            <v>48.977499999999758</v>
          </cell>
          <cell r="H664">
            <v>48.977499999999758</v>
          </cell>
          <cell r="I664" t="e">
            <v>#N/A</v>
          </cell>
          <cell r="J664" t="e">
            <v>#N/A</v>
          </cell>
          <cell r="K664" t="e">
            <v>#N/A</v>
          </cell>
          <cell r="L664" t="e">
            <v>#N/A</v>
          </cell>
          <cell r="M664" t="e">
            <v>#N/A</v>
          </cell>
          <cell r="N664" t="e">
            <v>#N/A</v>
          </cell>
          <cell r="O664" t="e">
            <v>#N/A</v>
          </cell>
          <cell r="P664">
            <v>55.39</v>
          </cell>
          <cell r="Q664" t="str">
            <v/>
          </cell>
          <cell r="R664" t="e">
            <v>#N/A</v>
          </cell>
        </row>
        <row r="665">
          <cell r="A665">
            <v>40178</v>
          </cell>
          <cell r="B665">
            <v>40178</v>
          </cell>
          <cell r="C665" t="str">
            <v>Future</v>
          </cell>
          <cell r="D665" t="e">
            <v>#N/A</v>
          </cell>
          <cell r="E665">
            <v>32.091031746031561</v>
          </cell>
          <cell r="F665">
            <v>59.432301587301211</v>
          </cell>
          <cell r="G665">
            <v>48.916428571428327</v>
          </cell>
          <cell r="H665">
            <v>48.916428571428327</v>
          </cell>
          <cell r="I665" t="e">
            <v>#N/A</v>
          </cell>
          <cell r="J665" t="e">
            <v>#N/A</v>
          </cell>
          <cell r="K665" t="e">
            <v>#N/A</v>
          </cell>
          <cell r="L665" t="e">
            <v>#N/A</v>
          </cell>
          <cell r="M665" t="e">
            <v>#N/A</v>
          </cell>
          <cell r="N665" t="e">
            <v>#N/A</v>
          </cell>
          <cell r="O665" t="e">
            <v>#N/A</v>
          </cell>
          <cell r="P665">
            <v>55.39</v>
          </cell>
          <cell r="Q665" t="str">
            <v/>
          </cell>
          <cell r="R665" t="e">
            <v>#N/A</v>
          </cell>
        </row>
        <row r="666">
          <cell r="A666">
            <v>40182</v>
          </cell>
          <cell r="B666">
            <v>40182</v>
          </cell>
          <cell r="C666" t="str">
            <v>Future</v>
          </cell>
          <cell r="D666" t="e">
            <v>#N/A</v>
          </cell>
          <cell r="E666">
            <v>31.871230158729972</v>
          </cell>
          <cell r="F666">
            <v>59.470436507936128</v>
          </cell>
          <cell r="G666">
            <v>48.855357142856896</v>
          </cell>
          <cell r="H666">
            <v>48.855357142856896</v>
          </cell>
          <cell r="I666" t="e">
            <v>#N/A</v>
          </cell>
          <cell r="J666" t="e">
            <v>#N/A</v>
          </cell>
          <cell r="K666" t="e">
            <v>#N/A</v>
          </cell>
          <cell r="L666" t="e">
            <v>#N/A</v>
          </cell>
          <cell r="M666" t="e">
            <v>#N/A</v>
          </cell>
          <cell r="N666" t="e">
            <v>#N/A</v>
          </cell>
          <cell r="O666" t="e">
            <v>#N/A</v>
          </cell>
          <cell r="P666">
            <v>55.39</v>
          </cell>
          <cell r="Q666" t="str">
            <v/>
          </cell>
          <cell r="R666" t="e">
            <v>#N/A</v>
          </cell>
        </row>
        <row r="667">
          <cell r="A667">
            <v>40183</v>
          </cell>
          <cell r="B667">
            <v>40183</v>
          </cell>
          <cell r="C667" t="str">
            <v>Future</v>
          </cell>
          <cell r="D667" t="e">
            <v>#N/A</v>
          </cell>
          <cell r="E667">
            <v>31.651428571428383</v>
          </cell>
          <cell r="F667">
            <v>59.508571428571045</v>
          </cell>
          <cell r="G667">
            <v>48.794285714285465</v>
          </cell>
          <cell r="H667">
            <v>48.794285714285465</v>
          </cell>
          <cell r="I667" t="e">
            <v>#N/A</v>
          </cell>
          <cell r="J667" t="e">
            <v>#N/A</v>
          </cell>
          <cell r="K667" t="e">
            <v>#N/A</v>
          </cell>
          <cell r="L667" t="e">
            <v>#N/A</v>
          </cell>
          <cell r="M667" t="e">
            <v>#N/A</v>
          </cell>
          <cell r="N667" t="e">
            <v>#N/A</v>
          </cell>
          <cell r="O667" t="e">
            <v>#N/A</v>
          </cell>
          <cell r="P667">
            <v>55.39</v>
          </cell>
          <cell r="Q667" t="str">
            <v/>
          </cell>
          <cell r="R667" t="e">
            <v>#N/A</v>
          </cell>
        </row>
        <row r="668">
          <cell r="A668">
            <v>40184</v>
          </cell>
          <cell r="B668">
            <v>40184</v>
          </cell>
          <cell r="C668" t="str">
            <v>Future</v>
          </cell>
          <cell r="D668" t="e">
            <v>#N/A</v>
          </cell>
          <cell r="E668">
            <v>31.431626984126794</v>
          </cell>
          <cell r="F668">
            <v>59.546706349205962</v>
          </cell>
          <cell r="G668">
            <v>48.733214285714034</v>
          </cell>
          <cell r="H668">
            <v>48.733214285714034</v>
          </cell>
          <cell r="I668" t="e">
            <v>#N/A</v>
          </cell>
          <cell r="J668" t="e">
            <v>#N/A</v>
          </cell>
          <cell r="K668" t="e">
            <v>#N/A</v>
          </cell>
          <cell r="L668" t="e">
            <v>#N/A</v>
          </cell>
          <cell r="M668" t="e">
            <v>#N/A</v>
          </cell>
          <cell r="N668" t="e">
            <v>#N/A</v>
          </cell>
          <cell r="O668" t="e">
            <v>#N/A</v>
          </cell>
          <cell r="P668">
            <v>55.39</v>
          </cell>
          <cell r="Q668" t="str">
            <v/>
          </cell>
          <cell r="R668" t="e">
            <v>#N/A</v>
          </cell>
        </row>
        <row r="669">
          <cell r="A669">
            <v>40185</v>
          </cell>
          <cell r="B669">
            <v>40185</v>
          </cell>
          <cell r="C669" t="str">
            <v>Future</v>
          </cell>
          <cell r="D669" t="e">
            <v>#N/A</v>
          </cell>
          <cell r="E669">
            <v>31.211825396825205</v>
          </cell>
          <cell r="F669">
            <v>59.584841269840879</v>
          </cell>
          <cell r="G669">
            <v>48.672142857142603</v>
          </cell>
          <cell r="H669">
            <v>48.672142857142603</v>
          </cell>
          <cell r="I669" t="e">
            <v>#N/A</v>
          </cell>
          <cell r="J669" t="e">
            <v>#N/A</v>
          </cell>
          <cell r="K669" t="e">
            <v>#N/A</v>
          </cell>
          <cell r="L669" t="e">
            <v>#N/A</v>
          </cell>
          <cell r="M669" t="e">
            <v>#N/A</v>
          </cell>
          <cell r="N669" t="e">
            <v>#N/A</v>
          </cell>
          <cell r="O669" t="e">
            <v>#N/A</v>
          </cell>
          <cell r="P669">
            <v>55.39</v>
          </cell>
          <cell r="Q669" t="str">
            <v/>
          </cell>
          <cell r="R669" t="e">
            <v>#N/A</v>
          </cell>
        </row>
        <row r="670">
          <cell r="A670">
            <v>40186</v>
          </cell>
          <cell r="B670">
            <v>40186</v>
          </cell>
          <cell r="C670" t="str">
            <v>Future</v>
          </cell>
          <cell r="D670" t="e">
            <v>#N/A</v>
          </cell>
          <cell r="E670">
            <v>30.992023809523616</v>
          </cell>
          <cell r="F670">
            <v>59.622976190475796</v>
          </cell>
          <cell r="G670">
            <v>48.611071428571172</v>
          </cell>
          <cell r="H670">
            <v>48.611071428571172</v>
          </cell>
          <cell r="I670" t="e">
            <v>#N/A</v>
          </cell>
          <cell r="J670" t="e">
            <v>#N/A</v>
          </cell>
          <cell r="K670" t="e">
            <v>#N/A</v>
          </cell>
          <cell r="L670" t="e">
            <v>#N/A</v>
          </cell>
          <cell r="M670" t="e">
            <v>#N/A</v>
          </cell>
          <cell r="N670" t="e">
            <v>#N/A</v>
          </cell>
          <cell r="O670" t="e">
            <v>#N/A</v>
          </cell>
          <cell r="P670">
            <v>55.39</v>
          </cell>
          <cell r="Q670" t="str">
            <v/>
          </cell>
          <cell r="R670" t="e">
            <v>#N/A</v>
          </cell>
        </row>
        <row r="671">
          <cell r="A671">
            <v>40189</v>
          </cell>
          <cell r="B671">
            <v>40189</v>
          </cell>
          <cell r="C671" t="str">
            <v>Future</v>
          </cell>
          <cell r="D671" t="e">
            <v>#N/A</v>
          </cell>
          <cell r="E671">
            <v>30.772222222222027</v>
          </cell>
          <cell r="F671">
            <v>59.661111111110714</v>
          </cell>
          <cell r="G671">
            <v>48.549999999999741</v>
          </cell>
          <cell r="H671">
            <v>48.549999999999741</v>
          </cell>
          <cell r="I671" t="e">
            <v>#N/A</v>
          </cell>
          <cell r="J671" t="e">
            <v>#N/A</v>
          </cell>
          <cell r="K671" t="e">
            <v>#N/A</v>
          </cell>
          <cell r="L671" t="e">
            <v>#N/A</v>
          </cell>
          <cell r="M671" t="e">
            <v>#N/A</v>
          </cell>
          <cell r="N671" t="e">
            <v>#N/A</v>
          </cell>
          <cell r="O671" t="e">
            <v>#N/A</v>
          </cell>
          <cell r="P671">
            <v>55.39</v>
          </cell>
          <cell r="Q671" t="str">
            <v/>
          </cell>
          <cell r="R671" t="e">
            <v>#N/A</v>
          </cell>
        </row>
        <row r="672">
          <cell r="A672">
            <v>40190</v>
          </cell>
          <cell r="B672">
            <v>40190</v>
          </cell>
          <cell r="C672" t="str">
            <v>Future</v>
          </cell>
          <cell r="D672" t="e">
            <v>#N/A</v>
          </cell>
          <cell r="E672">
            <v>30.552420634920438</v>
          </cell>
          <cell r="F672">
            <v>59.699246031745631</v>
          </cell>
          <cell r="G672">
            <v>48.48892857142831</v>
          </cell>
          <cell r="H672">
            <v>48.48892857142831</v>
          </cell>
          <cell r="I672" t="e">
            <v>#N/A</v>
          </cell>
          <cell r="J672" t="e">
            <v>#N/A</v>
          </cell>
          <cell r="K672" t="e">
            <v>#N/A</v>
          </cell>
          <cell r="L672" t="e">
            <v>#N/A</v>
          </cell>
          <cell r="M672" t="e">
            <v>#N/A</v>
          </cell>
          <cell r="N672" t="e">
            <v>#N/A</v>
          </cell>
          <cell r="O672" t="e">
            <v>#N/A</v>
          </cell>
          <cell r="P672">
            <v>55.39</v>
          </cell>
          <cell r="Q672" t="str">
            <v/>
          </cell>
          <cell r="R672" t="e">
            <v>#N/A</v>
          </cell>
        </row>
        <row r="673">
          <cell r="A673">
            <v>40191</v>
          </cell>
          <cell r="B673">
            <v>40191</v>
          </cell>
          <cell r="C673" t="str">
            <v>Future</v>
          </cell>
          <cell r="D673" t="e">
            <v>#N/A</v>
          </cell>
          <cell r="E673">
            <v>30.332619047618849</v>
          </cell>
          <cell r="F673">
            <v>59.737380952380548</v>
          </cell>
          <cell r="G673">
            <v>48.42785714285688</v>
          </cell>
          <cell r="H673">
            <v>48.42785714285688</v>
          </cell>
          <cell r="I673" t="e">
            <v>#N/A</v>
          </cell>
          <cell r="J673" t="e">
            <v>#N/A</v>
          </cell>
          <cell r="K673" t="e">
            <v>#N/A</v>
          </cell>
          <cell r="L673" t="e">
            <v>#N/A</v>
          </cell>
          <cell r="M673" t="e">
            <v>#N/A</v>
          </cell>
          <cell r="N673" t="e">
            <v>#N/A</v>
          </cell>
          <cell r="O673" t="e">
            <v>#N/A</v>
          </cell>
          <cell r="P673">
            <v>55.39</v>
          </cell>
          <cell r="Q673" t="str">
            <v/>
          </cell>
          <cell r="R673" t="e">
            <v>#N/A</v>
          </cell>
        </row>
        <row r="674">
          <cell r="A674">
            <v>40192</v>
          </cell>
          <cell r="B674">
            <v>40192</v>
          </cell>
          <cell r="C674" t="str">
            <v>Future</v>
          </cell>
          <cell r="D674" t="e">
            <v>#N/A</v>
          </cell>
          <cell r="E674">
            <v>30.11281746031726</v>
          </cell>
          <cell r="F674">
            <v>59.775515873015465</v>
          </cell>
          <cell r="G674">
            <v>48.366785714285449</v>
          </cell>
          <cell r="H674">
            <v>48.366785714285449</v>
          </cell>
          <cell r="I674" t="e">
            <v>#N/A</v>
          </cell>
          <cell r="J674" t="e">
            <v>#N/A</v>
          </cell>
          <cell r="K674" t="e">
            <v>#N/A</v>
          </cell>
          <cell r="L674" t="e">
            <v>#N/A</v>
          </cell>
          <cell r="M674" t="e">
            <v>#N/A</v>
          </cell>
          <cell r="N674" t="e">
            <v>#N/A</v>
          </cell>
          <cell r="O674" t="e">
            <v>#N/A</v>
          </cell>
          <cell r="P674">
            <v>55.39</v>
          </cell>
          <cell r="Q674" t="str">
            <v/>
          </cell>
          <cell r="R674" t="e">
            <v>#N/A</v>
          </cell>
        </row>
        <row r="675">
          <cell r="A675">
            <v>40193</v>
          </cell>
          <cell r="B675">
            <v>40193</v>
          </cell>
          <cell r="C675" t="str">
            <v>Future</v>
          </cell>
          <cell r="D675" t="e">
            <v>#N/A</v>
          </cell>
          <cell r="E675">
            <v>29.893015873015671</v>
          </cell>
          <cell r="F675">
            <v>59.813650793650382</v>
          </cell>
          <cell r="G675">
            <v>48.305714285714018</v>
          </cell>
          <cell r="H675">
            <v>48.305714285714018</v>
          </cell>
          <cell r="I675" t="e">
            <v>#N/A</v>
          </cell>
          <cell r="J675" t="e">
            <v>#N/A</v>
          </cell>
          <cell r="K675" t="e">
            <v>#N/A</v>
          </cell>
          <cell r="L675" t="e">
            <v>#N/A</v>
          </cell>
          <cell r="M675" t="e">
            <v>#N/A</v>
          </cell>
          <cell r="N675" t="e">
            <v>#N/A</v>
          </cell>
          <cell r="O675" t="e">
            <v>#N/A</v>
          </cell>
          <cell r="P675">
            <v>55.39</v>
          </cell>
          <cell r="Q675" t="str">
            <v/>
          </cell>
          <cell r="R675" t="e">
            <v>#N/A</v>
          </cell>
        </row>
        <row r="676">
          <cell r="A676">
            <v>40197</v>
          </cell>
          <cell r="B676">
            <v>40197</v>
          </cell>
          <cell r="C676" t="str">
            <v>Future</v>
          </cell>
          <cell r="D676" t="e">
            <v>#N/A</v>
          </cell>
          <cell r="E676">
            <v>29.673214285714081</v>
          </cell>
          <cell r="F676">
            <v>59.851785714285299</v>
          </cell>
          <cell r="G676">
            <v>48.244642857142587</v>
          </cell>
          <cell r="H676">
            <v>48.244642857142587</v>
          </cell>
          <cell r="I676" t="e">
            <v>#N/A</v>
          </cell>
          <cell r="J676" t="e">
            <v>#N/A</v>
          </cell>
          <cell r="K676" t="e">
            <v>#N/A</v>
          </cell>
          <cell r="L676" t="e">
            <v>#N/A</v>
          </cell>
          <cell r="M676" t="e">
            <v>#N/A</v>
          </cell>
          <cell r="N676" t="e">
            <v>#N/A</v>
          </cell>
          <cell r="O676" t="e">
            <v>#N/A</v>
          </cell>
          <cell r="P676">
            <v>55.39</v>
          </cell>
          <cell r="Q676" t="str">
            <v/>
          </cell>
          <cell r="R676" t="e">
            <v>#N/A</v>
          </cell>
        </row>
        <row r="677">
          <cell r="A677">
            <v>40198</v>
          </cell>
          <cell r="B677">
            <v>40198</v>
          </cell>
          <cell r="C677" t="str">
            <v>Future</v>
          </cell>
          <cell r="D677" t="e">
            <v>#N/A</v>
          </cell>
          <cell r="E677">
            <v>29.453412698412492</v>
          </cell>
          <cell r="F677">
            <v>59.889920634920216</v>
          </cell>
          <cell r="G677">
            <v>48.183571428571156</v>
          </cell>
          <cell r="H677">
            <v>48.183571428571156</v>
          </cell>
          <cell r="I677" t="e">
            <v>#N/A</v>
          </cell>
          <cell r="J677" t="e">
            <v>#N/A</v>
          </cell>
          <cell r="K677" t="e">
            <v>#N/A</v>
          </cell>
          <cell r="L677" t="e">
            <v>#N/A</v>
          </cell>
          <cell r="M677" t="e">
            <v>#N/A</v>
          </cell>
          <cell r="N677" t="e">
            <v>#N/A</v>
          </cell>
          <cell r="O677" t="e">
            <v>#N/A</v>
          </cell>
          <cell r="P677">
            <v>55.39</v>
          </cell>
          <cell r="Q677" t="str">
            <v/>
          </cell>
          <cell r="R677" t="e">
            <v>#N/A</v>
          </cell>
        </row>
        <row r="678">
          <cell r="A678">
            <v>40199</v>
          </cell>
          <cell r="B678">
            <v>40199</v>
          </cell>
          <cell r="C678" t="str">
            <v>Future</v>
          </cell>
          <cell r="D678" t="e">
            <v>#N/A</v>
          </cell>
          <cell r="E678">
            <v>29.233611111110903</v>
          </cell>
          <cell r="F678">
            <v>59.928055555555133</v>
          </cell>
          <cell r="G678">
            <v>48.122499999999725</v>
          </cell>
          <cell r="H678">
            <v>48.122499999999725</v>
          </cell>
          <cell r="I678" t="e">
            <v>#N/A</v>
          </cell>
          <cell r="J678" t="e">
            <v>#N/A</v>
          </cell>
          <cell r="K678" t="e">
            <v>#N/A</v>
          </cell>
          <cell r="L678" t="e">
            <v>#N/A</v>
          </cell>
          <cell r="M678" t="e">
            <v>#N/A</v>
          </cell>
          <cell r="N678" t="e">
            <v>#N/A</v>
          </cell>
          <cell r="O678" t="e">
            <v>#N/A</v>
          </cell>
          <cell r="P678">
            <v>55.39</v>
          </cell>
          <cell r="Q678" t="str">
            <v/>
          </cell>
          <cell r="R678" t="e">
            <v>#N/A</v>
          </cell>
        </row>
        <row r="679">
          <cell r="A679">
            <v>40200</v>
          </cell>
          <cell r="B679">
            <v>40200</v>
          </cell>
          <cell r="C679" t="str">
            <v>Future</v>
          </cell>
          <cell r="D679" t="e">
            <v>#N/A</v>
          </cell>
          <cell r="E679">
            <v>29.013809523809314</v>
          </cell>
          <cell r="F679">
            <v>59.96619047619005</v>
          </cell>
          <cell r="G679">
            <v>48.061428571428294</v>
          </cell>
          <cell r="H679">
            <v>48.061428571428294</v>
          </cell>
          <cell r="I679" t="e">
            <v>#N/A</v>
          </cell>
          <cell r="J679" t="e">
            <v>#N/A</v>
          </cell>
          <cell r="K679" t="e">
            <v>#N/A</v>
          </cell>
          <cell r="L679" t="e">
            <v>#N/A</v>
          </cell>
          <cell r="M679" t="e">
            <v>#N/A</v>
          </cell>
          <cell r="N679" t="e">
            <v>#N/A</v>
          </cell>
          <cell r="O679" t="e">
            <v>#N/A</v>
          </cell>
          <cell r="P679">
            <v>55.39</v>
          </cell>
          <cell r="Q679" t="str">
            <v/>
          </cell>
          <cell r="R679" t="e">
            <v>#N/A</v>
          </cell>
        </row>
        <row r="680">
          <cell r="A680">
            <v>40203</v>
          </cell>
          <cell r="B680">
            <v>40203</v>
          </cell>
          <cell r="C680" t="str">
            <v>Future</v>
          </cell>
          <cell r="D680" t="e">
            <v>#N/A</v>
          </cell>
          <cell r="E680">
            <v>28.794007936507725</v>
          </cell>
          <cell r="F680">
            <v>60.004325396824967</v>
          </cell>
          <cell r="G680">
            <v>48.000357142856863</v>
          </cell>
          <cell r="H680">
            <v>48.000357142856863</v>
          </cell>
          <cell r="I680" t="e">
            <v>#N/A</v>
          </cell>
          <cell r="J680" t="e">
            <v>#N/A</v>
          </cell>
          <cell r="K680" t="e">
            <v>#N/A</v>
          </cell>
          <cell r="L680" t="e">
            <v>#N/A</v>
          </cell>
          <cell r="M680" t="e">
            <v>#N/A</v>
          </cell>
          <cell r="N680" t="e">
            <v>#N/A</v>
          </cell>
          <cell r="O680" t="e">
            <v>#N/A</v>
          </cell>
          <cell r="P680">
            <v>55.39</v>
          </cell>
          <cell r="Q680" t="str">
            <v/>
          </cell>
          <cell r="R680" t="e">
            <v>#N/A</v>
          </cell>
        </row>
        <row r="681">
          <cell r="A681">
            <v>40204</v>
          </cell>
          <cell r="B681">
            <v>40204</v>
          </cell>
          <cell r="C681" t="str">
            <v>Future</v>
          </cell>
          <cell r="D681" t="e">
            <v>#N/A</v>
          </cell>
          <cell r="E681">
            <v>28.574206349206136</v>
          </cell>
          <cell r="F681">
            <v>60.042460317459884</v>
          </cell>
          <cell r="G681">
            <v>47.939285714285433</v>
          </cell>
          <cell r="H681">
            <v>47.939285714285433</v>
          </cell>
          <cell r="I681" t="e">
            <v>#N/A</v>
          </cell>
          <cell r="J681" t="e">
            <v>#N/A</v>
          </cell>
          <cell r="K681" t="e">
            <v>#N/A</v>
          </cell>
          <cell r="L681" t="e">
            <v>#N/A</v>
          </cell>
          <cell r="M681" t="e">
            <v>#N/A</v>
          </cell>
          <cell r="N681" t="e">
            <v>#N/A</v>
          </cell>
          <cell r="O681" t="e">
            <v>#N/A</v>
          </cell>
          <cell r="P681">
            <v>55.39</v>
          </cell>
          <cell r="Q681" t="str">
            <v/>
          </cell>
          <cell r="R681" t="e">
            <v>#N/A</v>
          </cell>
        </row>
        <row r="682">
          <cell r="A682">
            <v>40205</v>
          </cell>
          <cell r="B682">
            <v>40205</v>
          </cell>
          <cell r="C682" t="str">
            <v>Future</v>
          </cell>
          <cell r="D682" t="e">
            <v>#N/A</v>
          </cell>
          <cell r="E682">
            <v>28.354404761904547</v>
          </cell>
          <cell r="F682">
            <v>60.080595238094801</v>
          </cell>
          <cell r="G682">
            <v>47.878214285714002</v>
          </cell>
          <cell r="H682">
            <v>47.878214285714002</v>
          </cell>
          <cell r="I682" t="e">
            <v>#N/A</v>
          </cell>
          <cell r="J682" t="e">
            <v>#N/A</v>
          </cell>
          <cell r="K682" t="e">
            <v>#N/A</v>
          </cell>
          <cell r="L682" t="e">
            <v>#N/A</v>
          </cell>
          <cell r="M682" t="e">
            <v>#N/A</v>
          </cell>
          <cell r="N682" t="e">
            <v>#N/A</v>
          </cell>
          <cell r="O682" t="e">
            <v>#N/A</v>
          </cell>
          <cell r="P682">
            <v>55.39</v>
          </cell>
          <cell r="Q682" t="str">
            <v/>
          </cell>
          <cell r="R682" t="e">
            <v>#N/A</v>
          </cell>
        </row>
        <row r="683">
          <cell r="A683">
            <v>40206</v>
          </cell>
          <cell r="B683">
            <v>40206</v>
          </cell>
          <cell r="C683" t="str">
            <v>Future</v>
          </cell>
          <cell r="D683" t="e">
            <v>#N/A</v>
          </cell>
          <cell r="E683">
            <v>28.134603174602958</v>
          </cell>
          <cell r="F683">
            <v>60.118730158729718</v>
          </cell>
          <cell r="G683">
            <v>47.817142857142571</v>
          </cell>
          <cell r="H683">
            <v>47.817142857142571</v>
          </cell>
          <cell r="I683" t="e">
            <v>#N/A</v>
          </cell>
          <cell r="J683" t="e">
            <v>#N/A</v>
          </cell>
          <cell r="K683" t="e">
            <v>#N/A</v>
          </cell>
          <cell r="L683" t="e">
            <v>#N/A</v>
          </cell>
          <cell r="M683" t="e">
            <v>#N/A</v>
          </cell>
          <cell r="N683" t="e">
            <v>#N/A</v>
          </cell>
          <cell r="O683" t="e">
            <v>#N/A</v>
          </cell>
          <cell r="P683">
            <v>55.39</v>
          </cell>
          <cell r="Q683" t="str">
            <v/>
          </cell>
          <cell r="R683" t="e">
            <v>#N/A</v>
          </cell>
        </row>
        <row r="684">
          <cell r="A684">
            <v>40207</v>
          </cell>
          <cell r="B684">
            <v>40207</v>
          </cell>
          <cell r="C684" t="str">
            <v>Future</v>
          </cell>
          <cell r="D684" t="e">
            <v>#N/A</v>
          </cell>
          <cell r="E684">
            <v>27.914801587301369</v>
          </cell>
          <cell r="F684">
            <v>60.156865079364636</v>
          </cell>
          <cell r="G684">
            <v>47.75607142857114</v>
          </cell>
          <cell r="H684">
            <v>47.75607142857114</v>
          </cell>
          <cell r="I684" t="e">
            <v>#N/A</v>
          </cell>
          <cell r="J684" t="e">
            <v>#N/A</v>
          </cell>
          <cell r="K684" t="e">
            <v>#N/A</v>
          </cell>
          <cell r="L684" t="e">
            <v>#N/A</v>
          </cell>
          <cell r="M684" t="e">
            <v>#N/A</v>
          </cell>
          <cell r="N684" t="e">
            <v>#N/A</v>
          </cell>
          <cell r="O684" t="e">
            <v>#N/A</v>
          </cell>
          <cell r="P684">
            <v>55.39</v>
          </cell>
          <cell r="Q684" t="str">
            <v/>
          </cell>
          <cell r="R684" t="e">
            <v>#N/A</v>
          </cell>
        </row>
        <row r="685">
          <cell r="A685">
            <v>40210</v>
          </cell>
          <cell r="B685">
            <v>40210</v>
          </cell>
          <cell r="C685" t="str">
            <v>Future</v>
          </cell>
          <cell r="D685" t="e">
            <v>#N/A</v>
          </cell>
          <cell r="E685">
            <v>27.69499999999978</v>
          </cell>
          <cell r="F685">
            <v>60.194999999999553</v>
          </cell>
          <cell r="G685">
            <v>47.694999999999709</v>
          </cell>
          <cell r="H685">
            <v>47.694999999999709</v>
          </cell>
          <cell r="I685" t="e">
            <v>#N/A</v>
          </cell>
          <cell r="J685" t="e">
            <v>#N/A</v>
          </cell>
          <cell r="K685" t="e">
            <v>#N/A</v>
          </cell>
          <cell r="L685" t="e">
            <v>#N/A</v>
          </cell>
          <cell r="M685" t="e">
            <v>#N/A</v>
          </cell>
          <cell r="N685" t="e">
            <v>#N/A</v>
          </cell>
          <cell r="O685" t="e">
            <v>#N/A</v>
          </cell>
          <cell r="P685">
            <v>55.39</v>
          </cell>
          <cell r="Q685" t="str">
            <v/>
          </cell>
          <cell r="R685" t="e">
            <v>#N/A</v>
          </cell>
        </row>
        <row r="686">
          <cell r="A686">
            <v>40211</v>
          </cell>
          <cell r="B686">
            <v>40211</v>
          </cell>
          <cell r="C686" t="str">
            <v>Future</v>
          </cell>
          <cell r="D686" t="e">
            <v>#N/A</v>
          </cell>
          <cell r="E686">
            <v>27.475198412698191</v>
          </cell>
          <cell r="F686">
            <v>60.23313492063447</v>
          </cell>
          <cell r="G686">
            <v>47.633928571428278</v>
          </cell>
          <cell r="H686">
            <v>47.633928571428278</v>
          </cell>
          <cell r="I686" t="e">
            <v>#N/A</v>
          </cell>
          <cell r="J686" t="e">
            <v>#N/A</v>
          </cell>
          <cell r="K686" t="e">
            <v>#N/A</v>
          </cell>
          <cell r="L686" t="e">
            <v>#N/A</v>
          </cell>
          <cell r="M686" t="e">
            <v>#N/A</v>
          </cell>
          <cell r="N686" t="e">
            <v>#N/A</v>
          </cell>
          <cell r="O686" t="e">
            <v>#N/A</v>
          </cell>
          <cell r="P686">
            <v>55.39</v>
          </cell>
          <cell r="Q686" t="str">
            <v/>
          </cell>
          <cell r="R686" t="e">
            <v>#N/A</v>
          </cell>
        </row>
        <row r="687">
          <cell r="A687">
            <v>40212</v>
          </cell>
          <cell r="B687">
            <v>40212</v>
          </cell>
          <cell r="C687" t="str">
            <v>Future</v>
          </cell>
          <cell r="D687" t="e">
            <v>#N/A</v>
          </cell>
          <cell r="E687">
            <v>27.255396825396602</v>
          </cell>
          <cell r="F687">
            <v>60.271269841269387</v>
          </cell>
          <cell r="G687">
            <v>47.572857142856847</v>
          </cell>
          <cell r="H687">
            <v>47.572857142856847</v>
          </cell>
          <cell r="I687" t="e">
            <v>#N/A</v>
          </cell>
          <cell r="J687" t="e">
            <v>#N/A</v>
          </cell>
          <cell r="K687" t="e">
            <v>#N/A</v>
          </cell>
          <cell r="L687" t="e">
            <v>#N/A</v>
          </cell>
          <cell r="M687" t="e">
            <v>#N/A</v>
          </cell>
          <cell r="N687" t="e">
            <v>#N/A</v>
          </cell>
          <cell r="O687" t="e">
            <v>#N/A</v>
          </cell>
          <cell r="P687">
            <v>55.39</v>
          </cell>
          <cell r="Q687" t="str">
            <v/>
          </cell>
          <cell r="R687" t="e">
            <v>#N/A</v>
          </cell>
        </row>
        <row r="688">
          <cell r="A688">
            <v>40213</v>
          </cell>
          <cell r="B688">
            <v>40213</v>
          </cell>
          <cell r="C688" t="str">
            <v>Future</v>
          </cell>
          <cell r="D688" t="e">
            <v>#N/A</v>
          </cell>
          <cell r="E688">
            <v>27.035595238095013</v>
          </cell>
          <cell r="F688">
            <v>60.309404761904304</v>
          </cell>
          <cell r="G688">
            <v>47.511785714285416</v>
          </cell>
          <cell r="H688">
            <v>47.511785714285416</v>
          </cell>
          <cell r="I688" t="e">
            <v>#N/A</v>
          </cell>
          <cell r="J688" t="e">
            <v>#N/A</v>
          </cell>
          <cell r="K688" t="e">
            <v>#N/A</v>
          </cell>
          <cell r="L688" t="e">
            <v>#N/A</v>
          </cell>
          <cell r="M688" t="e">
            <v>#N/A</v>
          </cell>
          <cell r="N688" t="e">
            <v>#N/A</v>
          </cell>
          <cell r="O688" t="e">
            <v>#N/A</v>
          </cell>
          <cell r="P688">
            <v>55.39</v>
          </cell>
          <cell r="Q688" t="str">
            <v/>
          </cell>
          <cell r="R688" t="e">
            <v>#N/A</v>
          </cell>
        </row>
        <row r="689">
          <cell r="A689">
            <v>40214</v>
          </cell>
          <cell r="B689">
            <v>40214</v>
          </cell>
          <cell r="C689" t="str">
            <v>Future</v>
          </cell>
          <cell r="D689" t="e">
            <v>#N/A</v>
          </cell>
          <cell r="E689">
            <v>26.815793650793424</v>
          </cell>
          <cell r="F689">
            <v>60.347539682539221</v>
          </cell>
          <cell r="G689">
            <v>47.450714285713985</v>
          </cell>
          <cell r="H689">
            <v>47.450714285713985</v>
          </cell>
          <cell r="I689" t="e">
            <v>#N/A</v>
          </cell>
          <cell r="J689" t="e">
            <v>#N/A</v>
          </cell>
          <cell r="K689" t="e">
            <v>#N/A</v>
          </cell>
          <cell r="L689" t="e">
            <v>#N/A</v>
          </cell>
          <cell r="M689" t="e">
            <v>#N/A</v>
          </cell>
          <cell r="N689" t="e">
            <v>#N/A</v>
          </cell>
          <cell r="O689" t="e">
            <v>#N/A</v>
          </cell>
          <cell r="P689">
            <v>55.39</v>
          </cell>
          <cell r="Q689" t="str">
            <v/>
          </cell>
          <cell r="R689" t="e">
            <v>#N/A</v>
          </cell>
        </row>
        <row r="690">
          <cell r="A690">
            <v>40217</v>
          </cell>
          <cell r="B690">
            <v>40217</v>
          </cell>
          <cell r="C690" t="str">
            <v>Future</v>
          </cell>
          <cell r="D690" t="e">
            <v>#N/A</v>
          </cell>
          <cell r="E690">
            <v>26.595992063491835</v>
          </cell>
          <cell r="F690">
            <v>60.385674603174138</v>
          </cell>
          <cell r="G690">
            <v>47.389642857142555</v>
          </cell>
          <cell r="H690">
            <v>47.389642857142555</v>
          </cell>
          <cell r="I690" t="e">
            <v>#N/A</v>
          </cell>
          <cell r="J690" t="e">
            <v>#N/A</v>
          </cell>
          <cell r="K690" t="e">
            <v>#N/A</v>
          </cell>
          <cell r="L690" t="e">
            <v>#N/A</v>
          </cell>
          <cell r="M690" t="e">
            <v>#N/A</v>
          </cell>
          <cell r="N690" t="e">
            <v>#N/A</v>
          </cell>
          <cell r="O690" t="e">
            <v>#N/A</v>
          </cell>
          <cell r="P690">
            <v>55.39</v>
          </cell>
          <cell r="Q690" t="str">
            <v/>
          </cell>
          <cell r="R690" t="e">
            <v>#N/A</v>
          </cell>
        </row>
        <row r="691">
          <cell r="A691">
            <v>40218</v>
          </cell>
          <cell r="B691">
            <v>40218</v>
          </cell>
          <cell r="C691" t="str">
            <v>Future</v>
          </cell>
          <cell r="D691" t="e">
            <v>#N/A</v>
          </cell>
          <cell r="E691">
            <v>26.376190476190246</v>
          </cell>
          <cell r="F691">
            <v>60.423809523809055</v>
          </cell>
          <cell r="G691">
            <v>47.328571428571124</v>
          </cell>
          <cell r="H691">
            <v>47.328571428571124</v>
          </cell>
          <cell r="I691" t="e">
            <v>#N/A</v>
          </cell>
          <cell r="J691" t="e">
            <v>#N/A</v>
          </cell>
          <cell r="K691" t="e">
            <v>#N/A</v>
          </cell>
          <cell r="L691" t="e">
            <v>#N/A</v>
          </cell>
          <cell r="M691" t="e">
            <v>#N/A</v>
          </cell>
          <cell r="N691" t="e">
            <v>#N/A</v>
          </cell>
          <cell r="O691" t="e">
            <v>#N/A</v>
          </cell>
          <cell r="P691">
            <v>55.39</v>
          </cell>
          <cell r="Q691" t="str">
            <v/>
          </cell>
          <cell r="R691" t="e">
            <v>#N/A</v>
          </cell>
        </row>
        <row r="692">
          <cell r="A692">
            <v>40219</v>
          </cell>
          <cell r="B692">
            <v>40219</v>
          </cell>
          <cell r="C692" t="str">
            <v>Future</v>
          </cell>
          <cell r="D692" t="e">
            <v>#N/A</v>
          </cell>
          <cell r="E692">
            <v>26.156388888888657</v>
          </cell>
          <cell r="F692">
            <v>60.461944444443972</v>
          </cell>
          <cell r="G692">
            <v>47.267499999999693</v>
          </cell>
          <cell r="H692">
            <v>47.267499999999693</v>
          </cell>
          <cell r="I692" t="e">
            <v>#N/A</v>
          </cell>
          <cell r="J692" t="e">
            <v>#N/A</v>
          </cell>
          <cell r="K692" t="e">
            <v>#N/A</v>
          </cell>
          <cell r="L692" t="e">
            <v>#N/A</v>
          </cell>
          <cell r="M692" t="e">
            <v>#N/A</v>
          </cell>
          <cell r="N692" t="e">
            <v>#N/A</v>
          </cell>
          <cell r="O692" t="e">
            <v>#N/A</v>
          </cell>
          <cell r="P692">
            <v>55.39</v>
          </cell>
          <cell r="Q692" t="str">
            <v/>
          </cell>
          <cell r="R692" t="e">
            <v>#N/A</v>
          </cell>
        </row>
        <row r="693">
          <cell r="A693">
            <v>40220</v>
          </cell>
          <cell r="B693">
            <v>40220</v>
          </cell>
          <cell r="C693" t="str">
            <v>Future</v>
          </cell>
          <cell r="D693" t="e">
            <v>#N/A</v>
          </cell>
          <cell r="E693">
            <v>25.936587301587068</v>
          </cell>
          <cell r="F693">
            <v>60.500079365078889</v>
          </cell>
          <cell r="G693">
            <v>47.206428571428262</v>
          </cell>
          <cell r="H693">
            <v>47.206428571428262</v>
          </cell>
          <cell r="I693" t="e">
            <v>#N/A</v>
          </cell>
          <cell r="J693" t="e">
            <v>#N/A</v>
          </cell>
          <cell r="K693" t="e">
            <v>#N/A</v>
          </cell>
          <cell r="L693" t="e">
            <v>#N/A</v>
          </cell>
          <cell r="M693" t="e">
            <v>#N/A</v>
          </cell>
          <cell r="N693" t="e">
            <v>#N/A</v>
          </cell>
          <cell r="O693" t="e">
            <v>#N/A</v>
          </cell>
          <cell r="P693">
            <v>55.39</v>
          </cell>
          <cell r="Q693" t="str">
            <v/>
          </cell>
          <cell r="R693" t="e">
            <v>#N/A</v>
          </cell>
        </row>
        <row r="694">
          <cell r="A694">
            <v>40221</v>
          </cell>
          <cell r="B694">
            <v>40221</v>
          </cell>
          <cell r="C694" t="str">
            <v>Future</v>
          </cell>
          <cell r="D694" t="e">
            <v>#N/A</v>
          </cell>
          <cell r="E694">
            <v>25.716785714285479</v>
          </cell>
          <cell r="F694">
            <v>60.538214285713806</v>
          </cell>
          <cell r="G694">
            <v>47.145357142856831</v>
          </cell>
          <cell r="H694">
            <v>47.145357142856831</v>
          </cell>
          <cell r="I694" t="e">
            <v>#N/A</v>
          </cell>
          <cell r="J694" t="e">
            <v>#N/A</v>
          </cell>
          <cell r="K694" t="e">
            <v>#N/A</v>
          </cell>
          <cell r="L694" t="e">
            <v>#N/A</v>
          </cell>
          <cell r="M694" t="e">
            <v>#N/A</v>
          </cell>
          <cell r="N694" t="e">
            <v>#N/A</v>
          </cell>
          <cell r="O694" t="e">
            <v>#N/A</v>
          </cell>
          <cell r="P694">
            <v>55.39</v>
          </cell>
          <cell r="Q694" t="str">
            <v/>
          </cell>
          <cell r="R694" t="e">
            <v>#N/A</v>
          </cell>
        </row>
        <row r="695">
          <cell r="A695">
            <v>40225</v>
          </cell>
          <cell r="B695">
            <v>40225</v>
          </cell>
          <cell r="C695" t="str">
            <v>Future</v>
          </cell>
          <cell r="D695" t="e">
            <v>#N/A</v>
          </cell>
          <cell r="E695">
            <v>25.496984126983889</v>
          </cell>
          <cell r="F695">
            <v>60.576349206348723</v>
          </cell>
          <cell r="G695">
            <v>47.0842857142854</v>
          </cell>
          <cell r="H695">
            <v>47.0842857142854</v>
          </cell>
          <cell r="I695" t="e">
            <v>#N/A</v>
          </cell>
          <cell r="J695" t="e">
            <v>#N/A</v>
          </cell>
          <cell r="K695" t="e">
            <v>#N/A</v>
          </cell>
          <cell r="L695" t="e">
            <v>#N/A</v>
          </cell>
          <cell r="M695" t="e">
            <v>#N/A</v>
          </cell>
          <cell r="N695" t="e">
            <v>#N/A</v>
          </cell>
          <cell r="O695" t="e">
            <v>#N/A</v>
          </cell>
          <cell r="P695">
            <v>55.39</v>
          </cell>
          <cell r="Q695" t="str">
            <v/>
          </cell>
          <cell r="R695" t="e">
            <v>#N/A</v>
          </cell>
        </row>
        <row r="696">
          <cell r="A696">
            <v>40226</v>
          </cell>
          <cell r="B696">
            <v>40226</v>
          </cell>
          <cell r="C696" t="str">
            <v>Future</v>
          </cell>
          <cell r="D696" t="e">
            <v>#N/A</v>
          </cell>
          <cell r="E696">
            <v>25.2771825396823</v>
          </cell>
          <cell r="F696">
            <v>60.614484126983641</v>
          </cell>
          <cell r="G696">
            <v>47.023214285713969</v>
          </cell>
          <cell r="H696">
            <v>47.023214285713969</v>
          </cell>
          <cell r="I696" t="e">
            <v>#N/A</v>
          </cell>
          <cell r="J696" t="e">
            <v>#N/A</v>
          </cell>
          <cell r="K696" t="e">
            <v>#N/A</v>
          </cell>
          <cell r="L696" t="e">
            <v>#N/A</v>
          </cell>
          <cell r="M696" t="e">
            <v>#N/A</v>
          </cell>
          <cell r="N696" t="e">
            <v>#N/A</v>
          </cell>
          <cell r="O696" t="e">
            <v>#N/A</v>
          </cell>
          <cell r="P696">
            <v>55.39</v>
          </cell>
          <cell r="Q696" t="str">
            <v/>
          </cell>
          <cell r="R696" t="e">
            <v>#N/A</v>
          </cell>
        </row>
        <row r="697">
          <cell r="A697">
            <v>40227</v>
          </cell>
          <cell r="B697">
            <v>40227</v>
          </cell>
          <cell r="C697" t="str">
            <v>Future</v>
          </cell>
          <cell r="D697" t="e">
            <v>#N/A</v>
          </cell>
          <cell r="E697">
            <v>25.057380952380711</v>
          </cell>
          <cell r="F697">
            <v>60.652619047618558</v>
          </cell>
          <cell r="G697">
            <v>46.962142857142538</v>
          </cell>
          <cell r="H697">
            <v>46.962142857142538</v>
          </cell>
          <cell r="I697" t="e">
            <v>#N/A</v>
          </cell>
          <cell r="J697" t="e">
            <v>#N/A</v>
          </cell>
          <cell r="K697" t="e">
            <v>#N/A</v>
          </cell>
          <cell r="L697" t="e">
            <v>#N/A</v>
          </cell>
          <cell r="M697" t="e">
            <v>#N/A</v>
          </cell>
          <cell r="N697" t="e">
            <v>#N/A</v>
          </cell>
          <cell r="O697" t="e">
            <v>#N/A</v>
          </cell>
          <cell r="P697">
            <v>55.39</v>
          </cell>
          <cell r="Q697" t="str">
            <v/>
          </cell>
          <cell r="R697" t="e">
            <v>#N/A</v>
          </cell>
        </row>
        <row r="698">
          <cell r="A698">
            <v>40228</v>
          </cell>
          <cell r="B698">
            <v>40228</v>
          </cell>
          <cell r="C698" t="str">
            <v>Future</v>
          </cell>
          <cell r="D698" t="e">
            <v>#N/A</v>
          </cell>
          <cell r="E698">
            <v>24.837579365079122</v>
          </cell>
          <cell r="F698">
            <v>60.690753968253475</v>
          </cell>
          <cell r="G698">
            <v>46.901071428571107</v>
          </cell>
          <cell r="H698">
            <v>46.901071428571107</v>
          </cell>
          <cell r="I698" t="e">
            <v>#N/A</v>
          </cell>
          <cell r="J698" t="e">
            <v>#N/A</v>
          </cell>
          <cell r="K698" t="e">
            <v>#N/A</v>
          </cell>
          <cell r="L698" t="e">
            <v>#N/A</v>
          </cell>
          <cell r="M698" t="e">
            <v>#N/A</v>
          </cell>
          <cell r="N698" t="e">
            <v>#N/A</v>
          </cell>
          <cell r="O698" t="e">
            <v>#N/A</v>
          </cell>
          <cell r="P698">
            <v>55.39</v>
          </cell>
          <cell r="Q698" t="str">
            <v/>
          </cell>
          <cell r="R698" t="e">
            <v>#N/A</v>
          </cell>
        </row>
        <row r="699">
          <cell r="A699">
            <v>40231</v>
          </cell>
          <cell r="B699">
            <v>40231</v>
          </cell>
          <cell r="C699" t="str">
            <v>Future</v>
          </cell>
          <cell r="D699" t="e">
            <v>#N/A</v>
          </cell>
          <cell r="E699">
            <v>24.617777777777533</v>
          </cell>
          <cell r="F699">
            <v>60.728888888888392</v>
          </cell>
          <cell r="G699">
            <v>46.839999999999677</v>
          </cell>
          <cell r="H699">
            <v>46.839999999999677</v>
          </cell>
          <cell r="I699" t="e">
            <v>#N/A</v>
          </cell>
          <cell r="J699" t="e">
            <v>#N/A</v>
          </cell>
          <cell r="K699" t="e">
            <v>#N/A</v>
          </cell>
          <cell r="L699" t="e">
            <v>#N/A</v>
          </cell>
          <cell r="M699" t="e">
            <v>#N/A</v>
          </cell>
          <cell r="N699" t="e">
            <v>#N/A</v>
          </cell>
          <cell r="O699" t="e">
            <v>#N/A</v>
          </cell>
          <cell r="P699">
            <v>55.39</v>
          </cell>
          <cell r="Q699" t="str">
            <v/>
          </cell>
          <cell r="R699" t="e">
            <v>#N/A</v>
          </cell>
        </row>
        <row r="700">
          <cell r="A700">
            <v>40232</v>
          </cell>
          <cell r="B700">
            <v>40232</v>
          </cell>
          <cell r="C700" t="str">
            <v>Future</v>
          </cell>
          <cell r="D700" t="e">
            <v>#N/A</v>
          </cell>
          <cell r="E700">
            <v>24.397976190475944</v>
          </cell>
          <cell r="F700">
            <v>60.767023809523309</v>
          </cell>
          <cell r="G700">
            <v>46.778928571428246</v>
          </cell>
          <cell r="H700">
            <v>46.778928571428246</v>
          </cell>
          <cell r="I700" t="e">
            <v>#N/A</v>
          </cell>
          <cell r="J700" t="e">
            <v>#N/A</v>
          </cell>
          <cell r="K700" t="e">
            <v>#N/A</v>
          </cell>
          <cell r="L700" t="e">
            <v>#N/A</v>
          </cell>
          <cell r="M700" t="e">
            <v>#N/A</v>
          </cell>
          <cell r="N700" t="e">
            <v>#N/A</v>
          </cell>
          <cell r="O700" t="e">
            <v>#N/A</v>
          </cell>
          <cell r="P700">
            <v>55.39</v>
          </cell>
          <cell r="Q700" t="str">
            <v/>
          </cell>
          <cell r="R700" t="e">
            <v>#N/A</v>
          </cell>
        </row>
        <row r="701">
          <cell r="A701">
            <v>40233</v>
          </cell>
          <cell r="B701">
            <v>40233</v>
          </cell>
          <cell r="C701" t="str">
            <v>Future</v>
          </cell>
          <cell r="D701" t="e">
            <v>#N/A</v>
          </cell>
          <cell r="E701">
            <v>24.178174603174355</v>
          </cell>
          <cell r="F701">
            <v>60.805158730158226</v>
          </cell>
          <cell r="G701">
            <v>46.717857142856815</v>
          </cell>
          <cell r="H701">
            <v>46.717857142856815</v>
          </cell>
          <cell r="I701" t="e">
            <v>#N/A</v>
          </cell>
          <cell r="J701" t="e">
            <v>#N/A</v>
          </cell>
          <cell r="K701" t="e">
            <v>#N/A</v>
          </cell>
          <cell r="L701" t="e">
            <v>#N/A</v>
          </cell>
          <cell r="M701" t="e">
            <v>#N/A</v>
          </cell>
          <cell r="N701" t="e">
            <v>#N/A</v>
          </cell>
          <cell r="O701" t="e">
            <v>#N/A</v>
          </cell>
          <cell r="P701">
            <v>55.39</v>
          </cell>
          <cell r="Q701" t="str">
            <v/>
          </cell>
          <cell r="R701" t="e">
            <v>#N/A</v>
          </cell>
        </row>
        <row r="702">
          <cell r="A702">
            <v>40234</v>
          </cell>
          <cell r="B702">
            <v>40234</v>
          </cell>
          <cell r="C702" t="str">
            <v>Future</v>
          </cell>
          <cell r="D702" t="e">
            <v>#N/A</v>
          </cell>
          <cell r="E702">
            <v>23.958373015872766</v>
          </cell>
          <cell r="F702">
            <v>60.843293650793143</v>
          </cell>
          <cell r="G702">
            <v>46.656785714285384</v>
          </cell>
          <cell r="H702">
            <v>46.656785714285384</v>
          </cell>
          <cell r="I702" t="e">
            <v>#N/A</v>
          </cell>
          <cell r="J702" t="e">
            <v>#N/A</v>
          </cell>
          <cell r="K702" t="e">
            <v>#N/A</v>
          </cell>
          <cell r="L702" t="e">
            <v>#N/A</v>
          </cell>
          <cell r="M702" t="e">
            <v>#N/A</v>
          </cell>
          <cell r="N702" t="e">
            <v>#N/A</v>
          </cell>
          <cell r="O702" t="e">
            <v>#N/A</v>
          </cell>
          <cell r="P702">
            <v>55.39</v>
          </cell>
          <cell r="Q702" t="str">
            <v/>
          </cell>
          <cell r="R702" t="e">
            <v>#N/A</v>
          </cell>
        </row>
        <row r="703">
          <cell r="A703">
            <v>40235</v>
          </cell>
          <cell r="B703">
            <v>40235</v>
          </cell>
          <cell r="C703" t="str">
            <v>Future</v>
          </cell>
          <cell r="D703" t="e">
            <v>#N/A</v>
          </cell>
          <cell r="E703">
            <v>23.738571428571177</v>
          </cell>
          <cell r="F703">
            <v>60.88142857142806</v>
          </cell>
          <cell r="G703">
            <v>46.595714285713953</v>
          </cell>
          <cell r="H703">
            <v>46.595714285713953</v>
          </cell>
          <cell r="I703" t="e">
            <v>#N/A</v>
          </cell>
          <cell r="J703" t="e">
            <v>#N/A</v>
          </cell>
          <cell r="K703" t="e">
            <v>#N/A</v>
          </cell>
          <cell r="L703" t="e">
            <v>#N/A</v>
          </cell>
          <cell r="M703" t="e">
            <v>#N/A</v>
          </cell>
          <cell r="N703" t="e">
            <v>#N/A</v>
          </cell>
          <cell r="O703" t="e">
            <v>#N/A</v>
          </cell>
          <cell r="P703">
            <v>55.39</v>
          </cell>
          <cell r="Q703" t="str">
            <v/>
          </cell>
          <cell r="R703" t="e">
            <v>#N/A</v>
          </cell>
        </row>
        <row r="704">
          <cell r="A704">
            <v>40238</v>
          </cell>
          <cell r="B704">
            <v>40238</v>
          </cell>
          <cell r="C704" t="str">
            <v>Future</v>
          </cell>
          <cell r="D704" t="e">
            <v>#N/A</v>
          </cell>
          <cell r="E704">
            <v>23.518769841269588</v>
          </cell>
          <cell r="F704">
            <v>60.919563492062977</v>
          </cell>
          <cell r="G704">
            <v>46.534642857142522</v>
          </cell>
          <cell r="H704">
            <v>46.534642857142522</v>
          </cell>
          <cell r="I704" t="e">
            <v>#N/A</v>
          </cell>
          <cell r="J704" t="e">
            <v>#N/A</v>
          </cell>
          <cell r="K704" t="e">
            <v>#N/A</v>
          </cell>
          <cell r="L704" t="e">
            <v>#N/A</v>
          </cell>
          <cell r="M704" t="e">
            <v>#N/A</v>
          </cell>
          <cell r="N704" t="e">
            <v>#N/A</v>
          </cell>
          <cell r="O704" t="e">
            <v>#N/A</v>
          </cell>
          <cell r="P704">
            <v>55.39</v>
          </cell>
          <cell r="Q704" t="str">
            <v/>
          </cell>
          <cell r="R704" t="e">
            <v>#N/A</v>
          </cell>
        </row>
        <row r="705">
          <cell r="A705">
            <v>40239</v>
          </cell>
          <cell r="B705">
            <v>40239</v>
          </cell>
          <cell r="C705" t="str">
            <v>Future</v>
          </cell>
          <cell r="D705" t="e">
            <v>#N/A</v>
          </cell>
          <cell r="E705">
            <v>23.298968253967999</v>
          </cell>
          <cell r="F705">
            <v>60.957698412697894</v>
          </cell>
          <cell r="G705">
            <v>46.473571428571091</v>
          </cell>
          <cell r="H705">
            <v>46.473571428571091</v>
          </cell>
          <cell r="I705" t="e">
            <v>#N/A</v>
          </cell>
          <cell r="J705" t="e">
            <v>#N/A</v>
          </cell>
          <cell r="K705" t="e">
            <v>#N/A</v>
          </cell>
          <cell r="L705" t="e">
            <v>#N/A</v>
          </cell>
          <cell r="M705" t="e">
            <v>#N/A</v>
          </cell>
          <cell r="N705" t="e">
            <v>#N/A</v>
          </cell>
          <cell r="O705" t="e">
            <v>#N/A</v>
          </cell>
          <cell r="P705">
            <v>55.39</v>
          </cell>
          <cell r="Q705" t="str">
            <v/>
          </cell>
          <cell r="R705" t="e">
            <v>#N/A</v>
          </cell>
        </row>
        <row r="706">
          <cell r="A706">
            <v>40240</v>
          </cell>
          <cell r="B706">
            <v>40240</v>
          </cell>
          <cell r="C706" t="str">
            <v>Future</v>
          </cell>
          <cell r="D706" t="e">
            <v>#N/A</v>
          </cell>
          <cell r="E706">
            <v>23.07916666666641</v>
          </cell>
          <cell r="F706">
            <v>60.995833333332811</v>
          </cell>
          <cell r="G706">
            <v>46.41249999999966</v>
          </cell>
          <cell r="H706">
            <v>46.41249999999966</v>
          </cell>
          <cell r="I706" t="e">
            <v>#N/A</v>
          </cell>
          <cell r="J706" t="e">
            <v>#N/A</v>
          </cell>
          <cell r="K706" t="e">
            <v>#N/A</v>
          </cell>
          <cell r="L706" t="e">
            <v>#N/A</v>
          </cell>
          <cell r="M706" t="e">
            <v>#N/A</v>
          </cell>
          <cell r="N706" t="e">
            <v>#N/A</v>
          </cell>
          <cell r="O706" t="e">
            <v>#N/A</v>
          </cell>
          <cell r="P706">
            <v>55.39</v>
          </cell>
          <cell r="Q706" t="str">
            <v/>
          </cell>
          <cell r="R706" t="e">
            <v>#N/A</v>
          </cell>
        </row>
        <row r="707">
          <cell r="A707">
            <v>40241</v>
          </cell>
          <cell r="B707">
            <v>40241</v>
          </cell>
          <cell r="C707" t="str">
            <v>Future</v>
          </cell>
          <cell r="D707" t="e">
            <v>#N/A</v>
          </cell>
          <cell r="E707">
            <v>22.859365079364821</v>
          </cell>
          <cell r="F707">
            <v>61.033968253967728</v>
          </cell>
          <cell r="G707">
            <v>46.351428571428229</v>
          </cell>
          <cell r="H707">
            <v>46.351428571428229</v>
          </cell>
          <cell r="I707" t="e">
            <v>#N/A</v>
          </cell>
          <cell r="J707" t="e">
            <v>#N/A</v>
          </cell>
          <cell r="K707" t="e">
            <v>#N/A</v>
          </cell>
          <cell r="L707" t="e">
            <v>#N/A</v>
          </cell>
          <cell r="M707" t="e">
            <v>#N/A</v>
          </cell>
          <cell r="N707" t="e">
            <v>#N/A</v>
          </cell>
          <cell r="O707" t="e">
            <v>#N/A</v>
          </cell>
          <cell r="P707">
            <v>55.39</v>
          </cell>
          <cell r="Q707" t="str">
            <v/>
          </cell>
          <cell r="R707" t="e">
            <v>#N/A</v>
          </cell>
        </row>
        <row r="708">
          <cell r="A708">
            <v>40242</v>
          </cell>
          <cell r="B708">
            <v>40242</v>
          </cell>
          <cell r="C708" t="str">
            <v>Future</v>
          </cell>
          <cell r="D708" t="e">
            <v>#N/A</v>
          </cell>
          <cell r="E708">
            <v>22.639563492063232</v>
          </cell>
          <cell r="F708">
            <v>61.072103174602645</v>
          </cell>
          <cell r="G708">
            <v>46.290357142856799</v>
          </cell>
          <cell r="H708">
            <v>46.290357142856799</v>
          </cell>
          <cell r="I708" t="e">
            <v>#N/A</v>
          </cell>
          <cell r="J708" t="e">
            <v>#N/A</v>
          </cell>
          <cell r="K708" t="e">
            <v>#N/A</v>
          </cell>
          <cell r="L708" t="e">
            <v>#N/A</v>
          </cell>
          <cell r="M708" t="e">
            <v>#N/A</v>
          </cell>
          <cell r="N708" t="e">
            <v>#N/A</v>
          </cell>
          <cell r="O708" t="e">
            <v>#N/A</v>
          </cell>
          <cell r="P708">
            <v>55.39</v>
          </cell>
          <cell r="Q708" t="str">
            <v/>
          </cell>
          <cell r="R708" t="e">
            <v>#N/A</v>
          </cell>
        </row>
        <row r="709">
          <cell r="A709">
            <v>40245</v>
          </cell>
          <cell r="B709">
            <v>40245</v>
          </cell>
          <cell r="C709" t="str">
            <v>Future</v>
          </cell>
          <cell r="D709" t="e">
            <v>#N/A</v>
          </cell>
          <cell r="E709">
            <v>22.419761904761643</v>
          </cell>
          <cell r="F709">
            <v>61.110238095237563</v>
          </cell>
          <cell r="G709">
            <v>46.229285714285368</v>
          </cell>
          <cell r="H709">
            <v>46.229285714285368</v>
          </cell>
          <cell r="I709" t="e">
            <v>#N/A</v>
          </cell>
          <cell r="J709" t="e">
            <v>#N/A</v>
          </cell>
          <cell r="K709" t="e">
            <v>#N/A</v>
          </cell>
          <cell r="L709" t="e">
            <v>#N/A</v>
          </cell>
          <cell r="M709" t="e">
            <v>#N/A</v>
          </cell>
          <cell r="N709" t="e">
            <v>#N/A</v>
          </cell>
          <cell r="O709" t="e">
            <v>#N/A</v>
          </cell>
          <cell r="P709">
            <v>55.39</v>
          </cell>
          <cell r="Q709" t="str">
            <v/>
          </cell>
          <cell r="R709" t="e">
            <v>#N/A</v>
          </cell>
        </row>
        <row r="710">
          <cell r="A710">
            <v>40246</v>
          </cell>
          <cell r="B710">
            <v>40246</v>
          </cell>
          <cell r="C710" t="str">
            <v>Future</v>
          </cell>
          <cell r="D710" t="e">
            <v>#N/A</v>
          </cell>
          <cell r="E710">
            <v>22.199960317460054</v>
          </cell>
          <cell r="F710">
            <v>61.14837301587248</v>
          </cell>
          <cell r="G710">
            <v>46.168214285713937</v>
          </cell>
          <cell r="H710">
            <v>46.168214285713937</v>
          </cell>
          <cell r="I710" t="e">
            <v>#N/A</v>
          </cell>
          <cell r="J710" t="e">
            <v>#N/A</v>
          </cell>
          <cell r="K710" t="e">
            <v>#N/A</v>
          </cell>
          <cell r="L710" t="e">
            <v>#N/A</v>
          </cell>
          <cell r="M710" t="e">
            <v>#N/A</v>
          </cell>
          <cell r="N710" t="e">
            <v>#N/A</v>
          </cell>
          <cell r="O710" t="e">
            <v>#N/A</v>
          </cell>
          <cell r="P710">
            <v>55.39</v>
          </cell>
          <cell r="Q710" t="str">
            <v/>
          </cell>
          <cell r="R710" t="e">
            <v>#N/A</v>
          </cell>
        </row>
        <row r="711">
          <cell r="A711">
            <v>40247</v>
          </cell>
          <cell r="B711">
            <v>40247</v>
          </cell>
          <cell r="C711" t="str">
            <v>Future</v>
          </cell>
          <cell r="D711" t="e">
            <v>#N/A</v>
          </cell>
          <cell r="E711">
            <v>21.980158730158465</v>
          </cell>
          <cell r="F711">
            <v>61.186507936507397</v>
          </cell>
          <cell r="G711">
            <v>46.107142857142506</v>
          </cell>
          <cell r="H711">
            <v>46.107142857142506</v>
          </cell>
          <cell r="I711" t="e">
            <v>#N/A</v>
          </cell>
          <cell r="J711" t="e">
            <v>#N/A</v>
          </cell>
          <cell r="K711" t="e">
            <v>#N/A</v>
          </cell>
          <cell r="L711" t="e">
            <v>#N/A</v>
          </cell>
          <cell r="M711" t="e">
            <v>#N/A</v>
          </cell>
          <cell r="N711" t="e">
            <v>#N/A</v>
          </cell>
          <cell r="O711" t="e">
            <v>#N/A</v>
          </cell>
          <cell r="P711">
            <v>55.39</v>
          </cell>
          <cell r="Q711" t="str">
            <v/>
          </cell>
          <cell r="R711" t="e">
            <v>#N/A</v>
          </cell>
        </row>
        <row r="712">
          <cell r="A712">
            <v>40248</v>
          </cell>
          <cell r="B712">
            <v>40248</v>
          </cell>
          <cell r="C712" t="str">
            <v>Future</v>
          </cell>
          <cell r="D712" t="e">
            <v>#N/A</v>
          </cell>
          <cell r="E712">
            <v>21.760357142856876</v>
          </cell>
          <cell r="F712">
            <v>61.224642857142314</v>
          </cell>
          <cell r="G712">
            <v>46.046071428571075</v>
          </cell>
          <cell r="H712">
            <v>46.046071428571075</v>
          </cell>
          <cell r="I712" t="e">
            <v>#N/A</v>
          </cell>
          <cell r="J712" t="e">
            <v>#N/A</v>
          </cell>
          <cell r="K712" t="e">
            <v>#N/A</v>
          </cell>
          <cell r="L712" t="e">
            <v>#N/A</v>
          </cell>
          <cell r="M712" t="e">
            <v>#N/A</v>
          </cell>
          <cell r="N712" t="e">
            <v>#N/A</v>
          </cell>
          <cell r="O712" t="e">
            <v>#N/A</v>
          </cell>
          <cell r="P712">
            <v>55.39</v>
          </cell>
          <cell r="Q712" t="str">
            <v/>
          </cell>
          <cell r="R712" t="e">
            <v>#N/A</v>
          </cell>
        </row>
        <row r="713">
          <cell r="A713">
            <v>40249</v>
          </cell>
          <cell r="B713">
            <v>40249</v>
          </cell>
          <cell r="C713" t="str">
            <v>Future</v>
          </cell>
          <cell r="D713" t="e">
            <v>#N/A</v>
          </cell>
          <cell r="E713">
            <v>21.540555555555287</v>
          </cell>
          <cell r="F713">
            <v>61.262777777777231</v>
          </cell>
          <cell r="G713">
            <v>45.984999999999644</v>
          </cell>
          <cell r="H713">
            <v>45.984999999999644</v>
          </cell>
          <cell r="I713" t="e">
            <v>#N/A</v>
          </cell>
          <cell r="J713" t="e">
            <v>#N/A</v>
          </cell>
          <cell r="K713" t="e">
            <v>#N/A</v>
          </cell>
          <cell r="L713" t="e">
            <v>#N/A</v>
          </cell>
          <cell r="M713" t="e">
            <v>#N/A</v>
          </cell>
          <cell r="N713" t="e">
            <v>#N/A</v>
          </cell>
          <cell r="O713" t="e">
            <v>#N/A</v>
          </cell>
          <cell r="P713">
            <v>55.39</v>
          </cell>
          <cell r="Q713" t="str">
            <v/>
          </cell>
          <cell r="R713" t="e">
            <v>#N/A</v>
          </cell>
        </row>
        <row r="714">
          <cell r="A714">
            <v>40252</v>
          </cell>
          <cell r="B714">
            <v>40252</v>
          </cell>
          <cell r="C714" t="str">
            <v>Future</v>
          </cell>
          <cell r="D714" t="e">
            <v>#N/A</v>
          </cell>
          <cell r="E714">
            <v>21.320753968253698</v>
          </cell>
          <cell r="F714">
            <v>61.300912698412148</v>
          </cell>
          <cell r="G714">
            <v>45.923928571428213</v>
          </cell>
          <cell r="H714">
            <v>45.923928571428213</v>
          </cell>
          <cell r="I714" t="e">
            <v>#N/A</v>
          </cell>
          <cell r="J714" t="e">
            <v>#N/A</v>
          </cell>
          <cell r="K714" t="e">
            <v>#N/A</v>
          </cell>
          <cell r="L714" t="e">
            <v>#N/A</v>
          </cell>
          <cell r="M714" t="e">
            <v>#N/A</v>
          </cell>
          <cell r="N714" t="e">
            <v>#N/A</v>
          </cell>
          <cell r="O714" t="e">
            <v>#N/A</v>
          </cell>
          <cell r="P714">
            <v>55.39</v>
          </cell>
          <cell r="Q714" t="str">
            <v/>
          </cell>
          <cell r="R714" t="e">
            <v>#N/A</v>
          </cell>
        </row>
        <row r="715">
          <cell r="A715">
            <v>40253</v>
          </cell>
          <cell r="B715">
            <v>40253</v>
          </cell>
          <cell r="C715" t="str">
            <v>Future</v>
          </cell>
          <cell r="D715" t="e">
            <v>#N/A</v>
          </cell>
          <cell r="E715">
            <v>21.100952380952108</v>
          </cell>
          <cell r="F715">
            <v>61.339047619047065</v>
          </cell>
          <cell r="G715">
            <v>45.862857142856782</v>
          </cell>
          <cell r="H715">
            <v>45.862857142856782</v>
          </cell>
          <cell r="I715" t="e">
            <v>#N/A</v>
          </cell>
          <cell r="J715" t="e">
            <v>#N/A</v>
          </cell>
          <cell r="K715" t="e">
            <v>#N/A</v>
          </cell>
          <cell r="L715" t="e">
            <v>#N/A</v>
          </cell>
          <cell r="M715" t="e">
            <v>#N/A</v>
          </cell>
          <cell r="N715" t="e">
            <v>#N/A</v>
          </cell>
          <cell r="O715" t="e">
            <v>#N/A</v>
          </cell>
          <cell r="P715">
            <v>55.39</v>
          </cell>
          <cell r="Q715" t="str">
            <v/>
          </cell>
          <cell r="R715" t="e">
            <v>#N/A</v>
          </cell>
        </row>
        <row r="716">
          <cell r="A716">
            <v>40254</v>
          </cell>
          <cell r="B716">
            <v>40254</v>
          </cell>
          <cell r="C716" t="str">
            <v>Future</v>
          </cell>
          <cell r="D716" t="e">
            <v>#N/A</v>
          </cell>
          <cell r="E716">
            <v>20.881150793650519</v>
          </cell>
          <cell r="F716">
            <v>61.377182539681982</v>
          </cell>
          <cell r="G716">
            <v>45.801785714285352</v>
          </cell>
          <cell r="H716">
            <v>45.801785714285352</v>
          </cell>
          <cell r="I716" t="e">
            <v>#N/A</v>
          </cell>
          <cell r="J716" t="e">
            <v>#N/A</v>
          </cell>
          <cell r="K716" t="e">
            <v>#N/A</v>
          </cell>
          <cell r="L716" t="e">
            <v>#N/A</v>
          </cell>
          <cell r="M716" t="e">
            <v>#N/A</v>
          </cell>
          <cell r="N716" t="e">
            <v>#N/A</v>
          </cell>
          <cell r="O716" t="e">
            <v>#N/A</v>
          </cell>
          <cell r="P716">
            <v>55.39</v>
          </cell>
          <cell r="Q716" t="str">
            <v/>
          </cell>
          <cell r="R716" t="e">
            <v>#N/A</v>
          </cell>
        </row>
        <row r="717">
          <cell r="A717">
            <v>40255</v>
          </cell>
          <cell r="B717">
            <v>40255</v>
          </cell>
          <cell r="C717" t="str">
            <v>Future</v>
          </cell>
          <cell r="D717" t="e">
            <v>#N/A</v>
          </cell>
          <cell r="E717">
            <v>20.66134920634893</v>
          </cell>
          <cell r="F717">
            <v>61.415317460316899</v>
          </cell>
          <cell r="G717">
            <v>45.740714285713921</v>
          </cell>
          <cell r="H717">
            <v>45.740714285713921</v>
          </cell>
          <cell r="I717" t="e">
            <v>#N/A</v>
          </cell>
          <cell r="J717" t="e">
            <v>#N/A</v>
          </cell>
          <cell r="K717" t="e">
            <v>#N/A</v>
          </cell>
          <cell r="L717" t="e">
            <v>#N/A</v>
          </cell>
          <cell r="M717" t="e">
            <v>#N/A</v>
          </cell>
          <cell r="N717" t="e">
            <v>#N/A</v>
          </cell>
          <cell r="O717" t="e">
            <v>#N/A</v>
          </cell>
          <cell r="P717">
            <v>55.39</v>
          </cell>
          <cell r="Q717" t="str">
            <v/>
          </cell>
          <cell r="R717" t="e">
            <v>#N/A</v>
          </cell>
        </row>
        <row r="718">
          <cell r="A718">
            <v>40256</v>
          </cell>
          <cell r="B718">
            <v>40256</v>
          </cell>
          <cell r="C718" t="str">
            <v>Future</v>
          </cell>
          <cell r="D718" t="e">
            <v>#N/A</v>
          </cell>
          <cell r="E718">
            <v>20.441547619047341</v>
          </cell>
          <cell r="F718">
            <v>61.453452380951816</v>
          </cell>
          <cell r="G718">
            <v>45.67964285714249</v>
          </cell>
          <cell r="H718">
            <v>45.67964285714249</v>
          </cell>
          <cell r="I718" t="e">
            <v>#N/A</v>
          </cell>
          <cell r="J718" t="e">
            <v>#N/A</v>
          </cell>
          <cell r="K718" t="e">
            <v>#N/A</v>
          </cell>
          <cell r="L718" t="e">
            <v>#N/A</v>
          </cell>
          <cell r="M718" t="e">
            <v>#N/A</v>
          </cell>
          <cell r="N718" t="e">
            <v>#N/A</v>
          </cell>
          <cell r="O718" t="e">
            <v>#N/A</v>
          </cell>
          <cell r="P718">
            <v>55.39</v>
          </cell>
          <cell r="Q718" t="str">
            <v/>
          </cell>
          <cell r="R718" t="e">
            <v>#N/A</v>
          </cell>
        </row>
        <row r="719">
          <cell r="A719">
            <v>40259</v>
          </cell>
          <cell r="B719">
            <v>40259</v>
          </cell>
          <cell r="C719" t="str">
            <v>Future</v>
          </cell>
          <cell r="D719" t="e">
            <v>#N/A</v>
          </cell>
          <cell r="E719">
            <v>20.221746031745752</v>
          </cell>
          <cell r="F719">
            <v>61.491587301586733</v>
          </cell>
          <cell r="G719">
            <v>45.618571428571059</v>
          </cell>
          <cell r="H719">
            <v>45.618571428571059</v>
          </cell>
          <cell r="I719" t="e">
            <v>#N/A</v>
          </cell>
          <cell r="J719" t="e">
            <v>#N/A</v>
          </cell>
          <cell r="K719" t="e">
            <v>#N/A</v>
          </cell>
          <cell r="L719" t="e">
            <v>#N/A</v>
          </cell>
          <cell r="M719" t="e">
            <v>#N/A</v>
          </cell>
          <cell r="N719" t="e">
            <v>#N/A</v>
          </cell>
          <cell r="O719" t="e">
            <v>#N/A</v>
          </cell>
          <cell r="P719">
            <v>55.39</v>
          </cell>
          <cell r="Q719" t="str">
            <v/>
          </cell>
          <cell r="R719" t="e">
            <v>#N/A</v>
          </cell>
        </row>
        <row r="720">
          <cell r="A720">
            <v>40260</v>
          </cell>
          <cell r="B720">
            <v>40260</v>
          </cell>
          <cell r="C720" t="str">
            <v>Future</v>
          </cell>
          <cell r="D720" t="e">
            <v>#N/A</v>
          </cell>
          <cell r="E720">
            <v>20.001944444444163</v>
          </cell>
          <cell r="F720">
            <v>61.52972222222165</v>
          </cell>
          <cell r="G720">
            <v>45.557499999999628</v>
          </cell>
          <cell r="H720">
            <v>45.557499999999628</v>
          </cell>
          <cell r="I720" t="e">
            <v>#N/A</v>
          </cell>
          <cell r="J720" t="e">
            <v>#N/A</v>
          </cell>
          <cell r="K720" t="e">
            <v>#N/A</v>
          </cell>
          <cell r="L720" t="e">
            <v>#N/A</v>
          </cell>
          <cell r="M720" t="e">
            <v>#N/A</v>
          </cell>
          <cell r="N720" t="e">
            <v>#N/A</v>
          </cell>
          <cell r="O720" t="e">
            <v>#N/A</v>
          </cell>
          <cell r="P720">
            <v>55.39</v>
          </cell>
          <cell r="Q720" t="str">
            <v/>
          </cell>
          <cell r="R720" t="e">
            <v>#N/A</v>
          </cell>
        </row>
        <row r="721">
          <cell r="A721">
            <v>40261</v>
          </cell>
          <cell r="B721">
            <v>40261</v>
          </cell>
          <cell r="C721" t="str">
            <v>Future</v>
          </cell>
          <cell r="D721" t="e">
            <v>#N/A</v>
          </cell>
          <cell r="E721">
            <v>19.782142857142574</v>
          </cell>
          <cell r="F721">
            <v>61.567857142856568</v>
          </cell>
          <cell r="G721">
            <v>45.496428571428197</v>
          </cell>
          <cell r="H721">
            <v>45.496428571428197</v>
          </cell>
          <cell r="I721" t="e">
            <v>#N/A</v>
          </cell>
          <cell r="J721" t="e">
            <v>#N/A</v>
          </cell>
          <cell r="K721" t="e">
            <v>#N/A</v>
          </cell>
          <cell r="L721" t="e">
            <v>#N/A</v>
          </cell>
          <cell r="M721" t="e">
            <v>#N/A</v>
          </cell>
          <cell r="N721" t="e">
            <v>#N/A</v>
          </cell>
          <cell r="O721" t="e">
            <v>#N/A</v>
          </cell>
          <cell r="P721">
            <v>55.39</v>
          </cell>
          <cell r="Q721" t="str">
            <v/>
          </cell>
          <cell r="R721" t="e">
            <v>#N/A</v>
          </cell>
        </row>
        <row r="722">
          <cell r="A722">
            <v>40262</v>
          </cell>
          <cell r="B722">
            <v>40262</v>
          </cell>
          <cell r="C722" t="str">
            <v>Future</v>
          </cell>
          <cell r="D722" t="e">
            <v>#N/A</v>
          </cell>
          <cell r="E722">
            <v>19.562341269840985</v>
          </cell>
          <cell r="F722">
            <v>61.605992063491485</v>
          </cell>
          <cell r="G722">
            <v>45.435357142856766</v>
          </cell>
          <cell r="H722">
            <v>45.435357142856766</v>
          </cell>
          <cell r="I722" t="e">
            <v>#N/A</v>
          </cell>
          <cell r="J722" t="e">
            <v>#N/A</v>
          </cell>
          <cell r="K722" t="e">
            <v>#N/A</v>
          </cell>
          <cell r="L722" t="e">
            <v>#N/A</v>
          </cell>
          <cell r="M722" t="e">
            <v>#N/A</v>
          </cell>
          <cell r="N722" t="e">
            <v>#N/A</v>
          </cell>
          <cell r="O722" t="e">
            <v>#N/A</v>
          </cell>
          <cell r="P722">
            <v>55.39</v>
          </cell>
          <cell r="Q722" t="str">
            <v/>
          </cell>
          <cell r="R722" t="e">
            <v>#N/A</v>
          </cell>
        </row>
        <row r="723">
          <cell r="A723">
            <v>40263</v>
          </cell>
          <cell r="B723">
            <v>40263</v>
          </cell>
          <cell r="C723" t="str">
            <v>Future</v>
          </cell>
          <cell r="D723" t="e">
            <v>#N/A</v>
          </cell>
          <cell r="E723">
            <v>19.342539682539396</v>
          </cell>
          <cell r="F723">
            <v>61.644126984126402</v>
          </cell>
          <cell r="G723">
            <v>45.374285714285335</v>
          </cell>
          <cell r="H723">
            <v>45.374285714285335</v>
          </cell>
          <cell r="I723" t="e">
            <v>#N/A</v>
          </cell>
          <cell r="J723" t="e">
            <v>#N/A</v>
          </cell>
          <cell r="K723" t="e">
            <v>#N/A</v>
          </cell>
          <cell r="L723" t="e">
            <v>#N/A</v>
          </cell>
          <cell r="M723" t="e">
            <v>#N/A</v>
          </cell>
          <cell r="N723" t="e">
            <v>#N/A</v>
          </cell>
          <cell r="O723" t="e">
            <v>#N/A</v>
          </cell>
          <cell r="P723">
            <v>55.39</v>
          </cell>
          <cell r="Q723" t="str">
            <v/>
          </cell>
          <cell r="R723" t="e">
            <v>#N/A</v>
          </cell>
        </row>
        <row r="724">
          <cell r="A724">
            <v>40266</v>
          </cell>
          <cell r="B724">
            <v>40266</v>
          </cell>
          <cell r="C724" t="str">
            <v>Future</v>
          </cell>
          <cell r="D724" t="e">
            <v>#N/A</v>
          </cell>
          <cell r="E724">
            <v>19.122738095237807</v>
          </cell>
          <cell r="F724">
            <v>61.682261904761319</v>
          </cell>
          <cell r="G724">
            <v>45.313214285713904</v>
          </cell>
          <cell r="H724">
            <v>45.313214285713904</v>
          </cell>
          <cell r="I724" t="e">
            <v>#N/A</v>
          </cell>
          <cell r="J724" t="e">
            <v>#N/A</v>
          </cell>
          <cell r="K724" t="e">
            <v>#N/A</v>
          </cell>
          <cell r="L724" t="e">
            <v>#N/A</v>
          </cell>
          <cell r="M724" t="e">
            <v>#N/A</v>
          </cell>
          <cell r="N724" t="e">
            <v>#N/A</v>
          </cell>
          <cell r="O724" t="e">
            <v>#N/A</v>
          </cell>
          <cell r="P724">
            <v>55.39</v>
          </cell>
          <cell r="Q724" t="str">
            <v/>
          </cell>
          <cell r="R724" t="e">
            <v>#N/A</v>
          </cell>
        </row>
        <row r="725">
          <cell r="A725">
            <v>40267</v>
          </cell>
          <cell r="B725">
            <v>40267</v>
          </cell>
          <cell r="C725" t="str">
            <v>Future</v>
          </cell>
          <cell r="D725" t="e">
            <v>#N/A</v>
          </cell>
          <cell r="E725">
            <v>18.902936507936218</v>
          </cell>
          <cell r="F725">
            <v>61.720396825396236</v>
          </cell>
          <cell r="G725">
            <v>45.252142857142474</v>
          </cell>
          <cell r="H725">
            <v>45.252142857142474</v>
          </cell>
          <cell r="I725" t="e">
            <v>#N/A</v>
          </cell>
          <cell r="J725" t="e">
            <v>#N/A</v>
          </cell>
          <cell r="K725" t="e">
            <v>#N/A</v>
          </cell>
          <cell r="L725" t="e">
            <v>#N/A</v>
          </cell>
          <cell r="M725" t="e">
            <v>#N/A</v>
          </cell>
          <cell r="N725" t="e">
            <v>#N/A</v>
          </cell>
          <cell r="O725" t="e">
            <v>#N/A</v>
          </cell>
          <cell r="P725">
            <v>55.39</v>
          </cell>
          <cell r="Q725" t="str">
            <v/>
          </cell>
          <cell r="R725" t="e">
            <v>#N/A</v>
          </cell>
        </row>
        <row r="726">
          <cell r="A726">
            <v>40268</v>
          </cell>
          <cell r="B726">
            <v>40268</v>
          </cell>
          <cell r="C726" t="str">
            <v>Future</v>
          </cell>
          <cell r="D726" t="e">
            <v>#N/A</v>
          </cell>
          <cell r="E726">
            <v>18.683134920634629</v>
          </cell>
          <cell r="F726">
            <v>61.758531746031153</v>
          </cell>
          <cell r="G726">
            <v>45.191071428571043</v>
          </cell>
          <cell r="H726">
            <v>45.191071428571043</v>
          </cell>
          <cell r="I726" t="e">
            <v>#N/A</v>
          </cell>
          <cell r="J726" t="e">
            <v>#N/A</v>
          </cell>
          <cell r="K726" t="e">
            <v>#N/A</v>
          </cell>
          <cell r="L726" t="e">
            <v>#N/A</v>
          </cell>
          <cell r="M726" t="e">
            <v>#N/A</v>
          </cell>
          <cell r="N726" t="e">
            <v>#N/A</v>
          </cell>
          <cell r="O726" t="e">
            <v>#N/A</v>
          </cell>
          <cell r="P726">
            <v>55.39</v>
          </cell>
          <cell r="Q726" t="str">
            <v/>
          </cell>
          <cell r="R726" t="e">
            <v>#N/A</v>
          </cell>
        </row>
        <row r="727">
          <cell r="A727">
            <v>40269</v>
          </cell>
          <cell r="B727">
            <v>40269</v>
          </cell>
          <cell r="C727" t="str">
            <v>Future</v>
          </cell>
          <cell r="D727" t="e">
            <v>#N/A</v>
          </cell>
          <cell r="E727">
            <v>18.46333333333304</v>
          </cell>
          <cell r="F727">
            <v>61.79666666666607</v>
          </cell>
          <cell r="G727">
            <v>45.129999999999612</v>
          </cell>
          <cell r="H727">
            <v>45.129999999999612</v>
          </cell>
          <cell r="I727" t="e">
            <v>#N/A</v>
          </cell>
          <cell r="J727" t="e">
            <v>#N/A</v>
          </cell>
          <cell r="K727" t="e">
            <v>#N/A</v>
          </cell>
          <cell r="L727" t="e">
            <v>#N/A</v>
          </cell>
          <cell r="M727" t="e">
            <v>#N/A</v>
          </cell>
          <cell r="N727" t="e">
            <v>#N/A</v>
          </cell>
          <cell r="O727" t="e">
            <v>#N/A</v>
          </cell>
          <cell r="P727">
            <v>55.39</v>
          </cell>
          <cell r="Q727" t="str">
            <v/>
          </cell>
          <cell r="R727" t="e">
            <v>#N/A</v>
          </cell>
        </row>
        <row r="728">
          <cell r="A728">
            <v>40273</v>
          </cell>
          <cell r="B728">
            <v>40273</v>
          </cell>
          <cell r="C728" t="str">
            <v>Future</v>
          </cell>
          <cell r="D728" t="e">
            <v>#N/A</v>
          </cell>
          <cell r="E728">
            <v>18.243531746031451</v>
          </cell>
          <cell r="F728">
            <v>61.834801587300987</v>
          </cell>
          <cell r="G728">
            <v>45.068928571428181</v>
          </cell>
          <cell r="H728">
            <v>45.068928571428181</v>
          </cell>
          <cell r="I728" t="e">
            <v>#N/A</v>
          </cell>
          <cell r="J728" t="e">
            <v>#N/A</v>
          </cell>
          <cell r="K728" t="e">
            <v>#N/A</v>
          </cell>
          <cell r="L728" t="e">
            <v>#N/A</v>
          </cell>
          <cell r="M728" t="e">
            <v>#N/A</v>
          </cell>
          <cell r="N728" t="e">
            <v>#N/A</v>
          </cell>
          <cell r="O728" t="e">
            <v>#N/A</v>
          </cell>
          <cell r="P728">
            <v>55.39</v>
          </cell>
          <cell r="Q728" t="str">
            <v/>
          </cell>
          <cell r="R728" t="e">
            <v>#N/A</v>
          </cell>
        </row>
        <row r="729">
          <cell r="A729">
            <v>40274</v>
          </cell>
          <cell r="B729">
            <v>40274</v>
          </cell>
          <cell r="C729" t="str">
            <v>Future</v>
          </cell>
          <cell r="D729" t="e">
            <v>#N/A</v>
          </cell>
          <cell r="E729">
            <v>18.023730158729862</v>
          </cell>
          <cell r="F729">
            <v>61.872936507935904</v>
          </cell>
          <cell r="G729">
            <v>45.00785714285675</v>
          </cell>
          <cell r="H729">
            <v>45.00785714285675</v>
          </cell>
          <cell r="I729" t="e">
            <v>#N/A</v>
          </cell>
          <cell r="J729" t="e">
            <v>#N/A</v>
          </cell>
          <cell r="K729" t="e">
            <v>#N/A</v>
          </cell>
          <cell r="L729" t="e">
            <v>#N/A</v>
          </cell>
          <cell r="M729" t="e">
            <v>#N/A</v>
          </cell>
          <cell r="N729" t="e">
            <v>#N/A</v>
          </cell>
          <cell r="O729" t="e">
            <v>#N/A</v>
          </cell>
          <cell r="P729">
            <v>55.39</v>
          </cell>
          <cell r="Q729" t="str">
            <v/>
          </cell>
          <cell r="R729" t="e">
            <v>#N/A</v>
          </cell>
        </row>
        <row r="730">
          <cell r="A730">
            <v>40275</v>
          </cell>
          <cell r="B730">
            <v>40275</v>
          </cell>
          <cell r="C730" t="str">
            <v>Future</v>
          </cell>
          <cell r="D730" t="e">
            <v>#N/A</v>
          </cell>
          <cell r="E730">
            <v>17.803928571428273</v>
          </cell>
          <cell r="F730">
            <v>61.911071428570821</v>
          </cell>
          <cell r="G730">
            <v>44.946785714285319</v>
          </cell>
          <cell r="H730">
            <v>44.946785714285319</v>
          </cell>
          <cell r="I730" t="e">
            <v>#N/A</v>
          </cell>
          <cell r="J730" t="e">
            <v>#N/A</v>
          </cell>
          <cell r="K730" t="e">
            <v>#N/A</v>
          </cell>
          <cell r="L730" t="e">
            <v>#N/A</v>
          </cell>
          <cell r="M730" t="e">
            <v>#N/A</v>
          </cell>
          <cell r="N730" t="e">
            <v>#N/A</v>
          </cell>
          <cell r="O730" t="e">
            <v>#N/A</v>
          </cell>
          <cell r="P730">
            <v>55.39</v>
          </cell>
          <cell r="Q730" t="str">
            <v/>
          </cell>
          <cell r="R730" t="e">
            <v>#N/A</v>
          </cell>
        </row>
        <row r="731">
          <cell r="A731">
            <v>40276</v>
          </cell>
          <cell r="B731">
            <v>40276</v>
          </cell>
          <cell r="C731" t="str">
            <v>Future</v>
          </cell>
          <cell r="D731" t="e">
            <v>#N/A</v>
          </cell>
          <cell r="E731">
            <v>17.584126984126684</v>
          </cell>
          <cell r="F731">
            <v>61.949206349205738</v>
          </cell>
          <cell r="G731">
            <v>44.885714285713888</v>
          </cell>
          <cell r="H731">
            <v>44.885714285713888</v>
          </cell>
          <cell r="I731" t="e">
            <v>#N/A</v>
          </cell>
          <cell r="J731" t="e">
            <v>#N/A</v>
          </cell>
          <cell r="K731" t="e">
            <v>#N/A</v>
          </cell>
          <cell r="L731" t="e">
            <v>#N/A</v>
          </cell>
          <cell r="M731" t="e">
            <v>#N/A</v>
          </cell>
          <cell r="N731" t="e">
            <v>#N/A</v>
          </cell>
          <cell r="O731" t="e">
            <v>#N/A</v>
          </cell>
          <cell r="P731">
            <v>55.39</v>
          </cell>
          <cell r="Q731" t="str">
            <v/>
          </cell>
          <cell r="R731" t="e">
            <v>#N/A</v>
          </cell>
        </row>
        <row r="732">
          <cell r="A732">
            <v>40277</v>
          </cell>
          <cell r="B732">
            <v>40277</v>
          </cell>
          <cell r="C732" t="str">
            <v>Future</v>
          </cell>
          <cell r="D732" t="e">
            <v>#N/A</v>
          </cell>
          <cell r="E732">
            <v>17.364325396825095</v>
          </cell>
          <cell r="F732">
            <v>61.987341269840655</v>
          </cell>
          <cell r="G732">
            <v>44.824642857142457</v>
          </cell>
          <cell r="H732">
            <v>44.824642857142457</v>
          </cell>
          <cell r="I732" t="e">
            <v>#N/A</v>
          </cell>
          <cell r="J732" t="e">
            <v>#N/A</v>
          </cell>
          <cell r="K732" t="e">
            <v>#N/A</v>
          </cell>
          <cell r="L732" t="e">
            <v>#N/A</v>
          </cell>
          <cell r="M732" t="e">
            <v>#N/A</v>
          </cell>
          <cell r="N732" t="e">
            <v>#N/A</v>
          </cell>
          <cell r="O732" t="e">
            <v>#N/A</v>
          </cell>
          <cell r="P732">
            <v>55.39</v>
          </cell>
          <cell r="Q732" t="str">
            <v/>
          </cell>
          <cell r="R732" t="e">
            <v>#N/A</v>
          </cell>
        </row>
        <row r="733">
          <cell r="A733">
            <v>40280</v>
          </cell>
          <cell r="B733">
            <v>40280</v>
          </cell>
          <cell r="C733" t="str">
            <v>Future</v>
          </cell>
          <cell r="D733" t="e">
            <v>#N/A</v>
          </cell>
          <cell r="E733">
            <v>17.144523809523506</v>
          </cell>
          <cell r="F733">
            <v>62.025476190475572</v>
          </cell>
          <cell r="G733">
            <v>44.763571428571026</v>
          </cell>
          <cell r="H733">
            <v>44.763571428571026</v>
          </cell>
          <cell r="I733" t="e">
            <v>#N/A</v>
          </cell>
          <cell r="J733" t="e">
            <v>#N/A</v>
          </cell>
          <cell r="K733" t="e">
            <v>#N/A</v>
          </cell>
          <cell r="L733" t="e">
            <v>#N/A</v>
          </cell>
          <cell r="M733" t="e">
            <v>#N/A</v>
          </cell>
          <cell r="N733" t="e">
            <v>#N/A</v>
          </cell>
          <cell r="O733" t="e">
            <v>#N/A</v>
          </cell>
          <cell r="P733">
            <v>55.39</v>
          </cell>
          <cell r="Q733" t="str">
            <v/>
          </cell>
          <cell r="R733" t="e">
            <v>#N/A</v>
          </cell>
        </row>
        <row r="734">
          <cell r="A734">
            <v>40281</v>
          </cell>
          <cell r="B734">
            <v>40281</v>
          </cell>
          <cell r="C734" t="str">
            <v>Future</v>
          </cell>
          <cell r="D734" t="e">
            <v>#N/A</v>
          </cell>
          <cell r="E734">
            <v>16.924722222221916</v>
          </cell>
          <cell r="F734">
            <v>62.06361111111049</v>
          </cell>
          <cell r="G734">
            <v>44.702499999999596</v>
          </cell>
          <cell r="H734">
            <v>44.702499999999596</v>
          </cell>
          <cell r="I734" t="e">
            <v>#N/A</v>
          </cell>
          <cell r="J734" t="e">
            <v>#N/A</v>
          </cell>
          <cell r="K734" t="e">
            <v>#N/A</v>
          </cell>
          <cell r="L734" t="e">
            <v>#N/A</v>
          </cell>
          <cell r="M734" t="e">
            <v>#N/A</v>
          </cell>
          <cell r="N734" t="e">
            <v>#N/A</v>
          </cell>
          <cell r="O734" t="e">
            <v>#N/A</v>
          </cell>
          <cell r="P734">
            <v>55.39</v>
          </cell>
          <cell r="Q734" t="str">
            <v/>
          </cell>
          <cell r="R734" t="e">
            <v>#N/A</v>
          </cell>
        </row>
        <row r="735">
          <cell r="A735">
            <v>40282</v>
          </cell>
          <cell r="B735">
            <v>40282</v>
          </cell>
          <cell r="C735" t="str">
            <v>Future</v>
          </cell>
          <cell r="D735" t="e">
            <v>#N/A</v>
          </cell>
          <cell r="E735">
            <v>16.704920634920327</v>
          </cell>
          <cell r="F735">
            <v>62.101746031745407</v>
          </cell>
          <cell r="G735">
            <v>44.641428571428165</v>
          </cell>
          <cell r="H735">
            <v>44.641428571428165</v>
          </cell>
          <cell r="I735" t="e">
            <v>#N/A</v>
          </cell>
          <cell r="J735" t="e">
            <v>#N/A</v>
          </cell>
          <cell r="K735" t="e">
            <v>#N/A</v>
          </cell>
          <cell r="L735" t="e">
            <v>#N/A</v>
          </cell>
          <cell r="M735" t="e">
            <v>#N/A</v>
          </cell>
          <cell r="N735" t="e">
            <v>#N/A</v>
          </cell>
          <cell r="O735" t="e">
            <v>#N/A</v>
          </cell>
          <cell r="P735">
            <v>55.39</v>
          </cell>
          <cell r="Q735" t="str">
            <v/>
          </cell>
          <cell r="R735" t="e">
            <v>#N/A</v>
          </cell>
        </row>
        <row r="736">
          <cell r="A736">
            <v>40283</v>
          </cell>
          <cell r="B736">
            <v>40283</v>
          </cell>
          <cell r="C736" t="str">
            <v>Future</v>
          </cell>
          <cell r="D736" t="e">
            <v>#N/A</v>
          </cell>
          <cell r="E736">
            <v>16.485119047618738</v>
          </cell>
          <cell r="F736">
            <v>62.139880952380324</v>
          </cell>
          <cell r="G736">
            <v>44.580357142856734</v>
          </cell>
          <cell r="H736">
            <v>44.580357142856734</v>
          </cell>
          <cell r="I736" t="e">
            <v>#N/A</v>
          </cell>
          <cell r="J736" t="e">
            <v>#N/A</v>
          </cell>
          <cell r="K736" t="e">
            <v>#N/A</v>
          </cell>
          <cell r="L736" t="e">
            <v>#N/A</v>
          </cell>
          <cell r="M736" t="e">
            <v>#N/A</v>
          </cell>
          <cell r="N736" t="e">
            <v>#N/A</v>
          </cell>
          <cell r="O736" t="e">
            <v>#N/A</v>
          </cell>
          <cell r="P736">
            <v>55.39</v>
          </cell>
          <cell r="Q736" t="str">
            <v/>
          </cell>
          <cell r="R736" t="e">
            <v>#N/A</v>
          </cell>
        </row>
        <row r="737">
          <cell r="A737">
            <v>40284</v>
          </cell>
          <cell r="B737">
            <v>40284</v>
          </cell>
          <cell r="C737" t="str">
            <v>Future</v>
          </cell>
          <cell r="D737" t="e">
            <v>#N/A</v>
          </cell>
          <cell r="E737">
            <v>16.265317460317149</v>
          </cell>
          <cell r="F737">
            <v>62.178015873015241</v>
          </cell>
          <cell r="G737">
            <v>44.519285714285303</v>
          </cell>
          <cell r="H737">
            <v>44.519285714285303</v>
          </cell>
          <cell r="I737" t="e">
            <v>#N/A</v>
          </cell>
          <cell r="J737" t="e">
            <v>#N/A</v>
          </cell>
          <cell r="K737" t="e">
            <v>#N/A</v>
          </cell>
          <cell r="L737" t="e">
            <v>#N/A</v>
          </cell>
          <cell r="M737" t="e">
            <v>#N/A</v>
          </cell>
          <cell r="N737" t="e">
            <v>#N/A</v>
          </cell>
          <cell r="O737" t="e">
            <v>#N/A</v>
          </cell>
          <cell r="P737">
            <v>55.39</v>
          </cell>
          <cell r="Q737" t="str">
            <v/>
          </cell>
          <cell r="R737" t="e">
            <v>#N/A</v>
          </cell>
        </row>
        <row r="738">
          <cell r="A738">
            <v>40287</v>
          </cell>
          <cell r="B738">
            <v>40287</v>
          </cell>
          <cell r="C738" t="str">
            <v>Future</v>
          </cell>
          <cell r="D738" t="e">
            <v>#N/A</v>
          </cell>
          <cell r="E738">
            <v>16.04551587301556</v>
          </cell>
          <cell r="F738">
            <v>62.216150793650158</v>
          </cell>
          <cell r="G738">
            <v>44.458214285713872</v>
          </cell>
          <cell r="H738">
            <v>44.458214285713872</v>
          </cell>
          <cell r="I738" t="e">
            <v>#N/A</v>
          </cell>
          <cell r="J738" t="e">
            <v>#N/A</v>
          </cell>
          <cell r="K738" t="e">
            <v>#N/A</v>
          </cell>
          <cell r="L738" t="e">
            <v>#N/A</v>
          </cell>
          <cell r="M738" t="e">
            <v>#N/A</v>
          </cell>
          <cell r="N738" t="e">
            <v>#N/A</v>
          </cell>
          <cell r="O738" t="e">
            <v>#N/A</v>
          </cell>
          <cell r="P738">
            <v>55.39</v>
          </cell>
          <cell r="Q738" t="str">
            <v/>
          </cell>
          <cell r="R738" t="e">
            <v>#N/A</v>
          </cell>
        </row>
        <row r="739">
          <cell r="A739">
            <v>40288</v>
          </cell>
          <cell r="B739">
            <v>40288</v>
          </cell>
          <cell r="C739" t="str">
            <v>Future</v>
          </cell>
          <cell r="D739" t="e">
            <v>#N/A</v>
          </cell>
          <cell r="E739">
            <v>15.825714285713973</v>
          </cell>
          <cell r="F739">
            <v>62.254285714285075</v>
          </cell>
          <cell r="G739">
            <v>44.397142857142441</v>
          </cell>
          <cell r="H739">
            <v>44.397142857142441</v>
          </cell>
          <cell r="I739" t="e">
            <v>#N/A</v>
          </cell>
          <cell r="J739" t="e">
            <v>#N/A</v>
          </cell>
          <cell r="K739" t="e">
            <v>#N/A</v>
          </cell>
          <cell r="L739" t="e">
            <v>#N/A</v>
          </cell>
          <cell r="M739" t="e">
            <v>#N/A</v>
          </cell>
          <cell r="N739" t="e">
            <v>#N/A</v>
          </cell>
          <cell r="O739" t="e">
            <v>#N/A</v>
          </cell>
          <cell r="P739">
            <v>55.39</v>
          </cell>
          <cell r="Q739" t="str">
            <v/>
          </cell>
          <cell r="R739" t="e">
            <v>#N/A</v>
          </cell>
        </row>
        <row r="740">
          <cell r="A740">
            <v>40289</v>
          </cell>
          <cell r="B740">
            <v>40289</v>
          </cell>
          <cell r="C740" t="str">
            <v>Future</v>
          </cell>
          <cell r="D740" t="e">
            <v>#N/A</v>
          </cell>
          <cell r="E740">
            <v>15.605912698412386</v>
          </cell>
          <cell r="F740">
            <v>62.292420634919992</v>
          </cell>
          <cell r="G740">
            <v>44.33607142857101</v>
          </cell>
          <cell r="H740">
            <v>44.33607142857101</v>
          </cell>
          <cell r="I740" t="e">
            <v>#N/A</v>
          </cell>
          <cell r="J740" t="e">
            <v>#N/A</v>
          </cell>
          <cell r="K740" t="e">
            <v>#N/A</v>
          </cell>
          <cell r="L740" t="e">
            <v>#N/A</v>
          </cell>
          <cell r="M740" t="e">
            <v>#N/A</v>
          </cell>
          <cell r="N740" t="e">
            <v>#N/A</v>
          </cell>
          <cell r="O740" t="e">
            <v>#N/A</v>
          </cell>
          <cell r="P740">
            <v>55.39</v>
          </cell>
          <cell r="Q740" t="str">
            <v/>
          </cell>
          <cell r="R740" t="e">
            <v>#N/A</v>
          </cell>
        </row>
        <row r="741">
          <cell r="A741">
            <v>40290</v>
          </cell>
          <cell r="B741">
            <v>40290</v>
          </cell>
          <cell r="C741" t="str">
            <v>Future</v>
          </cell>
          <cell r="D741" t="e">
            <v>#N/A</v>
          </cell>
          <cell r="E741">
            <v>15.386111111110798</v>
          </cell>
          <cell r="F741">
            <v>62.330555555554909</v>
          </cell>
          <cell r="G741">
            <v>44.274999999999579</v>
          </cell>
          <cell r="H741">
            <v>44.274999999999579</v>
          </cell>
          <cell r="I741" t="e">
            <v>#N/A</v>
          </cell>
          <cell r="J741" t="e">
            <v>#N/A</v>
          </cell>
          <cell r="K741" t="e">
            <v>#N/A</v>
          </cell>
          <cell r="L741" t="e">
            <v>#N/A</v>
          </cell>
          <cell r="M741" t="e">
            <v>#N/A</v>
          </cell>
          <cell r="N741" t="e">
            <v>#N/A</v>
          </cell>
          <cell r="O741" t="e">
            <v>#N/A</v>
          </cell>
          <cell r="P741">
            <v>55.39</v>
          </cell>
          <cell r="Q741" t="str">
            <v/>
          </cell>
          <cell r="R741" t="e">
            <v>#N/A</v>
          </cell>
        </row>
        <row r="742">
          <cell r="A742">
            <v>40291</v>
          </cell>
          <cell r="B742">
            <v>40291</v>
          </cell>
          <cell r="C742" t="str">
            <v>Future</v>
          </cell>
          <cell r="D742" t="e">
            <v>#N/A</v>
          </cell>
          <cell r="E742">
            <v>15.166309523809211</v>
          </cell>
          <cell r="F742">
            <v>62.368690476189826</v>
          </cell>
          <cell r="G742">
            <v>44.213928571428148</v>
          </cell>
          <cell r="H742">
            <v>44.213928571428148</v>
          </cell>
          <cell r="I742" t="e">
            <v>#N/A</v>
          </cell>
          <cell r="J742" t="e">
            <v>#N/A</v>
          </cell>
          <cell r="K742" t="e">
            <v>#N/A</v>
          </cell>
          <cell r="L742" t="e">
            <v>#N/A</v>
          </cell>
          <cell r="M742" t="e">
            <v>#N/A</v>
          </cell>
          <cell r="N742" t="e">
            <v>#N/A</v>
          </cell>
          <cell r="O742" t="e">
            <v>#N/A</v>
          </cell>
          <cell r="P742">
            <v>55.39</v>
          </cell>
          <cell r="Q742" t="str">
            <v/>
          </cell>
          <cell r="R742" t="e">
            <v>#N/A</v>
          </cell>
        </row>
        <row r="743">
          <cell r="A743">
            <v>40294</v>
          </cell>
          <cell r="B743">
            <v>40294</v>
          </cell>
          <cell r="C743" t="str">
            <v>Future</v>
          </cell>
          <cell r="D743" t="e">
            <v>#N/A</v>
          </cell>
          <cell r="E743">
            <v>14.946507936507624</v>
          </cell>
          <cell r="F743">
            <v>62.406825396824743</v>
          </cell>
          <cell r="G743">
            <v>44.152857142856718</v>
          </cell>
          <cell r="H743">
            <v>44.152857142856718</v>
          </cell>
          <cell r="I743" t="e">
            <v>#N/A</v>
          </cell>
          <cell r="J743" t="e">
            <v>#N/A</v>
          </cell>
          <cell r="K743" t="e">
            <v>#N/A</v>
          </cell>
          <cell r="L743" t="e">
            <v>#N/A</v>
          </cell>
          <cell r="M743" t="e">
            <v>#N/A</v>
          </cell>
          <cell r="N743" t="e">
            <v>#N/A</v>
          </cell>
          <cell r="O743" t="e">
            <v>#N/A</v>
          </cell>
          <cell r="P743">
            <v>55.39</v>
          </cell>
          <cell r="Q743" t="str">
            <v/>
          </cell>
          <cell r="R743" t="e">
            <v>#N/A</v>
          </cell>
        </row>
        <row r="744">
          <cell r="A744">
            <v>40295</v>
          </cell>
          <cell r="B744">
            <v>40295</v>
          </cell>
          <cell r="C744" t="str">
            <v>Future</v>
          </cell>
          <cell r="D744" t="e">
            <v>#N/A</v>
          </cell>
          <cell r="E744">
            <v>14.726706349206037</v>
          </cell>
          <cell r="F744">
            <v>62.44496031745966</v>
          </cell>
          <cell r="G744">
            <v>44.091785714285287</v>
          </cell>
          <cell r="H744">
            <v>44.091785714285287</v>
          </cell>
          <cell r="I744" t="e">
            <v>#N/A</v>
          </cell>
          <cell r="J744" t="e">
            <v>#N/A</v>
          </cell>
          <cell r="K744" t="e">
            <v>#N/A</v>
          </cell>
          <cell r="L744" t="e">
            <v>#N/A</v>
          </cell>
          <cell r="M744" t="e">
            <v>#N/A</v>
          </cell>
          <cell r="N744" t="e">
            <v>#N/A</v>
          </cell>
          <cell r="O744" t="e">
            <v>#N/A</v>
          </cell>
          <cell r="P744">
            <v>55.39</v>
          </cell>
          <cell r="Q744" t="str">
            <v/>
          </cell>
          <cell r="R744" t="e">
            <v>#N/A</v>
          </cell>
        </row>
        <row r="745">
          <cell r="A745">
            <v>40296</v>
          </cell>
          <cell r="B745">
            <v>40296</v>
          </cell>
          <cell r="C745" t="str">
            <v>Future</v>
          </cell>
          <cell r="D745" t="e">
            <v>#N/A</v>
          </cell>
          <cell r="E745">
            <v>14.506904761904449</v>
          </cell>
          <cell r="F745">
            <v>62.483095238094577</v>
          </cell>
          <cell r="G745">
            <v>44.030714285713856</v>
          </cell>
          <cell r="H745">
            <v>44.030714285713856</v>
          </cell>
          <cell r="I745" t="e">
            <v>#N/A</v>
          </cell>
          <cell r="J745" t="e">
            <v>#N/A</v>
          </cell>
          <cell r="K745" t="e">
            <v>#N/A</v>
          </cell>
          <cell r="L745" t="e">
            <v>#N/A</v>
          </cell>
          <cell r="M745" t="e">
            <v>#N/A</v>
          </cell>
          <cell r="N745" t="e">
            <v>#N/A</v>
          </cell>
          <cell r="O745" t="e">
            <v>#N/A</v>
          </cell>
          <cell r="P745">
            <v>55.39</v>
          </cell>
          <cell r="Q745" t="str">
            <v/>
          </cell>
          <cell r="R745" t="e">
            <v>#N/A</v>
          </cell>
        </row>
        <row r="746">
          <cell r="A746">
            <v>40297</v>
          </cell>
          <cell r="B746">
            <v>40297</v>
          </cell>
          <cell r="C746" t="str">
            <v>Future</v>
          </cell>
          <cell r="D746" t="e">
            <v>#N/A</v>
          </cell>
          <cell r="E746">
            <v>14.287103174602862</v>
          </cell>
          <cell r="F746">
            <v>62.521230158729495</v>
          </cell>
          <cell r="G746">
            <v>43.969642857142425</v>
          </cell>
          <cell r="H746">
            <v>43.969642857142425</v>
          </cell>
          <cell r="I746" t="e">
            <v>#N/A</v>
          </cell>
          <cell r="J746" t="e">
            <v>#N/A</v>
          </cell>
          <cell r="K746" t="e">
            <v>#N/A</v>
          </cell>
          <cell r="L746" t="e">
            <v>#N/A</v>
          </cell>
          <cell r="M746" t="e">
            <v>#N/A</v>
          </cell>
          <cell r="N746" t="e">
            <v>#N/A</v>
          </cell>
          <cell r="O746" t="e">
            <v>#N/A</v>
          </cell>
          <cell r="P746">
            <v>55.39</v>
          </cell>
          <cell r="Q746" t="str">
            <v/>
          </cell>
          <cell r="R746" t="e">
            <v>#N/A</v>
          </cell>
        </row>
        <row r="747">
          <cell r="A747">
            <v>40298</v>
          </cell>
          <cell r="B747">
            <v>40298</v>
          </cell>
          <cell r="C747" t="str">
            <v>Future</v>
          </cell>
          <cell r="D747" t="e">
            <v>#N/A</v>
          </cell>
          <cell r="E747">
            <v>14.067301587301275</v>
          </cell>
          <cell r="F747">
            <v>62.559365079364412</v>
          </cell>
          <cell r="G747">
            <v>43.908571428570994</v>
          </cell>
          <cell r="H747">
            <v>43.908571428570994</v>
          </cell>
          <cell r="I747" t="e">
            <v>#N/A</v>
          </cell>
          <cell r="J747" t="e">
            <v>#N/A</v>
          </cell>
          <cell r="K747" t="e">
            <v>#N/A</v>
          </cell>
          <cell r="L747" t="e">
            <v>#N/A</v>
          </cell>
          <cell r="M747" t="e">
            <v>#N/A</v>
          </cell>
          <cell r="N747" t="e">
            <v>#N/A</v>
          </cell>
          <cell r="O747" t="e">
            <v>#N/A</v>
          </cell>
          <cell r="P747">
            <v>55.39</v>
          </cell>
          <cell r="Q747" t="str">
            <v/>
          </cell>
          <cell r="R747" t="e">
            <v>#N/A</v>
          </cell>
        </row>
        <row r="748">
          <cell r="A748">
            <v>40301</v>
          </cell>
          <cell r="B748">
            <v>40301</v>
          </cell>
          <cell r="C748" t="str">
            <v>Future</v>
          </cell>
          <cell r="D748" t="e">
            <v>#N/A</v>
          </cell>
          <cell r="E748">
            <v>13.847499999999688</v>
          </cell>
          <cell r="F748">
            <v>62.597499999999329</v>
          </cell>
          <cell r="G748">
            <v>43.847499999999563</v>
          </cell>
          <cell r="H748">
            <v>43.847499999999563</v>
          </cell>
          <cell r="I748" t="e">
            <v>#N/A</v>
          </cell>
          <cell r="J748" t="e">
            <v>#N/A</v>
          </cell>
          <cell r="K748" t="e">
            <v>#N/A</v>
          </cell>
          <cell r="L748" t="e">
            <v>#N/A</v>
          </cell>
          <cell r="M748" t="e">
            <v>#N/A</v>
          </cell>
          <cell r="N748" t="e">
            <v>#N/A</v>
          </cell>
          <cell r="O748" t="e">
            <v>#N/A</v>
          </cell>
          <cell r="P748">
            <v>55.39</v>
          </cell>
          <cell r="Q748" t="str">
            <v/>
          </cell>
          <cell r="R748" t="e">
            <v>#N/A</v>
          </cell>
        </row>
        <row r="749">
          <cell r="A749">
            <v>40302</v>
          </cell>
          <cell r="B749">
            <v>40302</v>
          </cell>
          <cell r="C749" t="str">
            <v>Future</v>
          </cell>
          <cell r="D749" t="e">
            <v>#N/A</v>
          </cell>
          <cell r="E749">
            <v>13.6276984126981</v>
          </cell>
          <cell r="F749">
            <v>62.635634920634246</v>
          </cell>
          <cell r="G749">
            <v>43.786428571428132</v>
          </cell>
          <cell r="H749">
            <v>43.786428571428132</v>
          </cell>
          <cell r="I749" t="e">
            <v>#N/A</v>
          </cell>
          <cell r="J749" t="e">
            <v>#N/A</v>
          </cell>
          <cell r="K749" t="e">
            <v>#N/A</v>
          </cell>
          <cell r="L749" t="e">
            <v>#N/A</v>
          </cell>
          <cell r="M749" t="e">
            <v>#N/A</v>
          </cell>
          <cell r="N749" t="e">
            <v>#N/A</v>
          </cell>
          <cell r="O749" t="e">
            <v>#N/A</v>
          </cell>
          <cell r="P749">
            <v>55.39</v>
          </cell>
          <cell r="Q749" t="str">
            <v/>
          </cell>
          <cell r="R749" t="e">
            <v>#N/A</v>
          </cell>
        </row>
        <row r="750">
          <cell r="A750">
            <v>40303</v>
          </cell>
          <cell r="B750">
            <v>40303</v>
          </cell>
          <cell r="C750" t="str">
            <v>Future</v>
          </cell>
          <cell r="D750" t="e">
            <v>#N/A</v>
          </cell>
          <cell r="E750">
            <v>13.407896825396513</v>
          </cell>
          <cell r="F750">
            <v>62.673769841269163</v>
          </cell>
          <cell r="G750">
            <v>43.725357142856701</v>
          </cell>
          <cell r="H750">
            <v>43.725357142856701</v>
          </cell>
          <cell r="I750" t="e">
            <v>#N/A</v>
          </cell>
          <cell r="J750" t="e">
            <v>#N/A</v>
          </cell>
          <cell r="K750" t="e">
            <v>#N/A</v>
          </cell>
          <cell r="L750" t="e">
            <v>#N/A</v>
          </cell>
          <cell r="M750" t="e">
            <v>#N/A</v>
          </cell>
          <cell r="N750" t="e">
            <v>#N/A</v>
          </cell>
          <cell r="O750" t="e">
            <v>#N/A</v>
          </cell>
          <cell r="P750">
            <v>55.39</v>
          </cell>
          <cell r="Q750" t="str">
            <v/>
          </cell>
          <cell r="R750" t="e">
            <v>#N/A</v>
          </cell>
        </row>
        <row r="751">
          <cell r="A751">
            <v>40304</v>
          </cell>
          <cell r="B751">
            <v>40304</v>
          </cell>
          <cell r="C751" t="str">
            <v>Future</v>
          </cell>
          <cell r="D751" t="e">
            <v>#N/A</v>
          </cell>
          <cell r="E751">
            <v>13.188095238094926</v>
          </cell>
          <cell r="F751">
            <v>62.71190476190408</v>
          </cell>
          <cell r="G751">
            <v>43.664285714285271</v>
          </cell>
          <cell r="H751">
            <v>43.664285714285271</v>
          </cell>
          <cell r="I751" t="e">
            <v>#N/A</v>
          </cell>
          <cell r="J751" t="e">
            <v>#N/A</v>
          </cell>
          <cell r="K751" t="e">
            <v>#N/A</v>
          </cell>
          <cell r="L751" t="e">
            <v>#N/A</v>
          </cell>
          <cell r="M751" t="e">
            <v>#N/A</v>
          </cell>
          <cell r="N751" t="e">
            <v>#N/A</v>
          </cell>
          <cell r="O751" t="e">
            <v>#N/A</v>
          </cell>
          <cell r="P751">
            <v>55.39</v>
          </cell>
          <cell r="Q751" t="str">
            <v/>
          </cell>
          <cell r="R751" t="e">
            <v>#N/A</v>
          </cell>
        </row>
        <row r="752">
          <cell r="A752">
            <v>40305</v>
          </cell>
          <cell r="B752">
            <v>40305</v>
          </cell>
          <cell r="C752" t="str">
            <v>Future</v>
          </cell>
          <cell r="D752" t="e">
            <v>#N/A</v>
          </cell>
          <cell r="E752">
            <v>12.968293650793338</v>
          </cell>
          <cell r="F752">
            <v>62.750039682538997</v>
          </cell>
          <cell r="G752">
            <v>43.60321428571384</v>
          </cell>
          <cell r="H752">
            <v>43.60321428571384</v>
          </cell>
          <cell r="I752" t="e">
            <v>#N/A</v>
          </cell>
          <cell r="J752" t="e">
            <v>#N/A</v>
          </cell>
          <cell r="K752" t="e">
            <v>#N/A</v>
          </cell>
          <cell r="L752" t="e">
            <v>#N/A</v>
          </cell>
          <cell r="M752" t="e">
            <v>#N/A</v>
          </cell>
          <cell r="N752" t="e">
            <v>#N/A</v>
          </cell>
          <cell r="O752" t="e">
            <v>#N/A</v>
          </cell>
          <cell r="P752">
            <v>55.39</v>
          </cell>
          <cell r="Q752" t="str">
            <v/>
          </cell>
          <cell r="R752" t="e">
            <v>#N/A</v>
          </cell>
        </row>
        <row r="753">
          <cell r="A753">
            <v>40308</v>
          </cell>
          <cell r="B753">
            <v>40308</v>
          </cell>
          <cell r="C753" t="str">
            <v>Future</v>
          </cell>
          <cell r="D753" t="e">
            <v>#N/A</v>
          </cell>
          <cell r="E753">
            <v>12.748492063491751</v>
          </cell>
          <cell r="F753">
            <v>62.788174603173914</v>
          </cell>
          <cell r="G753">
            <v>43.542142857142409</v>
          </cell>
          <cell r="H753">
            <v>43.542142857142409</v>
          </cell>
          <cell r="I753" t="e">
            <v>#N/A</v>
          </cell>
          <cell r="J753" t="e">
            <v>#N/A</v>
          </cell>
          <cell r="K753" t="e">
            <v>#N/A</v>
          </cell>
          <cell r="L753" t="e">
            <v>#N/A</v>
          </cell>
          <cell r="M753" t="e">
            <v>#N/A</v>
          </cell>
          <cell r="N753" t="e">
            <v>#N/A</v>
          </cell>
          <cell r="O753" t="e">
            <v>#N/A</v>
          </cell>
          <cell r="P753">
            <v>55.39</v>
          </cell>
          <cell r="Q753" t="str">
            <v/>
          </cell>
          <cell r="R753" t="e">
            <v>#N/A</v>
          </cell>
        </row>
        <row r="754">
          <cell r="A754">
            <v>40309</v>
          </cell>
          <cell r="B754">
            <v>40309</v>
          </cell>
          <cell r="C754" t="str">
            <v>Future</v>
          </cell>
          <cell r="D754" t="e">
            <v>#N/A</v>
          </cell>
          <cell r="E754">
            <v>12.528690476190164</v>
          </cell>
          <cell r="F754">
            <v>62.826309523808831</v>
          </cell>
          <cell r="G754">
            <v>43.481071428570978</v>
          </cell>
          <cell r="H754">
            <v>43.481071428570978</v>
          </cell>
          <cell r="I754" t="e">
            <v>#N/A</v>
          </cell>
          <cell r="J754" t="e">
            <v>#N/A</v>
          </cell>
          <cell r="K754" t="e">
            <v>#N/A</v>
          </cell>
          <cell r="L754" t="e">
            <v>#N/A</v>
          </cell>
          <cell r="M754" t="e">
            <v>#N/A</v>
          </cell>
          <cell r="N754" t="e">
            <v>#N/A</v>
          </cell>
          <cell r="O754" t="e">
            <v>#N/A</v>
          </cell>
          <cell r="P754">
            <v>55.39</v>
          </cell>
          <cell r="Q754" t="str">
            <v/>
          </cell>
          <cell r="R754" t="e">
            <v>#N/A</v>
          </cell>
        </row>
        <row r="755">
          <cell r="A755">
            <v>40310</v>
          </cell>
          <cell r="B755">
            <v>40310</v>
          </cell>
          <cell r="C755" t="str">
            <v>Future</v>
          </cell>
          <cell r="D755" t="e">
            <v>#N/A</v>
          </cell>
          <cell r="E755">
            <v>12.308888888888577</v>
          </cell>
          <cell r="F755">
            <v>62.864444444443748</v>
          </cell>
          <cell r="G755">
            <v>43.419999999999547</v>
          </cell>
          <cell r="H755">
            <v>43.419999999999547</v>
          </cell>
          <cell r="I755" t="e">
            <v>#N/A</v>
          </cell>
          <cell r="J755" t="e">
            <v>#N/A</v>
          </cell>
          <cell r="K755" t="e">
            <v>#N/A</v>
          </cell>
          <cell r="L755" t="e">
            <v>#N/A</v>
          </cell>
          <cell r="M755" t="e">
            <v>#N/A</v>
          </cell>
          <cell r="N755" t="e">
            <v>#N/A</v>
          </cell>
          <cell r="O755" t="e">
            <v>#N/A</v>
          </cell>
          <cell r="P755">
            <v>55.39</v>
          </cell>
          <cell r="Q755" t="str">
            <v/>
          </cell>
          <cell r="R755" t="e">
            <v>#N/A</v>
          </cell>
        </row>
        <row r="756">
          <cell r="A756">
            <v>40311</v>
          </cell>
          <cell r="B756">
            <v>40311</v>
          </cell>
          <cell r="C756" t="str">
            <v>Future</v>
          </cell>
          <cell r="D756" t="e">
            <v>#N/A</v>
          </cell>
          <cell r="E756">
            <v>12.089087301586989</v>
          </cell>
          <cell r="F756">
            <v>62.902579365078665</v>
          </cell>
          <cell r="G756">
            <v>43.358928571428116</v>
          </cell>
          <cell r="H756">
            <v>43.358928571428116</v>
          </cell>
          <cell r="I756" t="e">
            <v>#N/A</v>
          </cell>
          <cell r="J756" t="e">
            <v>#N/A</v>
          </cell>
          <cell r="K756" t="e">
            <v>#N/A</v>
          </cell>
          <cell r="L756" t="e">
            <v>#N/A</v>
          </cell>
          <cell r="M756" t="e">
            <v>#N/A</v>
          </cell>
          <cell r="N756" t="e">
            <v>#N/A</v>
          </cell>
          <cell r="O756" t="e">
            <v>#N/A</v>
          </cell>
          <cell r="P756">
            <v>55.39</v>
          </cell>
          <cell r="Q756" t="str">
            <v/>
          </cell>
          <cell r="R756" t="e">
            <v>#N/A</v>
          </cell>
        </row>
        <row r="757">
          <cell r="A757">
            <v>40312</v>
          </cell>
          <cell r="B757">
            <v>40312</v>
          </cell>
          <cell r="C757" t="str">
            <v>Future</v>
          </cell>
          <cell r="D757" t="e">
            <v>#N/A</v>
          </cell>
          <cell r="E757">
            <v>11.869285714285402</v>
          </cell>
          <cell r="F757">
            <v>62.940714285713582</v>
          </cell>
          <cell r="G757">
            <v>43.297857142856685</v>
          </cell>
          <cell r="H757">
            <v>43.297857142856685</v>
          </cell>
          <cell r="I757" t="e">
            <v>#N/A</v>
          </cell>
          <cell r="J757" t="e">
            <v>#N/A</v>
          </cell>
          <cell r="K757" t="e">
            <v>#N/A</v>
          </cell>
          <cell r="L757" t="e">
            <v>#N/A</v>
          </cell>
          <cell r="M757" t="e">
            <v>#N/A</v>
          </cell>
          <cell r="N757" t="e">
            <v>#N/A</v>
          </cell>
          <cell r="O757" t="e">
            <v>#N/A</v>
          </cell>
          <cell r="P757">
            <v>55.39</v>
          </cell>
          <cell r="Q757" t="str">
            <v/>
          </cell>
          <cell r="R757" t="e">
            <v>#N/A</v>
          </cell>
        </row>
        <row r="758">
          <cell r="A758">
            <v>40315</v>
          </cell>
          <cell r="B758">
            <v>40315</v>
          </cell>
          <cell r="C758" t="str">
            <v>Future</v>
          </cell>
          <cell r="D758" t="e">
            <v>#N/A</v>
          </cell>
          <cell r="E758">
            <v>11.649484126983815</v>
          </cell>
          <cell r="F758">
            <v>62.978849206348499</v>
          </cell>
          <cell r="G758">
            <v>43.236785714285254</v>
          </cell>
          <cell r="H758">
            <v>43.236785714285254</v>
          </cell>
          <cell r="I758" t="e">
            <v>#N/A</v>
          </cell>
          <cell r="J758" t="e">
            <v>#N/A</v>
          </cell>
          <cell r="K758" t="e">
            <v>#N/A</v>
          </cell>
          <cell r="L758" t="e">
            <v>#N/A</v>
          </cell>
          <cell r="M758" t="e">
            <v>#N/A</v>
          </cell>
          <cell r="N758" t="e">
            <v>#N/A</v>
          </cell>
          <cell r="O758" t="e">
            <v>#N/A</v>
          </cell>
          <cell r="P758">
            <v>55.39</v>
          </cell>
          <cell r="Q758" t="str">
            <v/>
          </cell>
          <cell r="R758" t="e">
            <v>#N/A</v>
          </cell>
        </row>
        <row r="759">
          <cell r="A759">
            <v>40316</v>
          </cell>
          <cell r="B759">
            <v>40316</v>
          </cell>
          <cell r="C759" t="str">
            <v>Future</v>
          </cell>
          <cell r="D759" t="e">
            <v>#N/A</v>
          </cell>
          <cell r="E759">
            <v>11.429682539682227</v>
          </cell>
          <cell r="F759">
            <v>63.016984126983417</v>
          </cell>
          <cell r="G759">
            <v>43.175714285713823</v>
          </cell>
          <cell r="H759">
            <v>43.175714285713823</v>
          </cell>
          <cell r="I759" t="e">
            <v>#N/A</v>
          </cell>
          <cell r="J759" t="e">
            <v>#N/A</v>
          </cell>
          <cell r="K759" t="e">
            <v>#N/A</v>
          </cell>
          <cell r="L759" t="e">
            <v>#N/A</v>
          </cell>
          <cell r="M759" t="e">
            <v>#N/A</v>
          </cell>
          <cell r="N759" t="e">
            <v>#N/A</v>
          </cell>
          <cell r="O759" t="e">
            <v>#N/A</v>
          </cell>
          <cell r="P759">
            <v>55.39</v>
          </cell>
          <cell r="Q759" t="str">
            <v/>
          </cell>
          <cell r="R759" t="e">
            <v>#N/A</v>
          </cell>
        </row>
        <row r="760">
          <cell r="A760">
            <v>40317</v>
          </cell>
          <cell r="B760">
            <v>40317</v>
          </cell>
          <cell r="C760" t="str">
            <v>Future</v>
          </cell>
          <cell r="D760" t="e">
            <v>#N/A</v>
          </cell>
          <cell r="E760">
            <v>11.20988095238064</v>
          </cell>
          <cell r="F760">
            <v>63.055119047618334</v>
          </cell>
          <cell r="G760">
            <v>43.114642857142393</v>
          </cell>
          <cell r="H760">
            <v>43.114642857142393</v>
          </cell>
          <cell r="I760" t="e">
            <v>#N/A</v>
          </cell>
          <cell r="J760" t="e">
            <v>#N/A</v>
          </cell>
          <cell r="K760" t="e">
            <v>#N/A</v>
          </cell>
          <cell r="L760" t="e">
            <v>#N/A</v>
          </cell>
          <cell r="M760" t="e">
            <v>#N/A</v>
          </cell>
          <cell r="N760" t="e">
            <v>#N/A</v>
          </cell>
          <cell r="O760" t="e">
            <v>#N/A</v>
          </cell>
          <cell r="P760">
            <v>55.39</v>
          </cell>
          <cell r="Q760" t="str">
            <v/>
          </cell>
          <cell r="R760" t="e">
            <v>#N/A</v>
          </cell>
        </row>
        <row r="761">
          <cell r="A761">
            <v>40318</v>
          </cell>
          <cell r="B761">
            <v>40318</v>
          </cell>
          <cell r="C761" t="str">
            <v>Future</v>
          </cell>
          <cell r="D761" t="e">
            <v>#N/A</v>
          </cell>
          <cell r="E761">
            <v>10.990079365079053</v>
          </cell>
          <cell r="F761">
            <v>63.093253968253251</v>
          </cell>
          <cell r="G761">
            <v>43.053571428570962</v>
          </cell>
          <cell r="H761">
            <v>43.053571428570962</v>
          </cell>
          <cell r="I761" t="e">
            <v>#N/A</v>
          </cell>
          <cell r="J761" t="e">
            <v>#N/A</v>
          </cell>
          <cell r="K761" t="e">
            <v>#N/A</v>
          </cell>
          <cell r="L761" t="e">
            <v>#N/A</v>
          </cell>
          <cell r="M761" t="e">
            <v>#N/A</v>
          </cell>
          <cell r="N761" t="e">
            <v>#N/A</v>
          </cell>
          <cell r="O761" t="e">
            <v>#N/A</v>
          </cell>
          <cell r="P761">
            <v>55.39</v>
          </cell>
          <cell r="Q761" t="str">
            <v/>
          </cell>
          <cell r="R761" t="e">
            <v>#N/A</v>
          </cell>
        </row>
        <row r="762">
          <cell r="A762">
            <v>40319</v>
          </cell>
          <cell r="B762">
            <v>40319</v>
          </cell>
          <cell r="C762" t="str">
            <v>Future</v>
          </cell>
          <cell r="D762" t="e">
            <v>#N/A</v>
          </cell>
          <cell r="E762">
            <v>10.770277777777466</v>
          </cell>
          <cell r="F762">
            <v>63.131388888888168</v>
          </cell>
          <cell r="G762">
            <v>42.992499999999531</v>
          </cell>
          <cell r="H762">
            <v>42.992499999999531</v>
          </cell>
          <cell r="I762" t="e">
            <v>#N/A</v>
          </cell>
          <cell r="J762" t="e">
            <v>#N/A</v>
          </cell>
          <cell r="K762" t="e">
            <v>#N/A</v>
          </cell>
          <cell r="L762" t="e">
            <v>#N/A</v>
          </cell>
          <cell r="M762" t="e">
            <v>#N/A</v>
          </cell>
          <cell r="N762" t="e">
            <v>#N/A</v>
          </cell>
          <cell r="O762" t="e">
            <v>#N/A</v>
          </cell>
          <cell r="P762">
            <v>55.39</v>
          </cell>
          <cell r="Q762" t="str">
            <v/>
          </cell>
          <cell r="R762" t="e">
            <v>#N/A</v>
          </cell>
        </row>
        <row r="763">
          <cell r="A763">
            <v>40322</v>
          </cell>
          <cell r="B763">
            <v>40322</v>
          </cell>
          <cell r="C763" t="str">
            <v>Future</v>
          </cell>
          <cell r="D763" t="e">
            <v>#N/A</v>
          </cell>
          <cell r="E763">
            <v>10.550476190475878</v>
          </cell>
          <cell r="F763">
            <v>63.169523809523085</v>
          </cell>
          <cell r="G763">
            <v>42.9314285714281</v>
          </cell>
          <cell r="H763">
            <v>42.9314285714281</v>
          </cell>
          <cell r="I763" t="e">
            <v>#N/A</v>
          </cell>
          <cell r="J763" t="e">
            <v>#N/A</v>
          </cell>
          <cell r="K763" t="e">
            <v>#N/A</v>
          </cell>
          <cell r="L763" t="e">
            <v>#N/A</v>
          </cell>
          <cell r="M763" t="e">
            <v>#N/A</v>
          </cell>
          <cell r="N763" t="e">
            <v>#N/A</v>
          </cell>
          <cell r="O763" t="e">
            <v>#N/A</v>
          </cell>
          <cell r="P763">
            <v>55.39</v>
          </cell>
          <cell r="Q763" t="str">
            <v/>
          </cell>
          <cell r="R763" t="e">
            <v>#N/A</v>
          </cell>
        </row>
        <row r="764">
          <cell r="A764">
            <v>40323</v>
          </cell>
          <cell r="B764">
            <v>40323</v>
          </cell>
          <cell r="C764" t="str">
            <v>Future</v>
          </cell>
          <cell r="D764" t="e">
            <v>#N/A</v>
          </cell>
          <cell r="E764">
            <v>10.330674603174291</v>
          </cell>
          <cell r="F764">
            <v>63.207658730158002</v>
          </cell>
          <cell r="G764">
            <v>42.870357142856669</v>
          </cell>
          <cell r="H764">
            <v>42.870357142856669</v>
          </cell>
          <cell r="I764" t="e">
            <v>#N/A</v>
          </cell>
          <cell r="J764" t="e">
            <v>#N/A</v>
          </cell>
          <cell r="K764" t="e">
            <v>#N/A</v>
          </cell>
          <cell r="L764" t="e">
            <v>#N/A</v>
          </cell>
          <cell r="M764" t="e">
            <v>#N/A</v>
          </cell>
          <cell r="N764" t="e">
            <v>#N/A</v>
          </cell>
          <cell r="O764" t="e">
            <v>#N/A</v>
          </cell>
          <cell r="P764">
            <v>55.39</v>
          </cell>
          <cell r="Q764" t="str">
            <v/>
          </cell>
          <cell r="R764" t="e">
            <v>#N/A</v>
          </cell>
        </row>
        <row r="765">
          <cell r="A765">
            <v>40324</v>
          </cell>
          <cell r="B765">
            <v>40324</v>
          </cell>
          <cell r="C765" t="str">
            <v>Future</v>
          </cell>
          <cell r="D765" t="e">
            <v>#N/A</v>
          </cell>
          <cell r="E765">
            <v>10.110873015872704</v>
          </cell>
          <cell r="F765">
            <v>63.245793650792919</v>
          </cell>
          <cell r="G765">
            <v>42.809285714285238</v>
          </cell>
          <cell r="H765">
            <v>42.809285714285238</v>
          </cell>
          <cell r="I765" t="e">
            <v>#N/A</v>
          </cell>
          <cell r="J765" t="e">
            <v>#N/A</v>
          </cell>
          <cell r="K765" t="e">
            <v>#N/A</v>
          </cell>
          <cell r="L765" t="e">
            <v>#N/A</v>
          </cell>
          <cell r="M765" t="e">
            <v>#N/A</v>
          </cell>
          <cell r="N765" t="e">
            <v>#N/A</v>
          </cell>
          <cell r="O765" t="e">
            <v>#N/A</v>
          </cell>
          <cell r="P765">
            <v>55.39</v>
          </cell>
          <cell r="Q765" t="str">
            <v/>
          </cell>
          <cell r="R765" t="e">
            <v>#N/A</v>
          </cell>
        </row>
        <row r="766">
          <cell r="A766">
            <v>40325</v>
          </cell>
          <cell r="B766">
            <v>40325</v>
          </cell>
          <cell r="C766" t="str">
            <v>Future</v>
          </cell>
          <cell r="D766" t="e">
            <v>#N/A</v>
          </cell>
          <cell r="E766">
            <v>9.8910714285711165</v>
          </cell>
          <cell r="F766">
            <v>63.283928571427836</v>
          </cell>
          <cell r="G766">
            <v>42.748214285713807</v>
          </cell>
          <cell r="H766">
            <v>42.748214285713807</v>
          </cell>
          <cell r="I766" t="e">
            <v>#N/A</v>
          </cell>
          <cell r="J766" t="e">
            <v>#N/A</v>
          </cell>
          <cell r="K766" t="e">
            <v>#N/A</v>
          </cell>
          <cell r="L766" t="e">
            <v>#N/A</v>
          </cell>
          <cell r="M766" t="e">
            <v>#N/A</v>
          </cell>
          <cell r="N766" t="e">
            <v>#N/A</v>
          </cell>
          <cell r="O766" t="e">
            <v>#N/A</v>
          </cell>
          <cell r="P766">
            <v>55.39</v>
          </cell>
          <cell r="Q766" t="str">
            <v/>
          </cell>
          <cell r="R766" t="e">
            <v>#N/A</v>
          </cell>
        </row>
        <row r="767">
          <cell r="A767">
            <v>40326</v>
          </cell>
          <cell r="B767">
            <v>40326</v>
          </cell>
          <cell r="C767" t="str">
            <v>Future</v>
          </cell>
          <cell r="D767" t="e">
            <v>#N/A</v>
          </cell>
          <cell r="E767">
            <v>9.6712698412695293</v>
          </cell>
          <cell r="F767">
            <v>63.322063492062753</v>
          </cell>
          <cell r="G767">
            <v>42.687142857142376</v>
          </cell>
          <cell r="H767">
            <v>42.687142857142376</v>
          </cell>
          <cell r="I767" t="e">
            <v>#N/A</v>
          </cell>
          <cell r="J767" t="e">
            <v>#N/A</v>
          </cell>
          <cell r="K767" t="e">
            <v>#N/A</v>
          </cell>
          <cell r="L767" t="e">
            <v>#N/A</v>
          </cell>
          <cell r="M767" t="e">
            <v>#N/A</v>
          </cell>
          <cell r="N767" t="e">
            <v>#N/A</v>
          </cell>
          <cell r="O767" t="e">
            <v>#N/A</v>
          </cell>
          <cell r="P767">
            <v>55.39</v>
          </cell>
          <cell r="Q767" t="str">
            <v/>
          </cell>
          <cell r="R767" t="e">
            <v>#N/A</v>
          </cell>
        </row>
        <row r="768">
          <cell r="A768">
            <v>40330</v>
          </cell>
          <cell r="B768">
            <v>40330</v>
          </cell>
          <cell r="C768" t="str">
            <v>Future</v>
          </cell>
          <cell r="D768" t="e">
            <v>#N/A</v>
          </cell>
          <cell r="E768">
            <v>9.451468253967942</v>
          </cell>
          <cell r="F768">
            <v>63.36019841269767</v>
          </cell>
          <cell r="G768">
            <v>42.626071428570945</v>
          </cell>
          <cell r="H768">
            <v>42.626071428570945</v>
          </cell>
          <cell r="I768" t="e">
            <v>#N/A</v>
          </cell>
          <cell r="J768" t="e">
            <v>#N/A</v>
          </cell>
          <cell r="K768" t="e">
            <v>#N/A</v>
          </cell>
          <cell r="L768" t="e">
            <v>#N/A</v>
          </cell>
          <cell r="M768" t="e">
            <v>#N/A</v>
          </cell>
          <cell r="N768" t="e">
            <v>#N/A</v>
          </cell>
          <cell r="O768" t="e">
            <v>#N/A</v>
          </cell>
          <cell r="P768">
            <v>55.39</v>
          </cell>
          <cell r="Q768" t="str">
            <v/>
          </cell>
          <cell r="R768" t="e">
            <v>#N/A</v>
          </cell>
        </row>
        <row r="769">
          <cell r="A769">
            <v>40331</v>
          </cell>
          <cell r="B769">
            <v>40331</v>
          </cell>
          <cell r="C769" t="str">
            <v>Future</v>
          </cell>
          <cell r="D769" t="e">
            <v>#N/A</v>
          </cell>
          <cell r="E769">
            <v>9.2316666666663547</v>
          </cell>
          <cell r="F769">
            <v>63.398333333332587</v>
          </cell>
          <cell r="G769">
            <v>42.564999999999515</v>
          </cell>
          <cell r="H769">
            <v>42.564999999999515</v>
          </cell>
          <cell r="I769" t="e">
            <v>#N/A</v>
          </cell>
          <cell r="J769" t="e">
            <v>#N/A</v>
          </cell>
          <cell r="K769" t="e">
            <v>#N/A</v>
          </cell>
          <cell r="L769" t="e">
            <v>#N/A</v>
          </cell>
          <cell r="M769" t="e">
            <v>#N/A</v>
          </cell>
          <cell r="N769" t="e">
            <v>#N/A</v>
          </cell>
          <cell r="O769" t="e">
            <v>#N/A</v>
          </cell>
          <cell r="P769">
            <v>55.39</v>
          </cell>
          <cell r="Q769" t="str">
            <v/>
          </cell>
          <cell r="R769" t="e">
            <v>#N/A</v>
          </cell>
        </row>
        <row r="770">
          <cell r="A770">
            <v>40332</v>
          </cell>
          <cell r="B770">
            <v>40332</v>
          </cell>
          <cell r="C770" t="str">
            <v>Future</v>
          </cell>
          <cell r="D770" t="e">
            <v>#N/A</v>
          </cell>
          <cell r="E770">
            <v>9.0118650793647674</v>
          </cell>
          <cell r="F770">
            <v>63.436468253967504</v>
          </cell>
          <cell r="G770">
            <v>42.503928571428084</v>
          </cell>
          <cell r="H770">
            <v>42.503928571428084</v>
          </cell>
          <cell r="I770" t="e">
            <v>#N/A</v>
          </cell>
          <cell r="J770" t="e">
            <v>#N/A</v>
          </cell>
          <cell r="K770" t="e">
            <v>#N/A</v>
          </cell>
          <cell r="L770" t="e">
            <v>#N/A</v>
          </cell>
          <cell r="M770" t="e">
            <v>#N/A</v>
          </cell>
          <cell r="N770" t="e">
            <v>#N/A</v>
          </cell>
          <cell r="O770" t="e">
            <v>#N/A</v>
          </cell>
          <cell r="P770">
            <v>55.39</v>
          </cell>
          <cell r="Q770" t="str">
            <v/>
          </cell>
          <cell r="R770" t="e">
            <v>#N/A</v>
          </cell>
        </row>
        <row r="771">
          <cell r="A771">
            <v>40333</v>
          </cell>
          <cell r="B771">
            <v>40333</v>
          </cell>
          <cell r="C771" t="str">
            <v>Future</v>
          </cell>
          <cell r="D771" t="e">
            <v>#N/A</v>
          </cell>
          <cell r="E771">
            <v>8.7920634920631802</v>
          </cell>
          <cell r="F771">
            <v>63.474603174602422</v>
          </cell>
          <cell r="G771">
            <v>42.442857142856653</v>
          </cell>
          <cell r="H771">
            <v>42.442857142856653</v>
          </cell>
          <cell r="I771" t="e">
            <v>#N/A</v>
          </cell>
          <cell r="J771" t="e">
            <v>#N/A</v>
          </cell>
          <cell r="K771" t="e">
            <v>#N/A</v>
          </cell>
          <cell r="L771" t="e">
            <v>#N/A</v>
          </cell>
          <cell r="M771" t="e">
            <v>#N/A</v>
          </cell>
          <cell r="N771" t="e">
            <v>#N/A</v>
          </cell>
          <cell r="O771" t="e">
            <v>#N/A</v>
          </cell>
          <cell r="P771">
            <v>55.39</v>
          </cell>
          <cell r="Q771" t="str">
            <v/>
          </cell>
          <cell r="R771" t="e">
            <v>#N/A</v>
          </cell>
        </row>
        <row r="772">
          <cell r="A772">
            <v>40336</v>
          </cell>
          <cell r="B772">
            <v>40336</v>
          </cell>
          <cell r="C772" t="str">
            <v>Future</v>
          </cell>
          <cell r="D772" t="e">
            <v>#N/A</v>
          </cell>
          <cell r="E772">
            <v>8.5722619047615929</v>
          </cell>
          <cell r="F772">
            <v>63.512738095237339</v>
          </cell>
          <cell r="G772">
            <v>42.381785714285222</v>
          </cell>
          <cell r="H772">
            <v>42.381785714285222</v>
          </cell>
          <cell r="I772" t="e">
            <v>#N/A</v>
          </cell>
          <cell r="J772" t="e">
            <v>#N/A</v>
          </cell>
          <cell r="K772" t="e">
            <v>#N/A</v>
          </cell>
          <cell r="L772" t="e">
            <v>#N/A</v>
          </cell>
          <cell r="M772" t="e">
            <v>#N/A</v>
          </cell>
          <cell r="N772" t="e">
            <v>#N/A</v>
          </cell>
          <cell r="O772" t="e">
            <v>#N/A</v>
          </cell>
          <cell r="P772">
            <v>55.39</v>
          </cell>
          <cell r="Q772" t="str">
            <v/>
          </cell>
          <cell r="R772" t="e">
            <v>#N/A</v>
          </cell>
        </row>
        <row r="773">
          <cell r="A773">
            <v>40337</v>
          </cell>
          <cell r="B773">
            <v>40337</v>
          </cell>
          <cell r="C773" t="str">
            <v>Future</v>
          </cell>
          <cell r="D773" t="e">
            <v>#N/A</v>
          </cell>
          <cell r="E773">
            <v>8.3524603174600056</v>
          </cell>
          <cell r="F773">
            <v>63.550873015872256</v>
          </cell>
          <cell r="G773">
            <v>42.320714285713791</v>
          </cell>
          <cell r="H773">
            <v>42.320714285713791</v>
          </cell>
          <cell r="I773" t="e">
            <v>#N/A</v>
          </cell>
          <cell r="J773" t="e">
            <v>#N/A</v>
          </cell>
          <cell r="K773" t="e">
            <v>#N/A</v>
          </cell>
          <cell r="L773" t="e">
            <v>#N/A</v>
          </cell>
          <cell r="M773" t="e">
            <v>#N/A</v>
          </cell>
          <cell r="N773" t="e">
            <v>#N/A</v>
          </cell>
          <cell r="O773" t="e">
            <v>#N/A</v>
          </cell>
          <cell r="P773">
            <v>55.39</v>
          </cell>
          <cell r="Q773" t="str">
            <v/>
          </cell>
          <cell r="R773" t="e">
            <v>#N/A</v>
          </cell>
        </row>
        <row r="774">
          <cell r="A774">
            <v>40338</v>
          </cell>
          <cell r="B774">
            <v>40338</v>
          </cell>
          <cell r="C774" t="str">
            <v>Future</v>
          </cell>
          <cell r="D774" t="e">
            <v>#N/A</v>
          </cell>
          <cell r="E774">
            <v>8.1326587301584183</v>
          </cell>
          <cell r="F774">
            <v>63.589007936507173</v>
          </cell>
          <cell r="G774">
            <v>42.25964285714236</v>
          </cell>
          <cell r="H774">
            <v>42.25964285714236</v>
          </cell>
          <cell r="I774" t="e">
            <v>#N/A</v>
          </cell>
          <cell r="J774" t="e">
            <v>#N/A</v>
          </cell>
          <cell r="K774" t="e">
            <v>#N/A</v>
          </cell>
          <cell r="L774" t="e">
            <v>#N/A</v>
          </cell>
          <cell r="M774" t="e">
            <v>#N/A</v>
          </cell>
          <cell r="N774" t="e">
            <v>#N/A</v>
          </cell>
          <cell r="O774" t="e">
            <v>#N/A</v>
          </cell>
          <cell r="P774">
            <v>55.39</v>
          </cell>
          <cell r="Q774" t="str">
            <v/>
          </cell>
          <cell r="R774" t="e">
            <v>#N/A</v>
          </cell>
        </row>
        <row r="775">
          <cell r="A775">
            <v>40339</v>
          </cell>
          <cell r="B775">
            <v>40339</v>
          </cell>
          <cell r="C775" t="str">
            <v>Future</v>
          </cell>
          <cell r="D775" t="e">
            <v>#N/A</v>
          </cell>
          <cell r="E775">
            <v>7.9128571428568311</v>
          </cell>
          <cell r="F775">
            <v>63.62714285714209</v>
          </cell>
          <cell r="G775">
            <v>42.198571428570929</v>
          </cell>
          <cell r="H775">
            <v>42.198571428570929</v>
          </cell>
          <cell r="I775" t="e">
            <v>#N/A</v>
          </cell>
          <cell r="J775" t="e">
            <v>#N/A</v>
          </cell>
          <cell r="K775" t="e">
            <v>#N/A</v>
          </cell>
          <cell r="L775" t="e">
            <v>#N/A</v>
          </cell>
          <cell r="M775" t="e">
            <v>#N/A</v>
          </cell>
          <cell r="N775" t="e">
            <v>#N/A</v>
          </cell>
          <cell r="O775" t="e">
            <v>#N/A</v>
          </cell>
          <cell r="P775">
            <v>55.39</v>
          </cell>
          <cell r="Q775" t="str">
            <v/>
          </cell>
          <cell r="R775" t="e">
            <v>#N/A</v>
          </cell>
        </row>
        <row r="776">
          <cell r="A776">
            <v>40340</v>
          </cell>
          <cell r="B776">
            <v>40340</v>
          </cell>
          <cell r="C776" t="str">
            <v>Future</v>
          </cell>
          <cell r="D776" t="e">
            <v>#N/A</v>
          </cell>
          <cell r="E776">
            <v>7.6930555555552438</v>
          </cell>
          <cell r="F776">
            <v>63.665277777777007</v>
          </cell>
          <cell r="G776">
            <v>42.137499999999498</v>
          </cell>
          <cell r="H776">
            <v>42.137499999999498</v>
          </cell>
          <cell r="I776" t="e">
            <v>#N/A</v>
          </cell>
          <cell r="J776" t="e">
            <v>#N/A</v>
          </cell>
          <cell r="K776" t="e">
            <v>#N/A</v>
          </cell>
          <cell r="L776" t="e">
            <v>#N/A</v>
          </cell>
          <cell r="M776" t="e">
            <v>#N/A</v>
          </cell>
          <cell r="N776" t="e">
            <v>#N/A</v>
          </cell>
          <cell r="O776" t="e">
            <v>#N/A</v>
          </cell>
          <cell r="P776">
            <v>55.39</v>
          </cell>
          <cell r="Q776" t="str">
            <v/>
          </cell>
          <cell r="R776" t="e">
            <v>#N/A</v>
          </cell>
        </row>
        <row r="777">
          <cell r="A777">
            <v>40343</v>
          </cell>
          <cell r="B777">
            <v>40343</v>
          </cell>
          <cell r="C777" t="str">
            <v>Future</v>
          </cell>
          <cell r="D777" t="e">
            <v>#N/A</v>
          </cell>
          <cell r="E777">
            <v>7.4732539682536565</v>
          </cell>
          <cell r="F777">
            <v>63.703412698411924</v>
          </cell>
          <cell r="G777">
            <v>42.076428571428067</v>
          </cell>
          <cell r="H777">
            <v>42.076428571428067</v>
          </cell>
          <cell r="I777" t="e">
            <v>#N/A</v>
          </cell>
          <cell r="J777" t="e">
            <v>#N/A</v>
          </cell>
          <cell r="K777" t="e">
            <v>#N/A</v>
          </cell>
          <cell r="L777" t="e">
            <v>#N/A</v>
          </cell>
          <cell r="M777" t="e">
            <v>#N/A</v>
          </cell>
          <cell r="N777" t="e">
            <v>#N/A</v>
          </cell>
          <cell r="O777" t="e">
            <v>#N/A</v>
          </cell>
          <cell r="P777">
            <v>55.39</v>
          </cell>
          <cell r="Q777" t="str">
            <v/>
          </cell>
          <cell r="R777" t="e">
            <v>#N/A</v>
          </cell>
        </row>
        <row r="778">
          <cell r="A778">
            <v>40344</v>
          </cell>
          <cell r="B778">
            <v>40344</v>
          </cell>
          <cell r="C778" t="str">
            <v>Future</v>
          </cell>
          <cell r="D778" t="e">
            <v>#N/A</v>
          </cell>
          <cell r="E778">
            <v>7.2534523809520692</v>
          </cell>
          <cell r="F778">
            <v>63.741547619046841</v>
          </cell>
          <cell r="G778">
            <v>42.015357142856637</v>
          </cell>
          <cell r="H778">
            <v>42.015357142856637</v>
          </cell>
          <cell r="I778" t="e">
            <v>#N/A</v>
          </cell>
          <cell r="J778" t="e">
            <v>#N/A</v>
          </cell>
          <cell r="K778" t="e">
            <v>#N/A</v>
          </cell>
          <cell r="L778" t="e">
            <v>#N/A</v>
          </cell>
          <cell r="M778" t="e">
            <v>#N/A</v>
          </cell>
          <cell r="N778" t="e">
            <v>#N/A</v>
          </cell>
          <cell r="O778" t="e">
            <v>#N/A</v>
          </cell>
          <cell r="P778">
            <v>55.39</v>
          </cell>
          <cell r="Q778" t="str">
            <v/>
          </cell>
          <cell r="R778" t="e">
            <v>#N/A</v>
          </cell>
        </row>
        <row r="779">
          <cell r="A779">
            <v>40345</v>
          </cell>
          <cell r="B779">
            <v>40345</v>
          </cell>
          <cell r="C779" t="str">
            <v>Future</v>
          </cell>
          <cell r="D779" t="e">
            <v>#N/A</v>
          </cell>
          <cell r="E779">
            <v>7.033650793650482</v>
          </cell>
          <cell r="F779">
            <v>63.779682539681758</v>
          </cell>
          <cell r="G779">
            <v>41.954285714285206</v>
          </cell>
          <cell r="H779">
            <v>41.954285714285206</v>
          </cell>
          <cell r="I779" t="e">
            <v>#N/A</v>
          </cell>
          <cell r="J779" t="e">
            <v>#N/A</v>
          </cell>
          <cell r="K779" t="e">
            <v>#N/A</v>
          </cell>
          <cell r="L779" t="e">
            <v>#N/A</v>
          </cell>
          <cell r="M779" t="e">
            <v>#N/A</v>
          </cell>
          <cell r="N779" t="e">
            <v>#N/A</v>
          </cell>
          <cell r="O779" t="e">
            <v>#N/A</v>
          </cell>
          <cell r="P779">
            <v>55.39</v>
          </cell>
          <cell r="Q779" t="str">
            <v/>
          </cell>
          <cell r="R779" t="e">
            <v>#N/A</v>
          </cell>
        </row>
        <row r="780">
          <cell r="A780">
            <v>40346</v>
          </cell>
          <cell r="B780">
            <v>40346</v>
          </cell>
          <cell r="C780" t="str">
            <v>Future</v>
          </cell>
          <cell r="D780" t="e">
            <v>#N/A</v>
          </cell>
          <cell r="E780">
            <v>6.8138492063488947</v>
          </cell>
          <cell r="F780">
            <v>63.817817460316675</v>
          </cell>
          <cell r="G780">
            <v>41.893214285713775</v>
          </cell>
          <cell r="H780">
            <v>41.893214285713775</v>
          </cell>
          <cell r="I780" t="e">
            <v>#N/A</v>
          </cell>
          <cell r="J780" t="e">
            <v>#N/A</v>
          </cell>
          <cell r="K780" t="e">
            <v>#N/A</v>
          </cell>
          <cell r="L780" t="e">
            <v>#N/A</v>
          </cell>
          <cell r="M780" t="e">
            <v>#N/A</v>
          </cell>
          <cell r="N780" t="e">
            <v>#N/A</v>
          </cell>
          <cell r="O780" t="e">
            <v>#N/A</v>
          </cell>
          <cell r="P780">
            <v>55.39</v>
          </cell>
          <cell r="Q780" t="str">
            <v/>
          </cell>
          <cell r="R780" t="e">
            <v>#N/A</v>
          </cell>
        </row>
        <row r="781">
          <cell r="A781">
            <v>40347</v>
          </cell>
          <cell r="B781">
            <v>40347</v>
          </cell>
          <cell r="C781" t="str">
            <v>Future</v>
          </cell>
          <cell r="D781" t="e">
            <v>#N/A</v>
          </cell>
          <cell r="E781">
            <v>6.5940476190473074</v>
          </cell>
          <cell r="F781">
            <v>63.855952380951592</v>
          </cell>
          <cell r="G781">
            <v>41.832142857142344</v>
          </cell>
          <cell r="H781">
            <v>41.832142857142344</v>
          </cell>
          <cell r="I781" t="e">
            <v>#N/A</v>
          </cell>
          <cell r="J781" t="e">
            <v>#N/A</v>
          </cell>
          <cell r="K781" t="e">
            <v>#N/A</v>
          </cell>
          <cell r="L781" t="e">
            <v>#N/A</v>
          </cell>
          <cell r="M781" t="e">
            <v>#N/A</v>
          </cell>
          <cell r="N781" t="e">
            <v>#N/A</v>
          </cell>
          <cell r="O781" t="e">
            <v>#N/A</v>
          </cell>
          <cell r="P781">
            <v>55.39</v>
          </cell>
          <cell r="Q781" t="str">
            <v/>
          </cell>
          <cell r="R781" t="e">
            <v>#N/A</v>
          </cell>
        </row>
        <row r="782">
          <cell r="A782">
            <v>40350</v>
          </cell>
          <cell r="B782">
            <v>40350</v>
          </cell>
          <cell r="C782" t="str">
            <v>Future</v>
          </cell>
          <cell r="D782" t="e">
            <v>#N/A</v>
          </cell>
          <cell r="E782">
            <v>6.3742460317457201</v>
          </cell>
          <cell r="F782">
            <v>63.894087301586509</v>
          </cell>
          <cell r="G782">
            <v>41.771071428570913</v>
          </cell>
          <cell r="H782">
            <v>41.771071428570913</v>
          </cell>
          <cell r="I782" t="e">
            <v>#N/A</v>
          </cell>
          <cell r="J782" t="e">
            <v>#N/A</v>
          </cell>
          <cell r="K782" t="e">
            <v>#N/A</v>
          </cell>
          <cell r="L782" t="e">
            <v>#N/A</v>
          </cell>
          <cell r="M782" t="e">
            <v>#N/A</v>
          </cell>
          <cell r="N782" t="e">
            <v>#N/A</v>
          </cell>
          <cell r="O782" t="e">
            <v>#N/A</v>
          </cell>
          <cell r="P782">
            <v>55.39</v>
          </cell>
          <cell r="Q782" t="str">
            <v/>
          </cell>
          <cell r="R782" t="e">
            <v>#N/A</v>
          </cell>
        </row>
        <row r="783">
          <cell r="A783">
            <v>40351</v>
          </cell>
          <cell r="B783">
            <v>40351</v>
          </cell>
          <cell r="C783" t="str">
            <v>Future</v>
          </cell>
          <cell r="D783" t="e">
            <v>#N/A</v>
          </cell>
          <cell r="E783">
            <v>6.1544444444441329</v>
          </cell>
          <cell r="F783">
            <v>63.932222222221426</v>
          </cell>
          <cell r="G783">
            <v>41.709999999999482</v>
          </cell>
          <cell r="H783">
            <v>41.709999999999482</v>
          </cell>
          <cell r="I783" t="e">
            <v>#N/A</v>
          </cell>
          <cell r="J783" t="e">
            <v>#N/A</v>
          </cell>
          <cell r="K783" t="e">
            <v>#N/A</v>
          </cell>
          <cell r="L783" t="e">
            <v>#N/A</v>
          </cell>
          <cell r="M783" t="e">
            <v>#N/A</v>
          </cell>
          <cell r="N783" t="e">
            <v>#N/A</v>
          </cell>
          <cell r="O783" t="e">
            <v>#N/A</v>
          </cell>
          <cell r="P783">
            <v>55.39</v>
          </cell>
          <cell r="Q783" t="str">
            <v/>
          </cell>
          <cell r="R783" t="e">
            <v>#N/A</v>
          </cell>
        </row>
        <row r="784">
          <cell r="A784">
            <v>40352</v>
          </cell>
          <cell r="B784">
            <v>40352</v>
          </cell>
          <cell r="C784" t="str">
            <v>Future</v>
          </cell>
          <cell r="D784" t="e">
            <v>#N/A</v>
          </cell>
          <cell r="E784">
            <v>5.9346428571425456</v>
          </cell>
          <cell r="F784">
            <v>63.970357142856344</v>
          </cell>
          <cell r="G784">
            <v>41.648928571428051</v>
          </cell>
          <cell r="H784">
            <v>41.648928571428051</v>
          </cell>
          <cell r="I784" t="e">
            <v>#N/A</v>
          </cell>
          <cell r="J784" t="e">
            <v>#N/A</v>
          </cell>
          <cell r="K784" t="e">
            <v>#N/A</v>
          </cell>
          <cell r="L784" t="e">
            <v>#N/A</v>
          </cell>
          <cell r="M784" t="e">
            <v>#N/A</v>
          </cell>
          <cell r="N784" t="e">
            <v>#N/A</v>
          </cell>
          <cell r="O784" t="e">
            <v>#N/A</v>
          </cell>
          <cell r="P784">
            <v>55.39</v>
          </cell>
          <cell r="Q784" t="str">
            <v/>
          </cell>
          <cell r="R784" t="e">
            <v>#N/A</v>
          </cell>
        </row>
        <row r="785">
          <cell r="A785">
            <v>40353</v>
          </cell>
          <cell r="B785">
            <v>40353</v>
          </cell>
          <cell r="C785" t="str">
            <v>Future</v>
          </cell>
          <cell r="D785" t="e">
            <v>#N/A</v>
          </cell>
          <cell r="E785">
            <v>5.7148412698409583</v>
          </cell>
          <cell r="F785">
            <v>64.008492063491261</v>
          </cell>
          <cell r="G785">
            <v>41.58785714285662</v>
          </cell>
          <cell r="H785">
            <v>41.58785714285662</v>
          </cell>
          <cell r="I785" t="e">
            <v>#N/A</v>
          </cell>
          <cell r="J785" t="e">
            <v>#N/A</v>
          </cell>
          <cell r="K785" t="e">
            <v>#N/A</v>
          </cell>
          <cell r="L785" t="e">
            <v>#N/A</v>
          </cell>
          <cell r="M785" t="e">
            <v>#N/A</v>
          </cell>
          <cell r="N785" t="e">
            <v>#N/A</v>
          </cell>
          <cell r="O785" t="e">
            <v>#N/A</v>
          </cell>
          <cell r="P785">
            <v>55.39</v>
          </cell>
          <cell r="Q785" t="str">
            <v/>
          </cell>
          <cell r="R785" t="e">
            <v>#N/A</v>
          </cell>
        </row>
        <row r="786">
          <cell r="A786">
            <v>40354</v>
          </cell>
          <cell r="B786">
            <v>40354</v>
          </cell>
          <cell r="C786" t="str">
            <v>Future</v>
          </cell>
          <cell r="D786" t="e">
            <v>#N/A</v>
          </cell>
          <cell r="E786">
            <v>5.495039682539371</v>
          </cell>
          <cell r="F786">
            <v>64.046626984126178</v>
          </cell>
          <cell r="G786">
            <v>41.526785714285189</v>
          </cell>
          <cell r="H786">
            <v>41.526785714285189</v>
          </cell>
          <cell r="I786" t="e">
            <v>#N/A</v>
          </cell>
          <cell r="J786" t="e">
            <v>#N/A</v>
          </cell>
          <cell r="K786" t="e">
            <v>#N/A</v>
          </cell>
          <cell r="L786" t="e">
            <v>#N/A</v>
          </cell>
          <cell r="M786" t="e">
            <v>#N/A</v>
          </cell>
          <cell r="N786" t="e">
            <v>#N/A</v>
          </cell>
          <cell r="O786" t="e">
            <v>#N/A</v>
          </cell>
          <cell r="P786">
            <v>55.39</v>
          </cell>
          <cell r="Q786" t="str">
            <v/>
          </cell>
          <cell r="R786" t="e">
            <v>#N/A</v>
          </cell>
        </row>
        <row r="787">
          <cell r="A787">
            <v>40357</v>
          </cell>
          <cell r="B787">
            <v>40357</v>
          </cell>
          <cell r="C787" t="str">
            <v>Future</v>
          </cell>
          <cell r="D787" t="e">
            <v>#N/A</v>
          </cell>
          <cell r="E787">
            <v>5.2752380952377838</v>
          </cell>
          <cell r="F787">
            <v>64.084761904761095</v>
          </cell>
          <cell r="G787">
            <v>41.465714285713759</v>
          </cell>
          <cell r="H787">
            <v>41.465714285713759</v>
          </cell>
          <cell r="I787" t="e">
            <v>#N/A</v>
          </cell>
          <cell r="J787" t="e">
            <v>#N/A</v>
          </cell>
          <cell r="K787" t="e">
            <v>#N/A</v>
          </cell>
          <cell r="L787" t="e">
            <v>#N/A</v>
          </cell>
          <cell r="M787" t="e">
            <v>#N/A</v>
          </cell>
          <cell r="N787" t="e">
            <v>#N/A</v>
          </cell>
          <cell r="O787" t="e">
            <v>#N/A</v>
          </cell>
          <cell r="P787">
            <v>55.39</v>
          </cell>
          <cell r="Q787" t="str">
            <v/>
          </cell>
          <cell r="R787" t="e">
            <v>#N/A</v>
          </cell>
        </row>
        <row r="788">
          <cell r="A788">
            <v>40358</v>
          </cell>
          <cell r="B788">
            <v>40358</v>
          </cell>
          <cell r="C788" t="str">
            <v>Future</v>
          </cell>
          <cell r="D788" t="e">
            <v>#N/A</v>
          </cell>
          <cell r="E788">
            <v>5.0554365079361965</v>
          </cell>
          <cell r="F788">
            <v>64.122896825396012</v>
          </cell>
          <cell r="G788">
            <v>41.404642857142328</v>
          </cell>
          <cell r="H788">
            <v>41.404642857142328</v>
          </cell>
          <cell r="I788" t="e">
            <v>#N/A</v>
          </cell>
          <cell r="J788" t="e">
            <v>#N/A</v>
          </cell>
          <cell r="K788" t="e">
            <v>#N/A</v>
          </cell>
          <cell r="L788" t="e">
            <v>#N/A</v>
          </cell>
          <cell r="M788" t="e">
            <v>#N/A</v>
          </cell>
          <cell r="N788" t="e">
            <v>#N/A</v>
          </cell>
          <cell r="O788" t="e">
            <v>#N/A</v>
          </cell>
          <cell r="P788">
            <v>55.39</v>
          </cell>
          <cell r="Q788" t="str">
            <v/>
          </cell>
          <cell r="R788" t="e">
            <v>#N/A</v>
          </cell>
        </row>
        <row r="789">
          <cell r="A789">
            <v>40359</v>
          </cell>
          <cell r="B789">
            <v>40359</v>
          </cell>
          <cell r="C789" t="str">
            <v>Future</v>
          </cell>
          <cell r="D789" t="e">
            <v>#N/A</v>
          </cell>
          <cell r="E789">
            <v>4.8356349206346092</v>
          </cell>
          <cell r="F789">
            <v>64.161031746030929</v>
          </cell>
          <cell r="G789">
            <v>41.343571428570897</v>
          </cell>
          <cell r="H789">
            <v>41.343571428570897</v>
          </cell>
          <cell r="I789" t="e">
            <v>#N/A</v>
          </cell>
          <cell r="J789" t="e">
            <v>#N/A</v>
          </cell>
          <cell r="K789" t="e">
            <v>#N/A</v>
          </cell>
          <cell r="L789" t="e">
            <v>#N/A</v>
          </cell>
          <cell r="M789" t="e">
            <v>#N/A</v>
          </cell>
          <cell r="N789" t="e">
            <v>#N/A</v>
          </cell>
          <cell r="O789" t="e">
            <v>#N/A</v>
          </cell>
          <cell r="P789">
            <v>55.39</v>
          </cell>
          <cell r="Q789" t="str">
            <v/>
          </cell>
          <cell r="R789" t="e">
            <v>#N/A</v>
          </cell>
        </row>
        <row r="790">
          <cell r="A790">
            <v>40360</v>
          </cell>
          <cell r="B790">
            <v>40360</v>
          </cell>
          <cell r="C790" t="str">
            <v>Future</v>
          </cell>
          <cell r="D790" t="e">
            <v>#N/A</v>
          </cell>
          <cell r="E790">
            <v>4.6158333333330219</v>
          </cell>
          <cell r="F790">
            <v>64.199166666665846</v>
          </cell>
          <cell r="G790">
            <v>41.282499999999466</v>
          </cell>
          <cell r="H790">
            <v>41.282499999999466</v>
          </cell>
          <cell r="I790" t="e">
            <v>#N/A</v>
          </cell>
          <cell r="J790" t="e">
            <v>#N/A</v>
          </cell>
          <cell r="K790" t="e">
            <v>#N/A</v>
          </cell>
          <cell r="L790" t="e">
            <v>#N/A</v>
          </cell>
          <cell r="M790" t="e">
            <v>#N/A</v>
          </cell>
          <cell r="N790" t="e">
            <v>#N/A</v>
          </cell>
          <cell r="O790" t="e">
            <v>#N/A</v>
          </cell>
          <cell r="P790">
            <v>55.39</v>
          </cell>
          <cell r="Q790" t="str">
            <v/>
          </cell>
          <cell r="R790" t="e">
            <v>#N/A</v>
          </cell>
        </row>
        <row r="791">
          <cell r="A791">
            <v>40361</v>
          </cell>
          <cell r="B791">
            <v>40361</v>
          </cell>
          <cell r="C791" t="str">
            <v>Future</v>
          </cell>
          <cell r="D791" t="e">
            <v>#N/A</v>
          </cell>
          <cell r="E791">
            <v>4.3960317460314347</v>
          </cell>
          <cell r="F791">
            <v>64.237301587300763</v>
          </cell>
          <cell r="G791">
            <v>41.221428571428035</v>
          </cell>
          <cell r="H791">
            <v>41.221428571428035</v>
          </cell>
          <cell r="I791" t="e">
            <v>#N/A</v>
          </cell>
          <cell r="J791" t="e">
            <v>#N/A</v>
          </cell>
          <cell r="K791" t="e">
            <v>#N/A</v>
          </cell>
          <cell r="L791" t="e">
            <v>#N/A</v>
          </cell>
          <cell r="M791" t="e">
            <v>#N/A</v>
          </cell>
          <cell r="N791" t="e">
            <v>#N/A</v>
          </cell>
          <cell r="O791" t="e">
            <v>#N/A</v>
          </cell>
          <cell r="P791">
            <v>55.39</v>
          </cell>
          <cell r="Q791" t="str">
            <v/>
          </cell>
          <cell r="R791" t="e">
            <v>#N/A</v>
          </cell>
        </row>
        <row r="792">
          <cell r="A792">
            <v>40365</v>
          </cell>
          <cell r="B792">
            <v>40365</v>
          </cell>
          <cell r="C792" t="str">
            <v>Future</v>
          </cell>
          <cell r="D792" t="e">
            <v>#N/A</v>
          </cell>
          <cell r="E792">
            <v>4.1762301587298474</v>
          </cell>
          <cell r="F792">
            <v>64.27543650793568</v>
          </cell>
          <cell r="G792">
            <v>41.160357142856604</v>
          </cell>
          <cell r="H792">
            <v>41.160357142856604</v>
          </cell>
          <cell r="I792" t="e">
            <v>#N/A</v>
          </cell>
          <cell r="J792" t="e">
            <v>#N/A</v>
          </cell>
          <cell r="K792" t="e">
            <v>#N/A</v>
          </cell>
          <cell r="L792" t="e">
            <v>#N/A</v>
          </cell>
          <cell r="M792" t="e">
            <v>#N/A</v>
          </cell>
          <cell r="N792" t="e">
            <v>#N/A</v>
          </cell>
          <cell r="O792" t="e">
            <v>#N/A</v>
          </cell>
          <cell r="P792">
            <v>55.39</v>
          </cell>
          <cell r="Q792" t="str">
            <v/>
          </cell>
          <cell r="R792" t="e">
            <v>#N/A</v>
          </cell>
        </row>
        <row r="793">
          <cell r="A793">
            <v>40366</v>
          </cell>
          <cell r="B793">
            <v>40366</v>
          </cell>
          <cell r="C793" t="str">
            <v>Future</v>
          </cell>
          <cell r="D793" t="e">
            <v>#N/A</v>
          </cell>
          <cell r="E793">
            <v>3.9564285714282601</v>
          </cell>
          <cell r="F793">
            <v>64.313571428570597</v>
          </cell>
          <cell r="G793">
            <v>41.099285714285173</v>
          </cell>
          <cell r="H793">
            <v>41.099285714285173</v>
          </cell>
          <cell r="I793" t="e">
            <v>#N/A</v>
          </cell>
          <cell r="J793" t="e">
            <v>#N/A</v>
          </cell>
          <cell r="K793" t="e">
            <v>#N/A</v>
          </cell>
          <cell r="L793" t="e">
            <v>#N/A</v>
          </cell>
          <cell r="M793" t="e">
            <v>#N/A</v>
          </cell>
          <cell r="N793" t="e">
            <v>#N/A</v>
          </cell>
          <cell r="O793" t="e">
            <v>#N/A</v>
          </cell>
          <cell r="P793">
            <v>55.39</v>
          </cell>
          <cell r="Q793" t="str">
            <v/>
          </cell>
          <cell r="R793" t="e">
            <v>#N/A</v>
          </cell>
        </row>
        <row r="794">
          <cell r="A794">
            <v>40367</v>
          </cell>
          <cell r="B794">
            <v>40367</v>
          </cell>
          <cell r="C794" t="str">
            <v>Future</v>
          </cell>
          <cell r="D794" t="e">
            <v>#N/A</v>
          </cell>
          <cell r="E794">
            <v>3.7366269841266728</v>
          </cell>
          <cell r="F794">
            <v>64.351706349205514</v>
          </cell>
          <cell r="G794">
            <v>41.038214285713742</v>
          </cell>
          <cell r="H794">
            <v>41.038214285713742</v>
          </cell>
          <cell r="I794" t="e">
            <v>#N/A</v>
          </cell>
          <cell r="J794" t="e">
            <v>#N/A</v>
          </cell>
          <cell r="K794" t="e">
            <v>#N/A</v>
          </cell>
          <cell r="L794" t="e">
            <v>#N/A</v>
          </cell>
          <cell r="M794" t="e">
            <v>#N/A</v>
          </cell>
          <cell r="N794" t="e">
            <v>#N/A</v>
          </cell>
          <cell r="O794" t="e">
            <v>#N/A</v>
          </cell>
          <cell r="P794">
            <v>55.39</v>
          </cell>
          <cell r="Q794" t="str">
            <v/>
          </cell>
          <cell r="R794" t="e">
            <v>#N/A</v>
          </cell>
        </row>
        <row r="795">
          <cell r="A795">
            <v>40368</v>
          </cell>
          <cell r="B795">
            <v>40368</v>
          </cell>
          <cell r="C795" t="str">
            <v>Future</v>
          </cell>
          <cell r="D795" t="e">
            <v>#N/A</v>
          </cell>
          <cell r="E795">
            <v>3.5168253968250855</v>
          </cell>
          <cell r="F795">
            <v>64.389841269840431</v>
          </cell>
          <cell r="G795">
            <v>40.977142857142312</v>
          </cell>
          <cell r="H795">
            <v>40.977142857142312</v>
          </cell>
          <cell r="I795" t="e">
            <v>#N/A</v>
          </cell>
          <cell r="J795" t="e">
            <v>#N/A</v>
          </cell>
          <cell r="K795" t="e">
            <v>#N/A</v>
          </cell>
          <cell r="L795" t="e">
            <v>#N/A</v>
          </cell>
          <cell r="M795" t="e">
            <v>#N/A</v>
          </cell>
          <cell r="N795" t="e">
            <v>#N/A</v>
          </cell>
          <cell r="O795" t="e">
            <v>#N/A</v>
          </cell>
          <cell r="P795">
            <v>55.39</v>
          </cell>
          <cell r="Q795" t="str">
            <v/>
          </cell>
          <cell r="R795" t="e">
            <v>#N/A</v>
          </cell>
        </row>
        <row r="796">
          <cell r="A796">
            <v>40371</v>
          </cell>
          <cell r="B796">
            <v>40371</v>
          </cell>
          <cell r="C796" t="str">
            <v>Future</v>
          </cell>
          <cell r="D796" t="e">
            <v>#N/A</v>
          </cell>
          <cell r="E796">
            <v>3.2970238095234983</v>
          </cell>
          <cell r="F796">
            <v>64.427976190475349</v>
          </cell>
          <cell r="G796">
            <v>40.916071428570881</v>
          </cell>
          <cell r="H796">
            <v>40.916071428570881</v>
          </cell>
          <cell r="I796" t="e">
            <v>#N/A</v>
          </cell>
          <cell r="J796" t="e">
            <v>#N/A</v>
          </cell>
          <cell r="K796" t="e">
            <v>#N/A</v>
          </cell>
          <cell r="L796" t="e">
            <v>#N/A</v>
          </cell>
          <cell r="M796" t="e">
            <v>#N/A</v>
          </cell>
          <cell r="N796" t="e">
            <v>#N/A</v>
          </cell>
          <cell r="O796" t="e">
            <v>#N/A</v>
          </cell>
          <cell r="P796">
            <v>55.39</v>
          </cell>
          <cell r="Q796" t="str">
            <v/>
          </cell>
          <cell r="R796" t="e">
            <v>#N/A</v>
          </cell>
        </row>
        <row r="797">
          <cell r="A797">
            <v>40372</v>
          </cell>
          <cell r="B797">
            <v>40372</v>
          </cell>
          <cell r="C797" t="str">
            <v>Future</v>
          </cell>
          <cell r="D797" t="e">
            <v>#N/A</v>
          </cell>
          <cell r="E797">
            <v>3.077222222221911</v>
          </cell>
          <cell r="F797">
            <v>64.466111111110266</v>
          </cell>
          <cell r="G797">
            <v>40.85499999999945</v>
          </cell>
          <cell r="H797">
            <v>40.85499999999945</v>
          </cell>
          <cell r="I797" t="e">
            <v>#N/A</v>
          </cell>
          <cell r="J797" t="e">
            <v>#N/A</v>
          </cell>
          <cell r="K797" t="e">
            <v>#N/A</v>
          </cell>
          <cell r="L797" t="e">
            <v>#N/A</v>
          </cell>
          <cell r="M797" t="e">
            <v>#N/A</v>
          </cell>
          <cell r="N797" t="e">
            <v>#N/A</v>
          </cell>
          <cell r="O797" t="e">
            <v>#N/A</v>
          </cell>
          <cell r="P797">
            <v>55.39</v>
          </cell>
          <cell r="Q797" t="str">
            <v/>
          </cell>
          <cell r="R797" t="e">
            <v>#N/A</v>
          </cell>
        </row>
        <row r="798">
          <cell r="A798">
            <v>40373</v>
          </cell>
          <cell r="B798">
            <v>40373</v>
          </cell>
          <cell r="C798" t="str">
            <v>Future</v>
          </cell>
          <cell r="D798" t="e">
            <v>#N/A</v>
          </cell>
          <cell r="E798">
            <v>2.8574206349203237</v>
          </cell>
          <cell r="F798">
            <v>64.504246031745183</v>
          </cell>
          <cell r="G798">
            <v>40.793928571428019</v>
          </cell>
          <cell r="H798">
            <v>40.793928571428019</v>
          </cell>
          <cell r="I798" t="e">
            <v>#N/A</v>
          </cell>
          <cell r="J798" t="e">
            <v>#N/A</v>
          </cell>
          <cell r="K798" t="e">
            <v>#N/A</v>
          </cell>
          <cell r="L798" t="e">
            <v>#N/A</v>
          </cell>
          <cell r="M798" t="e">
            <v>#N/A</v>
          </cell>
          <cell r="N798" t="e">
            <v>#N/A</v>
          </cell>
          <cell r="O798" t="e">
            <v>#N/A</v>
          </cell>
          <cell r="P798">
            <v>55.39</v>
          </cell>
          <cell r="Q798" t="str">
            <v/>
          </cell>
          <cell r="R798" t="e">
            <v>#N/A</v>
          </cell>
        </row>
        <row r="799">
          <cell r="A799">
            <v>40374</v>
          </cell>
          <cell r="B799">
            <v>40374</v>
          </cell>
          <cell r="C799" t="str">
            <v>Future</v>
          </cell>
          <cell r="D799" t="e">
            <v>#N/A</v>
          </cell>
          <cell r="E799">
            <v>2.6376190476187364</v>
          </cell>
          <cell r="F799">
            <v>64.5423809523801</v>
          </cell>
          <cell r="G799">
            <v>40.732857142856588</v>
          </cell>
          <cell r="H799">
            <v>40.732857142856588</v>
          </cell>
          <cell r="I799" t="e">
            <v>#N/A</v>
          </cell>
          <cell r="J799" t="e">
            <v>#N/A</v>
          </cell>
          <cell r="K799" t="e">
            <v>#N/A</v>
          </cell>
          <cell r="L799" t="e">
            <v>#N/A</v>
          </cell>
          <cell r="M799" t="e">
            <v>#N/A</v>
          </cell>
          <cell r="N799" t="e">
            <v>#N/A</v>
          </cell>
          <cell r="O799" t="e">
            <v>#N/A</v>
          </cell>
          <cell r="P799">
            <v>55.39</v>
          </cell>
          <cell r="Q799" t="str">
            <v/>
          </cell>
          <cell r="R799" t="e">
            <v>#N/A</v>
          </cell>
        </row>
        <row r="800">
          <cell r="A800">
            <v>40375</v>
          </cell>
          <cell r="B800">
            <v>40375</v>
          </cell>
          <cell r="C800" t="str">
            <v>Future</v>
          </cell>
          <cell r="D800" t="e">
            <v>#N/A</v>
          </cell>
          <cell r="E800">
            <v>2.4178174603171492</v>
          </cell>
          <cell r="F800">
            <v>64.580515873015017</v>
          </cell>
          <cell r="G800">
            <v>40.671785714285157</v>
          </cell>
          <cell r="H800">
            <v>40.671785714285157</v>
          </cell>
          <cell r="I800" t="e">
            <v>#N/A</v>
          </cell>
          <cell r="J800" t="e">
            <v>#N/A</v>
          </cell>
          <cell r="K800" t="e">
            <v>#N/A</v>
          </cell>
          <cell r="L800" t="e">
            <v>#N/A</v>
          </cell>
          <cell r="M800" t="e">
            <v>#N/A</v>
          </cell>
          <cell r="N800" t="e">
            <v>#N/A</v>
          </cell>
          <cell r="O800" t="e">
            <v>#N/A</v>
          </cell>
          <cell r="P800">
            <v>55.39</v>
          </cell>
          <cell r="Q800" t="str">
            <v/>
          </cell>
          <cell r="R800" t="e">
            <v>#N/A</v>
          </cell>
        </row>
        <row r="801">
          <cell r="A801">
            <v>40378</v>
          </cell>
          <cell r="B801">
            <v>40378</v>
          </cell>
          <cell r="C801" t="str">
            <v>Future</v>
          </cell>
          <cell r="D801" t="e">
            <v>#N/A</v>
          </cell>
          <cell r="E801">
            <v>2.1980158730155619</v>
          </cell>
          <cell r="F801">
            <v>64.618650793649934</v>
          </cell>
          <cell r="G801">
            <v>40.610714285713726</v>
          </cell>
          <cell r="H801">
            <v>40.610714285713726</v>
          </cell>
          <cell r="I801" t="e">
            <v>#N/A</v>
          </cell>
          <cell r="J801" t="e">
            <v>#N/A</v>
          </cell>
          <cell r="K801" t="e">
            <v>#N/A</v>
          </cell>
          <cell r="L801" t="e">
            <v>#N/A</v>
          </cell>
          <cell r="M801" t="e">
            <v>#N/A</v>
          </cell>
          <cell r="N801" t="e">
            <v>#N/A</v>
          </cell>
          <cell r="O801" t="e">
            <v>#N/A</v>
          </cell>
          <cell r="P801">
            <v>55.39</v>
          </cell>
          <cell r="Q801" t="str">
            <v/>
          </cell>
          <cell r="R801" t="e">
            <v>#N/A</v>
          </cell>
        </row>
        <row r="802">
          <cell r="A802">
            <v>40379</v>
          </cell>
          <cell r="B802">
            <v>40379</v>
          </cell>
          <cell r="C802" t="str">
            <v>Future</v>
          </cell>
          <cell r="D802" t="e">
            <v>#N/A</v>
          </cell>
          <cell r="E802">
            <v>1.9782142857139746</v>
          </cell>
          <cell r="F802">
            <v>64.656785714284851</v>
          </cell>
          <cell r="G802">
            <v>40.549642857142295</v>
          </cell>
          <cell r="H802">
            <v>40.549642857142295</v>
          </cell>
          <cell r="I802" t="e">
            <v>#N/A</v>
          </cell>
          <cell r="J802" t="e">
            <v>#N/A</v>
          </cell>
          <cell r="K802" t="e">
            <v>#N/A</v>
          </cell>
          <cell r="L802" t="e">
            <v>#N/A</v>
          </cell>
          <cell r="M802" t="e">
            <v>#N/A</v>
          </cell>
          <cell r="N802" t="e">
            <v>#N/A</v>
          </cell>
          <cell r="O802" t="e">
            <v>#N/A</v>
          </cell>
          <cell r="P802">
            <v>55.39</v>
          </cell>
          <cell r="Q802" t="str">
            <v/>
          </cell>
          <cell r="R802" t="e">
            <v>#N/A</v>
          </cell>
        </row>
        <row r="803">
          <cell r="A803">
            <v>40380</v>
          </cell>
          <cell r="B803">
            <v>40380</v>
          </cell>
          <cell r="C803" t="str">
            <v>Future</v>
          </cell>
          <cell r="D803" t="e">
            <v>#N/A</v>
          </cell>
          <cell r="E803">
            <v>1.7584126984123873</v>
          </cell>
          <cell r="F803">
            <v>64.694920634919768</v>
          </cell>
          <cell r="G803">
            <v>40.488571428570864</v>
          </cell>
          <cell r="H803">
            <v>40.488571428570864</v>
          </cell>
          <cell r="I803" t="e">
            <v>#N/A</v>
          </cell>
          <cell r="J803" t="e">
            <v>#N/A</v>
          </cell>
          <cell r="K803" t="e">
            <v>#N/A</v>
          </cell>
          <cell r="L803" t="e">
            <v>#N/A</v>
          </cell>
          <cell r="M803" t="e">
            <v>#N/A</v>
          </cell>
          <cell r="N803" t="e">
            <v>#N/A</v>
          </cell>
          <cell r="O803" t="e">
            <v>#N/A</v>
          </cell>
          <cell r="P803">
            <v>55.39</v>
          </cell>
          <cell r="Q803" t="str">
            <v/>
          </cell>
          <cell r="R803" t="e">
            <v>#N/A</v>
          </cell>
        </row>
        <row r="804">
          <cell r="A804">
            <v>40381</v>
          </cell>
          <cell r="B804">
            <v>40381</v>
          </cell>
          <cell r="C804" t="str">
            <v>Future</v>
          </cell>
          <cell r="D804" t="e">
            <v>#N/A</v>
          </cell>
          <cell r="E804">
            <v>1.5386111111108001</v>
          </cell>
          <cell r="F804">
            <v>64.733055555554685</v>
          </cell>
          <cell r="G804">
            <v>40.427499999999434</v>
          </cell>
          <cell r="H804">
            <v>40.427499999999434</v>
          </cell>
          <cell r="I804" t="e">
            <v>#N/A</v>
          </cell>
          <cell r="J804" t="e">
            <v>#N/A</v>
          </cell>
          <cell r="K804" t="e">
            <v>#N/A</v>
          </cell>
          <cell r="L804" t="e">
            <v>#N/A</v>
          </cell>
          <cell r="M804" t="e">
            <v>#N/A</v>
          </cell>
          <cell r="N804" t="e">
            <v>#N/A</v>
          </cell>
          <cell r="O804" t="e">
            <v>#N/A</v>
          </cell>
          <cell r="P804">
            <v>55.39</v>
          </cell>
          <cell r="Q804" t="str">
            <v/>
          </cell>
          <cell r="R804" t="e">
            <v>#N/A</v>
          </cell>
        </row>
        <row r="805">
          <cell r="A805">
            <v>40382</v>
          </cell>
          <cell r="B805">
            <v>40382</v>
          </cell>
          <cell r="C805" t="str">
            <v>Future</v>
          </cell>
          <cell r="D805" t="e">
            <v>#N/A</v>
          </cell>
          <cell r="E805">
            <v>1.3188095238092128</v>
          </cell>
          <cell r="F805">
            <v>64.771190476189602</v>
          </cell>
          <cell r="G805">
            <v>40.366428571428003</v>
          </cell>
          <cell r="H805">
            <v>40.366428571428003</v>
          </cell>
          <cell r="I805" t="e">
            <v>#N/A</v>
          </cell>
          <cell r="J805" t="e">
            <v>#N/A</v>
          </cell>
          <cell r="K805" t="e">
            <v>#N/A</v>
          </cell>
          <cell r="L805" t="e">
            <v>#N/A</v>
          </cell>
          <cell r="M805" t="e">
            <v>#N/A</v>
          </cell>
          <cell r="N805" t="e">
            <v>#N/A</v>
          </cell>
          <cell r="O805" t="e">
            <v>#N/A</v>
          </cell>
          <cell r="P805">
            <v>55.39</v>
          </cell>
          <cell r="Q805" t="str">
            <v/>
          </cell>
          <cell r="R805" t="e">
            <v>#N/A</v>
          </cell>
        </row>
        <row r="806">
          <cell r="A806">
            <v>40385</v>
          </cell>
          <cell r="B806">
            <v>40385</v>
          </cell>
          <cell r="C806" t="str">
            <v>Future</v>
          </cell>
          <cell r="D806" t="e">
            <v>#N/A</v>
          </cell>
          <cell r="E806">
            <v>1.0990079365076255</v>
          </cell>
          <cell r="F806">
            <v>64.809325396824519</v>
          </cell>
          <cell r="G806">
            <v>40.305357142856572</v>
          </cell>
          <cell r="H806">
            <v>40.305357142856572</v>
          </cell>
          <cell r="I806" t="e">
            <v>#N/A</v>
          </cell>
          <cell r="J806" t="e">
            <v>#N/A</v>
          </cell>
          <cell r="K806" t="e">
            <v>#N/A</v>
          </cell>
          <cell r="L806" t="e">
            <v>#N/A</v>
          </cell>
          <cell r="M806" t="e">
            <v>#N/A</v>
          </cell>
          <cell r="N806" t="e">
            <v>#N/A</v>
          </cell>
          <cell r="O806" t="e">
            <v>#N/A</v>
          </cell>
          <cell r="P806">
            <v>55.39</v>
          </cell>
          <cell r="Q806" t="str">
            <v/>
          </cell>
          <cell r="R806" t="e">
            <v>#N/A</v>
          </cell>
        </row>
        <row r="807">
          <cell r="A807">
            <v>40386</v>
          </cell>
          <cell r="B807">
            <v>40386</v>
          </cell>
          <cell r="C807" t="str">
            <v>Future</v>
          </cell>
          <cell r="D807" t="e">
            <v>#N/A</v>
          </cell>
          <cell r="E807">
            <v>0.87920634920603824</v>
          </cell>
          <cell r="F807">
            <v>64.847460317459436</v>
          </cell>
          <cell r="G807">
            <v>40.244285714285141</v>
          </cell>
          <cell r="H807">
            <v>40.244285714285141</v>
          </cell>
          <cell r="I807" t="e">
            <v>#N/A</v>
          </cell>
          <cell r="J807" t="e">
            <v>#N/A</v>
          </cell>
          <cell r="K807" t="e">
            <v>#N/A</v>
          </cell>
          <cell r="L807" t="e">
            <v>#N/A</v>
          </cell>
          <cell r="M807" t="e">
            <v>#N/A</v>
          </cell>
          <cell r="N807" t="e">
            <v>#N/A</v>
          </cell>
          <cell r="O807" t="e">
            <v>#N/A</v>
          </cell>
          <cell r="P807">
            <v>55.39</v>
          </cell>
          <cell r="Q807" t="str">
            <v/>
          </cell>
          <cell r="R807" t="e">
            <v>#N/A</v>
          </cell>
        </row>
        <row r="808">
          <cell r="A808">
            <v>40387</v>
          </cell>
          <cell r="B808">
            <v>40387</v>
          </cell>
          <cell r="C808" t="str">
            <v>Future</v>
          </cell>
          <cell r="D808" t="e">
            <v>#N/A</v>
          </cell>
          <cell r="E808">
            <v>0.65940476190445096</v>
          </cell>
          <cell r="F808">
            <v>64.885595238094353</v>
          </cell>
          <cell r="G808">
            <v>40.18321428571371</v>
          </cell>
          <cell r="H808">
            <v>40.18321428571371</v>
          </cell>
          <cell r="I808" t="e">
            <v>#N/A</v>
          </cell>
          <cell r="J808" t="e">
            <v>#N/A</v>
          </cell>
          <cell r="K808" t="e">
            <v>#N/A</v>
          </cell>
          <cell r="L808" t="e">
            <v>#N/A</v>
          </cell>
          <cell r="M808" t="e">
            <v>#N/A</v>
          </cell>
          <cell r="N808" t="e">
            <v>#N/A</v>
          </cell>
          <cell r="O808" t="e">
            <v>#N/A</v>
          </cell>
          <cell r="P808">
            <v>55.39</v>
          </cell>
          <cell r="Q808" t="str">
            <v/>
          </cell>
          <cell r="R808" t="e">
            <v>#N/A</v>
          </cell>
        </row>
        <row r="809">
          <cell r="A809">
            <v>40388</v>
          </cell>
          <cell r="B809">
            <v>40388</v>
          </cell>
          <cell r="C809" t="str">
            <v>Future</v>
          </cell>
          <cell r="D809" t="e">
            <v>#N/A</v>
          </cell>
          <cell r="E809">
            <v>0.43960317460286369</v>
          </cell>
          <cell r="F809">
            <v>64.923730158729271</v>
          </cell>
          <cell r="G809">
            <v>40.122142857142279</v>
          </cell>
          <cell r="H809">
            <v>40.122142857142279</v>
          </cell>
          <cell r="I809" t="e">
            <v>#N/A</v>
          </cell>
          <cell r="J809" t="e">
            <v>#N/A</v>
          </cell>
          <cell r="K809" t="e">
            <v>#N/A</v>
          </cell>
          <cell r="L809" t="e">
            <v>#N/A</v>
          </cell>
          <cell r="M809" t="e">
            <v>#N/A</v>
          </cell>
          <cell r="N809" t="e">
            <v>#N/A</v>
          </cell>
          <cell r="O809" t="e">
            <v>#N/A</v>
          </cell>
          <cell r="P809">
            <v>55.39</v>
          </cell>
          <cell r="Q809" t="str">
            <v/>
          </cell>
          <cell r="R809" t="e">
            <v>#N/A</v>
          </cell>
        </row>
        <row r="810">
          <cell r="A810">
            <v>40389</v>
          </cell>
          <cell r="B810">
            <v>40389</v>
          </cell>
          <cell r="C810" t="str">
            <v>Future</v>
          </cell>
          <cell r="D810" t="e">
            <v>#N/A</v>
          </cell>
          <cell r="E810">
            <v>0.21980158730127639</v>
          </cell>
          <cell r="F810">
            <v>64.961865079364188</v>
          </cell>
          <cell r="G810">
            <v>40.061071428570848</v>
          </cell>
          <cell r="H810">
            <v>40.061071428570848</v>
          </cell>
          <cell r="I810" t="e">
            <v>#N/A</v>
          </cell>
          <cell r="J810" t="e">
            <v>#N/A</v>
          </cell>
          <cell r="K810">
            <v>65</v>
          </cell>
          <cell r="L810">
            <v>40</v>
          </cell>
          <cell r="M810" t="e">
            <v>#N/A</v>
          </cell>
          <cell r="N810">
            <v>52</v>
          </cell>
          <cell r="O810" t="e">
            <v>#N/A</v>
          </cell>
          <cell r="P810">
            <v>55.39</v>
          </cell>
          <cell r="Q810" t="str">
            <v/>
          </cell>
          <cell r="R810" t="e">
            <v>#N/A</v>
          </cell>
        </row>
        <row r="811">
          <cell r="A811" t="str">
            <v/>
          </cell>
          <cell r="B811" t="str">
            <v/>
          </cell>
          <cell r="C811" t="str">
            <v>Future</v>
          </cell>
          <cell r="D811" t="e">
            <v>#N/A</v>
          </cell>
          <cell r="E811">
            <v>-3.1091795804627509E-13</v>
          </cell>
          <cell r="F811">
            <v>64.999999999999105</v>
          </cell>
          <cell r="G811">
            <v>39.999999999999417</v>
          </cell>
          <cell r="H811">
            <v>39.999999999999417</v>
          </cell>
          <cell r="I811" t="e">
            <v>#N/A</v>
          </cell>
          <cell r="J811" t="e">
            <v>#N/A</v>
          </cell>
          <cell r="K811">
            <v>65</v>
          </cell>
          <cell r="L811">
            <v>40</v>
          </cell>
          <cell r="M811" t="e">
            <v>#N/A</v>
          </cell>
          <cell r="N811">
            <v>52</v>
          </cell>
          <cell r="O811" t="e">
            <v>#N/A</v>
          </cell>
          <cell r="P811" t="str">
            <v/>
          </cell>
          <cell r="Q811" t="str">
            <v/>
          </cell>
          <cell r="R811" t="e">
            <v>#N/A</v>
          </cell>
        </row>
        <row r="812">
          <cell r="A812" t="str">
            <v/>
          </cell>
          <cell r="B812" t="str">
            <v/>
          </cell>
          <cell r="C812" t="str">
            <v>Future</v>
          </cell>
          <cell r="D812" t="e">
            <v>#N/A</v>
          </cell>
          <cell r="E812">
            <v>-0.21980158730189822</v>
          </cell>
          <cell r="F812">
            <v>65.038134920634022</v>
          </cell>
          <cell r="G812">
            <v>39.938928571427986</v>
          </cell>
          <cell r="H812">
            <v>39.938928571427986</v>
          </cell>
          <cell r="I812" t="e">
            <v>#N/A</v>
          </cell>
          <cell r="J812" t="e">
            <v>#N/A</v>
          </cell>
          <cell r="K812">
            <v>65</v>
          </cell>
          <cell r="L812">
            <v>40</v>
          </cell>
          <cell r="M812" t="e">
            <v>#N/A</v>
          </cell>
          <cell r="N812">
            <v>52</v>
          </cell>
          <cell r="O812" t="e">
            <v>#N/A</v>
          </cell>
          <cell r="P812" t="str">
            <v/>
          </cell>
          <cell r="Q812" t="str">
            <v/>
          </cell>
          <cell r="R812" t="e">
            <v>#N/A</v>
          </cell>
        </row>
        <row r="813">
          <cell r="A813" t="str">
            <v/>
          </cell>
          <cell r="B813" t="str">
            <v/>
          </cell>
          <cell r="C813" t="str">
            <v>Future</v>
          </cell>
          <cell r="D813" t="e">
            <v>#N/A</v>
          </cell>
          <cell r="E813">
            <v>-0.43960317460348552</v>
          </cell>
          <cell r="F813">
            <v>65.076269841268939</v>
          </cell>
          <cell r="G813">
            <v>39.877857142856556</v>
          </cell>
          <cell r="H813">
            <v>39.877857142856556</v>
          </cell>
          <cell r="I813" t="e">
            <v>#N/A</v>
          </cell>
          <cell r="J813" t="e">
            <v>#N/A</v>
          </cell>
          <cell r="K813">
            <v>65</v>
          </cell>
          <cell r="L813">
            <v>40</v>
          </cell>
          <cell r="M813" t="e">
            <v>#N/A</v>
          </cell>
          <cell r="N813">
            <v>52</v>
          </cell>
          <cell r="O813" t="e">
            <v>#N/A</v>
          </cell>
          <cell r="P813" t="str">
            <v/>
          </cell>
          <cell r="Q813" t="str">
            <v/>
          </cell>
          <cell r="R813" t="e">
            <v>#N/A</v>
          </cell>
        </row>
        <row r="814">
          <cell r="A814" t="str">
            <v/>
          </cell>
          <cell r="B814" t="str">
            <v/>
          </cell>
          <cell r="C814" t="str">
            <v>Future</v>
          </cell>
          <cell r="D814" t="e">
            <v>#N/A</v>
          </cell>
          <cell r="E814">
            <v>-0.6594047619050728</v>
          </cell>
          <cell r="F814">
            <v>65.114404761903856</v>
          </cell>
          <cell r="G814">
            <v>39.816785714285125</v>
          </cell>
          <cell r="H814">
            <v>39.816785714285125</v>
          </cell>
          <cell r="I814" t="e">
            <v>#N/A</v>
          </cell>
          <cell r="J814" t="e">
            <v>#N/A</v>
          </cell>
          <cell r="K814">
            <v>65</v>
          </cell>
          <cell r="L814">
            <v>40</v>
          </cell>
          <cell r="M814" t="e">
            <v>#N/A</v>
          </cell>
          <cell r="N814">
            <v>52</v>
          </cell>
          <cell r="O814" t="e">
            <v>#N/A</v>
          </cell>
          <cell r="P814" t="str">
            <v/>
          </cell>
          <cell r="Q814" t="str">
            <v/>
          </cell>
          <cell r="R814" t="e">
            <v>#N/A</v>
          </cell>
        </row>
        <row r="815">
          <cell r="A815" t="str">
            <v/>
          </cell>
          <cell r="B815" t="str">
            <v/>
          </cell>
          <cell r="C815" t="str">
            <v>Future</v>
          </cell>
          <cell r="D815" t="e">
            <v>#N/A</v>
          </cell>
          <cell r="E815">
            <v>-0.87920634920666008</v>
          </cell>
          <cell r="F815">
            <v>65.152539682538773</v>
          </cell>
          <cell r="G815">
            <v>39.755714285713694</v>
          </cell>
          <cell r="H815">
            <v>39.755714285713694</v>
          </cell>
          <cell r="I815" t="e">
            <v>#N/A</v>
          </cell>
          <cell r="J815" t="e">
            <v>#N/A</v>
          </cell>
          <cell r="K815">
            <v>65</v>
          </cell>
          <cell r="L815">
            <v>40</v>
          </cell>
          <cell r="M815" t="e">
            <v>#N/A</v>
          </cell>
          <cell r="N815">
            <v>52</v>
          </cell>
          <cell r="O815" t="e">
            <v>#N/A</v>
          </cell>
          <cell r="P815" t="str">
            <v/>
          </cell>
          <cell r="Q815" t="str">
            <v/>
          </cell>
          <cell r="R815" t="e">
            <v>#N/A</v>
          </cell>
        </row>
        <row r="816">
          <cell r="A816" t="str">
            <v/>
          </cell>
          <cell r="B816" t="str">
            <v/>
          </cell>
          <cell r="C816" t="str">
            <v>Future</v>
          </cell>
          <cell r="D816" t="e">
            <v>#N/A</v>
          </cell>
          <cell r="E816">
            <v>-1.0990079365082475</v>
          </cell>
          <cell r="F816">
            <v>65.19067460317369</v>
          </cell>
          <cell r="G816">
            <v>39.694642857142263</v>
          </cell>
          <cell r="H816">
            <v>39.694642857142263</v>
          </cell>
          <cell r="I816" t="e">
            <v>#N/A</v>
          </cell>
          <cell r="J816" t="e">
            <v>#N/A</v>
          </cell>
          <cell r="K816">
            <v>65</v>
          </cell>
          <cell r="L816">
            <v>40</v>
          </cell>
          <cell r="M816" t="e">
            <v>#N/A</v>
          </cell>
          <cell r="N816">
            <v>52</v>
          </cell>
          <cell r="O816" t="e">
            <v>#N/A</v>
          </cell>
          <cell r="P816" t="str">
            <v/>
          </cell>
          <cell r="Q816" t="str">
            <v/>
          </cell>
          <cell r="R816" t="e">
            <v>#N/A</v>
          </cell>
        </row>
        <row r="817">
          <cell r="A817" t="str">
            <v/>
          </cell>
          <cell r="B817" t="str">
            <v/>
          </cell>
          <cell r="C817" t="str">
            <v>Future</v>
          </cell>
          <cell r="D817" t="e">
            <v>#N/A</v>
          </cell>
          <cell r="E817">
            <v>-1.3188095238098347</v>
          </cell>
          <cell r="F817">
            <v>65.228809523808607</v>
          </cell>
          <cell r="G817">
            <v>39.633571428570832</v>
          </cell>
          <cell r="H817">
            <v>39.633571428570832</v>
          </cell>
          <cell r="I817" t="e">
            <v>#N/A</v>
          </cell>
          <cell r="J817" t="e">
            <v>#N/A</v>
          </cell>
          <cell r="K817">
            <v>65</v>
          </cell>
          <cell r="L817">
            <v>40</v>
          </cell>
          <cell r="M817" t="e">
            <v>#N/A</v>
          </cell>
          <cell r="N817">
            <v>52</v>
          </cell>
          <cell r="O817" t="e">
            <v>#N/A</v>
          </cell>
          <cell r="P817" t="str">
            <v/>
          </cell>
          <cell r="Q817" t="str">
            <v/>
          </cell>
          <cell r="R817" t="e">
            <v>#N/A</v>
          </cell>
        </row>
        <row r="818">
          <cell r="A818" t="str">
            <v/>
          </cell>
          <cell r="B818" t="str">
            <v/>
          </cell>
          <cell r="C818" t="str">
            <v>Future</v>
          </cell>
          <cell r="D818" t="e">
            <v>#N/A</v>
          </cell>
          <cell r="E818">
            <v>-1.538611111111422</v>
          </cell>
          <cell r="F818">
            <v>65.266944444443524</v>
          </cell>
          <cell r="G818">
            <v>39.572499999999401</v>
          </cell>
          <cell r="H818">
            <v>39.572499999999401</v>
          </cell>
          <cell r="I818" t="e">
            <v>#N/A</v>
          </cell>
          <cell r="J818" t="e">
            <v>#N/A</v>
          </cell>
          <cell r="K818">
            <v>65</v>
          </cell>
          <cell r="L818">
            <v>40</v>
          </cell>
          <cell r="M818" t="e">
            <v>#N/A</v>
          </cell>
          <cell r="N818">
            <v>52</v>
          </cell>
          <cell r="O818" t="e">
            <v>#N/A</v>
          </cell>
          <cell r="P818" t="str">
            <v/>
          </cell>
          <cell r="Q818" t="str">
            <v/>
          </cell>
          <cell r="R818" t="e">
            <v>#N/A</v>
          </cell>
        </row>
        <row r="819">
          <cell r="A819" t="str">
            <v/>
          </cell>
          <cell r="B819" t="str">
            <v/>
          </cell>
          <cell r="C819" t="str">
            <v>Future</v>
          </cell>
          <cell r="D819" t="e">
            <v>#N/A</v>
          </cell>
          <cell r="E819">
            <v>-1.7584126984130093</v>
          </cell>
          <cell r="F819">
            <v>65.305079365078441</v>
          </cell>
          <cell r="G819">
            <v>39.51142857142797</v>
          </cell>
          <cell r="H819">
            <v>39.51142857142797</v>
          </cell>
          <cell r="I819" t="e">
            <v>#N/A</v>
          </cell>
          <cell r="J819" t="e">
            <v>#N/A</v>
          </cell>
          <cell r="K819">
            <v>65</v>
          </cell>
          <cell r="L819">
            <v>40</v>
          </cell>
          <cell r="M819" t="e">
            <v>#N/A</v>
          </cell>
          <cell r="N819">
            <v>52</v>
          </cell>
          <cell r="O819" t="e">
            <v>#N/A</v>
          </cell>
          <cell r="P819" t="str">
            <v/>
          </cell>
          <cell r="Q819" t="str">
            <v/>
          </cell>
          <cell r="R819" t="e">
            <v>#N/A</v>
          </cell>
        </row>
        <row r="820">
          <cell r="A820" t="str">
            <v/>
          </cell>
          <cell r="B820" t="str">
            <v/>
          </cell>
          <cell r="C820" t="str">
            <v>Future</v>
          </cell>
          <cell r="D820" t="e">
            <v>#N/A</v>
          </cell>
          <cell r="E820">
            <v>-1.9782142857145966</v>
          </cell>
          <cell r="F820">
            <v>65.343214285713358</v>
          </cell>
          <cell r="G820">
            <v>39.450357142856539</v>
          </cell>
          <cell r="H820">
            <v>39.450357142856539</v>
          </cell>
          <cell r="I820" t="e">
            <v>#N/A</v>
          </cell>
          <cell r="J820" t="e">
            <v>#N/A</v>
          </cell>
          <cell r="K820">
            <v>65</v>
          </cell>
          <cell r="L820">
            <v>40</v>
          </cell>
          <cell r="M820" t="e">
            <v>#N/A</v>
          </cell>
          <cell r="N820">
            <v>52</v>
          </cell>
          <cell r="O820" t="e">
            <v>#N/A</v>
          </cell>
          <cell r="P820" t="str">
            <v/>
          </cell>
          <cell r="Q820" t="str">
            <v/>
          </cell>
          <cell r="R820" t="e">
            <v>#N/A</v>
          </cell>
        </row>
        <row r="821">
          <cell r="A821" t="str">
            <v/>
          </cell>
          <cell r="B821" t="str">
            <v/>
          </cell>
          <cell r="C821" t="str">
            <v>Future</v>
          </cell>
          <cell r="D821" t="e">
            <v>#N/A</v>
          </cell>
          <cell r="E821">
            <v>-2.1980158730161841</v>
          </cell>
          <cell r="F821">
            <v>65.381349206348276</v>
          </cell>
          <cell r="G821">
            <v>39.389285714285108</v>
          </cell>
          <cell r="H821">
            <v>39.389285714285108</v>
          </cell>
          <cell r="I821" t="e">
            <v>#N/A</v>
          </cell>
          <cell r="J821" t="e">
            <v>#N/A</v>
          </cell>
          <cell r="K821">
            <v>65</v>
          </cell>
          <cell r="L821">
            <v>40</v>
          </cell>
          <cell r="M821" t="e">
            <v>#N/A</v>
          </cell>
          <cell r="N821">
            <v>52</v>
          </cell>
          <cell r="O821" t="e">
            <v>#N/A</v>
          </cell>
          <cell r="P821" t="str">
            <v/>
          </cell>
          <cell r="Q821" t="str">
            <v/>
          </cell>
          <cell r="R821" t="e">
            <v>#N/A</v>
          </cell>
        </row>
        <row r="822">
          <cell r="A822" t="str">
            <v/>
          </cell>
          <cell r="B822" t="str">
            <v/>
          </cell>
          <cell r="C822" t="str">
            <v>Future</v>
          </cell>
          <cell r="D822" t="e">
            <v>#N/A</v>
          </cell>
          <cell r="E822">
            <v>-2.4178174603177713</v>
          </cell>
          <cell r="F822">
            <v>65.419484126983193</v>
          </cell>
          <cell r="G822">
            <v>39.328214285713678</v>
          </cell>
          <cell r="H822">
            <v>39.328214285713678</v>
          </cell>
          <cell r="I822" t="e">
            <v>#N/A</v>
          </cell>
          <cell r="J822" t="e">
            <v>#N/A</v>
          </cell>
          <cell r="K822">
            <v>65</v>
          </cell>
          <cell r="L822">
            <v>40</v>
          </cell>
          <cell r="M822" t="e">
            <v>#N/A</v>
          </cell>
          <cell r="N822">
            <v>52</v>
          </cell>
          <cell r="O822" t="e">
            <v>#N/A</v>
          </cell>
          <cell r="P822" t="str">
            <v/>
          </cell>
          <cell r="Q822" t="str">
            <v/>
          </cell>
          <cell r="R822" t="e">
            <v>#N/A</v>
          </cell>
        </row>
        <row r="823">
          <cell r="A823" t="str">
            <v/>
          </cell>
          <cell r="B823" t="str">
            <v/>
          </cell>
          <cell r="C823" t="str">
            <v>Future</v>
          </cell>
          <cell r="D823" t="e">
            <v>#N/A</v>
          </cell>
          <cell r="E823">
            <v>-2.6376190476193586</v>
          </cell>
          <cell r="F823">
            <v>65.45761904761811</v>
          </cell>
          <cell r="G823">
            <v>39.267142857142247</v>
          </cell>
          <cell r="H823">
            <v>39.267142857142247</v>
          </cell>
          <cell r="I823" t="e">
            <v>#N/A</v>
          </cell>
          <cell r="J823" t="e">
            <v>#N/A</v>
          </cell>
          <cell r="K823">
            <v>65</v>
          </cell>
          <cell r="L823">
            <v>40</v>
          </cell>
          <cell r="M823" t="e">
            <v>#N/A</v>
          </cell>
          <cell r="N823">
            <v>52</v>
          </cell>
          <cell r="O823" t="e">
            <v>#N/A</v>
          </cell>
          <cell r="P823" t="str">
            <v/>
          </cell>
          <cell r="Q823" t="str">
            <v/>
          </cell>
          <cell r="R823" t="e">
            <v>#N/A</v>
          </cell>
        </row>
        <row r="824">
          <cell r="A824" t="str">
            <v/>
          </cell>
          <cell r="B824" t="str">
            <v/>
          </cell>
          <cell r="C824" t="str">
            <v>Future</v>
          </cell>
          <cell r="D824" t="e">
            <v>#N/A</v>
          </cell>
          <cell r="E824">
            <v>-2.8574206349209459</v>
          </cell>
          <cell r="F824">
            <v>65.495753968253027</v>
          </cell>
          <cell r="G824">
            <v>39.206071428570816</v>
          </cell>
          <cell r="H824">
            <v>39.206071428570816</v>
          </cell>
          <cell r="I824" t="e">
            <v>#N/A</v>
          </cell>
          <cell r="J824" t="e">
            <v>#N/A</v>
          </cell>
          <cell r="K824">
            <v>65</v>
          </cell>
          <cell r="L824">
            <v>40</v>
          </cell>
          <cell r="M824" t="e">
            <v>#N/A</v>
          </cell>
          <cell r="N824">
            <v>52</v>
          </cell>
          <cell r="O824" t="e">
            <v>#N/A</v>
          </cell>
          <cell r="P824" t="str">
            <v/>
          </cell>
          <cell r="Q824" t="str">
            <v/>
          </cell>
          <cell r="R824" t="e">
            <v>#N/A</v>
          </cell>
        </row>
        <row r="825">
          <cell r="A825" t="str">
            <v/>
          </cell>
          <cell r="B825" t="str">
            <v/>
          </cell>
          <cell r="C825" t="str">
            <v>Future</v>
          </cell>
          <cell r="D825" t="e">
            <v>#N/A</v>
          </cell>
          <cell r="E825">
            <v>-3.0772222222225332</v>
          </cell>
          <cell r="F825">
            <v>65.533888888887944</v>
          </cell>
          <cell r="G825">
            <v>39.144999999999385</v>
          </cell>
          <cell r="H825">
            <v>39.144999999999385</v>
          </cell>
          <cell r="I825" t="e">
            <v>#N/A</v>
          </cell>
          <cell r="J825" t="e">
            <v>#N/A</v>
          </cell>
          <cell r="K825">
            <v>65</v>
          </cell>
          <cell r="L825">
            <v>40</v>
          </cell>
          <cell r="M825" t="e">
            <v>#N/A</v>
          </cell>
          <cell r="N825">
            <v>52</v>
          </cell>
          <cell r="O825" t="e">
            <v>#N/A</v>
          </cell>
          <cell r="P825" t="str">
            <v/>
          </cell>
          <cell r="Q825" t="str">
            <v/>
          </cell>
          <cell r="R825" t="e">
            <v>#N/A</v>
          </cell>
        </row>
        <row r="826">
          <cell r="A826" t="str">
            <v/>
          </cell>
          <cell r="B826" t="str">
            <v/>
          </cell>
          <cell r="C826" t="str">
            <v>Future</v>
          </cell>
          <cell r="D826" t="e">
            <v>#N/A</v>
          </cell>
          <cell r="E826">
            <v>-3.2970238095241204</v>
          </cell>
          <cell r="F826">
            <v>65.572023809522861</v>
          </cell>
          <cell r="G826">
            <v>39.083928571427954</v>
          </cell>
          <cell r="H826">
            <v>39.083928571427954</v>
          </cell>
          <cell r="I826" t="e">
            <v>#N/A</v>
          </cell>
          <cell r="J826" t="e">
            <v>#N/A</v>
          </cell>
          <cell r="K826">
            <v>65</v>
          </cell>
          <cell r="L826">
            <v>40</v>
          </cell>
          <cell r="M826" t="e">
            <v>#N/A</v>
          </cell>
          <cell r="N826">
            <v>52</v>
          </cell>
          <cell r="O826" t="e">
            <v>#N/A</v>
          </cell>
          <cell r="P826" t="str">
            <v/>
          </cell>
          <cell r="Q826" t="str">
            <v/>
          </cell>
          <cell r="R826" t="e">
            <v>#N/A</v>
          </cell>
        </row>
        <row r="827">
          <cell r="A827" t="str">
            <v/>
          </cell>
          <cell r="B827" t="str">
            <v/>
          </cell>
          <cell r="C827" t="str">
            <v>Future</v>
          </cell>
          <cell r="D827" t="e">
            <v>#N/A</v>
          </cell>
          <cell r="E827">
            <v>-3.5168253968257077</v>
          </cell>
          <cell r="F827">
            <v>65.610158730157778</v>
          </cell>
          <cell r="G827">
            <v>39.022857142856523</v>
          </cell>
          <cell r="H827">
            <v>39.022857142856523</v>
          </cell>
          <cell r="I827" t="e">
            <v>#N/A</v>
          </cell>
          <cell r="J827" t="e">
            <v>#N/A</v>
          </cell>
          <cell r="K827">
            <v>65</v>
          </cell>
          <cell r="L827">
            <v>40</v>
          </cell>
          <cell r="M827" t="e">
            <v>#N/A</v>
          </cell>
          <cell r="N827">
            <v>52</v>
          </cell>
          <cell r="O827" t="e">
            <v>#N/A</v>
          </cell>
          <cell r="P827" t="str">
            <v/>
          </cell>
          <cell r="Q827" t="str">
            <v/>
          </cell>
          <cell r="R827" t="e">
            <v>#N/A</v>
          </cell>
        </row>
        <row r="828">
          <cell r="A828" t="str">
            <v/>
          </cell>
          <cell r="B828" t="str">
            <v/>
          </cell>
          <cell r="C828" t="str">
            <v>Future</v>
          </cell>
          <cell r="D828" t="e">
            <v>#N/A</v>
          </cell>
          <cell r="E828">
            <v>-3.736626984127295</v>
          </cell>
          <cell r="F828">
            <v>65.648293650792695</v>
          </cell>
          <cell r="G828">
            <v>38.961785714285092</v>
          </cell>
          <cell r="H828">
            <v>38.961785714285092</v>
          </cell>
          <cell r="I828" t="e">
            <v>#N/A</v>
          </cell>
          <cell r="J828" t="e">
            <v>#N/A</v>
          </cell>
          <cell r="K828">
            <v>65</v>
          </cell>
          <cell r="L828">
            <v>40</v>
          </cell>
          <cell r="M828" t="e">
            <v>#N/A</v>
          </cell>
          <cell r="N828">
            <v>52</v>
          </cell>
          <cell r="O828" t="e">
            <v>#N/A</v>
          </cell>
          <cell r="P828" t="str">
            <v/>
          </cell>
          <cell r="Q828" t="str">
            <v/>
          </cell>
          <cell r="R828" t="e">
            <v>#N/A</v>
          </cell>
        </row>
        <row r="829">
          <cell r="A829" t="str">
            <v/>
          </cell>
          <cell r="B829" t="str">
            <v/>
          </cell>
          <cell r="C829" t="str">
            <v>Future</v>
          </cell>
          <cell r="D829" t="e">
            <v>#N/A</v>
          </cell>
          <cell r="E829">
            <v>-3.9564285714288823</v>
          </cell>
          <cell r="F829">
            <v>65.686428571427612</v>
          </cell>
          <cell r="G829">
            <v>38.900714285713661</v>
          </cell>
          <cell r="H829">
            <v>38.900714285713661</v>
          </cell>
          <cell r="I829" t="e">
            <v>#N/A</v>
          </cell>
          <cell r="J829" t="e">
            <v>#N/A</v>
          </cell>
          <cell r="K829">
            <v>65</v>
          </cell>
          <cell r="L829">
            <v>40</v>
          </cell>
          <cell r="M829" t="e">
            <v>#N/A</v>
          </cell>
          <cell r="N829">
            <v>52</v>
          </cell>
          <cell r="O829" t="e">
            <v>#N/A</v>
          </cell>
          <cell r="P829" t="str">
            <v/>
          </cell>
          <cell r="Q829" t="str">
            <v/>
          </cell>
          <cell r="R829" t="e">
            <v>#N/A</v>
          </cell>
        </row>
        <row r="830">
          <cell r="A830" t="str">
            <v/>
          </cell>
          <cell r="B830" t="str">
            <v/>
          </cell>
          <cell r="C830" t="str">
            <v>Future</v>
          </cell>
          <cell r="D830" t="e">
            <v>#N/A</v>
          </cell>
          <cell r="E830">
            <v>-4.17623015873047</v>
          </cell>
          <cell r="F830">
            <v>65.724563492062529</v>
          </cell>
          <cell r="G830">
            <v>38.839642857142231</v>
          </cell>
          <cell r="H830">
            <v>38.839642857142231</v>
          </cell>
          <cell r="I830" t="e">
            <v>#N/A</v>
          </cell>
          <cell r="J830" t="e">
            <v>#N/A</v>
          </cell>
          <cell r="K830">
            <v>65</v>
          </cell>
          <cell r="L830">
            <v>40</v>
          </cell>
          <cell r="M830" t="e">
            <v>#N/A</v>
          </cell>
          <cell r="N830">
            <v>52</v>
          </cell>
          <cell r="O830" t="e">
            <v>#N/A</v>
          </cell>
          <cell r="P830" t="str">
            <v/>
          </cell>
          <cell r="Q830" t="str">
            <v/>
          </cell>
          <cell r="R830" t="e">
            <v>#N/A</v>
          </cell>
        </row>
        <row r="831">
          <cell r="A831" t="str">
            <v/>
          </cell>
          <cell r="B831" t="str">
            <v/>
          </cell>
          <cell r="C831" t="str">
            <v>Future</v>
          </cell>
          <cell r="D831" t="e">
            <v>#N/A</v>
          </cell>
          <cell r="E831">
            <v>-4.3960317460320573</v>
          </cell>
          <cell r="F831">
            <v>65.762698412697446</v>
          </cell>
          <cell r="G831">
            <v>38.7785714285708</v>
          </cell>
          <cell r="H831">
            <v>38.7785714285708</v>
          </cell>
          <cell r="I831" t="e">
            <v>#N/A</v>
          </cell>
          <cell r="J831" t="e">
            <v>#N/A</v>
          </cell>
          <cell r="K831">
            <v>65</v>
          </cell>
          <cell r="L831">
            <v>40</v>
          </cell>
          <cell r="M831" t="e">
            <v>#N/A</v>
          </cell>
          <cell r="N831">
            <v>52</v>
          </cell>
          <cell r="O831" t="e">
            <v>#N/A</v>
          </cell>
          <cell r="P831" t="str">
            <v/>
          </cell>
          <cell r="Q831" t="str">
            <v/>
          </cell>
          <cell r="R831" t="e">
            <v>#N/A</v>
          </cell>
        </row>
        <row r="832">
          <cell r="A832" t="str">
            <v/>
          </cell>
          <cell r="B832" t="str">
            <v/>
          </cell>
          <cell r="C832" t="str">
            <v>Future</v>
          </cell>
          <cell r="D832" t="e">
            <v>#N/A</v>
          </cell>
          <cell r="E832">
            <v>-4.6158333333336445</v>
          </cell>
          <cell r="F832">
            <v>65.800833333332363</v>
          </cell>
          <cell r="G832">
            <v>38.717499999999369</v>
          </cell>
          <cell r="H832">
            <v>38.717499999999369</v>
          </cell>
          <cell r="I832" t="e">
            <v>#N/A</v>
          </cell>
          <cell r="J832" t="e">
            <v>#N/A</v>
          </cell>
          <cell r="K832">
            <v>65</v>
          </cell>
          <cell r="L832">
            <v>40</v>
          </cell>
          <cell r="M832" t="e">
            <v>#N/A</v>
          </cell>
          <cell r="N832">
            <v>52</v>
          </cell>
          <cell r="O832" t="e">
            <v>#N/A</v>
          </cell>
          <cell r="P832" t="str">
            <v/>
          </cell>
          <cell r="Q832" t="str">
            <v/>
          </cell>
          <cell r="R832" t="e">
            <v>#N/A</v>
          </cell>
        </row>
        <row r="833">
          <cell r="A833" t="str">
            <v/>
          </cell>
          <cell r="B833" t="str">
            <v/>
          </cell>
          <cell r="C833" t="str">
            <v>Future</v>
          </cell>
          <cell r="D833" t="e">
            <v>#N/A</v>
          </cell>
          <cell r="E833">
            <v>-4.8356349206352318</v>
          </cell>
          <cell r="F833">
            <v>65.83896825396728</v>
          </cell>
          <cell r="G833">
            <v>38.656428571427938</v>
          </cell>
          <cell r="H833">
            <v>38.656428571427938</v>
          </cell>
          <cell r="I833" t="e">
            <v>#N/A</v>
          </cell>
          <cell r="J833" t="e">
            <v>#N/A</v>
          </cell>
          <cell r="K833">
            <v>65</v>
          </cell>
          <cell r="L833">
            <v>40</v>
          </cell>
          <cell r="M833" t="e">
            <v>#N/A</v>
          </cell>
          <cell r="N833">
            <v>52</v>
          </cell>
          <cell r="O833" t="e">
            <v>#N/A</v>
          </cell>
          <cell r="P833" t="str">
            <v/>
          </cell>
          <cell r="Q833" t="str">
            <v/>
          </cell>
          <cell r="R833" t="e">
            <v>#N/A</v>
          </cell>
        </row>
        <row r="834">
          <cell r="A834" t="str">
            <v/>
          </cell>
          <cell r="B834" t="str">
            <v/>
          </cell>
          <cell r="C834" t="str">
            <v>Future</v>
          </cell>
          <cell r="D834" t="e">
            <v>#N/A</v>
          </cell>
          <cell r="E834">
            <v>-5.0554365079368191</v>
          </cell>
          <cell r="F834">
            <v>65.877103174602198</v>
          </cell>
          <cell r="G834">
            <v>38.595357142856507</v>
          </cell>
          <cell r="H834">
            <v>38.595357142856507</v>
          </cell>
          <cell r="I834" t="e">
            <v>#N/A</v>
          </cell>
          <cell r="J834" t="e">
            <v>#N/A</v>
          </cell>
          <cell r="K834">
            <v>65</v>
          </cell>
          <cell r="L834">
            <v>40</v>
          </cell>
          <cell r="M834" t="e">
            <v>#N/A</v>
          </cell>
          <cell r="N834">
            <v>52</v>
          </cell>
          <cell r="O834" t="e">
            <v>#N/A</v>
          </cell>
          <cell r="P834" t="str">
            <v/>
          </cell>
          <cell r="Q834" t="str">
            <v/>
          </cell>
          <cell r="R834" t="e">
            <v>#N/A</v>
          </cell>
        </row>
        <row r="835">
          <cell r="A835" t="str">
            <v/>
          </cell>
          <cell r="B835" t="str">
            <v/>
          </cell>
          <cell r="C835" t="str">
            <v>Future</v>
          </cell>
          <cell r="D835" t="e">
            <v>#N/A</v>
          </cell>
          <cell r="E835">
            <v>-5.2752380952384064</v>
          </cell>
          <cell r="F835">
            <v>65.915238095237115</v>
          </cell>
          <cell r="G835">
            <v>38.534285714285076</v>
          </cell>
          <cell r="H835">
            <v>38.534285714285076</v>
          </cell>
          <cell r="I835" t="e">
            <v>#N/A</v>
          </cell>
          <cell r="J835" t="e">
            <v>#N/A</v>
          </cell>
          <cell r="K835">
            <v>65</v>
          </cell>
          <cell r="L835">
            <v>40</v>
          </cell>
          <cell r="M835" t="e">
            <v>#N/A</v>
          </cell>
          <cell r="N835">
            <v>52</v>
          </cell>
          <cell r="O835" t="e">
            <v>#N/A</v>
          </cell>
          <cell r="P835" t="str">
            <v/>
          </cell>
          <cell r="Q835" t="str">
            <v/>
          </cell>
          <cell r="R835" t="e">
            <v>#N/A</v>
          </cell>
        </row>
        <row r="836">
          <cell r="A836" t="str">
            <v/>
          </cell>
          <cell r="B836" t="str">
            <v/>
          </cell>
          <cell r="C836" t="str">
            <v>Future</v>
          </cell>
          <cell r="D836" t="e">
            <v>#N/A</v>
          </cell>
          <cell r="E836">
            <v>-5.4950396825399936</v>
          </cell>
          <cell r="F836">
            <v>65.953373015872032</v>
          </cell>
          <cell r="G836">
            <v>38.473214285713645</v>
          </cell>
          <cell r="H836">
            <v>38.473214285713645</v>
          </cell>
          <cell r="I836" t="e">
            <v>#N/A</v>
          </cell>
          <cell r="J836" t="e">
            <v>#N/A</v>
          </cell>
          <cell r="K836">
            <v>65</v>
          </cell>
          <cell r="L836">
            <v>40</v>
          </cell>
          <cell r="M836" t="e">
            <v>#N/A</v>
          </cell>
          <cell r="N836">
            <v>52</v>
          </cell>
          <cell r="O836" t="e">
            <v>#N/A</v>
          </cell>
          <cell r="P836" t="str">
            <v/>
          </cell>
          <cell r="Q836" t="str">
            <v/>
          </cell>
          <cell r="R836" t="e">
            <v>#N/A</v>
          </cell>
        </row>
        <row r="837">
          <cell r="A837" t="str">
            <v/>
          </cell>
          <cell r="B837" t="str">
            <v/>
          </cell>
          <cell r="C837" t="str">
            <v>Future</v>
          </cell>
          <cell r="D837" t="e">
            <v>#N/A</v>
          </cell>
          <cell r="E837">
            <v>-5.7148412698415809</v>
          </cell>
          <cell r="F837">
            <v>65.991507936506949</v>
          </cell>
          <cell r="G837">
            <v>38.412142857142214</v>
          </cell>
          <cell r="H837">
            <v>38.412142857142214</v>
          </cell>
          <cell r="I837" t="e">
            <v>#N/A</v>
          </cell>
          <cell r="J837" t="e">
            <v>#N/A</v>
          </cell>
          <cell r="K837">
            <v>65</v>
          </cell>
          <cell r="L837">
            <v>40</v>
          </cell>
          <cell r="M837" t="e">
            <v>#N/A</v>
          </cell>
          <cell r="N837">
            <v>52</v>
          </cell>
          <cell r="O837" t="e">
            <v>#N/A</v>
          </cell>
          <cell r="P837" t="str">
            <v/>
          </cell>
          <cell r="Q837" t="str">
            <v/>
          </cell>
          <cell r="R837" t="e">
            <v>#N/A</v>
          </cell>
        </row>
        <row r="838">
          <cell r="A838" t="str">
            <v/>
          </cell>
          <cell r="B838" t="str">
            <v/>
          </cell>
          <cell r="C838" t="str">
            <v>Future</v>
          </cell>
          <cell r="D838" t="e">
            <v>#N/A</v>
          </cell>
          <cell r="E838">
            <v>-5.9346428571431682</v>
          </cell>
          <cell r="F838">
            <v>66.029642857141866</v>
          </cell>
          <cell r="G838">
            <v>38.351071428570783</v>
          </cell>
          <cell r="H838">
            <v>38.351071428570783</v>
          </cell>
          <cell r="I838" t="e">
            <v>#N/A</v>
          </cell>
          <cell r="J838" t="e">
            <v>#N/A</v>
          </cell>
          <cell r="K838">
            <v>65</v>
          </cell>
          <cell r="L838">
            <v>40</v>
          </cell>
          <cell r="M838" t="e">
            <v>#N/A</v>
          </cell>
          <cell r="N838">
            <v>52</v>
          </cell>
          <cell r="O838" t="e">
            <v>#N/A</v>
          </cell>
          <cell r="P838" t="str">
            <v/>
          </cell>
          <cell r="Q838" t="str">
            <v/>
          </cell>
          <cell r="R838" t="e">
            <v>#N/A</v>
          </cell>
        </row>
        <row r="839">
          <cell r="A839" t="str">
            <v/>
          </cell>
          <cell r="B839" t="str">
            <v/>
          </cell>
          <cell r="C839" t="str">
            <v>Future</v>
          </cell>
          <cell r="D839" t="e">
            <v>#N/A</v>
          </cell>
          <cell r="E839">
            <v>-6.1544444444447555</v>
          </cell>
          <cell r="F839">
            <v>66.067777777776783</v>
          </cell>
          <cell r="G839">
            <v>38.289999999999353</v>
          </cell>
          <cell r="H839">
            <v>38.289999999999353</v>
          </cell>
          <cell r="I839" t="e">
            <v>#N/A</v>
          </cell>
          <cell r="J839" t="e">
            <v>#N/A</v>
          </cell>
          <cell r="K839">
            <v>65</v>
          </cell>
          <cell r="L839">
            <v>40</v>
          </cell>
          <cell r="M839" t="e">
            <v>#N/A</v>
          </cell>
          <cell r="N839">
            <v>52</v>
          </cell>
          <cell r="O839" t="e">
            <v>#N/A</v>
          </cell>
          <cell r="P839" t="str">
            <v/>
          </cell>
          <cell r="Q839" t="str">
            <v/>
          </cell>
          <cell r="R839" t="e">
            <v>#N/A</v>
          </cell>
        </row>
        <row r="840">
          <cell r="A840" t="str">
            <v/>
          </cell>
          <cell r="B840" t="str">
            <v/>
          </cell>
          <cell r="C840" t="str">
            <v>Future</v>
          </cell>
          <cell r="D840" t="e">
            <v>#N/A</v>
          </cell>
          <cell r="E840">
            <v>-6.3742460317463427</v>
          </cell>
          <cell r="F840">
            <v>66.1059126984117</v>
          </cell>
          <cell r="G840">
            <v>38.228928571427922</v>
          </cell>
          <cell r="H840">
            <v>38.228928571427922</v>
          </cell>
          <cell r="I840" t="e">
            <v>#N/A</v>
          </cell>
          <cell r="J840" t="e">
            <v>#N/A</v>
          </cell>
          <cell r="K840">
            <v>65</v>
          </cell>
          <cell r="L840">
            <v>40</v>
          </cell>
          <cell r="M840" t="e">
            <v>#N/A</v>
          </cell>
          <cell r="N840">
            <v>52</v>
          </cell>
          <cell r="O840" t="e">
            <v>#N/A</v>
          </cell>
          <cell r="P840" t="str">
            <v/>
          </cell>
          <cell r="Q840" t="str">
            <v/>
          </cell>
          <cell r="R840" t="e">
            <v>#N/A</v>
          </cell>
        </row>
        <row r="841">
          <cell r="A841" t="str">
            <v/>
          </cell>
          <cell r="B841" t="str">
            <v/>
          </cell>
          <cell r="C841" t="str">
            <v>Future</v>
          </cell>
          <cell r="D841" t="e">
            <v>#N/A</v>
          </cell>
          <cell r="E841">
            <v>-6.59404761904793</v>
          </cell>
          <cell r="F841">
            <v>66.144047619046617</v>
          </cell>
          <cell r="G841">
            <v>38.167857142856491</v>
          </cell>
          <cell r="H841">
            <v>38.167857142856491</v>
          </cell>
          <cell r="I841" t="e">
            <v>#N/A</v>
          </cell>
          <cell r="J841" t="e">
            <v>#N/A</v>
          </cell>
          <cell r="K841">
            <v>65</v>
          </cell>
          <cell r="L841">
            <v>40</v>
          </cell>
          <cell r="M841" t="e">
            <v>#N/A</v>
          </cell>
          <cell r="N841">
            <v>52</v>
          </cell>
          <cell r="O841" t="e">
            <v>#N/A</v>
          </cell>
          <cell r="P841" t="str">
            <v/>
          </cell>
          <cell r="Q841" t="str">
            <v/>
          </cell>
          <cell r="R841" t="e">
            <v>#N/A</v>
          </cell>
        </row>
        <row r="842">
          <cell r="A842" t="str">
            <v/>
          </cell>
          <cell r="B842" t="str">
            <v/>
          </cell>
          <cell r="C842" t="str">
            <v>Future</v>
          </cell>
          <cell r="D842" t="e">
            <v>#N/A</v>
          </cell>
          <cell r="E842">
            <v>-6.8138492063495173</v>
          </cell>
          <cell r="F842">
            <v>66.182182539681534</v>
          </cell>
          <cell r="G842">
            <v>38.10678571428506</v>
          </cell>
          <cell r="H842">
            <v>38.10678571428506</v>
          </cell>
          <cell r="I842" t="e">
            <v>#N/A</v>
          </cell>
          <cell r="J842" t="e">
            <v>#N/A</v>
          </cell>
          <cell r="K842">
            <v>65</v>
          </cell>
          <cell r="L842">
            <v>40</v>
          </cell>
          <cell r="M842" t="e">
            <v>#N/A</v>
          </cell>
          <cell r="N842">
            <v>52</v>
          </cell>
          <cell r="O842" t="e">
            <v>#N/A</v>
          </cell>
          <cell r="P842" t="str">
            <v/>
          </cell>
          <cell r="Q842" t="str">
            <v/>
          </cell>
          <cell r="R842" t="e">
            <v>#N/A</v>
          </cell>
        </row>
        <row r="843">
          <cell r="A843" t="str">
            <v/>
          </cell>
          <cell r="B843" t="str">
            <v/>
          </cell>
          <cell r="C843" t="str">
            <v>Future</v>
          </cell>
          <cell r="D843" t="e">
            <v>#N/A</v>
          </cell>
          <cell r="E843">
            <v>-7.0336507936511046</v>
          </cell>
          <cell r="F843">
            <v>66.220317460316451</v>
          </cell>
          <cell r="G843">
            <v>38.045714285713629</v>
          </cell>
          <cell r="H843">
            <v>38.045714285713629</v>
          </cell>
          <cell r="I843" t="e">
            <v>#N/A</v>
          </cell>
          <cell r="J843" t="e">
            <v>#N/A</v>
          </cell>
          <cell r="K843">
            <v>65</v>
          </cell>
          <cell r="L843">
            <v>40</v>
          </cell>
          <cell r="M843" t="e">
            <v>#N/A</v>
          </cell>
          <cell r="N843">
            <v>52</v>
          </cell>
          <cell r="O843" t="e">
            <v>#N/A</v>
          </cell>
          <cell r="P843" t="str">
            <v/>
          </cell>
          <cell r="Q843" t="str">
            <v/>
          </cell>
          <cell r="R843" t="e">
            <v>#N/A</v>
          </cell>
        </row>
        <row r="844">
          <cell r="A844" t="str">
            <v/>
          </cell>
          <cell r="B844" t="str">
            <v/>
          </cell>
          <cell r="C844" t="str">
            <v>Future</v>
          </cell>
          <cell r="D844" t="e">
            <v>#N/A</v>
          </cell>
          <cell r="E844">
            <v>-7.2534523809526918</v>
          </cell>
          <cell r="F844">
            <v>66.258452380951368</v>
          </cell>
          <cell r="G844">
            <v>37.984642857142198</v>
          </cell>
          <cell r="H844">
            <v>37.984642857142198</v>
          </cell>
          <cell r="I844" t="e">
            <v>#N/A</v>
          </cell>
          <cell r="J844" t="e">
            <v>#N/A</v>
          </cell>
          <cell r="K844">
            <v>65</v>
          </cell>
          <cell r="L844">
            <v>40</v>
          </cell>
          <cell r="M844" t="e">
            <v>#N/A</v>
          </cell>
          <cell r="N844">
            <v>52</v>
          </cell>
          <cell r="O844" t="e">
            <v>#N/A</v>
          </cell>
          <cell r="P844" t="str">
            <v/>
          </cell>
          <cell r="Q844" t="str">
            <v/>
          </cell>
          <cell r="R844" t="e">
            <v>#N/A</v>
          </cell>
        </row>
        <row r="845">
          <cell r="A845" t="str">
            <v/>
          </cell>
          <cell r="B845" t="str">
            <v/>
          </cell>
          <cell r="C845" t="str">
            <v>Future</v>
          </cell>
          <cell r="D845" t="e">
            <v>#N/A</v>
          </cell>
          <cell r="E845">
            <v>-7.4732539682542791</v>
          </cell>
          <cell r="F845">
            <v>66.296587301586285</v>
          </cell>
          <cell r="G845">
            <v>37.923571428570767</v>
          </cell>
          <cell r="H845">
            <v>37.923571428570767</v>
          </cell>
          <cell r="I845" t="e">
            <v>#N/A</v>
          </cell>
          <cell r="J845" t="e">
            <v>#N/A</v>
          </cell>
          <cell r="K845">
            <v>65</v>
          </cell>
          <cell r="L845">
            <v>40</v>
          </cell>
          <cell r="M845" t="e">
            <v>#N/A</v>
          </cell>
          <cell r="N845">
            <v>52</v>
          </cell>
          <cell r="O845" t="e">
            <v>#N/A</v>
          </cell>
          <cell r="P845" t="str">
            <v/>
          </cell>
          <cell r="Q845" t="str">
            <v/>
          </cell>
          <cell r="R845" t="e">
            <v>#N/A</v>
          </cell>
        </row>
        <row r="846">
          <cell r="A846" t="str">
            <v/>
          </cell>
          <cell r="B846" t="str">
            <v/>
          </cell>
          <cell r="C846" t="str">
            <v>Future</v>
          </cell>
          <cell r="D846" t="e">
            <v>#N/A</v>
          </cell>
          <cell r="E846">
            <v>-7.6930555555558664</v>
          </cell>
          <cell r="F846">
            <v>66.334722222221203</v>
          </cell>
          <cell r="G846">
            <v>37.862499999999336</v>
          </cell>
          <cell r="H846">
            <v>37.862499999999336</v>
          </cell>
          <cell r="I846" t="e">
            <v>#N/A</v>
          </cell>
          <cell r="J846" t="e">
            <v>#N/A</v>
          </cell>
          <cell r="K846">
            <v>65</v>
          </cell>
          <cell r="L846">
            <v>40</v>
          </cell>
          <cell r="M846" t="e">
            <v>#N/A</v>
          </cell>
          <cell r="N846">
            <v>52</v>
          </cell>
          <cell r="O846" t="e">
            <v>#N/A</v>
          </cell>
          <cell r="P846" t="str">
            <v/>
          </cell>
          <cell r="Q846" t="str">
            <v/>
          </cell>
          <cell r="R846" t="e">
            <v>#N/A</v>
          </cell>
        </row>
        <row r="847">
          <cell r="A847" t="str">
            <v/>
          </cell>
          <cell r="B847" t="str">
            <v/>
          </cell>
          <cell r="C847" t="str">
            <v>Future</v>
          </cell>
          <cell r="D847" t="e">
            <v>#N/A</v>
          </cell>
          <cell r="E847">
            <v>-7.9128571428574537</v>
          </cell>
          <cell r="F847">
            <v>66.37285714285612</v>
          </cell>
          <cell r="G847">
            <v>37.801428571427905</v>
          </cell>
          <cell r="H847">
            <v>37.801428571427905</v>
          </cell>
          <cell r="I847" t="e">
            <v>#N/A</v>
          </cell>
          <cell r="J847" t="e">
            <v>#N/A</v>
          </cell>
          <cell r="K847">
            <v>65</v>
          </cell>
          <cell r="L847">
            <v>40</v>
          </cell>
          <cell r="M847" t="e">
            <v>#N/A</v>
          </cell>
          <cell r="N847">
            <v>52</v>
          </cell>
          <cell r="O847" t="e">
            <v>#N/A</v>
          </cell>
          <cell r="P847" t="str">
            <v/>
          </cell>
          <cell r="Q847" t="str">
            <v/>
          </cell>
          <cell r="R847" t="e">
            <v>#N/A</v>
          </cell>
        </row>
        <row r="848">
          <cell r="A848" t="str">
            <v/>
          </cell>
          <cell r="B848" t="str">
            <v/>
          </cell>
          <cell r="C848" t="str">
            <v>Future</v>
          </cell>
          <cell r="D848" t="e">
            <v>#N/A</v>
          </cell>
          <cell r="E848">
            <v>-8.1326587301590418</v>
          </cell>
          <cell r="F848">
            <v>66.410992063491037</v>
          </cell>
          <cell r="G848">
            <v>37.740357142856475</v>
          </cell>
          <cell r="H848">
            <v>37.740357142856475</v>
          </cell>
          <cell r="I848" t="e">
            <v>#N/A</v>
          </cell>
          <cell r="J848" t="e">
            <v>#N/A</v>
          </cell>
          <cell r="K848">
            <v>65</v>
          </cell>
          <cell r="L848">
            <v>40</v>
          </cell>
          <cell r="M848" t="e">
            <v>#N/A</v>
          </cell>
          <cell r="N848">
            <v>52</v>
          </cell>
          <cell r="O848" t="e">
            <v>#N/A</v>
          </cell>
          <cell r="P848" t="str">
            <v/>
          </cell>
          <cell r="Q848" t="str">
            <v/>
          </cell>
          <cell r="R848" t="e">
            <v>#N/A</v>
          </cell>
        </row>
        <row r="849">
          <cell r="A849" t="str">
            <v/>
          </cell>
          <cell r="B849" t="str">
            <v/>
          </cell>
          <cell r="C849" t="str">
            <v>Future</v>
          </cell>
          <cell r="D849" t="e">
            <v>#N/A</v>
          </cell>
          <cell r="E849">
            <v>-8.3524603174606291</v>
          </cell>
          <cell r="F849">
            <v>66.449126984125954</v>
          </cell>
          <cell r="G849">
            <v>37.679285714285044</v>
          </cell>
          <cell r="H849">
            <v>37.679285714285044</v>
          </cell>
          <cell r="I849" t="e">
            <v>#N/A</v>
          </cell>
          <cell r="J849" t="e">
            <v>#N/A</v>
          </cell>
          <cell r="K849">
            <v>65</v>
          </cell>
          <cell r="L849">
            <v>40</v>
          </cell>
          <cell r="M849" t="e">
            <v>#N/A</v>
          </cell>
          <cell r="N849">
            <v>52</v>
          </cell>
          <cell r="O849" t="e">
            <v>#N/A</v>
          </cell>
          <cell r="P849" t="str">
            <v/>
          </cell>
          <cell r="Q849" t="str">
            <v/>
          </cell>
          <cell r="R849" t="e">
            <v>#N/A</v>
          </cell>
        </row>
        <row r="850">
          <cell r="A850" t="str">
            <v/>
          </cell>
          <cell r="B850" t="str">
            <v/>
          </cell>
          <cell r="C850" t="str">
            <v>Future</v>
          </cell>
          <cell r="D850" t="e">
            <v>#N/A</v>
          </cell>
          <cell r="E850">
            <v>-8.5722619047622164</v>
          </cell>
          <cell r="F850">
            <v>66.487261904760871</v>
          </cell>
          <cell r="G850">
            <v>37.618214285713613</v>
          </cell>
          <cell r="H850">
            <v>37.618214285713613</v>
          </cell>
          <cell r="I850" t="e">
            <v>#N/A</v>
          </cell>
          <cell r="J850" t="e">
            <v>#N/A</v>
          </cell>
          <cell r="K850">
            <v>65</v>
          </cell>
          <cell r="L850">
            <v>40</v>
          </cell>
          <cell r="M850" t="e">
            <v>#N/A</v>
          </cell>
          <cell r="N850">
            <v>52</v>
          </cell>
          <cell r="O850" t="e">
            <v>#N/A</v>
          </cell>
          <cell r="P850" t="str">
            <v/>
          </cell>
          <cell r="Q850" t="str">
            <v/>
          </cell>
          <cell r="R850" t="e">
            <v>#N/A</v>
          </cell>
        </row>
        <row r="851">
          <cell r="A851" t="str">
            <v/>
          </cell>
          <cell r="B851" t="str">
            <v/>
          </cell>
          <cell r="C851" t="str">
            <v>Future</v>
          </cell>
          <cell r="D851" t="e">
            <v>#N/A</v>
          </cell>
          <cell r="E851">
            <v>-8.7920634920638037</v>
          </cell>
          <cell r="F851">
            <v>66.525396825395788</v>
          </cell>
          <cell r="G851">
            <v>37.557142857142182</v>
          </cell>
          <cell r="H851">
            <v>37.557142857142182</v>
          </cell>
          <cell r="I851" t="e">
            <v>#N/A</v>
          </cell>
          <cell r="J851" t="e">
            <v>#N/A</v>
          </cell>
          <cell r="K851">
            <v>65</v>
          </cell>
          <cell r="L851">
            <v>40</v>
          </cell>
          <cell r="M851" t="e">
            <v>#N/A</v>
          </cell>
          <cell r="N851">
            <v>52</v>
          </cell>
          <cell r="O851" t="e">
            <v>#N/A</v>
          </cell>
          <cell r="P851" t="str">
            <v/>
          </cell>
          <cell r="Q851" t="str">
            <v/>
          </cell>
          <cell r="R851" t="e">
            <v>#N/A</v>
          </cell>
        </row>
        <row r="852">
          <cell r="A852" t="str">
            <v/>
          </cell>
          <cell r="B852" t="str">
            <v/>
          </cell>
          <cell r="C852" t="str">
            <v>Future</v>
          </cell>
          <cell r="D852" t="e">
            <v>#N/A</v>
          </cell>
          <cell r="E852">
            <v>-9.0118650793653909</v>
          </cell>
          <cell r="F852">
            <v>66.563531746030705</v>
          </cell>
          <cell r="G852">
            <v>37.496071428570751</v>
          </cell>
          <cell r="H852">
            <v>37.496071428570751</v>
          </cell>
          <cell r="I852" t="e">
            <v>#N/A</v>
          </cell>
          <cell r="J852" t="e">
            <v>#N/A</v>
          </cell>
          <cell r="K852">
            <v>65</v>
          </cell>
          <cell r="L852">
            <v>40</v>
          </cell>
          <cell r="M852" t="e">
            <v>#N/A</v>
          </cell>
          <cell r="N852">
            <v>52</v>
          </cell>
          <cell r="O852" t="e">
            <v>#N/A</v>
          </cell>
          <cell r="P852" t="str">
            <v/>
          </cell>
          <cell r="Q852" t="str">
            <v/>
          </cell>
          <cell r="R852" t="e">
            <v>#N/A</v>
          </cell>
        </row>
        <row r="853">
          <cell r="A853" t="str">
            <v/>
          </cell>
          <cell r="B853" t="str">
            <v/>
          </cell>
          <cell r="C853" t="str">
            <v>Future</v>
          </cell>
          <cell r="D853" t="e">
            <v>#N/A</v>
          </cell>
          <cell r="E853">
            <v>-9.2316666666669782</v>
          </cell>
          <cell r="F853">
            <v>66.601666666665622</v>
          </cell>
          <cell r="G853">
            <v>37.43499999999932</v>
          </cell>
          <cell r="H853">
            <v>37.43499999999932</v>
          </cell>
          <cell r="I853" t="e">
            <v>#N/A</v>
          </cell>
          <cell r="J853" t="e">
            <v>#N/A</v>
          </cell>
          <cell r="K853">
            <v>65</v>
          </cell>
          <cell r="L853">
            <v>40</v>
          </cell>
          <cell r="M853" t="e">
            <v>#N/A</v>
          </cell>
          <cell r="N853">
            <v>52</v>
          </cell>
          <cell r="O853" t="e">
            <v>#N/A</v>
          </cell>
          <cell r="P853" t="str">
            <v/>
          </cell>
          <cell r="Q853" t="str">
            <v/>
          </cell>
          <cell r="R853" t="e">
            <v>#N/A</v>
          </cell>
        </row>
        <row r="854">
          <cell r="A854" t="str">
            <v/>
          </cell>
          <cell r="B854" t="str">
            <v/>
          </cell>
          <cell r="C854" t="str">
            <v>Future</v>
          </cell>
          <cell r="D854" t="e">
            <v>#N/A</v>
          </cell>
          <cell r="E854">
            <v>-9.4514682539685655</v>
          </cell>
          <cell r="F854">
            <v>66.639801587300539</v>
          </cell>
          <cell r="G854">
            <v>37.373928571427889</v>
          </cell>
          <cell r="H854">
            <v>37.373928571427889</v>
          </cell>
          <cell r="I854" t="e">
            <v>#N/A</v>
          </cell>
          <cell r="J854" t="e">
            <v>#N/A</v>
          </cell>
          <cell r="K854">
            <v>65</v>
          </cell>
          <cell r="L854">
            <v>40</v>
          </cell>
          <cell r="M854" t="e">
            <v>#N/A</v>
          </cell>
          <cell r="N854">
            <v>52</v>
          </cell>
          <cell r="O854" t="e">
            <v>#N/A</v>
          </cell>
          <cell r="P854" t="str">
            <v/>
          </cell>
          <cell r="Q854" t="str">
            <v/>
          </cell>
          <cell r="R854" t="e">
            <v>#N/A</v>
          </cell>
        </row>
        <row r="855">
          <cell r="A855" t="str">
            <v/>
          </cell>
          <cell r="B855" t="str">
            <v/>
          </cell>
          <cell r="C855" t="str">
            <v>Future</v>
          </cell>
          <cell r="D855" t="e">
            <v>#N/A</v>
          </cell>
          <cell r="E855">
            <v>-9.6712698412701528</v>
          </cell>
          <cell r="F855">
            <v>66.677936507935456</v>
          </cell>
          <cell r="G855">
            <v>37.312857142856458</v>
          </cell>
          <cell r="H855">
            <v>37.312857142856458</v>
          </cell>
          <cell r="I855" t="e">
            <v>#N/A</v>
          </cell>
          <cell r="J855" t="e">
            <v>#N/A</v>
          </cell>
          <cell r="K855">
            <v>65</v>
          </cell>
          <cell r="L855">
            <v>40</v>
          </cell>
          <cell r="M855" t="e">
            <v>#N/A</v>
          </cell>
          <cell r="N855">
            <v>52</v>
          </cell>
          <cell r="O855" t="e">
            <v>#N/A</v>
          </cell>
          <cell r="P855" t="str">
            <v/>
          </cell>
          <cell r="Q855" t="str">
            <v/>
          </cell>
          <cell r="R855" t="e">
            <v>#N/A</v>
          </cell>
        </row>
        <row r="856">
          <cell r="A856" t="str">
            <v/>
          </cell>
          <cell r="B856" t="str">
            <v/>
          </cell>
          <cell r="C856" t="str">
            <v>Future</v>
          </cell>
          <cell r="D856" t="e">
            <v>#N/A</v>
          </cell>
          <cell r="E856">
            <v>-9.89107142857174</v>
          </cell>
          <cell r="F856">
            <v>66.716071428570373</v>
          </cell>
          <cell r="G856">
            <v>37.251785714285027</v>
          </cell>
          <cell r="H856">
            <v>37.251785714285027</v>
          </cell>
          <cell r="I856" t="e">
            <v>#N/A</v>
          </cell>
          <cell r="J856" t="e">
            <v>#N/A</v>
          </cell>
          <cell r="K856">
            <v>65</v>
          </cell>
          <cell r="L856">
            <v>40</v>
          </cell>
          <cell r="M856" t="e">
            <v>#N/A</v>
          </cell>
          <cell r="N856">
            <v>52</v>
          </cell>
          <cell r="O856" t="e">
            <v>#N/A</v>
          </cell>
          <cell r="P856" t="str">
            <v/>
          </cell>
          <cell r="Q856" t="str">
            <v/>
          </cell>
          <cell r="R856" t="e">
            <v>#N/A</v>
          </cell>
        </row>
        <row r="857">
          <cell r="A857" t="str">
            <v/>
          </cell>
          <cell r="B857" t="str">
            <v/>
          </cell>
          <cell r="C857" t="str">
            <v>Future</v>
          </cell>
          <cell r="D857" t="e">
            <v>#N/A</v>
          </cell>
          <cell r="E857">
            <v>-10.110873015873327</v>
          </cell>
          <cell r="F857">
            <v>66.75420634920529</v>
          </cell>
          <cell r="G857">
            <v>37.190714285713597</v>
          </cell>
          <cell r="H857">
            <v>37.190714285713597</v>
          </cell>
          <cell r="I857" t="e">
            <v>#N/A</v>
          </cell>
          <cell r="J857" t="e">
            <v>#N/A</v>
          </cell>
          <cell r="K857">
            <v>65</v>
          </cell>
          <cell r="L857">
            <v>40</v>
          </cell>
          <cell r="M857" t="e">
            <v>#N/A</v>
          </cell>
          <cell r="N857">
            <v>52</v>
          </cell>
          <cell r="O857" t="e">
            <v>#N/A</v>
          </cell>
          <cell r="P857" t="str">
            <v/>
          </cell>
          <cell r="Q857" t="str">
            <v/>
          </cell>
          <cell r="R857" t="e">
            <v>#N/A</v>
          </cell>
        </row>
        <row r="858">
          <cell r="A858" t="str">
            <v/>
          </cell>
          <cell r="B858" t="str">
            <v/>
          </cell>
          <cell r="C858" t="str">
            <v>Future</v>
          </cell>
          <cell r="D858" t="e">
            <v>#N/A</v>
          </cell>
          <cell r="E858">
            <v>-10.330674603174915</v>
          </cell>
          <cell r="F858">
            <v>66.792341269840207</v>
          </cell>
          <cell r="G858">
            <v>37.129642857142166</v>
          </cell>
          <cell r="H858">
            <v>37.129642857142166</v>
          </cell>
          <cell r="I858" t="e">
            <v>#N/A</v>
          </cell>
          <cell r="J858" t="e">
            <v>#N/A</v>
          </cell>
          <cell r="K858">
            <v>65</v>
          </cell>
          <cell r="L858">
            <v>40</v>
          </cell>
          <cell r="M858" t="e">
            <v>#N/A</v>
          </cell>
          <cell r="N858">
            <v>52</v>
          </cell>
          <cell r="O858" t="e">
            <v>#N/A</v>
          </cell>
          <cell r="P858" t="str">
            <v/>
          </cell>
          <cell r="Q858" t="str">
            <v/>
          </cell>
          <cell r="R858" t="e">
            <v>#N/A</v>
          </cell>
        </row>
        <row r="859">
          <cell r="A859" t="str">
            <v/>
          </cell>
          <cell r="B859" t="str">
            <v/>
          </cell>
          <cell r="C859" t="str">
            <v>Future</v>
          </cell>
          <cell r="D859" t="e">
            <v>#N/A</v>
          </cell>
          <cell r="E859">
            <v>-10.550476190476502</v>
          </cell>
          <cell r="F859">
            <v>66.830476190475125</v>
          </cell>
          <cell r="G859">
            <v>37.068571428570735</v>
          </cell>
          <cell r="H859">
            <v>37.068571428570735</v>
          </cell>
          <cell r="I859" t="e">
            <v>#N/A</v>
          </cell>
          <cell r="J859" t="e">
            <v>#N/A</v>
          </cell>
          <cell r="K859">
            <v>65</v>
          </cell>
          <cell r="L859">
            <v>40</v>
          </cell>
          <cell r="M859" t="e">
            <v>#N/A</v>
          </cell>
          <cell r="N859">
            <v>52</v>
          </cell>
          <cell r="O859" t="e">
            <v>#N/A</v>
          </cell>
          <cell r="P859" t="str">
            <v/>
          </cell>
          <cell r="Q859" t="str">
            <v/>
          </cell>
          <cell r="R859" t="e">
            <v>#N/A</v>
          </cell>
        </row>
        <row r="860">
          <cell r="A860" t="str">
            <v/>
          </cell>
          <cell r="B860" t="str">
            <v/>
          </cell>
          <cell r="C860" t="str">
            <v>Future</v>
          </cell>
          <cell r="D860" t="e">
            <v>#N/A</v>
          </cell>
          <cell r="E860">
            <v>-10.770277777778089</v>
          </cell>
          <cell r="F860">
            <v>66.868611111110042</v>
          </cell>
          <cell r="G860">
            <v>37.007499999999304</v>
          </cell>
          <cell r="H860">
            <v>37.007499999999304</v>
          </cell>
          <cell r="I860" t="e">
            <v>#N/A</v>
          </cell>
          <cell r="J860" t="e">
            <v>#N/A</v>
          </cell>
          <cell r="K860">
            <v>65</v>
          </cell>
          <cell r="L860">
            <v>40</v>
          </cell>
          <cell r="M860" t="e">
            <v>#N/A</v>
          </cell>
          <cell r="N860">
            <v>52</v>
          </cell>
          <cell r="O860" t="e">
            <v>#N/A</v>
          </cell>
          <cell r="P860" t="str">
            <v/>
          </cell>
          <cell r="Q860" t="str">
            <v/>
          </cell>
          <cell r="R860" t="e">
            <v>#N/A</v>
          </cell>
        </row>
        <row r="861">
          <cell r="A861" t="str">
            <v/>
          </cell>
          <cell r="B861" t="str">
            <v/>
          </cell>
          <cell r="C861" t="str">
            <v>Future</v>
          </cell>
          <cell r="D861" t="e">
            <v>#N/A</v>
          </cell>
          <cell r="E861">
            <v>-10.990079365079676</v>
          </cell>
          <cell r="F861">
            <v>66.906746031744959</v>
          </cell>
          <cell r="G861">
            <v>36.946428571427873</v>
          </cell>
          <cell r="H861">
            <v>36.946428571427873</v>
          </cell>
          <cell r="I861" t="e">
            <v>#N/A</v>
          </cell>
          <cell r="J861" t="e">
            <v>#N/A</v>
          </cell>
          <cell r="K861">
            <v>65</v>
          </cell>
          <cell r="L861">
            <v>40</v>
          </cell>
          <cell r="M861" t="e">
            <v>#N/A</v>
          </cell>
          <cell r="N861">
            <v>52</v>
          </cell>
          <cell r="O861" t="e">
            <v>#N/A</v>
          </cell>
          <cell r="P861" t="str">
            <v/>
          </cell>
          <cell r="Q861" t="str">
            <v/>
          </cell>
          <cell r="R861" t="e">
            <v>#N/A</v>
          </cell>
        </row>
        <row r="862">
          <cell r="A862" t="str">
            <v/>
          </cell>
          <cell r="B862" t="str">
            <v/>
          </cell>
          <cell r="C862" t="str">
            <v>Future</v>
          </cell>
          <cell r="D862" t="e">
            <v>#N/A</v>
          </cell>
          <cell r="E862">
            <v>-11.209880952381264</v>
          </cell>
          <cell r="F862">
            <v>66.944880952379876</v>
          </cell>
          <cell r="G862">
            <v>36.885357142856442</v>
          </cell>
          <cell r="H862">
            <v>36.885357142856442</v>
          </cell>
          <cell r="I862" t="e">
            <v>#N/A</v>
          </cell>
          <cell r="J862" t="e">
            <v>#N/A</v>
          </cell>
          <cell r="K862">
            <v>65</v>
          </cell>
          <cell r="L862">
            <v>40</v>
          </cell>
          <cell r="M862" t="e">
            <v>#N/A</v>
          </cell>
          <cell r="N862">
            <v>52</v>
          </cell>
          <cell r="O862" t="e">
            <v>#N/A</v>
          </cell>
          <cell r="P862" t="str">
            <v/>
          </cell>
          <cell r="Q862" t="str">
            <v/>
          </cell>
          <cell r="R862" t="e">
            <v>#N/A</v>
          </cell>
        </row>
        <row r="863">
          <cell r="A863" t="str">
            <v/>
          </cell>
          <cell r="B863" t="str">
            <v/>
          </cell>
          <cell r="C863" t="str">
            <v>Future</v>
          </cell>
          <cell r="D863" t="e">
            <v>#N/A</v>
          </cell>
          <cell r="E863">
            <v>-11.429682539682851</v>
          </cell>
          <cell r="F863">
            <v>66.983015873014793</v>
          </cell>
          <cell r="G863">
            <v>36.824285714285011</v>
          </cell>
          <cell r="H863">
            <v>36.824285714285011</v>
          </cell>
          <cell r="I863" t="e">
            <v>#N/A</v>
          </cell>
          <cell r="J863" t="e">
            <v>#N/A</v>
          </cell>
          <cell r="K863">
            <v>65</v>
          </cell>
          <cell r="L863">
            <v>40</v>
          </cell>
          <cell r="M863" t="e">
            <v>#N/A</v>
          </cell>
          <cell r="N863">
            <v>52</v>
          </cell>
          <cell r="O863" t="e">
            <v>#N/A</v>
          </cell>
          <cell r="P863" t="str">
            <v/>
          </cell>
          <cell r="Q863" t="str">
            <v/>
          </cell>
          <cell r="R863" t="e">
            <v>#N/A</v>
          </cell>
        </row>
        <row r="864">
          <cell r="A864" t="str">
            <v/>
          </cell>
          <cell r="B864" t="str">
            <v/>
          </cell>
          <cell r="C864" t="str">
            <v>Future</v>
          </cell>
          <cell r="D864" t="e">
            <v>#N/A</v>
          </cell>
          <cell r="E864">
            <v>-11.649484126984438</v>
          </cell>
          <cell r="F864">
            <v>67.02115079364971</v>
          </cell>
          <cell r="G864">
            <v>36.76321428571358</v>
          </cell>
          <cell r="H864">
            <v>36.76321428571358</v>
          </cell>
          <cell r="I864" t="e">
            <v>#N/A</v>
          </cell>
          <cell r="J864" t="e">
            <v>#N/A</v>
          </cell>
          <cell r="K864">
            <v>65</v>
          </cell>
          <cell r="L864">
            <v>40</v>
          </cell>
          <cell r="M864" t="e">
            <v>#N/A</v>
          </cell>
          <cell r="N864">
            <v>52</v>
          </cell>
          <cell r="O864" t="e">
            <v>#N/A</v>
          </cell>
          <cell r="P864" t="str">
            <v/>
          </cell>
          <cell r="Q864" t="str">
            <v/>
          </cell>
          <cell r="R864" t="e">
            <v>#N/A</v>
          </cell>
        </row>
        <row r="865">
          <cell r="A865" t="str">
            <v/>
          </cell>
          <cell r="B865" t="str">
            <v/>
          </cell>
          <cell r="C865" t="str">
            <v>Future</v>
          </cell>
          <cell r="D865" t="e">
            <v>#N/A</v>
          </cell>
          <cell r="E865">
            <v>-11.869285714286026</v>
          </cell>
          <cell r="F865">
            <v>67.059285714284627</v>
          </cell>
          <cell r="G865">
            <v>36.70214285714215</v>
          </cell>
          <cell r="H865">
            <v>36.70214285714215</v>
          </cell>
          <cell r="I865" t="e">
            <v>#N/A</v>
          </cell>
          <cell r="J865" t="e">
            <v>#N/A</v>
          </cell>
          <cell r="K865">
            <v>65</v>
          </cell>
          <cell r="L865">
            <v>40</v>
          </cell>
          <cell r="M865" t="e">
            <v>#N/A</v>
          </cell>
          <cell r="N865">
            <v>52</v>
          </cell>
          <cell r="O865" t="e">
            <v>#N/A</v>
          </cell>
          <cell r="P865" t="str">
            <v/>
          </cell>
          <cell r="Q865" t="str">
            <v/>
          </cell>
          <cell r="R865" t="e">
            <v>#N/A</v>
          </cell>
        </row>
        <row r="866">
          <cell r="A866" t="str">
            <v/>
          </cell>
          <cell r="B866" t="str">
            <v/>
          </cell>
          <cell r="C866" t="str">
            <v>Future</v>
          </cell>
          <cell r="D866" t="e">
            <v>#N/A</v>
          </cell>
          <cell r="E866">
            <v>-12.089087301587613</v>
          </cell>
          <cell r="F866">
            <v>67.097420634919544</v>
          </cell>
          <cell r="G866">
            <v>36.641071428570719</v>
          </cell>
          <cell r="H866">
            <v>36.641071428570719</v>
          </cell>
          <cell r="I866" t="e">
            <v>#N/A</v>
          </cell>
          <cell r="J866" t="e">
            <v>#N/A</v>
          </cell>
          <cell r="K866">
            <v>65</v>
          </cell>
          <cell r="L866">
            <v>40</v>
          </cell>
          <cell r="M866" t="e">
            <v>#N/A</v>
          </cell>
          <cell r="N866">
            <v>52</v>
          </cell>
          <cell r="O866" t="e">
            <v>#N/A</v>
          </cell>
          <cell r="P866" t="str">
            <v/>
          </cell>
          <cell r="Q866" t="str">
            <v/>
          </cell>
          <cell r="R866" t="e">
            <v>#N/A</v>
          </cell>
        </row>
        <row r="867">
          <cell r="A867" t="str">
            <v/>
          </cell>
          <cell r="B867" t="str">
            <v/>
          </cell>
          <cell r="C867" t="str">
            <v>Future</v>
          </cell>
          <cell r="D867" t="e">
            <v>#N/A</v>
          </cell>
          <cell r="E867">
            <v>-12.3088888888892</v>
          </cell>
          <cell r="F867">
            <v>67.135555555554461</v>
          </cell>
          <cell r="G867">
            <v>36.579999999999288</v>
          </cell>
          <cell r="H867">
            <v>36.579999999999288</v>
          </cell>
          <cell r="I867" t="e">
            <v>#N/A</v>
          </cell>
          <cell r="J867" t="e">
            <v>#N/A</v>
          </cell>
          <cell r="K867">
            <v>65</v>
          </cell>
          <cell r="L867">
            <v>40</v>
          </cell>
          <cell r="M867" t="e">
            <v>#N/A</v>
          </cell>
          <cell r="N867">
            <v>52</v>
          </cell>
          <cell r="O867" t="e">
            <v>#N/A</v>
          </cell>
          <cell r="P867" t="str">
            <v/>
          </cell>
          <cell r="Q867" t="str">
            <v/>
          </cell>
          <cell r="R867" t="e">
            <v>#N/A</v>
          </cell>
        </row>
        <row r="868">
          <cell r="A868" t="str">
            <v/>
          </cell>
          <cell r="B868" t="str">
            <v/>
          </cell>
          <cell r="C868" t="str">
            <v>Future</v>
          </cell>
          <cell r="D868" t="e">
            <v>#N/A</v>
          </cell>
          <cell r="E868">
            <v>-12.528690476190787</v>
          </cell>
          <cell r="F868">
            <v>67.173690476189378</v>
          </cell>
          <cell r="G868">
            <v>36.518928571427857</v>
          </cell>
          <cell r="H868">
            <v>36.518928571427857</v>
          </cell>
          <cell r="I868" t="e">
            <v>#N/A</v>
          </cell>
          <cell r="J868" t="e">
            <v>#N/A</v>
          </cell>
          <cell r="K868">
            <v>65</v>
          </cell>
          <cell r="L868">
            <v>40</v>
          </cell>
          <cell r="M868" t="e">
            <v>#N/A</v>
          </cell>
          <cell r="N868">
            <v>52</v>
          </cell>
          <cell r="O868" t="e">
            <v>#N/A</v>
          </cell>
          <cell r="P868" t="str">
            <v/>
          </cell>
          <cell r="Q868" t="str">
            <v/>
          </cell>
          <cell r="R868" t="e">
            <v>#N/A</v>
          </cell>
        </row>
        <row r="869">
          <cell r="A869" t="str">
            <v/>
          </cell>
          <cell r="B869" t="str">
            <v/>
          </cell>
          <cell r="C869" t="str">
            <v>Future</v>
          </cell>
          <cell r="D869" t="e">
            <v>#N/A</v>
          </cell>
          <cell r="E869">
            <v>-12.748492063492375</v>
          </cell>
          <cell r="F869">
            <v>67.211825396824295</v>
          </cell>
          <cell r="G869">
            <v>36.457857142856426</v>
          </cell>
          <cell r="H869">
            <v>36.457857142856426</v>
          </cell>
          <cell r="I869" t="e">
            <v>#N/A</v>
          </cell>
          <cell r="J869" t="e">
            <v>#N/A</v>
          </cell>
          <cell r="K869">
            <v>65</v>
          </cell>
          <cell r="L869">
            <v>40</v>
          </cell>
          <cell r="M869" t="e">
            <v>#N/A</v>
          </cell>
          <cell r="N869">
            <v>52</v>
          </cell>
          <cell r="O869" t="e">
            <v>#N/A</v>
          </cell>
          <cell r="P869" t="str">
            <v/>
          </cell>
          <cell r="Q869" t="str">
            <v/>
          </cell>
          <cell r="R869" t="e">
            <v>#N/A</v>
          </cell>
        </row>
        <row r="870">
          <cell r="A870" t="str">
            <v/>
          </cell>
          <cell r="B870" t="str">
            <v/>
          </cell>
          <cell r="C870" t="str">
            <v>Future</v>
          </cell>
          <cell r="D870" t="e">
            <v>#N/A</v>
          </cell>
          <cell r="E870">
            <v>-12.968293650793962</v>
          </cell>
          <cell r="F870">
            <v>67.249960317459212</v>
          </cell>
          <cell r="G870">
            <v>36.396785714284995</v>
          </cell>
          <cell r="H870">
            <v>36.396785714284995</v>
          </cell>
          <cell r="I870" t="e">
            <v>#N/A</v>
          </cell>
          <cell r="J870" t="e">
            <v>#N/A</v>
          </cell>
          <cell r="K870">
            <v>65</v>
          </cell>
          <cell r="L870">
            <v>40</v>
          </cell>
          <cell r="M870" t="e">
            <v>#N/A</v>
          </cell>
          <cell r="N870">
            <v>52</v>
          </cell>
          <cell r="O870" t="e">
            <v>#N/A</v>
          </cell>
          <cell r="P870" t="str">
            <v/>
          </cell>
          <cell r="Q870" t="str">
            <v/>
          </cell>
          <cell r="R870" t="e">
            <v>#N/A</v>
          </cell>
        </row>
        <row r="871">
          <cell r="A871" t="str">
            <v/>
          </cell>
          <cell r="B871" t="str">
            <v/>
          </cell>
          <cell r="C871" t="str">
            <v>Future</v>
          </cell>
          <cell r="D871" t="e">
            <v>#N/A</v>
          </cell>
          <cell r="E871">
            <v>-13.188095238095549</v>
          </cell>
          <cell r="F871">
            <v>67.28809523809413</v>
          </cell>
          <cell r="G871">
            <v>36.335714285713564</v>
          </cell>
          <cell r="H871">
            <v>36.335714285713564</v>
          </cell>
          <cell r="I871" t="e">
            <v>#N/A</v>
          </cell>
          <cell r="J871" t="e">
            <v>#N/A</v>
          </cell>
          <cell r="K871">
            <v>65</v>
          </cell>
          <cell r="L871">
            <v>40</v>
          </cell>
          <cell r="M871" t="e">
            <v>#N/A</v>
          </cell>
          <cell r="N871">
            <v>52</v>
          </cell>
          <cell r="O871" t="e">
            <v>#N/A</v>
          </cell>
          <cell r="P871" t="str">
            <v/>
          </cell>
          <cell r="Q871" t="str">
            <v/>
          </cell>
          <cell r="R871" t="e">
            <v>#N/A</v>
          </cell>
        </row>
        <row r="872">
          <cell r="A872" t="str">
            <v/>
          </cell>
          <cell r="B872" t="str">
            <v/>
          </cell>
          <cell r="C872" t="str">
            <v>Future</v>
          </cell>
          <cell r="D872" t="e">
            <v>#N/A</v>
          </cell>
          <cell r="E872">
            <v>-13.407896825397136</v>
          </cell>
          <cell r="F872">
            <v>67.326230158729047</v>
          </cell>
          <cell r="G872">
            <v>36.274642857142133</v>
          </cell>
          <cell r="H872">
            <v>36.274642857142133</v>
          </cell>
          <cell r="I872" t="e">
            <v>#N/A</v>
          </cell>
          <cell r="J872" t="e">
            <v>#N/A</v>
          </cell>
          <cell r="K872">
            <v>65</v>
          </cell>
          <cell r="L872">
            <v>40</v>
          </cell>
          <cell r="M872" t="e">
            <v>#N/A</v>
          </cell>
          <cell r="N872">
            <v>52</v>
          </cell>
          <cell r="O872" t="e">
            <v>#N/A</v>
          </cell>
          <cell r="P872" t="str">
            <v/>
          </cell>
          <cell r="Q872" t="str">
            <v/>
          </cell>
          <cell r="R872" t="e">
            <v>#N/A</v>
          </cell>
        </row>
        <row r="873">
          <cell r="A873" t="str">
            <v/>
          </cell>
          <cell r="B873" t="str">
            <v/>
          </cell>
          <cell r="C873" t="str">
            <v>Future</v>
          </cell>
          <cell r="D873" t="e">
            <v>#N/A</v>
          </cell>
          <cell r="E873">
            <v>-13.627698412698724</v>
          </cell>
          <cell r="F873">
            <v>67.364365079363964</v>
          </cell>
          <cell r="G873">
            <v>36.213571428570702</v>
          </cell>
          <cell r="H873">
            <v>36.213571428570702</v>
          </cell>
          <cell r="I873" t="e">
            <v>#N/A</v>
          </cell>
          <cell r="J873" t="e">
            <v>#N/A</v>
          </cell>
          <cell r="K873">
            <v>65</v>
          </cell>
          <cell r="L873">
            <v>40</v>
          </cell>
          <cell r="M873" t="e">
            <v>#N/A</v>
          </cell>
          <cell r="N873">
            <v>52</v>
          </cell>
          <cell r="O873" t="e">
            <v>#N/A</v>
          </cell>
          <cell r="P873" t="str">
            <v/>
          </cell>
          <cell r="Q873" t="str">
            <v/>
          </cell>
          <cell r="R873" t="e">
            <v>#N/A</v>
          </cell>
        </row>
        <row r="874">
          <cell r="A874" t="str">
            <v/>
          </cell>
          <cell r="B874" t="str">
            <v/>
          </cell>
          <cell r="C874" t="str">
            <v>Future</v>
          </cell>
          <cell r="D874" t="e">
            <v>#N/A</v>
          </cell>
          <cell r="E874">
            <v>-13.847500000000311</v>
          </cell>
          <cell r="F874">
            <v>67.402499999998881</v>
          </cell>
          <cell r="G874">
            <v>36.152499999999272</v>
          </cell>
          <cell r="H874">
            <v>36.152499999999272</v>
          </cell>
          <cell r="I874" t="e">
            <v>#N/A</v>
          </cell>
          <cell r="J874" t="e">
            <v>#N/A</v>
          </cell>
          <cell r="K874">
            <v>65</v>
          </cell>
          <cell r="L874">
            <v>40</v>
          </cell>
          <cell r="M874" t="e">
            <v>#N/A</v>
          </cell>
          <cell r="N874">
            <v>52</v>
          </cell>
          <cell r="O874" t="e">
            <v>#N/A</v>
          </cell>
          <cell r="P874" t="str">
            <v/>
          </cell>
          <cell r="Q874" t="str">
            <v/>
          </cell>
          <cell r="R874" t="e">
            <v>#N/A</v>
          </cell>
        </row>
        <row r="875">
          <cell r="A875" t="str">
            <v/>
          </cell>
          <cell r="B875" t="str">
            <v/>
          </cell>
          <cell r="C875" t="str">
            <v>Future</v>
          </cell>
          <cell r="D875" t="e">
            <v>#N/A</v>
          </cell>
          <cell r="E875">
            <v>-14.067301587301898</v>
          </cell>
          <cell r="F875">
            <v>67.440634920633798</v>
          </cell>
          <cell r="G875">
            <v>36.091428571427841</v>
          </cell>
          <cell r="H875">
            <v>36.091428571427841</v>
          </cell>
          <cell r="I875" t="e">
            <v>#N/A</v>
          </cell>
          <cell r="J875" t="e">
            <v>#N/A</v>
          </cell>
          <cell r="K875">
            <v>65</v>
          </cell>
          <cell r="L875">
            <v>40</v>
          </cell>
          <cell r="M875" t="e">
            <v>#N/A</v>
          </cell>
          <cell r="N875">
            <v>52</v>
          </cell>
          <cell r="O875" t="e">
            <v>#N/A</v>
          </cell>
          <cell r="P875" t="str">
            <v/>
          </cell>
          <cell r="Q875" t="str">
            <v/>
          </cell>
          <cell r="R875" t="e">
            <v>#N/A</v>
          </cell>
        </row>
        <row r="876">
          <cell r="A876" t="str">
            <v/>
          </cell>
          <cell r="B876" t="str">
            <v/>
          </cell>
          <cell r="C876" t="str">
            <v>Future</v>
          </cell>
          <cell r="D876" t="e">
            <v>#N/A</v>
          </cell>
          <cell r="E876">
            <v>-14.287103174603486</v>
          </cell>
          <cell r="F876">
            <v>67.478769841268715</v>
          </cell>
          <cell r="G876">
            <v>36.03035714285641</v>
          </cell>
          <cell r="H876">
            <v>36.03035714285641</v>
          </cell>
          <cell r="I876" t="e">
            <v>#N/A</v>
          </cell>
          <cell r="J876" t="e">
            <v>#N/A</v>
          </cell>
          <cell r="K876">
            <v>65</v>
          </cell>
          <cell r="L876">
            <v>40</v>
          </cell>
          <cell r="M876" t="e">
            <v>#N/A</v>
          </cell>
          <cell r="N876">
            <v>52</v>
          </cell>
          <cell r="O876" t="e">
            <v>#N/A</v>
          </cell>
          <cell r="P876" t="str">
            <v/>
          </cell>
          <cell r="Q876" t="str">
            <v/>
          </cell>
          <cell r="R876" t="e">
            <v>#N/A</v>
          </cell>
        </row>
        <row r="877">
          <cell r="A877" t="str">
            <v/>
          </cell>
          <cell r="B877" t="str">
            <v/>
          </cell>
          <cell r="C877" t="str">
            <v>Future</v>
          </cell>
          <cell r="D877" t="e">
            <v>#N/A</v>
          </cell>
          <cell r="E877">
            <v>-14.506904761905073</v>
          </cell>
          <cell r="F877">
            <v>67.516904761903632</v>
          </cell>
          <cell r="G877">
            <v>35.969285714284979</v>
          </cell>
          <cell r="H877">
            <v>35.969285714284979</v>
          </cell>
          <cell r="I877" t="e">
            <v>#N/A</v>
          </cell>
          <cell r="J877" t="e">
            <v>#N/A</v>
          </cell>
          <cell r="K877">
            <v>65</v>
          </cell>
          <cell r="L877">
            <v>40</v>
          </cell>
          <cell r="M877" t="e">
            <v>#N/A</v>
          </cell>
          <cell r="N877">
            <v>52</v>
          </cell>
          <cell r="O877" t="e">
            <v>#N/A</v>
          </cell>
          <cell r="P877" t="str">
            <v/>
          </cell>
          <cell r="Q877" t="str">
            <v/>
          </cell>
          <cell r="R877" t="e">
            <v>#N/A</v>
          </cell>
        </row>
        <row r="878">
          <cell r="A878" t="str">
            <v/>
          </cell>
          <cell r="B878" t="str">
            <v/>
          </cell>
          <cell r="C878" t="str">
            <v>Future</v>
          </cell>
          <cell r="D878" t="e">
            <v>#N/A</v>
          </cell>
          <cell r="E878">
            <v>-14.72670634920666</v>
          </cell>
          <cell r="F878">
            <v>67.555039682538549</v>
          </cell>
          <cell r="G878">
            <v>35.908214285713548</v>
          </cell>
          <cell r="H878">
            <v>35.908214285713548</v>
          </cell>
          <cell r="I878" t="e">
            <v>#N/A</v>
          </cell>
          <cell r="J878" t="e">
            <v>#N/A</v>
          </cell>
          <cell r="K878">
            <v>65</v>
          </cell>
          <cell r="L878">
            <v>40</v>
          </cell>
          <cell r="M878" t="e">
            <v>#N/A</v>
          </cell>
          <cell r="N878">
            <v>52</v>
          </cell>
          <cell r="O878" t="e">
            <v>#N/A</v>
          </cell>
          <cell r="P878" t="str">
            <v/>
          </cell>
          <cell r="Q878" t="str">
            <v/>
          </cell>
          <cell r="R878" t="e">
            <v>#N/A</v>
          </cell>
        </row>
        <row r="879">
          <cell r="A879" t="str">
            <v/>
          </cell>
          <cell r="B879" t="str">
            <v/>
          </cell>
          <cell r="C879" t="str">
            <v>Future</v>
          </cell>
          <cell r="D879" t="e">
            <v>#N/A</v>
          </cell>
          <cell r="E879">
            <v>-14.946507936508247</v>
          </cell>
          <cell r="F879">
            <v>67.593174603173466</v>
          </cell>
          <cell r="G879">
            <v>35.847142857142117</v>
          </cell>
          <cell r="H879">
            <v>35.847142857142117</v>
          </cell>
          <cell r="I879" t="e">
            <v>#N/A</v>
          </cell>
          <cell r="J879" t="e">
            <v>#N/A</v>
          </cell>
          <cell r="K879">
            <v>65</v>
          </cell>
          <cell r="L879">
            <v>40</v>
          </cell>
          <cell r="M879" t="e">
            <v>#N/A</v>
          </cell>
          <cell r="N879">
            <v>52</v>
          </cell>
          <cell r="O879" t="e">
            <v>#N/A</v>
          </cell>
          <cell r="P879" t="str">
            <v/>
          </cell>
          <cell r="Q879" t="str">
            <v/>
          </cell>
          <cell r="R879" t="e">
            <v>#N/A</v>
          </cell>
        </row>
        <row r="880">
          <cell r="A880" t="str">
            <v/>
          </cell>
          <cell r="B880" t="str">
            <v/>
          </cell>
          <cell r="C880" t="str">
            <v>Future</v>
          </cell>
          <cell r="D880" t="e">
            <v>#N/A</v>
          </cell>
          <cell r="E880">
            <v>-15.166309523809835</v>
          </cell>
          <cell r="F880">
            <v>67.631309523808383</v>
          </cell>
          <cell r="G880">
            <v>35.786071428570686</v>
          </cell>
          <cell r="H880">
            <v>35.786071428570686</v>
          </cell>
          <cell r="I880" t="e">
            <v>#N/A</v>
          </cell>
          <cell r="J880" t="e">
            <v>#N/A</v>
          </cell>
          <cell r="K880">
            <v>65</v>
          </cell>
          <cell r="L880">
            <v>40</v>
          </cell>
          <cell r="M880" t="e">
            <v>#N/A</v>
          </cell>
          <cell r="N880">
            <v>52</v>
          </cell>
          <cell r="O880" t="e">
            <v>#N/A</v>
          </cell>
          <cell r="P880" t="str">
            <v/>
          </cell>
          <cell r="Q880" t="str">
            <v/>
          </cell>
          <cell r="R880" t="e">
            <v>#N/A</v>
          </cell>
        </row>
        <row r="881">
          <cell r="A881" t="str">
            <v/>
          </cell>
          <cell r="B881" t="str">
            <v/>
          </cell>
          <cell r="C881" t="str">
            <v>Future</v>
          </cell>
          <cell r="D881" t="e">
            <v>#N/A</v>
          </cell>
          <cell r="E881">
            <v>-15.386111111111422</v>
          </cell>
          <cell r="F881">
            <v>67.6694444444433</v>
          </cell>
          <cell r="G881">
            <v>35.724999999999255</v>
          </cell>
          <cell r="H881">
            <v>35.724999999999255</v>
          </cell>
          <cell r="I881" t="e">
            <v>#N/A</v>
          </cell>
          <cell r="J881" t="e">
            <v>#N/A</v>
          </cell>
          <cell r="K881">
            <v>65</v>
          </cell>
          <cell r="L881">
            <v>40</v>
          </cell>
          <cell r="M881" t="e">
            <v>#N/A</v>
          </cell>
          <cell r="N881">
            <v>52</v>
          </cell>
          <cell r="O881" t="e">
            <v>#N/A</v>
          </cell>
          <cell r="P881" t="str">
            <v/>
          </cell>
          <cell r="Q881" t="str">
            <v/>
          </cell>
          <cell r="R881" t="e">
            <v>#N/A</v>
          </cell>
        </row>
        <row r="882">
          <cell r="A882" t="str">
            <v/>
          </cell>
          <cell r="B882" t="str">
            <v/>
          </cell>
          <cell r="C882" t="str">
            <v>Future</v>
          </cell>
          <cell r="D882" t="e">
            <v>#N/A</v>
          </cell>
          <cell r="E882">
            <v>-15.605912698413009</v>
          </cell>
          <cell r="F882">
            <v>67.707579365078217</v>
          </cell>
          <cell r="G882">
            <v>35.663928571427824</v>
          </cell>
          <cell r="H882">
            <v>35.663928571427824</v>
          </cell>
          <cell r="I882" t="e">
            <v>#N/A</v>
          </cell>
          <cell r="J882" t="e">
            <v>#N/A</v>
          </cell>
          <cell r="K882">
            <v>65</v>
          </cell>
          <cell r="L882">
            <v>40</v>
          </cell>
          <cell r="M882" t="e">
            <v>#N/A</v>
          </cell>
          <cell r="N882">
            <v>52</v>
          </cell>
          <cell r="O882" t="e">
            <v>#N/A</v>
          </cell>
          <cell r="P882" t="str">
            <v/>
          </cell>
          <cell r="Q882" t="str">
            <v/>
          </cell>
          <cell r="R882" t="e">
            <v>#N/A</v>
          </cell>
        </row>
        <row r="883">
          <cell r="A883" t="str">
            <v/>
          </cell>
          <cell r="B883" t="str">
            <v/>
          </cell>
          <cell r="C883" t="str">
            <v>Future</v>
          </cell>
          <cell r="D883" t="e">
            <v>#N/A</v>
          </cell>
          <cell r="E883">
            <v>-15.825714285714596</v>
          </cell>
          <cell r="F883">
            <v>67.745714285713134</v>
          </cell>
          <cell r="G883">
            <v>35.602857142856394</v>
          </cell>
          <cell r="H883">
            <v>35.602857142856394</v>
          </cell>
          <cell r="I883" t="e">
            <v>#N/A</v>
          </cell>
          <cell r="J883" t="e">
            <v>#N/A</v>
          </cell>
          <cell r="K883">
            <v>65</v>
          </cell>
          <cell r="L883">
            <v>40</v>
          </cell>
          <cell r="M883" t="e">
            <v>#N/A</v>
          </cell>
          <cell r="N883">
            <v>52</v>
          </cell>
          <cell r="O883" t="e">
            <v>#N/A</v>
          </cell>
          <cell r="P883" t="str">
            <v/>
          </cell>
          <cell r="Q883" t="str">
            <v/>
          </cell>
          <cell r="R883" t="e">
            <v>#N/A</v>
          </cell>
        </row>
        <row r="884">
          <cell r="A884" t="str">
            <v/>
          </cell>
          <cell r="B884" t="str">
            <v/>
          </cell>
          <cell r="C884" t="str">
            <v>Future</v>
          </cell>
          <cell r="D884" t="e">
            <v>#N/A</v>
          </cell>
          <cell r="E884">
            <v>-16.045515873016186</v>
          </cell>
          <cell r="F884">
            <v>67.783849206348052</v>
          </cell>
          <cell r="G884">
            <v>35.541785714284963</v>
          </cell>
          <cell r="H884">
            <v>35.541785714284963</v>
          </cell>
          <cell r="I884" t="e">
            <v>#N/A</v>
          </cell>
          <cell r="J884" t="e">
            <v>#N/A</v>
          </cell>
          <cell r="K884">
            <v>65</v>
          </cell>
          <cell r="L884">
            <v>40</v>
          </cell>
          <cell r="M884" t="e">
            <v>#N/A</v>
          </cell>
          <cell r="N884">
            <v>52</v>
          </cell>
          <cell r="O884" t="e">
            <v>#N/A</v>
          </cell>
          <cell r="P884" t="str">
            <v/>
          </cell>
          <cell r="Q884" t="str">
            <v/>
          </cell>
          <cell r="R884" t="e">
            <v>#N/A</v>
          </cell>
        </row>
        <row r="885">
          <cell r="A885" t="str">
            <v/>
          </cell>
          <cell r="B885" t="str">
            <v/>
          </cell>
          <cell r="C885" t="str">
            <v>Future</v>
          </cell>
          <cell r="D885" t="e">
            <v>#N/A</v>
          </cell>
          <cell r="E885">
            <v>-16.265317460317775</v>
          </cell>
          <cell r="F885">
            <v>67.821984126982969</v>
          </cell>
          <cell r="G885">
            <v>35.480714285713532</v>
          </cell>
          <cell r="H885">
            <v>35.480714285713532</v>
          </cell>
          <cell r="I885" t="e">
            <v>#N/A</v>
          </cell>
          <cell r="J885" t="e">
            <v>#N/A</v>
          </cell>
          <cell r="K885">
            <v>65</v>
          </cell>
          <cell r="L885">
            <v>40</v>
          </cell>
          <cell r="M885" t="e">
            <v>#N/A</v>
          </cell>
          <cell r="N885">
            <v>52</v>
          </cell>
          <cell r="O885" t="e">
            <v>#N/A</v>
          </cell>
          <cell r="P885" t="str">
            <v/>
          </cell>
          <cell r="Q885" t="str">
            <v/>
          </cell>
          <cell r="R885" t="e">
            <v>#N/A</v>
          </cell>
        </row>
        <row r="886">
          <cell r="A886" t="str">
            <v/>
          </cell>
          <cell r="B886" t="str">
            <v/>
          </cell>
          <cell r="C886" t="str">
            <v>Future</v>
          </cell>
          <cell r="D886" t="e">
            <v>#N/A</v>
          </cell>
          <cell r="E886">
            <v>-16.485119047619364</v>
          </cell>
          <cell r="F886">
            <v>67.860119047617886</v>
          </cell>
          <cell r="G886">
            <v>35.419642857142101</v>
          </cell>
          <cell r="H886">
            <v>35.419642857142101</v>
          </cell>
          <cell r="I886" t="e">
            <v>#N/A</v>
          </cell>
          <cell r="J886" t="e">
            <v>#N/A</v>
          </cell>
          <cell r="K886">
            <v>65</v>
          </cell>
          <cell r="L886">
            <v>40</v>
          </cell>
          <cell r="M886" t="e">
            <v>#N/A</v>
          </cell>
          <cell r="N886">
            <v>52</v>
          </cell>
          <cell r="O886" t="e">
            <v>#N/A</v>
          </cell>
          <cell r="P886" t="str">
            <v/>
          </cell>
          <cell r="Q886" t="str">
            <v/>
          </cell>
          <cell r="R886" t="e">
            <v>#N/A</v>
          </cell>
        </row>
        <row r="887">
          <cell r="A887" t="str">
            <v/>
          </cell>
          <cell r="B887" t="str">
            <v/>
          </cell>
          <cell r="C887" t="str">
            <v>Future</v>
          </cell>
          <cell r="D887" t="e">
            <v>#N/A</v>
          </cell>
          <cell r="E887">
            <v>-16.704920634920953</v>
          </cell>
          <cell r="F887">
            <v>67.898253968252803</v>
          </cell>
          <cell r="G887">
            <v>35.35857142857067</v>
          </cell>
          <cell r="H887">
            <v>35.35857142857067</v>
          </cell>
          <cell r="I887" t="e">
            <v>#N/A</v>
          </cell>
          <cell r="J887" t="e">
            <v>#N/A</v>
          </cell>
          <cell r="K887">
            <v>65</v>
          </cell>
          <cell r="L887">
            <v>40</v>
          </cell>
          <cell r="M887" t="e">
            <v>#N/A</v>
          </cell>
          <cell r="N887">
            <v>52</v>
          </cell>
          <cell r="O887" t="e">
            <v>#N/A</v>
          </cell>
          <cell r="P887" t="str">
            <v/>
          </cell>
          <cell r="Q887" t="str">
            <v/>
          </cell>
          <cell r="R887" t="e">
            <v>#N/A</v>
          </cell>
        </row>
        <row r="888">
          <cell r="A888" t="str">
            <v/>
          </cell>
          <cell r="B888" t="str">
            <v/>
          </cell>
          <cell r="C888" t="str">
            <v>Future</v>
          </cell>
          <cell r="D888" t="e">
            <v>#N/A</v>
          </cell>
          <cell r="E888">
            <v>-16.924722222222542</v>
          </cell>
          <cell r="F888">
            <v>67.93638888888772</v>
          </cell>
          <cell r="G888">
            <v>35.297499999999239</v>
          </cell>
          <cell r="H888">
            <v>35.297499999999239</v>
          </cell>
          <cell r="I888" t="e">
            <v>#N/A</v>
          </cell>
          <cell r="J888" t="e">
            <v>#N/A</v>
          </cell>
          <cell r="K888">
            <v>65</v>
          </cell>
          <cell r="L888">
            <v>40</v>
          </cell>
          <cell r="M888" t="e">
            <v>#N/A</v>
          </cell>
          <cell r="N888">
            <v>52</v>
          </cell>
          <cell r="O888" t="e">
            <v>#N/A</v>
          </cell>
          <cell r="P888" t="str">
            <v/>
          </cell>
          <cell r="Q888" t="str">
            <v/>
          </cell>
          <cell r="R888" t="e">
            <v>#N/A</v>
          </cell>
        </row>
        <row r="889">
          <cell r="A889" t="str">
            <v/>
          </cell>
          <cell r="B889" t="str">
            <v/>
          </cell>
          <cell r="C889" t="str">
            <v>Future</v>
          </cell>
          <cell r="D889" t="e">
            <v>#N/A</v>
          </cell>
          <cell r="E889">
            <v>-17.144523809524131</v>
          </cell>
          <cell r="F889">
            <v>67.974523809522637</v>
          </cell>
          <cell r="G889">
            <v>35.236428571427808</v>
          </cell>
          <cell r="H889">
            <v>35.236428571427808</v>
          </cell>
          <cell r="I889" t="e">
            <v>#N/A</v>
          </cell>
          <cell r="J889" t="e">
            <v>#N/A</v>
          </cell>
          <cell r="K889">
            <v>65</v>
          </cell>
          <cell r="L889">
            <v>40</v>
          </cell>
          <cell r="M889" t="e">
            <v>#N/A</v>
          </cell>
          <cell r="N889">
            <v>52</v>
          </cell>
          <cell r="O889" t="e">
            <v>#N/A</v>
          </cell>
          <cell r="P889" t="str">
            <v/>
          </cell>
          <cell r="Q889" t="str">
            <v/>
          </cell>
          <cell r="R889" t="e">
            <v>#N/A</v>
          </cell>
        </row>
        <row r="890">
          <cell r="A890" t="str">
            <v/>
          </cell>
          <cell r="B890" t="str">
            <v/>
          </cell>
          <cell r="C890" t="str">
            <v>Future</v>
          </cell>
          <cell r="D890" t="e">
            <v>#N/A</v>
          </cell>
          <cell r="E890">
            <v>-17.36432539682572</v>
          </cell>
          <cell r="F890">
            <v>68.012658730157554</v>
          </cell>
          <cell r="G890">
            <v>35.175357142856377</v>
          </cell>
          <cell r="H890">
            <v>35.175357142856377</v>
          </cell>
          <cell r="I890" t="e">
            <v>#N/A</v>
          </cell>
          <cell r="J890" t="e">
            <v>#N/A</v>
          </cell>
          <cell r="K890">
            <v>65</v>
          </cell>
          <cell r="L890">
            <v>40</v>
          </cell>
          <cell r="M890" t="e">
            <v>#N/A</v>
          </cell>
          <cell r="N890">
            <v>52</v>
          </cell>
          <cell r="O890" t="e">
            <v>#N/A</v>
          </cell>
          <cell r="P890" t="str">
            <v/>
          </cell>
          <cell r="Q890" t="str">
            <v/>
          </cell>
          <cell r="R890" t="e">
            <v>#N/A</v>
          </cell>
        </row>
        <row r="891">
          <cell r="A891" t="str">
            <v/>
          </cell>
          <cell r="B891" t="str">
            <v/>
          </cell>
          <cell r="C891" t="str">
            <v>Future</v>
          </cell>
          <cell r="D891" t="e">
            <v>#N/A</v>
          </cell>
          <cell r="E891">
            <v>-17.584126984127309</v>
          </cell>
          <cell r="F891">
            <v>68.050793650792471</v>
          </cell>
          <cell r="G891">
            <v>35.114285714284946</v>
          </cell>
          <cell r="H891">
            <v>35.114285714284946</v>
          </cell>
          <cell r="I891" t="e">
            <v>#N/A</v>
          </cell>
          <cell r="J891" t="e">
            <v>#N/A</v>
          </cell>
          <cell r="K891">
            <v>65</v>
          </cell>
          <cell r="L891">
            <v>40</v>
          </cell>
          <cell r="M891" t="e">
            <v>#N/A</v>
          </cell>
          <cell r="N891">
            <v>52</v>
          </cell>
          <cell r="O891" t="e">
            <v>#N/A</v>
          </cell>
          <cell r="P891" t="str">
            <v/>
          </cell>
          <cell r="Q891" t="str">
            <v/>
          </cell>
          <cell r="R891" t="e">
            <v>#N/A</v>
          </cell>
        </row>
        <row r="892">
          <cell r="A892" t="str">
            <v/>
          </cell>
          <cell r="B892" t="str">
            <v/>
          </cell>
          <cell r="C892" t="str">
            <v>Future</v>
          </cell>
          <cell r="D892" t="e">
            <v>#N/A</v>
          </cell>
          <cell r="E892">
            <v>-17.803928571428898</v>
          </cell>
          <cell r="F892">
            <v>68.088928571427388</v>
          </cell>
          <cell r="G892">
            <v>35.053214285713516</v>
          </cell>
          <cell r="H892">
            <v>35.053214285713516</v>
          </cell>
          <cell r="I892" t="e">
            <v>#N/A</v>
          </cell>
          <cell r="J892" t="e">
            <v>#N/A</v>
          </cell>
          <cell r="K892">
            <v>65</v>
          </cell>
          <cell r="L892">
            <v>40</v>
          </cell>
          <cell r="M892" t="e">
            <v>#N/A</v>
          </cell>
          <cell r="N892">
            <v>52</v>
          </cell>
          <cell r="O892" t="e">
            <v>#N/A</v>
          </cell>
          <cell r="P892" t="str">
            <v/>
          </cell>
          <cell r="Q892" t="str">
            <v/>
          </cell>
          <cell r="R892" t="e">
            <v>#N/A</v>
          </cell>
        </row>
        <row r="893">
          <cell r="A893" t="str">
            <v/>
          </cell>
          <cell r="B893" t="str">
            <v/>
          </cell>
          <cell r="C893" t="str">
            <v>Future</v>
          </cell>
          <cell r="D893" t="e">
            <v>#N/A</v>
          </cell>
          <cell r="E893">
            <v>-18.023730158730487</v>
          </cell>
          <cell r="F893">
            <v>68.127063492062305</v>
          </cell>
          <cell r="G893">
            <v>34.992142857142085</v>
          </cell>
          <cell r="H893">
            <v>34.992142857142085</v>
          </cell>
          <cell r="I893" t="e">
            <v>#N/A</v>
          </cell>
          <cell r="J893" t="e">
            <v>#N/A</v>
          </cell>
          <cell r="K893">
            <v>65</v>
          </cell>
          <cell r="L893">
            <v>40</v>
          </cell>
          <cell r="M893" t="e">
            <v>#N/A</v>
          </cell>
          <cell r="N893">
            <v>52</v>
          </cell>
          <cell r="O893" t="e">
            <v>#N/A</v>
          </cell>
          <cell r="P893" t="str">
            <v/>
          </cell>
          <cell r="Q893" t="str">
            <v/>
          </cell>
          <cell r="R893" t="e">
            <v>#N/A</v>
          </cell>
        </row>
        <row r="894">
          <cell r="A894" t="str">
            <v/>
          </cell>
          <cell r="B894" t="str">
            <v/>
          </cell>
          <cell r="C894" t="str">
            <v>Future</v>
          </cell>
          <cell r="D894" t="e">
            <v>#N/A</v>
          </cell>
          <cell r="E894">
            <v>-18.243531746032076</v>
          </cell>
          <cell r="F894">
            <v>68.165198412697222</v>
          </cell>
          <cell r="G894">
            <v>34.931071428570654</v>
          </cell>
          <cell r="H894">
            <v>34.931071428570654</v>
          </cell>
          <cell r="I894" t="e">
            <v>#N/A</v>
          </cell>
          <cell r="J894" t="e">
            <v>#N/A</v>
          </cell>
          <cell r="K894">
            <v>65</v>
          </cell>
          <cell r="L894">
            <v>40</v>
          </cell>
          <cell r="M894" t="e">
            <v>#N/A</v>
          </cell>
          <cell r="N894">
            <v>52</v>
          </cell>
          <cell r="O894" t="e">
            <v>#N/A</v>
          </cell>
          <cell r="P894" t="str">
            <v/>
          </cell>
          <cell r="Q894" t="str">
            <v/>
          </cell>
          <cell r="R894" t="e">
            <v>#N/A</v>
          </cell>
        </row>
        <row r="895">
          <cell r="A895" t="str">
            <v/>
          </cell>
          <cell r="B895" t="str">
            <v/>
          </cell>
          <cell r="C895" t="str">
            <v>Future</v>
          </cell>
          <cell r="D895" t="e">
            <v>#N/A</v>
          </cell>
          <cell r="E895">
            <v>-18.463333333333665</v>
          </cell>
          <cell r="F895">
            <v>68.203333333332139</v>
          </cell>
          <cell r="G895">
            <v>34.869999999999223</v>
          </cell>
          <cell r="H895">
            <v>34.869999999999223</v>
          </cell>
          <cell r="I895" t="e">
            <v>#N/A</v>
          </cell>
          <cell r="J895" t="e">
            <v>#N/A</v>
          </cell>
          <cell r="K895">
            <v>65</v>
          </cell>
          <cell r="L895">
            <v>40</v>
          </cell>
          <cell r="M895" t="e">
            <v>#N/A</v>
          </cell>
          <cell r="N895">
            <v>52</v>
          </cell>
          <cell r="O895" t="e">
            <v>#N/A</v>
          </cell>
          <cell r="P895" t="str">
            <v/>
          </cell>
          <cell r="Q895" t="str">
            <v/>
          </cell>
          <cell r="R895" t="e">
            <v>#N/A</v>
          </cell>
        </row>
        <row r="896">
          <cell r="A896" t="str">
            <v/>
          </cell>
          <cell r="B896" t="str">
            <v/>
          </cell>
          <cell r="C896" t="str">
            <v>Future</v>
          </cell>
          <cell r="D896" t="e">
            <v>#N/A</v>
          </cell>
          <cell r="E896">
            <v>-18.683134920635254</v>
          </cell>
          <cell r="F896">
            <v>68.241468253967057</v>
          </cell>
          <cell r="G896">
            <v>34.808928571427792</v>
          </cell>
          <cell r="H896">
            <v>34.808928571427792</v>
          </cell>
          <cell r="I896" t="e">
            <v>#N/A</v>
          </cell>
          <cell r="J896" t="e">
            <v>#N/A</v>
          </cell>
          <cell r="K896">
            <v>65</v>
          </cell>
          <cell r="L896">
            <v>40</v>
          </cell>
          <cell r="M896" t="e">
            <v>#N/A</v>
          </cell>
          <cell r="N896">
            <v>52</v>
          </cell>
          <cell r="O896" t="e">
            <v>#N/A</v>
          </cell>
          <cell r="P896" t="str">
            <v/>
          </cell>
          <cell r="Q896" t="str">
            <v/>
          </cell>
          <cell r="R896" t="e">
            <v>#N/A</v>
          </cell>
        </row>
        <row r="897">
          <cell r="A897" t="str">
            <v/>
          </cell>
          <cell r="B897" t="str">
            <v/>
          </cell>
          <cell r="C897" t="str">
            <v>Future</v>
          </cell>
          <cell r="D897" t="e">
            <v>#N/A</v>
          </cell>
          <cell r="E897">
            <v>-18.902936507936843</v>
          </cell>
          <cell r="F897">
            <v>68.279603174601974</v>
          </cell>
          <cell r="G897">
            <v>34.747857142856361</v>
          </cell>
          <cell r="H897">
            <v>34.747857142856361</v>
          </cell>
          <cell r="I897" t="e">
            <v>#N/A</v>
          </cell>
          <cell r="J897" t="e">
            <v>#N/A</v>
          </cell>
          <cell r="K897">
            <v>65</v>
          </cell>
          <cell r="L897">
            <v>40</v>
          </cell>
          <cell r="M897" t="e">
            <v>#N/A</v>
          </cell>
          <cell r="N897">
            <v>52</v>
          </cell>
          <cell r="O897" t="e">
            <v>#N/A</v>
          </cell>
          <cell r="P897" t="str">
            <v/>
          </cell>
          <cell r="Q897" t="str">
            <v/>
          </cell>
          <cell r="R897" t="e">
            <v>#N/A</v>
          </cell>
        </row>
        <row r="898">
          <cell r="A898" t="str">
            <v/>
          </cell>
          <cell r="B898" t="str">
            <v/>
          </cell>
          <cell r="C898" t="str">
            <v>Future</v>
          </cell>
          <cell r="D898" t="e">
            <v>#N/A</v>
          </cell>
          <cell r="E898">
            <v>-19.122738095238432</v>
          </cell>
          <cell r="F898">
            <v>68.317738095236891</v>
          </cell>
          <cell r="G898">
            <v>34.68678571428493</v>
          </cell>
          <cell r="H898">
            <v>34.68678571428493</v>
          </cell>
          <cell r="I898" t="e">
            <v>#N/A</v>
          </cell>
          <cell r="J898" t="e">
            <v>#N/A</v>
          </cell>
          <cell r="K898">
            <v>65</v>
          </cell>
          <cell r="L898">
            <v>40</v>
          </cell>
          <cell r="M898" t="e">
            <v>#N/A</v>
          </cell>
          <cell r="N898">
            <v>52</v>
          </cell>
          <cell r="O898" t="e">
            <v>#N/A</v>
          </cell>
          <cell r="P898" t="str">
            <v/>
          </cell>
          <cell r="Q898" t="str">
            <v/>
          </cell>
          <cell r="R898" t="e">
            <v>#N/A</v>
          </cell>
        </row>
        <row r="899">
          <cell r="A899" t="str">
            <v/>
          </cell>
          <cell r="B899" t="str">
            <v/>
          </cell>
          <cell r="C899" t="str">
            <v>Future</v>
          </cell>
          <cell r="D899" t="e">
            <v>#N/A</v>
          </cell>
          <cell r="E899">
            <v>-19.342539682540021</v>
          </cell>
          <cell r="F899">
            <v>68.355873015871808</v>
          </cell>
          <cell r="G899">
            <v>34.625714285713499</v>
          </cell>
          <cell r="H899">
            <v>34.625714285713499</v>
          </cell>
          <cell r="I899" t="e">
            <v>#N/A</v>
          </cell>
          <cell r="J899" t="e">
            <v>#N/A</v>
          </cell>
          <cell r="K899">
            <v>65</v>
          </cell>
          <cell r="L899">
            <v>40</v>
          </cell>
          <cell r="M899" t="e">
            <v>#N/A</v>
          </cell>
          <cell r="N899">
            <v>52</v>
          </cell>
          <cell r="O899" t="e">
            <v>#N/A</v>
          </cell>
          <cell r="P899" t="str">
            <v/>
          </cell>
          <cell r="Q899" t="str">
            <v/>
          </cell>
          <cell r="R899" t="e">
            <v>#N/A</v>
          </cell>
        </row>
        <row r="900">
          <cell r="A900" t="str">
            <v/>
          </cell>
          <cell r="B900" t="str">
            <v/>
          </cell>
          <cell r="C900" t="str">
            <v>Future</v>
          </cell>
          <cell r="D900" t="e">
            <v>#N/A</v>
          </cell>
          <cell r="E900">
            <v>-19.56234126984161</v>
          </cell>
          <cell r="F900">
            <v>68.394007936506725</v>
          </cell>
          <cell r="G900">
            <v>34.564642857142069</v>
          </cell>
          <cell r="H900">
            <v>34.564642857142069</v>
          </cell>
          <cell r="I900" t="e">
            <v>#N/A</v>
          </cell>
          <cell r="J900" t="e">
            <v>#N/A</v>
          </cell>
          <cell r="K900">
            <v>65</v>
          </cell>
          <cell r="L900">
            <v>40</v>
          </cell>
          <cell r="M900" t="e">
            <v>#N/A</v>
          </cell>
          <cell r="N900">
            <v>52</v>
          </cell>
          <cell r="O900" t="e">
            <v>#N/A</v>
          </cell>
          <cell r="P900" t="str">
            <v/>
          </cell>
          <cell r="Q900" t="str">
            <v/>
          </cell>
          <cell r="R900" t="e">
            <v>#N/A</v>
          </cell>
        </row>
        <row r="901">
          <cell r="A901" t="str">
            <v/>
          </cell>
          <cell r="B901" t="str">
            <v/>
          </cell>
          <cell r="C901" t="str">
            <v>Future</v>
          </cell>
          <cell r="D901" t="e">
            <v>#N/A</v>
          </cell>
          <cell r="E901">
            <v>-19.782142857143199</v>
          </cell>
          <cell r="F901">
            <v>68.432142857141642</v>
          </cell>
          <cell r="G901">
            <v>34.503571428570638</v>
          </cell>
          <cell r="H901">
            <v>34.503571428570638</v>
          </cell>
          <cell r="I901" t="e">
            <v>#N/A</v>
          </cell>
          <cell r="J901" t="e">
            <v>#N/A</v>
          </cell>
          <cell r="K901">
            <v>65</v>
          </cell>
          <cell r="L901">
            <v>40</v>
          </cell>
          <cell r="M901" t="e">
            <v>#N/A</v>
          </cell>
          <cell r="N901">
            <v>52</v>
          </cell>
          <cell r="O901" t="e">
            <v>#N/A</v>
          </cell>
          <cell r="P901" t="str">
            <v/>
          </cell>
          <cell r="Q901" t="str">
            <v/>
          </cell>
          <cell r="R901" t="e">
            <v>#N/A</v>
          </cell>
        </row>
        <row r="902">
          <cell r="A902" t="str">
            <v/>
          </cell>
          <cell r="B902" t="str">
            <v/>
          </cell>
          <cell r="C902" t="str">
            <v>Future</v>
          </cell>
          <cell r="D902" t="e">
            <v>#N/A</v>
          </cell>
          <cell r="E902">
            <v>-20.001944444444788</v>
          </cell>
          <cell r="F902">
            <v>68.470277777776559</v>
          </cell>
          <cell r="G902">
            <v>34.442499999999207</v>
          </cell>
          <cell r="H902">
            <v>34.442499999999207</v>
          </cell>
          <cell r="I902" t="e">
            <v>#N/A</v>
          </cell>
          <cell r="J902" t="e">
            <v>#N/A</v>
          </cell>
          <cell r="K902">
            <v>65</v>
          </cell>
          <cell r="L902">
            <v>40</v>
          </cell>
          <cell r="M902" t="e">
            <v>#N/A</v>
          </cell>
          <cell r="N902">
            <v>52</v>
          </cell>
          <cell r="O902" t="e">
            <v>#N/A</v>
          </cell>
          <cell r="P902" t="str">
            <v/>
          </cell>
          <cell r="Q902" t="str">
            <v/>
          </cell>
          <cell r="R902" t="e">
            <v>#N/A</v>
          </cell>
        </row>
        <row r="903">
          <cell r="A903" t="str">
            <v/>
          </cell>
          <cell r="B903" t="str">
            <v/>
          </cell>
          <cell r="C903" t="str">
            <v>Future</v>
          </cell>
          <cell r="D903" t="e">
            <v>#N/A</v>
          </cell>
          <cell r="E903">
            <v>-20.221746031746378</v>
          </cell>
          <cell r="F903">
            <v>68.508412698411476</v>
          </cell>
          <cell r="G903">
            <v>34.381428571427776</v>
          </cell>
          <cell r="H903">
            <v>34.381428571427776</v>
          </cell>
          <cell r="I903" t="e">
            <v>#N/A</v>
          </cell>
          <cell r="J903" t="e">
            <v>#N/A</v>
          </cell>
          <cell r="K903">
            <v>65</v>
          </cell>
          <cell r="L903">
            <v>40</v>
          </cell>
          <cell r="M903" t="e">
            <v>#N/A</v>
          </cell>
          <cell r="N903">
            <v>52</v>
          </cell>
          <cell r="O903" t="e">
            <v>#N/A</v>
          </cell>
          <cell r="P903" t="str">
            <v/>
          </cell>
          <cell r="Q903" t="str">
            <v/>
          </cell>
          <cell r="R903" t="e">
            <v>#N/A</v>
          </cell>
        </row>
        <row r="904">
          <cell r="A904" t="str">
            <v/>
          </cell>
          <cell r="B904" t="str">
            <v/>
          </cell>
          <cell r="C904" t="str">
            <v>Future</v>
          </cell>
          <cell r="D904" t="e">
            <v>#N/A</v>
          </cell>
          <cell r="E904">
            <v>-20.441547619047967</v>
          </cell>
          <cell r="F904">
            <v>68.546547619046393</v>
          </cell>
          <cell r="G904">
            <v>34.320357142856345</v>
          </cell>
          <cell r="H904">
            <v>34.320357142856345</v>
          </cell>
          <cell r="I904" t="e">
            <v>#N/A</v>
          </cell>
          <cell r="J904" t="e">
            <v>#N/A</v>
          </cell>
          <cell r="K904">
            <v>65</v>
          </cell>
          <cell r="L904">
            <v>40</v>
          </cell>
          <cell r="M904" t="e">
            <v>#N/A</v>
          </cell>
          <cell r="N904">
            <v>52</v>
          </cell>
          <cell r="O904" t="e">
            <v>#N/A</v>
          </cell>
          <cell r="P904" t="str">
            <v/>
          </cell>
          <cell r="Q904" t="str">
            <v/>
          </cell>
          <cell r="R904" t="e">
            <v>#N/A</v>
          </cell>
        </row>
        <row r="905">
          <cell r="A905" t="str">
            <v/>
          </cell>
          <cell r="B905" t="str">
            <v/>
          </cell>
          <cell r="C905" t="str">
            <v>Future</v>
          </cell>
          <cell r="D905" t="e">
            <v>#N/A</v>
          </cell>
          <cell r="E905">
            <v>-20.661349206349556</v>
          </cell>
          <cell r="F905">
            <v>68.58468253968131</v>
          </cell>
          <cell r="G905">
            <v>34.259285714284914</v>
          </cell>
          <cell r="H905">
            <v>34.259285714284914</v>
          </cell>
          <cell r="I905" t="e">
            <v>#N/A</v>
          </cell>
          <cell r="J905" t="e">
            <v>#N/A</v>
          </cell>
          <cell r="K905">
            <v>65</v>
          </cell>
          <cell r="L905">
            <v>40</v>
          </cell>
          <cell r="M905" t="e">
            <v>#N/A</v>
          </cell>
          <cell r="N905">
            <v>52</v>
          </cell>
          <cell r="O905" t="e">
            <v>#N/A</v>
          </cell>
          <cell r="P905" t="str">
            <v/>
          </cell>
          <cell r="Q905" t="str">
            <v/>
          </cell>
          <cell r="R905" t="e">
            <v>#N/A</v>
          </cell>
        </row>
        <row r="906">
          <cell r="A906" t="str">
            <v/>
          </cell>
          <cell r="B906" t="str">
            <v/>
          </cell>
          <cell r="C906" t="str">
            <v>Future</v>
          </cell>
          <cell r="D906" t="e">
            <v>#N/A</v>
          </cell>
          <cell r="E906">
            <v>-20.881150793651145</v>
          </cell>
          <cell r="F906">
            <v>68.622817460316227</v>
          </cell>
          <cell r="G906">
            <v>34.198214285713483</v>
          </cell>
          <cell r="H906">
            <v>34.198214285713483</v>
          </cell>
          <cell r="I906" t="e">
            <v>#N/A</v>
          </cell>
          <cell r="J906" t="e">
            <v>#N/A</v>
          </cell>
          <cell r="K906">
            <v>65</v>
          </cell>
          <cell r="L906">
            <v>40</v>
          </cell>
          <cell r="M906" t="e">
            <v>#N/A</v>
          </cell>
          <cell r="N906">
            <v>52</v>
          </cell>
          <cell r="O906" t="e">
            <v>#N/A</v>
          </cell>
          <cell r="P906" t="str">
            <v/>
          </cell>
          <cell r="Q906" t="str">
            <v/>
          </cell>
          <cell r="R906" t="e">
            <v>#N/A</v>
          </cell>
        </row>
        <row r="907">
          <cell r="A907" t="str">
            <v/>
          </cell>
          <cell r="B907" t="str">
            <v/>
          </cell>
          <cell r="C907" t="str">
            <v>Future</v>
          </cell>
          <cell r="D907" t="e">
            <v>#N/A</v>
          </cell>
          <cell r="E907">
            <v>-21.100952380952734</v>
          </cell>
          <cell r="F907">
            <v>68.660952380951144</v>
          </cell>
          <cell r="G907">
            <v>34.137142857142052</v>
          </cell>
          <cell r="H907">
            <v>34.137142857142052</v>
          </cell>
          <cell r="I907" t="e">
            <v>#N/A</v>
          </cell>
          <cell r="J907" t="e">
            <v>#N/A</v>
          </cell>
          <cell r="K907">
            <v>65</v>
          </cell>
          <cell r="L907">
            <v>40</v>
          </cell>
          <cell r="M907" t="e">
            <v>#N/A</v>
          </cell>
          <cell r="N907">
            <v>52</v>
          </cell>
          <cell r="O907" t="e">
            <v>#N/A</v>
          </cell>
          <cell r="P907" t="str">
            <v/>
          </cell>
          <cell r="Q907" t="str">
            <v/>
          </cell>
          <cell r="R907" t="e">
            <v>#N/A</v>
          </cell>
        </row>
        <row r="908">
          <cell r="A908" t="str">
            <v/>
          </cell>
          <cell r="B908" t="str">
            <v/>
          </cell>
          <cell r="C908" t="str">
            <v>Future</v>
          </cell>
          <cell r="D908" t="e">
            <v>#N/A</v>
          </cell>
          <cell r="E908">
            <v>-21.320753968254323</v>
          </cell>
          <cell r="F908">
            <v>68.699087301586061</v>
          </cell>
          <cell r="G908">
            <v>34.076071428570621</v>
          </cell>
          <cell r="H908">
            <v>34.076071428570621</v>
          </cell>
          <cell r="I908" t="e">
            <v>#N/A</v>
          </cell>
          <cell r="J908" t="e">
            <v>#N/A</v>
          </cell>
          <cell r="K908">
            <v>65</v>
          </cell>
          <cell r="L908">
            <v>40</v>
          </cell>
          <cell r="M908" t="e">
            <v>#N/A</v>
          </cell>
          <cell r="N908">
            <v>52</v>
          </cell>
          <cell r="O908" t="e">
            <v>#N/A</v>
          </cell>
          <cell r="P908" t="str">
            <v/>
          </cell>
          <cell r="Q908" t="str">
            <v/>
          </cell>
          <cell r="R908" t="e">
            <v>#N/A</v>
          </cell>
        </row>
        <row r="909">
          <cell r="A909" t="str">
            <v/>
          </cell>
          <cell r="B909" t="str">
            <v/>
          </cell>
          <cell r="C909" t="str">
            <v>Future</v>
          </cell>
          <cell r="D909" t="e">
            <v>#N/A</v>
          </cell>
          <cell r="E909">
            <v>-21.540555555555912</v>
          </cell>
          <cell r="F909">
            <v>68.737222222220979</v>
          </cell>
          <cell r="G909">
            <v>34.014999999999191</v>
          </cell>
          <cell r="H909">
            <v>34.014999999999191</v>
          </cell>
          <cell r="I909" t="e">
            <v>#N/A</v>
          </cell>
          <cell r="J909" t="e">
            <v>#N/A</v>
          </cell>
          <cell r="K909">
            <v>65</v>
          </cell>
          <cell r="L909">
            <v>40</v>
          </cell>
          <cell r="M909" t="e">
            <v>#N/A</v>
          </cell>
          <cell r="N909">
            <v>52</v>
          </cell>
          <cell r="O909" t="e">
            <v>#N/A</v>
          </cell>
          <cell r="P909" t="str">
            <v/>
          </cell>
          <cell r="Q909" t="str">
            <v/>
          </cell>
          <cell r="R909" t="e">
            <v>#N/A</v>
          </cell>
        </row>
        <row r="910">
          <cell r="A910" t="str">
            <v/>
          </cell>
          <cell r="B910" t="str">
            <v/>
          </cell>
          <cell r="C910" t="str">
            <v>Future</v>
          </cell>
          <cell r="D910" t="e">
            <v>#N/A</v>
          </cell>
          <cell r="E910">
            <v>-21.760357142857501</v>
          </cell>
          <cell r="F910">
            <v>68.775357142855896</v>
          </cell>
          <cell r="G910">
            <v>33.95392857142776</v>
          </cell>
          <cell r="H910">
            <v>33.95392857142776</v>
          </cell>
          <cell r="I910" t="e">
            <v>#N/A</v>
          </cell>
          <cell r="J910" t="e">
            <v>#N/A</v>
          </cell>
          <cell r="K910">
            <v>65</v>
          </cell>
          <cell r="L910">
            <v>40</v>
          </cell>
          <cell r="M910" t="e">
            <v>#N/A</v>
          </cell>
          <cell r="N910">
            <v>52</v>
          </cell>
          <cell r="O910" t="e">
            <v>#N/A</v>
          </cell>
          <cell r="P910" t="str">
            <v/>
          </cell>
          <cell r="Q910" t="str">
            <v/>
          </cell>
          <cell r="R910" t="e">
            <v>#N/A</v>
          </cell>
        </row>
        <row r="911">
          <cell r="A911" t="str">
            <v/>
          </cell>
          <cell r="B911" t="str">
            <v/>
          </cell>
          <cell r="C911" t="str">
            <v>Future</v>
          </cell>
          <cell r="D911" t="e">
            <v>#N/A</v>
          </cell>
          <cell r="E911">
            <v>-21.98015873015909</v>
          </cell>
          <cell r="F911">
            <v>68.813492063490813</v>
          </cell>
          <cell r="G911">
            <v>33.892857142856329</v>
          </cell>
          <cell r="H911">
            <v>33.892857142856329</v>
          </cell>
          <cell r="I911" t="e">
            <v>#N/A</v>
          </cell>
          <cell r="J911" t="e">
            <v>#N/A</v>
          </cell>
          <cell r="K911">
            <v>65</v>
          </cell>
          <cell r="L911">
            <v>40</v>
          </cell>
          <cell r="M911" t="e">
            <v>#N/A</v>
          </cell>
          <cell r="N911">
            <v>52</v>
          </cell>
          <cell r="O911" t="e">
            <v>#N/A</v>
          </cell>
          <cell r="P911" t="str">
            <v/>
          </cell>
          <cell r="Q911" t="str">
            <v/>
          </cell>
          <cell r="R911" t="e">
            <v>#N/A</v>
          </cell>
        </row>
        <row r="912">
          <cell r="A912" t="str">
            <v/>
          </cell>
          <cell r="B912" t="str">
            <v/>
          </cell>
          <cell r="C912" t="str">
            <v>Future</v>
          </cell>
          <cell r="D912" t="e">
            <v>#N/A</v>
          </cell>
          <cell r="E912">
            <v>-22.199960317460679</v>
          </cell>
          <cell r="F912">
            <v>68.85162698412573</v>
          </cell>
          <cell r="G912">
            <v>33.831785714284898</v>
          </cell>
          <cell r="H912">
            <v>33.831785714284898</v>
          </cell>
          <cell r="I912" t="e">
            <v>#N/A</v>
          </cell>
          <cell r="J912" t="e">
            <v>#N/A</v>
          </cell>
          <cell r="K912">
            <v>65</v>
          </cell>
          <cell r="L912">
            <v>40</v>
          </cell>
          <cell r="M912" t="e">
            <v>#N/A</v>
          </cell>
          <cell r="N912">
            <v>52</v>
          </cell>
          <cell r="O912" t="e">
            <v>#N/A</v>
          </cell>
          <cell r="P912" t="str">
            <v/>
          </cell>
          <cell r="Q912" t="str">
            <v/>
          </cell>
          <cell r="R912" t="e">
            <v>#N/A</v>
          </cell>
        </row>
        <row r="913">
          <cell r="A913" t="str">
            <v/>
          </cell>
          <cell r="B913" t="str">
            <v/>
          </cell>
          <cell r="C913" t="str">
            <v>Future</v>
          </cell>
          <cell r="D913" t="e">
            <v>#N/A</v>
          </cell>
          <cell r="E913">
            <v>-22.419761904762268</v>
          </cell>
          <cell r="F913">
            <v>68.889761904760647</v>
          </cell>
          <cell r="G913">
            <v>33.770714285713467</v>
          </cell>
          <cell r="H913">
            <v>33.770714285713467</v>
          </cell>
          <cell r="I913" t="e">
            <v>#N/A</v>
          </cell>
          <cell r="J913" t="e">
            <v>#N/A</v>
          </cell>
          <cell r="K913">
            <v>65</v>
          </cell>
          <cell r="L913">
            <v>40</v>
          </cell>
          <cell r="M913" t="e">
            <v>#N/A</v>
          </cell>
          <cell r="N913">
            <v>52</v>
          </cell>
          <cell r="O913" t="e">
            <v>#N/A</v>
          </cell>
          <cell r="P913" t="str">
            <v/>
          </cell>
          <cell r="Q913" t="str">
            <v/>
          </cell>
          <cell r="R913" t="e">
            <v>#N/A</v>
          </cell>
        </row>
        <row r="914">
          <cell r="A914" t="str">
            <v/>
          </cell>
          <cell r="B914" t="str">
            <v/>
          </cell>
          <cell r="C914" t="str">
            <v>Future</v>
          </cell>
          <cell r="D914" t="e">
            <v>#N/A</v>
          </cell>
          <cell r="E914">
            <v>-22.639563492063857</v>
          </cell>
          <cell r="F914">
            <v>68.927896825395564</v>
          </cell>
          <cell r="G914">
            <v>33.709642857142036</v>
          </cell>
          <cell r="H914">
            <v>33.709642857142036</v>
          </cell>
          <cell r="I914" t="e">
            <v>#N/A</v>
          </cell>
          <cell r="J914" t="e">
            <v>#N/A</v>
          </cell>
          <cell r="K914">
            <v>65</v>
          </cell>
          <cell r="L914">
            <v>40</v>
          </cell>
          <cell r="M914" t="e">
            <v>#N/A</v>
          </cell>
          <cell r="N914">
            <v>52</v>
          </cell>
          <cell r="O914" t="e">
            <v>#N/A</v>
          </cell>
          <cell r="P914" t="str">
            <v/>
          </cell>
          <cell r="Q914" t="str">
            <v/>
          </cell>
          <cell r="R914" t="e">
            <v>#N/A</v>
          </cell>
        </row>
        <row r="915">
          <cell r="A915" t="str">
            <v/>
          </cell>
          <cell r="B915" t="str">
            <v/>
          </cell>
          <cell r="C915" t="str">
            <v>Future</v>
          </cell>
          <cell r="D915" t="e">
            <v>#N/A</v>
          </cell>
          <cell r="E915">
            <v>-22.859365079365446</v>
          </cell>
          <cell r="F915">
            <v>68.966031746030481</v>
          </cell>
          <cell r="G915">
            <v>33.648571428570605</v>
          </cell>
          <cell r="H915">
            <v>33.648571428570605</v>
          </cell>
          <cell r="I915" t="e">
            <v>#N/A</v>
          </cell>
          <cell r="J915" t="e">
            <v>#N/A</v>
          </cell>
          <cell r="K915">
            <v>65</v>
          </cell>
          <cell r="L915">
            <v>40</v>
          </cell>
          <cell r="M915" t="e">
            <v>#N/A</v>
          </cell>
          <cell r="N915">
            <v>52</v>
          </cell>
          <cell r="O915" t="e">
            <v>#N/A</v>
          </cell>
          <cell r="P915" t="str">
            <v/>
          </cell>
          <cell r="Q915" t="str">
            <v/>
          </cell>
          <cell r="R915" t="e">
            <v>#N/A</v>
          </cell>
        </row>
        <row r="916">
          <cell r="A916" t="str">
            <v/>
          </cell>
          <cell r="B916" t="str">
            <v/>
          </cell>
          <cell r="C916" t="str">
            <v>Future</v>
          </cell>
          <cell r="D916" t="e">
            <v>#N/A</v>
          </cell>
          <cell r="E916">
            <v>-23.079166666667035</v>
          </cell>
          <cell r="F916">
            <v>69.004166666665398</v>
          </cell>
          <cell r="G916">
            <v>33.587499999999174</v>
          </cell>
          <cell r="H916">
            <v>33.587499999999174</v>
          </cell>
          <cell r="I916" t="e">
            <v>#N/A</v>
          </cell>
          <cell r="J916" t="e">
            <v>#N/A</v>
          </cell>
          <cell r="K916">
            <v>65</v>
          </cell>
          <cell r="L916">
            <v>40</v>
          </cell>
          <cell r="M916" t="e">
            <v>#N/A</v>
          </cell>
          <cell r="N916">
            <v>52</v>
          </cell>
          <cell r="O916" t="e">
            <v>#N/A</v>
          </cell>
          <cell r="P916" t="str">
            <v/>
          </cell>
          <cell r="Q916" t="str">
            <v/>
          </cell>
          <cell r="R916" t="e">
            <v>#N/A</v>
          </cell>
        </row>
        <row r="917">
          <cell r="A917" t="str">
            <v/>
          </cell>
          <cell r="B917" t="str">
            <v/>
          </cell>
          <cell r="C917" t="str">
            <v>Future</v>
          </cell>
          <cell r="D917" t="e">
            <v>#N/A</v>
          </cell>
          <cell r="E917">
            <v>-23.298968253968624</v>
          </cell>
          <cell r="F917">
            <v>69.042301587300315</v>
          </cell>
          <cell r="G917">
            <v>33.526428571427743</v>
          </cell>
          <cell r="H917">
            <v>33.526428571427743</v>
          </cell>
          <cell r="I917" t="e">
            <v>#N/A</v>
          </cell>
          <cell r="J917" t="e">
            <v>#N/A</v>
          </cell>
          <cell r="K917">
            <v>65</v>
          </cell>
          <cell r="L917">
            <v>40</v>
          </cell>
          <cell r="M917" t="e">
            <v>#N/A</v>
          </cell>
          <cell r="N917">
            <v>52</v>
          </cell>
          <cell r="O917" t="e">
            <v>#N/A</v>
          </cell>
          <cell r="P917" t="str">
            <v/>
          </cell>
          <cell r="Q917" t="str">
            <v/>
          </cell>
          <cell r="R917" t="e">
            <v>#N/A</v>
          </cell>
        </row>
        <row r="918">
          <cell r="A918" t="str">
            <v/>
          </cell>
          <cell r="B918" t="str">
            <v/>
          </cell>
          <cell r="C918" t="str">
            <v>Future</v>
          </cell>
          <cell r="D918" t="e">
            <v>#N/A</v>
          </cell>
          <cell r="E918">
            <v>-23.518769841270213</v>
          </cell>
          <cell r="F918">
            <v>69.080436507935232</v>
          </cell>
          <cell r="G918">
            <v>33.465357142856313</v>
          </cell>
          <cell r="H918">
            <v>33.465357142856313</v>
          </cell>
          <cell r="I918" t="e">
            <v>#N/A</v>
          </cell>
          <cell r="J918" t="e">
            <v>#N/A</v>
          </cell>
          <cell r="K918">
            <v>65</v>
          </cell>
          <cell r="L918">
            <v>40</v>
          </cell>
          <cell r="M918" t="e">
            <v>#N/A</v>
          </cell>
          <cell r="N918">
            <v>52</v>
          </cell>
          <cell r="O918" t="e">
            <v>#N/A</v>
          </cell>
          <cell r="P918" t="str">
            <v/>
          </cell>
          <cell r="Q918" t="str">
            <v/>
          </cell>
          <cell r="R918" t="e">
            <v>#N/A</v>
          </cell>
        </row>
        <row r="919">
          <cell r="A919" t="str">
            <v/>
          </cell>
          <cell r="B919" t="str">
            <v/>
          </cell>
          <cell r="C919" t="str">
            <v>Future</v>
          </cell>
          <cell r="D919" t="e">
            <v>#N/A</v>
          </cell>
          <cell r="E919">
            <v>-23.738571428571802</v>
          </cell>
          <cell r="F919">
            <v>69.118571428570149</v>
          </cell>
          <cell r="G919">
            <v>33.404285714284882</v>
          </cell>
          <cell r="H919">
            <v>33.404285714284882</v>
          </cell>
          <cell r="I919" t="e">
            <v>#N/A</v>
          </cell>
          <cell r="J919" t="e">
            <v>#N/A</v>
          </cell>
          <cell r="K919">
            <v>65</v>
          </cell>
          <cell r="L919">
            <v>40</v>
          </cell>
          <cell r="M919" t="e">
            <v>#N/A</v>
          </cell>
          <cell r="N919">
            <v>52</v>
          </cell>
          <cell r="O919" t="e">
            <v>#N/A</v>
          </cell>
          <cell r="P919" t="str">
            <v/>
          </cell>
          <cell r="Q919" t="str">
            <v/>
          </cell>
          <cell r="R919" t="e">
            <v>#N/A</v>
          </cell>
        </row>
        <row r="920">
          <cell r="A920" t="str">
            <v/>
          </cell>
          <cell r="B920" t="str">
            <v/>
          </cell>
          <cell r="C920" t="str">
            <v>Future</v>
          </cell>
          <cell r="D920" t="e">
            <v>#N/A</v>
          </cell>
          <cell r="E920">
            <v>-23.958373015873391</v>
          </cell>
          <cell r="F920">
            <v>69.156706349205066</v>
          </cell>
          <cell r="G920">
            <v>33.343214285713451</v>
          </cell>
          <cell r="H920">
            <v>33.343214285713451</v>
          </cell>
          <cell r="I920" t="e">
            <v>#N/A</v>
          </cell>
          <cell r="J920" t="e">
            <v>#N/A</v>
          </cell>
          <cell r="K920">
            <v>65</v>
          </cell>
          <cell r="L920">
            <v>40</v>
          </cell>
          <cell r="M920" t="e">
            <v>#N/A</v>
          </cell>
          <cell r="N920">
            <v>52</v>
          </cell>
          <cell r="O920" t="e">
            <v>#N/A</v>
          </cell>
          <cell r="P920" t="str">
            <v/>
          </cell>
          <cell r="Q920" t="str">
            <v/>
          </cell>
          <cell r="R920" t="e">
            <v>#N/A</v>
          </cell>
        </row>
        <row r="921">
          <cell r="A921" t="str">
            <v/>
          </cell>
          <cell r="B921" t="str">
            <v/>
          </cell>
          <cell r="C921" t="str">
            <v>Future</v>
          </cell>
          <cell r="D921" t="e">
            <v>#N/A</v>
          </cell>
          <cell r="E921">
            <v>-24.17817460317498</v>
          </cell>
          <cell r="F921">
            <v>69.194841269839984</v>
          </cell>
          <cell r="G921">
            <v>33.28214285714202</v>
          </cell>
          <cell r="H921">
            <v>33.28214285714202</v>
          </cell>
          <cell r="I921" t="e">
            <v>#N/A</v>
          </cell>
          <cell r="J921" t="e">
            <v>#N/A</v>
          </cell>
          <cell r="K921">
            <v>65</v>
          </cell>
          <cell r="L921">
            <v>40</v>
          </cell>
          <cell r="M921" t="e">
            <v>#N/A</v>
          </cell>
          <cell r="N921">
            <v>52</v>
          </cell>
          <cell r="O921" t="e">
            <v>#N/A</v>
          </cell>
          <cell r="P921" t="str">
            <v/>
          </cell>
          <cell r="Q921" t="str">
            <v/>
          </cell>
          <cell r="R921" t="e">
            <v>#N/A</v>
          </cell>
        </row>
        <row r="922">
          <cell r="A922" t="str">
            <v/>
          </cell>
          <cell r="B922" t="str">
            <v/>
          </cell>
          <cell r="C922" t="str">
            <v>Future</v>
          </cell>
          <cell r="D922" t="e">
            <v>#N/A</v>
          </cell>
          <cell r="E922">
            <v>-24.39797619047657</v>
          </cell>
          <cell r="F922">
            <v>69.232976190474901</v>
          </cell>
          <cell r="G922">
            <v>33.221071428570589</v>
          </cell>
          <cell r="H922">
            <v>33.221071428570589</v>
          </cell>
          <cell r="I922" t="e">
            <v>#N/A</v>
          </cell>
          <cell r="J922" t="e">
            <v>#N/A</v>
          </cell>
          <cell r="K922">
            <v>65</v>
          </cell>
          <cell r="L922">
            <v>40</v>
          </cell>
          <cell r="M922" t="e">
            <v>#N/A</v>
          </cell>
          <cell r="N922">
            <v>52</v>
          </cell>
          <cell r="O922" t="e">
            <v>#N/A</v>
          </cell>
          <cell r="P922" t="str">
            <v/>
          </cell>
          <cell r="Q922" t="str">
            <v/>
          </cell>
          <cell r="R922" t="e">
            <v>#N/A</v>
          </cell>
        </row>
        <row r="923">
          <cell r="A923" t="str">
            <v/>
          </cell>
          <cell r="B923" t="str">
            <v/>
          </cell>
          <cell r="C923" t="str">
            <v>Future</v>
          </cell>
          <cell r="D923" t="e">
            <v>#N/A</v>
          </cell>
          <cell r="E923">
            <v>-24.617777777778159</v>
          </cell>
          <cell r="F923">
            <v>69.271111111109818</v>
          </cell>
          <cell r="G923">
            <v>33.159999999999158</v>
          </cell>
          <cell r="H923">
            <v>33.159999999999158</v>
          </cell>
          <cell r="I923" t="e">
            <v>#N/A</v>
          </cell>
          <cell r="J923" t="e">
            <v>#N/A</v>
          </cell>
          <cell r="K923">
            <v>65</v>
          </cell>
          <cell r="L923">
            <v>40</v>
          </cell>
          <cell r="M923" t="e">
            <v>#N/A</v>
          </cell>
          <cell r="N923">
            <v>52</v>
          </cell>
          <cell r="O923" t="e">
            <v>#N/A</v>
          </cell>
          <cell r="P923" t="str">
            <v/>
          </cell>
          <cell r="Q923" t="str">
            <v/>
          </cell>
          <cell r="R923" t="e">
            <v>#N/A</v>
          </cell>
        </row>
        <row r="924">
          <cell r="A924" t="str">
            <v/>
          </cell>
          <cell r="B924" t="str">
            <v/>
          </cell>
          <cell r="C924" t="str">
            <v>Future</v>
          </cell>
          <cell r="D924" t="e">
            <v>#N/A</v>
          </cell>
          <cell r="E924">
            <v>-24.837579365079748</v>
          </cell>
          <cell r="F924">
            <v>69.309246031744735</v>
          </cell>
          <cell r="G924">
            <v>33.098928571427727</v>
          </cell>
          <cell r="H924">
            <v>33.098928571427727</v>
          </cell>
          <cell r="I924" t="e">
            <v>#N/A</v>
          </cell>
          <cell r="J924" t="e">
            <v>#N/A</v>
          </cell>
          <cell r="K924">
            <v>65</v>
          </cell>
          <cell r="L924">
            <v>40</v>
          </cell>
          <cell r="M924" t="e">
            <v>#N/A</v>
          </cell>
          <cell r="N924">
            <v>52</v>
          </cell>
          <cell r="O924" t="e">
            <v>#N/A</v>
          </cell>
          <cell r="P924" t="str">
            <v/>
          </cell>
          <cell r="Q924" t="str">
            <v/>
          </cell>
          <cell r="R924" t="e">
            <v>#N/A</v>
          </cell>
        </row>
        <row r="925">
          <cell r="A925" t="str">
            <v/>
          </cell>
          <cell r="B925" t="str">
            <v/>
          </cell>
          <cell r="C925" t="str">
            <v>Future</v>
          </cell>
          <cell r="D925" t="e">
            <v>#N/A</v>
          </cell>
          <cell r="E925">
            <v>-25.057380952381337</v>
          </cell>
          <cell r="F925">
            <v>69.347380952379652</v>
          </cell>
          <cell r="G925">
            <v>33.037857142856296</v>
          </cell>
          <cell r="H925">
            <v>33.037857142856296</v>
          </cell>
          <cell r="I925" t="e">
            <v>#N/A</v>
          </cell>
          <cell r="J925" t="e">
            <v>#N/A</v>
          </cell>
          <cell r="K925">
            <v>65</v>
          </cell>
          <cell r="L925">
            <v>40</v>
          </cell>
          <cell r="M925" t="e">
            <v>#N/A</v>
          </cell>
          <cell r="N925">
            <v>52</v>
          </cell>
          <cell r="O925" t="e">
            <v>#N/A</v>
          </cell>
          <cell r="P925" t="str">
            <v/>
          </cell>
          <cell r="Q925" t="str">
            <v/>
          </cell>
          <cell r="R925" t="e">
            <v>#N/A</v>
          </cell>
        </row>
        <row r="926">
          <cell r="A926" t="str">
            <v/>
          </cell>
          <cell r="B926" t="str">
            <v/>
          </cell>
          <cell r="C926" t="str">
            <v>Future</v>
          </cell>
          <cell r="D926" t="e">
            <v>#N/A</v>
          </cell>
          <cell r="E926">
            <v>-25.277182539682926</v>
          </cell>
          <cell r="F926">
            <v>69.385515873014569</v>
          </cell>
          <cell r="G926">
            <v>32.976785714284865</v>
          </cell>
          <cell r="H926">
            <v>32.976785714284865</v>
          </cell>
          <cell r="I926" t="e">
            <v>#N/A</v>
          </cell>
          <cell r="J926" t="e">
            <v>#N/A</v>
          </cell>
          <cell r="K926">
            <v>65</v>
          </cell>
          <cell r="L926">
            <v>40</v>
          </cell>
          <cell r="M926" t="e">
            <v>#N/A</v>
          </cell>
          <cell r="N926">
            <v>52</v>
          </cell>
          <cell r="O926" t="e">
            <v>#N/A</v>
          </cell>
          <cell r="P926" t="str">
            <v/>
          </cell>
          <cell r="Q926" t="str">
            <v/>
          </cell>
          <cell r="R926" t="e">
            <v>#N/A</v>
          </cell>
        </row>
        <row r="927">
          <cell r="A927" t="str">
            <v/>
          </cell>
          <cell r="B927" t="str">
            <v/>
          </cell>
          <cell r="C927" t="str">
            <v>Future</v>
          </cell>
          <cell r="D927" t="e">
            <v>#N/A</v>
          </cell>
          <cell r="E927">
            <v>-25.496984126984515</v>
          </cell>
          <cell r="F927">
            <v>69.423650793649486</v>
          </cell>
          <cell r="G927">
            <v>32.915714285713435</v>
          </cell>
          <cell r="H927">
            <v>32.915714285713435</v>
          </cell>
          <cell r="I927" t="e">
            <v>#N/A</v>
          </cell>
          <cell r="J927" t="e">
            <v>#N/A</v>
          </cell>
          <cell r="K927">
            <v>65</v>
          </cell>
          <cell r="L927">
            <v>40</v>
          </cell>
          <cell r="M927" t="e">
            <v>#N/A</v>
          </cell>
          <cell r="N927">
            <v>52</v>
          </cell>
          <cell r="O927" t="e">
            <v>#N/A</v>
          </cell>
          <cell r="P927" t="str">
            <v/>
          </cell>
          <cell r="Q927" t="str">
            <v/>
          </cell>
          <cell r="R927" t="e">
            <v>#N/A</v>
          </cell>
        </row>
        <row r="928">
          <cell r="A928" t="str">
            <v/>
          </cell>
          <cell r="B928" t="str">
            <v/>
          </cell>
          <cell r="C928" t="str">
            <v>Future</v>
          </cell>
          <cell r="D928" t="e">
            <v>#N/A</v>
          </cell>
          <cell r="E928">
            <v>-25.716785714286104</v>
          </cell>
          <cell r="F928">
            <v>69.461785714284403</v>
          </cell>
          <cell r="G928">
            <v>32.854642857142004</v>
          </cell>
          <cell r="H928">
            <v>32.854642857142004</v>
          </cell>
          <cell r="I928" t="e">
            <v>#N/A</v>
          </cell>
          <cell r="J928" t="e">
            <v>#N/A</v>
          </cell>
          <cell r="K928">
            <v>65</v>
          </cell>
          <cell r="L928">
            <v>40</v>
          </cell>
          <cell r="M928" t="e">
            <v>#N/A</v>
          </cell>
          <cell r="N928">
            <v>52</v>
          </cell>
          <cell r="O928" t="e">
            <v>#N/A</v>
          </cell>
          <cell r="P928" t="str">
            <v/>
          </cell>
          <cell r="Q928" t="str">
            <v/>
          </cell>
          <cell r="R928" t="e">
            <v>#N/A</v>
          </cell>
        </row>
        <row r="929">
          <cell r="A929" t="str">
            <v/>
          </cell>
          <cell r="B929" t="str">
            <v/>
          </cell>
          <cell r="C929" t="str">
            <v>Future</v>
          </cell>
          <cell r="D929" t="e">
            <v>#N/A</v>
          </cell>
          <cell r="E929">
            <v>-25.936587301587693</v>
          </cell>
          <cell r="F929">
            <v>69.49992063491932</v>
          </cell>
          <cell r="G929">
            <v>32.793571428570573</v>
          </cell>
          <cell r="H929">
            <v>32.793571428570573</v>
          </cell>
          <cell r="I929" t="e">
            <v>#N/A</v>
          </cell>
          <cell r="J929" t="e">
            <v>#N/A</v>
          </cell>
          <cell r="K929">
            <v>65</v>
          </cell>
          <cell r="L929">
            <v>40</v>
          </cell>
          <cell r="M929" t="e">
            <v>#N/A</v>
          </cell>
          <cell r="N929">
            <v>52</v>
          </cell>
          <cell r="O929" t="e">
            <v>#N/A</v>
          </cell>
          <cell r="P929" t="str">
            <v/>
          </cell>
          <cell r="Q929" t="str">
            <v/>
          </cell>
          <cell r="R929" t="e">
            <v>#N/A</v>
          </cell>
        </row>
        <row r="930">
          <cell r="A930" t="str">
            <v/>
          </cell>
          <cell r="B930" t="str">
            <v/>
          </cell>
          <cell r="C930" t="str">
            <v>Future</v>
          </cell>
          <cell r="D930" t="e">
            <v>#N/A</v>
          </cell>
          <cell r="E930">
            <v>-26.156388888889282</v>
          </cell>
          <cell r="F930">
            <v>69.538055555554237</v>
          </cell>
          <cell r="G930">
            <v>32.732499999999142</v>
          </cell>
          <cell r="H930">
            <v>32.732499999999142</v>
          </cell>
          <cell r="I930" t="e">
            <v>#N/A</v>
          </cell>
          <cell r="J930" t="e">
            <v>#N/A</v>
          </cell>
          <cell r="K930">
            <v>65</v>
          </cell>
          <cell r="L930">
            <v>40</v>
          </cell>
          <cell r="M930" t="e">
            <v>#N/A</v>
          </cell>
          <cell r="N930">
            <v>52</v>
          </cell>
          <cell r="O930" t="e">
            <v>#N/A</v>
          </cell>
          <cell r="P930" t="str">
            <v/>
          </cell>
          <cell r="Q930" t="str">
            <v/>
          </cell>
          <cell r="R930" t="e">
            <v>#N/A</v>
          </cell>
        </row>
        <row r="931">
          <cell r="A931" t="str">
            <v/>
          </cell>
          <cell r="B931" t="str">
            <v/>
          </cell>
          <cell r="C931" t="str">
            <v>Future</v>
          </cell>
          <cell r="D931" t="e">
            <v>#N/A</v>
          </cell>
          <cell r="E931">
            <v>-26.376190476190871</v>
          </cell>
          <cell r="F931">
            <v>69.576190476189154</v>
          </cell>
          <cell r="G931">
            <v>32.671428571427711</v>
          </cell>
          <cell r="H931">
            <v>32.671428571427711</v>
          </cell>
          <cell r="I931" t="e">
            <v>#N/A</v>
          </cell>
          <cell r="J931" t="e">
            <v>#N/A</v>
          </cell>
          <cell r="K931">
            <v>65</v>
          </cell>
          <cell r="L931">
            <v>40</v>
          </cell>
          <cell r="M931" t="e">
            <v>#N/A</v>
          </cell>
          <cell r="N931">
            <v>52</v>
          </cell>
          <cell r="O931" t="e">
            <v>#N/A</v>
          </cell>
          <cell r="P931" t="str">
            <v/>
          </cell>
          <cell r="Q931" t="str">
            <v/>
          </cell>
          <cell r="R931" t="e">
            <v>#N/A</v>
          </cell>
        </row>
        <row r="932">
          <cell r="A932" t="str">
            <v/>
          </cell>
          <cell r="B932" t="str">
            <v/>
          </cell>
          <cell r="C932" t="str">
            <v>Future</v>
          </cell>
          <cell r="D932" t="e">
            <v>#N/A</v>
          </cell>
          <cell r="E932">
            <v>-26.59599206349246</v>
          </cell>
          <cell r="F932">
            <v>69.614325396824071</v>
          </cell>
          <cell r="G932">
            <v>32.61035714285628</v>
          </cell>
          <cell r="H932">
            <v>32.61035714285628</v>
          </cell>
          <cell r="I932" t="e">
            <v>#N/A</v>
          </cell>
          <cell r="J932" t="e">
            <v>#N/A</v>
          </cell>
          <cell r="K932">
            <v>65</v>
          </cell>
          <cell r="L932">
            <v>40</v>
          </cell>
          <cell r="M932" t="e">
            <v>#N/A</v>
          </cell>
          <cell r="N932">
            <v>52</v>
          </cell>
          <cell r="O932" t="e">
            <v>#N/A</v>
          </cell>
          <cell r="P932" t="str">
            <v/>
          </cell>
          <cell r="Q932" t="str">
            <v/>
          </cell>
          <cell r="R932" t="e">
            <v>#N/A</v>
          </cell>
        </row>
        <row r="933">
          <cell r="A933" t="str">
            <v/>
          </cell>
          <cell r="B933" t="str">
            <v/>
          </cell>
          <cell r="C933" t="str">
            <v>Future</v>
          </cell>
          <cell r="D933" t="e">
            <v>#N/A</v>
          </cell>
          <cell r="E933">
            <v>-26.815793650794049</v>
          </cell>
          <cell r="F933">
            <v>69.652460317458988</v>
          </cell>
          <cell r="G933">
            <v>32.549285714284849</v>
          </cell>
          <cell r="H933">
            <v>32.549285714284849</v>
          </cell>
          <cell r="I933" t="e">
            <v>#N/A</v>
          </cell>
          <cell r="J933" t="e">
            <v>#N/A</v>
          </cell>
          <cell r="K933">
            <v>65</v>
          </cell>
          <cell r="L933">
            <v>40</v>
          </cell>
          <cell r="M933" t="e">
            <v>#N/A</v>
          </cell>
          <cell r="N933">
            <v>52</v>
          </cell>
          <cell r="O933" t="e">
            <v>#N/A</v>
          </cell>
          <cell r="P933" t="str">
            <v/>
          </cell>
          <cell r="Q933" t="str">
            <v/>
          </cell>
          <cell r="R933" t="e">
            <v>#N/A</v>
          </cell>
        </row>
        <row r="934">
          <cell r="A934" t="str">
            <v/>
          </cell>
          <cell r="B934" t="str">
            <v/>
          </cell>
          <cell r="C934" t="str">
            <v>Future</v>
          </cell>
          <cell r="D934" t="e">
            <v>#N/A</v>
          </cell>
          <cell r="E934">
            <v>-27.035595238095638</v>
          </cell>
          <cell r="F934">
            <v>69.690595238093906</v>
          </cell>
          <cell r="G934">
            <v>32.488214285713418</v>
          </cell>
          <cell r="H934">
            <v>32.488214285713418</v>
          </cell>
          <cell r="I934" t="e">
            <v>#N/A</v>
          </cell>
          <cell r="J934" t="e">
            <v>#N/A</v>
          </cell>
          <cell r="K934">
            <v>65</v>
          </cell>
          <cell r="L934">
            <v>40</v>
          </cell>
          <cell r="M934" t="e">
            <v>#N/A</v>
          </cell>
          <cell r="N934">
            <v>52</v>
          </cell>
          <cell r="O934" t="e">
            <v>#N/A</v>
          </cell>
          <cell r="P934" t="str">
            <v/>
          </cell>
          <cell r="Q934" t="str">
            <v/>
          </cell>
          <cell r="R934" t="e">
            <v>#N/A</v>
          </cell>
        </row>
        <row r="935">
          <cell r="A935" t="str">
            <v/>
          </cell>
          <cell r="B935" t="str">
            <v/>
          </cell>
          <cell r="C935" t="str">
            <v>Future</v>
          </cell>
          <cell r="D935" t="e">
            <v>#N/A</v>
          </cell>
          <cell r="E935">
            <v>-27.255396825397227</v>
          </cell>
          <cell r="F935">
            <v>69.728730158728823</v>
          </cell>
          <cell r="G935">
            <v>32.427142857141988</v>
          </cell>
          <cell r="H935">
            <v>32.427142857141988</v>
          </cell>
          <cell r="I935" t="e">
            <v>#N/A</v>
          </cell>
          <cell r="J935" t="e">
            <v>#N/A</v>
          </cell>
          <cell r="K935">
            <v>65</v>
          </cell>
          <cell r="L935">
            <v>40</v>
          </cell>
          <cell r="M935" t="e">
            <v>#N/A</v>
          </cell>
          <cell r="N935">
            <v>52</v>
          </cell>
          <cell r="O935" t="e">
            <v>#N/A</v>
          </cell>
          <cell r="P935" t="str">
            <v/>
          </cell>
          <cell r="Q935" t="str">
            <v/>
          </cell>
          <cell r="R935" t="e">
            <v>#N/A</v>
          </cell>
        </row>
        <row r="936">
          <cell r="A936" t="str">
            <v/>
          </cell>
          <cell r="B936" t="str">
            <v/>
          </cell>
          <cell r="C936" t="str">
            <v>Future</v>
          </cell>
          <cell r="D936" t="e">
            <v>#N/A</v>
          </cell>
          <cell r="E936">
            <v>-27.475198412698816</v>
          </cell>
          <cell r="F936">
            <v>69.76686507936374</v>
          </cell>
          <cell r="G936">
            <v>32.366071428570557</v>
          </cell>
          <cell r="H936">
            <v>32.366071428570557</v>
          </cell>
          <cell r="I936" t="e">
            <v>#N/A</v>
          </cell>
          <cell r="J936" t="e">
            <v>#N/A</v>
          </cell>
          <cell r="K936">
            <v>65</v>
          </cell>
          <cell r="L936">
            <v>40</v>
          </cell>
          <cell r="M936" t="e">
            <v>#N/A</v>
          </cell>
          <cell r="N936">
            <v>52</v>
          </cell>
          <cell r="O936" t="e">
            <v>#N/A</v>
          </cell>
          <cell r="P936" t="str">
            <v/>
          </cell>
          <cell r="Q936" t="str">
            <v/>
          </cell>
          <cell r="R936" t="e">
            <v>#N/A</v>
          </cell>
        </row>
        <row r="937">
          <cell r="A937" t="str">
            <v/>
          </cell>
          <cell r="B937" t="str">
            <v/>
          </cell>
          <cell r="C937" t="str">
            <v>Future</v>
          </cell>
          <cell r="D937" t="e">
            <v>#N/A</v>
          </cell>
          <cell r="E937">
            <v>-27.695000000000405</v>
          </cell>
          <cell r="F937">
            <v>69.804999999998657</v>
          </cell>
          <cell r="G937">
            <v>32.304999999999126</v>
          </cell>
          <cell r="H937">
            <v>32.304999999999126</v>
          </cell>
          <cell r="I937" t="e">
            <v>#N/A</v>
          </cell>
          <cell r="J937" t="e">
            <v>#N/A</v>
          </cell>
          <cell r="K937">
            <v>65</v>
          </cell>
          <cell r="L937">
            <v>40</v>
          </cell>
          <cell r="M937" t="e">
            <v>#N/A</v>
          </cell>
          <cell r="N937">
            <v>52</v>
          </cell>
          <cell r="O937" t="e">
            <v>#N/A</v>
          </cell>
          <cell r="P937" t="str">
            <v/>
          </cell>
          <cell r="Q937" t="str">
            <v/>
          </cell>
          <cell r="R937" t="e">
            <v>#N/A</v>
          </cell>
        </row>
        <row r="938">
          <cell r="A938" t="str">
            <v/>
          </cell>
          <cell r="B938" t="str">
            <v/>
          </cell>
          <cell r="C938" t="str">
            <v>Future</v>
          </cell>
          <cell r="D938" t="e">
            <v>#N/A</v>
          </cell>
          <cell r="E938">
            <v>-27.914801587301994</v>
          </cell>
          <cell r="F938">
            <v>69.843134920633574</v>
          </cell>
          <cell r="G938">
            <v>32.243928571427695</v>
          </cell>
          <cell r="H938">
            <v>32.243928571427695</v>
          </cell>
          <cell r="I938" t="e">
            <v>#N/A</v>
          </cell>
          <cell r="J938" t="e">
            <v>#N/A</v>
          </cell>
          <cell r="K938">
            <v>65</v>
          </cell>
          <cell r="L938">
            <v>40</v>
          </cell>
          <cell r="M938" t="e">
            <v>#N/A</v>
          </cell>
          <cell r="N938">
            <v>52</v>
          </cell>
          <cell r="O938" t="e">
            <v>#N/A</v>
          </cell>
          <cell r="P938" t="str">
            <v/>
          </cell>
          <cell r="Q938" t="str">
            <v/>
          </cell>
          <cell r="R938" t="e">
            <v>#N/A</v>
          </cell>
        </row>
        <row r="939">
          <cell r="A939" t="str">
            <v/>
          </cell>
          <cell r="B939" t="str">
            <v/>
          </cell>
          <cell r="C939" t="str">
            <v>Future</v>
          </cell>
          <cell r="D939" t="e">
            <v>#N/A</v>
          </cell>
          <cell r="E939">
            <v>-28.134603174603583</v>
          </cell>
          <cell r="F939">
            <v>69.881269841268491</v>
          </cell>
          <cell r="G939">
            <v>32.182857142856264</v>
          </cell>
          <cell r="H939">
            <v>32.182857142856264</v>
          </cell>
          <cell r="I939" t="e">
            <v>#N/A</v>
          </cell>
          <cell r="J939" t="e">
            <v>#N/A</v>
          </cell>
          <cell r="K939">
            <v>65</v>
          </cell>
          <cell r="L939">
            <v>40</v>
          </cell>
          <cell r="M939" t="e">
            <v>#N/A</v>
          </cell>
          <cell r="N939">
            <v>52</v>
          </cell>
          <cell r="O939" t="e">
            <v>#N/A</v>
          </cell>
          <cell r="P939" t="str">
            <v/>
          </cell>
          <cell r="Q939" t="str">
            <v/>
          </cell>
          <cell r="R939" t="e">
            <v>#N/A</v>
          </cell>
        </row>
        <row r="940">
          <cell r="A940" t="str">
            <v/>
          </cell>
          <cell r="B940" t="str">
            <v/>
          </cell>
          <cell r="C940" t="str">
            <v>Future</v>
          </cell>
          <cell r="D940" t="e">
            <v>#N/A</v>
          </cell>
          <cell r="E940">
            <v>-28.354404761905172</v>
          </cell>
          <cell r="F940">
            <v>69.919404761903408</v>
          </cell>
          <cell r="G940">
            <v>32.121785714284833</v>
          </cell>
          <cell r="H940">
            <v>32.121785714284833</v>
          </cell>
          <cell r="I940" t="e">
            <v>#N/A</v>
          </cell>
          <cell r="J940" t="e">
            <v>#N/A</v>
          </cell>
          <cell r="K940">
            <v>65</v>
          </cell>
          <cell r="L940">
            <v>40</v>
          </cell>
          <cell r="M940" t="e">
            <v>#N/A</v>
          </cell>
          <cell r="N940">
            <v>52</v>
          </cell>
          <cell r="O940" t="e">
            <v>#N/A</v>
          </cell>
          <cell r="P940" t="str">
            <v/>
          </cell>
          <cell r="Q940" t="str">
            <v/>
          </cell>
          <cell r="R940" t="e">
            <v>#N/A</v>
          </cell>
        </row>
        <row r="941">
          <cell r="A941" t="str">
            <v/>
          </cell>
          <cell r="B941" t="str">
            <v/>
          </cell>
          <cell r="C941" t="str">
            <v>Future</v>
          </cell>
          <cell r="D941" t="e">
            <v>#N/A</v>
          </cell>
          <cell r="E941">
            <v>-28.574206349206762</v>
          </cell>
          <cell r="F941">
            <v>69.957539682538325</v>
          </cell>
          <cell r="G941">
            <v>32.060714285713402</v>
          </cell>
          <cell r="H941">
            <v>32.060714285713402</v>
          </cell>
          <cell r="I941" t="e">
            <v>#N/A</v>
          </cell>
          <cell r="J941" t="e">
            <v>#N/A</v>
          </cell>
          <cell r="K941">
            <v>65</v>
          </cell>
          <cell r="L941">
            <v>40</v>
          </cell>
          <cell r="M941" t="e">
            <v>#N/A</v>
          </cell>
          <cell r="N941">
            <v>52</v>
          </cell>
          <cell r="O941" t="e">
            <v>#N/A</v>
          </cell>
          <cell r="P941" t="str">
            <v/>
          </cell>
          <cell r="Q941" t="str">
            <v/>
          </cell>
          <cell r="R941" t="e">
            <v>#N/A</v>
          </cell>
        </row>
        <row r="942">
          <cell r="A942" t="str">
            <v/>
          </cell>
          <cell r="B942" t="str">
            <v/>
          </cell>
          <cell r="C942" t="str">
            <v>Future</v>
          </cell>
          <cell r="D942" t="e">
            <v>#N/A</v>
          </cell>
          <cell r="E942">
            <v>-28.794007936508351</v>
          </cell>
          <cell r="F942">
            <v>69.995674603173242</v>
          </cell>
          <cell r="G942">
            <v>31.999642857141975</v>
          </cell>
          <cell r="H942">
            <v>31.999642857141975</v>
          </cell>
          <cell r="I942" t="e">
            <v>#N/A</v>
          </cell>
          <cell r="J942" t="e">
            <v>#N/A</v>
          </cell>
          <cell r="K942">
            <v>65</v>
          </cell>
          <cell r="L942">
            <v>40</v>
          </cell>
          <cell r="M942" t="e">
            <v>#N/A</v>
          </cell>
          <cell r="N942">
            <v>52</v>
          </cell>
          <cell r="O942" t="e">
            <v>#N/A</v>
          </cell>
          <cell r="P942" t="str">
            <v/>
          </cell>
          <cell r="Q942" t="str">
            <v/>
          </cell>
          <cell r="R942" t="e">
            <v>#N/A</v>
          </cell>
        </row>
        <row r="943">
          <cell r="A943" t="str">
            <v/>
          </cell>
          <cell r="B943" t="str">
            <v/>
          </cell>
          <cell r="C943" t="str">
            <v>Future</v>
          </cell>
          <cell r="D943" t="e">
            <v>#N/A</v>
          </cell>
          <cell r="E943">
            <v>-29.01380952380994</v>
          </cell>
          <cell r="F943">
            <v>70.033809523808159</v>
          </cell>
          <cell r="G943">
            <v>31.938571428570548</v>
          </cell>
          <cell r="H943">
            <v>31.938571428570548</v>
          </cell>
          <cell r="I943" t="e">
            <v>#N/A</v>
          </cell>
          <cell r="J943" t="e">
            <v>#N/A</v>
          </cell>
          <cell r="K943">
            <v>65</v>
          </cell>
          <cell r="L943">
            <v>40</v>
          </cell>
          <cell r="M943" t="e">
            <v>#N/A</v>
          </cell>
          <cell r="N943">
            <v>52</v>
          </cell>
          <cell r="O943" t="e">
            <v>#N/A</v>
          </cell>
          <cell r="P943" t="str">
            <v/>
          </cell>
          <cell r="Q943" t="str">
            <v/>
          </cell>
          <cell r="R943" t="e">
            <v>#N/A</v>
          </cell>
        </row>
        <row r="944">
          <cell r="A944" t="str">
            <v/>
          </cell>
          <cell r="B944" t="str">
            <v/>
          </cell>
          <cell r="C944" t="str">
            <v>Future</v>
          </cell>
          <cell r="D944" t="e">
            <v>#N/A</v>
          </cell>
          <cell r="E944">
            <v>-29.233611111111529</v>
          </cell>
          <cell r="F944">
            <v>70.071944444443076</v>
          </cell>
          <cell r="G944">
            <v>31.87749999999912</v>
          </cell>
          <cell r="H944">
            <v>31.87749999999912</v>
          </cell>
          <cell r="I944" t="e">
            <v>#N/A</v>
          </cell>
          <cell r="J944" t="e">
            <v>#N/A</v>
          </cell>
          <cell r="K944">
            <v>65</v>
          </cell>
          <cell r="L944">
            <v>40</v>
          </cell>
          <cell r="M944" t="e">
            <v>#N/A</v>
          </cell>
          <cell r="N944">
            <v>52</v>
          </cell>
          <cell r="O944" t="e">
            <v>#N/A</v>
          </cell>
          <cell r="P944" t="str">
            <v/>
          </cell>
          <cell r="Q944" t="str">
            <v/>
          </cell>
          <cell r="R944" t="e">
            <v>#N/A</v>
          </cell>
        </row>
        <row r="945">
          <cell r="A945" t="str">
            <v/>
          </cell>
          <cell r="B945" t="str">
            <v/>
          </cell>
          <cell r="C945" t="str">
            <v>Future</v>
          </cell>
          <cell r="D945" t="e">
            <v>#N/A</v>
          </cell>
          <cell r="E945">
            <v>-29.453412698413118</v>
          </cell>
          <cell r="F945">
            <v>70.110079365077993</v>
          </cell>
          <cell r="G945">
            <v>31.816428571427693</v>
          </cell>
          <cell r="H945">
            <v>31.816428571427693</v>
          </cell>
          <cell r="I945" t="e">
            <v>#N/A</v>
          </cell>
          <cell r="J945" t="e">
            <v>#N/A</v>
          </cell>
          <cell r="K945">
            <v>65</v>
          </cell>
          <cell r="L945">
            <v>40</v>
          </cell>
          <cell r="M945" t="e">
            <v>#N/A</v>
          </cell>
          <cell r="N945">
            <v>52</v>
          </cell>
          <cell r="O945" t="e">
            <v>#N/A</v>
          </cell>
          <cell r="P945" t="str">
            <v/>
          </cell>
          <cell r="Q945" t="str">
            <v/>
          </cell>
          <cell r="R945" t="e">
            <v>#N/A</v>
          </cell>
        </row>
        <row r="946">
          <cell r="A946" t="str">
            <v/>
          </cell>
          <cell r="B946" t="str">
            <v/>
          </cell>
          <cell r="C946" t="str">
            <v>Future</v>
          </cell>
          <cell r="D946" t="e">
            <v>#N/A</v>
          </cell>
          <cell r="E946">
            <v>-29.673214285714707</v>
          </cell>
          <cell r="F946">
            <v>70.148214285712911</v>
          </cell>
          <cell r="G946">
            <v>31.755357142856266</v>
          </cell>
          <cell r="H946">
            <v>31.755357142856266</v>
          </cell>
          <cell r="I946" t="e">
            <v>#N/A</v>
          </cell>
          <cell r="J946" t="e">
            <v>#N/A</v>
          </cell>
          <cell r="K946">
            <v>65</v>
          </cell>
          <cell r="L946">
            <v>40</v>
          </cell>
          <cell r="M946" t="e">
            <v>#N/A</v>
          </cell>
          <cell r="N946">
            <v>52</v>
          </cell>
          <cell r="O946" t="e">
            <v>#N/A</v>
          </cell>
          <cell r="P946" t="str">
            <v/>
          </cell>
          <cell r="Q946" t="str">
            <v/>
          </cell>
          <cell r="R946" t="e">
            <v>#N/A</v>
          </cell>
        </row>
        <row r="947">
          <cell r="A947" t="str">
            <v/>
          </cell>
          <cell r="B947" t="str">
            <v/>
          </cell>
          <cell r="C947" t="str">
            <v>Future</v>
          </cell>
          <cell r="D947" t="e">
            <v>#N/A</v>
          </cell>
          <cell r="E947">
            <v>-29.893015873016296</v>
          </cell>
          <cell r="F947">
            <v>70.186349206347828</v>
          </cell>
          <cell r="G947">
            <v>31.694285714284838</v>
          </cell>
          <cell r="H947">
            <v>31.694285714284838</v>
          </cell>
          <cell r="I947" t="e">
            <v>#N/A</v>
          </cell>
          <cell r="J947" t="e">
            <v>#N/A</v>
          </cell>
          <cell r="K947">
            <v>65</v>
          </cell>
          <cell r="L947">
            <v>40</v>
          </cell>
          <cell r="M947" t="e">
            <v>#N/A</v>
          </cell>
          <cell r="N947">
            <v>52</v>
          </cell>
          <cell r="O947" t="e">
            <v>#N/A</v>
          </cell>
          <cell r="P947" t="str">
            <v/>
          </cell>
          <cell r="Q947" t="str">
            <v/>
          </cell>
          <cell r="R947" t="e">
            <v>#N/A</v>
          </cell>
        </row>
        <row r="948">
          <cell r="A948" t="str">
            <v/>
          </cell>
          <cell r="B948" t="str">
            <v/>
          </cell>
          <cell r="C948" t="str">
            <v>Future</v>
          </cell>
          <cell r="D948" t="e">
            <v>#N/A</v>
          </cell>
          <cell r="E948">
            <v>-30.112817460317885</v>
          </cell>
          <cell r="F948">
            <v>70.224484126982745</v>
          </cell>
          <cell r="G948">
            <v>31.633214285713411</v>
          </cell>
          <cell r="H948">
            <v>31.633214285713411</v>
          </cell>
          <cell r="I948" t="e">
            <v>#N/A</v>
          </cell>
          <cell r="J948" t="e">
            <v>#N/A</v>
          </cell>
          <cell r="K948">
            <v>65</v>
          </cell>
          <cell r="L948">
            <v>40</v>
          </cell>
          <cell r="M948" t="e">
            <v>#N/A</v>
          </cell>
          <cell r="N948">
            <v>52</v>
          </cell>
          <cell r="O948" t="e">
            <v>#N/A</v>
          </cell>
          <cell r="P948" t="str">
            <v/>
          </cell>
          <cell r="Q948" t="str">
            <v/>
          </cell>
          <cell r="R948" t="e">
            <v>#N/A</v>
          </cell>
        </row>
        <row r="949">
          <cell r="A949" t="str">
            <v/>
          </cell>
          <cell r="B949" t="str">
            <v/>
          </cell>
          <cell r="C949" t="str">
            <v>Future</v>
          </cell>
          <cell r="D949" t="e">
            <v>#N/A</v>
          </cell>
          <cell r="E949">
            <v>-30.332619047619474</v>
          </cell>
          <cell r="F949">
            <v>70.262619047617662</v>
          </cell>
          <cell r="G949">
            <v>31.572142857141984</v>
          </cell>
          <cell r="H949">
            <v>31.572142857141984</v>
          </cell>
          <cell r="I949" t="e">
            <v>#N/A</v>
          </cell>
          <cell r="J949" t="e">
            <v>#N/A</v>
          </cell>
          <cell r="K949">
            <v>65</v>
          </cell>
          <cell r="L949">
            <v>40</v>
          </cell>
          <cell r="M949" t="e">
            <v>#N/A</v>
          </cell>
          <cell r="N949">
            <v>52</v>
          </cell>
          <cell r="O949" t="e">
            <v>#N/A</v>
          </cell>
          <cell r="P949" t="str">
            <v/>
          </cell>
          <cell r="Q949" t="str">
            <v/>
          </cell>
          <cell r="R949" t="e">
            <v>#N/A</v>
          </cell>
        </row>
        <row r="950">
          <cell r="A950" t="str">
            <v/>
          </cell>
          <cell r="B950" t="str">
            <v/>
          </cell>
          <cell r="C950" t="str">
            <v>Future</v>
          </cell>
          <cell r="D950" t="e">
            <v>#N/A</v>
          </cell>
          <cell r="E950">
            <v>-30.552420634921063</v>
          </cell>
          <cell r="F950">
            <v>70.300753968252579</v>
          </cell>
          <cell r="G950">
            <v>31.511071428570556</v>
          </cell>
          <cell r="H950">
            <v>31.511071428570556</v>
          </cell>
          <cell r="I950" t="e">
            <v>#N/A</v>
          </cell>
          <cell r="J950" t="e">
            <v>#N/A</v>
          </cell>
          <cell r="K950">
            <v>65</v>
          </cell>
          <cell r="L950">
            <v>40</v>
          </cell>
          <cell r="M950" t="e">
            <v>#N/A</v>
          </cell>
          <cell r="N950">
            <v>52</v>
          </cell>
          <cell r="O950" t="e">
            <v>#N/A</v>
          </cell>
          <cell r="P950" t="str">
            <v/>
          </cell>
          <cell r="Q950" t="str">
            <v/>
          </cell>
          <cell r="R950" t="e">
            <v>#N/A</v>
          </cell>
        </row>
        <row r="951">
          <cell r="A951" t="str">
            <v/>
          </cell>
          <cell r="B951" t="str">
            <v/>
          </cell>
          <cell r="C951" t="str">
            <v>Future</v>
          </cell>
          <cell r="D951" t="e">
            <v>#N/A</v>
          </cell>
          <cell r="E951">
            <v>-30.772222222222652</v>
          </cell>
          <cell r="F951">
            <v>70.338888888887496</v>
          </cell>
          <cell r="G951">
            <v>31.449999999999129</v>
          </cell>
          <cell r="H951">
            <v>31.449999999999129</v>
          </cell>
          <cell r="I951" t="e">
            <v>#N/A</v>
          </cell>
          <cell r="J951" t="e">
            <v>#N/A</v>
          </cell>
          <cell r="K951">
            <v>65</v>
          </cell>
          <cell r="L951">
            <v>40</v>
          </cell>
          <cell r="M951" t="e">
            <v>#N/A</v>
          </cell>
          <cell r="N951">
            <v>52</v>
          </cell>
          <cell r="O951" t="e">
            <v>#N/A</v>
          </cell>
          <cell r="P951" t="str">
            <v/>
          </cell>
          <cell r="Q951" t="str">
            <v/>
          </cell>
          <cell r="R951" t="e">
            <v>#N/A</v>
          </cell>
        </row>
        <row r="952">
          <cell r="A952" t="str">
            <v/>
          </cell>
          <cell r="B952" t="str">
            <v/>
          </cell>
          <cell r="C952" t="str">
            <v>Future</v>
          </cell>
          <cell r="D952" t="e">
            <v>#N/A</v>
          </cell>
          <cell r="E952">
            <v>-30.992023809524241</v>
          </cell>
          <cell r="F952">
            <v>70.377023809522413</v>
          </cell>
          <cell r="G952">
            <v>31.388928571427702</v>
          </cell>
          <cell r="H952">
            <v>31.388928571427702</v>
          </cell>
          <cell r="I952" t="e">
            <v>#N/A</v>
          </cell>
          <cell r="J952" t="e">
            <v>#N/A</v>
          </cell>
          <cell r="K952">
            <v>65</v>
          </cell>
          <cell r="L952">
            <v>40</v>
          </cell>
          <cell r="M952" t="e">
            <v>#N/A</v>
          </cell>
          <cell r="N952">
            <v>52</v>
          </cell>
          <cell r="O952" t="e">
            <v>#N/A</v>
          </cell>
          <cell r="P952" t="str">
            <v/>
          </cell>
          <cell r="Q952" t="str">
            <v/>
          </cell>
          <cell r="R952" t="e">
            <v>#N/A</v>
          </cell>
        </row>
        <row r="953">
          <cell r="A953" t="str">
            <v/>
          </cell>
          <cell r="B953" t="str">
            <v/>
          </cell>
          <cell r="C953" t="str">
            <v>Future</v>
          </cell>
          <cell r="D953" t="e">
            <v>#N/A</v>
          </cell>
          <cell r="E953">
            <v>-31.21182539682583</v>
          </cell>
          <cell r="F953">
            <v>70.41515873015733</v>
          </cell>
          <cell r="G953">
            <v>31.327857142856274</v>
          </cell>
          <cell r="H953">
            <v>31.327857142856274</v>
          </cell>
          <cell r="I953" t="e">
            <v>#N/A</v>
          </cell>
          <cell r="J953" t="e">
            <v>#N/A</v>
          </cell>
          <cell r="K953">
            <v>65</v>
          </cell>
          <cell r="L953">
            <v>40</v>
          </cell>
          <cell r="M953" t="e">
            <v>#N/A</v>
          </cell>
          <cell r="N953">
            <v>52</v>
          </cell>
          <cell r="O953" t="e">
            <v>#N/A</v>
          </cell>
          <cell r="P953" t="str">
            <v/>
          </cell>
          <cell r="Q953" t="str">
            <v/>
          </cell>
          <cell r="R953" t="e">
            <v>#N/A</v>
          </cell>
        </row>
        <row r="954">
          <cell r="A954" t="str">
            <v/>
          </cell>
          <cell r="B954" t="str">
            <v/>
          </cell>
          <cell r="C954" t="str">
            <v>Future</v>
          </cell>
          <cell r="D954" t="e">
            <v>#N/A</v>
          </cell>
          <cell r="E954">
            <v>-31.431626984127419</v>
          </cell>
          <cell r="F954">
            <v>70.453293650792247</v>
          </cell>
          <cell r="G954">
            <v>31.266785714284847</v>
          </cell>
          <cell r="H954">
            <v>31.266785714284847</v>
          </cell>
          <cell r="I954" t="e">
            <v>#N/A</v>
          </cell>
          <cell r="J954" t="e">
            <v>#N/A</v>
          </cell>
          <cell r="K954">
            <v>65</v>
          </cell>
          <cell r="L954">
            <v>40</v>
          </cell>
          <cell r="M954" t="e">
            <v>#N/A</v>
          </cell>
          <cell r="N954">
            <v>52</v>
          </cell>
          <cell r="O954" t="e">
            <v>#N/A</v>
          </cell>
          <cell r="P954" t="str">
            <v/>
          </cell>
          <cell r="Q954" t="str">
            <v/>
          </cell>
          <cell r="R954" t="e">
            <v>#N/A</v>
          </cell>
        </row>
        <row r="955">
          <cell r="A955" t="str">
            <v/>
          </cell>
          <cell r="B955" t="str">
            <v/>
          </cell>
          <cell r="C955" t="str">
            <v>Future</v>
          </cell>
          <cell r="D955" t="e">
            <v>#N/A</v>
          </cell>
          <cell r="E955">
            <v>-31.651428571429008</v>
          </cell>
          <cell r="F955">
            <v>70.491428571427164</v>
          </cell>
          <cell r="G955">
            <v>31.20571428571342</v>
          </cell>
          <cell r="H955">
            <v>31.20571428571342</v>
          </cell>
          <cell r="I955" t="e">
            <v>#N/A</v>
          </cell>
          <cell r="J955" t="e">
            <v>#N/A</v>
          </cell>
          <cell r="K955">
            <v>65</v>
          </cell>
          <cell r="L955">
            <v>40</v>
          </cell>
          <cell r="M955" t="e">
            <v>#N/A</v>
          </cell>
          <cell r="N955">
            <v>52</v>
          </cell>
          <cell r="O955" t="e">
            <v>#N/A</v>
          </cell>
          <cell r="P955" t="str">
            <v/>
          </cell>
          <cell r="Q955" t="str">
            <v/>
          </cell>
          <cell r="R955" t="e">
            <v>#N/A</v>
          </cell>
        </row>
        <row r="956">
          <cell r="A956" t="str">
            <v/>
          </cell>
          <cell r="B956" t="str">
            <v/>
          </cell>
          <cell r="C956" t="str">
            <v>Future</v>
          </cell>
          <cell r="D956" t="e">
            <v>#N/A</v>
          </cell>
          <cell r="E956">
            <v>-31.871230158730597</v>
          </cell>
          <cell r="F956">
            <v>70.529563492062081</v>
          </cell>
          <cell r="G956">
            <v>31.144642857141992</v>
          </cell>
          <cell r="H956">
            <v>31.144642857141992</v>
          </cell>
          <cell r="I956" t="e">
            <v>#N/A</v>
          </cell>
          <cell r="J956" t="e">
            <v>#N/A</v>
          </cell>
          <cell r="K956">
            <v>65</v>
          </cell>
          <cell r="L956">
            <v>40</v>
          </cell>
          <cell r="M956" t="e">
            <v>#N/A</v>
          </cell>
          <cell r="N956">
            <v>52</v>
          </cell>
          <cell r="O956" t="e">
            <v>#N/A</v>
          </cell>
          <cell r="P956" t="str">
            <v/>
          </cell>
          <cell r="Q956" t="str">
            <v/>
          </cell>
          <cell r="R956" t="e">
            <v>#N/A</v>
          </cell>
        </row>
        <row r="957">
          <cell r="A957" t="str">
            <v/>
          </cell>
          <cell r="B957" t="str">
            <v/>
          </cell>
          <cell r="C957" t="str">
            <v>Future</v>
          </cell>
          <cell r="D957" t="e">
            <v>#N/A</v>
          </cell>
          <cell r="E957">
            <v>-32.091031746032186</v>
          </cell>
          <cell r="F957">
            <v>70.567698412696998</v>
          </cell>
          <cell r="G957">
            <v>31.083571428570565</v>
          </cell>
          <cell r="H957">
            <v>31.083571428570565</v>
          </cell>
          <cell r="I957" t="e">
            <v>#N/A</v>
          </cell>
          <cell r="J957" t="e">
            <v>#N/A</v>
          </cell>
          <cell r="K957">
            <v>65</v>
          </cell>
          <cell r="L957">
            <v>40</v>
          </cell>
          <cell r="M957" t="e">
            <v>#N/A</v>
          </cell>
          <cell r="N957">
            <v>52</v>
          </cell>
          <cell r="O957" t="e">
            <v>#N/A</v>
          </cell>
          <cell r="P957" t="str">
            <v/>
          </cell>
          <cell r="Q957" t="str">
            <v/>
          </cell>
          <cell r="R957" t="e">
            <v>#N/A</v>
          </cell>
        </row>
        <row r="958">
          <cell r="A958" t="str">
            <v/>
          </cell>
          <cell r="B958" t="str">
            <v/>
          </cell>
          <cell r="C958" t="str">
            <v>Future</v>
          </cell>
          <cell r="D958" t="e">
            <v>#N/A</v>
          </cell>
          <cell r="E958">
            <v>-32.310833333333775</v>
          </cell>
          <cell r="F958">
            <v>70.605833333331915</v>
          </cell>
          <cell r="G958">
            <v>31.022499999999138</v>
          </cell>
          <cell r="H958">
            <v>31.022499999999138</v>
          </cell>
          <cell r="I958" t="e">
            <v>#N/A</v>
          </cell>
          <cell r="J958" t="e">
            <v>#N/A</v>
          </cell>
          <cell r="K958">
            <v>65</v>
          </cell>
          <cell r="L958">
            <v>40</v>
          </cell>
          <cell r="M958" t="e">
            <v>#N/A</v>
          </cell>
          <cell r="N958">
            <v>52</v>
          </cell>
          <cell r="O958" t="e">
            <v>#N/A</v>
          </cell>
          <cell r="P958" t="str">
            <v/>
          </cell>
          <cell r="Q958" t="str">
            <v/>
          </cell>
          <cell r="R958" t="e">
            <v>#N/A</v>
          </cell>
        </row>
        <row r="959">
          <cell r="A959" t="str">
            <v/>
          </cell>
          <cell r="B959" t="str">
            <v/>
          </cell>
          <cell r="C959" t="str">
            <v>Future</v>
          </cell>
          <cell r="D959" t="e">
            <v>#N/A</v>
          </cell>
          <cell r="E959">
            <v>-32.530634920635364</v>
          </cell>
          <cell r="F959">
            <v>70.643968253966833</v>
          </cell>
          <cell r="G959">
            <v>30.96142857142771</v>
          </cell>
          <cell r="H959">
            <v>30.96142857142771</v>
          </cell>
          <cell r="I959" t="e">
            <v>#N/A</v>
          </cell>
          <cell r="J959" t="e">
            <v>#N/A</v>
          </cell>
          <cell r="K959">
            <v>65</v>
          </cell>
          <cell r="L959">
            <v>40</v>
          </cell>
          <cell r="M959" t="e">
            <v>#N/A</v>
          </cell>
          <cell r="N959">
            <v>52</v>
          </cell>
          <cell r="O959" t="e">
            <v>#N/A</v>
          </cell>
          <cell r="P959" t="str">
            <v/>
          </cell>
          <cell r="Q959" t="str">
            <v/>
          </cell>
          <cell r="R959" t="e">
            <v>#N/A</v>
          </cell>
        </row>
        <row r="960">
          <cell r="A960" t="str">
            <v/>
          </cell>
          <cell r="B960" t="str">
            <v/>
          </cell>
          <cell r="C960" t="str">
            <v>Future</v>
          </cell>
          <cell r="D960" t="e">
            <v>#N/A</v>
          </cell>
          <cell r="E960">
            <v>-32.750436507936953</v>
          </cell>
          <cell r="F960">
            <v>70.68210317460175</v>
          </cell>
          <cell r="G960">
            <v>30.900357142856283</v>
          </cell>
          <cell r="H960">
            <v>30.900357142856283</v>
          </cell>
          <cell r="I960" t="e">
            <v>#N/A</v>
          </cell>
          <cell r="J960" t="e">
            <v>#N/A</v>
          </cell>
          <cell r="K960">
            <v>65</v>
          </cell>
          <cell r="L960">
            <v>40</v>
          </cell>
          <cell r="M960" t="e">
            <v>#N/A</v>
          </cell>
          <cell r="N960">
            <v>52</v>
          </cell>
          <cell r="O960" t="e">
            <v>#N/A</v>
          </cell>
          <cell r="P960" t="str">
            <v/>
          </cell>
          <cell r="Q960" t="str">
            <v/>
          </cell>
          <cell r="R960" t="e">
            <v>#N/A</v>
          </cell>
        </row>
        <row r="961">
          <cell r="A961" t="str">
            <v/>
          </cell>
          <cell r="B961" t="str">
            <v/>
          </cell>
          <cell r="C961" t="str">
            <v>Future</v>
          </cell>
          <cell r="D961" t="e">
            <v>#N/A</v>
          </cell>
          <cell r="E961">
            <v>-32.970238095238543</v>
          </cell>
          <cell r="F961">
            <v>70.720238095236667</v>
          </cell>
          <cell r="G961">
            <v>30.839285714284856</v>
          </cell>
          <cell r="H961">
            <v>30.839285714284856</v>
          </cell>
          <cell r="I961" t="e">
            <v>#N/A</v>
          </cell>
          <cell r="J961" t="e">
            <v>#N/A</v>
          </cell>
          <cell r="K961">
            <v>65</v>
          </cell>
          <cell r="L961">
            <v>40</v>
          </cell>
          <cell r="M961" t="e">
            <v>#N/A</v>
          </cell>
          <cell r="N961">
            <v>52</v>
          </cell>
          <cell r="O961" t="e">
            <v>#N/A</v>
          </cell>
          <cell r="P961" t="str">
            <v/>
          </cell>
          <cell r="Q961" t="str">
            <v/>
          </cell>
          <cell r="R961" t="e">
            <v>#N/A</v>
          </cell>
        </row>
        <row r="962">
          <cell r="A962" t="str">
            <v/>
          </cell>
          <cell r="B962" t="str">
            <v/>
          </cell>
          <cell r="C962" t="str">
            <v>Future</v>
          </cell>
          <cell r="D962" t="e">
            <v>#N/A</v>
          </cell>
          <cell r="E962">
            <v>-33.190039682540132</v>
          </cell>
          <cell r="F962">
            <v>70.758373015871584</v>
          </cell>
          <cell r="G962">
            <v>30.778214285713428</v>
          </cell>
          <cell r="H962">
            <v>30.778214285713428</v>
          </cell>
          <cell r="I962" t="e">
            <v>#N/A</v>
          </cell>
          <cell r="J962" t="e">
            <v>#N/A</v>
          </cell>
          <cell r="K962">
            <v>65</v>
          </cell>
          <cell r="L962">
            <v>40</v>
          </cell>
          <cell r="M962" t="e">
            <v>#N/A</v>
          </cell>
          <cell r="N962">
            <v>52</v>
          </cell>
          <cell r="O962" t="e">
            <v>#N/A</v>
          </cell>
          <cell r="P962" t="str">
            <v/>
          </cell>
          <cell r="Q962" t="str">
            <v/>
          </cell>
          <cell r="R962" t="e">
            <v>#N/A</v>
          </cell>
        </row>
        <row r="963">
          <cell r="A963" t="str">
            <v/>
          </cell>
          <cell r="B963" t="str">
            <v/>
          </cell>
          <cell r="C963" t="str">
            <v>Future</v>
          </cell>
          <cell r="D963" t="e">
            <v>#N/A</v>
          </cell>
          <cell r="E963">
            <v>-33.409841269841721</v>
          </cell>
          <cell r="F963">
            <v>70.796507936506501</v>
          </cell>
          <cell r="G963">
            <v>30.717142857142001</v>
          </cell>
          <cell r="H963">
            <v>30.717142857142001</v>
          </cell>
          <cell r="I963" t="e">
            <v>#N/A</v>
          </cell>
          <cell r="J963" t="e">
            <v>#N/A</v>
          </cell>
          <cell r="K963">
            <v>65</v>
          </cell>
          <cell r="L963">
            <v>40</v>
          </cell>
          <cell r="M963" t="e">
            <v>#N/A</v>
          </cell>
          <cell r="N963">
            <v>52</v>
          </cell>
          <cell r="O963" t="e">
            <v>#N/A</v>
          </cell>
          <cell r="P963" t="str">
            <v/>
          </cell>
          <cell r="Q963" t="str">
            <v/>
          </cell>
          <cell r="R963" t="e">
            <v>#N/A</v>
          </cell>
        </row>
        <row r="964">
          <cell r="A964" t="str">
            <v/>
          </cell>
          <cell r="B964" t="str">
            <v/>
          </cell>
          <cell r="C964" t="str">
            <v>Future</v>
          </cell>
          <cell r="D964" t="e">
            <v>#N/A</v>
          </cell>
          <cell r="E964">
            <v>-33.62964285714331</v>
          </cell>
          <cell r="F964">
            <v>70.834642857141418</v>
          </cell>
          <cell r="G964">
            <v>30.656071428570574</v>
          </cell>
          <cell r="H964">
            <v>30.656071428570574</v>
          </cell>
          <cell r="I964" t="e">
            <v>#N/A</v>
          </cell>
          <cell r="J964" t="e">
            <v>#N/A</v>
          </cell>
          <cell r="K964">
            <v>65</v>
          </cell>
          <cell r="L964">
            <v>40</v>
          </cell>
          <cell r="M964" t="e">
            <v>#N/A</v>
          </cell>
          <cell r="N964">
            <v>52</v>
          </cell>
          <cell r="O964" t="e">
            <v>#N/A</v>
          </cell>
          <cell r="P964" t="str">
            <v/>
          </cell>
          <cell r="Q964" t="str">
            <v/>
          </cell>
          <cell r="R964" t="e">
            <v>#N/A</v>
          </cell>
        </row>
        <row r="965">
          <cell r="A965" t="str">
            <v/>
          </cell>
          <cell r="B965" t="str">
            <v/>
          </cell>
          <cell r="C965" t="str">
            <v>Future</v>
          </cell>
          <cell r="D965" t="e">
            <v>#N/A</v>
          </cell>
          <cell r="E965">
            <v>-33.849444444444899</v>
          </cell>
          <cell r="F965">
            <v>70.872777777776335</v>
          </cell>
          <cell r="G965">
            <v>30.594999999999146</v>
          </cell>
          <cell r="H965">
            <v>30.594999999999146</v>
          </cell>
          <cell r="I965" t="e">
            <v>#N/A</v>
          </cell>
          <cell r="J965" t="e">
            <v>#N/A</v>
          </cell>
          <cell r="K965">
            <v>65</v>
          </cell>
          <cell r="L965">
            <v>40</v>
          </cell>
          <cell r="M965" t="e">
            <v>#N/A</v>
          </cell>
          <cell r="N965">
            <v>52</v>
          </cell>
          <cell r="O965" t="e">
            <v>#N/A</v>
          </cell>
          <cell r="P965" t="str">
            <v/>
          </cell>
          <cell r="Q965" t="str">
            <v/>
          </cell>
          <cell r="R965" t="e">
            <v>#N/A</v>
          </cell>
        </row>
        <row r="966">
          <cell r="A966" t="str">
            <v/>
          </cell>
          <cell r="B966" t="str">
            <v/>
          </cell>
          <cell r="C966" t="str">
            <v>Future</v>
          </cell>
          <cell r="D966" t="e">
            <v>#N/A</v>
          </cell>
          <cell r="E966">
            <v>-34.069246031746488</v>
          </cell>
          <cell r="F966">
            <v>70.910912698411252</v>
          </cell>
          <cell r="G966">
            <v>30.533928571427719</v>
          </cell>
          <cell r="H966">
            <v>30.533928571427719</v>
          </cell>
          <cell r="I966" t="e">
            <v>#N/A</v>
          </cell>
          <cell r="J966" t="e">
            <v>#N/A</v>
          </cell>
          <cell r="K966">
            <v>65</v>
          </cell>
          <cell r="L966">
            <v>40</v>
          </cell>
          <cell r="M966" t="e">
            <v>#N/A</v>
          </cell>
          <cell r="N966">
            <v>52</v>
          </cell>
          <cell r="O966" t="e">
            <v>#N/A</v>
          </cell>
          <cell r="P966" t="str">
            <v/>
          </cell>
          <cell r="Q966" t="str">
            <v/>
          </cell>
          <cell r="R966" t="e">
            <v>#N/A</v>
          </cell>
        </row>
        <row r="967">
          <cell r="A967" t="str">
            <v/>
          </cell>
          <cell r="B967" t="str">
            <v/>
          </cell>
          <cell r="C967" t="str">
            <v>Future</v>
          </cell>
          <cell r="D967" t="e">
            <v>#N/A</v>
          </cell>
          <cell r="E967">
            <v>-34.289047619048077</v>
          </cell>
          <cell r="F967">
            <v>70.949047619046169</v>
          </cell>
          <cell r="G967">
            <v>30.472857142856292</v>
          </cell>
          <cell r="H967">
            <v>30.472857142856292</v>
          </cell>
          <cell r="I967" t="e">
            <v>#N/A</v>
          </cell>
          <cell r="J967" t="e">
            <v>#N/A</v>
          </cell>
          <cell r="K967">
            <v>65</v>
          </cell>
          <cell r="L967">
            <v>40</v>
          </cell>
          <cell r="M967" t="e">
            <v>#N/A</v>
          </cell>
          <cell r="N967">
            <v>52</v>
          </cell>
          <cell r="O967" t="e">
            <v>#N/A</v>
          </cell>
          <cell r="P967" t="str">
            <v/>
          </cell>
          <cell r="Q967" t="str">
            <v/>
          </cell>
          <cell r="R967" t="e">
            <v>#N/A</v>
          </cell>
        </row>
        <row r="968">
          <cell r="A968" t="str">
            <v/>
          </cell>
          <cell r="B968" t="str">
            <v/>
          </cell>
          <cell r="C968" t="str">
            <v>Future</v>
          </cell>
          <cell r="D968" t="e">
            <v>#N/A</v>
          </cell>
          <cell r="E968">
            <v>-34.508849206349666</v>
          </cell>
          <cell r="F968">
            <v>70.987182539681086</v>
          </cell>
          <cell r="G968">
            <v>30.411785714284864</v>
          </cell>
          <cell r="H968">
            <v>30.411785714284864</v>
          </cell>
          <cell r="I968" t="e">
            <v>#N/A</v>
          </cell>
          <cell r="J968" t="e">
            <v>#N/A</v>
          </cell>
          <cell r="K968">
            <v>65</v>
          </cell>
          <cell r="L968">
            <v>40</v>
          </cell>
          <cell r="M968" t="e">
            <v>#N/A</v>
          </cell>
          <cell r="N968">
            <v>52</v>
          </cell>
          <cell r="O968" t="e">
            <v>#N/A</v>
          </cell>
          <cell r="P968" t="str">
            <v/>
          </cell>
          <cell r="Q968" t="str">
            <v/>
          </cell>
          <cell r="R968" t="e">
            <v>#N/A</v>
          </cell>
        </row>
        <row r="969">
          <cell r="A969" t="str">
            <v/>
          </cell>
          <cell r="B969" t="str">
            <v/>
          </cell>
          <cell r="C969" t="str">
            <v>Future</v>
          </cell>
          <cell r="D969" t="e">
            <v>#N/A</v>
          </cell>
          <cell r="E969">
            <v>-34.728650793651255</v>
          </cell>
          <cell r="F969">
            <v>71.025317460316003</v>
          </cell>
          <cell r="G969">
            <v>30.350714285713437</v>
          </cell>
          <cell r="H969">
            <v>30.350714285713437</v>
          </cell>
          <cell r="I969" t="e">
            <v>#N/A</v>
          </cell>
          <cell r="J969" t="e">
            <v>#N/A</v>
          </cell>
          <cell r="K969">
            <v>65</v>
          </cell>
          <cell r="L969">
            <v>40</v>
          </cell>
          <cell r="M969" t="e">
            <v>#N/A</v>
          </cell>
          <cell r="N969">
            <v>52</v>
          </cell>
          <cell r="O969" t="e">
            <v>#N/A</v>
          </cell>
          <cell r="P969" t="str">
            <v/>
          </cell>
          <cell r="Q969" t="str">
            <v/>
          </cell>
          <cell r="R969" t="e">
            <v>#N/A</v>
          </cell>
        </row>
        <row r="970">
          <cell r="A970" t="str">
            <v/>
          </cell>
          <cell r="B970" t="str">
            <v/>
          </cell>
          <cell r="C970" t="str">
            <v>Future</v>
          </cell>
          <cell r="D970" t="e">
            <v>#N/A</v>
          </cell>
          <cell r="E970">
            <v>-34.948452380952844</v>
          </cell>
          <cell r="F970">
            <v>71.06345238095092</v>
          </cell>
          <cell r="G970">
            <v>30.28964285714201</v>
          </cell>
          <cell r="H970">
            <v>30.28964285714201</v>
          </cell>
          <cell r="I970" t="e">
            <v>#N/A</v>
          </cell>
          <cell r="J970" t="e">
            <v>#N/A</v>
          </cell>
          <cell r="K970">
            <v>65</v>
          </cell>
          <cell r="L970">
            <v>40</v>
          </cell>
          <cell r="M970" t="e">
            <v>#N/A</v>
          </cell>
          <cell r="N970">
            <v>52</v>
          </cell>
          <cell r="O970" t="e">
            <v>#N/A</v>
          </cell>
          <cell r="P970" t="str">
            <v/>
          </cell>
          <cell r="Q970" t="str">
            <v/>
          </cell>
          <cell r="R970" t="e">
            <v>#N/A</v>
          </cell>
        </row>
        <row r="971">
          <cell r="A971" t="str">
            <v/>
          </cell>
          <cell r="B971" t="str">
            <v/>
          </cell>
          <cell r="C971" t="str">
            <v>Future</v>
          </cell>
          <cell r="D971" t="e">
            <v>#N/A</v>
          </cell>
          <cell r="E971">
            <v>-35.168253968254433</v>
          </cell>
          <cell r="F971">
            <v>71.101587301585838</v>
          </cell>
          <cell r="G971">
            <v>30.228571428570582</v>
          </cell>
          <cell r="H971">
            <v>30.228571428570582</v>
          </cell>
          <cell r="I971" t="e">
            <v>#N/A</v>
          </cell>
          <cell r="J971" t="e">
            <v>#N/A</v>
          </cell>
          <cell r="K971">
            <v>65</v>
          </cell>
          <cell r="L971">
            <v>40</v>
          </cell>
          <cell r="M971" t="e">
            <v>#N/A</v>
          </cell>
          <cell r="N971">
            <v>52</v>
          </cell>
          <cell r="O971" t="e">
            <v>#N/A</v>
          </cell>
          <cell r="P971" t="str">
            <v/>
          </cell>
          <cell r="Q971" t="str">
            <v/>
          </cell>
          <cell r="R971" t="e">
            <v>#N/A</v>
          </cell>
        </row>
        <row r="972">
          <cell r="A972" t="str">
            <v/>
          </cell>
          <cell r="B972" t="str">
            <v/>
          </cell>
          <cell r="C972" t="str">
            <v>Future</v>
          </cell>
          <cell r="D972" t="e">
            <v>#N/A</v>
          </cell>
          <cell r="E972">
            <v>-35.388055555556022</v>
          </cell>
          <cell r="F972">
            <v>71.139722222220755</v>
          </cell>
          <cell r="G972">
            <v>30.167499999999155</v>
          </cell>
          <cell r="H972">
            <v>30.167499999999155</v>
          </cell>
          <cell r="I972" t="e">
            <v>#N/A</v>
          </cell>
          <cell r="J972" t="e">
            <v>#N/A</v>
          </cell>
          <cell r="K972">
            <v>65</v>
          </cell>
          <cell r="L972">
            <v>40</v>
          </cell>
          <cell r="M972" t="e">
            <v>#N/A</v>
          </cell>
          <cell r="N972">
            <v>52</v>
          </cell>
          <cell r="O972" t="e">
            <v>#N/A</v>
          </cell>
          <cell r="P972" t="str">
            <v/>
          </cell>
          <cell r="Q972" t="str">
            <v/>
          </cell>
          <cell r="R972" t="e">
            <v>#N/A</v>
          </cell>
        </row>
        <row r="973">
          <cell r="A973" t="str">
            <v/>
          </cell>
          <cell r="B973" t="str">
            <v/>
          </cell>
          <cell r="C973" t="str">
            <v>Future</v>
          </cell>
          <cell r="D973" t="e">
            <v>#N/A</v>
          </cell>
          <cell r="E973">
            <v>-35.607857142857611</v>
          </cell>
          <cell r="F973">
            <v>71.177857142855672</v>
          </cell>
          <cell r="G973">
            <v>30.106428571427728</v>
          </cell>
          <cell r="H973">
            <v>30.106428571427728</v>
          </cell>
          <cell r="I973" t="e">
            <v>#N/A</v>
          </cell>
          <cell r="J973" t="e">
            <v>#N/A</v>
          </cell>
          <cell r="K973">
            <v>65</v>
          </cell>
          <cell r="L973">
            <v>40</v>
          </cell>
          <cell r="M973" t="e">
            <v>#N/A</v>
          </cell>
          <cell r="N973">
            <v>52</v>
          </cell>
          <cell r="O973" t="e">
            <v>#N/A</v>
          </cell>
          <cell r="P973" t="str">
            <v/>
          </cell>
          <cell r="Q973" t="str">
            <v/>
          </cell>
          <cell r="R973" t="e">
            <v>#N/A</v>
          </cell>
        </row>
        <row r="974">
          <cell r="A974" t="str">
            <v/>
          </cell>
          <cell r="B974" t="str">
            <v/>
          </cell>
          <cell r="C974" t="str">
            <v>Future</v>
          </cell>
          <cell r="D974" t="e">
            <v>#N/A</v>
          </cell>
          <cell r="E974">
            <v>-35.8276587301592</v>
          </cell>
          <cell r="F974">
            <v>71.215992063490589</v>
          </cell>
          <cell r="G974">
            <v>30.0453571428563</v>
          </cell>
          <cell r="H974">
            <v>30.0453571428563</v>
          </cell>
          <cell r="I974" t="e">
            <v>#N/A</v>
          </cell>
          <cell r="J974" t="e">
            <v>#N/A</v>
          </cell>
          <cell r="K974">
            <v>65</v>
          </cell>
          <cell r="L974">
            <v>40</v>
          </cell>
          <cell r="M974" t="e">
            <v>#N/A</v>
          </cell>
          <cell r="N974">
            <v>52</v>
          </cell>
          <cell r="O974" t="e">
            <v>#N/A</v>
          </cell>
          <cell r="P974" t="str">
            <v/>
          </cell>
          <cell r="Q974" t="str">
            <v/>
          </cell>
          <cell r="R974" t="e">
            <v>#N/A</v>
          </cell>
        </row>
        <row r="975">
          <cell r="A975" t="str">
            <v/>
          </cell>
          <cell r="B975" t="str">
            <v/>
          </cell>
          <cell r="C975" t="str">
            <v>Future</v>
          </cell>
          <cell r="D975" t="e">
            <v>#N/A</v>
          </cell>
          <cell r="E975">
            <v>-36.047460317460789</v>
          </cell>
          <cell r="F975">
            <v>71.254126984125506</v>
          </cell>
          <cell r="G975">
            <v>29.984285714284873</v>
          </cell>
          <cell r="H975">
            <v>29.984285714284873</v>
          </cell>
          <cell r="I975" t="e">
            <v>#N/A</v>
          </cell>
          <cell r="J975" t="e">
            <v>#N/A</v>
          </cell>
          <cell r="K975">
            <v>65</v>
          </cell>
          <cell r="L975">
            <v>40</v>
          </cell>
          <cell r="M975" t="e">
            <v>#N/A</v>
          </cell>
          <cell r="N975">
            <v>52</v>
          </cell>
          <cell r="O975" t="e">
            <v>#N/A</v>
          </cell>
          <cell r="P975" t="str">
            <v/>
          </cell>
          <cell r="Q975" t="str">
            <v/>
          </cell>
          <cell r="R975" t="e">
            <v>#N/A</v>
          </cell>
        </row>
        <row r="976">
          <cell r="A976" t="str">
            <v/>
          </cell>
          <cell r="B976" t="str">
            <v/>
          </cell>
          <cell r="C976" t="str">
            <v>Future</v>
          </cell>
          <cell r="D976" t="e">
            <v>#N/A</v>
          </cell>
          <cell r="E976">
            <v>-36.267261904762378</v>
          </cell>
          <cell r="F976">
            <v>71.292261904760423</v>
          </cell>
          <cell r="G976">
            <v>29.923214285713446</v>
          </cell>
          <cell r="H976">
            <v>29.923214285713446</v>
          </cell>
          <cell r="I976" t="e">
            <v>#N/A</v>
          </cell>
          <cell r="J976" t="e">
            <v>#N/A</v>
          </cell>
          <cell r="K976">
            <v>65</v>
          </cell>
          <cell r="L976">
            <v>40</v>
          </cell>
          <cell r="M976" t="e">
            <v>#N/A</v>
          </cell>
          <cell r="N976">
            <v>52</v>
          </cell>
          <cell r="O976" t="e">
            <v>#N/A</v>
          </cell>
          <cell r="P976" t="str">
            <v/>
          </cell>
          <cell r="Q976" t="str">
            <v/>
          </cell>
          <cell r="R976" t="e">
            <v>#N/A</v>
          </cell>
        </row>
        <row r="977">
          <cell r="A977" t="str">
            <v/>
          </cell>
          <cell r="B977" t="str">
            <v/>
          </cell>
          <cell r="C977" t="str">
            <v>Future</v>
          </cell>
          <cell r="D977" t="e">
            <v>#N/A</v>
          </cell>
          <cell r="E977">
            <v>-36.487063492063967</v>
          </cell>
          <cell r="F977">
            <v>71.33039682539534</v>
          </cell>
          <cell r="G977">
            <v>29.862142857142018</v>
          </cell>
          <cell r="H977">
            <v>29.862142857142018</v>
          </cell>
          <cell r="I977" t="e">
            <v>#N/A</v>
          </cell>
          <cell r="J977" t="e">
            <v>#N/A</v>
          </cell>
          <cell r="K977">
            <v>65</v>
          </cell>
          <cell r="L977">
            <v>40</v>
          </cell>
          <cell r="M977" t="e">
            <v>#N/A</v>
          </cell>
          <cell r="N977">
            <v>52</v>
          </cell>
          <cell r="O977" t="e">
            <v>#N/A</v>
          </cell>
          <cell r="P977" t="str">
            <v/>
          </cell>
          <cell r="Q977" t="str">
            <v/>
          </cell>
          <cell r="R977" t="e">
            <v>#N/A</v>
          </cell>
        </row>
        <row r="978">
          <cell r="A978" t="str">
            <v/>
          </cell>
          <cell r="B978" t="str">
            <v/>
          </cell>
          <cell r="C978" t="str">
            <v>Future</v>
          </cell>
          <cell r="D978" t="e">
            <v>#N/A</v>
          </cell>
          <cell r="E978">
            <v>-36.706865079365556</v>
          </cell>
          <cell r="F978">
            <v>71.368531746030257</v>
          </cell>
          <cell r="G978">
            <v>29.801071428570591</v>
          </cell>
          <cell r="H978">
            <v>29.801071428570591</v>
          </cell>
          <cell r="I978" t="e">
            <v>#N/A</v>
          </cell>
          <cell r="J978" t="e">
            <v>#N/A</v>
          </cell>
          <cell r="K978">
            <v>65</v>
          </cell>
          <cell r="L978">
            <v>40</v>
          </cell>
          <cell r="M978" t="e">
            <v>#N/A</v>
          </cell>
          <cell r="N978">
            <v>52</v>
          </cell>
          <cell r="O978" t="e">
            <v>#N/A</v>
          </cell>
          <cell r="P978" t="str">
            <v/>
          </cell>
          <cell r="Q978" t="str">
            <v/>
          </cell>
          <cell r="R978" t="e">
            <v>#N/A</v>
          </cell>
        </row>
        <row r="979">
          <cell r="A979" t="str">
            <v/>
          </cell>
          <cell r="B979" t="str">
            <v/>
          </cell>
          <cell r="C979" t="str">
            <v>Future</v>
          </cell>
          <cell r="D979" t="e">
            <v>#N/A</v>
          </cell>
          <cell r="E979">
            <v>-36.926666666667145</v>
          </cell>
          <cell r="F979">
            <v>71.406666666665174</v>
          </cell>
          <cell r="G979">
            <v>29.739999999999164</v>
          </cell>
          <cell r="H979">
            <v>29.739999999999164</v>
          </cell>
          <cell r="I979" t="e">
            <v>#N/A</v>
          </cell>
          <cell r="J979" t="e">
            <v>#N/A</v>
          </cell>
          <cell r="K979">
            <v>65</v>
          </cell>
          <cell r="L979">
            <v>40</v>
          </cell>
          <cell r="M979" t="e">
            <v>#N/A</v>
          </cell>
          <cell r="N979">
            <v>52</v>
          </cell>
          <cell r="O979" t="e">
            <v>#N/A</v>
          </cell>
          <cell r="P979" t="str">
            <v/>
          </cell>
          <cell r="Q979" t="str">
            <v/>
          </cell>
          <cell r="R979" t="e">
            <v>#N/A</v>
          </cell>
        </row>
        <row r="980">
          <cell r="A980" t="str">
            <v/>
          </cell>
          <cell r="B980" t="str">
            <v/>
          </cell>
          <cell r="C980" t="str">
            <v>Future</v>
          </cell>
          <cell r="D980" t="e">
            <v>#N/A</v>
          </cell>
          <cell r="E980">
            <v>-37.146468253968735</v>
          </cell>
          <cell r="F980">
            <v>71.444801587300091</v>
          </cell>
          <cell r="G980">
            <v>29.678928571427736</v>
          </cell>
          <cell r="H980">
            <v>29.678928571427736</v>
          </cell>
          <cell r="I980" t="e">
            <v>#N/A</v>
          </cell>
          <cell r="J980" t="e">
            <v>#N/A</v>
          </cell>
          <cell r="K980">
            <v>65</v>
          </cell>
          <cell r="L980">
            <v>40</v>
          </cell>
          <cell r="M980" t="e">
            <v>#N/A</v>
          </cell>
          <cell r="N980">
            <v>52</v>
          </cell>
          <cell r="O980" t="e">
            <v>#N/A</v>
          </cell>
          <cell r="P980" t="str">
            <v/>
          </cell>
          <cell r="Q980" t="str">
            <v/>
          </cell>
          <cell r="R980" t="e">
            <v>#N/A</v>
          </cell>
        </row>
        <row r="981">
          <cell r="A981" t="str">
            <v/>
          </cell>
          <cell r="B981" t="str">
            <v/>
          </cell>
          <cell r="C981" t="str">
            <v>Future</v>
          </cell>
          <cell r="D981" t="e">
            <v>#N/A</v>
          </cell>
          <cell r="E981">
            <v>-37.366269841270324</v>
          </cell>
          <cell r="F981">
            <v>71.482936507935008</v>
          </cell>
          <cell r="G981">
            <v>29.617857142856309</v>
          </cell>
          <cell r="H981">
            <v>29.617857142856309</v>
          </cell>
          <cell r="I981" t="e">
            <v>#N/A</v>
          </cell>
          <cell r="J981" t="e">
            <v>#N/A</v>
          </cell>
          <cell r="K981">
            <v>65</v>
          </cell>
          <cell r="L981">
            <v>40</v>
          </cell>
          <cell r="M981" t="e">
            <v>#N/A</v>
          </cell>
          <cell r="N981">
            <v>52</v>
          </cell>
          <cell r="O981" t="e">
            <v>#N/A</v>
          </cell>
          <cell r="P981" t="str">
            <v/>
          </cell>
          <cell r="Q981" t="str">
            <v/>
          </cell>
          <cell r="R981" t="e">
            <v>#N/A</v>
          </cell>
        </row>
        <row r="982">
          <cell r="A982" t="str">
            <v/>
          </cell>
          <cell r="B982" t="str">
            <v/>
          </cell>
          <cell r="C982" t="str">
            <v>Future</v>
          </cell>
          <cell r="D982" t="e">
            <v>#N/A</v>
          </cell>
          <cell r="E982">
            <v>-37.586071428571913</v>
          </cell>
          <cell r="F982">
            <v>71.521071428569925</v>
          </cell>
          <cell r="G982">
            <v>29.556785714284882</v>
          </cell>
          <cell r="H982">
            <v>29.556785714284882</v>
          </cell>
          <cell r="I982" t="e">
            <v>#N/A</v>
          </cell>
          <cell r="J982" t="e">
            <v>#N/A</v>
          </cell>
          <cell r="K982">
            <v>65</v>
          </cell>
          <cell r="L982">
            <v>40</v>
          </cell>
          <cell r="M982" t="e">
            <v>#N/A</v>
          </cell>
          <cell r="N982">
            <v>52</v>
          </cell>
          <cell r="O982" t="e">
            <v>#N/A</v>
          </cell>
          <cell r="P982" t="str">
            <v/>
          </cell>
          <cell r="Q982" t="str">
            <v/>
          </cell>
          <cell r="R982" t="e">
            <v>#N/A</v>
          </cell>
        </row>
        <row r="983">
          <cell r="A983" t="str">
            <v/>
          </cell>
          <cell r="B983" t="str">
            <v/>
          </cell>
          <cell r="C983" t="str">
            <v>Future</v>
          </cell>
          <cell r="D983" t="e">
            <v>#N/A</v>
          </cell>
          <cell r="E983">
            <v>-37.805873015873502</v>
          </cell>
          <cell r="F983">
            <v>71.559206349204842</v>
          </cell>
          <cell r="G983">
            <v>29.495714285713454</v>
          </cell>
          <cell r="H983">
            <v>29.495714285713454</v>
          </cell>
          <cell r="I983" t="e">
            <v>#N/A</v>
          </cell>
          <cell r="J983" t="e">
            <v>#N/A</v>
          </cell>
          <cell r="K983">
            <v>65</v>
          </cell>
          <cell r="L983">
            <v>40</v>
          </cell>
          <cell r="M983" t="e">
            <v>#N/A</v>
          </cell>
          <cell r="N983">
            <v>52</v>
          </cell>
          <cell r="O983" t="e">
            <v>#N/A</v>
          </cell>
          <cell r="P983" t="str">
            <v/>
          </cell>
          <cell r="Q983" t="str">
            <v/>
          </cell>
          <cell r="R983" t="e">
            <v>#N/A</v>
          </cell>
        </row>
        <row r="984">
          <cell r="A984" t="str">
            <v/>
          </cell>
          <cell r="B984" t="str">
            <v/>
          </cell>
          <cell r="C984" t="str">
            <v>Future</v>
          </cell>
          <cell r="D984" t="e">
            <v>#N/A</v>
          </cell>
          <cell r="E984">
            <v>-38.025674603175091</v>
          </cell>
          <cell r="F984">
            <v>71.59734126983976</v>
          </cell>
          <cell r="G984">
            <v>29.434642857142027</v>
          </cell>
          <cell r="H984">
            <v>29.434642857142027</v>
          </cell>
          <cell r="I984" t="e">
            <v>#N/A</v>
          </cell>
          <cell r="J984" t="e">
            <v>#N/A</v>
          </cell>
          <cell r="K984">
            <v>65</v>
          </cell>
          <cell r="L984">
            <v>40</v>
          </cell>
          <cell r="M984" t="e">
            <v>#N/A</v>
          </cell>
          <cell r="N984">
            <v>52</v>
          </cell>
          <cell r="O984" t="e">
            <v>#N/A</v>
          </cell>
          <cell r="P984" t="str">
            <v/>
          </cell>
          <cell r="Q984" t="str">
            <v/>
          </cell>
          <cell r="R984" t="e">
            <v>#N/A</v>
          </cell>
        </row>
        <row r="985">
          <cell r="A985" t="str">
            <v/>
          </cell>
          <cell r="B985" t="str">
            <v/>
          </cell>
          <cell r="C985" t="str">
            <v>Future</v>
          </cell>
          <cell r="D985" t="e">
            <v>#N/A</v>
          </cell>
          <cell r="E985">
            <v>-38.24547619047668</v>
          </cell>
          <cell r="F985">
            <v>71.635476190474677</v>
          </cell>
          <cell r="G985">
            <v>29.3735714285706</v>
          </cell>
          <cell r="H985">
            <v>29.3735714285706</v>
          </cell>
          <cell r="I985" t="e">
            <v>#N/A</v>
          </cell>
          <cell r="J985" t="e">
            <v>#N/A</v>
          </cell>
          <cell r="K985">
            <v>65</v>
          </cell>
          <cell r="L985">
            <v>40</v>
          </cell>
          <cell r="M985" t="e">
            <v>#N/A</v>
          </cell>
          <cell r="N985">
            <v>52</v>
          </cell>
          <cell r="O985" t="e">
            <v>#N/A</v>
          </cell>
          <cell r="P985" t="str">
            <v/>
          </cell>
          <cell r="Q985" t="str">
            <v/>
          </cell>
          <cell r="R985" t="e">
            <v>#N/A</v>
          </cell>
        </row>
        <row r="986">
          <cell r="A986" t="str">
            <v/>
          </cell>
          <cell r="B986" t="str">
            <v/>
          </cell>
          <cell r="C986" t="str">
            <v>Future</v>
          </cell>
          <cell r="D986" t="e">
            <v>#N/A</v>
          </cell>
          <cell r="E986">
            <v>-38.465277777778269</v>
          </cell>
          <cell r="F986">
            <v>71.673611111109594</v>
          </cell>
          <cell r="G986">
            <v>29.312499999999172</v>
          </cell>
          <cell r="H986">
            <v>29.312499999999172</v>
          </cell>
          <cell r="I986" t="e">
            <v>#N/A</v>
          </cell>
          <cell r="J986" t="e">
            <v>#N/A</v>
          </cell>
          <cell r="K986">
            <v>65</v>
          </cell>
          <cell r="L986">
            <v>40</v>
          </cell>
          <cell r="M986" t="e">
            <v>#N/A</v>
          </cell>
          <cell r="N986">
            <v>52</v>
          </cell>
          <cell r="O986" t="e">
            <v>#N/A</v>
          </cell>
          <cell r="P986" t="str">
            <v/>
          </cell>
          <cell r="Q986" t="str">
            <v/>
          </cell>
          <cell r="R986" t="e">
            <v>#N/A</v>
          </cell>
        </row>
        <row r="987">
          <cell r="A987" t="str">
            <v/>
          </cell>
          <cell r="B987" t="str">
            <v/>
          </cell>
          <cell r="C987" t="str">
            <v>Future</v>
          </cell>
          <cell r="D987" t="e">
            <v>#N/A</v>
          </cell>
          <cell r="E987">
            <v>-38.685079365079858</v>
          </cell>
          <cell r="F987">
            <v>71.711746031744511</v>
          </cell>
          <cell r="G987">
            <v>29.251428571427745</v>
          </cell>
          <cell r="H987">
            <v>29.251428571427745</v>
          </cell>
          <cell r="I987" t="e">
            <v>#N/A</v>
          </cell>
          <cell r="J987" t="e">
            <v>#N/A</v>
          </cell>
          <cell r="K987">
            <v>65</v>
          </cell>
          <cell r="L987">
            <v>40</v>
          </cell>
          <cell r="M987" t="e">
            <v>#N/A</v>
          </cell>
          <cell r="N987">
            <v>52</v>
          </cell>
          <cell r="O987" t="e">
            <v>#N/A</v>
          </cell>
          <cell r="P987" t="str">
            <v/>
          </cell>
          <cell r="Q987" t="str">
            <v/>
          </cell>
          <cell r="R987" t="e">
            <v>#N/A</v>
          </cell>
        </row>
        <row r="988">
          <cell r="A988" t="str">
            <v/>
          </cell>
          <cell r="B988" t="str">
            <v/>
          </cell>
          <cell r="C988" t="str">
            <v>Future</v>
          </cell>
          <cell r="D988" t="e">
            <v>#N/A</v>
          </cell>
          <cell r="E988">
            <v>-38.904880952381447</v>
          </cell>
          <cell r="F988">
            <v>71.749880952379428</v>
          </cell>
          <cell r="G988">
            <v>29.190357142856318</v>
          </cell>
          <cell r="H988">
            <v>29.190357142856318</v>
          </cell>
          <cell r="I988" t="e">
            <v>#N/A</v>
          </cell>
          <cell r="J988" t="e">
            <v>#N/A</v>
          </cell>
          <cell r="K988">
            <v>65</v>
          </cell>
          <cell r="L988">
            <v>40</v>
          </cell>
          <cell r="M988" t="e">
            <v>#N/A</v>
          </cell>
          <cell r="N988">
            <v>52</v>
          </cell>
          <cell r="O988" t="e">
            <v>#N/A</v>
          </cell>
          <cell r="P988" t="str">
            <v/>
          </cell>
          <cell r="Q988" t="str">
            <v/>
          </cell>
          <cell r="R988" t="e">
            <v>#N/A</v>
          </cell>
        </row>
        <row r="989">
          <cell r="A989" t="str">
            <v/>
          </cell>
          <cell r="B989" t="str">
            <v/>
          </cell>
          <cell r="C989" t="str">
            <v>Future</v>
          </cell>
          <cell r="D989" t="e">
            <v>#N/A</v>
          </cell>
          <cell r="E989">
            <v>-39.124682539683036</v>
          </cell>
          <cell r="F989">
            <v>71.788015873014345</v>
          </cell>
          <cell r="G989">
            <v>29.12928571428489</v>
          </cell>
          <cell r="H989">
            <v>29.12928571428489</v>
          </cell>
          <cell r="I989" t="e">
            <v>#N/A</v>
          </cell>
          <cell r="J989" t="e">
            <v>#N/A</v>
          </cell>
          <cell r="K989">
            <v>65</v>
          </cell>
          <cell r="L989">
            <v>40</v>
          </cell>
          <cell r="M989" t="e">
            <v>#N/A</v>
          </cell>
          <cell r="N989">
            <v>52</v>
          </cell>
          <cell r="O989" t="e">
            <v>#N/A</v>
          </cell>
          <cell r="P989" t="str">
            <v/>
          </cell>
          <cell r="Q989" t="str">
            <v/>
          </cell>
          <cell r="R989" t="e">
            <v>#N/A</v>
          </cell>
        </row>
        <row r="990">
          <cell r="A990" t="str">
            <v/>
          </cell>
          <cell r="B990" t="str">
            <v/>
          </cell>
          <cell r="C990" t="str">
            <v>Future</v>
          </cell>
          <cell r="D990" t="e">
            <v>#N/A</v>
          </cell>
          <cell r="E990">
            <v>-39.344484126984625</v>
          </cell>
          <cell r="F990">
            <v>71.826150793649262</v>
          </cell>
          <cell r="G990">
            <v>29.068214285713463</v>
          </cell>
          <cell r="H990">
            <v>29.068214285713463</v>
          </cell>
          <cell r="I990" t="e">
            <v>#N/A</v>
          </cell>
          <cell r="J990" t="e">
            <v>#N/A</v>
          </cell>
          <cell r="K990">
            <v>65</v>
          </cell>
          <cell r="L990">
            <v>40</v>
          </cell>
          <cell r="M990" t="e">
            <v>#N/A</v>
          </cell>
          <cell r="N990">
            <v>52</v>
          </cell>
          <cell r="O990" t="e">
            <v>#N/A</v>
          </cell>
          <cell r="P990" t="str">
            <v/>
          </cell>
          <cell r="Q990" t="str">
            <v/>
          </cell>
          <cell r="R990" t="e">
            <v>#N/A</v>
          </cell>
        </row>
        <row r="991">
          <cell r="A991" t="str">
            <v/>
          </cell>
          <cell r="B991" t="str">
            <v/>
          </cell>
          <cell r="C991" t="str">
            <v>Future</v>
          </cell>
          <cell r="D991" t="e">
            <v>#N/A</v>
          </cell>
          <cell r="E991">
            <v>-39.564285714286214</v>
          </cell>
          <cell r="F991">
            <v>71.864285714284179</v>
          </cell>
          <cell r="G991">
            <v>29.007142857142036</v>
          </cell>
          <cell r="H991">
            <v>29.007142857142036</v>
          </cell>
          <cell r="I991" t="e">
            <v>#N/A</v>
          </cell>
          <cell r="J991" t="e">
            <v>#N/A</v>
          </cell>
          <cell r="K991">
            <v>65</v>
          </cell>
          <cell r="L991">
            <v>40</v>
          </cell>
          <cell r="M991" t="e">
            <v>#N/A</v>
          </cell>
          <cell r="N991">
            <v>52</v>
          </cell>
          <cell r="O991" t="e">
            <v>#N/A</v>
          </cell>
          <cell r="P991" t="str">
            <v/>
          </cell>
          <cell r="Q991" t="str">
            <v/>
          </cell>
          <cell r="R991" t="e">
            <v>#N/A</v>
          </cell>
        </row>
        <row r="992">
          <cell r="A992" t="str">
            <v/>
          </cell>
          <cell r="B992" t="str">
            <v/>
          </cell>
          <cell r="C992" t="str">
            <v>Future</v>
          </cell>
          <cell r="D992" t="e">
            <v>#N/A</v>
          </cell>
          <cell r="E992">
            <v>-39.784087301587803</v>
          </cell>
          <cell r="F992">
            <v>71.902420634919096</v>
          </cell>
          <cell r="G992">
            <v>28.946071428570608</v>
          </cell>
          <cell r="H992">
            <v>28.946071428570608</v>
          </cell>
          <cell r="I992" t="e">
            <v>#N/A</v>
          </cell>
          <cell r="J992" t="e">
            <v>#N/A</v>
          </cell>
          <cell r="K992">
            <v>65</v>
          </cell>
          <cell r="L992">
            <v>40</v>
          </cell>
          <cell r="M992" t="e">
            <v>#N/A</v>
          </cell>
          <cell r="N992">
            <v>52</v>
          </cell>
          <cell r="O992" t="e">
            <v>#N/A</v>
          </cell>
          <cell r="P992" t="str">
            <v/>
          </cell>
          <cell r="Q992" t="str">
            <v/>
          </cell>
          <cell r="R992" t="e">
            <v>#N/A</v>
          </cell>
        </row>
        <row r="993">
          <cell r="A993" t="str">
            <v/>
          </cell>
          <cell r="B993" t="str">
            <v/>
          </cell>
          <cell r="C993" t="str">
            <v>Future</v>
          </cell>
          <cell r="D993" t="e">
            <v>#N/A</v>
          </cell>
          <cell r="E993">
            <v>-40.003888888889392</v>
          </cell>
          <cell r="F993">
            <v>71.940555555554013</v>
          </cell>
          <cell r="G993">
            <v>28.884999999999181</v>
          </cell>
          <cell r="H993">
            <v>28.884999999999181</v>
          </cell>
          <cell r="I993" t="e">
            <v>#N/A</v>
          </cell>
          <cell r="J993" t="e">
            <v>#N/A</v>
          </cell>
          <cell r="K993">
            <v>65</v>
          </cell>
          <cell r="L993">
            <v>40</v>
          </cell>
          <cell r="M993" t="e">
            <v>#N/A</v>
          </cell>
          <cell r="N993">
            <v>52</v>
          </cell>
          <cell r="O993" t="e">
            <v>#N/A</v>
          </cell>
          <cell r="P993" t="str">
            <v/>
          </cell>
          <cell r="Q993" t="str">
            <v/>
          </cell>
          <cell r="R993" t="e">
            <v>#N/A</v>
          </cell>
        </row>
        <row r="994">
          <cell r="A994" t="str">
            <v/>
          </cell>
          <cell r="B994" t="str">
            <v/>
          </cell>
          <cell r="C994" t="str">
            <v>Future</v>
          </cell>
          <cell r="D994" t="e">
            <v>#N/A</v>
          </cell>
          <cell r="E994">
            <v>-40.223690476190981</v>
          </cell>
          <cell r="F994">
            <v>71.97869047618893</v>
          </cell>
          <cell r="G994">
            <v>28.823928571427754</v>
          </cell>
          <cell r="H994">
            <v>28.823928571427754</v>
          </cell>
          <cell r="I994" t="e">
            <v>#N/A</v>
          </cell>
          <cell r="J994" t="e">
            <v>#N/A</v>
          </cell>
          <cell r="K994">
            <v>65</v>
          </cell>
          <cell r="L994">
            <v>40</v>
          </cell>
          <cell r="M994" t="e">
            <v>#N/A</v>
          </cell>
          <cell r="N994">
            <v>52</v>
          </cell>
          <cell r="O994" t="e">
            <v>#N/A</v>
          </cell>
          <cell r="P994" t="str">
            <v/>
          </cell>
          <cell r="Q994" t="str">
            <v/>
          </cell>
          <cell r="R994" t="e">
            <v>#N/A</v>
          </cell>
        </row>
        <row r="995">
          <cell r="A995" t="str">
            <v/>
          </cell>
          <cell r="B995" t="str">
            <v/>
          </cell>
          <cell r="C995" t="str">
            <v>Future</v>
          </cell>
          <cell r="D995" t="e">
            <v>#N/A</v>
          </cell>
          <cell r="E995">
            <v>-40.44349206349257</v>
          </cell>
          <cell r="F995">
            <v>72.016825396823847</v>
          </cell>
          <cell r="G995">
            <v>28.762857142856326</v>
          </cell>
          <cell r="H995">
            <v>28.762857142856326</v>
          </cell>
          <cell r="I995" t="e">
            <v>#N/A</v>
          </cell>
          <cell r="J995" t="e">
            <v>#N/A</v>
          </cell>
          <cell r="K995">
            <v>65</v>
          </cell>
          <cell r="L995">
            <v>40</v>
          </cell>
          <cell r="M995" t="e">
            <v>#N/A</v>
          </cell>
          <cell r="N995">
            <v>52</v>
          </cell>
          <cell r="O995" t="e">
            <v>#N/A</v>
          </cell>
          <cell r="P995" t="str">
            <v/>
          </cell>
          <cell r="Q995" t="str">
            <v/>
          </cell>
          <cell r="R995" t="e">
            <v>#N/A</v>
          </cell>
        </row>
        <row r="996">
          <cell r="A996" t="str">
            <v/>
          </cell>
          <cell r="B996" t="str">
            <v/>
          </cell>
          <cell r="C996" t="str">
            <v>Future</v>
          </cell>
          <cell r="D996" t="e">
            <v>#N/A</v>
          </cell>
          <cell r="E996">
            <v>-40.663293650794159</v>
          </cell>
          <cell r="F996">
            <v>72.054960317458765</v>
          </cell>
          <cell r="G996">
            <v>28.701785714284899</v>
          </cell>
          <cell r="H996">
            <v>28.701785714284899</v>
          </cell>
          <cell r="I996" t="e">
            <v>#N/A</v>
          </cell>
          <cell r="J996" t="e">
            <v>#N/A</v>
          </cell>
          <cell r="K996">
            <v>65</v>
          </cell>
          <cell r="L996">
            <v>40</v>
          </cell>
          <cell r="M996" t="e">
            <v>#N/A</v>
          </cell>
          <cell r="N996">
            <v>52</v>
          </cell>
          <cell r="O996" t="e">
            <v>#N/A</v>
          </cell>
          <cell r="P996" t="str">
            <v/>
          </cell>
          <cell r="Q996" t="str">
            <v/>
          </cell>
          <cell r="R996" t="e">
            <v>#N/A</v>
          </cell>
        </row>
        <row r="997">
          <cell r="A997" t="str">
            <v/>
          </cell>
          <cell r="B997" t="str">
            <v/>
          </cell>
          <cell r="C997" t="str">
            <v>Future</v>
          </cell>
          <cell r="D997" t="e">
            <v>#N/A</v>
          </cell>
          <cell r="E997">
            <v>-40.883095238095748</v>
          </cell>
          <cell r="F997">
            <v>72.093095238093682</v>
          </cell>
          <cell r="G997">
            <v>28.640714285713472</v>
          </cell>
          <cell r="H997">
            <v>28.640714285713472</v>
          </cell>
          <cell r="I997" t="e">
            <v>#N/A</v>
          </cell>
          <cell r="J997" t="e">
            <v>#N/A</v>
          </cell>
          <cell r="K997">
            <v>65</v>
          </cell>
          <cell r="L997">
            <v>40</v>
          </cell>
          <cell r="M997" t="e">
            <v>#N/A</v>
          </cell>
          <cell r="N997">
            <v>52</v>
          </cell>
          <cell r="O997" t="e">
            <v>#N/A</v>
          </cell>
          <cell r="P997" t="str">
            <v/>
          </cell>
          <cell r="Q997" t="str">
            <v/>
          </cell>
          <cell r="R997" t="e">
            <v>#N/A</v>
          </cell>
        </row>
        <row r="998">
          <cell r="A998" t="str">
            <v/>
          </cell>
          <cell r="B998" t="str">
            <v/>
          </cell>
          <cell r="C998" t="str">
            <v>Future</v>
          </cell>
          <cell r="D998" t="e">
            <v>#N/A</v>
          </cell>
          <cell r="E998">
            <v>-41.102896825397337</v>
          </cell>
          <cell r="F998">
            <v>72.131230158728599</v>
          </cell>
          <cell r="G998">
            <v>28.579642857142044</v>
          </cell>
          <cell r="H998">
            <v>28.579642857142044</v>
          </cell>
          <cell r="I998" t="e">
            <v>#N/A</v>
          </cell>
          <cell r="J998" t="e">
            <v>#N/A</v>
          </cell>
          <cell r="K998">
            <v>65</v>
          </cell>
          <cell r="L998">
            <v>40</v>
          </cell>
          <cell r="M998" t="e">
            <v>#N/A</v>
          </cell>
          <cell r="N998">
            <v>52</v>
          </cell>
          <cell r="O998" t="e">
            <v>#N/A</v>
          </cell>
          <cell r="P998" t="str">
            <v/>
          </cell>
          <cell r="Q998" t="str">
            <v/>
          </cell>
          <cell r="R998" t="e">
            <v>#N/A</v>
          </cell>
        </row>
        <row r="999">
          <cell r="A999" t="str">
            <v/>
          </cell>
          <cell r="B999" t="str">
            <v/>
          </cell>
          <cell r="C999" t="str">
            <v>Future</v>
          </cell>
          <cell r="D999" t="e">
            <v>#N/A</v>
          </cell>
          <cell r="E999">
            <v>-41.322698412698927</v>
          </cell>
          <cell r="F999">
            <v>72.169365079363516</v>
          </cell>
          <cell r="G999">
            <v>28.518571428570617</v>
          </cell>
          <cell r="H999">
            <v>28.518571428570617</v>
          </cell>
          <cell r="I999" t="e">
            <v>#N/A</v>
          </cell>
          <cell r="J999" t="e">
            <v>#N/A</v>
          </cell>
          <cell r="K999">
            <v>65</v>
          </cell>
          <cell r="L999">
            <v>40</v>
          </cell>
          <cell r="M999" t="e">
            <v>#N/A</v>
          </cell>
          <cell r="N999">
            <v>52</v>
          </cell>
          <cell r="O999" t="e">
            <v>#N/A</v>
          </cell>
          <cell r="P999" t="str">
            <v/>
          </cell>
          <cell r="Q999" t="str">
            <v/>
          </cell>
          <cell r="R999" t="e">
            <v>#N/A</v>
          </cell>
        </row>
        <row r="1000">
          <cell r="A1000" t="str">
            <v/>
          </cell>
          <cell r="B1000" t="str">
            <v/>
          </cell>
          <cell r="C1000" t="str">
            <v>Future</v>
          </cell>
          <cell r="D1000" t="e">
            <v>#N/A</v>
          </cell>
          <cell r="E1000">
            <v>-41.542500000000516</v>
          </cell>
          <cell r="F1000">
            <v>72.207499999998433</v>
          </cell>
          <cell r="G1000">
            <v>28.45749999999919</v>
          </cell>
          <cell r="H1000">
            <v>28.45749999999919</v>
          </cell>
          <cell r="I1000" t="e">
            <v>#N/A</v>
          </cell>
          <cell r="J1000" t="e">
            <v>#N/A</v>
          </cell>
          <cell r="K1000">
            <v>65</v>
          </cell>
          <cell r="L1000">
            <v>40</v>
          </cell>
          <cell r="M1000" t="e">
            <v>#N/A</v>
          </cell>
          <cell r="N1000">
            <v>52</v>
          </cell>
          <cell r="O1000" t="e">
            <v>#N/A</v>
          </cell>
          <cell r="P1000" t="str">
            <v/>
          </cell>
          <cell r="Q1000" t="str">
            <v/>
          </cell>
          <cell r="R1000" t="e">
            <v>#N/A</v>
          </cell>
        </row>
        <row r="1001">
          <cell r="A1001" t="str">
            <v/>
          </cell>
          <cell r="B1001" t="str">
            <v/>
          </cell>
          <cell r="C1001" t="str">
            <v>Future</v>
          </cell>
          <cell r="D1001" t="e">
            <v>#N/A</v>
          </cell>
          <cell r="E1001">
            <v>-41.762301587302105</v>
          </cell>
          <cell r="F1001">
            <v>72.24563492063335</v>
          </cell>
          <cell r="G1001">
            <v>28.396428571427762</v>
          </cell>
          <cell r="H1001">
            <v>28.396428571427762</v>
          </cell>
          <cell r="I1001" t="e">
            <v>#N/A</v>
          </cell>
          <cell r="J1001" t="e">
            <v>#N/A</v>
          </cell>
          <cell r="K1001">
            <v>65</v>
          </cell>
          <cell r="L1001">
            <v>40</v>
          </cell>
          <cell r="M1001" t="e">
            <v>#N/A</v>
          </cell>
          <cell r="N1001">
            <v>52</v>
          </cell>
          <cell r="O1001" t="e">
            <v>#N/A</v>
          </cell>
          <cell r="P1001" t="str">
            <v/>
          </cell>
          <cell r="Q1001" t="str">
            <v/>
          </cell>
          <cell r="R1001" t="e">
            <v>#N/A</v>
          </cell>
        </row>
        <row r="1002">
          <cell r="A1002" t="str">
            <v/>
          </cell>
          <cell r="B1002" t="str">
            <v/>
          </cell>
          <cell r="C1002" t="str">
            <v>Future</v>
          </cell>
          <cell r="D1002" t="e">
            <v>#N/A</v>
          </cell>
          <cell r="E1002">
            <v>-41.982103174603694</v>
          </cell>
          <cell r="F1002">
            <v>72.283769841268267</v>
          </cell>
          <cell r="G1002">
            <v>28.335357142856335</v>
          </cell>
          <cell r="H1002">
            <v>28.335357142856335</v>
          </cell>
          <cell r="I1002" t="e">
            <v>#N/A</v>
          </cell>
          <cell r="J1002" t="e">
            <v>#N/A</v>
          </cell>
          <cell r="K1002">
            <v>65</v>
          </cell>
          <cell r="L1002">
            <v>40</v>
          </cell>
          <cell r="M1002" t="e">
            <v>#N/A</v>
          </cell>
          <cell r="N1002">
            <v>52</v>
          </cell>
          <cell r="O1002" t="e">
            <v>#N/A</v>
          </cell>
          <cell r="P1002" t="str">
            <v/>
          </cell>
          <cell r="Q1002" t="str">
            <v/>
          </cell>
          <cell r="R1002" t="e">
            <v>#N/A</v>
          </cell>
        </row>
        <row r="1003">
          <cell r="A1003" t="str">
            <v/>
          </cell>
          <cell r="B1003" t="str">
            <v/>
          </cell>
          <cell r="C1003" t="str">
            <v>Future</v>
          </cell>
          <cell r="D1003" t="e">
            <v>#N/A</v>
          </cell>
          <cell r="E1003">
            <v>-42.201904761905283</v>
          </cell>
          <cell r="F1003">
            <v>72.321904761903184</v>
          </cell>
          <cell r="G1003">
            <v>28.274285714284908</v>
          </cell>
          <cell r="H1003">
            <v>28.274285714284908</v>
          </cell>
          <cell r="I1003" t="e">
            <v>#N/A</v>
          </cell>
          <cell r="J1003" t="e">
            <v>#N/A</v>
          </cell>
          <cell r="K1003">
            <v>65</v>
          </cell>
          <cell r="L1003">
            <v>40</v>
          </cell>
          <cell r="M1003" t="e">
            <v>#N/A</v>
          </cell>
          <cell r="N1003">
            <v>52</v>
          </cell>
          <cell r="O1003" t="e">
            <v>#N/A</v>
          </cell>
          <cell r="P1003" t="str">
            <v/>
          </cell>
          <cell r="Q1003" t="str">
            <v/>
          </cell>
          <cell r="R1003" t="e">
            <v>#N/A</v>
          </cell>
        </row>
        <row r="1004">
          <cell r="A1004" t="str">
            <v/>
          </cell>
          <cell r="B1004" t="str">
            <v/>
          </cell>
          <cell r="C1004" t="str">
            <v>Future</v>
          </cell>
          <cell r="D1004" t="e">
            <v>#N/A</v>
          </cell>
          <cell r="E1004">
            <v>-42.421706349206872</v>
          </cell>
          <cell r="F1004">
            <v>72.360039682538101</v>
          </cell>
          <cell r="G1004">
            <v>28.21321428571348</v>
          </cell>
          <cell r="H1004">
            <v>28.21321428571348</v>
          </cell>
          <cell r="I1004" t="e">
            <v>#N/A</v>
          </cell>
          <cell r="J1004" t="e">
            <v>#N/A</v>
          </cell>
          <cell r="K1004">
            <v>65</v>
          </cell>
          <cell r="L1004">
            <v>40</v>
          </cell>
          <cell r="M1004" t="e">
            <v>#N/A</v>
          </cell>
          <cell r="N1004">
            <v>52</v>
          </cell>
          <cell r="O1004" t="e">
            <v>#N/A</v>
          </cell>
          <cell r="P1004" t="str">
            <v/>
          </cell>
          <cell r="Q1004" t="str">
            <v/>
          </cell>
          <cell r="R1004" t="e">
            <v>#N/A</v>
          </cell>
        </row>
        <row r="1005">
          <cell r="A1005" t="str">
            <v/>
          </cell>
          <cell r="B1005" t="str">
            <v/>
          </cell>
          <cell r="C1005" t="str">
            <v>Future</v>
          </cell>
          <cell r="D1005" t="e">
            <v>#N/A</v>
          </cell>
          <cell r="E1005">
            <v>-42.641507936508461</v>
          </cell>
          <cell r="F1005">
            <v>72.398174603173018</v>
          </cell>
          <cell r="G1005">
            <v>28.152142857142053</v>
          </cell>
          <cell r="H1005">
            <v>28.152142857142053</v>
          </cell>
          <cell r="I1005" t="e">
            <v>#N/A</v>
          </cell>
          <cell r="J1005" t="e">
            <v>#N/A</v>
          </cell>
          <cell r="K1005">
            <v>65</v>
          </cell>
          <cell r="L1005">
            <v>40</v>
          </cell>
          <cell r="M1005" t="e">
            <v>#N/A</v>
          </cell>
          <cell r="N1005">
            <v>52</v>
          </cell>
          <cell r="O1005" t="e">
            <v>#N/A</v>
          </cell>
          <cell r="P1005" t="str">
            <v/>
          </cell>
          <cell r="Q1005" t="str">
            <v/>
          </cell>
          <cell r="R1005" t="e">
            <v>#N/A</v>
          </cell>
        </row>
        <row r="1006">
          <cell r="A1006" t="str">
            <v/>
          </cell>
          <cell r="B1006" t="str">
            <v/>
          </cell>
          <cell r="C1006" t="str">
            <v>Future</v>
          </cell>
          <cell r="D1006" t="e">
            <v>#N/A</v>
          </cell>
          <cell r="E1006">
            <v>-42.86130952381005</v>
          </cell>
          <cell r="F1006">
            <v>72.436309523807935</v>
          </cell>
          <cell r="G1006">
            <v>28.091071428570626</v>
          </cell>
          <cell r="H1006">
            <v>28.091071428570626</v>
          </cell>
          <cell r="I1006" t="e">
            <v>#N/A</v>
          </cell>
          <cell r="J1006" t="e">
            <v>#N/A</v>
          </cell>
          <cell r="K1006">
            <v>65</v>
          </cell>
          <cell r="L1006">
            <v>40</v>
          </cell>
          <cell r="M1006" t="e">
            <v>#N/A</v>
          </cell>
          <cell r="N1006">
            <v>52</v>
          </cell>
          <cell r="O1006" t="e">
            <v>#N/A</v>
          </cell>
          <cell r="P1006" t="str">
            <v/>
          </cell>
          <cell r="Q1006" t="str">
            <v/>
          </cell>
          <cell r="R1006" t="e">
            <v>#N/A</v>
          </cell>
        </row>
        <row r="1007">
          <cell r="A1007" t="str">
            <v/>
          </cell>
          <cell r="B1007" t="str">
            <v/>
          </cell>
          <cell r="C1007" t="str">
            <v>Future</v>
          </cell>
          <cell r="D1007" t="e">
            <v>#N/A</v>
          </cell>
          <cell r="E1007">
            <v>-43.081111111111639</v>
          </cell>
          <cell r="F1007">
            <v>72.474444444442852</v>
          </cell>
          <cell r="G1007">
            <v>28.029999999999198</v>
          </cell>
          <cell r="H1007">
            <v>28.029999999999198</v>
          </cell>
          <cell r="I1007" t="e">
            <v>#N/A</v>
          </cell>
          <cell r="J1007" t="e">
            <v>#N/A</v>
          </cell>
          <cell r="K1007">
            <v>65</v>
          </cell>
          <cell r="L1007">
            <v>40</v>
          </cell>
          <cell r="M1007" t="e">
            <v>#N/A</v>
          </cell>
          <cell r="N1007">
            <v>52</v>
          </cell>
          <cell r="O1007" t="e">
            <v>#N/A</v>
          </cell>
          <cell r="P1007" t="str">
            <v/>
          </cell>
          <cell r="Q1007" t="str">
            <v/>
          </cell>
          <cell r="R1007" t="e">
            <v>#N/A</v>
          </cell>
        </row>
        <row r="1008">
          <cell r="A1008" t="str">
            <v/>
          </cell>
          <cell r="B1008" t="str">
            <v/>
          </cell>
          <cell r="C1008" t="str">
            <v>Future</v>
          </cell>
          <cell r="D1008" t="e">
            <v>#N/A</v>
          </cell>
          <cell r="E1008">
            <v>-43.300912698413228</v>
          </cell>
          <cell r="F1008">
            <v>72.512579365077769</v>
          </cell>
          <cell r="G1008">
            <v>27.968928571427771</v>
          </cell>
          <cell r="H1008">
            <v>27.968928571427771</v>
          </cell>
          <cell r="I1008" t="e">
            <v>#N/A</v>
          </cell>
          <cell r="J1008" t="e">
            <v>#N/A</v>
          </cell>
          <cell r="K1008">
            <v>65</v>
          </cell>
          <cell r="L1008">
            <v>40</v>
          </cell>
          <cell r="M1008" t="e">
            <v>#N/A</v>
          </cell>
          <cell r="N1008">
            <v>52</v>
          </cell>
          <cell r="O1008" t="e">
            <v>#N/A</v>
          </cell>
          <cell r="P1008" t="str">
            <v/>
          </cell>
          <cell r="Q1008" t="str">
            <v/>
          </cell>
          <cell r="R1008" t="e">
            <v>#N/A</v>
          </cell>
        </row>
        <row r="1009">
          <cell r="A1009" t="str">
            <v/>
          </cell>
          <cell r="B1009" t="str">
            <v/>
          </cell>
          <cell r="C1009" t="str">
            <v>Future</v>
          </cell>
          <cell r="D1009" t="e">
            <v>#N/A</v>
          </cell>
          <cell r="E1009">
            <v>-43.520714285714817</v>
          </cell>
          <cell r="F1009">
            <v>72.550714285712687</v>
          </cell>
          <cell r="G1009">
            <v>27.907857142856344</v>
          </cell>
          <cell r="H1009">
            <v>27.907857142856344</v>
          </cell>
          <cell r="I1009" t="e">
            <v>#N/A</v>
          </cell>
          <cell r="J1009" t="e">
            <v>#N/A</v>
          </cell>
          <cell r="K1009">
            <v>65</v>
          </cell>
          <cell r="L1009">
            <v>40</v>
          </cell>
          <cell r="M1009" t="e">
            <v>#N/A</v>
          </cell>
          <cell r="N1009">
            <v>52</v>
          </cell>
          <cell r="O1009" t="e">
            <v>#N/A</v>
          </cell>
          <cell r="P1009" t="str">
            <v/>
          </cell>
          <cell r="Q1009" t="str">
            <v/>
          </cell>
          <cell r="R1009" t="e">
            <v>#N/A</v>
          </cell>
        </row>
        <row r="1010">
          <cell r="A1010" t="str">
            <v/>
          </cell>
          <cell r="B1010" t="str">
            <v/>
          </cell>
          <cell r="C1010" t="str">
            <v>Future</v>
          </cell>
          <cell r="D1010" t="e">
            <v>#N/A</v>
          </cell>
          <cell r="E1010">
            <v>-43.740515873016406</v>
          </cell>
          <cell r="F1010">
            <v>72.588849206347604</v>
          </cell>
          <cell r="G1010">
            <v>27.846785714284916</v>
          </cell>
          <cell r="H1010">
            <v>27.846785714284916</v>
          </cell>
          <cell r="I1010" t="e">
            <v>#N/A</v>
          </cell>
          <cell r="J1010" t="e">
            <v>#N/A</v>
          </cell>
          <cell r="K1010">
            <v>65</v>
          </cell>
          <cell r="L1010">
            <v>40</v>
          </cell>
          <cell r="M1010" t="e">
            <v>#N/A</v>
          </cell>
          <cell r="N1010">
            <v>52</v>
          </cell>
          <cell r="O1010" t="e">
            <v>#N/A</v>
          </cell>
          <cell r="P1010" t="str">
            <v/>
          </cell>
          <cell r="Q1010" t="str">
            <v/>
          </cell>
          <cell r="R1010" t="e">
            <v>#N/A</v>
          </cell>
        </row>
        <row r="1011">
          <cell r="A1011" t="str">
            <v/>
          </cell>
          <cell r="B1011" t="str">
            <v/>
          </cell>
          <cell r="C1011" t="str">
            <v>Future</v>
          </cell>
          <cell r="D1011" t="e">
            <v>#N/A</v>
          </cell>
          <cell r="E1011">
            <v>-43.960317460317995</v>
          </cell>
          <cell r="F1011">
            <v>72.626984126982521</v>
          </cell>
          <cell r="G1011">
            <v>27.785714285713489</v>
          </cell>
          <cell r="H1011">
            <v>27.785714285713489</v>
          </cell>
          <cell r="I1011" t="e">
            <v>#N/A</v>
          </cell>
          <cell r="J1011" t="e">
            <v>#N/A</v>
          </cell>
          <cell r="K1011">
            <v>65</v>
          </cell>
          <cell r="L1011">
            <v>40</v>
          </cell>
          <cell r="M1011" t="e">
            <v>#N/A</v>
          </cell>
          <cell r="N1011">
            <v>52</v>
          </cell>
          <cell r="O1011" t="e">
            <v>#N/A</v>
          </cell>
          <cell r="P1011" t="str">
            <v/>
          </cell>
          <cell r="Q1011" t="str">
            <v/>
          </cell>
          <cell r="R1011" t="e">
            <v>#N/A</v>
          </cell>
        </row>
        <row r="1012">
          <cell r="A1012" t="str">
            <v/>
          </cell>
          <cell r="B1012" t="str">
            <v/>
          </cell>
          <cell r="C1012" t="str">
            <v>Future</v>
          </cell>
          <cell r="D1012" t="e">
            <v>#N/A</v>
          </cell>
          <cell r="E1012">
            <v>-44.180119047619584</v>
          </cell>
          <cell r="F1012">
            <v>72.665119047617438</v>
          </cell>
          <cell r="G1012">
            <v>27.724642857142062</v>
          </cell>
          <cell r="H1012">
            <v>27.724642857142062</v>
          </cell>
          <cell r="I1012" t="e">
            <v>#N/A</v>
          </cell>
          <cell r="J1012" t="e">
            <v>#N/A</v>
          </cell>
          <cell r="K1012">
            <v>65</v>
          </cell>
          <cell r="L1012">
            <v>40</v>
          </cell>
          <cell r="M1012" t="e">
            <v>#N/A</v>
          </cell>
          <cell r="N1012">
            <v>52</v>
          </cell>
          <cell r="O1012" t="e">
            <v>#N/A</v>
          </cell>
          <cell r="P1012" t="str">
            <v/>
          </cell>
          <cell r="Q1012" t="str">
            <v/>
          </cell>
          <cell r="R1012" t="e">
            <v>#N/A</v>
          </cell>
        </row>
        <row r="1013">
          <cell r="A1013" t="str">
            <v/>
          </cell>
          <cell r="B1013" t="str">
            <v/>
          </cell>
          <cell r="C1013" t="str">
            <v>Future</v>
          </cell>
          <cell r="D1013" t="e">
            <v>#N/A</v>
          </cell>
          <cell r="E1013">
            <v>-44.399920634921173</v>
          </cell>
          <cell r="F1013">
            <v>72.703253968252355</v>
          </cell>
          <cell r="G1013">
            <v>27.663571428570634</v>
          </cell>
          <cell r="H1013">
            <v>27.663571428570634</v>
          </cell>
          <cell r="I1013" t="e">
            <v>#N/A</v>
          </cell>
          <cell r="J1013" t="e">
            <v>#N/A</v>
          </cell>
          <cell r="K1013">
            <v>65</v>
          </cell>
          <cell r="L1013">
            <v>40</v>
          </cell>
          <cell r="M1013" t="e">
            <v>#N/A</v>
          </cell>
          <cell r="N1013">
            <v>52</v>
          </cell>
          <cell r="O1013" t="e">
            <v>#N/A</v>
          </cell>
          <cell r="P1013" t="str">
            <v/>
          </cell>
          <cell r="Q1013" t="str">
            <v/>
          </cell>
          <cell r="R1013" t="e">
            <v>#N/A</v>
          </cell>
        </row>
        <row r="1014">
          <cell r="A1014" t="str">
            <v/>
          </cell>
          <cell r="B1014" t="str">
            <v/>
          </cell>
          <cell r="C1014" t="str">
            <v>Future</v>
          </cell>
          <cell r="D1014" t="e">
            <v>#N/A</v>
          </cell>
          <cell r="E1014">
            <v>-44.619722222222762</v>
          </cell>
          <cell r="F1014">
            <v>72.741388888887272</v>
          </cell>
          <cell r="G1014">
            <v>27.602499999999207</v>
          </cell>
          <cell r="H1014">
            <v>27.602499999999207</v>
          </cell>
          <cell r="I1014" t="e">
            <v>#N/A</v>
          </cell>
          <cell r="J1014" t="e">
            <v>#N/A</v>
          </cell>
          <cell r="K1014">
            <v>65</v>
          </cell>
          <cell r="L1014">
            <v>40</v>
          </cell>
          <cell r="M1014" t="e">
            <v>#N/A</v>
          </cell>
          <cell r="N1014">
            <v>52</v>
          </cell>
          <cell r="O1014" t="e">
            <v>#N/A</v>
          </cell>
          <cell r="P1014" t="str">
            <v/>
          </cell>
          <cell r="Q1014" t="str">
            <v/>
          </cell>
          <cell r="R1014" t="e">
            <v>#N/A</v>
          </cell>
        </row>
        <row r="1015">
          <cell r="A1015" t="str">
            <v/>
          </cell>
          <cell r="B1015" t="str">
            <v/>
          </cell>
          <cell r="C1015" t="str">
            <v>Future</v>
          </cell>
          <cell r="D1015" t="e">
            <v>#N/A</v>
          </cell>
          <cell r="E1015">
            <v>-44.839523809524351</v>
          </cell>
          <cell r="F1015">
            <v>72.779523809522189</v>
          </cell>
          <cell r="G1015">
            <v>27.54142857142778</v>
          </cell>
          <cell r="H1015">
            <v>27.54142857142778</v>
          </cell>
          <cell r="I1015" t="e">
            <v>#N/A</v>
          </cell>
          <cell r="J1015" t="e">
            <v>#N/A</v>
          </cell>
          <cell r="K1015">
            <v>65</v>
          </cell>
          <cell r="L1015">
            <v>40</v>
          </cell>
          <cell r="M1015" t="e">
            <v>#N/A</v>
          </cell>
          <cell r="N1015">
            <v>52</v>
          </cell>
          <cell r="O1015" t="e">
            <v>#N/A</v>
          </cell>
          <cell r="P1015" t="str">
            <v/>
          </cell>
          <cell r="Q1015" t="str">
            <v/>
          </cell>
          <cell r="R1015" t="e">
            <v>#N/A</v>
          </cell>
        </row>
        <row r="1016">
          <cell r="A1016" t="str">
            <v/>
          </cell>
          <cell r="B1016" t="str">
            <v/>
          </cell>
          <cell r="C1016" t="str">
            <v>Future</v>
          </cell>
          <cell r="D1016" t="e">
            <v>#N/A</v>
          </cell>
          <cell r="E1016">
            <v>-45.05932539682594</v>
          </cell>
          <cell r="F1016">
            <v>72.817658730157106</v>
          </cell>
          <cell r="G1016">
            <v>27.480357142856352</v>
          </cell>
          <cell r="H1016">
            <v>27.480357142856352</v>
          </cell>
          <cell r="I1016" t="e">
            <v>#N/A</v>
          </cell>
          <cell r="J1016" t="e">
            <v>#N/A</v>
          </cell>
          <cell r="K1016">
            <v>65</v>
          </cell>
          <cell r="L1016">
            <v>40</v>
          </cell>
          <cell r="M1016" t="e">
            <v>#N/A</v>
          </cell>
          <cell r="N1016">
            <v>52</v>
          </cell>
          <cell r="O1016" t="e">
            <v>#N/A</v>
          </cell>
          <cell r="P1016" t="str">
            <v/>
          </cell>
          <cell r="Q1016" t="str">
            <v/>
          </cell>
          <cell r="R1016" t="e">
            <v>#N/A</v>
          </cell>
        </row>
        <row r="1017">
          <cell r="A1017" t="str">
            <v/>
          </cell>
          <cell r="B1017" t="str">
            <v/>
          </cell>
          <cell r="C1017" t="str">
            <v>Future</v>
          </cell>
          <cell r="D1017" t="e">
            <v>#N/A</v>
          </cell>
          <cell r="E1017">
            <v>-45.279126984127529</v>
          </cell>
          <cell r="F1017">
            <v>72.855793650792023</v>
          </cell>
          <cell r="G1017">
            <v>27.419285714284925</v>
          </cell>
          <cell r="H1017">
            <v>27.419285714284925</v>
          </cell>
          <cell r="I1017" t="e">
            <v>#N/A</v>
          </cell>
          <cell r="J1017" t="e">
            <v>#N/A</v>
          </cell>
          <cell r="K1017">
            <v>65</v>
          </cell>
          <cell r="L1017">
            <v>40</v>
          </cell>
          <cell r="M1017" t="e">
            <v>#N/A</v>
          </cell>
          <cell r="N1017">
            <v>52</v>
          </cell>
          <cell r="O1017" t="e">
            <v>#N/A</v>
          </cell>
          <cell r="P1017" t="str">
            <v/>
          </cell>
          <cell r="Q1017" t="str">
            <v/>
          </cell>
          <cell r="R1017" t="e">
            <v>#N/A</v>
          </cell>
        </row>
        <row r="1018">
          <cell r="A1018" t="str">
            <v/>
          </cell>
          <cell r="B1018" t="str">
            <v/>
          </cell>
          <cell r="C1018" t="str">
            <v>Future</v>
          </cell>
          <cell r="D1018" t="e">
            <v>#N/A</v>
          </cell>
          <cell r="E1018">
            <v>-45.498928571429119</v>
          </cell>
          <cell r="F1018">
            <v>72.89392857142694</v>
          </cell>
          <cell r="G1018">
            <v>27.358214285713498</v>
          </cell>
          <cell r="H1018">
            <v>27.358214285713498</v>
          </cell>
          <cell r="I1018" t="e">
            <v>#N/A</v>
          </cell>
          <cell r="J1018" t="e">
            <v>#N/A</v>
          </cell>
          <cell r="K1018">
            <v>65</v>
          </cell>
          <cell r="L1018">
            <v>40</v>
          </cell>
          <cell r="M1018" t="e">
            <v>#N/A</v>
          </cell>
          <cell r="N1018">
            <v>52</v>
          </cell>
          <cell r="O1018" t="e">
            <v>#N/A</v>
          </cell>
          <cell r="P1018" t="str">
            <v/>
          </cell>
          <cell r="Q1018" t="str">
            <v/>
          </cell>
          <cell r="R1018" t="e">
            <v>#N/A</v>
          </cell>
        </row>
        <row r="1019">
          <cell r="A1019" t="str">
            <v/>
          </cell>
          <cell r="B1019" t="str">
            <v/>
          </cell>
          <cell r="C1019" t="str">
            <v>Future</v>
          </cell>
          <cell r="D1019" t="e">
            <v>#N/A</v>
          </cell>
          <cell r="E1019">
            <v>-45.718730158730708</v>
          </cell>
          <cell r="F1019">
            <v>72.932063492061857</v>
          </cell>
          <cell r="G1019">
            <v>27.29714285714207</v>
          </cell>
          <cell r="H1019">
            <v>27.29714285714207</v>
          </cell>
          <cell r="I1019" t="e">
            <v>#N/A</v>
          </cell>
          <cell r="J1019" t="e">
            <v>#N/A</v>
          </cell>
          <cell r="K1019">
            <v>65</v>
          </cell>
          <cell r="L1019">
            <v>40</v>
          </cell>
          <cell r="M1019" t="e">
            <v>#N/A</v>
          </cell>
          <cell r="N1019">
            <v>52</v>
          </cell>
          <cell r="O1019" t="e">
            <v>#N/A</v>
          </cell>
          <cell r="P1019" t="str">
            <v/>
          </cell>
          <cell r="Q1019" t="str">
            <v/>
          </cell>
          <cell r="R1019" t="e">
            <v>#N/A</v>
          </cell>
        </row>
        <row r="1020">
          <cell r="A1020" t="str">
            <v/>
          </cell>
          <cell r="B1020" t="str">
            <v/>
          </cell>
          <cell r="C1020" t="str">
            <v>Future</v>
          </cell>
          <cell r="D1020" t="e">
            <v>#N/A</v>
          </cell>
          <cell r="E1020">
            <v>-45.938531746032297</v>
          </cell>
          <cell r="F1020">
            <v>72.970198412696774</v>
          </cell>
          <cell r="G1020">
            <v>27.236071428570643</v>
          </cell>
          <cell r="H1020">
            <v>27.236071428570643</v>
          </cell>
          <cell r="I1020" t="e">
            <v>#N/A</v>
          </cell>
          <cell r="J1020" t="e">
            <v>#N/A</v>
          </cell>
          <cell r="K1020">
            <v>65</v>
          </cell>
          <cell r="L1020">
            <v>40</v>
          </cell>
          <cell r="M1020" t="e">
            <v>#N/A</v>
          </cell>
          <cell r="N1020">
            <v>52</v>
          </cell>
          <cell r="O1020" t="e">
            <v>#N/A</v>
          </cell>
          <cell r="P1020" t="str">
            <v/>
          </cell>
          <cell r="Q1020" t="str">
            <v/>
          </cell>
          <cell r="R1020" t="e">
            <v>#N/A</v>
          </cell>
        </row>
        <row r="1021">
          <cell r="A1021" t="str">
            <v/>
          </cell>
          <cell r="B1021" t="str">
            <v/>
          </cell>
          <cell r="C1021" t="str">
            <v>Future</v>
          </cell>
          <cell r="D1021" t="e">
            <v>#N/A</v>
          </cell>
          <cell r="E1021">
            <v>-46.158333333333886</v>
          </cell>
          <cell r="F1021">
            <v>73.008333333331692</v>
          </cell>
          <cell r="G1021">
            <v>27.174999999999216</v>
          </cell>
          <cell r="H1021">
            <v>27.174999999999216</v>
          </cell>
          <cell r="I1021" t="e">
            <v>#N/A</v>
          </cell>
          <cell r="J1021" t="e">
            <v>#N/A</v>
          </cell>
          <cell r="K1021">
            <v>65</v>
          </cell>
          <cell r="L1021">
            <v>40</v>
          </cell>
          <cell r="M1021" t="e">
            <v>#N/A</v>
          </cell>
          <cell r="N1021">
            <v>52</v>
          </cell>
          <cell r="O1021" t="e">
            <v>#N/A</v>
          </cell>
          <cell r="P1021" t="str">
            <v/>
          </cell>
          <cell r="Q1021" t="str">
            <v/>
          </cell>
          <cell r="R1021" t="e">
            <v>#N/A</v>
          </cell>
        </row>
        <row r="1022">
          <cell r="A1022" t="str">
            <v/>
          </cell>
          <cell r="B1022" t="str">
            <v/>
          </cell>
          <cell r="C1022" t="str">
            <v>Future</v>
          </cell>
          <cell r="D1022" t="e">
            <v>#N/A</v>
          </cell>
          <cell r="E1022">
            <v>-46.378134920635475</v>
          </cell>
          <cell r="F1022">
            <v>73.046468253966609</v>
          </cell>
          <cell r="G1022">
            <v>27.113928571427788</v>
          </cell>
          <cell r="H1022">
            <v>27.113928571427788</v>
          </cell>
          <cell r="I1022" t="e">
            <v>#N/A</v>
          </cell>
          <cell r="J1022" t="e">
            <v>#N/A</v>
          </cell>
          <cell r="K1022">
            <v>65</v>
          </cell>
          <cell r="L1022">
            <v>40</v>
          </cell>
          <cell r="M1022" t="e">
            <v>#N/A</v>
          </cell>
          <cell r="N1022">
            <v>52</v>
          </cell>
          <cell r="O1022" t="e">
            <v>#N/A</v>
          </cell>
          <cell r="P1022" t="str">
            <v/>
          </cell>
          <cell r="Q1022" t="str">
            <v/>
          </cell>
          <cell r="R1022" t="e">
            <v>#N/A</v>
          </cell>
        </row>
        <row r="1023">
          <cell r="A1023" t="str">
            <v/>
          </cell>
          <cell r="B1023" t="str">
            <v/>
          </cell>
          <cell r="C1023" t="str">
            <v>Future</v>
          </cell>
          <cell r="D1023" t="e">
            <v>#N/A</v>
          </cell>
          <cell r="E1023">
            <v>-46.597936507937064</v>
          </cell>
          <cell r="F1023">
            <v>73.084603174601526</v>
          </cell>
          <cell r="G1023">
            <v>27.052857142856361</v>
          </cell>
          <cell r="H1023">
            <v>27.052857142856361</v>
          </cell>
          <cell r="I1023" t="e">
            <v>#N/A</v>
          </cell>
          <cell r="J1023" t="e">
            <v>#N/A</v>
          </cell>
          <cell r="K1023">
            <v>65</v>
          </cell>
          <cell r="L1023">
            <v>40</v>
          </cell>
          <cell r="M1023" t="e">
            <v>#N/A</v>
          </cell>
          <cell r="N1023">
            <v>52</v>
          </cell>
          <cell r="O1023" t="e">
            <v>#N/A</v>
          </cell>
          <cell r="P1023" t="str">
            <v/>
          </cell>
          <cell r="Q1023" t="str">
            <v/>
          </cell>
          <cell r="R1023" t="e">
            <v>#N/A</v>
          </cell>
        </row>
        <row r="1024">
          <cell r="A1024" t="str">
            <v/>
          </cell>
          <cell r="B1024" t="str">
            <v/>
          </cell>
          <cell r="C1024" t="str">
            <v>Future</v>
          </cell>
          <cell r="D1024" t="e">
            <v>#N/A</v>
          </cell>
          <cell r="E1024">
            <v>-46.817738095238653</v>
          </cell>
          <cell r="F1024">
            <v>73.122738095236443</v>
          </cell>
          <cell r="G1024">
            <v>26.991785714284934</v>
          </cell>
          <cell r="H1024">
            <v>26.991785714284934</v>
          </cell>
          <cell r="I1024" t="e">
            <v>#N/A</v>
          </cell>
          <cell r="J1024" t="e">
            <v>#N/A</v>
          </cell>
          <cell r="K1024">
            <v>65</v>
          </cell>
          <cell r="L1024">
            <v>40</v>
          </cell>
          <cell r="M1024" t="e">
            <v>#N/A</v>
          </cell>
          <cell r="N1024">
            <v>52</v>
          </cell>
          <cell r="O1024" t="e">
            <v>#N/A</v>
          </cell>
          <cell r="P1024" t="str">
            <v/>
          </cell>
          <cell r="Q1024" t="str">
            <v/>
          </cell>
          <cell r="R1024" t="e">
            <v>#N/A</v>
          </cell>
        </row>
        <row r="1025">
          <cell r="A1025" t="str">
            <v/>
          </cell>
          <cell r="B1025" t="str">
            <v/>
          </cell>
          <cell r="C1025" t="str">
            <v>Future</v>
          </cell>
          <cell r="D1025" t="e">
            <v>#N/A</v>
          </cell>
          <cell r="E1025">
            <v>-47.037539682540242</v>
          </cell>
          <cell r="F1025">
            <v>73.16087301587136</v>
          </cell>
          <cell r="G1025">
            <v>26.930714285713506</v>
          </cell>
          <cell r="H1025">
            <v>26.930714285713506</v>
          </cell>
          <cell r="I1025" t="e">
            <v>#N/A</v>
          </cell>
          <cell r="J1025" t="e">
            <v>#N/A</v>
          </cell>
          <cell r="K1025">
            <v>65</v>
          </cell>
          <cell r="L1025">
            <v>40</v>
          </cell>
          <cell r="M1025" t="e">
            <v>#N/A</v>
          </cell>
          <cell r="N1025">
            <v>52</v>
          </cell>
          <cell r="O1025" t="e">
            <v>#N/A</v>
          </cell>
          <cell r="P1025" t="str">
            <v/>
          </cell>
          <cell r="Q1025" t="str">
            <v/>
          </cell>
          <cell r="R1025" t="e">
            <v>#N/A</v>
          </cell>
        </row>
        <row r="1026">
          <cell r="A1026" t="str">
            <v/>
          </cell>
          <cell r="B1026" t="str">
            <v/>
          </cell>
          <cell r="C1026" t="str">
            <v>Future</v>
          </cell>
          <cell r="D1026" t="e">
            <v>#N/A</v>
          </cell>
          <cell r="E1026">
            <v>-47.257341269841831</v>
          </cell>
          <cell r="F1026">
            <v>73.199007936506277</v>
          </cell>
          <cell r="G1026">
            <v>26.869642857142079</v>
          </cell>
          <cell r="H1026">
            <v>26.869642857142079</v>
          </cell>
          <cell r="I1026" t="e">
            <v>#N/A</v>
          </cell>
          <cell r="J1026" t="e">
            <v>#N/A</v>
          </cell>
          <cell r="K1026">
            <v>65</v>
          </cell>
          <cell r="L1026">
            <v>40</v>
          </cell>
          <cell r="M1026" t="e">
            <v>#N/A</v>
          </cell>
          <cell r="N1026">
            <v>52</v>
          </cell>
          <cell r="O1026" t="e">
            <v>#N/A</v>
          </cell>
          <cell r="P1026" t="str">
            <v/>
          </cell>
          <cell r="Q1026" t="str">
            <v/>
          </cell>
          <cell r="R1026" t="e">
            <v>#N/A</v>
          </cell>
        </row>
        <row r="1027">
          <cell r="A1027" t="str">
            <v/>
          </cell>
          <cell r="B1027" t="str">
            <v/>
          </cell>
          <cell r="C1027" t="str">
            <v>Future</v>
          </cell>
          <cell r="D1027" t="e">
            <v>#N/A</v>
          </cell>
          <cell r="E1027">
            <v>-47.47714285714342</v>
          </cell>
          <cell r="F1027">
            <v>73.237142857141194</v>
          </cell>
          <cell r="G1027">
            <v>26.808571428570652</v>
          </cell>
          <cell r="H1027">
            <v>26.808571428570652</v>
          </cell>
          <cell r="I1027" t="e">
            <v>#N/A</v>
          </cell>
          <cell r="J1027" t="e">
            <v>#N/A</v>
          </cell>
          <cell r="K1027">
            <v>65</v>
          </cell>
          <cell r="L1027">
            <v>40</v>
          </cell>
          <cell r="M1027" t="e">
            <v>#N/A</v>
          </cell>
          <cell r="N1027">
            <v>52</v>
          </cell>
          <cell r="O1027" t="e">
            <v>#N/A</v>
          </cell>
          <cell r="P1027" t="str">
            <v/>
          </cell>
          <cell r="Q1027" t="str">
            <v/>
          </cell>
          <cell r="R1027" t="e">
            <v>#N/A</v>
          </cell>
        </row>
        <row r="1028">
          <cell r="A1028" t="str">
            <v/>
          </cell>
          <cell r="B1028" t="str">
            <v/>
          </cell>
          <cell r="C1028" t="str">
            <v>Future</v>
          </cell>
          <cell r="D1028" t="e">
            <v>#N/A</v>
          </cell>
          <cell r="E1028">
            <v>-47.696944444445009</v>
          </cell>
          <cell r="F1028">
            <v>73.275277777776111</v>
          </cell>
          <cell r="G1028">
            <v>26.747499999999224</v>
          </cell>
          <cell r="H1028">
            <v>26.747499999999224</v>
          </cell>
          <cell r="I1028" t="e">
            <v>#N/A</v>
          </cell>
          <cell r="J1028" t="e">
            <v>#N/A</v>
          </cell>
          <cell r="K1028">
            <v>65</v>
          </cell>
          <cell r="L1028">
            <v>40</v>
          </cell>
          <cell r="M1028" t="e">
            <v>#N/A</v>
          </cell>
          <cell r="N1028">
            <v>52</v>
          </cell>
          <cell r="O1028" t="e">
            <v>#N/A</v>
          </cell>
          <cell r="P1028" t="str">
            <v/>
          </cell>
          <cell r="Q1028" t="str">
            <v/>
          </cell>
          <cell r="R1028" t="e">
            <v>#N/A</v>
          </cell>
        </row>
        <row r="1029">
          <cell r="A1029" t="str">
            <v/>
          </cell>
          <cell r="B1029" t="str">
            <v/>
          </cell>
          <cell r="C1029" t="str">
            <v>Future</v>
          </cell>
          <cell r="D1029" t="e">
            <v>#N/A</v>
          </cell>
          <cell r="E1029">
            <v>-47.916746031746598</v>
          </cell>
          <cell r="F1029">
            <v>73.313412698411028</v>
          </cell>
          <cell r="G1029">
            <v>26.686428571427797</v>
          </cell>
          <cell r="H1029">
            <v>26.686428571427797</v>
          </cell>
          <cell r="I1029" t="e">
            <v>#N/A</v>
          </cell>
          <cell r="J1029" t="e">
            <v>#N/A</v>
          </cell>
          <cell r="K1029">
            <v>65</v>
          </cell>
          <cell r="L1029">
            <v>40</v>
          </cell>
          <cell r="M1029" t="e">
            <v>#N/A</v>
          </cell>
          <cell r="N1029">
            <v>52</v>
          </cell>
          <cell r="O1029" t="e">
            <v>#N/A</v>
          </cell>
          <cell r="P1029" t="str">
            <v/>
          </cell>
          <cell r="Q1029" t="str">
            <v/>
          </cell>
          <cell r="R1029" t="e">
            <v>#N/A</v>
          </cell>
        </row>
        <row r="1030">
          <cell r="A1030" t="str">
            <v/>
          </cell>
          <cell r="B1030" t="str">
            <v/>
          </cell>
          <cell r="C1030" t="str">
            <v>Future</v>
          </cell>
          <cell r="D1030" t="e">
            <v>#N/A</v>
          </cell>
          <cell r="E1030">
            <v>-48.136547619048187</v>
          </cell>
          <cell r="F1030">
            <v>73.351547619045945</v>
          </cell>
          <cell r="G1030">
            <v>26.62535714285637</v>
          </cell>
          <cell r="H1030">
            <v>26.62535714285637</v>
          </cell>
          <cell r="I1030" t="e">
            <v>#N/A</v>
          </cell>
          <cell r="J1030" t="e">
            <v>#N/A</v>
          </cell>
          <cell r="K1030">
            <v>65</v>
          </cell>
          <cell r="L1030">
            <v>40</v>
          </cell>
          <cell r="M1030" t="e">
            <v>#N/A</v>
          </cell>
          <cell r="N1030">
            <v>52</v>
          </cell>
          <cell r="O1030" t="e">
            <v>#N/A</v>
          </cell>
          <cell r="P1030" t="str">
            <v/>
          </cell>
          <cell r="Q1030" t="str">
            <v/>
          </cell>
          <cell r="R1030" t="e">
            <v>#N/A</v>
          </cell>
        </row>
        <row r="1031">
          <cell r="A1031" t="str">
            <v/>
          </cell>
          <cell r="B1031" t="str">
            <v/>
          </cell>
          <cell r="C1031" t="str">
            <v>Future</v>
          </cell>
          <cell r="D1031" t="e">
            <v>#N/A</v>
          </cell>
          <cell r="E1031">
            <v>-48.356349206349776</v>
          </cell>
          <cell r="F1031">
            <v>73.389682539680862</v>
          </cell>
          <cell r="G1031">
            <v>26.564285714284942</v>
          </cell>
          <cell r="H1031">
            <v>26.564285714284942</v>
          </cell>
          <cell r="I1031" t="e">
            <v>#N/A</v>
          </cell>
          <cell r="J1031" t="e">
            <v>#N/A</v>
          </cell>
          <cell r="K1031">
            <v>65</v>
          </cell>
          <cell r="L1031">
            <v>40</v>
          </cell>
          <cell r="M1031" t="e">
            <v>#N/A</v>
          </cell>
          <cell r="N1031">
            <v>52</v>
          </cell>
          <cell r="O1031" t="e">
            <v>#N/A</v>
          </cell>
          <cell r="P1031" t="str">
            <v/>
          </cell>
          <cell r="Q1031" t="str">
            <v/>
          </cell>
          <cell r="R1031" t="e">
            <v>#N/A</v>
          </cell>
        </row>
        <row r="1032">
          <cell r="A1032" t="str">
            <v/>
          </cell>
          <cell r="B1032" t="str">
            <v/>
          </cell>
          <cell r="C1032" t="str">
            <v>Future</v>
          </cell>
          <cell r="D1032" t="e">
            <v>#N/A</v>
          </cell>
          <cell r="E1032">
            <v>-48.576150793651365</v>
          </cell>
          <cell r="F1032">
            <v>73.427817460315779</v>
          </cell>
          <cell r="G1032">
            <v>26.503214285713515</v>
          </cell>
          <cell r="H1032">
            <v>26.503214285713515</v>
          </cell>
          <cell r="I1032" t="e">
            <v>#N/A</v>
          </cell>
          <cell r="J1032" t="e">
            <v>#N/A</v>
          </cell>
          <cell r="K1032">
            <v>65</v>
          </cell>
          <cell r="L1032">
            <v>40</v>
          </cell>
          <cell r="M1032" t="e">
            <v>#N/A</v>
          </cell>
          <cell r="N1032">
            <v>52</v>
          </cell>
          <cell r="O1032" t="e">
            <v>#N/A</v>
          </cell>
          <cell r="P1032" t="str">
            <v/>
          </cell>
          <cell r="Q1032" t="str">
            <v/>
          </cell>
          <cell r="R1032" t="e">
            <v>#N/A</v>
          </cell>
        </row>
        <row r="1033">
          <cell r="A1033" t="str">
            <v/>
          </cell>
          <cell r="B1033" t="str">
            <v/>
          </cell>
          <cell r="C1033" t="str">
            <v>Future</v>
          </cell>
          <cell r="D1033" t="e">
            <v>#N/A</v>
          </cell>
          <cell r="E1033">
            <v>-48.795952380952954</v>
          </cell>
          <cell r="F1033">
            <v>73.465952380950696</v>
          </cell>
          <cell r="G1033">
            <v>26.442142857142088</v>
          </cell>
          <cell r="H1033">
            <v>26.442142857142088</v>
          </cell>
          <cell r="I1033" t="e">
            <v>#N/A</v>
          </cell>
          <cell r="J1033" t="e">
            <v>#N/A</v>
          </cell>
          <cell r="K1033">
            <v>65</v>
          </cell>
          <cell r="L1033">
            <v>40</v>
          </cell>
          <cell r="M1033" t="e">
            <v>#N/A</v>
          </cell>
          <cell r="N1033">
            <v>52</v>
          </cell>
          <cell r="O1033" t="e">
            <v>#N/A</v>
          </cell>
          <cell r="P1033" t="str">
            <v/>
          </cell>
          <cell r="Q1033" t="str">
            <v/>
          </cell>
          <cell r="R1033" t="e">
            <v>#N/A</v>
          </cell>
        </row>
        <row r="1034">
          <cell r="A1034" t="str">
            <v/>
          </cell>
          <cell r="B1034" t="str">
            <v/>
          </cell>
          <cell r="C1034" t="str">
            <v>Future</v>
          </cell>
          <cell r="D1034" t="e">
            <v>#N/A</v>
          </cell>
          <cell r="E1034">
            <v>-49.015753968254543</v>
          </cell>
          <cell r="F1034">
            <v>73.504087301585614</v>
          </cell>
          <cell r="G1034">
            <v>26.38107142857066</v>
          </cell>
          <cell r="H1034">
            <v>26.38107142857066</v>
          </cell>
          <cell r="I1034" t="e">
            <v>#N/A</v>
          </cell>
          <cell r="J1034" t="e">
            <v>#N/A</v>
          </cell>
          <cell r="K1034">
            <v>65</v>
          </cell>
          <cell r="L1034">
            <v>40</v>
          </cell>
          <cell r="M1034" t="e">
            <v>#N/A</v>
          </cell>
          <cell r="N1034">
            <v>52</v>
          </cell>
          <cell r="O1034" t="e">
            <v>#N/A</v>
          </cell>
          <cell r="P1034" t="str">
            <v/>
          </cell>
          <cell r="Q1034" t="str">
            <v/>
          </cell>
          <cell r="R1034" t="e">
            <v>#N/A</v>
          </cell>
        </row>
        <row r="1035">
          <cell r="A1035" t="str">
            <v/>
          </cell>
          <cell r="B1035" t="str">
            <v/>
          </cell>
          <cell r="C1035" t="str">
            <v>Future</v>
          </cell>
          <cell r="D1035" t="e">
            <v>#N/A</v>
          </cell>
          <cell r="E1035">
            <v>-49.235555555556132</v>
          </cell>
          <cell r="F1035">
            <v>73.542222222220531</v>
          </cell>
          <cell r="G1035">
            <v>26.319999999999233</v>
          </cell>
          <cell r="H1035">
            <v>26.319999999999233</v>
          </cell>
          <cell r="I1035" t="e">
            <v>#N/A</v>
          </cell>
          <cell r="J1035" t="e">
            <v>#N/A</v>
          </cell>
          <cell r="K1035">
            <v>65</v>
          </cell>
          <cell r="L1035">
            <v>40</v>
          </cell>
          <cell r="M1035" t="e">
            <v>#N/A</v>
          </cell>
          <cell r="N1035">
            <v>52</v>
          </cell>
          <cell r="O1035" t="e">
            <v>#N/A</v>
          </cell>
          <cell r="P1035" t="str">
            <v/>
          </cell>
          <cell r="Q1035" t="str">
            <v/>
          </cell>
          <cell r="R1035" t="e">
            <v>#N/A</v>
          </cell>
        </row>
        <row r="1036">
          <cell r="A1036" t="str">
            <v/>
          </cell>
          <cell r="B1036" t="str">
            <v/>
          </cell>
          <cell r="C1036" t="str">
            <v>Future</v>
          </cell>
          <cell r="D1036" t="e">
            <v>#N/A</v>
          </cell>
          <cell r="E1036">
            <v>-49.455357142857721</v>
          </cell>
          <cell r="F1036">
            <v>73.580357142855448</v>
          </cell>
          <cell r="G1036">
            <v>26.258928571427806</v>
          </cell>
          <cell r="H1036">
            <v>26.258928571427806</v>
          </cell>
          <cell r="I1036" t="e">
            <v>#N/A</v>
          </cell>
          <cell r="J1036" t="e">
            <v>#N/A</v>
          </cell>
          <cell r="K1036">
            <v>65</v>
          </cell>
          <cell r="L1036">
            <v>40</v>
          </cell>
          <cell r="M1036" t="e">
            <v>#N/A</v>
          </cell>
          <cell r="N1036">
            <v>52</v>
          </cell>
          <cell r="O1036" t="e">
            <v>#N/A</v>
          </cell>
          <cell r="P1036" t="str">
            <v/>
          </cell>
          <cell r="Q1036" t="str">
            <v/>
          </cell>
          <cell r="R1036" t="e">
            <v>#N/A</v>
          </cell>
        </row>
        <row r="1037">
          <cell r="A1037" t="str">
            <v/>
          </cell>
          <cell r="B1037" t="str">
            <v/>
          </cell>
          <cell r="C1037" t="str">
            <v>Future</v>
          </cell>
          <cell r="D1037" t="e">
            <v>#N/A</v>
          </cell>
          <cell r="E1037">
            <v>-49.67515873015931</v>
          </cell>
          <cell r="F1037">
            <v>73.618492063490365</v>
          </cell>
          <cell r="G1037">
            <v>26.197857142856378</v>
          </cell>
          <cell r="H1037">
            <v>26.197857142856378</v>
          </cell>
          <cell r="I1037" t="e">
            <v>#N/A</v>
          </cell>
          <cell r="J1037" t="e">
            <v>#N/A</v>
          </cell>
          <cell r="K1037">
            <v>65</v>
          </cell>
          <cell r="L1037">
            <v>40</v>
          </cell>
          <cell r="M1037" t="e">
            <v>#N/A</v>
          </cell>
          <cell r="N1037">
            <v>52</v>
          </cell>
          <cell r="O1037" t="e">
            <v>#N/A</v>
          </cell>
          <cell r="P1037" t="str">
            <v/>
          </cell>
          <cell r="Q1037" t="str">
            <v/>
          </cell>
          <cell r="R1037" t="e">
            <v>#N/A</v>
          </cell>
        </row>
        <row r="1038">
          <cell r="A1038" t="str">
            <v/>
          </cell>
          <cell r="B1038" t="str">
            <v/>
          </cell>
          <cell r="C1038" t="str">
            <v>Future</v>
          </cell>
          <cell r="D1038" t="e">
            <v>#N/A</v>
          </cell>
          <cell r="E1038">
            <v>-49.8949603174609</v>
          </cell>
          <cell r="F1038">
            <v>73.656626984125282</v>
          </cell>
          <cell r="G1038">
            <v>26.136785714284951</v>
          </cell>
          <cell r="H1038">
            <v>26.136785714284951</v>
          </cell>
          <cell r="I1038" t="e">
            <v>#N/A</v>
          </cell>
          <cell r="J1038" t="e">
            <v>#N/A</v>
          </cell>
          <cell r="K1038">
            <v>65</v>
          </cell>
          <cell r="L1038">
            <v>40</v>
          </cell>
          <cell r="M1038" t="e">
            <v>#N/A</v>
          </cell>
          <cell r="N1038">
            <v>52</v>
          </cell>
          <cell r="O1038" t="e">
            <v>#N/A</v>
          </cell>
          <cell r="P1038" t="str">
            <v/>
          </cell>
          <cell r="Q1038" t="str">
            <v/>
          </cell>
          <cell r="R1038" t="e">
            <v>#N/A</v>
          </cell>
        </row>
        <row r="1039">
          <cell r="A1039" t="str">
            <v/>
          </cell>
          <cell r="B1039" t="str">
            <v/>
          </cell>
          <cell r="C1039" t="str">
            <v>Future</v>
          </cell>
          <cell r="D1039" t="e">
            <v>#N/A</v>
          </cell>
          <cell r="E1039">
            <v>-50.114761904762489</v>
          </cell>
          <cell r="F1039">
            <v>73.694761904760199</v>
          </cell>
          <cell r="G1039">
            <v>26.075714285713524</v>
          </cell>
          <cell r="H1039">
            <v>26.075714285713524</v>
          </cell>
          <cell r="I1039" t="e">
            <v>#N/A</v>
          </cell>
          <cell r="J1039" t="e">
            <v>#N/A</v>
          </cell>
          <cell r="K1039">
            <v>65</v>
          </cell>
          <cell r="L1039">
            <v>40</v>
          </cell>
          <cell r="M1039" t="e">
            <v>#N/A</v>
          </cell>
          <cell r="N1039">
            <v>52</v>
          </cell>
          <cell r="O1039" t="e">
            <v>#N/A</v>
          </cell>
          <cell r="P1039" t="str">
            <v/>
          </cell>
          <cell r="Q1039" t="str">
            <v/>
          </cell>
          <cell r="R1039" t="e">
            <v>#N/A</v>
          </cell>
        </row>
        <row r="1040">
          <cell r="A1040" t="str">
            <v/>
          </cell>
          <cell r="B1040" t="str">
            <v/>
          </cell>
          <cell r="C1040" t="str">
            <v>Future</v>
          </cell>
          <cell r="D1040" t="e">
            <v>#N/A</v>
          </cell>
          <cell r="E1040">
            <v>-50.334563492064078</v>
          </cell>
          <cell r="F1040">
            <v>73.732896825395116</v>
          </cell>
          <cell r="G1040">
            <v>26.014642857142096</v>
          </cell>
          <cell r="H1040">
            <v>26.014642857142096</v>
          </cell>
          <cell r="I1040" t="e">
            <v>#N/A</v>
          </cell>
          <cell r="J1040" t="e">
            <v>#N/A</v>
          </cell>
          <cell r="K1040">
            <v>65</v>
          </cell>
          <cell r="L1040">
            <v>40</v>
          </cell>
          <cell r="M1040" t="e">
            <v>#N/A</v>
          </cell>
          <cell r="N1040">
            <v>52</v>
          </cell>
          <cell r="O1040" t="e">
            <v>#N/A</v>
          </cell>
          <cell r="P1040" t="str">
            <v/>
          </cell>
          <cell r="Q1040" t="str">
            <v/>
          </cell>
          <cell r="R1040" t="e">
            <v>#N/A</v>
          </cell>
        </row>
        <row r="1041">
          <cell r="A1041" t="str">
            <v/>
          </cell>
          <cell r="B1041" t="str">
            <v/>
          </cell>
          <cell r="C1041" t="str">
            <v>Future</v>
          </cell>
          <cell r="D1041" t="e">
            <v>#N/A</v>
          </cell>
          <cell r="E1041">
            <v>-50.554365079365667</v>
          </cell>
          <cell r="F1041">
            <v>73.771031746030033</v>
          </cell>
          <cell r="G1041">
            <v>25.953571428570669</v>
          </cell>
          <cell r="H1041">
            <v>25.953571428570669</v>
          </cell>
          <cell r="I1041" t="e">
            <v>#N/A</v>
          </cell>
          <cell r="J1041" t="e">
            <v>#N/A</v>
          </cell>
          <cell r="K1041">
            <v>65</v>
          </cell>
          <cell r="L1041">
            <v>40</v>
          </cell>
          <cell r="M1041" t="e">
            <v>#N/A</v>
          </cell>
          <cell r="N1041">
            <v>52</v>
          </cell>
          <cell r="O1041" t="e">
            <v>#N/A</v>
          </cell>
          <cell r="P1041" t="str">
            <v/>
          </cell>
          <cell r="Q1041" t="str">
            <v/>
          </cell>
          <cell r="R1041" t="e">
            <v>#N/A</v>
          </cell>
        </row>
        <row r="1042">
          <cell r="A1042" t="str">
            <v/>
          </cell>
          <cell r="B1042" t="str">
            <v/>
          </cell>
          <cell r="C1042" t="str">
            <v>Future</v>
          </cell>
          <cell r="D1042" t="e">
            <v>#N/A</v>
          </cell>
          <cell r="E1042">
            <v>-50.774166666667256</v>
          </cell>
          <cell r="F1042">
            <v>73.80916666666495</v>
          </cell>
          <cell r="G1042">
            <v>25.892499999999242</v>
          </cell>
          <cell r="H1042">
            <v>25.892499999999242</v>
          </cell>
          <cell r="I1042" t="e">
            <v>#N/A</v>
          </cell>
          <cell r="J1042" t="e">
            <v>#N/A</v>
          </cell>
          <cell r="K1042">
            <v>65</v>
          </cell>
          <cell r="L1042">
            <v>40</v>
          </cell>
          <cell r="M1042" t="e">
            <v>#N/A</v>
          </cell>
          <cell r="N1042">
            <v>52</v>
          </cell>
          <cell r="O1042" t="e">
            <v>#N/A</v>
          </cell>
          <cell r="P1042" t="str">
            <v/>
          </cell>
          <cell r="Q1042" t="str">
            <v/>
          </cell>
          <cell r="R1042" t="e">
            <v>#N/A</v>
          </cell>
        </row>
        <row r="1043">
          <cell r="A1043" t="str">
            <v/>
          </cell>
          <cell r="B1043" t="str">
            <v/>
          </cell>
          <cell r="C1043" t="str">
            <v>Future</v>
          </cell>
          <cell r="D1043" t="e">
            <v>#N/A</v>
          </cell>
          <cell r="E1043">
            <v>-50.993968253968845</v>
          </cell>
          <cell r="F1043">
            <v>73.847301587299867</v>
          </cell>
          <cell r="G1043">
            <v>25.831428571427814</v>
          </cell>
          <cell r="H1043">
            <v>25.831428571427814</v>
          </cell>
          <cell r="I1043" t="e">
            <v>#N/A</v>
          </cell>
          <cell r="J1043" t="e">
            <v>#N/A</v>
          </cell>
          <cell r="K1043">
            <v>65</v>
          </cell>
          <cell r="L1043">
            <v>40</v>
          </cell>
          <cell r="M1043" t="e">
            <v>#N/A</v>
          </cell>
          <cell r="N1043">
            <v>52</v>
          </cell>
          <cell r="O1043" t="e">
            <v>#N/A</v>
          </cell>
          <cell r="P1043" t="str">
            <v/>
          </cell>
          <cell r="Q1043" t="str">
            <v/>
          </cell>
          <cell r="R1043" t="e">
            <v>#N/A</v>
          </cell>
        </row>
        <row r="1044">
          <cell r="A1044" t="str">
            <v/>
          </cell>
          <cell r="B1044" t="str">
            <v/>
          </cell>
          <cell r="C1044" t="str">
            <v>Future</v>
          </cell>
          <cell r="D1044" t="e">
            <v>#N/A</v>
          </cell>
          <cell r="E1044">
            <v>-51.213769841270434</v>
          </cell>
          <cell r="F1044">
            <v>73.885436507934784</v>
          </cell>
          <cell r="G1044">
            <v>25.770357142856387</v>
          </cell>
          <cell r="H1044">
            <v>25.770357142856387</v>
          </cell>
          <cell r="I1044" t="e">
            <v>#N/A</v>
          </cell>
          <cell r="J1044" t="e">
            <v>#N/A</v>
          </cell>
          <cell r="K1044">
            <v>65</v>
          </cell>
          <cell r="L1044">
            <v>40</v>
          </cell>
          <cell r="M1044" t="e">
            <v>#N/A</v>
          </cell>
          <cell r="N1044">
            <v>52</v>
          </cell>
          <cell r="O1044" t="e">
            <v>#N/A</v>
          </cell>
          <cell r="P1044" t="str">
            <v/>
          </cell>
          <cell r="Q1044" t="str">
            <v/>
          </cell>
          <cell r="R1044" t="e">
            <v>#N/A</v>
          </cell>
        </row>
        <row r="1045">
          <cell r="A1045" t="str">
            <v/>
          </cell>
          <cell r="B1045" t="str">
            <v/>
          </cell>
          <cell r="C1045" t="str">
            <v>Future</v>
          </cell>
          <cell r="D1045" t="e">
            <v>#N/A</v>
          </cell>
          <cell r="E1045">
            <v>-51.433571428572023</v>
          </cell>
          <cell r="F1045">
            <v>73.923571428569701</v>
          </cell>
          <cell r="G1045">
            <v>25.70928571428496</v>
          </cell>
          <cell r="H1045">
            <v>25.70928571428496</v>
          </cell>
          <cell r="I1045" t="e">
            <v>#N/A</v>
          </cell>
          <cell r="J1045" t="e">
            <v>#N/A</v>
          </cell>
          <cell r="K1045">
            <v>65</v>
          </cell>
          <cell r="L1045">
            <v>40</v>
          </cell>
          <cell r="M1045" t="e">
            <v>#N/A</v>
          </cell>
          <cell r="N1045">
            <v>52</v>
          </cell>
          <cell r="O1045" t="e">
            <v>#N/A</v>
          </cell>
          <cell r="P1045" t="str">
            <v/>
          </cell>
          <cell r="Q1045" t="str">
            <v/>
          </cell>
          <cell r="R1045" t="e">
            <v>#N/A</v>
          </cell>
        </row>
        <row r="1046">
          <cell r="A1046" t="str">
            <v/>
          </cell>
          <cell r="B1046" t="str">
            <v/>
          </cell>
          <cell r="C1046" t="str">
            <v>Future</v>
          </cell>
          <cell r="D1046" t="e">
            <v>#N/A</v>
          </cell>
          <cell r="E1046">
            <v>-51.653373015873612</v>
          </cell>
          <cell r="F1046">
            <v>73.961706349204619</v>
          </cell>
          <cell r="G1046">
            <v>25.648214285713532</v>
          </cell>
          <cell r="H1046">
            <v>25.648214285713532</v>
          </cell>
          <cell r="I1046" t="e">
            <v>#N/A</v>
          </cell>
          <cell r="J1046" t="e">
            <v>#N/A</v>
          </cell>
          <cell r="K1046">
            <v>65</v>
          </cell>
          <cell r="L1046">
            <v>40</v>
          </cell>
          <cell r="M1046" t="e">
            <v>#N/A</v>
          </cell>
          <cell r="N1046">
            <v>52</v>
          </cell>
          <cell r="O1046" t="e">
            <v>#N/A</v>
          </cell>
          <cell r="P1046" t="str">
            <v/>
          </cell>
          <cell r="Q1046" t="str">
            <v/>
          </cell>
          <cell r="R1046" t="e">
            <v>#N/A</v>
          </cell>
        </row>
        <row r="1047">
          <cell r="A1047" t="str">
            <v/>
          </cell>
          <cell r="B1047" t="str">
            <v/>
          </cell>
          <cell r="C1047" t="str">
            <v>Future</v>
          </cell>
          <cell r="D1047" t="e">
            <v>#N/A</v>
          </cell>
          <cell r="E1047">
            <v>-51.873174603175201</v>
          </cell>
          <cell r="F1047">
            <v>73.999841269839536</v>
          </cell>
          <cell r="G1047">
            <v>25.587142857142105</v>
          </cell>
          <cell r="H1047">
            <v>25.587142857142105</v>
          </cell>
          <cell r="I1047" t="e">
            <v>#N/A</v>
          </cell>
          <cell r="J1047" t="e">
            <v>#N/A</v>
          </cell>
          <cell r="K1047">
            <v>65</v>
          </cell>
          <cell r="L1047">
            <v>40</v>
          </cell>
          <cell r="M1047" t="e">
            <v>#N/A</v>
          </cell>
          <cell r="N1047">
            <v>52</v>
          </cell>
          <cell r="O1047" t="e">
            <v>#N/A</v>
          </cell>
          <cell r="P1047" t="str">
            <v/>
          </cell>
          <cell r="Q1047" t="str">
            <v/>
          </cell>
          <cell r="R1047" t="e">
            <v>#N/A</v>
          </cell>
        </row>
        <row r="1048">
          <cell r="A1048" t="str">
            <v/>
          </cell>
          <cell r="B1048" t="str">
            <v/>
          </cell>
          <cell r="C1048" t="str">
            <v>Future</v>
          </cell>
          <cell r="D1048" t="e">
            <v>#N/A</v>
          </cell>
          <cell r="E1048">
            <v>-52.09297619047679</v>
          </cell>
          <cell r="F1048">
            <v>74.037976190474453</v>
          </cell>
          <cell r="G1048">
            <v>25.526071428570678</v>
          </cell>
          <cell r="H1048">
            <v>25.526071428570678</v>
          </cell>
          <cell r="I1048" t="e">
            <v>#N/A</v>
          </cell>
          <cell r="J1048" t="e">
            <v>#N/A</v>
          </cell>
          <cell r="K1048">
            <v>65</v>
          </cell>
          <cell r="L1048">
            <v>40</v>
          </cell>
          <cell r="M1048" t="e">
            <v>#N/A</v>
          </cell>
          <cell r="N1048">
            <v>52</v>
          </cell>
          <cell r="O1048" t="e">
            <v>#N/A</v>
          </cell>
          <cell r="P1048" t="str">
            <v/>
          </cell>
          <cell r="Q1048" t="str">
            <v/>
          </cell>
          <cell r="R1048" t="e">
            <v>#N/A</v>
          </cell>
        </row>
        <row r="1049">
          <cell r="A1049" t="str">
            <v/>
          </cell>
          <cell r="B1049" t="str">
            <v/>
          </cell>
          <cell r="C1049" t="str">
            <v>Future</v>
          </cell>
          <cell r="D1049" t="e">
            <v>#N/A</v>
          </cell>
          <cell r="E1049">
            <v>-52.312777777778379</v>
          </cell>
          <cell r="F1049">
            <v>74.07611111110937</v>
          </cell>
          <cell r="G1049">
            <v>25.46499999999925</v>
          </cell>
          <cell r="H1049">
            <v>25.46499999999925</v>
          </cell>
          <cell r="I1049" t="e">
            <v>#N/A</v>
          </cell>
          <cell r="J1049" t="e">
            <v>#N/A</v>
          </cell>
          <cell r="K1049">
            <v>65</v>
          </cell>
          <cell r="L1049">
            <v>40</v>
          </cell>
          <cell r="M1049" t="e">
            <v>#N/A</v>
          </cell>
          <cell r="N1049">
            <v>52</v>
          </cell>
          <cell r="O1049" t="e">
            <v>#N/A</v>
          </cell>
          <cell r="P1049" t="str">
            <v/>
          </cell>
          <cell r="Q1049" t="str">
            <v/>
          </cell>
          <cell r="R1049" t="e">
            <v>#N/A</v>
          </cell>
        </row>
        <row r="1050">
          <cell r="A1050" t="str">
            <v/>
          </cell>
          <cell r="B1050" t="str">
            <v/>
          </cell>
          <cell r="C1050" t="str">
            <v>Future</v>
          </cell>
          <cell r="D1050" t="e">
            <v>#N/A</v>
          </cell>
          <cell r="E1050">
            <v>-52.532579365079968</v>
          </cell>
          <cell r="F1050">
            <v>74.114246031744287</v>
          </cell>
          <cell r="G1050">
            <v>25.403928571427823</v>
          </cell>
          <cell r="H1050">
            <v>25.403928571427823</v>
          </cell>
          <cell r="I1050" t="e">
            <v>#N/A</v>
          </cell>
          <cell r="J1050" t="e">
            <v>#N/A</v>
          </cell>
          <cell r="K1050">
            <v>65</v>
          </cell>
          <cell r="L1050">
            <v>40</v>
          </cell>
          <cell r="M1050" t="e">
            <v>#N/A</v>
          </cell>
          <cell r="N1050">
            <v>52</v>
          </cell>
          <cell r="O1050" t="e">
            <v>#N/A</v>
          </cell>
          <cell r="P1050" t="str">
            <v/>
          </cell>
          <cell r="Q1050" t="str">
            <v/>
          </cell>
          <cell r="R1050" t="e">
            <v>#N/A</v>
          </cell>
        </row>
        <row r="1051">
          <cell r="A1051" t="str">
            <v/>
          </cell>
          <cell r="B1051" t="str">
            <v/>
          </cell>
          <cell r="C1051" t="str">
            <v>Future</v>
          </cell>
          <cell r="D1051" t="e">
            <v>#N/A</v>
          </cell>
          <cell r="E1051">
            <v>-52.752380952381557</v>
          </cell>
          <cell r="F1051">
            <v>74.152380952379204</v>
          </cell>
          <cell r="G1051">
            <v>25.342857142856396</v>
          </cell>
          <cell r="H1051">
            <v>25.342857142856396</v>
          </cell>
          <cell r="I1051" t="e">
            <v>#N/A</v>
          </cell>
          <cell r="J1051" t="e">
            <v>#N/A</v>
          </cell>
          <cell r="K1051">
            <v>65</v>
          </cell>
          <cell r="L1051">
            <v>40</v>
          </cell>
          <cell r="M1051" t="e">
            <v>#N/A</v>
          </cell>
          <cell r="N1051">
            <v>52</v>
          </cell>
          <cell r="O1051" t="e">
            <v>#N/A</v>
          </cell>
          <cell r="P1051" t="str">
            <v/>
          </cell>
          <cell r="Q1051" t="str">
            <v/>
          </cell>
          <cell r="R1051" t="e">
            <v>#N/A</v>
          </cell>
        </row>
        <row r="1052">
          <cell r="A1052" t="str">
            <v/>
          </cell>
          <cell r="B1052" t="str">
            <v/>
          </cell>
          <cell r="C1052" t="str">
            <v>Future</v>
          </cell>
          <cell r="D1052" t="e">
            <v>#N/A</v>
          </cell>
          <cell r="E1052">
            <v>-52.972182539683146</v>
          </cell>
          <cell r="F1052">
            <v>74.190515873014121</v>
          </cell>
          <cell r="G1052">
            <v>25.281785714284968</v>
          </cell>
          <cell r="H1052">
            <v>25.281785714284968</v>
          </cell>
          <cell r="I1052" t="e">
            <v>#N/A</v>
          </cell>
          <cell r="J1052" t="e">
            <v>#N/A</v>
          </cell>
          <cell r="K1052">
            <v>65</v>
          </cell>
          <cell r="L1052">
            <v>40</v>
          </cell>
          <cell r="M1052" t="e">
            <v>#N/A</v>
          </cell>
          <cell r="N1052">
            <v>52</v>
          </cell>
          <cell r="O1052" t="e">
            <v>#N/A</v>
          </cell>
          <cell r="P1052" t="str">
            <v/>
          </cell>
          <cell r="Q1052" t="str">
            <v/>
          </cell>
          <cell r="R1052" t="e">
            <v>#N/A</v>
          </cell>
        </row>
        <row r="1053">
          <cell r="A1053" t="str">
            <v/>
          </cell>
          <cell r="B1053" t="str">
            <v/>
          </cell>
          <cell r="C1053" t="str">
            <v>Future</v>
          </cell>
          <cell r="D1053" t="e">
            <v>#N/A</v>
          </cell>
          <cell r="E1053">
            <v>-53.191984126984735</v>
          </cell>
          <cell r="F1053">
            <v>74.228650793649038</v>
          </cell>
          <cell r="G1053">
            <v>25.220714285713541</v>
          </cell>
          <cell r="H1053">
            <v>25.220714285713541</v>
          </cell>
          <cell r="I1053" t="e">
            <v>#N/A</v>
          </cell>
          <cell r="J1053" t="e">
            <v>#N/A</v>
          </cell>
          <cell r="K1053">
            <v>65</v>
          </cell>
          <cell r="L1053">
            <v>40</v>
          </cell>
          <cell r="M1053" t="e">
            <v>#N/A</v>
          </cell>
          <cell r="N1053">
            <v>52</v>
          </cell>
          <cell r="O1053" t="e">
            <v>#N/A</v>
          </cell>
          <cell r="P1053" t="str">
            <v/>
          </cell>
          <cell r="Q1053" t="str">
            <v/>
          </cell>
          <cell r="R1053" t="e">
            <v>#N/A</v>
          </cell>
        </row>
        <row r="1054">
          <cell r="A1054" t="str">
            <v/>
          </cell>
          <cell r="B1054" t="str">
            <v/>
          </cell>
          <cell r="C1054" t="str">
            <v>Future</v>
          </cell>
          <cell r="D1054" t="e">
            <v>#N/A</v>
          </cell>
          <cell r="E1054">
            <v>-53.411785714286324</v>
          </cell>
          <cell r="F1054">
            <v>74.266785714283955</v>
          </cell>
          <cell r="G1054">
            <v>25.159642857142114</v>
          </cell>
          <cell r="H1054">
            <v>25.159642857142114</v>
          </cell>
          <cell r="I1054" t="e">
            <v>#N/A</v>
          </cell>
          <cell r="J1054" t="e">
            <v>#N/A</v>
          </cell>
          <cell r="K1054">
            <v>65</v>
          </cell>
          <cell r="L1054">
            <v>40</v>
          </cell>
          <cell r="M1054" t="e">
            <v>#N/A</v>
          </cell>
          <cell r="N1054">
            <v>52</v>
          </cell>
          <cell r="O1054" t="e">
            <v>#N/A</v>
          </cell>
          <cell r="P1054" t="str">
            <v/>
          </cell>
          <cell r="Q1054" t="str">
            <v/>
          </cell>
          <cell r="R1054" t="e">
            <v>#N/A</v>
          </cell>
        </row>
        <row r="1055">
          <cell r="A1055" t="str">
            <v/>
          </cell>
          <cell r="B1055" t="str">
            <v/>
          </cell>
          <cell r="C1055" t="str">
            <v>Future</v>
          </cell>
          <cell r="D1055" t="e">
            <v>#N/A</v>
          </cell>
          <cell r="E1055">
            <v>-53.631587301587913</v>
          </cell>
          <cell r="F1055">
            <v>74.304920634918872</v>
          </cell>
          <cell r="G1055">
            <v>25.098571428570686</v>
          </cell>
          <cell r="H1055">
            <v>25.098571428570686</v>
          </cell>
          <cell r="I1055" t="e">
            <v>#N/A</v>
          </cell>
          <cell r="J1055" t="e">
            <v>#N/A</v>
          </cell>
          <cell r="K1055">
            <v>65</v>
          </cell>
          <cell r="L1055">
            <v>40</v>
          </cell>
          <cell r="M1055" t="e">
            <v>#N/A</v>
          </cell>
          <cell r="N1055">
            <v>52</v>
          </cell>
          <cell r="O1055" t="e">
            <v>#N/A</v>
          </cell>
          <cell r="P1055" t="str">
            <v/>
          </cell>
          <cell r="Q1055" t="str">
            <v/>
          </cell>
          <cell r="R1055" t="e">
            <v>#N/A</v>
          </cell>
        </row>
        <row r="1056">
          <cell r="A1056" t="str">
            <v/>
          </cell>
          <cell r="B1056" t="str">
            <v/>
          </cell>
          <cell r="C1056" t="str">
            <v>Future</v>
          </cell>
          <cell r="D1056" t="e">
            <v>#N/A</v>
          </cell>
          <cell r="E1056">
            <v>-53.851388888889502</v>
          </cell>
          <cell r="F1056">
            <v>74.343055555553789</v>
          </cell>
          <cell r="G1056">
            <v>25.037499999999259</v>
          </cell>
          <cell r="H1056">
            <v>25.037499999999259</v>
          </cell>
          <cell r="I1056" t="e">
            <v>#N/A</v>
          </cell>
          <cell r="J1056" t="e">
            <v>#N/A</v>
          </cell>
          <cell r="K1056">
            <v>65</v>
          </cell>
          <cell r="L1056">
            <v>40</v>
          </cell>
          <cell r="M1056" t="e">
            <v>#N/A</v>
          </cell>
          <cell r="N1056">
            <v>52</v>
          </cell>
          <cell r="O1056" t="e">
            <v>#N/A</v>
          </cell>
          <cell r="P1056" t="str">
            <v/>
          </cell>
          <cell r="Q1056" t="str">
            <v/>
          </cell>
          <cell r="R1056" t="e">
            <v>#N/A</v>
          </cell>
        </row>
        <row r="1057">
          <cell r="A1057" t="str">
            <v/>
          </cell>
          <cell r="B1057" t="str">
            <v/>
          </cell>
          <cell r="C1057" t="str">
            <v>Future</v>
          </cell>
          <cell r="D1057" t="e">
            <v>#N/A</v>
          </cell>
          <cell r="E1057">
            <v>-54.071190476191092</v>
          </cell>
          <cell r="F1057">
            <v>74.381190476188706</v>
          </cell>
          <cell r="G1057">
            <v>24.976428571427832</v>
          </cell>
          <cell r="H1057">
            <v>24.976428571427832</v>
          </cell>
          <cell r="I1057" t="e">
            <v>#N/A</v>
          </cell>
          <cell r="J1057" t="e">
            <v>#N/A</v>
          </cell>
          <cell r="K1057">
            <v>65</v>
          </cell>
          <cell r="L1057">
            <v>40</v>
          </cell>
          <cell r="M1057" t="e">
            <v>#N/A</v>
          </cell>
          <cell r="N1057">
            <v>52</v>
          </cell>
          <cell r="O1057" t="e">
            <v>#N/A</v>
          </cell>
          <cell r="P1057" t="str">
            <v/>
          </cell>
          <cell r="Q1057" t="str">
            <v/>
          </cell>
          <cell r="R1057" t="e">
            <v>#N/A</v>
          </cell>
        </row>
        <row r="1058">
          <cell r="A1058" t="str">
            <v/>
          </cell>
          <cell r="B1058" t="str">
            <v/>
          </cell>
          <cell r="C1058" t="str">
            <v>Future</v>
          </cell>
          <cell r="D1058" t="e">
            <v>#N/A</v>
          </cell>
          <cell r="E1058">
            <v>-54.290992063492681</v>
          </cell>
          <cell r="F1058">
            <v>74.419325396823623</v>
          </cell>
          <cell r="G1058">
            <v>24.915357142856404</v>
          </cell>
          <cell r="H1058">
            <v>24.915357142856404</v>
          </cell>
          <cell r="I1058" t="e">
            <v>#N/A</v>
          </cell>
          <cell r="J1058" t="e">
            <v>#N/A</v>
          </cell>
          <cell r="K1058">
            <v>65</v>
          </cell>
          <cell r="L1058">
            <v>40</v>
          </cell>
          <cell r="M1058" t="e">
            <v>#N/A</v>
          </cell>
          <cell r="N1058">
            <v>52</v>
          </cell>
          <cell r="O1058" t="e">
            <v>#N/A</v>
          </cell>
          <cell r="P1058" t="str">
            <v/>
          </cell>
          <cell r="Q1058" t="str">
            <v/>
          </cell>
          <cell r="R1058" t="e">
            <v>#N/A</v>
          </cell>
        </row>
        <row r="1059">
          <cell r="A1059" t="str">
            <v/>
          </cell>
          <cell r="B1059" t="str">
            <v/>
          </cell>
          <cell r="C1059" t="str">
            <v>Future</v>
          </cell>
          <cell r="D1059" t="e">
            <v>#N/A</v>
          </cell>
          <cell r="E1059">
            <v>-54.51079365079427</v>
          </cell>
          <cell r="F1059">
            <v>74.457460317458541</v>
          </cell>
          <cell r="G1059">
            <v>24.854285714284977</v>
          </cell>
          <cell r="H1059">
            <v>24.854285714284977</v>
          </cell>
          <cell r="I1059" t="e">
            <v>#N/A</v>
          </cell>
          <cell r="J1059" t="e">
            <v>#N/A</v>
          </cell>
          <cell r="K1059">
            <v>65</v>
          </cell>
          <cell r="L1059">
            <v>40</v>
          </cell>
          <cell r="M1059" t="e">
            <v>#N/A</v>
          </cell>
          <cell r="N1059">
            <v>52</v>
          </cell>
          <cell r="O1059" t="e">
            <v>#N/A</v>
          </cell>
          <cell r="P1059" t="str">
            <v/>
          </cell>
          <cell r="Q1059" t="str">
            <v/>
          </cell>
          <cell r="R1059" t="e">
            <v>#N/A</v>
          </cell>
        </row>
        <row r="1060">
          <cell r="A1060" t="str">
            <v/>
          </cell>
          <cell r="B1060" t="str">
            <v/>
          </cell>
          <cell r="C1060" t="str">
            <v>Future</v>
          </cell>
          <cell r="D1060" t="e">
            <v>#N/A</v>
          </cell>
          <cell r="E1060">
            <v>-54.730595238095859</v>
          </cell>
          <cell r="F1060">
            <v>74.495595238093458</v>
          </cell>
          <cell r="G1060">
            <v>24.79321428571355</v>
          </cell>
          <cell r="H1060">
            <v>24.79321428571355</v>
          </cell>
          <cell r="I1060" t="e">
            <v>#N/A</v>
          </cell>
          <cell r="J1060" t="e">
            <v>#N/A</v>
          </cell>
          <cell r="K1060">
            <v>65</v>
          </cell>
          <cell r="L1060">
            <v>40</v>
          </cell>
          <cell r="M1060" t="e">
            <v>#N/A</v>
          </cell>
          <cell r="N1060">
            <v>52</v>
          </cell>
          <cell r="O1060" t="e">
            <v>#N/A</v>
          </cell>
          <cell r="P1060" t="str">
            <v/>
          </cell>
          <cell r="Q1060" t="str">
            <v/>
          </cell>
          <cell r="R1060" t="e">
            <v>#N/A</v>
          </cell>
        </row>
        <row r="1061">
          <cell r="A1061" t="str">
            <v/>
          </cell>
          <cell r="B1061" t="str">
            <v/>
          </cell>
          <cell r="C1061" t="str">
            <v>Future</v>
          </cell>
          <cell r="D1061" t="e">
            <v>#N/A</v>
          </cell>
          <cell r="E1061">
            <v>-54.950396825397448</v>
          </cell>
          <cell r="F1061">
            <v>74.533730158728375</v>
          </cell>
          <cell r="G1061">
            <v>24.732142857142122</v>
          </cell>
          <cell r="H1061">
            <v>24.732142857142122</v>
          </cell>
          <cell r="I1061" t="e">
            <v>#N/A</v>
          </cell>
          <cell r="J1061" t="e">
            <v>#N/A</v>
          </cell>
          <cell r="K1061">
            <v>65</v>
          </cell>
          <cell r="L1061">
            <v>40</v>
          </cell>
          <cell r="M1061" t="e">
            <v>#N/A</v>
          </cell>
          <cell r="N1061">
            <v>52</v>
          </cell>
          <cell r="O1061" t="e">
            <v>#N/A</v>
          </cell>
          <cell r="P1061" t="str">
            <v/>
          </cell>
          <cell r="Q1061" t="str">
            <v/>
          </cell>
          <cell r="R1061" t="e">
            <v>#N/A</v>
          </cell>
        </row>
        <row r="1062">
          <cell r="A1062" t="str">
            <v/>
          </cell>
          <cell r="B1062" t="str">
            <v/>
          </cell>
          <cell r="C1062" t="str">
            <v>Future</v>
          </cell>
          <cell r="D1062" t="e">
            <v>#N/A</v>
          </cell>
          <cell r="E1062">
            <v>-55.170198412699037</v>
          </cell>
          <cell r="F1062">
            <v>74.571865079363292</v>
          </cell>
          <cell r="G1062">
            <v>24.671071428570695</v>
          </cell>
          <cell r="H1062">
            <v>24.671071428570695</v>
          </cell>
          <cell r="I1062" t="e">
            <v>#N/A</v>
          </cell>
          <cell r="J1062" t="e">
            <v>#N/A</v>
          </cell>
          <cell r="K1062">
            <v>65</v>
          </cell>
          <cell r="L1062">
            <v>40</v>
          </cell>
          <cell r="M1062" t="e">
            <v>#N/A</v>
          </cell>
          <cell r="N1062">
            <v>52</v>
          </cell>
          <cell r="O1062" t="e">
            <v>#N/A</v>
          </cell>
          <cell r="P1062" t="str">
            <v/>
          </cell>
          <cell r="Q1062" t="str">
            <v/>
          </cell>
          <cell r="R1062" t="e">
            <v>#N/A</v>
          </cell>
        </row>
        <row r="1063">
          <cell r="A1063" t="str">
            <v/>
          </cell>
          <cell r="B1063" t="str">
            <v/>
          </cell>
          <cell r="C1063" t="str">
            <v>Future</v>
          </cell>
          <cell r="D1063" t="e">
            <v>#N/A</v>
          </cell>
          <cell r="E1063">
            <v>-55.390000000000626</v>
          </cell>
          <cell r="F1063">
            <v>74.609999999998209</v>
          </cell>
          <cell r="G1063">
            <v>24.609999999999268</v>
          </cell>
          <cell r="H1063">
            <v>24.609999999999268</v>
          </cell>
          <cell r="I1063" t="e">
            <v>#N/A</v>
          </cell>
          <cell r="J1063" t="e">
            <v>#N/A</v>
          </cell>
          <cell r="K1063">
            <v>65</v>
          </cell>
          <cell r="L1063">
            <v>40</v>
          </cell>
          <cell r="M1063" t="e">
            <v>#N/A</v>
          </cell>
          <cell r="N1063">
            <v>52</v>
          </cell>
          <cell r="O1063" t="e">
            <v>#N/A</v>
          </cell>
          <cell r="P1063" t="str">
            <v/>
          </cell>
          <cell r="Q1063" t="str">
            <v/>
          </cell>
          <cell r="R1063" t="e">
            <v>#N/A</v>
          </cell>
        </row>
        <row r="1064">
          <cell r="A1064" t="str">
            <v/>
          </cell>
          <cell r="B1064" t="str">
            <v/>
          </cell>
          <cell r="C1064" t="str">
            <v>Future</v>
          </cell>
          <cell r="D1064" t="e">
            <v>#N/A</v>
          </cell>
          <cell r="E1064">
            <v>-55.609801587302215</v>
          </cell>
          <cell r="F1064">
            <v>74.648134920633126</v>
          </cell>
          <cell r="G1064">
            <v>24.54892857142784</v>
          </cell>
          <cell r="H1064">
            <v>24.54892857142784</v>
          </cell>
          <cell r="I1064" t="e">
            <v>#N/A</v>
          </cell>
          <cell r="J1064" t="e">
            <v>#N/A</v>
          </cell>
          <cell r="K1064">
            <v>65</v>
          </cell>
          <cell r="L1064">
            <v>40</v>
          </cell>
          <cell r="M1064" t="e">
            <v>#N/A</v>
          </cell>
          <cell r="N1064">
            <v>52</v>
          </cell>
          <cell r="O1064" t="e">
            <v>#N/A</v>
          </cell>
          <cell r="P1064" t="str">
            <v/>
          </cell>
          <cell r="Q1064" t="str">
            <v/>
          </cell>
          <cell r="R1064" t="e">
            <v>#N/A</v>
          </cell>
        </row>
        <row r="1065">
          <cell r="A1065" t="str">
            <v/>
          </cell>
          <cell r="B1065" t="str">
            <v/>
          </cell>
          <cell r="C1065" t="str">
            <v>Future</v>
          </cell>
          <cell r="D1065" t="e">
            <v>#N/A</v>
          </cell>
          <cell r="E1065">
            <v>-55.829603174603804</v>
          </cell>
          <cell r="F1065">
            <v>74.686269841268043</v>
          </cell>
          <cell r="G1065">
            <v>24.487857142856413</v>
          </cell>
          <cell r="H1065">
            <v>24.487857142856413</v>
          </cell>
          <cell r="I1065" t="e">
            <v>#N/A</v>
          </cell>
          <cell r="J1065" t="e">
            <v>#N/A</v>
          </cell>
          <cell r="K1065">
            <v>65</v>
          </cell>
          <cell r="L1065">
            <v>40</v>
          </cell>
          <cell r="M1065" t="e">
            <v>#N/A</v>
          </cell>
          <cell r="N1065">
            <v>52</v>
          </cell>
          <cell r="O1065" t="e">
            <v>#N/A</v>
          </cell>
          <cell r="P1065" t="str">
            <v/>
          </cell>
          <cell r="Q1065" t="str">
            <v/>
          </cell>
          <cell r="R1065" t="e">
            <v>#N/A</v>
          </cell>
        </row>
        <row r="1066">
          <cell r="A1066" t="str">
            <v/>
          </cell>
          <cell r="B1066" t="str">
            <v/>
          </cell>
          <cell r="C1066" t="str">
            <v>Future</v>
          </cell>
          <cell r="D1066" t="e">
            <v>#N/A</v>
          </cell>
          <cell r="E1066">
            <v>-56.049404761905393</v>
          </cell>
          <cell r="F1066">
            <v>74.72440476190296</v>
          </cell>
          <cell r="G1066">
            <v>24.426785714284986</v>
          </cell>
          <cell r="H1066">
            <v>24.426785714284986</v>
          </cell>
          <cell r="I1066" t="e">
            <v>#N/A</v>
          </cell>
          <cell r="J1066" t="e">
            <v>#N/A</v>
          </cell>
          <cell r="K1066">
            <v>65</v>
          </cell>
          <cell r="L1066">
            <v>40</v>
          </cell>
          <cell r="M1066" t="e">
            <v>#N/A</v>
          </cell>
          <cell r="N1066">
            <v>52</v>
          </cell>
          <cell r="O1066" t="e">
            <v>#N/A</v>
          </cell>
          <cell r="P1066" t="str">
            <v/>
          </cell>
          <cell r="Q1066" t="str">
            <v/>
          </cell>
          <cell r="R1066" t="e">
            <v>#N/A</v>
          </cell>
        </row>
        <row r="1067">
          <cell r="A1067" t="str">
            <v/>
          </cell>
          <cell r="B1067" t="str">
            <v/>
          </cell>
          <cell r="C1067" t="str">
            <v>Future</v>
          </cell>
          <cell r="D1067" t="e">
            <v>#N/A</v>
          </cell>
          <cell r="E1067">
            <v>-56.269206349206982</v>
          </cell>
          <cell r="F1067">
            <v>74.762539682537877</v>
          </cell>
          <cell r="G1067">
            <v>24.365714285713558</v>
          </cell>
          <cell r="H1067">
            <v>24.365714285713558</v>
          </cell>
          <cell r="I1067" t="e">
            <v>#N/A</v>
          </cell>
          <cell r="J1067" t="e">
            <v>#N/A</v>
          </cell>
          <cell r="K1067">
            <v>65</v>
          </cell>
          <cell r="L1067">
            <v>40</v>
          </cell>
          <cell r="M1067" t="e">
            <v>#N/A</v>
          </cell>
          <cell r="N1067">
            <v>52</v>
          </cell>
          <cell r="O1067" t="e">
            <v>#N/A</v>
          </cell>
          <cell r="P1067" t="str">
            <v/>
          </cell>
          <cell r="Q1067" t="str">
            <v/>
          </cell>
          <cell r="R1067" t="e">
            <v>#N/A</v>
          </cell>
        </row>
        <row r="1068">
          <cell r="A1068" t="str">
            <v/>
          </cell>
          <cell r="B1068" t="str">
            <v/>
          </cell>
          <cell r="C1068" t="str">
            <v>Future</v>
          </cell>
          <cell r="D1068" t="e">
            <v>#N/A</v>
          </cell>
          <cell r="E1068">
            <v>-56.489007936508571</v>
          </cell>
          <cell r="F1068">
            <v>74.800674603172794</v>
          </cell>
          <cell r="G1068">
            <v>24.304642857142131</v>
          </cell>
          <cell r="H1068">
            <v>24.304642857142131</v>
          </cell>
          <cell r="I1068" t="e">
            <v>#N/A</v>
          </cell>
          <cell r="J1068" t="e">
            <v>#N/A</v>
          </cell>
          <cell r="K1068">
            <v>65</v>
          </cell>
          <cell r="L1068">
            <v>40</v>
          </cell>
          <cell r="M1068" t="e">
            <v>#N/A</v>
          </cell>
          <cell r="N1068">
            <v>52</v>
          </cell>
          <cell r="O1068" t="e">
            <v>#N/A</v>
          </cell>
          <cell r="P1068" t="str">
            <v/>
          </cell>
          <cell r="Q1068" t="str">
            <v/>
          </cell>
          <cell r="R1068" t="e">
            <v>#N/A</v>
          </cell>
        </row>
        <row r="1069">
          <cell r="A1069" t="str">
            <v/>
          </cell>
          <cell r="B1069" t="str">
            <v/>
          </cell>
          <cell r="C1069" t="str">
            <v>Future</v>
          </cell>
          <cell r="D1069" t="e">
            <v>#N/A</v>
          </cell>
          <cell r="E1069">
            <v>-56.70880952381016</v>
          </cell>
          <cell r="F1069">
            <v>74.838809523807711</v>
          </cell>
          <cell r="G1069">
            <v>24.243571428570704</v>
          </cell>
          <cell r="H1069">
            <v>24.243571428570704</v>
          </cell>
          <cell r="I1069" t="e">
            <v>#N/A</v>
          </cell>
          <cell r="J1069" t="e">
            <v>#N/A</v>
          </cell>
          <cell r="K1069">
            <v>65</v>
          </cell>
          <cell r="L1069">
            <v>40</v>
          </cell>
          <cell r="M1069" t="e">
            <v>#N/A</v>
          </cell>
          <cell r="N1069">
            <v>52</v>
          </cell>
          <cell r="O1069" t="e">
            <v>#N/A</v>
          </cell>
          <cell r="P1069" t="str">
            <v/>
          </cell>
          <cell r="Q1069" t="str">
            <v/>
          </cell>
          <cell r="R1069" t="e">
            <v>#N/A</v>
          </cell>
        </row>
        <row r="1070">
          <cell r="A1070" t="str">
            <v/>
          </cell>
          <cell r="B1070" t="str">
            <v/>
          </cell>
          <cell r="C1070" t="str">
            <v>Future</v>
          </cell>
          <cell r="D1070" t="e">
            <v>#N/A</v>
          </cell>
          <cell r="E1070">
            <v>-56.928611111111749</v>
          </cell>
          <cell r="F1070">
            <v>74.876944444442628</v>
          </cell>
          <cell r="G1070">
            <v>24.182499999999276</v>
          </cell>
          <cell r="H1070">
            <v>24.182499999999276</v>
          </cell>
          <cell r="I1070" t="e">
            <v>#N/A</v>
          </cell>
          <cell r="J1070" t="e">
            <v>#N/A</v>
          </cell>
          <cell r="K1070">
            <v>65</v>
          </cell>
          <cell r="L1070">
            <v>40</v>
          </cell>
          <cell r="M1070" t="e">
            <v>#N/A</v>
          </cell>
          <cell r="N1070">
            <v>52</v>
          </cell>
          <cell r="O1070" t="e">
            <v>#N/A</v>
          </cell>
          <cell r="P1070" t="str">
            <v/>
          </cell>
          <cell r="Q1070" t="str">
            <v/>
          </cell>
          <cell r="R1070" t="e">
            <v>#N/A</v>
          </cell>
        </row>
        <row r="1071">
          <cell r="A1071" t="str">
            <v/>
          </cell>
          <cell r="B1071" t="str">
            <v/>
          </cell>
          <cell r="C1071" t="str">
            <v>Future</v>
          </cell>
          <cell r="D1071" t="e">
            <v>#N/A</v>
          </cell>
          <cell r="E1071">
            <v>-57.148412698413338</v>
          </cell>
          <cell r="F1071">
            <v>74.915079365077546</v>
          </cell>
          <cell r="G1071">
            <v>24.121428571427849</v>
          </cell>
          <cell r="H1071">
            <v>24.121428571427849</v>
          </cell>
          <cell r="I1071" t="e">
            <v>#N/A</v>
          </cell>
          <cell r="J1071" t="e">
            <v>#N/A</v>
          </cell>
          <cell r="K1071">
            <v>65</v>
          </cell>
          <cell r="L1071">
            <v>40</v>
          </cell>
          <cell r="M1071" t="e">
            <v>#N/A</v>
          </cell>
          <cell r="N1071">
            <v>52</v>
          </cell>
          <cell r="O1071" t="e">
            <v>#N/A</v>
          </cell>
          <cell r="P1071" t="str">
            <v/>
          </cell>
          <cell r="Q1071" t="str">
            <v/>
          </cell>
          <cell r="R1071" t="e">
            <v>#N/A</v>
          </cell>
        </row>
        <row r="1072">
          <cell r="A1072" t="str">
            <v/>
          </cell>
          <cell r="B1072" t="str">
            <v/>
          </cell>
          <cell r="C1072" t="str">
            <v>Future</v>
          </cell>
          <cell r="D1072" t="e">
            <v>#N/A</v>
          </cell>
          <cell r="E1072">
            <v>-57.368214285714927</v>
          </cell>
          <cell r="F1072">
            <v>74.953214285712463</v>
          </cell>
          <cell r="G1072">
            <v>24.060357142856422</v>
          </cell>
          <cell r="H1072">
            <v>24.060357142856422</v>
          </cell>
          <cell r="I1072" t="e">
            <v>#N/A</v>
          </cell>
          <cell r="J1072" t="e">
            <v>#N/A</v>
          </cell>
          <cell r="K1072">
            <v>65</v>
          </cell>
          <cell r="L1072">
            <v>40</v>
          </cell>
          <cell r="M1072" t="e">
            <v>#N/A</v>
          </cell>
          <cell r="N1072">
            <v>52</v>
          </cell>
          <cell r="O1072" t="e">
            <v>#N/A</v>
          </cell>
          <cell r="P1072" t="str">
            <v/>
          </cell>
          <cell r="Q1072" t="str">
            <v/>
          </cell>
          <cell r="R1072" t="e">
            <v>#N/A</v>
          </cell>
        </row>
        <row r="1073">
          <cell r="A1073" t="str">
            <v/>
          </cell>
          <cell r="B1073" t="str">
            <v/>
          </cell>
          <cell r="C1073" t="str">
            <v>Future</v>
          </cell>
          <cell r="D1073" t="e">
            <v>#N/A</v>
          </cell>
          <cell r="E1073">
            <v>-57.588015873016516</v>
          </cell>
          <cell r="F1073">
            <v>74.99134920634738</v>
          </cell>
          <cell r="G1073">
            <v>23.999285714284994</v>
          </cell>
          <cell r="H1073">
            <v>23.999285714284994</v>
          </cell>
          <cell r="I1073" t="e">
            <v>#N/A</v>
          </cell>
          <cell r="J1073" t="e">
            <v>#N/A</v>
          </cell>
          <cell r="K1073">
            <v>65</v>
          </cell>
          <cell r="L1073">
            <v>40</v>
          </cell>
          <cell r="M1073" t="e">
            <v>#N/A</v>
          </cell>
          <cell r="N1073">
            <v>52</v>
          </cell>
          <cell r="O1073" t="e">
            <v>#N/A</v>
          </cell>
          <cell r="P1073" t="str">
            <v/>
          </cell>
          <cell r="Q1073" t="str">
            <v/>
          </cell>
          <cell r="R1073" t="e">
            <v>#N/A</v>
          </cell>
        </row>
        <row r="1074">
          <cell r="A1074" t="str">
            <v/>
          </cell>
          <cell r="B1074" t="str">
            <v/>
          </cell>
          <cell r="C1074" t="str">
            <v>Future</v>
          </cell>
          <cell r="D1074" t="e">
            <v>#N/A</v>
          </cell>
          <cell r="E1074">
            <v>-57.807817460318105</v>
          </cell>
          <cell r="F1074">
            <v>75.029484126982297</v>
          </cell>
          <cell r="G1074">
            <v>23.938214285713567</v>
          </cell>
          <cell r="H1074">
            <v>23.938214285713567</v>
          </cell>
          <cell r="I1074" t="e">
            <v>#N/A</v>
          </cell>
          <cell r="J1074" t="e">
            <v>#N/A</v>
          </cell>
          <cell r="K1074">
            <v>65</v>
          </cell>
          <cell r="L1074">
            <v>40</v>
          </cell>
          <cell r="M1074" t="e">
            <v>#N/A</v>
          </cell>
          <cell r="N1074">
            <v>52</v>
          </cell>
          <cell r="O1074" t="e">
            <v>#N/A</v>
          </cell>
          <cell r="P1074" t="str">
            <v/>
          </cell>
          <cell r="Q1074" t="str">
            <v/>
          </cell>
          <cell r="R1074" t="e">
            <v>#N/A</v>
          </cell>
        </row>
        <row r="1075">
          <cell r="A1075" t="str">
            <v/>
          </cell>
          <cell r="B1075" t="str">
            <v/>
          </cell>
          <cell r="C1075" t="str">
            <v>Future</v>
          </cell>
          <cell r="D1075" t="e">
            <v>#N/A</v>
          </cell>
          <cell r="E1075">
            <v>-58.027619047619694</v>
          </cell>
          <cell r="F1075">
            <v>75.067619047617214</v>
          </cell>
          <cell r="G1075">
            <v>23.87714285714214</v>
          </cell>
          <cell r="H1075">
            <v>23.87714285714214</v>
          </cell>
          <cell r="I1075" t="e">
            <v>#N/A</v>
          </cell>
          <cell r="J1075" t="e">
            <v>#N/A</v>
          </cell>
          <cell r="K1075">
            <v>65</v>
          </cell>
          <cell r="L1075">
            <v>40</v>
          </cell>
          <cell r="M1075" t="e">
            <v>#N/A</v>
          </cell>
          <cell r="N1075">
            <v>52</v>
          </cell>
          <cell r="O1075" t="e">
            <v>#N/A</v>
          </cell>
          <cell r="P1075" t="str">
            <v/>
          </cell>
          <cell r="Q1075" t="str">
            <v/>
          </cell>
          <cell r="R1075" t="e">
            <v>#N/A</v>
          </cell>
        </row>
        <row r="1076">
          <cell r="A1076" t="str">
            <v/>
          </cell>
          <cell r="B1076" t="str">
            <v/>
          </cell>
          <cell r="C1076" t="str">
            <v>Future</v>
          </cell>
          <cell r="D1076" t="e">
            <v>#N/A</v>
          </cell>
          <cell r="E1076">
            <v>-58.247420634921284</v>
          </cell>
          <cell r="F1076">
            <v>75.105753968252131</v>
          </cell>
          <cell r="G1076">
            <v>23.816071428570712</v>
          </cell>
          <cell r="H1076">
            <v>23.816071428570712</v>
          </cell>
          <cell r="I1076" t="e">
            <v>#N/A</v>
          </cell>
          <cell r="J1076" t="e">
            <v>#N/A</v>
          </cell>
          <cell r="K1076">
            <v>65</v>
          </cell>
          <cell r="L1076">
            <v>40</v>
          </cell>
          <cell r="M1076" t="e">
            <v>#N/A</v>
          </cell>
          <cell r="N1076">
            <v>52</v>
          </cell>
          <cell r="O1076" t="e">
            <v>#N/A</v>
          </cell>
          <cell r="P1076" t="str">
            <v/>
          </cell>
          <cell r="Q1076" t="str">
            <v/>
          </cell>
          <cell r="R1076" t="e">
            <v>#N/A</v>
          </cell>
        </row>
        <row r="1077">
          <cell r="A1077" t="str">
            <v/>
          </cell>
          <cell r="B1077" t="str">
            <v/>
          </cell>
          <cell r="C1077" t="str">
            <v>Future</v>
          </cell>
          <cell r="D1077" t="e">
            <v>#N/A</v>
          </cell>
          <cell r="E1077">
            <v>-58.467222222222873</v>
          </cell>
          <cell r="F1077">
            <v>75.143888888887048</v>
          </cell>
          <cell r="G1077">
            <v>23.754999999999285</v>
          </cell>
          <cell r="H1077">
            <v>23.754999999999285</v>
          </cell>
          <cell r="I1077" t="e">
            <v>#N/A</v>
          </cell>
          <cell r="J1077" t="e">
            <v>#N/A</v>
          </cell>
          <cell r="K1077">
            <v>65</v>
          </cell>
          <cell r="L1077">
            <v>40</v>
          </cell>
          <cell r="M1077" t="e">
            <v>#N/A</v>
          </cell>
          <cell r="N1077">
            <v>52</v>
          </cell>
          <cell r="O1077" t="e">
            <v>#N/A</v>
          </cell>
          <cell r="P1077" t="str">
            <v/>
          </cell>
          <cell r="Q1077" t="str">
            <v/>
          </cell>
          <cell r="R1077" t="e">
            <v>#N/A</v>
          </cell>
        </row>
        <row r="1078">
          <cell r="A1078" t="str">
            <v/>
          </cell>
          <cell r="B1078" t="str">
            <v/>
          </cell>
          <cell r="C1078" t="str">
            <v>Future</v>
          </cell>
          <cell r="D1078" t="e">
            <v>#N/A</v>
          </cell>
          <cell r="E1078">
            <v>-58.687023809524462</v>
          </cell>
          <cell r="F1078">
            <v>75.182023809521965</v>
          </cell>
          <cell r="G1078">
            <v>23.693928571427858</v>
          </cell>
          <cell r="H1078">
            <v>23.693928571427858</v>
          </cell>
          <cell r="I1078" t="e">
            <v>#N/A</v>
          </cell>
          <cell r="J1078" t="e">
            <v>#N/A</v>
          </cell>
          <cell r="K1078">
            <v>65</v>
          </cell>
          <cell r="L1078">
            <v>40</v>
          </cell>
          <cell r="M1078" t="e">
            <v>#N/A</v>
          </cell>
          <cell r="N1078">
            <v>52</v>
          </cell>
          <cell r="O1078" t="e">
            <v>#N/A</v>
          </cell>
          <cell r="P1078" t="str">
            <v/>
          </cell>
          <cell r="Q1078" t="str">
            <v/>
          </cell>
          <cell r="R1078" t="e">
            <v>#N/A</v>
          </cell>
        </row>
        <row r="1079">
          <cell r="A1079" t="str">
            <v/>
          </cell>
          <cell r="B1079" t="str">
            <v/>
          </cell>
          <cell r="C1079" t="str">
            <v>Future</v>
          </cell>
          <cell r="D1079" t="e">
            <v>#N/A</v>
          </cell>
          <cell r="E1079">
            <v>-58.906825396826051</v>
          </cell>
          <cell r="F1079">
            <v>75.220158730156882</v>
          </cell>
          <cell r="G1079">
            <v>23.63285714285643</v>
          </cell>
          <cell r="H1079">
            <v>23.63285714285643</v>
          </cell>
          <cell r="I1079" t="e">
            <v>#N/A</v>
          </cell>
          <cell r="J1079" t="e">
            <v>#N/A</v>
          </cell>
          <cell r="K1079">
            <v>65</v>
          </cell>
          <cell r="L1079">
            <v>40</v>
          </cell>
          <cell r="M1079" t="e">
            <v>#N/A</v>
          </cell>
          <cell r="N1079">
            <v>52</v>
          </cell>
          <cell r="O1079" t="e">
            <v>#N/A</v>
          </cell>
          <cell r="P1079" t="str">
            <v/>
          </cell>
          <cell r="Q1079" t="str">
            <v/>
          </cell>
          <cell r="R1079" t="e">
            <v>#N/A</v>
          </cell>
        </row>
        <row r="1080">
          <cell r="A1080" t="str">
            <v/>
          </cell>
          <cell r="B1080" t="str">
            <v/>
          </cell>
          <cell r="C1080" t="str">
            <v>Future</v>
          </cell>
          <cell r="D1080" t="e">
            <v>#N/A</v>
          </cell>
          <cell r="E1080">
            <v>-59.12662698412764</v>
          </cell>
          <cell r="F1080">
            <v>75.258293650791799</v>
          </cell>
          <cell r="G1080">
            <v>23.571785714285003</v>
          </cell>
          <cell r="H1080">
            <v>23.571785714285003</v>
          </cell>
          <cell r="I1080" t="e">
            <v>#N/A</v>
          </cell>
          <cell r="J1080" t="e">
            <v>#N/A</v>
          </cell>
          <cell r="K1080">
            <v>65</v>
          </cell>
          <cell r="L1080">
            <v>40</v>
          </cell>
          <cell r="M1080" t="e">
            <v>#N/A</v>
          </cell>
          <cell r="N1080">
            <v>52</v>
          </cell>
          <cell r="O1080" t="e">
            <v>#N/A</v>
          </cell>
          <cell r="P1080" t="str">
            <v/>
          </cell>
          <cell r="Q1080" t="str">
            <v/>
          </cell>
          <cell r="R1080" t="e">
            <v>#N/A</v>
          </cell>
        </row>
        <row r="1081">
          <cell r="A1081" t="str">
            <v/>
          </cell>
          <cell r="B1081" t="str">
            <v/>
          </cell>
          <cell r="C1081" t="str">
            <v>Future</v>
          </cell>
          <cell r="D1081" t="e">
            <v>#N/A</v>
          </cell>
          <cell r="E1081">
            <v>-59.346428571429229</v>
          </cell>
          <cell r="F1081">
            <v>75.296428571426716</v>
          </cell>
          <cell r="G1081">
            <v>23.510714285713576</v>
          </cell>
          <cell r="H1081">
            <v>23.510714285713576</v>
          </cell>
          <cell r="I1081" t="e">
            <v>#N/A</v>
          </cell>
          <cell r="J1081" t="e">
            <v>#N/A</v>
          </cell>
          <cell r="K1081">
            <v>65</v>
          </cell>
          <cell r="L1081">
            <v>40</v>
          </cell>
          <cell r="M1081" t="e">
            <v>#N/A</v>
          </cell>
          <cell r="N1081">
            <v>52</v>
          </cell>
          <cell r="O1081" t="e">
            <v>#N/A</v>
          </cell>
          <cell r="P1081" t="str">
            <v/>
          </cell>
          <cell r="Q1081" t="str">
            <v/>
          </cell>
          <cell r="R1081" t="e">
            <v>#N/A</v>
          </cell>
        </row>
        <row r="1082">
          <cell r="A1082" t="str">
            <v/>
          </cell>
          <cell r="B1082" t="str">
            <v/>
          </cell>
          <cell r="C1082" t="str">
            <v>Future</v>
          </cell>
          <cell r="D1082" t="e">
            <v>#N/A</v>
          </cell>
          <cell r="E1082">
            <v>-59.566230158730818</v>
          </cell>
          <cell r="F1082">
            <v>75.334563492061633</v>
          </cell>
          <cell r="G1082">
            <v>23.449642857142148</v>
          </cell>
          <cell r="H1082">
            <v>23.449642857142148</v>
          </cell>
          <cell r="I1082" t="e">
            <v>#N/A</v>
          </cell>
          <cell r="J1082" t="e">
            <v>#N/A</v>
          </cell>
          <cell r="K1082">
            <v>65</v>
          </cell>
          <cell r="L1082">
            <v>40</v>
          </cell>
          <cell r="M1082" t="e">
            <v>#N/A</v>
          </cell>
          <cell r="N1082">
            <v>52</v>
          </cell>
          <cell r="O1082" t="e">
            <v>#N/A</v>
          </cell>
          <cell r="P1082" t="str">
            <v/>
          </cell>
          <cell r="Q1082" t="str">
            <v/>
          </cell>
          <cell r="R1082" t="e">
            <v>#N/A</v>
          </cell>
        </row>
        <row r="1083">
          <cell r="A1083" t="str">
            <v/>
          </cell>
          <cell r="B1083" t="str">
            <v/>
          </cell>
          <cell r="C1083" t="str">
            <v>Future</v>
          </cell>
          <cell r="D1083" t="e">
            <v>#N/A</v>
          </cell>
          <cell r="E1083">
            <v>-59.786031746032407</v>
          </cell>
          <cell r="F1083">
            <v>75.37269841269655</v>
          </cell>
          <cell r="G1083">
            <v>23.388571428570721</v>
          </cell>
          <cell r="H1083">
            <v>23.388571428570721</v>
          </cell>
          <cell r="I1083" t="e">
            <v>#N/A</v>
          </cell>
          <cell r="J1083" t="e">
            <v>#N/A</v>
          </cell>
          <cell r="K1083">
            <v>65</v>
          </cell>
          <cell r="L1083">
            <v>40</v>
          </cell>
          <cell r="M1083" t="e">
            <v>#N/A</v>
          </cell>
          <cell r="N1083">
            <v>52</v>
          </cell>
          <cell r="O1083" t="e">
            <v>#N/A</v>
          </cell>
          <cell r="P1083" t="str">
            <v/>
          </cell>
          <cell r="Q1083" t="str">
            <v/>
          </cell>
          <cell r="R1083" t="e">
            <v>#N/A</v>
          </cell>
        </row>
        <row r="1084">
          <cell r="A1084" t="str">
            <v/>
          </cell>
          <cell r="B1084" t="str">
            <v/>
          </cell>
          <cell r="C1084" t="str">
            <v>Future</v>
          </cell>
          <cell r="D1084" t="e">
            <v>#N/A</v>
          </cell>
          <cell r="E1084">
            <v>-60.005833333333996</v>
          </cell>
          <cell r="F1084">
            <v>75.410833333331468</v>
          </cell>
          <cell r="G1084">
            <v>23.327499999999294</v>
          </cell>
          <cell r="H1084">
            <v>23.327499999999294</v>
          </cell>
          <cell r="I1084" t="e">
            <v>#N/A</v>
          </cell>
          <cell r="J1084" t="e">
            <v>#N/A</v>
          </cell>
          <cell r="K1084">
            <v>65</v>
          </cell>
          <cell r="L1084">
            <v>40</v>
          </cell>
          <cell r="M1084" t="e">
            <v>#N/A</v>
          </cell>
          <cell r="N1084">
            <v>52</v>
          </cell>
          <cell r="O1084" t="e">
            <v>#N/A</v>
          </cell>
          <cell r="P1084" t="str">
            <v/>
          </cell>
          <cell r="Q1084" t="str">
            <v/>
          </cell>
          <cell r="R1084" t="e">
            <v>#N/A</v>
          </cell>
        </row>
        <row r="1085">
          <cell r="A1085" t="str">
            <v/>
          </cell>
          <cell r="B1085" t="str">
            <v/>
          </cell>
          <cell r="C1085" t="str">
            <v>Future</v>
          </cell>
          <cell r="D1085" t="e">
            <v>#N/A</v>
          </cell>
          <cell r="E1085">
            <v>-60.225634920635585</v>
          </cell>
          <cell r="F1085">
            <v>75.448968253966385</v>
          </cell>
          <cell r="G1085">
            <v>23.266428571427866</v>
          </cell>
          <cell r="H1085">
            <v>23.266428571427866</v>
          </cell>
          <cell r="I1085" t="e">
            <v>#N/A</v>
          </cell>
          <cell r="J1085" t="e">
            <v>#N/A</v>
          </cell>
          <cell r="K1085">
            <v>65</v>
          </cell>
          <cell r="L1085">
            <v>40</v>
          </cell>
          <cell r="M1085" t="e">
            <v>#N/A</v>
          </cell>
          <cell r="N1085">
            <v>52</v>
          </cell>
          <cell r="O1085" t="e">
            <v>#N/A</v>
          </cell>
          <cell r="P1085" t="str">
            <v/>
          </cell>
          <cell r="Q1085" t="str">
            <v/>
          </cell>
          <cell r="R1085" t="e">
            <v>#N/A</v>
          </cell>
        </row>
        <row r="1086">
          <cell r="A1086" t="str">
            <v/>
          </cell>
          <cell r="B1086" t="str">
            <v/>
          </cell>
          <cell r="C1086" t="str">
            <v>Future</v>
          </cell>
          <cell r="D1086" t="e">
            <v>#N/A</v>
          </cell>
          <cell r="E1086">
            <v>-60.445436507937174</v>
          </cell>
          <cell r="F1086">
            <v>75.487103174601302</v>
          </cell>
          <cell r="G1086">
            <v>23.205357142856439</v>
          </cell>
          <cell r="H1086">
            <v>23.205357142856439</v>
          </cell>
          <cell r="I1086" t="e">
            <v>#N/A</v>
          </cell>
          <cell r="J1086" t="e">
            <v>#N/A</v>
          </cell>
          <cell r="K1086">
            <v>65</v>
          </cell>
          <cell r="L1086">
            <v>40</v>
          </cell>
          <cell r="M1086" t="e">
            <v>#N/A</v>
          </cell>
          <cell r="N1086">
            <v>52</v>
          </cell>
          <cell r="O1086" t="e">
            <v>#N/A</v>
          </cell>
          <cell r="P1086" t="str">
            <v/>
          </cell>
          <cell r="Q1086" t="str">
            <v/>
          </cell>
          <cell r="R1086" t="e">
            <v>#N/A</v>
          </cell>
        </row>
        <row r="1087">
          <cell r="A1087" t="str">
            <v/>
          </cell>
          <cell r="B1087" t="str">
            <v/>
          </cell>
          <cell r="C1087" t="str">
            <v>Future</v>
          </cell>
          <cell r="D1087" t="e">
            <v>#N/A</v>
          </cell>
          <cell r="E1087">
            <v>-60.665238095238763</v>
          </cell>
          <cell r="F1087">
            <v>75.525238095236219</v>
          </cell>
          <cell r="G1087">
            <v>23.144285714285012</v>
          </cell>
          <cell r="H1087">
            <v>23.144285714285012</v>
          </cell>
          <cell r="I1087" t="e">
            <v>#N/A</v>
          </cell>
          <cell r="J1087" t="e">
            <v>#N/A</v>
          </cell>
          <cell r="K1087">
            <v>65</v>
          </cell>
          <cell r="L1087">
            <v>40</v>
          </cell>
          <cell r="M1087" t="e">
            <v>#N/A</v>
          </cell>
          <cell r="N1087">
            <v>52</v>
          </cell>
          <cell r="O1087" t="e">
            <v>#N/A</v>
          </cell>
          <cell r="P1087" t="str">
            <v/>
          </cell>
          <cell r="Q1087" t="str">
            <v/>
          </cell>
          <cell r="R1087" t="e">
            <v>#N/A</v>
          </cell>
        </row>
        <row r="1088">
          <cell r="A1088" t="str">
            <v/>
          </cell>
          <cell r="B1088" t="str">
            <v/>
          </cell>
          <cell r="C1088" t="str">
            <v>Future</v>
          </cell>
          <cell r="D1088" t="e">
            <v>#N/A</v>
          </cell>
          <cell r="E1088">
            <v>-60.885039682540352</v>
          </cell>
          <cell r="F1088">
            <v>75.563373015871136</v>
          </cell>
          <cell r="G1088">
            <v>23.083214285713584</v>
          </cell>
          <cell r="H1088">
            <v>23.083214285713584</v>
          </cell>
          <cell r="I1088" t="e">
            <v>#N/A</v>
          </cell>
          <cell r="J1088" t="e">
            <v>#N/A</v>
          </cell>
          <cell r="K1088">
            <v>65</v>
          </cell>
          <cell r="L1088">
            <v>40</v>
          </cell>
          <cell r="M1088" t="e">
            <v>#N/A</v>
          </cell>
          <cell r="N1088">
            <v>52</v>
          </cell>
          <cell r="O1088" t="e">
            <v>#N/A</v>
          </cell>
          <cell r="P1088" t="str">
            <v/>
          </cell>
          <cell r="Q1088" t="str">
            <v/>
          </cell>
          <cell r="R1088" t="e">
            <v>#N/A</v>
          </cell>
        </row>
        <row r="1089">
          <cell r="A1089" t="str">
            <v/>
          </cell>
          <cell r="B1089" t="str">
            <v/>
          </cell>
          <cell r="C1089" t="str">
            <v>Future</v>
          </cell>
          <cell r="D1089" t="e">
            <v>#N/A</v>
          </cell>
          <cell r="E1089">
            <v>-61.104841269841941</v>
          </cell>
          <cell r="F1089">
            <v>75.601507936506053</v>
          </cell>
          <cell r="G1089">
            <v>23.022142857142157</v>
          </cell>
          <cell r="H1089">
            <v>23.022142857142157</v>
          </cell>
          <cell r="I1089" t="e">
            <v>#N/A</v>
          </cell>
          <cell r="J1089" t="e">
            <v>#N/A</v>
          </cell>
          <cell r="K1089">
            <v>65</v>
          </cell>
          <cell r="L1089">
            <v>40</v>
          </cell>
          <cell r="M1089" t="e">
            <v>#N/A</v>
          </cell>
          <cell r="N1089">
            <v>52</v>
          </cell>
          <cell r="O1089" t="e">
            <v>#N/A</v>
          </cell>
          <cell r="P1089" t="str">
            <v/>
          </cell>
          <cell r="Q1089" t="str">
            <v/>
          </cell>
          <cell r="R1089" t="e">
            <v>#N/A</v>
          </cell>
        </row>
        <row r="1090">
          <cell r="A1090" t="str">
            <v/>
          </cell>
          <cell r="B1090" t="str">
            <v/>
          </cell>
          <cell r="C1090" t="str">
            <v>Future</v>
          </cell>
          <cell r="D1090" t="e">
            <v>#N/A</v>
          </cell>
          <cell r="E1090">
            <v>-61.32464285714353</v>
          </cell>
          <cell r="F1090">
            <v>75.63964285714097</v>
          </cell>
          <cell r="G1090">
            <v>22.96107142857073</v>
          </cell>
          <cell r="H1090">
            <v>22.96107142857073</v>
          </cell>
          <cell r="I1090" t="e">
            <v>#N/A</v>
          </cell>
          <cell r="J1090" t="e">
            <v>#N/A</v>
          </cell>
          <cell r="K1090">
            <v>65</v>
          </cell>
          <cell r="L1090">
            <v>40</v>
          </cell>
          <cell r="M1090" t="e">
            <v>#N/A</v>
          </cell>
          <cell r="N1090">
            <v>52</v>
          </cell>
          <cell r="O1090" t="e">
            <v>#N/A</v>
          </cell>
          <cell r="P1090" t="str">
            <v/>
          </cell>
          <cell r="Q1090" t="str">
            <v/>
          </cell>
          <cell r="R1090" t="e">
            <v>#N/A</v>
          </cell>
        </row>
        <row r="1091">
          <cell r="A1091" t="str">
            <v/>
          </cell>
          <cell r="B1091" t="str">
            <v/>
          </cell>
          <cell r="C1091" t="str">
            <v>Future</v>
          </cell>
          <cell r="D1091" t="e">
            <v>#N/A</v>
          </cell>
          <cell r="E1091">
            <v>-61.544444444445119</v>
          </cell>
          <cell r="F1091">
            <v>75.677777777775887</v>
          </cell>
          <cell r="G1091">
            <v>22.899999999999302</v>
          </cell>
          <cell r="H1091">
            <v>22.899999999999302</v>
          </cell>
          <cell r="I1091" t="e">
            <v>#N/A</v>
          </cell>
          <cell r="J1091" t="e">
            <v>#N/A</v>
          </cell>
          <cell r="K1091">
            <v>65</v>
          </cell>
          <cell r="L1091">
            <v>40</v>
          </cell>
          <cell r="M1091" t="e">
            <v>#N/A</v>
          </cell>
          <cell r="N1091">
            <v>52</v>
          </cell>
          <cell r="O1091" t="e">
            <v>#N/A</v>
          </cell>
          <cell r="P1091" t="str">
            <v/>
          </cell>
          <cell r="Q1091" t="str">
            <v/>
          </cell>
          <cell r="R1091" t="e">
            <v>#N/A</v>
          </cell>
        </row>
        <row r="1092">
          <cell r="A1092" t="str">
            <v/>
          </cell>
          <cell r="B1092" t="str">
            <v/>
          </cell>
          <cell r="C1092" t="str">
            <v>Future</v>
          </cell>
          <cell r="D1092" t="e">
            <v>#N/A</v>
          </cell>
          <cell r="E1092">
            <v>-61.764246031746708</v>
          </cell>
          <cell r="F1092">
            <v>75.715912698410804</v>
          </cell>
          <cell r="G1092">
            <v>22.838928571427875</v>
          </cell>
          <cell r="H1092">
            <v>22.838928571427875</v>
          </cell>
          <cell r="I1092" t="e">
            <v>#N/A</v>
          </cell>
          <cell r="J1092" t="e">
            <v>#N/A</v>
          </cell>
          <cell r="K1092">
            <v>65</v>
          </cell>
          <cell r="L1092">
            <v>40</v>
          </cell>
          <cell r="M1092" t="e">
            <v>#N/A</v>
          </cell>
          <cell r="N1092">
            <v>52</v>
          </cell>
          <cell r="O1092" t="e">
            <v>#N/A</v>
          </cell>
          <cell r="P1092" t="str">
            <v/>
          </cell>
          <cell r="Q1092" t="str">
            <v/>
          </cell>
          <cell r="R1092" t="e">
            <v>#N/A</v>
          </cell>
        </row>
        <row r="1093">
          <cell r="A1093" t="str">
            <v/>
          </cell>
          <cell r="B1093" t="str">
            <v/>
          </cell>
          <cell r="C1093" t="str">
            <v>Future</v>
          </cell>
          <cell r="D1093" t="e">
            <v>#N/A</v>
          </cell>
          <cell r="E1093">
            <v>-61.984047619048297</v>
          </cell>
          <cell r="F1093">
            <v>75.754047619045721</v>
          </cell>
          <cell r="G1093">
            <v>22.777857142856448</v>
          </cell>
          <cell r="H1093">
            <v>22.777857142856448</v>
          </cell>
          <cell r="I1093" t="e">
            <v>#N/A</v>
          </cell>
          <cell r="J1093" t="e">
            <v>#N/A</v>
          </cell>
          <cell r="K1093">
            <v>65</v>
          </cell>
          <cell r="L1093">
            <v>40</v>
          </cell>
          <cell r="M1093" t="e">
            <v>#N/A</v>
          </cell>
          <cell r="N1093">
            <v>52</v>
          </cell>
          <cell r="O1093" t="e">
            <v>#N/A</v>
          </cell>
          <cell r="P1093" t="str">
            <v/>
          </cell>
          <cell r="Q1093" t="str">
            <v/>
          </cell>
          <cell r="R1093" t="e">
            <v>#N/A</v>
          </cell>
        </row>
        <row r="1094">
          <cell r="A1094" t="str">
            <v/>
          </cell>
          <cell r="B1094" t="str">
            <v/>
          </cell>
          <cell r="C1094" t="str">
            <v>Future</v>
          </cell>
          <cell r="D1094" t="e">
            <v>#N/A</v>
          </cell>
          <cell r="E1094">
            <v>-62.203849206349886</v>
          </cell>
          <cell r="F1094">
            <v>75.792182539680638</v>
          </cell>
          <cell r="G1094">
            <v>22.71678571428502</v>
          </cell>
          <cell r="H1094">
            <v>22.71678571428502</v>
          </cell>
          <cell r="I1094" t="e">
            <v>#N/A</v>
          </cell>
          <cell r="J1094" t="e">
            <v>#N/A</v>
          </cell>
          <cell r="K1094">
            <v>65</v>
          </cell>
          <cell r="L1094">
            <v>40</v>
          </cell>
          <cell r="M1094" t="e">
            <v>#N/A</v>
          </cell>
          <cell r="N1094">
            <v>52</v>
          </cell>
          <cell r="O1094" t="e">
            <v>#N/A</v>
          </cell>
          <cell r="P1094" t="str">
            <v/>
          </cell>
          <cell r="Q1094" t="str">
            <v/>
          </cell>
          <cell r="R1094" t="e">
            <v>#N/A</v>
          </cell>
        </row>
        <row r="1095">
          <cell r="A1095" t="str">
            <v/>
          </cell>
          <cell r="B1095" t="str">
            <v/>
          </cell>
          <cell r="C1095" t="str">
            <v>Future</v>
          </cell>
          <cell r="D1095" t="e">
            <v>#N/A</v>
          </cell>
          <cell r="E1095">
            <v>-62.423650793651476</v>
          </cell>
          <cell r="F1095">
            <v>75.830317460315555</v>
          </cell>
          <cell r="G1095">
            <v>22.655714285713593</v>
          </cell>
          <cell r="H1095">
            <v>22.655714285713593</v>
          </cell>
          <cell r="I1095" t="e">
            <v>#N/A</v>
          </cell>
          <cell r="J1095" t="e">
            <v>#N/A</v>
          </cell>
          <cell r="K1095">
            <v>65</v>
          </cell>
          <cell r="L1095">
            <v>40</v>
          </cell>
          <cell r="M1095" t="e">
            <v>#N/A</v>
          </cell>
          <cell r="N1095">
            <v>52</v>
          </cell>
          <cell r="O1095" t="e">
            <v>#N/A</v>
          </cell>
          <cell r="P1095" t="str">
            <v/>
          </cell>
          <cell r="Q1095" t="str">
            <v/>
          </cell>
          <cell r="R1095" t="e">
            <v>#N/A</v>
          </cell>
        </row>
        <row r="1096">
          <cell r="A1096" t="str">
            <v/>
          </cell>
          <cell r="B1096" t="str">
            <v/>
          </cell>
          <cell r="C1096" t="str">
            <v>Future</v>
          </cell>
          <cell r="D1096" t="e">
            <v>#N/A</v>
          </cell>
          <cell r="E1096">
            <v>-62.643452380953065</v>
          </cell>
          <cell r="F1096">
            <v>75.868452380950473</v>
          </cell>
          <cell r="G1096">
            <v>22.594642857142166</v>
          </cell>
          <cell r="H1096">
            <v>22.594642857142166</v>
          </cell>
          <cell r="I1096" t="e">
            <v>#N/A</v>
          </cell>
          <cell r="J1096" t="e">
            <v>#N/A</v>
          </cell>
          <cell r="K1096">
            <v>65</v>
          </cell>
          <cell r="L1096">
            <v>40</v>
          </cell>
          <cell r="M1096" t="e">
            <v>#N/A</v>
          </cell>
          <cell r="N1096">
            <v>52</v>
          </cell>
          <cell r="O1096" t="e">
            <v>#N/A</v>
          </cell>
          <cell r="P1096" t="str">
            <v/>
          </cell>
          <cell r="Q1096" t="str">
            <v/>
          </cell>
          <cell r="R1096" t="e">
            <v>#N/A</v>
          </cell>
        </row>
        <row r="1097">
          <cell r="A1097" t="str">
            <v/>
          </cell>
          <cell r="B1097" t="str">
            <v/>
          </cell>
          <cell r="C1097" t="str">
            <v>Future</v>
          </cell>
          <cell r="D1097" t="e">
            <v>#N/A</v>
          </cell>
          <cell r="E1097">
            <v>-62.863253968254654</v>
          </cell>
          <cell r="F1097">
            <v>75.90658730158539</v>
          </cell>
          <cell r="G1097">
            <v>22.533571428570738</v>
          </cell>
          <cell r="H1097">
            <v>22.533571428570738</v>
          </cell>
          <cell r="I1097" t="e">
            <v>#N/A</v>
          </cell>
          <cell r="J1097" t="e">
            <v>#N/A</v>
          </cell>
          <cell r="K1097">
            <v>65</v>
          </cell>
          <cell r="L1097">
            <v>40</v>
          </cell>
          <cell r="M1097" t="e">
            <v>#N/A</v>
          </cell>
          <cell r="N1097">
            <v>52</v>
          </cell>
          <cell r="O1097" t="e">
            <v>#N/A</v>
          </cell>
          <cell r="P1097" t="str">
            <v/>
          </cell>
          <cell r="Q1097" t="str">
            <v/>
          </cell>
          <cell r="R1097" t="e">
            <v>#N/A</v>
          </cell>
        </row>
        <row r="1098">
          <cell r="A1098" t="str">
            <v/>
          </cell>
          <cell r="B1098" t="str">
            <v/>
          </cell>
          <cell r="C1098" t="str">
            <v>Future</v>
          </cell>
          <cell r="D1098" t="e">
            <v>#N/A</v>
          </cell>
          <cell r="E1098">
            <v>-63.083055555556243</v>
          </cell>
          <cell r="F1098">
            <v>75.944722222220307</v>
          </cell>
          <cell r="G1098">
            <v>22.472499999999311</v>
          </cell>
          <cell r="H1098">
            <v>22.472499999999311</v>
          </cell>
          <cell r="I1098" t="e">
            <v>#N/A</v>
          </cell>
          <cell r="J1098" t="e">
            <v>#N/A</v>
          </cell>
          <cell r="K1098">
            <v>65</v>
          </cell>
          <cell r="L1098">
            <v>40</v>
          </cell>
          <cell r="M1098" t="e">
            <v>#N/A</v>
          </cell>
          <cell r="N1098">
            <v>52</v>
          </cell>
          <cell r="O1098" t="e">
            <v>#N/A</v>
          </cell>
          <cell r="P1098" t="str">
            <v/>
          </cell>
          <cell r="Q1098" t="str">
            <v/>
          </cell>
          <cell r="R1098" t="e">
            <v>#N/A</v>
          </cell>
        </row>
        <row r="1099">
          <cell r="A1099" t="str">
            <v/>
          </cell>
          <cell r="B1099" t="str">
            <v/>
          </cell>
          <cell r="C1099" t="str">
            <v>Future</v>
          </cell>
          <cell r="D1099" t="e">
            <v>#N/A</v>
          </cell>
          <cell r="E1099">
            <v>-63.302857142857832</v>
          </cell>
          <cell r="F1099">
            <v>75.982857142855224</v>
          </cell>
          <cell r="G1099">
            <v>22.411428571427884</v>
          </cell>
          <cell r="H1099">
            <v>22.411428571427884</v>
          </cell>
          <cell r="I1099" t="e">
            <v>#N/A</v>
          </cell>
          <cell r="J1099" t="e">
            <v>#N/A</v>
          </cell>
          <cell r="K1099">
            <v>65</v>
          </cell>
          <cell r="L1099">
            <v>40</v>
          </cell>
          <cell r="M1099" t="e">
            <v>#N/A</v>
          </cell>
          <cell r="N1099">
            <v>52</v>
          </cell>
          <cell r="O1099" t="e">
            <v>#N/A</v>
          </cell>
          <cell r="P1099" t="str">
            <v/>
          </cell>
          <cell r="Q1099" t="str">
            <v/>
          </cell>
          <cell r="R1099" t="e">
            <v>#N/A</v>
          </cell>
        </row>
        <row r="1100">
          <cell r="A1100" t="str">
            <v/>
          </cell>
          <cell r="B1100" t="str">
            <v/>
          </cell>
          <cell r="C1100" t="str">
            <v>Future</v>
          </cell>
          <cell r="D1100" t="e">
            <v>#N/A</v>
          </cell>
          <cell r="E1100">
            <v>-63.522658730159421</v>
          </cell>
          <cell r="F1100">
            <v>76.020992063490141</v>
          </cell>
          <cell r="G1100">
            <v>22.350357142856456</v>
          </cell>
          <cell r="H1100">
            <v>22.350357142856456</v>
          </cell>
          <cell r="I1100" t="e">
            <v>#N/A</v>
          </cell>
          <cell r="J1100" t="e">
            <v>#N/A</v>
          </cell>
          <cell r="K1100">
            <v>65</v>
          </cell>
          <cell r="L1100">
            <v>40</v>
          </cell>
          <cell r="M1100" t="e">
            <v>#N/A</v>
          </cell>
          <cell r="N1100">
            <v>52</v>
          </cell>
          <cell r="O1100" t="e">
            <v>#N/A</v>
          </cell>
          <cell r="P1100" t="str">
            <v/>
          </cell>
          <cell r="Q1100" t="str">
            <v/>
          </cell>
          <cell r="R1100" t="e">
            <v>#N/A</v>
          </cell>
        </row>
        <row r="1101">
          <cell r="A1101" t="str">
            <v/>
          </cell>
          <cell r="B1101" t="str">
            <v/>
          </cell>
          <cell r="C1101" t="str">
            <v>Future</v>
          </cell>
          <cell r="D1101" t="e">
            <v>#N/A</v>
          </cell>
          <cell r="E1101">
            <v>-63.74246031746101</v>
          </cell>
          <cell r="F1101">
            <v>76.059126984125058</v>
          </cell>
          <cell r="G1101">
            <v>22.289285714285029</v>
          </cell>
          <cell r="H1101">
            <v>22.289285714285029</v>
          </cell>
          <cell r="I1101" t="e">
            <v>#N/A</v>
          </cell>
          <cell r="J1101" t="e">
            <v>#N/A</v>
          </cell>
          <cell r="K1101">
            <v>65</v>
          </cell>
          <cell r="L1101">
            <v>40</v>
          </cell>
          <cell r="M1101" t="e">
            <v>#N/A</v>
          </cell>
          <cell r="N1101">
            <v>52</v>
          </cell>
          <cell r="O1101" t="e">
            <v>#N/A</v>
          </cell>
          <cell r="P1101" t="str">
            <v/>
          </cell>
          <cell r="Q1101" t="str">
            <v/>
          </cell>
          <cell r="R1101" t="e">
            <v>#N/A</v>
          </cell>
        </row>
        <row r="1102">
          <cell r="A1102" t="str">
            <v/>
          </cell>
          <cell r="B1102" t="str">
            <v/>
          </cell>
          <cell r="C1102" t="str">
            <v>Future</v>
          </cell>
          <cell r="D1102" t="e">
            <v>#N/A</v>
          </cell>
          <cell r="E1102">
            <v>-63.962261904762599</v>
          </cell>
          <cell r="F1102">
            <v>76.097261904759975</v>
          </cell>
          <cell r="G1102">
            <v>22.228214285713602</v>
          </cell>
          <cell r="H1102">
            <v>22.228214285713602</v>
          </cell>
          <cell r="I1102" t="e">
            <v>#N/A</v>
          </cell>
          <cell r="J1102" t="e">
            <v>#N/A</v>
          </cell>
          <cell r="K1102">
            <v>65</v>
          </cell>
          <cell r="L1102">
            <v>40</v>
          </cell>
          <cell r="M1102" t="e">
            <v>#N/A</v>
          </cell>
          <cell r="N1102">
            <v>52</v>
          </cell>
          <cell r="O1102" t="e">
            <v>#N/A</v>
          </cell>
          <cell r="P1102" t="str">
            <v/>
          </cell>
          <cell r="Q1102" t="str">
            <v/>
          </cell>
          <cell r="R1102" t="e">
            <v>#N/A</v>
          </cell>
        </row>
        <row r="1103">
          <cell r="A1103" t="str">
            <v/>
          </cell>
          <cell r="B1103" t="str">
            <v/>
          </cell>
          <cell r="C1103" t="str">
            <v>Future</v>
          </cell>
          <cell r="D1103" t="e">
            <v>#N/A</v>
          </cell>
          <cell r="E1103">
            <v>-64.182063492064188</v>
          </cell>
          <cell r="F1103">
            <v>76.135396825394892</v>
          </cell>
          <cell r="G1103">
            <v>22.167142857142174</v>
          </cell>
          <cell r="H1103">
            <v>22.167142857142174</v>
          </cell>
          <cell r="I1103" t="e">
            <v>#N/A</v>
          </cell>
          <cell r="J1103" t="e">
            <v>#N/A</v>
          </cell>
          <cell r="K1103">
            <v>65</v>
          </cell>
          <cell r="L1103">
            <v>40</v>
          </cell>
          <cell r="M1103" t="e">
            <v>#N/A</v>
          </cell>
          <cell r="N1103">
            <v>52</v>
          </cell>
          <cell r="O1103" t="e">
            <v>#N/A</v>
          </cell>
          <cell r="P1103" t="str">
            <v/>
          </cell>
          <cell r="Q1103" t="str">
            <v/>
          </cell>
          <cell r="R1103" t="e">
            <v>#N/A</v>
          </cell>
        </row>
        <row r="1104">
          <cell r="A1104" t="str">
            <v/>
          </cell>
          <cell r="B1104" t="str">
            <v/>
          </cell>
          <cell r="C1104" t="str">
            <v>Future</v>
          </cell>
          <cell r="D1104" t="e">
            <v>#N/A</v>
          </cell>
          <cell r="E1104">
            <v>-64.401865079365777</v>
          </cell>
          <cell r="F1104">
            <v>76.173531746029809</v>
          </cell>
          <cell r="G1104">
            <v>22.106071428570747</v>
          </cell>
          <cell r="H1104">
            <v>22.106071428570747</v>
          </cell>
          <cell r="I1104" t="e">
            <v>#N/A</v>
          </cell>
          <cell r="J1104" t="e">
            <v>#N/A</v>
          </cell>
          <cell r="K1104">
            <v>65</v>
          </cell>
          <cell r="L1104">
            <v>40</v>
          </cell>
          <cell r="M1104" t="e">
            <v>#N/A</v>
          </cell>
          <cell r="N1104">
            <v>52</v>
          </cell>
          <cell r="O1104" t="e">
            <v>#N/A</v>
          </cell>
          <cell r="P1104" t="str">
            <v/>
          </cell>
          <cell r="Q1104" t="str">
            <v/>
          </cell>
          <cell r="R1104" t="e">
            <v>#N/A</v>
          </cell>
        </row>
        <row r="1105">
          <cell r="A1105" t="str">
            <v/>
          </cell>
          <cell r="B1105" t="str">
            <v/>
          </cell>
          <cell r="C1105" t="str">
            <v>Future</v>
          </cell>
          <cell r="D1105" t="e">
            <v>#N/A</v>
          </cell>
          <cell r="E1105">
            <v>-64.621666666667366</v>
          </cell>
          <cell r="F1105">
            <v>76.211666666664726</v>
          </cell>
          <cell r="G1105">
            <v>22.04499999999932</v>
          </cell>
          <cell r="H1105">
            <v>22.04499999999932</v>
          </cell>
          <cell r="I1105" t="e">
            <v>#N/A</v>
          </cell>
          <cell r="J1105" t="e">
            <v>#N/A</v>
          </cell>
          <cell r="K1105">
            <v>65</v>
          </cell>
          <cell r="L1105">
            <v>40</v>
          </cell>
          <cell r="M1105" t="e">
            <v>#N/A</v>
          </cell>
          <cell r="N1105">
            <v>52</v>
          </cell>
          <cell r="O1105" t="e">
            <v>#N/A</v>
          </cell>
          <cell r="P1105" t="str">
            <v/>
          </cell>
          <cell r="Q1105" t="str">
            <v/>
          </cell>
          <cell r="R1105" t="e">
            <v>#N/A</v>
          </cell>
        </row>
        <row r="1106">
          <cell r="A1106" t="str">
            <v/>
          </cell>
          <cell r="B1106" t="str">
            <v/>
          </cell>
          <cell r="C1106" t="str">
            <v>Future</v>
          </cell>
          <cell r="D1106" t="e">
            <v>#N/A</v>
          </cell>
          <cell r="E1106">
            <v>-64.841468253968955</v>
          </cell>
          <cell r="F1106">
            <v>76.249801587299643</v>
          </cell>
          <cell r="G1106">
            <v>21.983928571427892</v>
          </cell>
          <cell r="H1106">
            <v>21.983928571427892</v>
          </cell>
          <cell r="I1106" t="e">
            <v>#N/A</v>
          </cell>
          <cell r="J1106" t="e">
            <v>#N/A</v>
          </cell>
          <cell r="K1106">
            <v>65</v>
          </cell>
          <cell r="L1106">
            <v>40</v>
          </cell>
          <cell r="M1106" t="e">
            <v>#N/A</v>
          </cell>
          <cell r="N1106">
            <v>52</v>
          </cell>
          <cell r="O1106" t="e">
            <v>#N/A</v>
          </cell>
          <cell r="P1106" t="str">
            <v/>
          </cell>
          <cell r="Q1106" t="str">
            <v/>
          </cell>
          <cell r="R1106" t="e">
            <v>#N/A</v>
          </cell>
        </row>
        <row r="1107">
          <cell r="A1107" t="str">
            <v/>
          </cell>
          <cell r="B1107" t="str">
            <v/>
          </cell>
          <cell r="C1107" t="str">
            <v>Future</v>
          </cell>
          <cell r="D1107" t="e">
            <v>#N/A</v>
          </cell>
          <cell r="E1107">
            <v>-65.061269841270544</v>
          </cell>
          <cell r="F1107">
            <v>76.28793650793456</v>
          </cell>
          <cell r="G1107">
            <v>21.922857142856465</v>
          </cell>
          <cell r="H1107">
            <v>21.922857142856465</v>
          </cell>
          <cell r="I1107" t="e">
            <v>#N/A</v>
          </cell>
          <cell r="J1107" t="e">
            <v>#N/A</v>
          </cell>
          <cell r="K1107">
            <v>65</v>
          </cell>
          <cell r="L1107">
            <v>40</v>
          </cell>
          <cell r="M1107" t="e">
            <v>#N/A</v>
          </cell>
          <cell r="N1107">
            <v>52</v>
          </cell>
          <cell r="O1107" t="e">
            <v>#N/A</v>
          </cell>
          <cell r="P1107" t="str">
            <v/>
          </cell>
          <cell r="Q1107" t="str">
            <v/>
          </cell>
          <cell r="R1107" t="e">
            <v>#N/A</v>
          </cell>
        </row>
        <row r="1108">
          <cell r="A1108" t="str">
            <v/>
          </cell>
          <cell r="B1108" t="str">
            <v/>
          </cell>
          <cell r="C1108" t="str">
            <v>Future</v>
          </cell>
          <cell r="D1108" t="e">
            <v>#N/A</v>
          </cell>
          <cell r="E1108">
            <v>-65.281071428572133</v>
          </cell>
          <cell r="F1108">
            <v>76.326071428569477</v>
          </cell>
          <cell r="G1108">
            <v>21.861785714285038</v>
          </cell>
          <cell r="H1108">
            <v>21.861785714285038</v>
          </cell>
          <cell r="I1108" t="e">
            <v>#N/A</v>
          </cell>
          <cell r="J1108" t="e">
            <v>#N/A</v>
          </cell>
          <cell r="K1108">
            <v>65</v>
          </cell>
          <cell r="L1108">
            <v>40</v>
          </cell>
          <cell r="M1108" t="e">
            <v>#N/A</v>
          </cell>
          <cell r="N1108">
            <v>52</v>
          </cell>
          <cell r="O1108" t="e">
            <v>#N/A</v>
          </cell>
          <cell r="P1108" t="str">
            <v/>
          </cell>
          <cell r="Q1108" t="str">
            <v/>
          </cell>
          <cell r="R1108" t="e">
            <v>#N/A</v>
          </cell>
        </row>
        <row r="1109">
          <cell r="A1109" t="str">
            <v/>
          </cell>
          <cell r="B1109" t="str">
            <v/>
          </cell>
          <cell r="C1109" t="str">
            <v>Future</v>
          </cell>
          <cell r="D1109" t="e">
            <v>#N/A</v>
          </cell>
          <cell r="E1109">
            <v>-65.500873015873722</v>
          </cell>
          <cell r="F1109">
            <v>76.364206349204395</v>
          </cell>
          <cell r="G1109">
            <v>21.80071428571361</v>
          </cell>
          <cell r="H1109">
            <v>21.80071428571361</v>
          </cell>
          <cell r="I1109" t="e">
            <v>#N/A</v>
          </cell>
          <cell r="J1109" t="e">
            <v>#N/A</v>
          </cell>
          <cell r="K1109">
            <v>65</v>
          </cell>
          <cell r="L1109">
            <v>40</v>
          </cell>
          <cell r="M1109" t="e">
            <v>#N/A</v>
          </cell>
          <cell r="N1109">
            <v>52</v>
          </cell>
          <cell r="O1109" t="e">
            <v>#N/A</v>
          </cell>
          <cell r="P1109" t="str">
            <v/>
          </cell>
          <cell r="Q1109" t="str">
            <v/>
          </cell>
          <cell r="R1109" t="e">
            <v>#N/A</v>
          </cell>
        </row>
        <row r="1110">
          <cell r="A1110" t="str">
            <v/>
          </cell>
          <cell r="B1110" t="str">
            <v/>
          </cell>
          <cell r="C1110" t="str">
            <v>Future</v>
          </cell>
          <cell r="D1110" t="e">
            <v>#N/A</v>
          </cell>
          <cell r="E1110">
            <v>-65.720674603175311</v>
          </cell>
          <cell r="F1110">
            <v>76.402341269839312</v>
          </cell>
          <cell r="G1110">
            <v>21.739642857142183</v>
          </cell>
          <cell r="H1110">
            <v>21.739642857142183</v>
          </cell>
          <cell r="I1110" t="e">
            <v>#N/A</v>
          </cell>
          <cell r="J1110" t="e">
            <v>#N/A</v>
          </cell>
          <cell r="K1110">
            <v>65</v>
          </cell>
          <cell r="L1110">
            <v>40</v>
          </cell>
          <cell r="M1110" t="e">
            <v>#N/A</v>
          </cell>
          <cell r="N1110">
            <v>52</v>
          </cell>
          <cell r="O1110" t="e">
            <v>#N/A</v>
          </cell>
          <cell r="P1110" t="str">
            <v/>
          </cell>
          <cell r="Q1110" t="str">
            <v/>
          </cell>
          <cell r="R1110" t="e">
            <v>#N/A</v>
          </cell>
        </row>
        <row r="1111">
          <cell r="A1111" t="str">
            <v/>
          </cell>
          <cell r="B1111" t="str">
            <v/>
          </cell>
          <cell r="C1111" t="str">
            <v>Future</v>
          </cell>
          <cell r="D1111" t="e">
            <v>#N/A</v>
          </cell>
          <cell r="E1111">
            <v>-65.9404761904769</v>
          </cell>
          <cell r="F1111">
            <v>76.440476190474229</v>
          </cell>
          <cell r="G1111">
            <v>21.678571428570756</v>
          </cell>
          <cell r="H1111">
            <v>21.678571428570756</v>
          </cell>
          <cell r="I1111" t="e">
            <v>#N/A</v>
          </cell>
          <cell r="J1111" t="e">
            <v>#N/A</v>
          </cell>
          <cell r="K1111">
            <v>65</v>
          </cell>
          <cell r="L1111">
            <v>40</v>
          </cell>
          <cell r="M1111" t="e">
            <v>#N/A</v>
          </cell>
          <cell r="N1111">
            <v>52</v>
          </cell>
          <cell r="O1111" t="e">
            <v>#N/A</v>
          </cell>
          <cell r="P1111" t="str">
            <v/>
          </cell>
          <cell r="Q1111" t="str">
            <v/>
          </cell>
          <cell r="R1111" t="e">
            <v>#N/A</v>
          </cell>
        </row>
        <row r="1112">
          <cell r="A1112" t="str">
            <v/>
          </cell>
          <cell r="B1112" t="str">
            <v/>
          </cell>
          <cell r="C1112" t="str">
            <v>Future</v>
          </cell>
          <cell r="D1112" t="e">
            <v>#N/A</v>
          </cell>
          <cell r="E1112">
            <v>-66.160277777778489</v>
          </cell>
          <cell r="F1112">
            <v>76.478611111109146</v>
          </cell>
          <cell r="G1112">
            <v>21.617499999999328</v>
          </cell>
          <cell r="H1112">
            <v>21.617499999999328</v>
          </cell>
          <cell r="I1112" t="e">
            <v>#N/A</v>
          </cell>
          <cell r="J1112" t="e">
            <v>#N/A</v>
          </cell>
          <cell r="K1112">
            <v>65</v>
          </cell>
          <cell r="L1112">
            <v>40</v>
          </cell>
          <cell r="M1112" t="e">
            <v>#N/A</v>
          </cell>
          <cell r="N1112">
            <v>52</v>
          </cell>
          <cell r="O1112" t="e">
            <v>#N/A</v>
          </cell>
          <cell r="P1112" t="str">
            <v/>
          </cell>
          <cell r="Q1112" t="str">
            <v/>
          </cell>
          <cell r="R1112" t="e">
            <v>#N/A</v>
          </cell>
        </row>
        <row r="1113">
          <cell r="A1113" t="str">
            <v/>
          </cell>
          <cell r="B1113" t="str">
            <v/>
          </cell>
          <cell r="C1113" t="str">
            <v>Future</v>
          </cell>
          <cell r="D1113" t="e">
            <v>#N/A</v>
          </cell>
          <cell r="E1113">
            <v>-66.380079365080078</v>
          </cell>
          <cell r="F1113">
            <v>76.516746031744063</v>
          </cell>
          <cell r="G1113">
            <v>21.556428571427901</v>
          </cell>
          <cell r="H1113">
            <v>21.556428571427901</v>
          </cell>
          <cell r="I1113" t="e">
            <v>#N/A</v>
          </cell>
          <cell r="J1113" t="e">
            <v>#N/A</v>
          </cell>
          <cell r="K1113">
            <v>65</v>
          </cell>
          <cell r="L1113">
            <v>40</v>
          </cell>
          <cell r="M1113" t="e">
            <v>#N/A</v>
          </cell>
          <cell r="N1113">
            <v>52</v>
          </cell>
          <cell r="O1113" t="e">
            <v>#N/A</v>
          </cell>
          <cell r="P1113" t="str">
            <v/>
          </cell>
          <cell r="Q1113" t="str">
            <v/>
          </cell>
          <cell r="R1113" t="e">
            <v>#N/A</v>
          </cell>
        </row>
        <row r="1114">
          <cell r="A1114" t="str">
            <v/>
          </cell>
          <cell r="B1114" t="str">
            <v/>
          </cell>
          <cell r="C1114" t="str">
            <v>Future</v>
          </cell>
          <cell r="D1114" t="e">
            <v>#N/A</v>
          </cell>
          <cell r="E1114">
            <v>-66.599880952381667</v>
          </cell>
          <cell r="F1114">
            <v>76.55488095237898</v>
          </cell>
          <cell r="G1114">
            <v>21.495357142856474</v>
          </cell>
          <cell r="H1114">
            <v>21.495357142856474</v>
          </cell>
          <cell r="I1114" t="e">
            <v>#N/A</v>
          </cell>
          <cell r="J1114" t="e">
            <v>#N/A</v>
          </cell>
          <cell r="K1114">
            <v>65</v>
          </cell>
          <cell r="L1114">
            <v>40</v>
          </cell>
          <cell r="M1114" t="e">
            <v>#N/A</v>
          </cell>
          <cell r="N1114">
            <v>52</v>
          </cell>
          <cell r="O1114" t="e">
            <v>#N/A</v>
          </cell>
          <cell r="P1114" t="str">
            <v/>
          </cell>
          <cell r="Q1114" t="str">
            <v/>
          </cell>
          <cell r="R1114" t="e">
            <v>#N/A</v>
          </cell>
        </row>
        <row r="1115">
          <cell r="A1115" t="str">
            <v/>
          </cell>
          <cell r="B1115" t="str">
            <v/>
          </cell>
          <cell r="C1115" t="str">
            <v>Future</v>
          </cell>
          <cell r="D1115" t="e">
            <v>#N/A</v>
          </cell>
          <cell r="E1115">
            <v>-66.819682539683257</v>
          </cell>
          <cell r="F1115">
            <v>76.593015873013897</v>
          </cell>
          <cell r="G1115">
            <v>21.434285714285046</v>
          </cell>
          <cell r="H1115">
            <v>21.434285714285046</v>
          </cell>
          <cell r="I1115" t="e">
            <v>#N/A</v>
          </cell>
          <cell r="J1115" t="e">
            <v>#N/A</v>
          </cell>
          <cell r="K1115">
            <v>65</v>
          </cell>
          <cell r="L1115">
            <v>40</v>
          </cell>
          <cell r="M1115" t="e">
            <v>#N/A</v>
          </cell>
          <cell r="N1115">
            <v>52</v>
          </cell>
          <cell r="O1115" t="e">
            <v>#N/A</v>
          </cell>
          <cell r="P1115" t="str">
            <v/>
          </cell>
          <cell r="Q1115" t="str">
            <v/>
          </cell>
          <cell r="R1115" t="e">
            <v>#N/A</v>
          </cell>
        </row>
        <row r="1116">
          <cell r="A1116" t="str">
            <v/>
          </cell>
          <cell r="B1116" t="str">
            <v/>
          </cell>
          <cell r="C1116" t="str">
            <v>Future</v>
          </cell>
          <cell r="D1116" t="e">
            <v>#N/A</v>
          </cell>
          <cell r="E1116">
            <v>-67.039484126984846</v>
          </cell>
          <cell r="F1116">
            <v>76.631150793648814</v>
          </cell>
          <cell r="G1116">
            <v>21.373214285713619</v>
          </cell>
          <cell r="H1116">
            <v>21.373214285713619</v>
          </cell>
          <cell r="I1116" t="e">
            <v>#N/A</v>
          </cell>
          <cell r="J1116" t="e">
            <v>#N/A</v>
          </cell>
          <cell r="K1116">
            <v>65</v>
          </cell>
          <cell r="L1116">
            <v>40</v>
          </cell>
          <cell r="M1116" t="e">
            <v>#N/A</v>
          </cell>
          <cell r="N1116">
            <v>52</v>
          </cell>
          <cell r="O1116" t="e">
            <v>#N/A</v>
          </cell>
          <cell r="P1116" t="str">
            <v/>
          </cell>
          <cell r="Q1116" t="str">
            <v/>
          </cell>
          <cell r="R1116" t="e">
            <v>#N/A</v>
          </cell>
        </row>
        <row r="1117">
          <cell r="A1117" t="str">
            <v/>
          </cell>
          <cell r="B1117" t="str">
            <v/>
          </cell>
          <cell r="C1117" t="str">
            <v>Future</v>
          </cell>
          <cell r="D1117" t="e">
            <v>#N/A</v>
          </cell>
          <cell r="E1117">
            <v>-67.259285714286435</v>
          </cell>
          <cell r="F1117">
            <v>76.669285714283731</v>
          </cell>
          <cell r="G1117">
            <v>21.312142857142192</v>
          </cell>
          <cell r="H1117">
            <v>21.312142857142192</v>
          </cell>
          <cell r="I1117" t="e">
            <v>#N/A</v>
          </cell>
          <cell r="J1117" t="e">
            <v>#N/A</v>
          </cell>
          <cell r="K1117">
            <v>65</v>
          </cell>
          <cell r="L1117">
            <v>40</v>
          </cell>
          <cell r="M1117" t="e">
            <v>#N/A</v>
          </cell>
          <cell r="N1117">
            <v>52</v>
          </cell>
          <cell r="O1117" t="e">
            <v>#N/A</v>
          </cell>
          <cell r="P1117" t="str">
            <v/>
          </cell>
          <cell r="Q1117" t="str">
            <v/>
          </cell>
          <cell r="R1117" t="e">
            <v>#N/A</v>
          </cell>
        </row>
        <row r="1118">
          <cell r="A1118" t="str">
            <v/>
          </cell>
          <cell r="B1118" t="str">
            <v/>
          </cell>
          <cell r="C1118" t="str">
            <v>Future</v>
          </cell>
          <cell r="D1118" t="e">
            <v>#N/A</v>
          </cell>
          <cell r="E1118">
            <v>-67.479087301588024</v>
          </cell>
          <cell r="F1118">
            <v>76.707420634918648</v>
          </cell>
          <cell r="G1118">
            <v>21.251071428570764</v>
          </cell>
          <cell r="H1118">
            <v>21.251071428570764</v>
          </cell>
          <cell r="I1118" t="e">
            <v>#N/A</v>
          </cell>
          <cell r="J1118" t="e">
            <v>#N/A</v>
          </cell>
          <cell r="K1118">
            <v>65</v>
          </cell>
          <cell r="L1118">
            <v>40</v>
          </cell>
          <cell r="M1118" t="e">
            <v>#N/A</v>
          </cell>
          <cell r="N1118">
            <v>52</v>
          </cell>
          <cell r="O1118" t="e">
            <v>#N/A</v>
          </cell>
          <cell r="P1118" t="str">
            <v/>
          </cell>
          <cell r="Q1118" t="str">
            <v/>
          </cell>
          <cell r="R1118" t="e">
            <v>#N/A</v>
          </cell>
        </row>
        <row r="1119">
          <cell r="A1119" t="str">
            <v/>
          </cell>
          <cell r="B1119" t="str">
            <v/>
          </cell>
          <cell r="C1119" t="str">
            <v>Future</v>
          </cell>
          <cell r="D1119" t="e">
            <v>#N/A</v>
          </cell>
          <cell r="E1119">
            <v>-67.698888888889613</v>
          </cell>
          <cell r="F1119">
            <v>76.745555555553565</v>
          </cell>
          <cell r="G1119">
            <v>21.189999999999337</v>
          </cell>
          <cell r="H1119">
            <v>21.189999999999337</v>
          </cell>
          <cell r="I1119" t="e">
            <v>#N/A</v>
          </cell>
          <cell r="J1119" t="e">
            <v>#N/A</v>
          </cell>
          <cell r="K1119">
            <v>65</v>
          </cell>
          <cell r="L1119">
            <v>40</v>
          </cell>
          <cell r="M1119" t="e">
            <v>#N/A</v>
          </cell>
          <cell r="N1119">
            <v>52</v>
          </cell>
          <cell r="O1119" t="e">
            <v>#N/A</v>
          </cell>
          <cell r="P1119" t="str">
            <v/>
          </cell>
          <cell r="Q1119" t="str">
            <v/>
          </cell>
          <cell r="R1119" t="e">
            <v>#N/A</v>
          </cell>
        </row>
        <row r="1120">
          <cell r="A1120" t="str">
            <v/>
          </cell>
          <cell r="B1120" t="str">
            <v/>
          </cell>
          <cell r="C1120" t="str">
            <v>Future</v>
          </cell>
          <cell r="D1120" t="e">
            <v>#N/A</v>
          </cell>
          <cell r="E1120">
            <v>-67.918690476191202</v>
          </cell>
          <cell r="F1120">
            <v>76.783690476188482</v>
          </cell>
          <cell r="G1120">
            <v>21.12892857142791</v>
          </cell>
          <cell r="H1120">
            <v>21.12892857142791</v>
          </cell>
          <cell r="I1120" t="e">
            <v>#N/A</v>
          </cell>
          <cell r="J1120" t="e">
            <v>#N/A</v>
          </cell>
          <cell r="K1120">
            <v>65</v>
          </cell>
          <cell r="L1120">
            <v>40</v>
          </cell>
          <cell r="M1120" t="e">
            <v>#N/A</v>
          </cell>
          <cell r="N1120">
            <v>52</v>
          </cell>
          <cell r="O1120" t="e">
            <v>#N/A</v>
          </cell>
          <cell r="P1120" t="str">
            <v/>
          </cell>
          <cell r="Q1120" t="str">
            <v/>
          </cell>
          <cell r="R1120" t="e">
            <v>#N/A</v>
          </cell>
        </row>
        <row r="1121">
          <cell r="A1121" t="str">
            <v/>
          </cell>
          <cell r="B1121" t="str">
            <v/>
          </cell>
          <cell r="C1121" t="str">
            <v>Future</v>
          </cell>
          <cell r="D1121" t="e">
            <v>#N/A</v>
          </cell>
          <cell r="E1121">
            <v>-68.138492063492791</v>
          </cell>
          <cell r="F1121">
            <v>76.8218253968234</v>
          </cell>
          <cell r="G1121">
            <v>21.067857142856482</v>
          </cell>
          <cell r="H1121">
            <v>21.067857142856482</v>
          </cell>
          <cell r="I1121" t="e">
            <v>#N/A</v>
          </cell>
          <cell r="J1121" t="e">
            <v>#N/A</v>
          </cell>
          <cell r="K1121">
            <v>65</v>
          </cell>
          <cell r="L1121">
            <v>40</v>
          </cell>
          <cell r="M1121" t="e">
            <v>#N/A</v>
          </cell>
          <cell r="N1121">
            <v>52</v>
          </cell>
          <cell r="O1121" t="e">
            <v>#N/A</v>
          </cell>
          <cell r="P1121" t="str">
            <v/>
          </cell>
          <cell r="Q1121" t="str">
            <v/>
          </cell>
          <cell r="R1121" t="e">
            <v>#N/A</v>
          </cell>
        </row>
        <row r="1122">
          <cell r="A1122" t="str">
            <v/>
          </cell>
          <cell r="B1122" t="str">
            <v/>
          </cell>
          <cell r="C1122" t="str">
            <v>Future</v>
          </cell>
          <cell r="D1122" t="e">
            <v>#N/A</v>
          </cell>
          <cell r="E1122">
            <v>-68.35829365079438</v>
          </cell>
          <cell r="F1122">
            <v>76.859960317458317</v>
          </cell>
          <cell r="G1122">
            <v>21.006785714285055</v>
          </cell>
          <cell r="H1122">
            <v>21.006785714285055</v>
          </cell>
          <cell r="I1122" t="e">
            <v>#N/A</v>
          </cell>
          <cell r="J1122" t="e">
            <v>#N/A</v>
          </cell>
          <cell r="K1122">
            <v>65</v>
          </cell>
          <cell r="L1122">
            <v>40</v>
          </cell>
          <cell r="M1122" t="e">
            <v>#N/A</v>
          </cell>
          <cell r="N1122">
            <v>52</v>
          </cell>
          <cell r="O1122" t="e">
            <v>#N/A</v>
          </cell>
          <cell r="P1122" t="str">
            <v/>
          </cell>
          <cell r="Q1122" t="str">
            <v/>
          </cell>
          <cell r="R1122" t="e">
            <v>#N/A</v>
          </cell>
        </row>
        <row r="1123">
          <cell r="A1123" t="str">
            <v/>
          </cell>
          <cell r="B1123" t="str">
            <v/>
          </cell>
          <cell r="C1123" t="str">
            <v>Future</v>
          </cell>
          <cell r="D1123" t="e">
            <v>#N/A</v>
          </cell>
          <cell r="E1123">
            <v>-68.578095238095969</v>
          </cell>
          <cell r="F1123">
            <v>76.898095238093234</v>
          </cell>
          <cell r="G1123">
            <v>20.945714285713628</v>
          </cell>
          <cell r="H1123">
            <v>20.945714285713628</v>
          </cell>
          <cell r="I1123" t="e">
            <v>#N/A</v>
          </cell>
          <cell r="J1123" t="e">
            <v>#N/A</v>
          </cell>
          <cell r="K1123">
            <v>65</v>
          </cell>
          <cell r="L1123">
            <v>40</v>
          </cell>
          <cell r="M1123" t="e">
            <v>#N/A</v>
          </cell>
          <cell r="N1123">
            <v>52</v>
          </cell>
          <cell r="O1123" t="e">
            <v>#N/A</v>
          </cell>
          <cell r="P1123" t="str">
            <v/>
          </cell>
          <cell r="Q1123" t="str">
            <v/>
          </cell>
          <cell r="R1123" t="e">
            <v>#N/A</v>
          </cell>
        </row>
        <row r="1124">
          <cell r="A1124" t="str">
            <v/>
          </cell>
          <cell r="B1124" t="str">
            <v/>
          </cell>
          <cell r="C1124" t="str">
            <v>Future</v>
          </cell>
          <cell r="D1124" t="e">
            <v>#N/A</v>
          </cell>
          <cell r="E1124">
            <v>-68.797896825397558</v>
          </cell>
          <cell r="F1124">
            <v>76.936230158728151</v>
          </cell>
          <cell r="G1124">
            <v>20.8846428571422</v>
          </cell>
          <cell r="H1124">
            <v>20.8846428571422</v>
          </cell>
          <cell r="I1124" t="e">
            <v>#N/A</v>
          </cell>
          <cell r="J1124" t="e">
            <v>#N/A</v>
          </cell>
          <cell r="K1124">
            <v>65</v>
          </cell>
          <cell r="L1124">
            <v>40</v>
          </cell>
          <cell r="M1124" t="e">
            <v>#N/A</v>
          </cell>
          <cell r="N1124">
            <v>52</v>
          </cell>
          <cell r="O1124" t="e">
            <v>#N/A</v>
          </cell>
          <cell r="P1124" t="str">
            <v/>
          </cell>
          <cell r="Q1124" t="str">
            <v/>
          </cell>
          <cell r="R1124" t="e">
            <v>#N/A</v>
          </cell>
        </row>
        <row r="1125">
          <cell r="A1125" t="str">
            <v/>
          </cell>
          <cell r="B1125" t="str">
            <v/>
          </cell>
          <cell r="C1125" t="str">
            <v>Future</v>
          </cell>
          <cell r="D1125" t="e">
            <v>#N/A</v>
          </cell>
          <cell r="E1125">
            <v>-69.017698412699147</v>
          </cell>
          <cell r="F1125">
            <v>76.974365079363068</v>
          </cell>
          <cell r="G1125">
            <v>20.823571428570773</v>
          </cell>
          <cell r="H1125">
            <v>20.823571428570773</v>
          </cell>
          <cell r="I1125" t="e">
            <v>#N/A</v>
          </cell>
          <cell r="J1125" t="e">
            <v>#N/A</v>
          </cell>
          <cell r="K1125">
            <v>65</v>
          </cell>
          <cell r="L1125">
            <v>40</v>
          </cell>
          <cell r="M1125" t="e">
            <v>#N/A</v>
          </cell>
          <cell r="N1125">
            <v>52</v>
          </cell>
          <cell r="O1125" t="e">
            <v>#N/A</v>
          </cell>
          <cell r="P1125" t="str">
            <v/>
          </cell>
          <cell r="Q1125" t="str">
            <v/>
          </cell>
          <cell r="R1125" t="e">
            <v>#N/A</v>
          </cell>
        </row>
        <row r="1126">
          <cell r="A1126" t="str">
            <v/>
          </cell>
          <cell r="B1126" t="str">
            <v/>
          </cell>
          <cell r="C1126" t="str">
            <v>Future</v>
          </cell>
          <cell r="D1126" t="e">
            <v>#N/A</v>
          </cell>
          <cell r="E1126">
            <v>-69.237500000000736</v>
          </cell>
          <cell r="F1126">
            <v>77.012499999997985</v>
          </cell>
          <cell r="G1126">
            <v>20.762499999999346</v>
          </cell>
          <cell r="H1126">
            <v>20.762499999999346</v>
          </cell>
          <cell r="I1126" t="e">
            <v>#N/A</v>
          </cell>
          <cell r="J1126" t="e">
            <v>#N/A</v>
          </cell>
          <cell r="K1126">
            <v>65</v>
          </cell>
          <cell r="L1126">
            <v>40</v>
          </cell>
          <cell r="M1126" t="e">
            <v>#N/A</v>
          </cell>
          <cell r="N1126">
            <v>52</v>
          </cell>
          <cell r="O1126" t="e">
            <v>#N/A</v>
          </cell>
          <cell r="P1126" t="str">
            <v/>
          </cell>
          <cell r="Q1126" t="str">
            <v/>
          </cell>
          <cell r="R1126" t="e">
            <v>#N/A</v>
          </cell>
        </row>
        <row r="1127">
          <cell r="A1127" t="str">
            <v/>
          </cell>
          <cell r="B1127" t="str">
            <v/>
          </cell>
          <cell r="C1127" t="str">
            <v>Future</v>
          </cell>
          <cell r="D1127" t="e">
            <v>#N/A</v>
          </cell>
          <cell r="E1127">
            <v>-69.457301587302325</v>
          </cell>
          <cell r="F1127">
            <v>77.050634920632902</v>
          </cell>
          <cell r="G1127">
            <v>20.701428571427918</v>
          </cell>
          <cell r="H1127">
            <v>20.701428571427918</v>
          </cell>
          <cell r="I1127" t="e">
            <v>#N/A</v>
          </cell>
          <cell r="J1127" t="e">
            <v>#N/A</v>
          </cell>
          <cell r="K1127">
            <v>65</v>
          </cell>
          <cell r="L1127">
            <v>40</v>
          </cell>
          <cell r="M1127" t="e">
            <v>#N/A</v>
          </cell>
          <cell r="N1127">
            <v>52</v>
          </cell>
          <cell r="O1127" t="e">
            <v>#N/A</v>
          </cell>
          <cell r="P1127" t="str">
            <v/>
          </cell>
          <cell r="Q1127" t="str">
            <v/>
          </cell>
          <cell r="R1127" t="e">
            <v>#N/A</v>
          </cell>
        </row>
        <row r="1128">
          <cell r="A1128" t="str">
            <v/>
          </cell>
          <cell r="B1128" t="str">
            <v/>
          </cell>
          <cell r="C1128" t="str">
            <v>Future</v>
          </cell>
          <cell r="D1128" t="e">
            <v>#N/A</v>
          </cell>
          <cell r="E1128">
            <v>-69.677103174603914</v>
          </cell>
          <cell r="F1128">
            <v>77.088769841267819</v>
          </cell>
          <cell r="G1128">
            <v>20.640357142856491</v>
          </cell>
          <cell r="H1128">
            <v>20.640357142856491</v>
          </cell>
          <cell r="I1128" t="e">
            <v>#N/A</v>
          </cell>
          <cell r="J1128" t="e">
            <v>#N/A</v>
          </cell>
          <cell r="K1128">
            <v>65</v>
          </cell>
          <cell r="L1128">
            <v>40</v>
          </cell>
          <cell r="M1128" t="e">
            <v>#N/A</v>
          </cell>
          <cell r="N1128">
            <v>52</v>
          </cell>
          <cell r="O1128" t="e">
            <v>#N/A</v>
          </cell>
          <cell r="P1128" t="str">
            <v/>
          </cell>
          <cell r="Q1128" t="str">
            <v/>
          </cell>
          <cell r="R1128" t="e">
            <v>#N/A</v>
          </cell>
        </row>
        <row r="1129">
          <cell r="A1129" t="str">
            <v/>
          </cell>
          <cell r="B1129" t="str">
            <v/>
          </cell>
          <cell r="C1129" t="str">
            <v>Future</v>
          </cell>
          <cell r="D1129" t="e">
            <v>#N/A</v>
          </cell>
          <cell r="E1129">
            <v>-69.896904761905503</v>
          </cell>
          <cell r="F1129">
            <v>77.126904761902736</v>
          </cell>
          <cell r="G1129">
            <v>20.579285714285064</v>
          </cell>
          <cell r="H1129">
            <v>20.579285714285064</v>
          </cell>
          <cell r="I1129" t="e">
            <v>#N/A</v>
          </cell>
          <cell r="J1129" t="e">
            <v>#N/A</v>
          </cell>
          <cell r="K1129">
            <v>65</v>
          </cell>
          <cell r="L1129">
            <v>40</v>
          </cell>
          <cell r="M1129" t="e">
            <v>#N/A</v>
          </cell>
          <cell r="N1129">
            <v>52</v>
          </cell>
          <cell r="O1129" t="e">
            <v>#N/A</v>
          </cell>
          <cell r="P1129" t="str">
            <v/>
          </cell>
          <cell r="Q1129" t="str">
            <v/>
          </cell>
          <cell r="R1129" t="e">
            <v>#N/A</v>
          </cell>
        </row>
        <row r="1130">
          <cell r="A1130" t="str">
            <v/>
          </cell>
          <cell r="B1130" t="str">
            <v/>
          </cell>
          <cell r="C1130" t="str">
            <v>Future</v>
          </cell>
          <cell r="D1130" t="e">
            <v>#N/A</v>
          </cell>
          <cell r="E1130">
            <v>-70.116706349207092</v>
          </cell>
          <cell r="F1130">
            <v>77.165039682537653</v>
          </cell>
          <cell r="G1130">
            <v>20.518214285713636</v>
          </cell>
          <cell r="H1130">
            <v>20.518214285713636</v>
          </cell>
          <cell r="I1130" t="e">
            <v>#N/A</v>
          </cell>
          <cell r="J1130" t="e">
            <v>#N/A</v>
          </cell>
          <cell r="K1130">
            <v>65</v>
          </cell>
          <cell r="L1130">
            <v>40</v>
          </cell>
          <cell r="M1130" t="e">
            <v>#N/A</v>
          </cell>
          <cell r="N1130">
            <v>52</v>
          </cell>
          <cell r="O1130" t="e">
            <v>#N/A</v>
          </cell>
          <cell r="P1130" t="str">
            <v/>
          </cell>
          <cell r="Q1130" t="str">
            <v/>
          </cell>
          <cell r="R1130" t="e">
            <v>#N/A</v>
          </cell>
        </row>
        <row r="1131">
          <cell r="A1131" t="str">
            <v/>
          </cell>
          <cell r="B1131" t="str">
            <v/>
          </cell>
          <cell r="C1131" t="str">
            <v>Future</v>
          </cell>
          <cell r="D1131" t="e">
            <v>#N/A</v>
          </cell>
          <cell r="E1131">
            <v>-70.336507936508681</v>
          </cell>
          <cell r="F1131">
            <v>77.20317460317257</v>
          </cell>
          <cell r="G1131">
            <v>20.457142857142209</v>
          </cell>
          <cell r="H1131">
            <v>20.457142857142209</v>
          </cell>
          <cell r="I1131" t="e">
            <v>#N/A</v>
          </cell>
          <cell r="J1131" t="e">
            <v>#N/A</v>
          </cell>
          <cell r="K1131">
            <v>65</v>
          </cell>
          <cell r="L1131">
            <v>40</v>
          </cell>
          <cell r="M1131" t="e">
            <v>#N/A</v>
          </cell>
          <cell r="N1131">
            <v>52</v>
          </cell>
          <cell r="O1131" t="e">
            <v>#N/A</v>
          </cell>
          <cell r="P1131" t="str">
            <v/>
          </cell>
          <cell r="Q1131" t="str">
            <v/>
          </cell>
          <cell r="R1131" t="e">
            <v>#N/A</v>
          </cell>
        </row>
        <row r="1132">
          <cell r="A1132" t="str">
            <v/>
          </cell>
          <cell r="B1132" t="str">
            <v/>
          </cell>
          <cell r="C1132" t="str">
            <v>Future</v>
          </cell>
          <cell r="D1132" t="e">
            <v>#N/A</v>
          </cell>
          <cell r="E1132">
            <v>-70.55630952381027</v>
          </cell>
          <cell r="F1132">
            <v>77.241309523807487</v>
          </cell>
          <cell r="G1132">
            <v>20.396071428570782</v>
          </cell>
          <cell r="H1132">
            <v>20.396071428570782</v>
          </cell>
          <cell r="I1132" t="e">
            <v>#N/A</v>
          </cell>
          <cell r="J1132" t="e">
            <v>#N/A</v>
          </cell>
          <cell r="K1132">
            <v>65</v>
          </cell>
          <cell r="L1132">
            <v>40</v>
          </cell>
          <cell r="M1132" t="e">
            <v>#N/A</v>
          </cell>
          <cell r="N1132">
            <v>52</v>
          </cell>
          <cell r="O1132" t="e">
            <v>#N/A</v>
          </cell>
          <cell r="P1132" t="str">
            <v/>
          </cell>
          <cell r="Q1132" t="str">
            <v/>
          </cell>
          <cell r="R1132" t="e">
            <v>#N/A</v>
          </cell>
        </row>
        <row r="1133">
          <cell r="A1133" t="str">
            <v/>
          </cell>
          <cell r="B1133" t="str">
            <v/>
          </cell>
          <cell r="C1133" t="str">
            <v>Future</v>
          </cell>
          <cell r="D1133" t="e">
            <v>#N/A</v>
          </cell>
          <cell r="E1133">
            <v>-70.776111111111859</v>
          </cell>
          <cell r="F1133">
            <v>77.279444444442404</v>
          </cell>
          <cell r="G1133">
            <v>20.334999999999354</v>
          </cell>
          <cell r="H1133">
            <v>20.334999999999354</v>
          </cell>
          <cell r="I1133" t="e">
            <v>#N/A</v>
          </cell>
          <cell r="J1133" t="e">
            <v>#N/A</v>
          </cell>
          <cell r="K1133">
            <v>65</v>
          </cell>
          <cell r="L1133">
            <v>40</v>
          </cell>
          <cell r="M1133" t="e">
            <v>#N/A</v>
          </cell>
          <cell r="N1133">
            <v>52</v>
          </cell>
          <cell r="O1133" t="e">
            <v>#N/A</v>
          </cell>
          <cell r="P1133" t="str">
            <v/>
          </cell>
          <cell r="Q1133" t="str">
            <v/>
          </cell>
          <cell r="R1133" t="e">
            <v>#N/A</v>
          </cell>
        </row>
        <row r="1134">
          <cell r="A1134" t="str">
            <v/>
          </cell>
          <cell r="B1134" t="str">
            <v/>
          </cell>
          <cell r="C1134" t="str">
            <v>Future</v>
          </cell>
          <cell r="D1134" t="e">
            <v>#N/A</v>
          </cell>
          <cell r="E1134">
            <v>-70.995912698413449</v>
          </cell>
          <cell r="F1134">
            <v>77.317579365077322</v>
          </cell>
          <cell r="G1134">
            <v>20.273928571427927</v>
          </cell>
          <cell r="H1134">
            <v>20.273928571427927</v>
          </cell>
          <cell r="I1134" t="e">
            <v>#N/A</v>
          </cell>
          <cell r="J1134" t="e">
            <v>#N/A</v>
          </cell>
          <cell r="K1134">
            <v>65</v>
          </cell>
          <cell r="L1134">
            <v>40</v>
          </cell>
          <cell r="M1134" t="e">
            <v>#N/A</v>
          </cell>
          <cell r="N1134">
            <v>52</v>
          </cell>
          <cell r="O1134" t="e">
            <v>#N/A</v>
          </cell>
          <cell r="P1134" t="str">
            <v/>
          </cell>
          <cell r="Q1134" t="str">
            <v/>
          </cell>
          <cell r="R1134" t="e">
            <v>#N/A</v>
          </cell>
        </row>
        <row r="1135">
          <cell r="A1135" t="str">
            <v/>
          </cell>
          <cell r="B1135" t="str">
            <v/>
          </cell>
          <cell r="C1135" t="str">
            <v>Future</v>
          </cell>
          <cell r="D1135" t="e">
            <v>#N/A</v>
          </cell>
          <cell r="E1135">
            <v>-71.215714285715038</v>
          </cell>
          <cell r="F1135">
            <v>77.355714285712239</v>
          </cell>
          <cell r="G1135">
            <v>20.2128571428565</v>
          </cell>
          <cell r="H1135">
            <v>20.2128571428565</v>
          </cell>
          <cell r="I1135" t="e">
            <v>#N/A</v>
          </cell>
          <cell r="J1135" t="e">
            <v>#N/A</v>
          </cell>
          <cell r="K1135">
            <v>65</v>
          </cell>
          <cell r="L1135">
            <v>40</v>
          </cell>
          <cell r="M1135" t="e">
            <v>#N/A</v>
          </cell>
          <cell r="N1135">
            <v>52</v>
          </cell>
          <cell r="O1135" t="e">
            <v>#N/A</v>
          </cell>
          <cell r="P1135" t="str">
            <v/>
          </cell>
          <cell r="Q1135" t="str">
            <v/>
          </cell>
          <cell r="R1135" t="e">
            <v>#N/A</v>
          </cell>
        </row>
        <row r="1136">
          <cell r="A1136" t="str">
            <v/>
          </cell>
          <cell r="B1136" t="str">
            <v/>
          </cell>
          <cell r="C1136" t="str">
            <v>Future</v>
          </cell>
          <cell r="D1136" t="e">
            <v>#N/A</v>
          </cell>
          <cell r="E1136">
            <v>-71.435515873016627</v>
          </cell>
          <cell r="F1136">
            <v>77.393849206347156</v>
          </cell>
          <cell r="G1136">
            <v>20.151785714285072</v>
          </cell>
          <cell r="H1136">
            <v>20.151785714285072</v>
          </cell>
          <cell r="I1136" t="e">
            <v>#N/A</v>
          </cell>
          <cell r="J1136" t="e">
            <v>#N/A</v>
          </cell>
          <cell r="K1136">
            <v>65</v>
          </cell>
          <cell r="L1136">
            <v>40</v>
          </cell>
          <cell r="M1136" t="e">
            <v>#N/A</v>
          </cell>
          <cell r="N1136">
            <v>52</v>
          </cell>
          <cell r="O1136" t="e">
            <v>#N/A</v>
          </cell>
          <cell r="P1136" t="str">
            <v/>
          </cell>
          <cell r="Q1136" t="str">
            <v/>
          </cell>
          <cell r="R1136" t="e">
            <v>#N/A</v>
          </cell>
        </row>
        <row r="1137">
          <cell r="A1137" t="str">
            <v/>
          </cell>
          <cell r="B1137" t="str">
            <v/>
          </cell>
          <cell r="C1137" t="str">
            <v>Future</v>
          </cell>
          <cell r="D1137" t="e">
            <v>#N/A</v>
          </cell>
          <cell r="E1137">
            <v>-71.655317460318216</v>
          </cell>
          <cell r="F1137">
            <v>77.431984126982073</v>
          </cell>
          <cell r="G1137">
            <v>20.090714285713645</v>
          </cell>
          <cell r="H1137">
            <v>20.090714285713645</v>
          </cell>
          <cell r="I1137" t="e">
            <v>#N/A</v>
          </cell>
          <cell r="J1137" t="e">
            <v>#N/A</v>
          </cell>
          <cell r="K1137">
            <v>65</v>
          </cell>
          <cell r="L1137">
            <v>40</v>
          </cell>
          <cell r="M1137" t="e">
            <v>#N/A</v>
          </cell>
          <cell r="N1137">
            <v>52</v>
          </cell>
          <cell r="O1137" t="e">
            <v>#N/A</v>
          </cell>
          <cell r="P1137" t="str">
            <v/>
          </cell>
          <cell r="Q1137" t="str">
            <v/>
          </cell>
          <cell r="R1137" t="e">
            <v>#N/A</v>
          </cell>
        </row>
        <row r="1138">
          <cell r="A1138" t="str">
            <v/>
          </cell>
          <cell r="B1138" t="str">
            <v/>
          </cell>
          <cell r="C1138" t="str">
            <v>Future</v>
          </cell>
          <cell r="D1138" t="e">
            <v>#N/A</v>
          </cell>
          <cell r="E1138">
            <v>-71.875119047619805</v>
          </cell>
          <cell r="F1138">
            <v>77.47011904761699</v>
          </cell>
          <cell r="G1138">
            <v>20.029642857142218</v>
          </cell>
          <cell r="H1138">
            <v>20.029642857142218</v>
          </cell>
          <cell r="I1138" t="e">
            <v>#N/A</v>
          </cell>
          <cell r="J1138" t="e">
            <v>#N/A</v>
          </cell>
          <cell r="K1138">
            <v>65</v>
          </cell>
          <cell r="L1138">
            <v>40</v>
          </cell>
          <cell r="M1138" t="e">
            <v>#N/A</v>
          </cell>
          <cell r="N1138">
            <v>52</v>
          </cell>
          <cell r="O1138" t="e">
            <v>#N/A</v>
          </cell>
          <cell r="P1138" t="str">
            <v/>
          </cell>
          <cell r="Q1138" t="str">
            <v/>
          </cell>
          <cell r="R1138" t="e">
            <v>#N/A</v>
          </cell>
        </row>
        <row r="1139">
          <cell r="A1139" t="str">
            <v/>
          </cell>
          <cell r="B1139" t="str">
            <v/>
          </cell>
          <cell r="C1139" t="str">
            <v>Future</v>
          </cell>
          <cell r="D1139" t="e">
            <v>#N/A</v>
          </cell>
          <cell r="E1139">
            <v>-72.094920634921394</v>
          </cell>
          <cell r="F1139">
            <v>77.508253968251907</v>
          </cell>
          <cell r="G1139">
            <v>19.96857142857079</v>
          </cell>
          <cell r="H1139">
            <v>19.96857142857079</v>
          </cell>
          <cell r="I1139" t="e">
            <v>#N/A</v>
          </cell>
          <cell r="J1139" t="e">
            <v>#N/A</v>
          </cell>
          <cell r="K1139">
            <v>65</v>
          </cell>
          <cell r="L1139">
            <v>40</v>
          </cell>
          <cell r="M1139" t="e">
            <v>#N/A</v>
          </cell>
          <cell r="N1139">
            <v>52</v>
          </cell>
          <cell r="O1139" t="e">
            <v>#N/A</v>
          </cell>
          <cell r="P1139" t="str">
            <v/>
          </cell>
          <cell r="Q1139" t="str">
            <v/>
          </cell>
          <cell r="R1139" t="e">
            <v>#N/A</v>
          </cell>
        </row>
        <row r="1140">
          <cell r="A1140" t="str">
            <v/>
          </cell>
          <cell r="B1140" t="str">
            <v/>
          </cell>
          <cell r="C1140" t="str">
            <v>Future</v>
          </cell>
          <cell r="D1140" t="e">
            <v>#N/A</v>
          </cell>
          <cell r="E1140">
            <v>-72.314722222222983</v>
          </cell>
          <cell r="F1140">
            <v>77.546388888886824</v>
          </cell>
          <cell r="G1140">
            <v>19.907499999999363</v>
          </cell>
          <cell r="H1140">
            <v>19.907499999999363</v>
          </cell>
          <cell r="I1140" t="e">
            <v>#N/A</v>
          </cell>
          <cell r="J1140" t="e">
            <v>#N/A</v>
          </cell>
          <cell r="K1140">
            <v>65</v>
          </cell>
          <cell r="L1140">
            <v>40</v>
          </cell>
          <cell r="M1140" t="e">
            <v>#N/A</v>
          </cell>
          <cell r="N1140">
            <v>52</v>
          </cell>
          <cell r="O1140" t="e">
            <v>#N/A</v>
          </cell>
          <cell r="P1140" t="str">
            <v/>
          </cell>
          <cell r="Q1140" t="str">
            <v/>
          </cell>
          <cell r="R1140" t="e">
            <v>#N/A</v>
          </cell>
        </row>
        <row r="1141">
          <cell r="A1141" t="str">
            <v/>
          </cell>
          <cell r="B1141" t="str">
            <v/>
          </cell>
          <cell r="C1141" t="str">
            <v>Future</v>
          </cell>
          <cell r="D1141" t="e">
            <v>#N/A</v>
          </cell>
          <cell r="E1141">
            <v>-72.534523809524572</v>
          </cell>
          <cell r="F1141">
            <v>77.584523809521741</v>
          </cell>
          <cell r="G1141">
            <v>19.846428571427936</v>
          </cell>
          <cell r="H1141">
            <v>19.846428571427936</v>
          </cell>
          <cell r="I1141" t="e">
            <v>#N/A</v>
          </cell>
          <cell r="J1141" t="e">
            <v>#N/A</v>
          </cell>
          <cell r="K1141">
            <v>65</v>
          </cell>
          <cell r="L1141">
            <v>40</v>
          </cell>
          <cell r="M1141" t="e">
            <v>#N/A</v>
          </cell>
          <cell r="N1141">
            <v>52</v>
          </cell>
          <cell r="O1141" t="e">
            <v>#N/A</v>
          </cell>
          <cell r="P1141" t="str">
            <v/>
          </cell>
          <cell r="Q1141" t="str">
            <v/>
          </cell>
          <cell r="R1141" t="e">
            <v>#N/A</v>
          </cell>
        </row>
        <row r="1142">
          <cell r="A1142" t="str">
            <v/>
          </cell>
          <cell r="B1142" t="str">
            <v/>
          </cell>
          <cell r="C1142" t="str">
            <v>Future</v>
          </cell>
          <cell r="D1142" t="e">
            <v>#N/A</v>
          </cell>
          <cell r="E1142">
            <v>-72.754325396826161</v>
          </cell>
          <cell r="F1142">
            <v>77.622658730156658</v>
          </cell>
          <cell r="G1142">
            <v>19.785357142856508</v>
          </cell>
          <cell r="H1142">
            <v>19.785357142856508</v>
          </cell>
          <cell r="I1142" t="e">
            <v>#N/A</v>
          </cell>
          <cell r="J1142" t="e">
            <v>#N/A</v>
          </cell>
          <cell r="K1142">
            <v>65</v>
          </cell>
          <cell r="L1142">
            <v>40</v>
          </cell>
          <cell r="M1142" t="e">
            <v>#N/A</v>
          </cell>
          <cell r="N1142">
            <v>52</v>
          </cell>
          <cell r="O1142" t="e">
            <v>#N/A</v>
          </cell>
          <cell r="P1142" t="str">
            <v/>
          </cell>
          <cell r="Q1142" t="str">
            <v/>
          </cell>
          <cell r="R1142" t="e">
            <v>#N/A</v>
          </cell>
        </row>
        <row r="1143">
          <cell r="A1143" t="str">
            <v/>
          </cell>
          <cell r="B1143" t="str">
            <v/>
          </cell>
          <cell r="C1143" t="str">
            <v>Future</v>
          </cell>
          <cell r="D1143" t="e">
            <v>#N/A</v>
          </cell>
          <cell r="E1143">
            <v>-72.97412698412775</v>
          </cell>
          <cell r="F1143">
            <v>77.660793650791575</v>
          </cell>
          <cell r="G1143">
            <v>19.724285714285081</v>
          </cell>
          <cell r="H1143">
            <v>19.724285714285081</v>
          </cell>
          <cell r="I1143" t="e">
            <v>#N/A</v>
          </cell>
          <cell r="J1143" t="e">
            <v>#N/A</v>
          </cell>
          <cell r="K1143">
            <v>65</v>
          </cell>
          <cell r="L1143">
            <v>40</v>
          </cell>
          <cell r="M1143" t="e">
            <v>#N/A</v>
          </cell>
          <cell r="N1143">
            <v>52</v>
          </cell>
          <cell r="O1143" t="e">
            <v>#N/A</v>
          </cell>
          <cell r="P1143" t="str">
            <v/>
          </cell>
          <cell r="Q1143" t="str">
            <v/>
          </cell>
          <cell r="R1143" t="e">
            <v>#N/A</v>
          </cell>
        </row>
        <row r="1144">
          <cell r="A1144" t="str">
            <v/>
          </cell>
          <cell r="B1144" t="str">
            <v/>
          </cell>
          <cell r="C1144" t="str">
            <v>Future</v>
          </cell>
          <cell r="D1144" t="e">
            <v>#N/A</v>
          </cell>
          <cell r="E1144">
            <v>-73.193928571429339</v>
          </cell>
          <cell r="F1144">
            <v>77.698928571426492</v>
          </cell>
          <cell r="G1144">
            <v>19.663214285713654</v>
          </cell>
          <cell r="H1144">
            <v>19.663214285713654</v>
          </cell>
          <cell r="I1144" t="e">
            <v>#N/A</v>
          </cell>
          <cell r="J1144" t="e">
            <v>#N/A</v>
          </cell>
          <cell r="K1144">
            <v>65</v>
          </cell>
          <cell r="L1144">
            <v>40</v>
          </cell>
          <cell r="M1144" t="e">
            <v>#N/A</v>
          </cell>
          <cell r="N1144">
            <v>52</v>
          </cell>
          <cell r="O1144" t="e">
            <v>#N/A</v>
          </cell>
          <cell r="P1144" t="str">
            <v/>
          </cell>
          <cell r="Q1144" t="str">
            <v/>
          </cell>
          <cell r="R1144" t="e">
            <v>#N/A</v>
          </cell>
        </row>
        <row r="1145">
          <cell r="A1145" t="str">
            <v/>
          </cell>
          <cell r="B1145" t="str">
            <v/>
          </cell>
          <cell r="C1145" t="str">
            <v>Future</v>
          </cell>
          <cell r="D1145" t="e">
            <v>#N/A</v>
          </cell>
          <cell r="E1145">
            <v>-73.413730158730928</v>
          </cell>
          <cell r="F1145">
            <v>77.737063492061409</v>
          </cell>
          <cell r="G1145">
            <v>19.602142857142226</v>
          </cell>
          <cell r="H1145">
            <v>19.602142857142226</v>
          </cell>
          <cell r="I1145" t="e">
            <v>#N/A</v>
          </cell>
          <cell r="J1145" t="e">
            <v>#N/A</v>
          </cell>
          <cell r="K1145">
            <v>65</v>
          </cell>
          <cell r="L1145">
            <v>40</v>
          </cell>
          <cell r="M1145" t="e">
            <v>#N/A</v>
          </cell>
          <cell r="N1145">
            <v>52</v>
          </cell>
          <cell r="O1145" t="e">
            <v>#N/A</v>
          </cell>
          <cell r="P1145" t="str">
            <v/>
          </cell>
          <cell r="Q1145" t="str">
            <v/>
          </cell>
          <cell r="R1145" t="e">
            <v>#N/A</v>
          </cell>
        </row>
        <row r="1146">
          <cell r="A1146" t="str">
            <v/>
          </cell>
          <cell r="B1146" t="str">
            <v/>
          </cell>
          <cell r="C1146" t="str">
            <v>Future</v>
          </cell>
          <cell r="D1146" t="e">
            <v>#N/A</v>
          </cell>
          <cell r="E1146">
            <v>-73.633531746032517</v>
          </cell>
          <cell r="F1146">
            <v>77.775198412696326</v>
          </cell>
          <cell r="G1146">
            <v>19.541071428570799</v>
          </cell>
          <cell r="H1146">
            <v>19.541071428570799</v>
          </cell>
          <cell r="I1146" t="e">
            <v>#N/A</v>
          </cell>
          <cell r="J1146" t="e">
            <v>#N/A</v>
          </cell>
          <cell r="K1146">
            <v>65</v>
          </cell>
          <cell r="L1146">
            <v>40</v>
          </cell>
          <cell r="M1146" t="e">
            <v>#N/A</v>
          </cell>
          <cell r="N1146">
            <v>52</v>
          </cell>
          <cell r="O1146" t="e">
            <v>#N/A</v>
          </cell>
          <cell r="P1146" t="str">
            <v/>
          </cell>
          <cell r="Q1146" t="str">
            <v/>
          </cell>
          <cell r="R1146" t="e">
            <v>#N/A</v>
          </cell>
        </row>
        <row r="1147">
          <cell r="A1147" t="str">
            <v/>
          </cell>
          <cell r="B1147" t="str">
            <v/>
          </cell>
          <cell r="C1147" t="str">
            <v>Future</v>
          </cell>
          <cell r="D1147" t="e">
            <v>#N/A</v>
          </cell>
          <cell r="E1147">
            <v>-73.853333333334106</v>
          </cell>
          <cell r="F1147">
            <v>77.813333333331244</v>
          </cell>
          <cell r="G1147">
            <v>19.479999999999372</v>
          </cell>
          <cell r="H1147">
            <v>19.479999999999372</v>
          </cell>
          <cell r="I1147" t="e">
            <v>#N/A</v>
          </cell>
          <cell r="J1147" t="e">
            <v>#N/A</v>
          </cell>
          <cell r="K1147">
            <v>65</v>
          </cell>
          <cell r="L1147">
            <v>40</v>
          </cell>
          <cell r="M1147" t="e">
            <v>#N/A</v>
          </cell>
          <cell r="N1147">
            <v>52</v>
          </cell>
          <cell r="O1147" t="e">
            <v>#N/A</v>
          </cell>
          <cell r="P1147" t="str">
            <v/>
          </cell>
          <cell r="Q1147" t="str">
            <v/>
          </cell>
          <cell r="R1147" t="e">
            <v>#N/A</v>
          </cell>
        </row>
        <row r="1148">
          <cell r="A1148" t="str">
            <v/>
          </cell>
          <cell r="B1148" t="str">
            <v/>
          </cell>
          <cell r="C1148" t="str">
            <v>Future</v>
          </cell>
          <cell r="D1148" t="e">
            <v>#N/A</v>
          </cell>
          <cell r="E1148">
            <v>-74.073134920635695</v>
          </cell>
          <cell r="F1148">
            <v>77.851468253966161</v>
          </cell>
          <cell r="G1148">
            <v>19.418928571427944</v>
          </cell>
          <cell r="H1148">
            <v>19.418928571427944</v>
          </cell>
          <cell r="I1148" t="e">
            <v>#N/A</v>
          </cell>
          <cell r="J1148" t="e">
            <v>#N/A</v>
          </cell>
          <cell r="K1148">
            <v>65</v>
          </cell>
          <cell r="L1148">
            <v>40</v>
          </cell>
          <cell r="M1148" t="e">
            <v>#N/A</v>
          </cell>
          <cell r="N1148">
            <v>52</v>
          </cell>
          <cell r="O1148" t="e">
            <v>#N/A</v>
          </cell>
          <cell r="P1148" t="str">
            <v/>
          </cell>
          <cell r="Q1148" t="str">
            <v/>
          </cell>
          <cell r="R1148" t="e">
            <v>#N/A</v>
          </cell>
        </row>
        <row r="1149">
          <cell r="A1149" t="str">
            <v/>
          </cell>
          <cell r="B1149" t="str">
            <v/>
          </cell>
          <cell r="C1149" t="str">
            <v>Future</v>
          </cell>
          <cell r="D1149" t="e">
            <v>#N/A</v>
          </cell>
          <cell r="E1149">
            <v>-74.292936507937284</v>
          </cell>
          <cell r="F1149">
            <v>77.889603174601078</v>
          </cell>
          <cell r="G1149">
            <v>19.357857142856517</v>
          </cell>
          <cell r="H1149">
            <v>19.357857142856517</v>
          </cell>
          <cell r="I1149" t="e">
            <v>#N/A</v>
          </cell>
          <cell r="J1149" t="e">
            <v>#N/A</v>
          </cell>
          <cell r="K1149">
            <v>65</v>
          </cell>
          <cell r="L1149">
            <v>40</v>
          </cell>
          <cell r="M1149" t="e">
            <v>#N/A</v>
          </cell>
          <cell r="N1149">
            <v>52</v>
          </cell>
          <cell r="O1149" t="e">
            <v>#N/A</v>
          </cell>
          <cell r="P1149" t="str">
            <v/>
          </cell>
          <cell r="Q1149" t="str">
            <v/>
          </cell>
          <cell r="R1149" t="e">
            <v>#N/A</v>
          </cell>
        </row>
        <row r="1150">
          <cell r="A1150" t="str">
            <v/>
          </cell>
          <cell r="B1150" t="str">
            <v/>
          </cell>
          <cell r="C1150" t="str">
            <v>Future</v>
          </cell>
          <cell r="D1150" t="e">
            <v>#N/A</v>
          </cell>
          <cell r="E1150">
            <v>-74.512738095238873</v>
          </cell>
          <cell r="F1150">
            <v>77.927738095235995</v>
          </cell>
          <cell r="G1150">
            <v>19.29678571428509</v>
          </cell>
          <cell r="H1150">
            <v>19.29678571428509</v>
          </cell>
          <cell r="I1150" t="e">
            <v>#N/A</v>
          </cell>
          <cell r="J1150" t="e">
            <v>#N/A</v>
          </cell>
          <cell r="K1150">
            <v>65</v>
          </cell>
          <cell r="L1150">
            <v>40</v>
          </cell>
          <cell r="M1150" t="e">
            <v>#N/A</v>
          </cell>
          <cell r="N1150">
            <v>52</v>
          </cell>
          <cell r="O1150" t="e">
            <v>#N/A</v>
          </cell>
          <cell r="P1150" t="str">
            <v/>
          </cell>
          <cell r="Q1150" t="str">
            <v/>
          </cell>
          <cell r="R1150" t="e">
            <v>#N/A</v>
          </cell>
        </row>
        <row r="1151">
          <cell r="A1151" t="str">
            <v/>
          </cell>
          <cell r="B1151" t="str">
            <v/>
          </cell>
          <cell r="C1151" t="str">
            <v>Future</v>
          </cell>
          <cell r="D1151" t="e">
            <v>#N/A</v>
          </cell>
          <cell r="E1151">
            <v>-74.732539682540462</v>
          </cell>
          <cell r="F1151">
            <v>77.965873015870912</v>
          </cell>
          <cell r="G1151">
            <v>19.235714285713662</v>
          </cell>
          <cell r="H1151">
            <v>19.235714285713662</v>
          </cell>
          <cell r="I1151" t="e">
            <v>#N/A</v>
          </cell>
          <cell r="J1151" t="e">
            <v>#N/A</v>
          </cell>
          <cell r="K1151">
            <v>65</v>
          </cell>
          <cell r="L1151">
            <v>40</v>
          </cell>
          <cell r="M1151" t="e">
            <v>#N/A</v>
          </cell>
          <cell r="N1151">
            <v>52</v>
          </cell>
          <cell r="O1151" t="e">
            <v>#N/A</v>
          </cell>
          <cell r="P1151" t="str">
            <v/>
          </cell>
          <cell r="Q1151" t="str">
            <v/>
          </cell>
          <cell r="R1151" t="e">
            <v>#N/A</v>
          </cell>
        </row>
        <row r="1152">
          <cell r="A1152" t="str">
            <v/>
          </cell>
          <cell r="B1152" t="str">
            <v/>
          </cell>
          <cell r="C1152" t="str">
            <v>Future</v>
          </cell>
          <cell r="D1152" t="e">
            <v>#N/A</v>
          </cell>
          <cell r="E1152">
            <v>-74.952341269842051</v>
          </cell>
          <cell r="F1152">
            <v>78.004007936505829</v>
          </cell>
          <cell r="G1152">
            <v>19.174642857142235</v>
          </cell>
          <cell r="H1152">
            <v>19.174642857142235</v>
          </cell>
          <cell r="I1152" t="e">
            <v>#N/A</v>
          </cell>
          <cell r="J1152" t="e">
            <v>#N/A</v>
          </cell>
          <cell r="K1152">
            <v>65</v>
          </cell>
          <cell r="L1152">
            <v>40</v>
          </cell>
          <cell r="M1152" t="e">
            <v>#N/A</v>
          </cell>
          <cell r="N1152">
            <v>52</v>
          </cell>
          <cell r="O1152" t="e">
            <v>#N/A</v>
          </cell>
          <cell r="P1152" t="str">
            <v/>
          </cell>
          <cell r="Q1152" t="str">
            <v/>
          </cell>
          <cell r="R1152" t="e">
            <v>#N/A</v>
          </cell>
        </row>
        <row r="1153">
          <cell r="A1153" t="str">
            <v/>
          </cell>
          <cell r="B1153" t="str">
            <v/>
          </cell>
          <cell r="C1153" t="str">
            <v>Future</v>
          </cell>
          <cell r="D1153" t="e">
            <v>#N/A</v>
          </cell>
          <cell r="E1153">
            <v>-75.172142857143641</v>
          </cell>
          <cell r="F1153">
            <v>78.042142857140746</v>
          </cell>
          <cell r="G1153">
            <v>19.113571428570808</v>
          </cell>
          <cell r="H1153">
            <v>19.113571428570808</v>
          </cell>
          <cell r="I1153" t="e">
            <v>#N/A</v>
          </cell>
          <cell r="J1153" t="e">
            <v>#N/A</v>
          </cell>
          <cell r="K1153">
            <v>65</v>
          </cell>
          <cell r="L1153">
            <v>40</v>
          </cell>
          <cell r="M1153" t="e">
            <v>#N/A</v>
          </cell>
          <cell r="N1153">
            <v>52</v>
          </cell>
          <cell r="O1153" t="e">
            <v>#N/A</v>
          </cell>
          <cell r="P1153" t="str">
            <v/>
          </cell>
          <cell r="Q1153" t="str">
            <v/>
          </cell>
          <cell r="R1153" t="e">
            <v>#N/A</v>
          </cell>
        </row>
        <row r="1154">
          <cell r="A1154" t="str">
            <v/>
          </cell>
          <cell r="B1154" t="str">
            <v/>
          </cell>
          <cell r="C1154" t="str">
            <v>Future</v>
          </cell>
          <cell r="D1154" t="e">
            <v>#N/A</v>
          </cell>
          <cell r="E1154">
            <v>-75.39194444444523</v>
          </cell>
          <cell r="F1154">
            <v>78.080277777775663</v>
          </cell>
          <cell r="G1154">
            <v>19.05249999999938</v>
          </cell>
          <cell r="H1154">
            <v>19.05249999999938</v>
          </cell>
          <cell r="I1154" t="e">
            <v>#N/A</v>
          </cell>
          <cell r="J1154" t="e">
            <v>#N/A</v>
          </cell>
          <cell r="K1154">
            <v>65</v>
          </cell>
          <cell r="L1154">
            <v>40</v>
          </cell>
          <cell r="M1154" t="e">
            <v>#N/A</v>
          </cell>
          <cell r="N1154">
            <v>52</v>
          </cell>
          <cell r="O1154" t="e">
            <v>#N/A</v>
          </cell>
          <cell r="P1154" t="str">
            <v/>
          </cell>
          <cell r="Q1154" t="str">
            <v/>
          </cell>
          <cell r="R1154" t="e">
            <v>#N/A</v>
          </cell>
        </row>
        <row r="1155">
          <cell r="A1155" t="str">
            <v/>
          </cell>
          <cell r="B1155" t="str">
            <v/>
          </cell>
          <cell r="C1155" t="str">
            <v>Future</v>
          </cell>
          <cell r="D1155" t="e">
            <v>#N/A</v>
          </cell>
          <cell r="E1155">
            <v>-75.611746031746819</v>
          </cell>
          <cell r="F1155">
            <v>78.11841269841058</v>
          </cell>
          <cell r="G1155">
            <v>18.991428571427953</v>
          </cell>
          <cell r="H1155">
            <v>18.991428571427953</v>
          </cell>
          <cell r="I1155" t="e">
            <v>#N/A</v>
          </cell>
          <cell r="J1155" t="e">
            <v>#N/A</v>
          </cell>
          <cell r="K1155">
            <v>65</v>
          </cell>
          <cell r="L1155">
            <v>40</v>
          </cell>
          <cell r="M1155" t="e">
            <v>#N/A</v>
          </cell>
          <cell r="N1155">
            <v>52</v>
          </cell>
          <cell r="O1155" t="e">
            <v>#N/A</v>
          </cell>
          <cell r="P1155" t="str">
            <v/>
          </cell>
          <cell r="Q1155" t="str">
            <v/>
          </cell>
          <cell r="R1155" t="e">
            <v>#N/A</v>
          </cell>
        </row>
        <row r="1156">
          <cell r="A1156" t="str">
            <v/>
          </cell>
          <cell r="B1156" t="str">
            <v/>
          </cell>
          <cell r="C1156" t="str">
            <v>Future</v>
          </cell>
          <cell r="D1156" t="e">
            <v>#N/A</v>
          </cell>
          <cell r="E1156">
            <v>-75.831547619048408</v>
          </cell>
          <cell r="F1156">
            <v>78.156547619045497</v>
          </cell>
          <cell r="G1156">
            <v>18.930357142856526</v>
          </cell>
          <cell r="H1156">
            <v>18.930357142856526</v>
          </cell>
          <cell r="I1156" t="e">
            <v>#N/A</v>
          </cell>
          <cell r="J1156" t="e">
            <v>#N/A</v>
          </cell>
          <cell r="K1156">
            <v>65</v>
          </cell>
          <cell r="L1156">
            <v>40</v>
          </cell>
          <cell r="M1156" t="e">
            <v>#N/A</v>
          </cell>
          <cell r="N1156">
            <v>52</v>
          </cell>
          <cell r="O1156" t="e">
            <v>#N/A</v>
          </cell>
          <cell r="P1156" t="str">
            <v/>
          </cell>
          <cell r="Q1156" t="str">
            <v/>
          </cell>
          <cell r="R1156" t="e">
            <v>#N/A</v>
          </cell>
        </row>
        <row r="1157">
          <cell r="A1157" t="str">
            <v/>
          </cell>
          <cell r="B1157" t="str">
            <v/>
          </cell>
          <cell r="C1157" t="str">
            <v>Future</v>
          </cell>
          <cell r="D1157" t="e">
            <v>#N/A</v>
          </cell>
          <cell r="E1157">
            <v>-76.051349206349997</v>
          </cell>
          <cell r="F1157">
            <v>78.194682539680414</v>
          </cell>
          <cell r="G1157">
            <v>18.869285714285098</v>
          </cell>
          <cell r="H1157">
            <v>18.869285714285098</v>
          </cell>
          <cell r="I1157" t="e">
            <v>#N/A</v>
          </cell>
          <cell r="J1157" t="e">
            <v>#N/A</v>
          </cell>
          <cell r="K1157">
            <v>65</v>
          </cell>
          <cell r="L1157">
            <v>40</v>
          </cell>
          <cell r="M1157" t="e">
            <v>#N/A</v>
          </cell>
          <cell r="N1157">
            <v>52</v>
          </cell>
          <cell r="O1157" t="e">
            <v>#N/A</v>
          </cell>
          <cell r="P1157" t="str">
            <v/>
          </cell>
          <cell r="Q1157" t="str">
            <v/>
          </cell>
          <cell r="R1157" t="e">
            <v>#N/A</v>
          </cell>
        </row>
        <row r="1158">
          <cell r="A1158" t="str">
            <v/>
          </cell>
          <cell r="B1158" t="str">
            <v/>
          </cell>
          <cell r="C1158" t="str">
            <v>Future</v>
          </cell>
          <cell r="D1158" t="e">
            <v>#N/A</v>
          </cell>
          <cell r="E1158">
            <v>-76.271150793651586</v>
          </cell>
          <cell r="F1158">
            <v>78.232817460315331</v>
          </cell>
          <cell r="G1158">
            <v>18.808214285713671</v>
          </cell>
          <cell r="H1158">
            <v>18.808214285713671</v>
          </cell>
          <cell r="I1158" t="e">
            <v>#N/A</v>
          </cell>
          <cell r="J1158" t="e">
            <v>#N/A</v>
          </cell>
          <cell r="K1158">
            <v>65</v>
          </cell>
          <cell r="L1158">
            <v>40</v>
          </cell>
          <cell r="M1158" t="e">
            <v>#N/A</v>
          </cell>
          <cell r="N1158">
            <v>52</v>
          </cell>
          <cell r="O1158" t="e">
            <v>#N/A</v>
          </cell>
          <cell r="P1158" t="str">
            <v/>
          </cell>
          <cell r="Q1158" t="str">
            <v/>
          </cell>
          <cell r="R1158" t="e">
            <v>#N/A</v>
          </cell>
        </row>
        <row r="1159">
          <cell r="A1159" t="str">
            <v/>
          </cell>
          <cell r="B1159" t="str">
            <v/>
          </cell>
          <cell r="C1159" t="str">
            <v>Future</v>
          </cell>
          <cell r="D1159" t="e">
            <v>#N/A</v>
          </cell>
          <cell r="E1159">
            <v>-76.490952380953175</v>
          </cell>
          <cell r="F1159">
            <v>78.270952380950249</v>
          </cell>
          <cell r="G1159">
            <v>18.747142857142244</v>
          </cell>
          <cell r="H1159">
            <v>18.747142857142244</v>
          </cell>
          <cell r="I1159" t="e">
            <v>#N/A</v>
          </cell>
          <cell r="J1159" t="e">
            <v>#N/A</v>
          </cell>
          <cell r="K1159">
            <v>65</v>
          </cell>
          <cell r="L1159">
            <v>40</v>
          </cell>
          <cell r="M1159" t="e">
            <v>#N/A</v>
          </cell>
          <cell r="N1159">
            <v>52</v>
          </cell>
          <cell r="O1159" t="e">
            <v>#N/A</v>
          </cell>
          <cell r="P1159" t="str">
            <v/>
          </cell>
          <cell r="Q1159" t="str">
            <v/>
          </cell>
          <cell r="R1159" t="e">
            <v>#N/A</v>
          </cell>
        </row>
        <row r="1160">
          <cell r="A1160" t="str">
            <v/>
          </cell>
          <cell r="B1160" t="str">
            <v/>
          </cell>
          <cell r="C1160" t="str">
            <v>Future</v>
          </cell>
          <cell r="D1160" t="e">
            <v>#N/A</v>
          </cell>
          <cell r="E1160">
            <v>-76.710753968254764</v>
          </cell>
          <cell r="F1160">
            <v>78.309087301585166</v>
          </cell>
          <cell r="G1160">
            <v>18.686071428570816</v>
          </cell>
          <cell r="H1160">
            <v>18.686071428570816</v>
          </cell>
          <cell r="I1160" t="e">
            <v>#N/A</v>
          </cell>
          <cell r="J1160" t="e">
            <v>#N/A</v>
          </cell>
          <cell r="K1160">
            <v>65</v>
          </cell>
          <cell r="L1160">
            <v>40</v>
          </cell>
          <cell r="M1160" t="e">
            <v>#N/A</v>
          </cell>
          <cell r="N1160">
            <v>52</v>
          </cell>
          <cell r="O1160" t="e">
            <v>#N/A</v>
          </cell>
          <cell r="P1160" t="str">
            <v/>
          </cell>
          <cell r="Q1160" t="str">
            <v/>
          </cell>
          <cell r="R1160" t="e">
            <v>#N/A</v>
          </cell>
        </row>
        <row r="1161">
          <cell r="A1161" t="str">
            <v/>
          </cell>
          <cell r="B1161" t="str">
            <v/>
          </cell>
          <cell r="C1161" t="str">
            <v>Future</v>
          </cell>
          <cell r="D1161" t="e">
            <v>#N/A</v>
          </cell>
          <cell r="E1161">
            <v>-76.930555555556353</v>
          </cell>
          <cell r="F1161">
            <v>78.347222222220083</v>
          </cell>
          <cell r="G1161">
            <v>18.624999999999389</v>
          </cell>
          <cell r="H1161">
            <v>18.624999999999389</v>
          </cell>
          <cell r="I1161" t="e">
            <v>#N/A</v>
          </cell>
          <cell r="J1161" t="e">
            <v>#N/A</v>
          </cell>
          <cell r="K1161">
            <v>65</v>
          </cell>
          <cell r="L1161">
            <v>40</v>
          </cell>
          <cell r="M1161" t="e">
            <v>#N/A</v>
          </cell>
          <cell r="N1161">
            <v>52</v>
          </cell>
          <cell r="O1161" t="e">
            <v>#N/A</v>
          </cell>
          <cell r="P1161" t="str">
            <v/>
          </cell>
          <cell r="Q1161" t="str">
            <v/>
          </cell>
          <cell r="R1161" t="e">
            <v>#N/A</v>
          </cell>
        </row>
        <row r="1162">
          <cell r="A1162" t="str">
            <v/>
          </cell>
          <cell r="B1162" t="str">
            <v/>
          </cell>
          <cell r="C1162" t="str">
            <v>Future</v>
          </cell>
          <cell r="D1162" t="e">
            <v>#N/A</v>
          </cell>
          <cell r="E1162">
            <v>-77.150357142857942</v>
          </cell>
          <cell r="F1162">
            <v>78.385357142855</v>
          </cell>
          <cell r="G1162">
            <v>18.563928571427962</v>
          </cell>
          <cell r="H1162">
            <v>18.563928571427962</v>
          </cell>
          <cell r="I1162" t="e">
            <v>#N/A</v>
          </cell>
          <cell r="J1162" t="e">
            <v>#N/A</v>
          </cell>
          <cell r="K1162">
            <v>65</v>
          </cell>
          <cell r="L1162">
            <v>40</v>
          </cell>
          <cell r="M1162" t="e">
            <v>#N/A</v>
          </cell>
          <cell r="N1162">
            <v>52</v>
          </cell>
          <cell r="O1162" t="e">
            <v>#N/A</v>
          </cell>
          <cell r="P1162" t="str">
            <v/>
          </cell>
          <cell r="Q1162" t="str">
            <v/>
          </cell>
          <cell r="R1162" t="e">
            <v>#N/A</v>
          </cell>
        </row>
        <row r="1163">
          <cell r="A1163" t="str">
            <v/>
          </cell>
          <cell r="B1163" t="str">
            <v/>
          </cell>
          <cell r="C1163" t="str">
            <v>Future</v>
          </cell>
          <cell r="D1163" t="e">
            <v>#N/A</v>
          </cell>
          <cell r="E1163">
            <v>-77.370158730159531</v>
          </cell>
          <cell r="F1163">
            <v>78.423492063489917</v>
          </cell>
          <cell r="G1163">
            <v>18.502857142856534</v>
          </cell>
          <cell r="H1163">
            <v>18.502857142856534</v>
          </cell>
          <cell r="I1163" t="e">
            <v>#N/A</v>
          </cell>
          <cell r="J1163" t="e">
            <v>#N/A</v>
          </cell>
          <cell r="K1163">
            <v>65</v>
          </cell>
          <cell r="L1163">
            <v>40</v>
          </cell>
          <cell r="M1163" t="e">
            <v>#N/A</v>
          </cell>
          <cell r="N1163">
            <v>52</v>
          </cell>
          <cell r="O1163" t="e">
            <v>#N/A</v>
          </cell>
          <cell r="P1163" t="str">
            <v/>
          </cell>
          <cell r="Q1163" t="str">
            <v/>
          </cell>
          <cell r="R1163" t="e">
            <v>#N/A</v>
          </cell>
        </row>
        <row r="1164">
          <cell r="A1164" t="str">
            <v/>
          </cell>
          <cell r="B1164" t="str">
            <v/>
          </cell>
          <cell r="C1164" t="str">
            <v>Future</v>
          </cell>
          <cell r="D1164" t="e">
            <v>#N/A</v>
          </cell>
          <cell r="E1164">
            <v>-77.58996031746112</v>
          </cell>
          <cell r="F1164">
            <v>78.461626984124834</v>
          </cell>
          <cell r="G1164">
            <v>18.441785714285107</v>
          </cell>
          <cell r="H1164">
            <v>18.441785714285107</v>
          </cell>
          <cell r="I1164" t="e">
            <v>#N/A</v>
          </cell>
          <cell r="J1164" t="e">
            <v>#N/A</v>
          </cell>
          <cell r="K1164">
            <v>65</v>
          </cell>
          <cell r="L1164">
            <v>40</v>
          </cell>
          <cell r="M1164" t="e">
            <v>#N/A</v>
          </cell>
          <cell r="N1164">
            <v>52</v>
          </cell>
          <cell r="O1164" t="e">
            <v>#N/A</v>
          </cell>
          <cell r="P1164" t="str">
            <v/>
          </cell>
          <cell r="Q1164" t="str">
            <v/>
          </cell>
          <cell r="R1164" t="e">
            <v>#N/A</v>
          </cell>
        </row>
        <row r="1165">
          <cell r="A1165" t="str">
            <v/>
          </cell>
          <cell r="B1165" t="str">
            <v/>
          </cell>
          <cell r="C1165" t="str">
            <v>Future</v>
          </cell>
          <cell r="D1165" t="e">
            <v>#N/A</v>
          </cell>
          <cell r="E1165">
            <v>-77.809761904762709</v>
          </cell>
          <cell r="F1165">
            <v>78.499761904759751</v>
          </cell>
          <cell r="G1165">
            <v>18.38071428571368</v>
          </cell>
          <cell r="H1165">
            <v>18.38071428571368</v>
          </cell>
          <cell r="I1165" t="e">
            <v>#N/A</v>
          </cell>
          <cell r="J1165" t="e">
            <v>#N/A</v>
          </cell>
          <cell r="K1165">
            <v>65</v>
          </cell>
          <cell r="L1165">
            <v>40</v>
          </cell>
          <cell r="M1165" t="e">
            <v>#N/A</v>
          </cell>
          <cell r="N1165">
            <v>52</v>
          </cell>
          <cell r="O1165" t="e">
            <v>#N/A</v>
          </cell>
          <cell r="P1165" t="str">
            <v/>
          </cell>
          <cell r="Q1165" t="str">
            <v/>
          </cell>
          <cell r="R1165" t="e">
            <v>#N/A</v>
          </cell>
        </row>
        <row r="1166">
          <cell r="A1166" t="str">
            <v/>
          </cell>
          <cell r="B1166" t="str">
            <v/>
          </cell>
          <cell r="C1166" t="str">
            <v>Future</v>
          </cell>
          <cell r="D1166" t="e">
            <v>#N/A</v>
          </cell>
          <cell r="E1166">
            <v>-78.029563492064298</v>
          </cell>
          <cell r="F1166">
            <v>78.537896825394668</v>
          </cell>
          <cell r="G1166">
            <v>18.319642857142252</v>
          </cell>
          <cell r="H1166">
            <v>18.319642857142252</v>
          </cell>
          <cell r="I1166" t="e">
            <v>#N/A</v>
          </cell>
          <cell r="J1166" t="e">
            <v>#N/A</v>
          </cell>
          <cell r="K1166">
            <v>65</v>
          </cell>
          <cell r="L1166">
            <v>40</v>
          </cell>
          <cell r="M1166" t="e">
            <v>#N/A</v>
          </cell>
          <cell r="N1166">
            <v>52</v>
          </cell>
          <cell r="O1166" t="e">
            <v>#N/A</v>
          </cell>
          <cell r="P1166" t="str">
            <v/>
          </cell>
          <cell r="Q1166" t="str">
            <v/>
          </cell>
          <cell r="R1166" t="e">
            <v>#N/A</v>
          </cell>
        </row>
        <row r="1167">
          <cell r="A1167" t="str">
            <v/>
          </cell>
          <cell r="B1167" t="str">
            <v/>
          </cell>
          <cell r="C1167" t="str">
            <v>Future</v>
          </cell>
          <cell r="D1167" t="e">
            <v>#N/A</v>
          </cell>
          <cell r="E1167">
            <v>-78.249365079365887</v>
          </cell>
          <cell r="F1167">
            <v>78.576031746029585</v>
          </cell>
          <cell r="G1167">
            <v>18.258571428570825</v>
          </cell>
          <cell r="H1167">
            <v>18.258571428570825</v>
          </cell>
          <cell r="I1167" t="e">
            <v>#N/A</v>
          </cell>
          <cell r="J1167" t="e">
            <v>#N/A</v>
          </cell>
          <cell r="K1167">
            <v>65</v>
          </cell>
          <cell r="L1167">
            <v>40</v>
          </cell>
          <cell r="M1167" t="e">
            <v>#N/A</v>
          </cell>
          <cell r="N1167">
            <v>52</v>
          </cell>
          <cell r="O1167" t="e">
            <v>#N/A</v>
          </cell>
          <cell r="P1167" t="str">
            <v/>
          </cell>
          <cell r="Q1167" t="str">
            <v/>
          </cell>
          <cell r="R1167" t="e">
            <v>#N/A</v>
          </cell>
        </row>
        <row r="1168">
          <cell r="A1168" t="str">
            <v/>
          </cell>
          <cell r="B1168" t="str">
            <v/>
          </cell>
          <cell r="C1168" t="str">
            <v>Future</v>
          </cell>
          <cell r="D1168" t="e">
            <v>#N/A</v>
          </cell>
          <cell r="E1168">
            <v>-78.469166666667476</v>
          </cell>
          <cell r="F1168">
            <v>78.614166666664502</v>
          </cell>
          <cell r="G1168">
            <v>18.197499999999398</v>
          </cell>
          <cell r="H1168">
            <v>18.197499999999398</v>
          </cell>
          <cell r="I1168" t="e">
            <v>#N/A</v>
          </cell>
          <cell r="J1168" t="e">
            <v>#N/A</v>
          </cell>
          <cell r="K1168">
            <v>65</v>
          </cell>
          <cell r="L1168">
            <v>40</v>
          </cell>
          <cell r="M1168" t="e">
            <v>#N/A</v>
          </cell>
          <cell r="N1168">
            <v>52</v>
          </cell>
          <cell r="O1168" t="e">
            <v>#N/A</v>
          </cell>
          <cell r="P1168" t="str">
            <v/>
          </cell>
          <cell r="Q1168" t="str">
            <v/>
          </cell>
          <cell r="R1168" t="e">
            <v>#N/A</v>
          </cell>
        </row>
        <row r="1169">
          <cell r="A1169" t="str">
            <v/>
          </cell>
          <cell r="B1169" t="str">
            <v/>
          </cell>
          <cell r="C1169" t="str">
            <v>Future</v>
          </cell>
          <cell r="D1169" t="e">
            <v>#N/A</v>
          </cell>
          <cell r="E1169">
            <v>-78.688968253969065</v>
          </cell>
          <cell r="F1169">
            <v>78.652301587299419</v>
          </cell>
          <cell r="G1169">
            <v>18.13642857142797</v>
          </cell>
          <cell r="H1169">
            <v>18.13642857142797</v>
          </cell>
          <cell r="I1169" t="e">
            <v>#N/A</v>
          </cell>
          <cell r="J1169" t="e">
            <v>#N/A</v>
          </cell>
          <cell r="K1169">
            <v>65</v>
          </cell>
          <cell r="L1169">
            <v>40</v>
          </cell>
          <cell r="M1169" t="e">
            <v>#N/A</v>
          </cell>
          <cell r="N1169">
            <v>52</v>
          </cell>
          <cell r="O1169" t="e">
            <v>#N/A</v>
          </cell>
          <cell r="P1169" t="str">
            <v/>
          </cell>
          <cell r="Q1169" t="str">
            <v/>
          </cell>
          <cell r="R1169" t="e">
            <v>#N/A</v>
          </cell>
        </row>
        <row r="1170">
          <cell r="A1170" t="str">
            <v/>
          </cell>
          <cell r="B1170" t="str">
            <v/>
          </cell>
          <cell r="C1170" t="str">
            <v>Future</v>
          </cell>
          <cell r="D1170" t="e">
            <v>#N/A</v>
          </cell>
          <cell r="E1170">
            <v>-78.908769841270654</v>
          </cell>
          <cell r="F1170">
            <v>78.690436507934336</v>
          </cell>
          <cell r="G1170">
            <v>18.075357142856543</v>
          </cell>
          <cell r="H1170">
            <v>18.075357142856543</v>
          </cell>
          <cell r="I1170" t="e">
            <v>#N/A</v>
          </cell>
          <cell r="J1170" t="e">
            <v>#N/A</v>
          </cell>
          <cell r="K1170">
            <v>65</v>
          </cell>
          <cell r="L1170">
            <v>40</v>
          </cell>
          <cell r="M1170" t="e">
            <v>#N/A</v>
          </cell>
          <cell r="N1170">
            <v>52</v>
          </cell>
          <cell r="O1170" t="e">
            <v>#N/A</v>
          </cell>
          <cell r="P1170" t="str">
            <v/>
          </cell>
          <cell r="Q1170" t="str">
            <v/>
          </cell>
          <cell r="R1170" t="e">
            <v>#N/A</v>
          </cell>
        </row>
        <row r="1171">
          <cell r="A1171" t="str">
            <v/>
          </cell>
          <cell r="B1171" t="str">
            <v/>
          </cell>
          <cell r="C1171" t="str">
            <v>Future</v>
          </cell>
          <cell r="D1171" t="e">
            <v>#N/A</v>
          </cell>
          <cell r="E1171">
            <v>-79.128571428572243</v>
          </cell>
          <cell r="F1171">
            <v>78.728571428569253</v>
          </cell>
          <cell r="G1171">
            <v>18.014285714285116</v>
          </cell>
          <cell r="H1171">
            <v>18.014285714285116</v>
          </cell>
          <cell r="I1171" t="e">
            <v>#N/A</v>
          </cell>
          <cell r="J1171" t="e">
            <v>#N/A</v>
          </cell>
          <cell r="K1171">
            <v>65</v>
          </cell>
          <cell r="L1171">
            <v>40</v>
          </cell>
          <cell r="M1171" t="e">
            <v>#N/A</v>
          </cell>
          <cell r="N1171">
            <v>52</v>
          </cell>
          <cell r="O1171" t="e">
            <v>#N/A</v>
          </cell>
          <cell r="P1171" t="str">
            <v/>
          </cell>
          <cell r="Q1171" t="str">
            <v/>
          </cell>
          <cell r="R1171" t="e">
            <v>#N/A</v>
          </cell>
        </row>
        <row r="1172">
          <cell r="A1172" t="str">
            <v/>
          </cell>
          <cell r="B1172" t="str">
            <v/>
          </cell>
          <cell r="C1172" t="str">
            <v>Future</v>
          </cell>
          <cell r="D1172" t="e">
            <v>#N/A</v>
          </cell>
          <cell r="E1172">
            <v>-79.348373015873833</v>
          </cell>
          <cell r="F1172">
            <v>78.766706349204171</v>
          </cell>
          <cell r="G1172">
            <v>17.953214285713688</v>
          </cell>
          <cell r="H1172">
            <v>17.953214285713688</v>
          </cell>
          <cell r="I1172" t="e">
            <v>#N/A</v>
          </cell>
          <cell r="J1172" t="e">
            <v>#N/A</v>
          </cell>
          <cell r="K1172">
            <v>65</v>
          </cell>
          <cell r="L1172">
            <v>40</v>
          </cell>
          <cell r="M1172" t="e">
            <v>#N/A</v>
          </cell>
          <cell r="N1172">
            <v>52</v>
          </cell>
          <cell r="O1172" t="e">
            <v>#N/A</v>
          </cell>
          <cell r="P1172" t="str">
            <v/>
          </cell>
          <cell r="Q1172" t="str">
            <v/>
          </cell>
          <cell r="R1172" t="e">
            <v>#N/A</v>
          </cell>
        </row>
        <row r="1173">
          <cell r="A1173" t="str">
            <v/>
          </cell>
          <cell r="B1173" t="str">
            <v/>
          </cell>
          <cell r="C1173" t="str">
            <v>Future</v>
          </cell>
          <cell r="D1173" t="e">
            <v>#N/A</v>
          </cell>
          <cell r="E1173">
            <v>-79.568174603175422</v>
          </cell>
          <cell r="F1173">
            <v>78.804841269839088</v>
          </cell>
          <cell r="G1173">
            <v>17.892142857142261</v>
          </cell>
          <cell r="H1173">
            <v>17.892142857142261</v>
          </cell>
          <cell r="I1173" t="e">
            <v>#N/A</v>
          </cell>
          <cell r="J1173" t="e">
            <v>#N/A</v>
          </cell>
          <cell r="K1173">
            <v>65</v>
          </cell>
          <cell r="L1173">
            <v>40</v>
          </cell>
          <cell r="M1173" t="e">
            <v>#N/A</v>
          </cell>
          <cell r="N1173">
            <v>52</v>
          </cell>
          <cell r="O1173" t="e">
            <v>#N/A</v>
          </cell>
          <cell r="P1173" t="str">
            <v/>
          </cell>
          <cell r="Q1173" t="str">
            <v/>
          </cell>
          <cell r="R1173" t="e">
            <v>#N/A</v>
          </cell>
        </row>
        <row r="1174">
          <cell r="A1174" t="str">
            <v/>
          </cell>
          <cell r="B1174" t="str">
            <v/>
          </cell>
          <cell r="C1174" t="str">
            <v>Future</v>
          </cell>
          <cell r="D1174" t="e">
            <v>#N/A</v>
          </cell>
          <cell r="E1174">
            <v>-79.787976190477011</v>
          </cell>
          <cell r="F1174">
            <v>78.842976190474005</v>
          </cell>
          <cell r="G1174">
            <v>17.831071428570834</v>
          </cell>
          <cell r="H1174">
            <v>17.831071428570834</v>
          </cell>
          <cell r="I1174" t="e">
            <v>#N/A</v>
          </cell>
          <cell r="J1174" t="e">
            <v>#N/A</v>
          </cell>
          <cell r="K1174">
            <v>65</v>
          </cell>
          <cell r="L1174">
            <v>40</v>
          </cell>
          <cell r="M1174" t="e">
            <v>#N/A</v>
          </cell>
          <cell r="N1174">
            <v>52</v>
          </cell>
          <cell r="O1174" t="e">
            <v>#N/A</v>
          </cell>
          <cell r="P1174" t="str">
            <v/>
          </cell>
          <cell r="Q1174" t="str">
            <v/>
          </cell>
          <cell r="R1174" t="e">
            <v>#N/A</v>
          </cell>
        </row>
        <row r="1175">
          <cell r="A1175" t="str">
            <v/>
          </cell>
          <cell r="B1175" t="str">
            <v/>
          </cell>
          <cell r="C1175" t="str">
            <v>Future</v>
          </cell>
          <cell r="D1175" t="e">
            <v>#N/A</v>
          </cell>
          <cell r="E1175">
            <v>-80.0077777777786</v>
          </cell>
          <cell r="F1175">
            <v>78.881111111108922</v>
          </cell>
          <cell r="G1175">
            <v>17.769999999999406</v>
          </cell>
          <cell r="H1175">
            <v>17.769999999999406</v>
          </cell>
          <cell r="I1175" t="e">
            <v>#N/A</v>
          </cell>
          <cell r="J1175" t="e">
            <v>#N/A</v>
          </cell>
          <cell r="K1175">
            <v>65</v>
          </cell>
          <cell r="L1175">
            <v>40</v>
          </cell>
          <cell r="M1175" t="e">
            <v>#N/A</v>
          </cell>
          <cell r="N1175">
            <v>52</v>
          </cell>
          <cell r="O1175" t="e">
            <v>#N/A</v>
          </cell>
          <cell r="P1175" t="str">
            <v/>
          </cell>
          <cell r="Q1175" t="str">
            <v/>
          </cell>
          <cell r="R1175" t="e">
            <v>#N/A</v>
          </cell>
        </row>
        <row r="1176">
          <cell r="A1176" t="str">
            <v/>
          </cell>
          <cell r="B1176" t="str">
            <v/>
          </cell>
          <cell r="C1176" t="str">
            <v>Future</v>
          </cell>
          <cell r="D1176" t="e">
            <v>#N/A</v>
          </cell>
          <cell r="E1176">
            <v>-80.227579365080189</v>
          </cell>
          <cell r="F1176">
            <v>78.919246031743839</v>
          </cell>
          <cell r="G1176">
            <v>17.708928571427979</v>
          </cell>
          <cell r="H1176">
            <v>17.708928571427979</v>
          </cell>
          <cell r="I1176" t="e">
            <v>#N/A</v>
          </cell>
          <cell r="J1176" t="e">
            <v>#N/A</v>
          </cell>
          <cell r="K1176">
            <v>65</v>
          </cell>
          <cell r="L1176">
            <v>40</v>
          </cell>
          <cell r="M1176" t="e">
            <v>#N/A</v>
          </cell>
          <cell r="N1176">
            <v>52</v>
          </cell>
          <cell r="O1176" t="e">
            <v>#N/A</v>
          </cell>
          <cell r="P1176" t="str">
            <v/>
          </cell>
          <cell r="Q1176" t="str">
            <v/>
          </cell>
          <cell r="R1176" t="e">
            <v>#N/A</v>
          </cell>
        </row>
        <row r="1177">
          <cell r="A1177" t="str">
            <v/>
          </cell>
          <cell r="B1177" t="str">
            <v/>
          </cell>
          <cell r="C1177" t="str">
            <v>Future</v>
          </cell>
          <cell r="D1177" t="e">
            <v>#N/A</v>
          </cell>
          <cell r="E1177">
            <v>-80.447380952381778</v>
          </cell>
          <cell r="F1177">
            <v>78.957380952378756</v>
          </cell>
          <cell r="G1177">
            <v>17.647857142856552</v>
          </cell>
          <cell r="H1177">
            <v>17.647857142856552</v>
          </cell>
          <cell r="I1177" t="e">
            <v>#N/A</v>
          </cell>
          <cell r="J1177" t="e">
            <v>#N/A</v>
          </cell>
          <cell r="K1177">
            <v>65</v>
          </cell>
          <cell r="L1177">
            <v>40</v>
          </cell>
          <cell r="M1177" t="e">
            <v>#N/A</v>
          </cell>
          <cell r="N1177">
            <v>52</v>
          </cell>
          <cell r="O1177" t="e">
            <v>#N/A</v>
          </cell>
          <cell r="P1177" t="str">
            <v/>
          </cell>
          <cell r="Q1177" t="str">
            <v/>
          </cell>
          <cell r="R1177" t="e">
            <v>#N/A</v>
          </cell>
        </row>
        <row r="1178">
          <cell r="A1178" t="str">
            <v/>
          </cell>
          <cell r="B1178" t="str">
            <v/>
          </cell>
          <cell r="C1178" t="str">
            <v>Future</v>
          </cell>
          <cell r="D1178" t="e">
            <v>#N/A</v>
          </cell>
          <cell r="E1178">
            <v>-80.667182539683367</v>
          </cell>
          <cell r="F1178">
            <v>78.995515873013673</v>
          </cell>
          <cell r="G1178">
            <v>17.586785714285124</v>
          </cell>
          <cell r="H1178">
            <v>17.586785714285124</v>
          </cell>
          <cell r="I1178" t="e">
            <v>#N/A</v>
          </cell>
          <cell r="J1178" t="e">
            <v>#N/A</v>
          </cell>
          <cell r="K1178">
            <v>65</v>
          </cell>
          <cell r="L1178">
            <v>40</v>
          </cell>
          <cell r="M1178" t="e">
            <v>#N/A</v>
          </cell>
          <cell r="N1178">
            <v>52</v>
          </cell>
          <cell r="O1178" t="e">
            <v>#N/A</v>
          </cell>
          <cell r="P1178" t="str">
            <v/>
          </cell>
          <cell r="Q1178" t="str">
            <v/>
          </cell>
          <cell r="R1178" t="e">
            <v>#N/A</v>
          </cell>
        </row>
        <row r="1179">
          <cell r="A1179" t="str">
            <v/>
          </cell>
          <cell r="B1179" t="str">
            <v/>
          </cell>
          <cell r="C1179" t="str">
            <v>Future</v>
          </cell>
          <cell r="D1179" t="e">
            <v>#N/A</v>
          </cell>
          <cell r="E1179">
            <v>-80.886984126984956</v>
          </cell>
          <cell r="F1179">
            <v>79.03365079364859</v>
          </cell>
          <cell r="G1179">
            <v>17.525714285713697</v>
          </cell>
          <cell r="H1179">
            <v>17.525714285713697</v>
          </cell>
          <cell r="I1179" t="e">
            <v>#N/A</v>
          </cell>
          <cell r="J1179" t="e">
            <v>#N/A</v>
          </cell>
          <cell r="K1179">
            <v>65</v>
          </cell>
          <cell r="L1179">
            <v>40</v>
          </cell>
          <cell r="M1179" t="e">
            <v>#N/A</v>
          </cell>
          <cell r="N1179">
            <v>52</v>
          </cell>
          <cell r="O1179" t="e">
            <v>#N/A</v>
          </cell>
          <cell r="P1179" t="str">
            <v/>
          </cell>
          <cell r="Q1179" t="str">
            <v/>
          </cell>
          <cell r="R1179" t="e">
            <v>#N/A</v>
          </cell>
        </row>
        <row r="1180">
          <cell r="A1180" t="str">
            <v/>
          </cell>
          <cell r="B1180" t="str">
            <v/>
          </cell>
          <cell r="C1180" t="str">
            <v>Future</v>
          </cell>
          <cell r="D1180" t="e">
            <v>#N/A</v>
          </cell>
          <cell r="E1180">
            <v>-81.106785714286545</v>
          </cell>
          <cell r="F1180">
            <v>79.071785714283507</v>
          </cell>
          <cell r="G1180">
            <v>17.46464285714227</v>
          </cell>
          <cell r="H1180">
            <v>17.46464285714227</v>
          </cell>
          <cell r="I1180" t="e">
            <v>#N/A</v>
          </cell>
          <cell r="J1180" t="e">
            <v>#N/A</v>
          </cell>
          <cell r="K1180">
            <v>65</v>
          </cell>
          <cell r="L1180">
            <v>40</v>
          </cell>
          <cell r="M1180" t="e">
            <v>#N/A</v>
          </cell>
          <cell r="N1180">
            <v>52</v>
          </cell>
          <cell r="O1180" t="e">
            <v>#N/A</v>
          </cell>
          <cell r="P1180" t="str">
            <v/>
          </cell>
          <cell r="Q1180" t="str">
            <v/>
          </cell>
          <cell r="R1180" t="e">
            <v>#N/A</v>
          </cell>
        </row>
        <row r="1181">
          <cell r="A1181" t="str">
            <v/>
          </cell>
          <cell r="B1181" t="str">
            <v/>
          </cell>
          <cell r="C1181" t="str">
            <v>Future</v>
          </cell>
          <cell r="D1181" t="e">
            <v>#N/A</v>
          </cell>
          <cell r="E1181">
            <v>-81.326587301588134</v>
          </cell>
          <cell r="F1181">
            <v>79.109920634918424</v>
          </cell>
          <cell r="G1181">
            <v>17.403571428570842</v>
          </cell>
          <cell r="H1181">
            <v>17.403571428570842</v>
          </cell>
          <cell r="I1181" t="e">
            <v>#N/A</v>
          </cell>
          <cell r="J1181" t="e">
            <v>#N/A</v>
          </cell>
          <cell r="K1181">
            <v>65</v>
          </cell>
          <cell r="L1181">
            <v>40</v>
          </cell>
          <cell r="M1181" t="e">
            <v>#N/A</v>
          </cell>
          <cell r="N1181">
            <v>52</v>
          </cell>
          <cell r="O1181" t="e">
            <v>#N/A</v>
          </cell>
          <cell r="P1181" t="str">
            <v/>
          </cell>
          <cell r="Q1181" t="str">
            <v/>
          </cell>
          <cell r="R1181" t="e">
            <v>#N/A</v>
          </cell>
        </row>
        <row r="1182">
          <cell r="A1182" t="str">
            <v/>
          </cell>
          <cell r="B1182" t="str">
            <v/>
          </cell>
          <cell r="C1182" t="str">
            <v>Future</v>
          </cell>
          <cell r="D1182" t="e">
            <v>#N/A</v>
          </cell>
          <cell r="E1182">
            <v>-81.546388888889723</v>
          </cell>
          <cell r="F1182">
            <v>79.148055555553341</v>
          </cell>
          <cell r="G1182">
            <v>17.342499999999415</v>
          </cell>
          <cell r="H1182">
            <v>17.342499999999415</v>
          </cell>
          <cell r="I1182" t="e">
            <v>#N/A</v>
          </cell>
          <cell r="J1182" t="e">
            <v>#N/A</v>
          </cell>
          <cell r="K1182">
            <v>65</v>
          </cell>
          <cell r="L1182">
            <v>40</v>
          </cell>
          <cell r="M1182" t="e">
            <v>#N/A</v>
          </cell>
          <cell r="N1182">
            <v>52</v>
          </cell>
          <cell r="O1182" t="e">
            <v>#N/A</v>
          </cell>
          <cell r="P1182" t="str">
            <v/>
          </cell>
          <cell r="Q1182" t="str">
            <v/>
          </cell>
          <cell r="R1182" t="e">
            <v>#N/A</v>
          </cell>
        </row>
        <row r="1183">
          <cell r="A1183" t="str">
            <v/>
          </cell>
          <cell r="B1183" t="str">
            <v/>
          </cell>
          <cell r="C1183" t="str">
            <v>Future</v>
          </cell>
          <cell r="D1183" t="e">
            <v>#N/A</v>
          </cell>
          <cell r="E1183">
            <v>-81.766190476191312</v>
          </cell>
          <cell r="F1183">
            <v>79.186190476188258</v>
          </cell>
          <cell r="G1183">
            <v>17.281428571427988</v>
          </cell>
          <cell r="H1183">
            <v>17.281428571427988</v>
          </cell>
          <cell r="I1183" t="e">
            <v>#N/A</v>
          </cell>
          <cell r="J1183" t="e">
            <v>#N/A</v>
          </cell>
          <cell r="K1183">
            <v>65</v>
          </cell>
          <cell r="L1183">
            <v>40</v>
          </cell>
          <cell r="M1183" t="e">
            <v>#N/A</v>
          </cell>
          <cell r="N1183">
            <v>52</v>
          </cell>
          <cell r="O1183" t="e">
            <v>#N/A</v>
          </cell>
          <cell r="P1183" t="str">
            <v/>
          </cell>
          <cell r="Q1183" t="str">
            <v/>
          </cell>
          <cell r="R1183" t="e">
            <v>#N/A</v>
          </cell>
        </row>
        <row r="1184">
          <cell r="A1184" t="str">
            <v/>
          </cell>
          <cell r="B1184" t="str">
            <v/>
          </cell>
          <cell r="C1184" t="str">
            <v>Future</v>
          </cell>
          <cell r="D1184" t="e">
            <v>#N/A</v>
          </cell>
          <cell r="E1184">
            <v>-81.985992063492901</v>
          </cell>
          <cell r="F1184">
            <v>79.224325396823176</v>
          </cell>
          <cell r="G1184">
            <v>17.22035714285656</v>
          </cell>
          <cell r="H1184">
            <v>17.22035714285656</v>
          </cell>
          <cell r="I1184" t="e">
            <v>#N/A</v>
          </cell>
          <cell r="J1184" t="e">
            <v>#N/A</v>
          </cell>
          <cell r="K1184">
            <v>65</v>
          </cell>
          <cell r="L1184">
            <v>40</v>
          </cell>
          <cell r="M1184" t="e">
            <v>#N/A</v>
          </cell>
          <cell r="N1184">
            <v>52</v>
          </cell>
          <cell r="O1184" t="e">
            <v>#N/A</v>
          </cell>
          <cell r="P1184" t="str">
            <v/>
          </cell>
          <cell r="Q1184" t="str">
            <v/>
          </cell>
          <cell r="R1184" t="e">
            <v>#N/A</v>
          </cell>
        </row>
        <row r="1185">
          <cell r="A1185" t="str">
            <v/>
          </cell>
          <cell r="B1185" t="str">
            <v/>
          </cell>
          <cell r="C1185" t="str">
            <v>Future</v>
          </cell>
          <cell r="D1185" t="e">
            <v>#N/A</v>
          </cell>
          <cell r="E1185">
            <v>-82.20579365079449</v>
          </cell>
          <cell r="F1185">
            <v>79.262460317458093</v>
          </cell>
          <cell r="G1185">
            <v>17.159285714285133</v>
          </cell>
          <cell r="H1185">
            <v>17.159285714285133</v>
          </cell>
          <cell r="I1185" t="e">
            <v>#N/A</v>
          </cell>
          <cell r="J1185" t="e">
            <v>#N/A</v>
          </cell>
          <cell r="K1185">
            <v>65</v>
          </cell>
          <cell r="L1185">
            <v>40</v>
          </cell>
          <cell r="M1185" t="e">
            <v>#N/A</v>
          </cell>
          <cell r="N1185">
            <v>52</v>
          </cell>
          <cell r="O1185" t="e">
            <v>#N/A</v>
          </cell>
          <cell r="P1185" t="str">
            <v/>
          </cell>
          <cell r="Q1185" t="str">
            <v/>
          </cell>
          <cell r="R1185" t="e">
            <v>#N/A</v>
          </cell>
        </row>
        <row r="1186">
          <cell r="A1186" t="str">
            <v/>
          </cell>
          <cell r="B1186" t="str">
            <v/>
          </cell>
          <cell r="C1186" t="str">
            <v>Future</v>
          </cell>
          <cell r="D1186" t="e">
            <v>#N/A</v>
          </cell>
          <cell r="E1186">
            <v>-82.425595238096079</v>
          </cell>
          <cell r="F1186">
            <v>79.30059523809301</v>
          </cell>
          <cell r="G1186">
            <v>17.098214285713706</v>
          </cell>
          <cell r="H1186">
            <v>17.098214285713706</v>
          </cell>
          <cell r="I1186" t="e">
            <v>#N/A</v>
          </cell>
          <cell r="J1186" t="e">
            <v>#N/A</v>
          </cell>
          <cell r="K1186">
            <v>65</v>
          </cell>
          <cell r="L1186">
            <v>40</v>
          </cell>
          <cell r="M1186" t="e">
            <v>#N/A</v>
          </cell>
          <cell r="N1186">
            <v>52</v>
          </cell>
          <cell r="O1186" t="e">
            <v>#N/A</v>
          </cell>
          <cell r="P1186" t="str">
            <v/>
          </cell>
          <cell r="Q1186" t="str">
            <v/>
          </cell>
          <cell r="R1186" t="e">
            <v>#N/A</v>
          </cell>
        </row>
        <row r="1187">
          <cell r="A1187" t="str">
            <v/>
          </cell>
          <cell r="B1187" t="str">
            <v/>
          </cell>
          <cell r="C1187" t="str">
            <v>Future</v>
          </cell>
          <cell r="D1187" t="e">
            <v>#N/A</v>
          </cell>
          <cell r="E1187">
            <v>-82.645396825397668</v>
          </cell>
          <cell r="F1187">
            <v>79.338730158727927</v>
          </cell>
          <cell r="G1187">
            <v>17.037142857142278</v>
          </cell>
          <cell r="H1187">
            <v>17.037142857142278</v>
          </cell>
          <cell r="I1187" t="e">
            <v>#N/A</v>
          </cell>
          <cell r="J1187" t="e">
            <v>#N/A</v>
          </cell>
          <cell r="K1187">
            <v>65</v>
          </cell>
          <cell r="L1187">
            <v>40</v>
          </cell>
          <cell r="M1187" t="e">
            <v>#N/A</v>
          </cell>
          <cell r="N1187">
            <v>52</v>
          </cell>
          <cell r="O1187" t="e">
            <v>#N/A</v>
          </cell>
          <cell r="P1187" t="str">
            <v/>
          </cell>
          <cell r="Q1187" t="str">
            <v/>
          </cell>
          <cell r="R1187" t="e">
            <v>#N/A</v>
          </cell>
        </row>
        <row r="1188">
          <cell r="A1188" t="str">
            <v/>
          </cell>
          <cell r="B1188" t="str">
            <v/>
          </cell>
          <cell r="C1188" t="str">
            <v>Future</v>
          </cell>
          <cell r="D1188" t="e">
            <v>#N/A</v>
          </cell>
          <cell r="E1188">
            <v>-82.865198412699257</v>
          </cell>
          <cell r="F1188">
            <v>79.376865079362844</v>
          </cell>
          <cell r="G1188">
            <v>16.976071428570851</v>
          </cell>
          <cell r="H1188">
            <v>16.976071428570851</v>
          </cell>
          <cell r="I1188" t="e">
            <v>#N/A</v>
          </cell>
          <cell r="J1188" t="e">
            <v>#N/A</v>
          </cell>
          <cell r="K1188">
            <v>65</v>
          </cell>
          <cell r="L1188">
            <v>40</v>
          </cell>
          <cell r="M1188" t="e">
            <v>#N/A</v>
          </cell>
          <cell r="N1188">
            <v>52</v>
          </cell>
          <cell r="O1188" t="e">
            <v>#N/A</v>
          </cell>
          <cell r="P1188" t="str">
            <v/>
          </cell>
          <cell r="Q1188" t="str">
            <v/>
          </cell>
          <cell r="R1188" t="e">
            <v>#N/A</v>
          </cell>
        </row>
        <row r="1189">
          <cell r="A1189" t="str">
            <v/>
          </cell>
          <cell r="B1189" t="str">
            <v/>
          </cell>
          <cell r="C1189" t="str">
            <v>Future</v>
          </cell>
          <cell r="D1189" t="e">
            <v>#N/A</v>
          </cell>
          <cell r="E1189">
            <v>-83.085000000000846</v>
          </cell>
          <cell r="F1189">
            <v>79.414999999997761</v>
          </cell>
          <cell r="G1189">
            <v>16.914999999999424</v>
          </cell>
          <cell r="H1189">
            <v>16.914999999999424</v>
          </cell>
          <cell r="I1189" t="e">
            <v>#N/A</v>
          </cell>
          <cell r="J1189" t="e">
            <v>#N/A</v>
          </cell>
          <cell r="K1189">
            <v>65</v>
          </cell>
          <cell r="L1189">
            <v>40</v>
          </cell>
          <cell r="M1189" t="e">
            <v>#N/A</v>
          </cell>
          <cell r="N1189">
            <v>52</v>
          </cell>
          <cell r="O1189" t="e">
            <v>#N/A</v>
          </cell>
          <cell r="P1189" t="str">
            <v/>
          </cell>
          <cell r="Q1189" t="str">
            <v/>
          </cell>
          <cell r="R1189" t="e">
            <v>#N/A</v>
          </cell>
        </row>
        <row r="1190">
          <cell r="A1190" t="str">
            <v/>
          </cell>
          <cell r="B1190" t="str">
            <v/>
          </cell>
          <cell r="C1190" t="str">
            <v>Future</v>
          </cell>
          <cell r="D1190" t="e">
            <v>#N/A</v>
          </cell>
          <cell r="E1190">
            <v>-83.304801587302435</v>
          </cell>
          <cell r="F1190">
            <v>79.453134920632678</v>
          </cell>
          <cell r="G1190">
            <v>16.853928571427996</v>
          </cell>
          <cell r="H1190">
            <v>16.853928571427996</v>
          </cell>
          <cell r="I1190" t="e">
            <v>#N/A</v>
          </cell>
          <cell r="J1190" t="e">
            <v>#N/A</v>
          </cell>
          <cell r="K1190">
            <v>65</v>
          </cell>
          <cell r="L1190">
            <v>40</v>
          </cell>
          <cell r="M1190" t="e">
            <v>#N/A</v>
          </cell>
          <cell r="N1190">
            <v>52</v>
          </cell>
          <cell r="O1190" t="e">
            <v>#N/A</v>
          </cell>
          <cell r="P1190" t="str">
            <v/>
          </cell>
          <cell r="Q1190" t="str">
            <v/>
          </cell>
          <cell r="R1190" t="e">
            <v>#N/A</v>
          </cell>
        </row>
        <row r="1191">
          <cell r="A1191" t="str">
            <v/>
          </cell>
          <cell r="B1191" t="str">
            <v/>
          </cell>
          <cell r="C1191" t="str">
            <v>Future</v>
          </cell>
          <cell r="D1191" t="e">
            <v>#N/A</v>
          </cell>
          <cell r="E1191">
            <v>-83.524603174604025</v>
          </cell>
          <cell r="F1191">
            <v>79.491269841267595</v>
          </cell>
          <cell r="G1191">
            <v>16.792857142856569</v>
          </cell>
          <cell r="H1191">
            <v>16.792857142856569</v>
          </cell>
          <cell r="I1191" t="e">
            <v>#N/A</v>
          </cell>
          <cell r="J1191" t="e">
            <v>#N/A</v>
          </cell>
          <cell r="K1191">
            <v>65</v>
          </cell>
          <cell r="L1191">
            <v>40</v>
          </cell>
          <cell r="M1191" t="e">
            <v>#N/A</v>
          </cell>
          <cell r="N1191">
            <v>52</v>
          </cell>
          <cell r="O1191" t="e">
            <v>#N/A</v>
          </cell>
          <cell r="P1191" t="str">
            <v/>
          </cell>
          <cell r="Q1191" t="str">
            <v/>
          </cell>
          <cell r="R1191" t="e">
            <v>#N/A</v>
          </cell>
        </row>
        <row r="1192">
          <cell r="A1192" t="str">
            <v/>
          </cell>
          <cell r="B1192" t="str">
            <v/>
          </cell>
          <cell r="C1192" t="str">
            <v>Future</v>
          </cell>
          <cell r="D1192" t="e">
            <v>#N/A</v>
          </cell>
          <cell r="E1192">
            <v>-83.744404761905614</v>
          </cell>
          <cell r="F1192">
            <v>79.529404761902512</v>
          </cell>
          <cell r="G1192">
            <v>16.731785714285142</v>
          </cell>
          <cell r="H1192">
            <v>16.731785714285142</v>
          </cell>
          <cell r="I1192" t="e">
            <v>#N/A</v>
          </cell>
          <cell r="J1192" t="e">
            <v>#N/A</v>
          </cell>
          <cell r="K1192">
            <v>65</v>
          </cell>
          <cell r="L1192">
            <v>40</v>
          </cell>
          <cell r="M1192" t="e">
            <v>#N/A</v>
          </cell>
          <cell r="N1192">
            <v>52</v>
          </cell>
          <cell r="O1192" t="e">
            <v>#N/A</v>
          </cell>
          <cell r="P1192" t="str">
            <v/>
          </cell>
          <cell r="Q1192" t="str">
            <v/>
          </cell>
          <cell r="R1192" t="e">
            <v>#N/A</v>
          </cell>
        </row>
        <row r="1193">
          <cell r="A1193" t="str">
            <v/>
          </cell>
          <cell r="B1193" t="str">
            <v/>
          </cell>
          <cell r="C1193" t="str">
            <v>Future</v>
          </cell>
          <cell r="D1193" t="e">
            <v>#N/A</v>
          </cell>
          <cell r="E1193">
            <v>-83.964206349207203</v>
          </cell>
          <cell r="F1193">
            <v>79.567539682537429</v>
          </cell>
          <cell r="G1193">
            <v>16.670714285713714</v>
          </cell>
          <cell r="H1193">
            <v>16.670714285713714</v>
          </cell>
          <cell r="I1193" t="e">
            <v>#N/A</v>
          </cell>
          <cell r="J1193" t="e">
            <v>#N/A</v>
          </cell>
          <cell r="K1193">
            <v>65</v>
          </cell>
          <cell r="L1193">
            <v>40</v>
          </cell>
          <cell r="M1193" t="e">
            <v>#N/A</v>
          </cell>
          <cell r="N1193">
            <v>52</v>
          </cell>
          <cell r="O1193" t="e">
            <v>#N/A</v>
          </cell>
          <cell r="P1193" t="str">
            <v/>
          </cell>
          <cell r="Q1193" t="str">
            <v/>
          </cell>
          <cell r="R1193" t="e">
            <v>#N/A</v>
          </cell>
        </row>
        <row r="1194">
          <cell r="A1194" t="str">
            <v/>
          </cell>
          <cell r="B1194" t="str">
            <v/>
          </cell>
          <cell r="C1194" t="str">
            <v>Future</v>
          </cell>
          <cell r="D1194" t="e">
            <v>#N/A</v>
          </cell>
          <cell r="E1194">
            <v>-84.184007936508792</v>
          </cell>
          <cell r="F1194">
            <v>79.605674603172346</v>
          </cell>
          <cell r="G1194">
            <v>16.609642857142287</v>
          </cell>
          <cell r="H1194">
            <v>16.609642857142287</v>
          </cell>
          <cell r="I1194" t="e">
            <v>#N/A</v>
          </cell>
          <cell r="J1194" t="e">
            <v>#N/A</v>
          </cell>
          <cell r="K1194">
            <v>65</v>
          </cell>
          <cell r="L1194">
            <v>40</v>
          </cell>
          <cell r="M1194" t="e">
            <v>#N/A</v>
          </cell>
          <cell r="N1194">
            <v>52</v>
          </cell>
          <cell r="O1194" t="e">
            <v>#N/A</v>
          </cell>
          <cell r="P1194" t="str">
            <v/>
          </cell>
          <cell r="Q1194" t="str">
            <v/>
          </cell>
          <cell r="R1194" t="e">
            <v>#N/A</v>
          </cell>
        </row>
        <row r="1195">
          <cell r="A1195" t="str">
            <v/>
          </cell>
          <cell r="B1195" t="str">
            <v/>
          </cell>
          <cell r="C1195" t="str">
            <v>Future</v>
          </cell>
          <cell r="D1195" t="e">
            <v>#N/A</v>
          </cell>
          <cell r="E1195">
            <v>-84.403809523810381</v>
          </cell>
          <cell r="F1195">
            <v>79.643809523807263</v>
          </cell>
          <cell r="G1195">
            <v>16.54857142857086</v>
          </cell>
          <cell r="H1195">
            <v>16.54857142857086</v>
          </cell>
          <cell r="I1195" t="e">
            <v>#N/A</v>
          </cell>
          <cell r="J1195" t="e">
            <v>#N/A</v>
          </cell>
          <cell r="K1195">
            <v>65</v>
          </cell>
          <cell r="L1195">
            <v>40</v>
          </cell>
          <cell r="M1195" t="e">
            <v>#N/A</v>
          </cell>
          <cell r="N1195">
            <v>52</v>
          </cell>
          <cell r="O1195" t="e">
            <v>#N/A</v>
          </cell>
          <cell r="P1195" t="str">
            <v/>
          </cell>
          <cell r="Q1195" t="str">
            <v/>
          </cell>
          <cell r="R1195" t="e">
            <v>#N/A</v>
          </cell>
        </row>
        <row r="1196">
          <cell r="A1196" t="str">
            <v/>
          </cell>
          <cell r="B1196" t="str">
            <v/>
          </cell>
          <cell r="C1196" t="str">
            <v>Future</v>
          </cell>
          <cell r="D1196" t="e">
            <v>#N/A</v>
          </cell>
          <cell r="E1196">
            <v>-84.62361111111197</v>
          </cell>
          <cell r="F1196">
            <v>79.68194444444218</v>
          </cell>
          <cell r="G1196">
            <v>16.487499999999432</v>
          </cell>
          <cell r="H1196">
            <v>16.487499999999432</v>
          </cell>
          <cell r="I1196" t="e">
            <v>#N/A</v>
          </cell>
          <cell r="J1196" t="e">
            <v>#N/A</v>
          </cell>
          <cell r="K1196">
            <v>65</v>
          </cell>
          <cell r="L1196">
            <v>40</v>
          </cell>
          <cell r="M1196" t="e">
            <v>#N/A</v>
          </cell>
          <cell r="N1196">
            <v>52</v>
          </cell>
          <cell r="O1196" t="e">
            <v>#N/A</v>
          </cell>
          <cell r="P1196" t="str">
            <v/>
          </cell>
          <cell r="Q1196" t="str">
            <v/>
          </cell>
          <cell r="R1196" t="e">
            <v>#N/A</v>
          </cell>
        </row>
        <row r="1197">
          <cell r="A1197" t="str">
            <v/>
          </cell>
          <cell r="B1197" t="str">
            <v/>
          </cell>
          <cell r="C1197" t="str">
            <v>Future</v>
          </cell>
          <cell r="D1197" t="e">
            <v>#N/A</v>
          </cell>
          <cell r="E1197">
            <v>-84.843412698413559</v>
          </cell>
          <cell r="F1197">
            <v>79.720079365077098</v>
          </cell>
          <cell r="G1197">
            <v>16.426428571428005</v>
          </cell>
          <cell r="H1197">
            <v>16.426428571428005</v>
          </cell>
          <cell r="I1197" t="e">
            <v>#N/A</v>
          </cell>
          <cell r="J1197" t="e">
            <v>#N/A</v>
          </cell>
          <cell r="K1197">
            <v>65</v>
          </cell>
          <cell r="L1197">
            <v>40</v>
          </cell>
          <cell r="M1197" t="e">
            <v>#N/A</v>
          </cell>
          <cell r="N1197">
            <v>52</v>
          </cell>
          <cell r="O1197" t="e">
            <v>#N/A</v>
          </cell>
          <cell r="P1197" t="str">
            <v/>
          </cell>
          <cell r="Q1197" t="str">
            <v/>
          </cell>
          <cell r="R1197" t="e">
            <v>#N/A</v>
          </cell>
        </row>
        <row r="1198">
          <cell r="A1198" t="str">
            <v/>
          </cell>
          <cell r="B1198" t="str">
            <v/>
          </cell>
          <cell r="C1198" t="str">
            <v>Future</v>
          </cell>
          <cell r="D1198" t="e">
            <v>#N/A</v>
          </cell>
          <cell r="E1198">
            <v>-85.063214285715148</v>
          </cell>
          <cell r="F1198">
            <v>79.758214285712015</v>
          </cell>
          <cell r="G1198">
            <v>16.365357142856578</v>
          </cell>
          <cell r="H1198">
            <v>16.365357142856578</v>
          </cell>
          <cell r="I1198" t="e">
            <v>#N/A</v>
          </cell>
          <cell r="J1198" t="e">
            <v>#N/A</v>
          </cell>
          <cell r="K1198">
            <v>65</v>
          </cell>
          <cell r="L1198">
            <v>40</v>
          </cell>
          <cell r="M1198" t="e">
            <v>#N/A</v>
          </cell>
          <cell r="N1198">
            <v>52</v>
          </cell>
          <cell r="O1198" t="e">
            <v>#N/A</v>
          </cell>
          <cell r="P1198" t="str">
            <v/>
          </cell>
          <cell r="Q1198" t="str">
            <v/>
          </cell>
          <cell r="R1198" t="e">
            <v>#N/A</v>
          </cell>
        </row>
        <row r="1199">
          <cell r="A1199" t="str">
            <v/>
          </cell>
          <cell r="B1199" t="str">
            <v/>
          </cell>
          <cell r="C1199" t="str">
            <v>Future</v>
          </cell>
          <cell r="D1199" t="e">
            <v>#N/A</v>
          </cell>
          <cell r="E1199">
            <v>-85.283015873016737</v>
          </cell>
          <cell r="F1199">
            <v>79.796349206346932</v>
          </cell>
          <cell r="G1199">
            <v>16.30428571428515</v>
          </cell>
          <cell r="H1199">
            <v>16.30428571428515</v>
          </cell>
          <cell r="I1199" t="e">
            <v>#N/A</v>
          </cell>
          <cell r="J1199" t="e">
            <v>#N/A</v>
          </cell>
          <cell r="K1199">
            <v>65</v>
          </cell>
          <cell r="L1199">
            <v>40</v>
          </cell>
          <cell r="M1199" t="e">
            <v>#N/A</v>
          </cell>
          <cell r="N1199">
            <v>52</v>
          </cell>
          <cell r="O1199" t="e">
            <v>#N/A</v>
          </cell>
          <cell r="P1199" t="str">
            <v/>
          </cell>
          <cell r="Q1199" t="str">
            <v/>
          </cell>
          <cell r="R1199" t="e">
            <v>#N/A</v>
          </cell>
        </row>
        <row r="1200">
          <cell r="A1200" t="str">
            <v/>
          </cell>
          <cell r="B1200" t="str">
            <v/>
          </cell>
          <cell r="C1200" t="str">
            <v>Future</v>
          </cell>
          <cell r="D1200" t="e">
            <v>#N/A</v>
          </cell>
          <cell r="E1200">
            <v>-85.502817460318326</v>
          </cell>
          <cell r="F1200">
            <v>79.834484126981849</v>
          </cell>
          <cell r="G1200">
            <v>16.243214285713723</v>
          </cell>
          <cell r="H1200">
            <v>16.243214285713723</v>
          </cell>
          <cell r="I1200" t="e">
            <v>#N/A</v>
          </cell>
          <cell r="J1200" t="e">
            <v>#N/A</v>
          </cell>
          <cell r="K1200">
            <v>65</v>
          </cell>
          <cell r="L1200">
            <v>40</v>
          </cell>
          <cell r="M1200" t="e">
            <v>#N/A</v>
          </cell>
          <cell r="N1200">
            <v>52</v>
          </cell>
          <cell r="O1200" t="e">
            <v>#N/A</v>
          </cell>
          <cell r="P1200" t="str">
            <v/>
          </cell>
          <cell r="Q1200" t="str">
            <v/>
          </cell>
          <cell r="R1200" t="e">
            <v>#N/A</v>
          </cell>
        </row>
        <row r="1201">
          <cell r="A1201" t="str">
            <v/>
          </cell>
          <cell r="B1201" t="str">
            <v/>
          </cell>
          <cell r="C1201" t="str">
            <v>Future</v>
          </cell>
          <cell r="D1201" t="e">
            <v>#N/A</v>
          </cell>
          <cell r="E1201">
            <v>-85.722619047619915</v>
          </cell>
          <cell r="F1201">
            <v>79.872619047616766</v>
          </cell>
          <cell r="G1201">
            <v>16.182142857142296</v>
          </cell>
          <cell r="H1201">
            <v>16.182142857142296</v>
          </cell>
          <cell r="I1201" t="e">
            <v>#N/A</v>
          </cell>
          <cell r="J1201" t="e">
            <v>#N/A</v>
          </cell>
          <cell r="K1201">
            <v>65</v>
          </cell>
          <cell r="L1201">
            <v>40</v>
          </cell>
          <cell r="M1201" t="e">
            <v>#N/A</v>
          </cell>
          <cell r="N1201">
            <v>52</v>
          </cell>
          <cell r="O1201" t="e">
            <v>#N/A</v>
          </cell>
          <cell r="P1201" t="str">
            <v/>
          </cell>
          <cell r="Q1201" t="str">
            <v/>
          </cell>
          <cell r="R1201" t="e">
            <v>#N/A</v>
          </cell>
        </row>
        <row r="1202">
          <cell r="A1202" t="str">
            <v/>
          </cell>
          <cell r="B1202" t="str">
            <v/>
          </cell>
          <cell r="C1202" t="str">
            <v>Future</v>
          </cell>
          <cell r="D1202" t="e">
            <v>#N/A</v>
          </cell>
          <cell r="E1202">
            <v>-85.942420634921504</v>
          </cell>
          <cell r="F1202">
            <v>79.910753968251683</v>
          </cell>
          <cell r="G1202">
            <v>16.121071428570868</v>
          </cell>
          <cell r="H1202">
            <v>16.121071428570868</v>
          </cell>
          <cell r="I1202" t="e">
            <v>#N/A</v>
          </cell>
          <cell r="J1202" t="e">
            <v>#N/A</v>
          </cell>
          <cell r="K1202">
            <v>65</v>
          </cell>
          <cell r="L1202">
            <v>40</v>
          </cell>
          <cell r="M1202" t="e">
            <v>#N/A</v>
          </cell>
          <cell r="N1202">
            <v>52</v>
          </cell>
          <cell r="O1202" t="e">
            <v>#N/A</v>
          </cell>
          <cell r="P1202" t="str">
            <v/>
          </cell>
          <cell r="Q1202" t="str">
            <v/>
          </cell>
          <cell r="R1202" t="e">
            <v>#N/A</v>
          </cell>
        </row>
        <row r="1203">
          <cell r="A1203" t="str">
            <v/>
          </cell>
          <cell r="B1203" t="str">
            <v/>
          </cell>
          <cell r="C1203" t="str">
            <v>Future</v>
          </cell>
          <cell r="D1203" t="e">
            <v>#N/A</v>
          </cell>
          <cell r="E1203">
            <v>-86.162222222223093</v>
          </cell>
          <cell r="F1203">
            <v>79.9488888888866</v>
          </cell>
          <cell r="G1203">
            <v>16.059999999999441</v>
          </cell>
          <cell r="H1203">
            <v>16.059999999999441</v>
          </cell>
          <cell r="I1203" t="e">
            <v>#N/A</v>
          </cell>
          <cell r="J1203" t="e">
            <v>#N/A</v>
          </cell>
          <cell r="K1203">
            <v>65</v>
          </cell>
          <cell r="L1203">
            <v>40</v>
          </cell>
          <cell r="M1203" t="e">
            <v>#N/A</v>
          </cell>
          <cell r="N1203">
            <v>52</v>
          </cell>
          <cell r="O1203" t="e">
            <v>#N/A</v>
          </cell>
          <cell r="P1203" t="str">
            <v/>
          </cell>
          <cell r="Q1203" t="str">
            <v/>
          </cell>
          <cell r="R1203" t="e">
            <v>#N/A</v>
          </cell>
        </row>
        <row r="1204">
          <cell r="A1204" t="str">
            <v/>
          </cell>
          <cell r="B1204" t="str">
            <v/>
          </cell>
          <cell r="C1204" t="str">
            <v>Future</v>
          </cell>
          <cell r="D1204" t="e">
            <v>#N/A</v>
          </cell>
          <cell r="E1204">
            <v>-86.382023809524682</v>
          </cell>
          <cell r="F1204">
            <v>79.987023809521517</v>
          </cell>
          <cell r="G1204">
            <v>15.998928571428012</v>
          </cell>
          <cell r="H1204">
            <v>15.998928571428012</v>
          </cell>
          <cell r="I1204" t="e">
            <v>#N/A</v>
          </cell>
          <cell r="J1204" t="e">
            <v>#N/A</v>
          </cell>
          <cell r="K1204">
            <v>65</v>
          </cell>
          <cell r="L1204">
            <v>40</v>
          </cell>
          <cell r="M1204" t="e">
            <v>#N/A</v>
          </cell>
          <cell r="N1204">
            <v>52</v>
          </cell>
          <cell r="O1204" t="e">
            <v>#N/A</v>
          </cell>
          <cell r="P1204" t="str">
            <v/>
          </cell>
          <cell r="Q1204" t="str">
            <v/>
          </cell>
          <cell r="R1204" t="e">
            <v>#N/A</v>
          </cell>
        </row>
        <row r="1205">
          <cell r="A1205" t="str">
            <v/>
          </cell>
          <cell r="B1205" t="str">
            <v/>
          </cell>
          <cell r="C1205" t="str">
            <v>Future</v>
          </cell>
          <cell r="D1205" t="e">
            <v>#N/A</v>
          </cell>
          <cell r="E1205">
            <v>-86.601825396826271</v>
          </cell>
          <cell r="F1205">
            <v>80.025158730156434</v>
          </cell>
          <cell r="G1205">
            <v>15.937857142856583</v>
          </cell>
          <cell r="H1205">
            <v>15.937857142856583</v>
          </cell>
          <cell r="I1205" t="e">
            <v>#N/A</v>
          </cell>
          <cell r="J1205" t="e">
            <v>#N/A</v>
          </cell>
          <cell r="K1205">
            <v>65</v>
          </cell>
          <cell r="L1205">
            <v>40</v>
          </cell>
          <cell r="M1205" t="e">
            <v>#N/A</v>
          </cell>
          <cell r="N1205">
            <v>52</v>
          </cell>
          <cell r="O1205" t="e">
            <v>#N/A</v>
          </cell>
          <cell r="P1205" t="str">
            <v/>
          </cell>
          <cell r="Q1205" t="str">
            <v/>
          </cell>
          <cell r="R1205" t="e">
            <v>#N/A</v>
          </cell>
        </row>
        <row r="1206">
          <cell r="A1206" t="str">
            <v/>
          </cell>
          <cell r="B1206" t="str">
            <v/>
          </cell>
          <cell r="C1206" t="str">
            <v>Future</v>
          </cell>
          <cell r="D1206" t="e">
            <v>#N/A</v>
          </cell>
          <cell r="E1206">
            <v>-86.82162698412786</v>
          </cell>
          <cell r="F1206">
            <v>80.063293650791351</v>
          </cell>
          <cell r="G1206">
            <v>15.876785714285154</v>
          </cell>
          <cell r="H1206">
            <v>15.876785714285154</v>
          </cell>
          <cell r="I1206" t="e">
            <v>#N/A</v>
          </cell>
          <cell r="J1206" t="e">
            <v>#N/A</v>
          </cell>
          <cell r="K1206">
            <v>65</v>
          </cell>
          <cell r="L1206">
            <v>40</v>
          </cell>
          <cell r="M1206" t="e">
            <v>#N/A</v>
          </cell>
          <cell r="N1206">
            <v>52</v>
          </cell>
          <cell r="O1206" t="e">
            <v>#N/A</v>
          </cell>
          <cell r="P1206" t="str">
            <v/>
          </cell>
          <cell r="Q1206" t="str">
            <v/>
          </cell>
          <cell r="R1206" t="e">
            <v>#N/A</v>
          </cell>
        </row>
        <row r="1207">
          <cell r="A1207" t="str">
            <v/>
          </cell>
          <cell r="B1207" t="str">
            <v/>
          </cell>
          <cell r="C1207" t="str">
            <v>Future</v>
          </cell>
          <cell r="D1207" t="e">
            <v>#N/A</v>
          </cell>
          <cell r="E1207">
            <v>-87.041428571429449</v>
          </cell>
          <cell r="F1207">
            <v>80.101428571426268</v>
          </cell>
          <cell r="G1207">
            <v>15.815714285713725</v>
          </cell>
          <cell r="H1207">
            <v>15.815714285713725</v>
          </cell>
          <cell r="I1207" t="e">
            <v>#N/A</v>
          </cell>
          <cell r="J1207" t="e">
            <v>#N/A</v>
          </cell>
          <cell r="K1207">
            <v>65</v>
          </cell>
          <cell r="L1207">
            <v>40</v>
          </cell>
          <cell r="M1207" t="e">
            <v>#N/A</v>
          </cell>
          <cell r="N1207">
            <v>52</v>
          </cell>
          <cell r="O1207" t="e">
            <v>#N/A</v>
          </cell>
          <cell r="P1207" t="str">
            <v/>
          </cell>
          <cell r="Q1207" t="str">
            <v/>
          </cell>
          <cell r="R1207" t="e">
            <v>#N/A</v>
          </cell>
        </row>
        <row r="1208">
          <cell r="A1208" t="str">
            <v/>
          </cell>
          <cell r="B1208" t="str">
            <v/>
          </cell>
          <cell r="C1208" t="str">
            <v>Future</v>
          </cell>
          <cell r="D1208" t="e">
            <v>#N/A</v>
          </cell>
          <cell r="E1208">
            <v>-87.261230158731038</v>
          </cell>
          <cell r="F1208">
            <v>80.139563492061185</v>
          </cell>
          <cell r="G1208">
            <v>15.754642857142295</v>
          </cell>
          <cell r="H1208">
            <v>15.754642857142295</v>
          </cell>
          <cell r="I1208" t="e">
            <v>#N/A</v>
          </cell>
          <cell r="J1208" t="e">
            <v>#N/A</v>
          </cell>
          <cell r="K1208">
            <v>65</v>
          </cell>
          <cell r="L1208">
            <v>40</v>
          </cell>
          <cell r="M1208" t="e">
            <v>#N/A</v>
          </cell>
          <cell r="N1208">
            <v>52</v>
          </cell>
          <cell r="O1208" t="e">
            <v>#N/A</v>
          </cell>
          <cell r="P1208" t="str">
            <v/>
          </cell>
          <cell r="Q1208" t="str">
            <v/>
          </cell>
          <cell r="R1208" t="e">
            <v>#N/A</v>
          </cell>
        </row>
        <row r="1209">
          <cell r="A1209" t="str">
            <v/>
          </cell>
          <cell r="B1209" t="str">
            <v/>
          </cell>
          <cell r="C1209" t="str">
            <v>Future</v>
          </cell>
          <cell r="D1209" t="e">
            <v>#N/A</v>
          </cell>
          <cell r="E1209">
            <v>-87.481031746032627</v>
          </cell>
          <cell r="F1209">
            <v>80.177698412696103</v>
          </cell>
          <cell r="G1209">
            <v>15.693571428570866</v>
          </cell>
          <cell r="H1209">
            <v>15.693571428570866</v>
          </cell>
          <cell r="I1209" t="e">
            <v>#N/A</v>
          </cell>
          <cell r="J1209" t="e">
            <v>#N/A</v>
          </cell>
          <cell r="K1209">
            <v>65</v>
          </cell>
          <cell r="L1209">
            <v>40</v>
          </cell>
          <cell r="M1209" t="e">
            <v>#N/A</v>
          </cell>
          <cell r="N1209">
            <v>52</v>
          </cell>
          <cell r="O1209" t="e">
            <v>#N/A</v>
          </cell>
          <cell r="P1209" t="str">
            <v/>
          </cell>
          <cell r="Q1209" t="str">
            <v/>
          </cell>
          <cell r="R1209" t="e">
            <v>#N/A</v>
          </cell>
        </row>
        <row r="1210">
          <cell r="A1210" t="str">
            <v/>
          </cell>
          <cell r="B1210" t="str">
            <v/>
          </cell>
          <cell r="C1210" t="str">
            <v>Future</v>
          </cell>
          <cell r="D1210" t="e">
            <v>#N/A</v>
          </cell>
          <cell r="E1210">
            <v>-87.700833333334216</v>
          </cell>
          <cell r="F1210">
            <v>80.21583333333102</v>
          </cell>
          <cell r="G1210">
            <v>15.632499999999437</v>
          </cell>
          <cell r="H1210">
            <v>15.632499999999437</v>
          </cell>
          <cell r="I1210" t="e">
            <v>#N/A</v>
          </cell>
          <cell r="J1210" t="e">
            <v>#N/A</v>
          </cell>
          <cell r="K1210">
            <v>65</v>
          </cell>
          <cell r="L1210">
            <v>40</v>
          </cell>
          <cell r="M1210" t="e">
            <v>#N/A</v>
          </cell>
          <cell r="N1210">
            <v>52</v>
          </cell>
          <cell r="O1210" t="e">
            <v>#N/A</v>
          </cell>
          <cell r="P1210" t="str">
            <v/>
          </cell>
          <cell r="Q1210" t="str">
            <v/>
          </cell>
          <cell r="R1210" t="e">
            <v>#N/A</v>
          </cell>
        </row>
        <row r="1211">
          <cell r="A1211" t="str">
            <v/>
          </cell>
          <cell r="B1211" t="str">
            <v/>
          </cell>
          <cell r="C1211" t="str">
            <v>Future</v>
          </cell>
          <cell r="D1211" t="e">
            <v>#N/A</v>
          </cell>
          <cell r="E1211">
            <v>-87.920634920635806</v>
          </cell>
          <cell r="F1211">
            <v>80.253968253965937</v>
          </cell>
          <cell r="G1211">
            <v>15.571428571428008</v>
          </cell>
          <cell r="H1211">
            <v>15.571428571428008</v>
          </cell>
          <cell r="I1211" t="e">
            <v>#N/A</v>
          </cell>
          <cell r="J1211" t="e">
            <v>#N/A</v>
          </cell>
          <cell r="K1211">
            <v>65</v>
          </cell>
          <cell r="L1211">
            <v>40</v>
          </cell>
          <cell r="M1211" t="e">
            <v>#N/A</v>
          </cell>
          <cell r="N1211">
            <v>52</v>
          </cell>
          <cell r="O1211" t="e">
            <v>#N/A</v>
          </cell>
          <cell r="P1211" t="str">
            <v/>
          </cell>
          <cell r="Q1211" t="str">
            <v/>
          </cell>
          <cell r="R1211" t="e">
            <v>#N/A</v>
          </cell>
        </row>
        <row r="1212">
          <cell r="A1212" t="str">
            <v/>
          </cell>
          <cell r="B1212" t="str">
            <v/>
          </cell>
          <cell r="C1212" t="str">
            <v>Future</v>
          </cell>
          <cell r="D1212" t="e">
            <v>#N/A</v>
          </cell>
          <cell r="E1212">
            <v>-88.140436507937395</v>
          </cell>
          <cell r="F1212">
            <v>80.292103174600854</v>
          </cell>
          <cell r="G1212">
            <v>15.510357142856579</v>
          </cell>
          <cell r="H1212">
            <v>15.510357142856579</v>
          </cell>
          <cell r="I1212" t="e">
            <v>#N/A</v>
          </cell>
          <cell r="J1212" t="e">
            <v>#N/A</v>
          </cell>
          <cell r="K1212">
            <v>65</v>
          </cell>
          <cell r="L1212">
            <v>40</v>
          </cell>
          <cell r="M1212" t="e">
            <v>#N/A</v>
          </cell>
          <cell r="N1212">
            <v>52</v>
          </cell>
          <cell r="O1212" t="e">
            <v>#N/A</v>
          </cell>
          <cell r="P1212" t="str">
            <v/>
          </cell>
          <cell r="Q1212" t="str">
            <v/>
          </cell>
          <cell r="R1212" t="e">
            <v>#N/A</v>
          </cell>
        </row>
        <row r="1213">
          <cell r="A1213" t="str">
            <v/>
          </cell>
          <cell r="B1213" t="str">
            <v/>
          </cell>
          <cell r="C1213" t="str">
            <v>Future</v>
          </cell>
          <cell r="D1213" t="e">
            <v>#N/A</v>
          </cell>
          <cell r="E1213">
            <v>-88.360238095238984</v>
          </cell>
          <cell r="F1213">
            <v>80.330238095235771</v>
          </cell>
          <cell r="G1213">
            <v>15.44928571428515</v>
          </cell>
          <cell r="H1213">
            <v>15.44928571428515</v>
          </cell>
          <cell r="I1213" t="e">
            <v>#N/A</v>
          </cell>
          <cell r="J1213" t="e">
            <v>#N/A</v>
          </cell>
          <cell r="K1213">
            <v>65</v>
          </cell>
          <cell r="L1213">
            <v>40</v>
          </cell>
          <cell r="M1213" t="e">
            <v>#N/A</v>
          </cell>
          <cell r="N1213">
            <v>52</v>
          </cell>
          <cell r="O1213" t="e">
            <v>#N/A</v>
          </cell>
          <cell r="P1213" t="str">
            <v/>
          </cell>
          <cell r="Q1213" t="str">
            <v/>
          </cell>
          <cell r="R1213" t="e">
            <v>#N/A</v>
          </cell>
        </row>
        <row r="1214">
          <cell r="A1214" t="str">
            <v/>
          </cell>
          <cell r="B1214" t="str">
            <v/>
          </cell>
          <cell r="C1214" t="str">
            <v>Future</v>
          </cell>
          <cell r="D1214" t="e">
            <v>#N/A</v>
          </cell>
          <cell r="E1214">
            <v>-88.580039682540573</v>
          </cell>
          <cell r="F1214">
            <v>80.368373015870688</v>
          </cell>
          <cell r="G1214">
            <v>15.388214285713721</v>
          </cell>
          <cell r="H1214">
            <v>15.388214285713721</v>
          </cell>
          <cell r="I1214" t="e">
            <v>#N/A</v>
          </cell>
          <cell r="J1214" t="e">
            <v>#N/A</v>
          </cell>
          <cell r="K1214">
            <v>65</v>
          </cell>
          <cell r="L1214">
            <v>40</v>
          </cell>
          <cell r="M1214" t="e">
            <v>#N/A</v>
          </cell>
          <cell r="N1214">
            <v>52</v>
          </cell>
          <cell r="O1214" t="e">
            <v>#N/A</v>
          </cell>
          <cell r="P1214" t="str">
            <v/>
          </cell>
          <cell r="Q1214" t="str">
            <v/>
          </cell>
          <cell r="R1214" t="e">
            <v>#N/A</v>
          </cell>
        </row>
        <row r="1215">
          <cell r="A1215" t="str">
            <v/>
          </cell>
          <cell r="B1215" t="str">
            <v/>
          </cell>
          <cell r="C1215" t="str">
            <v>Future</v>
          </cell>
          <cell r="D1215" t="e">
            <v>#N/A</v>
          </cell>
          <cell r="E1215">
            <v>-88.799841269842162</v>
          </cell>
          <cell r="F1215">
            <v>80.406507936505605</v>
          </cell>
          <cell r="G1215">
            <v>15.327142857142292</v>
          </cell>
          <cell r="H1215">
            <v>15.327142857142292</v>
          </cell>
          <cell r="I1215" t="e">
            <v>#N/A</v>
          </cell>
          <cell r="J1215" t="e">
            <v>#N/A</v>
          </cell>
          <cell r="K1215">
            <v>65</v>
          </cell>
          <cell r="L1215">
            <v>40</v>
          </cell>
          <cell r="M1215" t="e">
            <v>#N/A</v>
          </cell>
          <cell r="N1215">
            <v>52</v>
          </cell>
          <cell r="O1215" t="e">
            <v>#N/A</v>
          </cell>
          <cell r="P1215" t="str">
            <v/>
          </cell>
          <cell r="Q1215" t="str">
            <v/>
          </cell>
          <cell r="R1215" t="e">
            <v>#N/A</v>
          </cell>
        </row>
        <row r="1216">
          <cell r="A1216" t="str">
            <v/>
          </cell>
          <cell r="B1216" t="str">
            <v/>
          </cell>
          <cell r="C1216" t="str">
            <v>Future</v>
          </cell>
          <cell r="D1216" t="e">
            <v>#N/A</v>
          </cell>
          <cell r="E1216">
            <v>-89.019642857143751</v>
          </cell>
          <cell r="F1216">
            <v>80.444642857140522</v>
          </cell>
          <cell r="G1216">
            <v>15.266071428570863</v>
          </cell>
          <cell r="H1216">
            <v>15.266071428570863</v>
          </cell>
          <cell r="I1216" t="e">
            <v>#N/A</v>
          </cell>
          <cell r="J1216" t="e">
            <v>#N/A</v>
          </cell>
          <cell r="K1216">
            <v>65</v>
          </cell>
          <cell r="L1216">
            <v>40</v>
          </cell>
          <cell r="M1216" t="e">
            <v>#N/A</v>
          </cell>
          <cell r="N1216">
            <v>52</v>
          </cell>
          <cell r="O1216" t="e">
            <v>#N/A</v>
          </cell>
          <cell r="P1216" t="str">
            <v/>
          </cell>
          <cell r="Q1216" t="str">
            <v/>
          </cell>
          <cell r="R1216" t="e">
            <v>#N/A</v>
          </cell>
        </row>
        <row r="1217">
          <cell r="A1217" t="str">
            <v/>
          </cell>
          <cell r="B1217" t="str">
            <v/>
          </cell>
          <cell r="C1217" t="str">
            <v>Future</v>
          </cell>
          <cell r="D1217" t="e">
            <v>#N/A</v>
          </cell>
          <cell r="E1217">
            <v>-89.23944444444534</v>
          </cell>
          <cell r="F1217">
            <v>80.482777777775439</v>
          </cell>
          <cell r="G1217">
            <v>15.204999999999433</v>
          </cell>
          <cell r="H1217">
            <v>15.204999999999433</v>
          </cell>
          <cell r="I1217" t="e">
            <v>#N/A</v>
          </cell>
          <cell r="J1217" t="e">
            <v>#N/A</v>
          </cell>
          <cell r="K1217">
            <v>65</v>
          </cell>
          <cell r="L1217">
            <v>40</v>
          </cell>
          <cell r="M1217" t="e">
            <v>#N/A</v>
          </cell>
          <cell r="N1217">
            <v>52</v>
          </cell>
          <cell r="O1217" t="e">
            <v>#N/A</v>
          </cell>
          <cell r="P1217" t="str">
            <v/>
          </cell>
          <cell r="Q1217" t="str">
            <v/>
          </cell>
          <cell r="R1217" t="e">
            <v>#N/A</v>
          </cell>
        </row>
        <row r="1218">
          <cell r="A1218" t="str">
            <v/>
          </cell>
          <cell r="B1218" t="str">
            <v/>
          </cell>
          <cell r="C1218" t="str">
            <v>Future</v>
          </cell>
          <cell r="D1218" t="e">
            <v>#N/A</v>
          </cell>
          <cell r="E1218">
            <v>-89.459246031746929</v>
          </cell>
          <cell r="F1218">
            <v>80.520912698410356</v>
          </cell>
          <cell r="G1218">
            <v>15.143928571428004</v>
          </cell>
          <cell r="H1218">
            <v>15.143928571428004</v>
          </cell>
          <cell r="I1218" t="e">
            <v>#N/A</v>
          </cell>
          <cell r="J1218" t="e">
            <v>#N/A</v>
          </cell>
          <cell r="K1218">
            <v>65</v>
          </cell>
          <cell r="L1218">
            <v>40</v>
          </cell>
          <cell r="M1218" t="e">
            <v>#N/A</v>
          </cell>
          <cell r="N1218">
            <v>52</v>
          </cell>
          <cell r="O1218" t="e">
            <v>#N/A</v>
          </cell>
          <cell r="P1218" t="str">
            <v/>
          </cell>
          <cell r="Q1218" t="str">
            <v/>
          </cell>
          <cell r="R1218" t="e">
            <v>#N/A</v>
          </cell>
        </row>
        <row r="1219">
          <cell r="A1219" t="str">
            <v/>
          </cell>
          <cell r="B1219" t="str">
            <v/>
          </cell>
          <cell r="C1219" t="str">
            <v>Future</v>
          </cell>
          <cell r="D1219" t="e">
            <v>#N/A</v>
          </cell>
          <cell r="E1219">
            <v>-89.679047619048518</v>
          </cell>
          <cell r="F1219">
            <v>80.559047619045273</v>
          </cell>
          <cell r="G1219">
            <v>15.082857142856575</v>
          </cell>
          <cell r="H1219">
            <v>15.082857142856575</v>
          </cell>
          <cell r="I1219" t="e">
            <v>#N/A</v>
          </cell>
          <cell r="J1219" t="e">
            <v>#N/A</v>
          </cell>
          <cell r="K1219">
            <v>65</v>
          </cell>
          <cell r="L1219">
            <v>40</v>
          </cell>
          <cell r="M1219" t="e">
            <v>#N/A</v>
          </cell>
          <cell r="N1219">
            <v>52</v>
          </cell>
          <cell r="O1219" t="e">
            <v>#N/A</v>
          </cell>
          <cell r="P1219" t="str">
            <v/>
          </cell>
          <cell r="Q1219" t="str">
            <v/>
          </cell>
          <cell r="R1219" t="e">
            <v>#N/A</v>
          </cell>
        </row>
        <row r="1220">
          <cell r="A1220" t="str">
            <v/>
          </cell>
          <cell r="B1220" t="str">
            <v/>
          </cell>
          <cell r="C1220" t="str">
            <v>Future</v>
          </cell>
          <cell r="D1220" t="e">
            <v>#N/A</v>
          </cell>
          <cell r="E1220">
            <v>-89.898849206350107</v>
          </cell>
          <cell r="F1220">
            <v>80.59718253968019</v>
          </cell>
          <cell r="G1220">
            <v>15.021785714285146</v>
          </cell>
          <cell r="H1220">
            <v>15.021785714285146</v>
          </cell>
          <cell r="I1220" t="e">
            <v>#N/A</v>
          </cell>
          <cell r="J1220" t="e">
            <v>#N/A</v>
          </cell>
          <cell r="K1220">
            <v>65</v>
          </cell>
          <cell r="L1220">
            <v>40</v>
          </cell>
          <cell r="M1220" t="e">
            <v>#N/A</v>
          </cell>
          <cell r="N1220">
            <v>52</v>
          </cell>
          <cell r="O1220" t="e">
            <v>#N/A</v>
          </cell>
          <cell r="P1220" t="str">
            <v/>
          </cell>
          <cell r="Q1220" t="str">
            <v/>
          </cell>
          <cell r="R1220" t="e">
            <v>#N/A</v>
          </cell>
        </row>
        <row r="1221">
          <cell r="A1221" t="str">
            <v/>
          </cell>
          <cell r="B1221" t="str">
            <v/>
          </cell>
          <cell r="C1221" t="str">
            <v>Future</v>
          </cell>
          <cell r="D1221" t="e">
            <v>#N/A</v>
          </cell>
          <cell r="E1221">
            <v>-90.118650793651696</v>
          </cell>
          <cell r="F1221">
            <v>80.635317460315107</v>
          </cell>
          <cell r="G1221">
            <v>14.960714285713717</v>
          </cell>
          <cell r="H1221">
            <v>14.960714285713717</v>
          </cell>
          <cell r="I1221" t="e">
            <v>#N/A</v>
          </cell>
          <cell r="J1221" t="e">
            <v>#N/A</v>
          </cell>
          <cell r="K1221">
            <v>65</v>
          </cell>
          <cell r="L1221">
            <v>40</v>
          </cell>
          <cell r="M1221" t="e">
            <v>#N/A</v>
          </cell>
          <cell r="N1221">
            <v>52</v>
          </cell>
          <cell r="O1221" t="e">
            <v>#N/A</v>
          </cell>
          <cell r="P1221" t="str">
            <v/>
          </cell>
          <cell r="Q1221" t="str">
            <v/>
          </cell>
          <cell r="R1221" t="e">
            <v>#N/A</v>
          </cell>
        </row>
        <row r="1222">
          <cell r="A1222" t="str">
            <v/>
          </cell>
          <cell r="B1222" t="str">
            <v/>
          </cell>
          <cell r="C1222" t="str">
            <v>Future</v>
          </cell>
          <cell r="D1222" t="e">
            <v>#N/A</v>
          </cell>
          <cell r="E1222">
            <v>-90.338452380953285</v>
          </cell>
          <cell r="F1222">
            <v>80.673452380950025</v>
          </cell>
          <cell r="G1222">
            <v>14.899642857142288</v>
          </cell>
          <cell r="H1222">
            <v>14.899642857142288</v>
          </cell>
          <cell r="I1222" t="e">
            <v>#N/A</v>
          </cell>
          <cell r="J1222" t="e">
            <v>#N/A</v>
          </cell>
          <cell r="K1222">
            <v>65</v>
          </cell>
          <cell r="L1222">
            <v>40</v>
          </cell>
          <cell r="M1222" t="e">
            <v>#N/A</v>
          </cell>
          <cell r="N1222">
            <v>52</v>
          </cell>
          <cell r="O1222" t="e">
            <v>#N/A</v>
          </cell>
          <cell r="P1222" t="str">
            <v/>
          </cell>
          <cell r="Q1222" t="str">
            <v/>
          </cell>
          <cell r="R1222" t="e">
            <v>#N/A</v>
          </cell>
        </row>
        <row r="1223">
          <cell r="A1223" t="str">
            <v/>
          </cell>
          <cell r="B1223" t="str">
            <v/>
          </cell>
          <cell r="C1223" t="str">
            <v>Future</v>
          </cell>
          <cell r="D1223" t="e">
            <v>#N/A</v>
          </cell>
          <cell r="E1223">
            <v>-90.558253968254874</v>
          </cell>
          <cell r="F1223">
            <v>80.711587301584942</v>
          </cell>
          <cell r="G1223">
            <v>14.838571428570859</v>
          </cell>
          <cell r="H1223">
            <v>14.838571428570859</v>
          </cell>
          <cell r="I1223" t="e">
            <v>#N/A</v>
          </cell>
          <cell r="J1223" t="e">
            <v>#N/A</v>
          </cell>
          <cell r="K1223">
            <v>65</v>
          </cell>
          <cell r="L1223">
            <v>40</v>
          </cell>
          <cell r="M1223" t="e">
            <v>#N/A</v>
          </cell>
          <cell r="N1223">
            <v>52</v>
          </cell>
          <cell r="O1223" t="e">
            <v>#N/A</v>
          </cell>
          <cell r="P1223" t="str">
            <v/>
          </cell>
          <cell r="Q1223" t="str">
            <v/>
          </cell>
          <cell r="R1223" t="e">
            <v>#N/A</v>
          </cell>
        </row>
        <row r="1224">
          <cell r="A1224" t="str">
            <v/>
          </cell>
          <cell r="B1224" t="str">
            <v/>
          </cell>
          <cell r="C1224" t="str">
            <v>Future</v>
          </cell>
          <cell r="D1224" t="e">
            <v>#N/A</v>
          </cell>
          <cell r="E1224">
            <v>-90.778055555556463</v>
          </cell>
          <cell r="F1224">
            <v>80.749722222219859</v>
          </cell>
          <cell r="G1224">
            <v>14.77749999999943</v>
          </cell>
          <cell r="H1224">
            <v>14.77749999999943</v>
          </cell>
          <cell r="I1224" t="e">
            <v>#N/A</v>
          </cell>
          <cell r="J1224" t="e">
            <v>#N/A</v>
          </cell>
          <cell r="K1224">
            <v>65</v>
          </cell>
          <cell r="L1224">
            <v>40</v>
          </cell>
          <cell r="M1224" t="e">
            <v>#N/A</v>
          </cell>
          <cell r="N1224">
            <v>52</v>
          </cell>
          <cell r="O1224" t="e">
            <v>#N/A</v>
          </cell>
          <cell r="P1224" t="str">
            <v/>
          </cell>
          <cell r="Q1224" t="str">
            <v/>
          </cell>
          <cell r="R1224" t="e">
            <v>#N/A</v>
          </cell>
        </row>
        <row r="1225">
          <cell r="A1225" t="str">
            <v/>
          </cell>
          <cell r="B1225" t="str">
            <v/>
          </cell>
          <cell r="C1225" t="str">
            <v>Future</v>
          </cell>
          <cell r="D1225" t="e">
            <v>#N/A</v>
          </cell>
          <cell r="E1225">
            <v>-90.997857142858052</v>
          </cell>
          <cell r="F1225">
            <v>80.787857142854776</v>
          </cell>
          <cell r="G1225">
            <v>14.716428571428001</v>
          </cell>
          <cell r="H1225">
            <v>14.716428571428001</v>
          </cell>
          <cell r="I1225" t="e">
            <v>#N/A</v>
          </cell>
          <cell r="J1225" t="e">
            <v>#N/A</v>
          </cell>
          <cell r="K1225">
            <v>65</v>
          </cell>
          <cell r="L1225">
            <v>40</v>
          </cell>
          <cell r="M1225" t="e">
            <v>#N/A</v>
          </cell>
          <cell r="N1225">
            <v>52</v>
          </cell>
          <cell r="O1225" t="e">
            <v>#N/A</v>
          </cell>
          <cell r="P1225" t="str">
            <v/>
          </cell>
          <cell r="Q1225" t="str">
            <v/>
          </cell>
          <cell r="R1225" t="e">
            <v>#N/A</v>
          </cell>
        </row>
        <row r="1226">
          <cell r="A1226" t="str">
            <v/>
          </cell>
          <cell r="B1226" t="str">
            <v/>
          </cell>
          <cell r="C1226" t="str">
            <v>Future</v>
          </cell>
          <cell r="D1226" t="e">
            <v>#N/A</v>
          </cell>
          <cell r="E1226">
            <v>-91.217658730159641</v>
          </cell>
          <cell r="F1226">
            <v>80.825992063489693</v>
          </cell>
          <cell r="G1226">
            <v>14.655357142856571</v>
          </cell>
          <cell r="H1226">
            <v>14.655357142856571</v>
          </cell>
          <cell r="I1226" t="e">
            <v>#N/A</v>
          </cell>
          <cell r="J1226" t="e">
            <v>#N/A</v>
          </cell>
          <cell r="K1226">
            <v>65</v>
          </cell>
          <cell r="L1226">
            <v>40</v>
          </cell>
          <cell r="M1226" t="e">
            <v>#N/A</v>
          </cell>
          <cell r="N1226">
            <v>52</v>
          </cell>
          <cell r="O1226" t="e">
            <v>#N/A</v>
          </cell>
          <cell r="P1226" t="str">
            <v/>
          </cell>
          <cell r="Q1226" t="str">
            <v/>
          </cell>
          <cell r="R1226" t="e">
            <v>#N/A</v>
          </cell>
        </row>
        <row r="1227">
          <cell r="A1227" t="str">
            <v/>
          </cell>
          <cell r="B1227" t="str">
            <v/>
          </cell>
          <cell r="C1227" t="str">
            <v>Future</v>
          </cell>
          <cell r="D1227" t="e">
            <v>#N/A</v>
          </cell>
          <cell r="E1227">
            <v>-91.43746031746123</v>
          </cell>
          <cell r="F1227">
            <v>80.86412698412461</v>
          </cell>
          <cell r="G1227">
            <v>14.594285714285142</v>
          </cell>
          <cell r="H1227">
            <v>14.594285714285142</v>
          </cell>
          <cell r="I1227" t="e">
            <v>#N/A</v>
          </cell>
          <cell r="J1227" t="e">
            <v>#N/A</v>
          </cell>
          <cell r="K1227">
            <v>65</v>
          </cell>
          <cell r="L1227">
            <v>40</v>
          </cell>
          <cell r="M1227" t="e">
            <v>#N/A</v>
          </cell>
          <cell r="N1227">
            <v>52</v>
          </cell>
          <cell r="O1227" t="e">
            <v>#N/A</v>
          </cell>
          <cell r="P1227" t="str">
            <v/>
          </cell>
          <cell r="Q1227" t="str">
            <v/>
          </cell>
          <cell r="R1227" t="e">
            <v>#N/A</v>
          </cell>
        </row>
        <row r="1228">
          <cell r="A1228" t="str">
            <v/>
          </cell>
          <cell r="B1228" t="str">
            <v/>
          </cell>
          <cell r="C1228" t="str">
            <v>Future</v>
          </cell>
          <cell r="D1228" t="e">
            <v>#N/A</v>
          </cell>
          <cell r="E1228">
            <v>-91.657261904762819</v>
          </cell>
          <cell r="F1228">
            <v>80.902261904759527</v>
          </cell>
          <cell r="G1228">
            <v>14.533214285713713</v>
          </cell>
          <cell r="H1228">
            <v>14.533214285713713</v>
          </cell>
          <cell r="I1228" t="e">
            <v>#N/A</v>
          </cell>
          <cell r="J1228" t="e">
            <v>#N/A</v>
          </cell>
          <cell r="K1228">
            <v>65</v>
          </cell>
          <cell r="L1228">
            <v>40</v>
          </cell>
          <cell r="M1228" t="e">
            <v>#N/A</v>
          </cell>
          <cell r="N1228">
            <v>52</v>
          </cell>
          <cell r="O1228" t="e">
            <v>#N/A</v>
          </cell>
          <cell r="P1228" t="str">
            <v/>
          </cell>
          <cell r="Q1228" t="str">
            <v/>
          </cell>
          <cell r="R1228" t="e">
            <v>#N/A</v>
          </cell>
        </row>
        <row r="1229">
          <cell r="A1229" t="str">
            <v/>
          </cell>
          <cell r="B1229" t="str">
            <v/>
          </cell>
          <cell r="C1229" t="str">
            <v>Future</v>
          </cell>
          <cell r="D1229" t="e">
            <v>#N/A</v>
          </cell>
          <cell r="E1229">
            <v>-91.877063492064408</v>
          </cell>
          <cell r="F1229">
            <v>80.940396825394444</v>
          </cell>
          <cell r="G1229">
            <v>14.472142857142284</v>
          </cell>
          <cell r="H1229">
            <v>14.472142857142284</v>
          </cell>
          <cell r="I1229" t="e">
            <v>#N/A</v>
          </cell>
          <cell r="J1229" t="e">
            <v>#N/A</v>
          </cell>
          <cell r="K1229">
            <v>65</v>
          </cell>
          <cell r="L1229">
            <v>40</v>
          </cell>
          <cell r="M1229" t="e">
            <v>#N/A</v>
          </cell>
          <cell r="N1229">
            <v>52</v>
          </cell>
          <cell r="O1229" t="e">
            <v>#N/A</v>
          </cell>
          <cell r="P1229" t="str">
            <v/>
          </cell>
          <cell r="Q1229" t="str">
            <v/>
          </cell>
          <cell r="R1229" t="e">
            <v>#N/A</v>
          </cell>
        </row>
        <row r="1230">
          <cell r="A1230" t="str">
            <v/>
          </cell>
          <cell r="B1230" t="str">
            <v/>
          </cell>
          <cell r="C1230" t="str">
            <v>Future</v>
          </cell>
          <cell r="D1230" t="e">
            <v>#N/A</v>
          </cell>
          <cell r="E1230">
            <v>-92.096865079365998</v>
          </cell>
          <cell r="F1230">
            <v>80.978531746029361</v>
          </cell>
          <cell r="G1230">
            <v>14.411071428570855</v>
          </cell>
          <cell r="H1230">
            <v>14.411071428570855</v>
          </cell>
          <cell r="I1230" t="e">
            <v>#N/A</v>
          </cell>
          <cell r="J1230" t="e">
            <v>#N/A</v>
          </cell>
          <cell r="K1230">
            <v>65</v>
          </cell>
          <cell r="L1230">
            <v>40</v>
          </cell>
          <cell r="M1230" t="e">
            <v>#N/A</v>
          </cell>
          <cell r="N1230">
            <v>52</v>
          </cell>
          <cell r="O1230" t="e">
            <v>#N/A</v>
          </cell>
          <cell r="P1230" t="str">
            <v/>
          </cell>
          <cell r="Q1230" t="str">
            <v/>
          </cell>
          <cell r="R1230" t="e">
            <v>#N/A</v>
          </cell>
        </row>
        <row r="1231">
          <cell r="A1231" t="str">
            <v/>
          </cell>
          <cell r="B1231" t="str">
            <v/>
          </cell>
          <cell r="C1231" t="str">
            <v>Future</v>
          </cell>
          <cell r="D1231" t="e">
            <v>#N/A</v>
          </cell>
          <cell r="E1231">
            <v>-92.316666666667587</v>
          </cell>
          <cell r="F1231">
            <v>81.016666666664278</v>
          </cell>
          <cell r="G1231">
            <v>14.349999999999426</v>
          </cell>
          <cell r="H1231">
            <v>14.349999999999426</v>
          </cell>
          <cell r="I1231" t="e">
            <v>#N/A</v>
          </cell>
          <cell r="J1231" t="e">
            <v>#N/A</v>
          </cell>
          <cell r="K1231">
            <v>65</v>
          </cell>
          <cell r="L1231">
            <v>40</v>
          </cell>
          <cell r="M1231" t="e">
            <v>#N/A</v>
          </cell>
          <cell r="N1231">
            <v>52</v>
          </cell>
          <cell r="O1231" t="e">
            <v>#N/A</v>
          </cell>
          <cell r="P1231" t="str">
            <v/>
          </cell>
          <cell r="Q1231" t="str">
            <v/>
          </cell>
          <cell r="R1231" t="e">
            <v>#N/A</v>
          </cell>
        </row>
        <row r="1232">
          <cell r="A1232" t="str">
            <v/>
          </cell>
          <cell r="B1232" t="str">
            <v/>
          </cell>
          <cell r="C1232" t="str">
            <v>Future</v>
          </cell>
          <cell r="D1232" t="e">
            <v>#N/A</v>
          </cell>
          <cell r="E1232">
            <v>-92.536468253969176</v>
          </cell>
          <cell r="F1232">
            <v>81.054801587299195</v>
          </cell>
          <cell r="G1232">
            <v>14.288928571427997</v>
          </cell>
          <cell r="H1232">
            <v>14.288928571427997</v>
          </cell>
          <cell r="I1232" t="e">
            <v>#N/A</v>
          </cell>
          <cell r="J1232" t="e">
            <v>#N/A</v>
          </cell>
          <cell r="K1232">
            <v>65</v>
          </cell>
          <cell r="L1232">
            <v>40</v>
          </cell>
          <cell r="M1232" t="e">
            <v>#N/A</v>
          </cell>
          <cell r="N1232">
            <v>52</v>
          </cell>
          <cell r="O1232" t="e">
            <v>#N/A</v>
          </cell>
          <cell r="P1232" t="str">
            <v/>
          </cell>
          <cell r="Q1232" t="str">
            <v/>
          </cell>
          <cell r="R1232" t="e">
            <v>#N/A</v>
          </cell>
        </row>
        <row r="1233">
          <cell r="A1233" t="str">
            <v/>
          </cell>
          <cell r="B1233" t="str">
            <v/>
          </cell>
          <cell r="C1233" t="str">
            <v>Future</v>
          </cell>
          <cell r="D1233" t="e">
            <v>#N/A</v>
          </cell>
          <cell r="E1233">
            <v>-92.756269841270765</v>
          </cell>
          <cell r="F1233">
            <v>81.092936507934112</v>
          </cell>
          <cell r="G1233">
            <v>14.227857142856568</v>
          </cell>
          <cell r="H1233">
            <v>14.227857142856568</v>
          </cell>
          <cell r="I1233" t="e">
            <v>#N/A</v>
          </cell>
          <cell r="J1233" t="e">
            <v>#N/A</v>
          </cell>
          <cell r="K1233">
            <v>65</v>
          </cell>
          <cell r="L1233">
            <v>40</v>
          </cell>
          <cell r="M1233" t="e">
            <v>#N/A</v>
          </cell>
          <cell r="N1233">
            <v>52</v>
          </cell>
          <cell r="O1233" t="e">
            <v>#N/A</v>
          </cell>
          <cell r="P1233" t="str">
            <v/>
          </cell>
          <cell r="Q1233" t="str">
            <v/>
          </cell>
          <cell r="R1233" t="e">
            <v>#N/A</v>
          </cell>
        </row>
        <row r="1234">
          <cell r="A1234" t="str">
            <v/>
          </cell>
          <cell r="B1234" t="str">
            <v/>
          </cell>
          <cell r="C1234" t="str">
            <v>Future</v>
          </cell>
          <cell r="D1234" t="e">
            <v>#N/A</v>
          </cell>
          <cell r="E1234">
            <v>-92.976071428572354</v>
          </cell>
          <cell r="F1234">
            <v>81.13107142856903</v>
          </cell>
          <cell r="G1234">
            <v>14.166785714285139</v>
          </cell>
          <cell r="H1234">
            <v>14.166785714285139</v>
          </cell>
          <cell r="I1234" t="e">
            <v>#N/A</v>
          </cell>
          <cell r="J1234" t="e">
            <v>#N/A</v>
          </cell>
          <cell r="K1234">
            <v>65</v>
          </cell>
          <cell r="L1234">
            <v>40</v>
          </cell>
          <cell r="M1234" t="e">
            <v>#N/A</v>
          </cell>
          <cell r="N1234">
            <v>52</v>
          </cell>
          <cell r="O1234" t="e">
            <v>#N/A</v>
          </cell>
          <cell r="P1234" t="str">
            <v/>
          </cell>
          <cell r="Q1234" t="str">
            <v/>
          </cell>
          <cell r="R1234" t="e">
            <v>#N/A</v>
          </cell>
        </row>
        <row r="1235">
          <cell r="A1235" t="str">
            <v/>
          </cell>
          <cell r="B1235" t="str">
            <v/>
          </cell>
          <cell r="C1235" t="str">
            <v>Future</v>
          </cell>
          <cell r="D1235" t="e">
            <v>#N/A</v>
          </cell>
          <cell r="E1235">
            <v>-93.195873015873943</v>
          </cell>
          <cell r="F1235">
            <v>81.169206349203947</v>
          </cell>
          <cell r="G1235">
            <v>14.105714285713709</v>
          </cell>
          <cell r="H1235">
            <v>14.105714285713709</v>
          </cell>
          <cell r="I1235" t="e">
            <v>#N/A</v>
          </cell>
          <cell r="J1235" t="e">
            <v>#N/A</v>
          </cell>
          <cell r="K1235">
            <v>65</v>
          </cell>
          <cell r="L1235">
            <v>40</v>
          </cell>
          <cell r="M1235" t="e">
            <v>#N/A</v>
          </cell>
          <cell r="N1235">
            <v>52</v>
          </cell>
          <cell r="O1235" t="e">
            <v>#N/A</v>
          </cell>
          <cell r="P1235" t="str">
            <v/>
          </cell>
          <cell r="Q1235" t="str">
            <v/>
          </cell>
          <cell r="R1235" t="e">
            <v>#N/A</v>
          </cell>
        </row>
        <row r="1236">
          <cell r="A1236" t="str">
            <v/>
          </cell>
          <cell r="B1236" t="str">
            <v/>
          </cell>
          <cell r="C1236" t="str">
            <v>Future</v>
          </cell>
          <cell r="D1236" t="e">
            <v>#N/A</v>
          </cell>
          <cell r="E1236">
            <v>-93.415674603175532</v>
          </cell>
          <cell r="F1236">
            <v>81.207341269838864</v>
          </cell>
          <cell r="G1236">
            <v>14.04464285714228</v>
          </cell>
          <cell r="H1236">
            <v>14.04464285714228</v>
          </cell>
          <cell r="I1236" t="e">
            <v>#N/A</v>
          </cell>
          <cell r="J1236" t="e">
            <v>#N/A</v>
          </cell>
          <cell r="K1236">
            <v>65</v>
          </cell>
          <cell r="L1236">
            <v>40</v>
          </cell>
          <cell r="M1236" t="e">
            <v>#N/A</v>
          </cell>
          <cell r="N1236">
            <v>52</v>
          </cell>
          <cell r="O1236" t="e">
            <v>#N/A</v>
          </cell>
          <cell r="P1236" t="str">
            <v/>
          </cell>
          <cell r="Q1236" t="str">
            <v/>
          </cell>
          <cell r="R1236" t="e">
            <v>#N/A</v>
          </cell>
        </row>
        <row r="1237">
          <cell r="A1237" t="str">
            <v/>
          </cell>
          <cell r="B1237" t="str">
            <v/>
          </cell>
          <cell r="C1237" t="str">
            <v>Future</v>
          </cell>
          <cell r="D1237" t="e">
            <v>#N/A</v>
          </cell>
          <cell r="E1237">
            <v>-93.635476190477121</v>
          </cell>
          <cell r="F1237">
            <v>81.245476190473781</v>
          </cell>
          <cell r="G1237">
            <v>13.983571428570851</v>
          </cell>
          <cell r="H1237">
            <v>13.983571428570851</v>
          </cell>
          <cell r="I1237" t="e">
            <v>#N/A</v>
          </cell>
          <cell r="J1237" t="e">
            <v>#N/A</v>
          </cell>
          <cell r="K1237">
            <v>65</v>
          </cell>
          <cell r="L1237">
            <v>40</v>
          </cell>
          <cell r="M1237" t="e">
            <v>#N/A</v>
          </cell>
          <cell r="N1237">
            <v>52</v>
          </cell>
          <cell r="O1237" t="e">
            <v>#N/A</v>
          </cell>
          <cell r="P1237" t="str">
            <v/>
          </cell>
          <cell r="Q1237" t="str">
            <v/>
          </cell>
          <cell r="R1237" t="e">
            <v>#N/A</v>
          </cell>
        </row>
        <row r="1238">
          <cell r="A1238" t="str">
            <v/>
          </cell>
          <cell r="B1238" t="str">
            <v/>
          </cell>
          <cell r="C1238" t="str">
            <v>Future</v>
          </cell>
          <cell r="D1238" t="e">
            <v>#N/A</v>
          </cell>
          <cell r="E1238">
            <v>-93.85527777777871</v>
          </cell>
          <cell r="F1238">
            <v>81.283611111108698</v>
          </cell>
          <cell r="G1238">
            <v>13.922499999999422</v>
          </cell>
          <cell r="H1238">
            <v>13.922499999999422</v>
          </cell>
          <cell r="I1238" t="e">
            <v>#N/A</v>
          </cell>
          <cell r="J1238" t="e">
            <v>#N/A</v>
          </cell>
          <cell r="K1238">
            <v>65</v>
          </cell>
          <cell r="L1238">
            <v>40</v>
          </cell>
          <cell r="M1238" t="e">
            <v>#N/A</v>
          </cell>
          <cell r="N1238">
            <v>52</v>
          </cell>
          <cell r="O1238" t="e">
            <v>#N/A</v>
          </cell>
          <cell r="P1238" t="str">
            <v/>
          </cell>
          <cell r="Q1238" t="str">
            <v/>
          </cell>
          <cell r="R1238" t="e">
            <v>#N/A</v>
          </cell>
        </row>
        <row r="1239">
          <cell r="A1239" t="str">
            <v/>
          </cell>
          <cell r="B1239" t="str">
            <v/>
          </cell>
          <cell r="C1239" t="str">
            <v>Future</v>
          </cell>
          <cell r="D1239" t="e">
            <v>#N/A</v>
          </cell>
          <cell r="E1239">
            <v>-94.075079365080299</v>
          </cell>
          <cell r="F1239">
            <v>81.321746031743615</v>
          </cell>
          <cell r="G1239">
            <v>13.861428571427993</v>
          </cell>
          <cell r="H1239">
            <v>13.861428571427993</v>
          </cell>
          <cell r="I1239" t="e">
            <v>#N/A</v>
          </cell>
          <cell r="J1239" t="e">
            <v>#N/A</v>
          </cell>
          <cell r="K1239">
            <v>65</v>
          </cell>
          <cell r="L1239">
            <v>40</v>
          </cell>
          <cell r="M1239" t="e">
            <v>#N/A</v>
          </cell>
          <cell r="N1239">
            <v>52</v>
          </cell>
          <cell r="O1239" t="e">
            <v>#N/A</v>
          </cell>
          <cell r="P1239" t="str">
            <v/>
          </cell>
          <cell r="Q1239" t="str">
            <v/>
          </cell>
          <cell r="R1239" t="e">
            <v>#N/A</v>
          </cell>
        </row>
        <row r="1240">
          <cell r="A1240" t="str">
            <v/>
          </cell>
          <cell r="B1240" t="str">
            <v/>
          </cell>
          <cell r="C1240" t="str">
            <v>Future</v>
          </cell>
          <cell r="D1240" t="e">
            <v>#N/A</v>
          </cell>
          <cell r="E1240">
            <v>-94.294880952381888</v>
          </cell>
          <cell r="F1240">
            <v>81.359880952378532</v>
          </cell>
          <cell r="G1240">
            <v>13.800357142856564</v>
          </cell>
          <cell r="H1240">
            <v>13.800357142856564</v>
          </cell>
          <cell r="I1240" t="e">
            <v>#N/A</v>
          </cell>
          <cell r="J1240" t="e">
            <v>#N/A</v>
          </cell>
          <cell r="K1240">
            <v>65</v>
          </cell>
          <cell r="L1240">
            <v>40</v>
          </cell>
          <cell r="M1240" t="e">
            <v>#N/A</v>
          </cell>
          <cell r="N1240">
            <v>52</v>
          </cell>
          <cell r="O1240" t="e">
            <v>#N/A</v>
          </cell>
          <cell r="P1240" t="str">
            <v/>
          </cell>
          <cell r="Q1240" t="str">
            <v/>
          </cell>
          <cell r="R1240" t="e">
            <v>#N/A</v>
          </cell>
        </row>
        <row r="1241">
          <cell r="A1241" t="str">
            <v/>
          </cell>
          <cell r="B1241" t="str">
            <v/>
          </cell>
          <cell r="C1241" t="str">
            <v>Future</v>
          </cell>
          <cell r="D1241" t="e">
            <v>#N/A</v>
          </cell>
          <cell r="E1241">
            <v>-94.514682539683477</v>
          </cell>
          <cell r="F1241">
            <v>81.398015873013449</v>
          </cell>
          <cell r="G1241">
            <v>13.739285714285135</v>
          </cell>
          <cell r="H1241">
            <v>13.739285714285135</v>
          </cell>
          <cell r="I1241" t="e">
            <v>#N/A</v>
          </cell>
          <cell r="J1241" t="e">
            <v>#N/A</v>
          </cell>
          <cell r="K1241">
            <v>65</v>
          </cell>
          <cell r="L1241">
            <v>40</v>
          </cell>
          <cell r="M1241" t="e">
            <v>#N/A</v>
          </cell>
          <cell r="N1241">
            <v>52</v>
          </cell>
          <cell r="O1241" t="e">
            <v>#N/A</v>
          </cell>
          <cell r="P1241" t="str">
            <v/>
          </cell>
          <cell r="Q1241" t="str">
            <v/>
          </cell>
          <cell r="R1241" t="e">
            <v>#N/A</v>
          </cell>
        </row>
        <row r="1242">
          <cell r="A1242" t="str">
            <v/>
          </cell>
          <cell r="B1242" t="str">
            <v/>
          </cell>
          <cell r="C1242" t="str">
            <v>Future</v>
          </cell>
          <cell r="D1242" t="e">
            <v>#N/A</v>
          </cell>
          <cell r="E1242">
            <v>-94.734484126985066</v>
          </cell>
          <cell r="F1242">
            <v>81.436150793648366</v>
          </cell>
          <cell r="G1242">
            <v>13.678214285713706</v>
          </cell>
          <cell r="H1242">
            <v>13.678214285713706</v>
          </cell>
          <cell r="I1242" t="e">
            <v>#N/A</v>
          </cell>
          <cell r="J1242" t="e">
            <v>#N/A</v>
          </cell>
          <cell r="K1242">
            <v>65</v>
          </cell>
          <cell r="L1242">
            <v>40</v>
          </cell>
          <cell r="M1242" t="e">
            <v>#N/A</v>
          </cell>
          <cell r="N1242">
            <v>52</v>
          </cell>
          <cell r="O1242" t="e">
            <v>#N/A</v>
          </cell>
          <cell r="P1242" t="str">
            <v/>
          </cell>
          <cell r="Q1242" t="str">
            <v/>
          </cell>
          <cell r="R1242" t="e">
            <v>#N/A</v>
          </cell>
        </row>
        <row r="1243">
          <cell r="A1243" t="str">
            <v/>
          </cell>
          <cell r="B1243" t="str">
            <v/>
          </cell>
          <cell r="C1243" t="str">
            <v>Future</v>
          </cell>
          <cell r="D1243" t="e">
            <v>#N/A</v>
          </cell>
          <cell r="E1243">
            <v>-94.954285714286655</v>
          </cell>
          <cell r="F1243">
            <v>81.474285714283283</v>
          </cell>
          <cell r="G1243">
            <v>13.617142857142277</v>
          </cell>
          <cell r="H1243">
            <v>13.617142857142277</v>
          </cell>
          <cell r="I1243" t="e">
            <v>#N/A</v>
          </cell>
          <cell r="J1243" t="e">
            <v>#N/A</v>
          </cell>
          <cell r="K1243">
            <v>65</v>
          </cell>
          <cell r="L1243">
            <v>40</v>
          </cell>
          <cell r="M1243" t="e">
            <v>#N/A</v>
          </cell>
          <cell r="N1243">
            <v>52</v>
          </cell>
          <cell r="O1243" t="e">
            <v>#N/A</v>
          </cell>
          <cell r="P1243" t="str">
            <v/>
          </cell>
          <cell r="Q1243" t="str">
            <v/>
          </cell>
          <cell r="R1243" t="e">
            <v>#N/A</v>
          </cell>
        </row>
        <row r="1244">
          <cell r="A1244" t="str">
            <v/>
          </cell>
          <cell r="B1244" t="str">
            <v/>
          </cell>
          <cell r="C1244" t="str">
            <v>Future</v>
          </cell>
          <cell r="D1244" t="e">
            <v>#N/A</v>
          </cell>
          <cell r="E1244">
            <v>-95.174087301588244</v>
          </cell>
          <cell r="F1244">
            <v>81.5124206349182</v>
          </cell>
          <cell r="G1244">
            <v>13.556071428570847</v>
          </cell>
          <cell r="H1244">
            <v>13.556071428570847</v>
          </cell>
          <cell r="I1244" t="e">
            <v>#N/A</v>
          </cell>
          <cell r="J1244" t="e">
            <v>#N/A</v>
          </cell>
          <cell r="K1244">
            <v>65</v>
          </cell>
          <cell r="L1244">
            <v>40</v>
          </cell>
          <cell r="M1244" t="e">
            <v>#N/A</v>
          </cell>
          <cell r="N1244">
            <v>52</v>
          </cell>
          <cell r="O1244" t="e">
            <v>#N/A</v>
          </cell>
          <cell r="P1244" t="str">
            <v/>
          </cell>
          <cell r="Q1244" t="str">
            <v/>
          </cell>
          <cell r="R1244" t="e">
            <v>#N/A</v>
          </cell>
        </row>
        <row r="1245">
          <cell r="A1245" t="str">
            <v/>
          </cell>
          <cell r="B1245" t="str">
            <v/>
          </cell>
          <cell r="C1245" t="str">
            <v>Future</v>
          </cell>
          <cell r="D1245" t="e">
            <v>#N/A</v>
          </cell>
          <cell r="E1245">
            <v>-95.393888888889833</v>
          </cell>
          <cell r="F1245">
            <v>81.550555555553117</v>
          </cell>
          <cell r="G1245">
            <v>13.494999999999418</v>
          </cell>
          <cell r="H1245">
            <v>13.494999999999418</v>
          </cell>
          <cell r="I1245" t="e">
            <v>#N/A</v>
          </cell>
          <cell r="J1245" t="e">
            <v>#N/A</v>
          </cell>
          <cell r="K1245">
            <v>65</v>
          </cell>
          <cell r="L1245">
            <v>40</v>
          </cell>
          <cell r="M1245" t="e">
            <v>#N/A</v>
          </cell>
          <cell r="N1245">
            <v>52</v>
          </cell>
          <cell r="O1245" t="e">
            <v>#N/A</v>
          </cell>
          <cell r="P1245" t="str">
            <v/>
          </cell>
          <cell r="Q1245" t="str">
            <v/>
          </cell>
          <cell r="R1245" t="e">
            <v>#N/A</v>
          </cell>
        </row>
        <row r="1246">
          <cell r="A1246" t="str">
            <v/>
          </cell>
          <cell r="B1246" t="str">
            <v/>
          </cell>
          <cell r="C1246" t="str">
            <v>Future</v>
          </cell>
          <cell r="D1246" t="e">
            <v>#N/A</v>
          </cell>
          <cell r="E1246">
            <v>-95.613690476191422</v>
          </cell>
          <cell r="F1246">
            <v>81.588690476188034</v>
          </cell>
          <cell r="G1246">
            <v>13.433928571427989</v>
          </cell>
          <cell r="H1246">
            <v>13.433928571427989</v>
          </cell>
          <cell r="I1246" t="e">
            <v>#N/A</v>
          </cell>
          <cell r="J1246" t="e">
            <v>#N/A</v>
          </cell>
          <cell r="K1246">
            <v>65</v>
          </cell>
          <cell r="L1246">
            <v>40</v>
          </cell>
          <cell r="M1246" t="e">
            <v>#N/A</v>
          </cell>
          <cell r="N1246">
            <v>52</v>
          </cell>
          <cell r="O1246" t="e">
            <v>#N/A</v>
          </cell>
          <cell r="P1246" t="str">
            <v/>
          </cell>
          <cell r="Q1246" t="str">
            <v/>
          </cell>
          <cell r="R1246" t="e">
            <v>#N/A</v>
          </cell>
        </row>
        <row r="1247">
          <cell r="A1247" t="str">
            <v/>
          </cell>
          <cell r="B1247" t="str">
            <v/>
          </cell>
          <cell r="C1247" t="str">
            <v>Future</v>
          </cell>
          <cell r="D1247" t="e">
            <v>#N/A</v>
          </cell>
          <cell r="E1247">
            <v>-95.833492063493011</v>
          </cell>
          <cell r="F1247">
            <v>81.626825396822952</v>
          </cell>
          <cell r="G1247">
            <v>13.37285714285656</v>
          </cell>
          <cell r="H1247">
            <v>13.37285714285656</v>
          </cell>
          <cell r="I1247" t="e">
            <v>#N/A</v>
          </cell>
          <cell r="J1247" t="e">
            <v>#N/A</v>
          </cell>
          <cell r="K1247">
            <v>65</v>
          </cell>
          <cell r="L1247">
            <v>40</v>
          </cell>
          <cell r="M1247" t="e">
            <v>#N/A</v>
          </cell>
          <cell r="N1247">
            <v>52</v>
          </cell>
          <cell r="O1247" t="e">
            <v>#N/A</v>
          </cell>
          <cell r="P1247" t="str">
            <v/>
          </cell>
          <cell r="Q1247" t="str">
            <v/>
          </cell>
          <cell r="R1247" t="e">
            <v>#N/A</v>
          </cell>
        </row>
        <row r="1248">
          <cell r="A1248" t="str">
            <v/>
          </cell>
          <cell r="B1248" t="str">
            <v/>
          </cell>
          <cell r="C1248" t="str">
            <v>Future</v>
          </cell>
          <cell r="D1248" t="e">
            <v>#N/A</v>
          </cell>
          <cell r="E1248">
            <v>-96.0532936507946</v>
          </cell>
          <cell r="F1248">
            <v>81.664960317457869</v>
          </cell>
          <cell r="G1248">
            <v>13.311785714285131</v>
          </cell>
          <cell r="H1248">
            <v>13.311785714285131</v>
          </cell>
          <cell r="I1248" t="e">
            <v>#N/A</v>
          </cell>
          <cell r="J1248" t="e">
            <v>#N/A</v>
          </cell>
          <cell r="K1248">
            <v>65</v>
          </cell>
          <cell r="L1248">
            <v>40</v>
          </cell>
          <cell r="M1248" t="e">
            <v>#N/A</v>
          </cell>
          <cell r="N1248">
            <v>52</v>
          </cell>
          <cell r="O1248" t="e">
            <v>#N/A</v>
          </cell>
          <cell r="P1248" t="str">
            <v/>
          </cell>
          <cell r="Q1248" t="str">
            <v/>
          </cell>
          <cell r="R1248" t="e">
            <v>#N/A</v>
          </cell>
        </row>
        <row r="1249">
          <cell r="A1249" t="str">
            <v/>
          </cell>
          <cell r="B1249" t="str">
            <v/>
          </cell>
          <cell r="C1249" t="str">
            <v>Future</v>
          </cell>
          <cell r="D1249" t="e">
            <v>#N/A</v>
          </cell>
          <cell r="E1249">
            <v>-96.27309523809619</v>
          </cell>
          <cell r="F1249">
            <v>81.703095238092786</v>
          </cell>
          <cell r="G1249">
            <v>13.250714285713702</v>
          </cell>
          <cell r="H1249">
            <v>13.250714285713702</v>
          </cell>
          <cell r="I1249" t="e">
            <v>#N/A</v>
          </cell>
          <cell r="J1249" t="e">
            <v>#N/A</v>
          </cell>
          <cell r="K1249">
            <v>65</v>
          </cell>
          <cell r="L1249">
            <v>40</v>
          </cell>
          <cell r="M1249" t="e">
            <v>#N/A</v>
          </cell>
          <cell r="N1249">
            <v>52</v>
          </cell>
          <cell r="O1249" t="e">
            <v>#N/A</v>
          </cell>
          <cell r="P1249" t="str">
            <v/>
          </cell>
          <cell r="Q1249" t="str">
            <v/>
          </cell>
          <cell r="R1249" t="e">
            <v>#N/A</v>
          </cell>
        </row>
        <row r="1250">
          <cell r="A1250" t="str">
            <v/>
          </cell>
          <cell r="B1250" t="str">
            <v/>
          </cell>
          <cell r="C1250" t="str">
            <v>Future</v>
          </cell>
          <cell r="D1250" t="e">
            <v>#N/A</v>
          </cell>
          <cell r="E1250">
            <v>-96.492896825397779</v>
          </cell>
          <cell r="F1250">
            <v>81.741230158727703</v>
          </cell>
          <cell r="G1250">
            <v>13.189642857142273</v>
          </cell>
          <cell r="H1250">
            <v>13.189642857142273</v>
          </cell>
          <cell r="I1250" t="e">
            <v>#N/A</v>
          </cell>
          <cell r="J1250" t="e">
            <v>#N/A</v>
          </cell>
          <cell r="K1250">
            <v>65</v>
          </cell>
          <cell r="L1250">
            <v>40</v>
          </cell>
          <cell r="M1250" t="e">
            <v>#N/A</v>
          </cell>
          <cell r="N1250">
            <v>52</v>
          </cell>
          <cell r="O1250" t="e">
            <v>#N/A</v>
          </cell>
          <cell r="P1250" t="str">
            <v/>
          </cell>
          <cell r="Q1250" t="str">
            <v/>
          </cell>
          <cell r="R1250" t="e">
            <v>#N/A</v>
          </cell>
        </row>
        <row r="1251">
          <cell r="A1251" t="str">
            <v/>
          </cell>
          <cell r="B1251" t="str">
            <v/>
          </cell>
          <cell r="C1251" t="str">
            <v>Future</v>
          </cell>
          <cell r="D1251" t="e">
            <v>#N/A</v>
          </cell>
          <cell r="E1251">
            <v>-96.712698412699368</v>
          </cell>
          <cell r="F1251">
            <v>81.77936507936262</v>
          </cell>
          <cell r="G1251">
            <v>13.128571428570844</v>
          </cell>
          <cell r="H1251">
            <v>13.128571428570844</v>
          </cell>
          <cell r="I1251" t="e">
            <v>#N/A</v>
          </cell>
          <cell r="J1251" t="e">
            <v>#N/A</v>
          </cell>
          <cell r="K1251">
            <v>65</v>
          </cell>
          <cell r="L1251">
            <v>40</v>
          </cell>
          <cell r="M1251" t="e">
            <v>#N/A</v>
          </cell>
          <cell r="N1251">
            <v>52</v>
          </cell>
          <cell r="O1251" t="e">
            <v>#N/A</v>
          </cell>
          <cell r="P1251" t="str">
            <v/>
          </cell>
          <cell r="Q1251" t="str">
            <v/>
          </cell>
          <cell r="R1251" t="e">
            <v>#N/A</v>
          </cell>
        </row>
        <row r="1252">
          <cell r="A1252" t="str">
            <v/>
          </cell>
          <cell r="B1252" t="str">
            <v/>
          </cell>
          <cell r="C1252" t="str">
            <v>Future</v>
          </cell>
          <cell r="D1252" t="e">
            <v>#N/A</v>
          </cell>
          <cell r="E1252">
            <v>-96.932500000000957</v>
          </cell>
          <cell r="F1252">
            <v>81.817499999997537</v>
          </cell>
          <cell r="G1252">
            <v>13.067499999999415</v>
          </cell>
          <cell r="H1252">
            <v>13.067499999999415</v>
          </cell>
          <cell r="I1252" t="e">
            <v>#N/A</v>
          </cell>
          <cell r="J1252" t="e">
            <v>#N/A</v>
          </cell>
          <cell r="K1252">
            <v>65</v>
          </cell>
          <cell r="L1252">
            <v>40</v>
          </cell>
          <cell r="M1252" t="e">
            <v>#N/A</v>
          </cell>
          <cell r="N1252">
            <v>52</v>
          </cell>
          <cell r="O1252" t="e">
            <v>#N/A</v>
          </cell>
          <cell r="P1252" t="str">
            <v/>
          </cell>
          <cell r="Q1252" t="str">
            <v/>
          </cell>
          <cell r="R1252" t="e">
            <v>#N/A</v>
          </cell>
        </row>
        <row r="1253">
          <cell r="A1253" t="str">
            <v/>
          </cell>
          <cell r="P1253" t="str">
            <v/>
          </cell>
          <cell r="Q1253" t="str">
            <v/>
          </cell>
        </row>
      </sheetData>
      <sheetData sheetId="14" refreshError="1">
        <row r="4">
          <cell r="AO4" t="str">
            <v>$ Val deals</v>
          </cell>
          <cell r="AP4">
            <v>300</v>
          </cell>
          <cell r="AR4">
            <v>505</v>
          </cell>
          <cell r="AS4">
            <v>505</v>
          </cell>
          <cell r="AT4">
            <v>900</v>
          </cell>
          <cell r="AU4">
            <v>415</v>
          </cell>
        </row>
      </sheetData>
      <sheetData sheetId="15" refreshError="1">
        <row r="1">
          <cell r="B1" t="str">
            <v>GD Historical P&amp;L ($MM)</v>
          </cell>
          <cell r="Q1" t="str">
            <v>Quarterly Data</v>
          </cell>
        </row>
        <row r="2">
          <cell r="AN2" t="str">
            <v xml:space="preserve"> 1991</v>
          </cell>
          <cell r="DA2" t="str">
            <v>General Dynamics</v>
          </cell>
          <cell r="DG2" t="str">
            <v>General Dynamics</v>
          </cell>
          <cell r="EB2" t="str">
            <v>General Dynamics</v>
          </cell>
        </row>
        <row r="3">
          <cell r="S3">
            <v>1986</v>
          </cell>
          <cell r="W3" t="str">
            <v>1987</v>
          </cell>
          <cell r="Z3" t="str">
            <v xml:space="preserve">      1988</v>
          </cell>
          <cell r="AD3" t="str">
            <v xml:space="preserve">      1989</v>
          </cell>
          <cell r="AI3" t="str">
            <v>1990</v>
          </cell>
          <cell r="AL3" t="str">
            <v>Adjusted</v>
          </cell>
          <cell r="AS3" t="str">
            <v xml:space="preserve"> 1992</v>
          </cell>
          <cell r="AX3" t="str">
            <v xml:space="preserve"> 1993</v>
          </cell>
          <cell r="BC3" t="str">
            <v>1994A</v>
          </cell>
          <cell r="BH3" t="str">
            <v>1995A</v>
          </cell>
          <cell r="BM3" t="str">
            <v>1996A</v>
          </cell>
          <cell r="BR3" t="str">
            <v>1997A</v>
          </cell>
          <cell r="BW3" t="str">
            <v>($USD in Millions Except EPS)</v>
          </cell>
          <cell r="BX3" t="str">
            <v>1998</v>
          </cell>
          <cell r="CB3">
            <v>1999</v>
          </cell>
          <cell r="CG3" t="str">
            <v>($USD in Millions Except EPS)</v>
          </cell>
          <cell r="CH3" t="str">
            <v>2000A</v>
          </cell>
          <cell r="CL3" t="str">
            <v>2001A</v>
          </cell>
          <cell r="CQ3" t="str">
            <v>Earnings Model</v>
          </cell>
          <cell r="CR3">
            <v>2002</v>
          </cell>
          <cell r="CV3" t="str">
            <v>2003A</v>
          </cell>
          <cell r="DA3" t="str">
            <v>P&amp;L Model</v>
          </cell>
          <cell r="DB3">
            <v>2004</v>
          </cell>
          <cell r="DG3" t="str">
            <v>P&amp;L Model</v>
          </cell>
          <cell r="DH3">
            <v>2005</v>
          </cell>
          <cell r="DL3">
            <v>2006</v>
          </cell>
          <cell r="EB3" t="str">
            <v>P&amp;L Model</v>
          </cell>
        </row>
        <row r="4">
          <cell r="B4" t="str">
            <v>1986</v>
          </cell>
          <cell r="C4" t="str">
            <v>1987</v>
          </cell>
          <cell r="D4" t="str">
            <v>1988</v>
          </cell>
          <cell r="E4" t="str">
            <v>1989</v>
          </cell>
          <cell r="F4" t="str">
            <v>1990</v>
          </cell>
          <cell r="I4" t="str">
            <v>1991</v>
          </cell>
          <cell r="L4" t="str">
            <v>1992</v>
          </cell>
          <cell r="M4" t="str">
            <v>1993</v>
          </cell>
          <cell r="N4" t="str">
            <v>1994</v>
          </cell>
          <cell r="Q4" t="str">
            <v>Q1</v>
          </cell>
          <cell r="R4" t="str">
            <v>Q2</v>
          </cell>
          <cell r="S4" t="str">
            <v>Q3</v>
          </cell>
          <cell r="T4" t="str">
            <v>Q4</v>
          </cell>
          <cell r="U4" t="str">
            <v>Q1</v>
          </cell>
          <cell r="V4" t="str">
            <v>Q2</v>
          </cell>
          <cell r="W4" t="str">
            <v>Q3</v>
          </cell>
          <cell r="X4" t="str">
            <v>Q4</v>
          </cell>
          <cell r="Y4" t="str">
            <v>Q1</v>
          </cell>
          <cell r="Z4" t="str">
            <v>Q2</v>
          </cell>
          <cell r="AA4" t="str">
            <v>Q3</v>
          </cell>
          <cell r="AB4" t="str">
            <v>Q4</v>
          </cell>
          <cell r="AC4" t="str">
            <v>Q1</v>
          </cell>
          <cell r="AD4" t="str">
            <v>Q2</v>
          </cell>
          <cell r="AE4" t="str">
            <v>Q3</v>
          </cell>
          <cell r="AF4" t="str">
            <v>Q4</v>
          </cell>
          <cell r="AG4" t="str">
            <v>Q1</v>
          </cell>
          <cell r="AH4" t="str">
            <v>Q2</v>
          </cell>
          <cell r="AI4" t="str">
            <v>Q3</v>
          </cell>
          <cell r="AJ4" t="str">
            <v>Q4</v>
          </cell>
          <cell r="AK4" t="str">
            <v>W/O's</v>
          </cell>
          <cell r="AL4" t="str">
            <v>Q4</v>
          </cell>
          <cell r="AM4" t="str">
            <v>Q1</v>
          </cell>
          <cell r="AN4" t="str">
            <v>Q2</v>
          </cell>
          <cell r="AO4" t="str">
            <v>Q3</v>
          </cell>
          <cell r="AP4" t="str">
            <v>Q4</v>
          </cell>
          <cell r="AS4" t="str">
            <v>Q1</v>
          </cell>
          <cell r="AT4" t="str">
            <v>Q2</v>
          </cell>
          <cell r="AU4" t="str">
            <v>Q3</v>
          </cell>
          <cell r="AV4" t="str">
            <v>Q4</v>
          </cell>
          <cell r="AX4" t="str">
            <v>Q1</v>
          </cell>
          <cell r="AY4" t="str">
            <v>Q2</v>
          </cell>
          <cell r="AZ4" t="str">
            <v>Q3</v>
          </cell>
          <cell r="BA4" t="str">
            <v>Q4</v>
          </cell>
          <cell r="BB4" t="str">
            <v>Revenues</v>
          </cell>
          <cell r="BC4" t="str">
            <v>Q1</v>
          </cell>
          <cell r="BD4" t="str">
            <v>Q2</v>
          </cell>
          <cell r="BE4" t="str">
            <v>Q3</v>
          </cell>
          <cell r="BF4" t="str">
            <v>Q4</v>
          </cell>
          <cell r="BG4" t="str">
            <v>Revenues</v>
          </cell>
          <cell r="BH4" t="str">
            <v>Q1</v>
          </cell>
          <cell r="BI4" t="str">
            <v>Q2</v>
          </cell>
          <cell r="BJ4" t="str">
            <v>Q3</v>
          </cell>
          <cell r="BK4" t="str">
            <v>Q4</v>
          </cell>
          <cell r="BL4" t="str">
            <v>Revenues</v>
          </cell>
          <cell r="BM4" t="str">
            <v>Q1</v>
          </cell>
          <cell r="BN4" t="str">
            <v>Q2</v>
          </cell>
          <cell r="BO4" t="str">
            <v>Q3</v>
          </cell>
          <cell r="BP4" t="str">
            <v>Q4</v>
          </cell>
          <cell r="BQ4" t="str">
            <v>Revenues</v>
          </cell>
          <cell r="BR4" t="str">
            <v>Q1</v>
          </cell>
          <cell r="BS4" t="str">
            <v>Q2</v>
          </cell>
          <cell r="BT4" t="str">
            <v>Q3</v>
          </cell>
          <cell r="BU4" t="str">
            <v>Q4</v>
          </cell>
          <cell r="BW4" t="str">
            <v>Revenues</v>
          </cell>
          <cell r="BX4" t="str">
            <v>Q1</v>
          </cell>
          <cell r="BY4" t="str">
            <v>Q2</v>
          </cell>
          <cell r="BZ4" t="str">
            <v>Q3</v>
          </cell>
          <cell r="CA4" t="str">
            <v>Q4</v>
          </cell>
          <cell r="CB4" t="str">
            <v>Q1</v>
          </cell>
          <cell r="CC4" t="str">
            <v>Q2</v>
          </cell>
          <cell r="CD4" t="str">
            <v>Q3</v>
          </cell>
          <cell r="CE4" t="str">
            <v>Q4</v>
          </cell>
          <cell r="CG4" t="str">
            <v>Revenues</v>
          </cell>
          <cell r="CH4" t="str">
            <v>Q1</v>
          </cell>
          <cell r="CI4" t="str">
            <v>Q2</v>
          </cell>
          <cell r="CJ4" t="str">
            <v>Q3</v>
          </cell>
          <cell r="CK4" t="str">
            <v>Q4</v>
          </cell>
          <cell r="CL4" t="str">
            <v>Q1</v>
          </cell>
          <cell r="CM4" t="str">
            <v>Q2</v>
          </cell>
          <cell r="CN4" t="str">
            <v>Q3</v>
          </cell>
          <cell r="CO4" t="str">
            <v>Q4</v>
          </cell>
          <cell r="CQ4" t="str">
            <v>($USD in Millions, Except EPS)</v>
          </cell>
          <cell r="CR4" t="str">
            <v>Q1</v>
          </cell>
          <cell r="CS4" t="str">
            <v>Q2</v>
          </cell>
          <cell r="CT4" t="str">
            <v>Q3</v>
          </cell>
          <cell r="CU4" t="str">
            <v>Q4</v>
          </cell>
          <cell r="CV4" t="str">
            <v xml:space="preserve">Q1 </v>
          </cell>
          <cell r="CW4" t="str">
            <v xml:space="preserve">Q2 </v>
          </cell>
          <cell r="CX4" t="str">
            <v xml:space="preserve">Q3 </v>
          </cell>
          <cell r="CY4" t="str">
            <v xml:space="preserve">Q4 </v>
          </cell>
          <cell r="DA4" t="str">
            <v>($USD in Millions, Except EPS)</v>
          </cell>
          <cell r="DB4" t="str">
            <v xml:space="preserve">Q1 </v>
          </cell>
          <cell r="DC4" t="str">
            <v xml:space="preserve">Q2 </v>
          </cell>
          <cell r="DD4" t="str">
            <v xml:space="preserve">Q3 </v>
          </cell>
          <cell r="DE4" t="str">
            <v xml:space="preserve">Q4 </v>
          </cell>
          <cell r="DG4" t="str">
            <v>($USD in Millions, Except EPS)</v>
          </cell>
          <cell r="DH4" t="str">
            <v xml:space="preserve">Q1 </v>
          </cell>
          <cell r="DI4" t="str">
            <v xml:space="preserve">Q2 </v>
          </cell>
          <cell r="DJ4" t="str">
            <v xml:space="preserve">Q3 </v>
          </cell>
          <cell r="DK4" t="str">
            <v xml:space="preserve">Q4 </v>
          </cell>
          <cell r="DL4" t="str">
            <v xml:space="preserve">Q1 </v>
          </cell>
          <cell r="DM4" t="str">
            <v>Q2</v>
          </cell>
          <cell r="DN4" t="str">
            <v xml:space="preserve">Q3 </v>
          </cell>
          <cell r="DO4" t="str">
            <v xml:space="preserve">Q4 </v>
          </cell>
          <cell r="EB4" t="str">
            <v>($USD in Millions, Except EPS)</v>
          </cell>
          <cell r="EC4">
            <v>1994</v>
          </cell>
          <cell r="ED4">
            <v>1995</v>
          </cell>
          <cell r="EE4">
            <v>1996</v>
          </cell>
          <cell r="EF4">
            <v>1997</v>
          </cell>
          <cell r="EG4" t="str">
            <v>1998</v>
          </cell>
          <cell r="EH4">
            <v>1999</v>
          </cell>
        </row>
        <row r="5">
          <cell r="A5" t="str">
            <v>REVENUES</v>
          </cell>
          <cell r="G5" t="str">
            <v>REVENUES</v>
          </cell>
          <cell r="I5" t="str">
            <v xml:space="preserve"> </v>
          </cell>
          <cell r="K5" t="str">
            <v>Revenues</v>
          </cell>
          <cell r="P5" t="str">
            <v>REVENUES</v>
          </cell>
          <cell r="AQ5" t="str">
            <v>REVENUES</v>
          </cell>
          <cell r="AT5" t="str">
            <v xml:space="preserve"> </v>
          </cell>
          <cell r="AU5" t="str">
            <v xml:space="preserve"> </v>
          </cell>
          <cell r="AV5" t="str">
            <v xml:space="preserve"> </v>
          </cell>
          <cell r="AY5" t="str">
            <v xml:space="preserve"> </v>
          </cell>
          <cell r="AZ5" t="str">
            <v xml:space="preserve"> </v>
          </cell>
          <cell r="BA5" t="str">
            <v xml:space="preserve"> </v>
          </cell>
          <cell r="CQ5" t="str">
            <v>Revenues</v>
          </cell>
          <cell r="DA5" t="str">
            <v>Revenues</v>
          </cell>
          <cell r="DG5" t="str">
            <v>Revenues</v>
          </cell>
          <cell r="EB5" t="str">
            <v>Revenues</v>
          </cell>
        </row>
        <row r="6">
          <cell r="A6" t="str">
            <v>Tactical A/C</v>
          </cell>
          <cell r="P6" t="str">
            <v>Tactical A/C</v>
          </cell>
          <cell r="AM6">
            <v>418</v>
          </cell>
          <cell r="AN6">
            <v>459</v>
          </cell>
          <cell r="AO6">
            <v>453</v>
          </cell>
          <cell r="AP6">
            <v>494</v>
          </cell>
          <cell r="AR6" t="str">
            <v>Nuc. Subs</v>
          </cell>
          <cell r="AS6">
            <v>428</v>
          </cell>
          <cell r="AT6">
            <v>436</v>
          </cell>
          <cell r="AU6">
            <v>419</v>
          </cell>
          <cell r="AV6">
            <v>447</v>
          </cell>
          <cell r="AW6" t="str">
            <v>Nuc. Subs</v>
          </cell>
          <cell r="AX6">
            <v>450</v>
          </cell>
          <cell r="AY6">
            <v>431</v>
          </cell>
          <cell r="AZ6">
            <v>425</v>
          </cell>
          <cell r="BA6">
            <v>405</v>
          </cell>
          <cell r="BB6" t="str">
            <v>Marine Group</v>
          </cell>
          <cell r="BC6">
            <v>456</v>
          </cell>
          <cell r="BD6">
            <v>455</v>
          </cell>
          <cell r="BE6">
            <v>403</v>
          </cell>
          <cell r="BF6">
            <v>419</v>
          </cell>
          <cell r="BG6" t="str">
            <v>Marine Group</v>
          </cell>
          <cell r="BH6">
            <v>439</v>
          </cell>
          <cell r="BI6">
            <v>410</v>
          </cell>
          <cell r="BJ6">
            <v>430</v>
          </cell>
          <cell r="BK6">
            <v>605</v>
          </cell>
          <cell r="BL6" t="str">
            <v>Marine Group</v>
          </cell>
          <cell r="BM6">
            <v>614</v>
          </cell>
          <cell r="BN6">
            <v>612</v>
          </cell>
          <cell r="BO6">
            <v>537</v>
          </cell>
          <cell r="BP6">
            <v>569</v>
          </cell>
          <cell r="BQ6" t="str">
            <v>Marine Group</v>
          </cell>
          <cell r="BR6">
            <v>559</v>
          </cell>
          <cell r="BS6">
            <v>587</v>
          </cell>
          <cell r="BT6">
            <v>547</v>
          </cell>
          <cell r="BU6">
            <v>618</v>
          </cell>
          <cell r="BW6" t="str">
            <v>Marine Group</v>
          </cell>
          <cell r="BX6">
            <v>555</v>
          </cell>
          <cell r="BY6">
            <v>618</v>
          </cell>
          <cell r="BZ6">
            <v>594</v>
          </cell>
          <cell r="CA6">
            <v>899</v>
          </cell>
          <cell r="CB6">
            <v>808</v>
          </cell>
          <cell r="CC6">
            <v>764</v>
          </cell>
          <cell r="CD6">
            <v>788</v>
          </cell>
          <cell r="CE6">
            <v>728</v>
          </cell>
          <cell r="CG6" t="str">
            <v>Marine Group</v>
          </cell>
          <cell r="CH6">
            <v>846</v>
          </cell>
          <cell r="CI6">
            <v>855</v>
          </cell>
          <cell r="CJ6">
            <v>798</v>
          </cell>
          <cell r="CK6">
            <v>914</v>
          </cell>
          <cell r="CL6">
            <v>862</v>
          </cell>
          <cell r="CM6">
            <v>947</v>
          </cell>
          <cell r="CN6">
            <v>912</v>
          </cell>
          <cell r="CO6">
            <v>891</v>
          </cell>
          <cell r="CQ6" t="str">
            <v>Marine Group</v>
          </cell>
          <cell r="CR6">
            <v>864</v>
          </cell>
          <cell r="CS6">
            <v>916</v>
          </cell>
          <cell r="CT6">
            <v>863</v>
          </cell>
          <cell r="CU6">
            <v>1007</v>
          </cell>
          <cell r="CV6">
            <v>976</v>
          </cell>
          <cell r="CW6">
            <v>983</v>
          </cell>
          <cell r="CX6">
            <v>1190</v>
          </cell>
          <cell r="CY6">
            <v>1122</v>
          </cell>
          <cell r="DA6" t="str">
            <v>Marine Systems</v>
          </cell>
          <cell r="DB6">
            <v>1280</v>
          </cell>
          <cell r="DC6">
            <v>1177</v>
          </cell>
          <cell r="DD6">
            <v>1154</v>
          </cell>
          <cell r="DE6">
            <v>1115</v>
          </cell>
          <cell r="DG6" t="str">
            <v>Marine Systems</v>
          </cell>
          <cell r="DH6">
            <v>1210</v>
          </cell>
          <cell r="DI6">
            <v>1178</v>
          </cell>
          <cell r="DJ6">
            <v>1171</v>
          </cell>
          <cell r="DK6">
            <v>1136</v>
          </cell>
          <cell r="DL6">
            <v>1275</v>
          </cell>
          <cell r="DM6">
            <v>1266</v>
          </cell>
          <cell r="DN6">
            <v>1221</v>
          </cell>
          <cell r="DO6">
            <v>1178</v>
          </cell>
          <cell r="EB6" t="str">
            <v>Marine Systems</v>
          </cell>
          <cell r="EC6">
            <v>1733</v>
          </cell>
          <cell r="ED6">
            <v>1884</v>
          </cell>
          <cell r="EE6">
            <v>2332</v>
          </cell>
          <cell r="EF6">
            <v>2311</v>
          </cell>
          <cell r="EG6">
            <v>2666</v>
          </cell>
          <cell r="EH6">
            <v>3088</v>
          </cell>
        </row>
        <row r="7">
          <cell r="A7" t="str">
            <v>Nuc. Subs</v>
          </cell>
          <cell r="B7">
            <v>1660</v>
          </cell>
          <cell r="C7">
            <v>1603</v>
          </cell>
          <cell r="D7">
            <v>1548</v>
          </cell>
          <cell r="E7">
            <v>1678.7</v>
          </cell>
          <cell r="F7">
            <v>1747</v>
          </cell>
          <cell r="H7" t="str">
            <v>Nuc. Subs</v>
          </cell>
          <cell r="I7">
            <v>1824</v>
          </cell>
          <cell r="K7" t="str">
            <v>Marine Group</v>
          </cell>
          <cell r="L7">
            <v>1730</v>
          </cell>
          <cell r="M7">
            <v>1711</v>
          </cell>
          <cell r="N7">
            <v>1733</v>
          </cell>
          <cell r="P7" t="str">
            <v>Nuc. Subs</v>
          </cell>
          <cell r="Q7">
            <v>540</v>
          </cell>
          <cell r="R7">
            <v>625</v>
          </cell>
          <cell r="S7">
            <v>570</v>
          </cell>
          <cell r="T7">
            <v>593</v>
          </cell>
          <cell r="U7">
            <v>589</v>
          </cell>
          <cell r="V7">
            <v>588</v>
          </cell>
          <cell r="W7">
            <v>620</v>
          </cell>
          <cell r="X7">
            <v>679</v>
          </cell>
          <cell r="Y7">
            <v>579</v>
          </cell>
          <cell r="Z7">
            <v>638.29999999999995</v>
          </cell>
          <cell r="AA7">
            <v>591.5</v>
          </cell>
          <cell r="AB7">
            <v>675.6</v>
          </cell>
          <cell r="AC7">
            <v>595</v>
          </cell>
          <cell r="AD7">
            <v>627</v>
          </cell>
          <cell r="AE7">
            <v>613.6</v>
          </cell>
          <cell r="AF7">
            <v>578.9</v>
          </cell>
          <cell r="AG7">
            <v>905.3</v>
          </cell>
          <cell r="AH7">
            <v>1017.9</v>
          </cell>
          <cell r="AI7">
            <v>874.4</v>
          </cell>
          <cell r="AJ7">
            <v>863.6</v>
          </cell>
          <cell r="AL7">
            <v>863.6</v>
          </cell>
          <cell r="AM7">
            <v>284</v>
          </cell>
          <cell r="AN7">
            <v>303</v>
          </cell>
          <cell r="AO7">
            <v>263</v>
          </cell>
          <cell r="AP7">
            <v>279</v>
          </cell>
          <cell r="AR7" t="str">
            <v>Armored Veh</v>
          </cell>
          <cell r="AS7">
            <v>286</v>
          </cell>
          <cell r="AT7">
            <v>294</v>
          </cell>
          <cell r="AU7">
            <v>275</v>
          </cell>
          <cell r="AV7">
            <v>406</v>
          </cell>
          <cell r="AW7" t="str">
            <v>Armored Veh</v>
          </cell>
          <cell r="AX7">
            <v>356</v>
          </cell>
          <cell r="AY7">
            <v>290</v>
          </cell>
          <cell r="AZ7">
            <v>296</v>
          </cell>
          <cell r="BA7">
            <v>344</v>
          </cell>
          <cell r="BB7" t="str">
            <v>Armored Veh</v>
          </cell>
          <cell r="BC7">
            <v>307</v>
          </cell>
          <cell r="BD7">
            <v>328</v>
          </cell>
          <cell r="BE7">
            <v>277</v>
          </cell>
          <cell r="BF7">
            <v>272</v>
          </cell>
          <cell r="BG7" t="str">
            <v>Armored Veh</v>
          </cell>
          <cell r="BH7">
            <v>278</v>
          </cell>
          <cell r="BI7">
            <v>261</v>
          </cell>
          <cell r="BJ7">
            <v>255</v>
          </cell>
          <cell r="BK7">
            <v>256</v>
          </cell>
          <cell r="BL7" t="str">
            <v>Combat Sys</v>
          </cell>
          <cell r="BM7">
            <v>246</v>
          </cell>
          <cell r="BN7">
            <v>261</v>
          </cell>
          <cell r="BO7">
            <v>256</v>
          </cell>
          <cell r="BP7">
            <v>263</v>
          </cell>
          <cell r="BQ7" t="str">
            <v>Combat Sys</v>
          </cell>
          <cell r="BR7">
            <v>337</v>
          </cell>
          <cell r="BS7">
            <v>378</v>
          </cell>
          <cell r="BT7">
            <v>372</v>
          </cell>
          <cell r="BU7">
            <v>422</v>
          </cell>
          <cell r="BW7" t="str">
            <v>Combat Sys</v>
          </cell>
          <cell r="BX7">
            <v>335</v>
          </cell>
          <cell r="BY7">
            <v>298</v>
          </cell>
          <cell r="BZ7">
            <v>284</v>
          </cell>
          <cell r="CA7">
            <v>355</v>
          </cell>
          <cell r="CB7">
            <v>290</v>
          </cell>
          <cell r="CC7">
            <v>306</v>
          </cell>
          <cell r="CD7">
            <v>296</v>
          </cell>
          <cell r="CE7">
            <v>398</v>
          </cell>
          <cell r="CG7" t="str">
            <v>Combat Sys</v>
          </cell>
          <cell r="CH7">
            <v>315</v>
          </cell>
          <cell r="CI7">
            <v>288</v>
          </cell>
          <cell r="CJ7">
            <v>298</v>
          </cell>
          <cell r="CK7">
            <v>372</v>
          </cell>
          <cell r="CL7">
            <v>438</v>
          </cell>
          <cell r="CM7">
            <v>510</v>
          </cell>
          <cell r="CN7">
            <v>545</v>
          </cell>
          <cell r="CO7">
            <v>717</v>
          </cell>
          <cell r="CQ7" t="str">
            <v>Combat Systems</v>
          </cell>
          <cell r="CR7">
            <v>573</v>
          </cell>
          <cell r="CS7">
            <v>687</v>
          </cell>
          <cell r="CT7">
            <v>707</v>
          </cell>
          <cell r="CU7">
            <v>819</v>
          </cell>
          <cell r="CV7">
            <v>783</v>
          </cell>
          <cell r="CW7">
            <v>979</v>
          </cell>
          <cell r="CX7">
            <v>1005</v>
          </cell>
          <cell r="CY7">
            <v>1240</v>
          </cell>
          <cell r="DA7" t="str">
            <v>Combat Systems</v>
          </cell>
          <cell r="DB7">
            <v>1070</v>
          </cell>
          <cell r="DC7">
            <v>998</v>
          </cell>
          <cell r="DD7">
            <v>1031</v>
          </cell>
          <cell r="DE7">
            <v>1308</v>
          </cell>
          <cell r="DG7" t="str">
            <v>Combat Systems</v>
          </cell>
          <cell r="DH7">
            <v>1057</v>
          </cell>
          <cell r="DI7">
            <v>1118</v>
          </cell>
          <cell r="DJ7">
            <v>1240</v>
          </cell>
          <cell r="DK7">
            <v>1606</v>
          </cell>
          <cell r="DL7">
            <v>1369</v>
          </cell>
          <cell r="DM7">
            <v>1444</v>
          </cell>
          <cell r="DN7">
            <v>1365</v>
          </cell>
          <cell r="DO7">
            <v>1805</v>
          </cell>
          <cell r="EB7" t="str">
            <v>Combat Systems</v>
          </cell>
          <cell r="EC7">
            <v>1184</v>
          </cell>
          <cell r="ED7">
            <v>1050</v>
          </cell>
          <cell r="EE7">
            <v>1026</v>
          </cell>
          <cell r="EF7">
            <v>1387</v>
          </cell>
          <cell r="EG7">
            <v>1272</v>
          </cell>
          <cell r="EH7">
            <v>1290</v>
          </cell>
        </row>
        <row r="8">
          <cell r="A8" t="str">
            <v>Armored Veh</v>
          </cell>
          <cell r="B8">
            <v>1128</v>
          </cell>
          <cell r="C8">
            <v>1043</v>
          </cell>
          <cell r="D8">
            <v>1001.6000000000001</v>
          </cell>
          <cell r="E8">
            <v>997.3</v>
          </cell>
          <cell r="F8">
            <v>1088</v>
          </cell>
          <cell r="H8" t="str">
            <v>Armored Veh</v>
          </cell>
          <cell r="I8">
            <v>1129</v>
          </cell>
          <cell r="K8" t="str">
            <v>Combat Sys</v>
          </cell>
          <cell r="L8">
            <v>1261</v>
          </cell>
          <cell r="M8">
            <v>1286</v>
          </cell>
          <cell r="N8">
            <v>1184</v>
          </cell>
          <cell r="P8" t="str">
            <v>Armored Veh</v>
          </cell>
          <cell r="Q8">
            <v>279</v>
          </cell>
          <cell r="R8">
            <v>281</v>
          </cell>
          <cell r="S8">
            <v>291</v>
          </cell>
          <cell r="T8">
            <v>277</v>
          </cell>
          <cell r="U8">
            <v>255</v>
          </cell>
          <cell r="V8">
            <v>280</v>
          </cell>
          <cell r="W8">
            <v>239</v>
          </cell>
          <cell r="X8">
            <v>269</v>
          </cell>
          <cell r="Y8">
            <v>260</v>
          </cell>
          <cell r="Z8">
            <v>227.1</v>
          </cell>
          <cell r="AA8">
            <v>267.3</v>
          </cell>
          <cell r="AB8">
            <v>247.2</v>
          </cell>
          <cell r="AC8">
            <v>244</v>
          </cell>
          <cell r="AD8">
            <v>255</v>
          </cell>
          <cell r="AE8">
            <v>232.8</v>
          </cell>
          <cell r="AF8">
            <v>265.5</v>
          </cell>
          <cell r="AG8">
            <v>429.9</v>
          </cell>
          <cell r="AH8">
            <v>446.1</v>
          </cell>
          <cell r="AI8">
            <v>403.4</v>
          </cell>
          <cell r="AJ8">
            <v>451.3</v>
          </cell>
          <cell r="AL8">
            <v>451.3</v>
          </cell>
          <cell r="AM8">
            <v>64</v>
          </cell>
          <cell r="AN8">
            <v>94</v>
          </cell>
          <cell r="AO8">
            <v>63</v>
          </cell>
          <cell r="AP8">
            <v>-13</v>
          </cell>
          <cell r="AR8" t="str">
            <v>Other</v>
          </cell>
          <cell r="AS8">
            <v>47</v>
          </cell>
          <cell r="AT8">
            <v>65</v>
          </cell>
          <cell r="AU8">
            <v>56</v>
          </cell>
          <cell r="AV8">
            <v>66</v>
          </cell>
          <cell r="AW8" t="str">
            <v>Other</v>
          </cell>
          <cell r="AX8">
            <v>47</v>
          </cell>
          <cell r="AY8">
            <v>47</v>
          </cell>
          <cell r="AZ8">
            <v>47</v>
          </cell>
          <cell r="BA8">
            <v>49</v>
          </cell>
          <cell r="BG8" t="str">
            <v>Def/Arm Sys</v>
          </cell>
          <cell r="BL8" t="str">
            <v>CDI</v>
          </cell>
          <cell r="BQ8" t="str">
            <v>Info Sys &amp; Tech</v>
          </cell>
          <cell r="BW8" t="str">
            <v>Info Sys &amp; Tech</v>
          </cell>
          <cell r="BX8">
            <v>218</v>
          </cell>
          <cell r="BY8">
            <v>196</v>
          </cell>
          <cell r="BZ8">
            <v>226</v>
          </cell>
          <cell r="CA8">
            <v>293</v>
          </cell>
          <cell r="CB8">
            <v>233</v>
          </cell>
          <cell r="CC8">
            <v>243</v>
          </cell>
          <cell r="CD8">
            <v>354</v>
          </cell>
          <cell r="CE8">
            <v>592</v>
          </cell>
          <cell r="CG8" t="str">
            <v>Info Sys &amp; Tech</v>
          </cell>
          <cell r="CH8">
            <v>606</v>
          </cell>
          <cell r="CI8">
            <v>590</v>
          </cell>
          <cell r="CJ8">
            <v>596</v>
          </cell>
          <cell r="CK8">
            <v>545</v>
          </cell>
          <cell r="CL8">
            <v>612</v>
          </cell>
          <cell r="CM8">
            <v>670</v>
          </cell>
          <cell r="CN8">
            <v>647</v>
          </cell>
          <cell r="CO8">
            <v>762</v>
          </cell>
          <cell r="CQ8" t="str">
            <v>Info. Systems &amp; Tech.</v>
          </cell>
          <cell r="CR8">
            <v>852</v>
          </cell>
          <cell r="CS8">
            <v>946</v>
          </cell>
          <cell r="CT8">
            <v>890</v>
          </cell>
          <cell r="CU8">
            <v>981</v>
          </cell>
          <cell r="CV8">
            <v>993</v>
          </cell>
          <cell r="CW8">
            <v>1150</v>
          </cell>
          <cell r="CX8">
            <v>1274</v>
          </cell>
          <cell r="CY8">
            <v>1472</v>
          </cell>
          <cell r="DA8" t="str">
            <v>Info. Systems &amp; Tech.</v>
          </cell>
          <cell r="DB8">
            <v>1643</v>
          </cell>
          <cell r="DC8">
            <v>1641</v>
          </cell>
          <cell r="DD8">
            <v>1590</v>
          </cell>
          <cell r="DE8">
            <v>1848</v>
          </cell>
          <cell r="DG8" t="str">
            <v>Info. Systems &amp; Tech.</v>
          </cell>
          <cell r="DH8">
            <v>1752</v>
          </cell>
          <cell r="DI8">
            <v>2013</v>
          </cell>
          <cell r="DJ8">
            <v>1985</v>
          </cell>
          <cell r="DK8">
            <v>2076</v>
          </cell>
          <cell r="DL8">
            <v>1973</v>
          </cell>
          <cell r="DM8">
            <v>2157</v>
          </cell>
          <cell r="DN8">
            <v>2396</v>
          </cell>
          <cell r="DO8">
            <v>2498</v>
          </cell>
          <cell r="EB8" t="str">
            <v>Info. Systems &amp; Tech.</v>
          </cell>
          <cell r="EF8">
            <v>185</v>
          </cell>
          <cell r="EG8">
            <v>933</v>
          </cell>
          <cell r="EH8">
            <v>1422</v>
          </cell>
        </row>
        <row r="9">
          <cell r="B9">
            <v>514</v>
          </cell>
          <cell r="C9">
            <v>457</v>
          </cell>
          <cell r="D9">
            <v>453.7</v>
          </cell>
          <cell r="E9">
            <v>288</v>
          </cell>
          <cell r="F9">
            <v>300</v>
          </cell>
          <cell r="K9" t="str">
            <v>Info Sys &amp; Tech</v>
          </cell>
          <cell r="P9" t="str">
            <v>Space Launch</v>
          </cell>
          <cell r="Q9">
            <v>79</v>
          </cell>
          <cell r="R9">
            <v>87</v>
          </cell>
          <cell r="S9">
            <v>122</v>
          </cell>
          <cell r="T9">
            <v>226</v>
          </cell>
          <cell r="U9">
            <v>121</v>
          </cell>
          <cell r="V9">
            <v>127</v>
          </cell>
          <cell r="W9">
            <v>95</v>
          </cell>
          <cell r="X9">
            <v>116.5</v>
          </cell>
          <cell r="Y9">
            <v>107.7</v>
          </cell>
          <cell r="Z9">
            <v>88.1</v>
          </cell>
          <cell r="AA9">
            <v>125.6</v>
          </cell>
          <cell r="AB9">
            <v>132.30000000000001</v>
          </cell>
          <cell r="AC9">
            <v>116</v>
          </cell>
          <cell r="AD9">
            <v>134</v>
          </cell>
          <cell r="AE9">
            <v>165.1</v>
          </cell>
          <cell r="AF9">
            <v>186.3</v>
          </cell>
          <cell r="AG9">
            <v>274</v>
          </cell>
          <cell r="AH9">
            <v>265</v>
          </cell>
          <cell r="AI9">
            <v>260</v>
          </cell>
          <cell r="AJ9">
            <v>273</v>
          </cell>
          <cell r="AK9" t="str">
            <v xml:space="preserve"> </v>
          </cell>
          <cell r="AL9">
            <v>273</v>
          </cell>
          <cell r="BW9" t="str">
            <v>Gulfstream</v>
          </cell>
          <cell r="BX9">
            <v>503.4</v>
          </cell>
          <cell r="BY9">
            <v>557</v>
          </cell>
          <cell r="BZ9">
            <v>626.20000000000005</v>
          </cell>
          <cell r="CA9">
            <v>741.39999999999986</v>
          </cell>
          <cell r="CB9">
            <v>625.1</v>
          </cell>
          <cell r="CC9">
            <v>707.8</v>
          </cell>
          <cell r="CD9">
            <v>704</v>
          </cell>
          <cell r="CE9">
            <v>872.1</v>
          </cell>
          <cell r="CG9" t="str">
            <v>Aerospace (GAC+Galaxy)</v>
          </cell>
          <cell r="CH9">
            <v>730</v>
          </cell>
          <cell r="CI9">
            <v>821</v>
          </cell>
          <cell r="CJ9">
            <v>733</v>
          </cell>
          <cell r="CK9">
            <v>745</v>
          </cell>
          <cell r="CL9">
            <v>712</v>
          </cell>
          <cell r="CM9">
            <v>765</v>
          </cell>
          <cell r="CN9">
            <v>838</v>
          </cell>
          <cell r="CO9">
            <v>950</v>
          </cell>
          <cell r="CQ9" t="str">
            <v>Aerospace</v>
          </cell>
          <cell r="CR9">
            <v>763</v>
          </cell>
          <cell r="CS9">
            <v>880</v>
          </cell>
          <cell r="CT9">
            <v>739</v>
          </cell>
          <cell r="CU9">
            <v>907</v>
          </cell>
          <cell r="CV9">
            <v>594</v>
          </cell>
          <cell r="CW9">
            <v>715</v>
          </cell>
          <cell r="CX9">
            <v>808</v>
          </cell>
          <cell r="CY9">
            <v>829</v>
          </cell>
          <cell r="DA9" t="str">
            <v>Aerospace</v>
          </cell>
          <cell r="DB9">
            <v>606</v>
          </cell>
          <cell r="DC9">
            <v>771</v>
          </cell>
          <cell r="DD9">
            <v>798</v>
          </cell>
          <cell r="DE9">
            <v>837</v>
          </cell>
          <cell r="DG9" t="str">
            <v>Aerospace</v>
          </cell>
          <cell r="DH9">
            <v>753</v>
          </cell>
          <cell r="DI9">
            <v>828</v>
          </cell>
          <cell r="DJ9">
            <v>906</v>
          </cell>
          <cell r="DK9">
            <v>946</v>
          </cell>
          <cell r="DL9">
            <v>929</v>
          </cell>
          <cell r="DM9">
            <v>1067</v>
          </cell>
          <cell r="DN9">
            <v>1087</v>
          </cell>
          <cell r="DO9">
            <v>1033</v>
          </cell>
          <cell r="EB9" t="str">
            <v>Aerospace</v>
          </cell>
          <cell r="EF9">
            <v>1904</v>
          </cell>
          <cell r="EG9">
            <v>2428</v>
          </cell>
          <cell r="EH9">
            <v>2909</v>
          </cell>
        </row>
        <row r="10">
          <cell r="A10" t="str">
            <v>Space Launch</v>
          </cell>
          <cell r="B10">
            <v>476</v>
          </cell>
          <cell r="C10">
            <v>462</v>
          </cell>
          <cell r="D10">
            <v>413</v>
          </cell>
          <cell r="H10" t="str">
            <v>Other</v>
          </cell>
          <cell r="I10">
            <v>208</v>
          </cell>
          <cell r="K10" t="str">
            <v>Other</v>
          </cell>
          <cell r="L10">
            <v>234</v>
          </cell>
          <cell r="M10">
            <v>190</v>
          </cell>
          <cell r="N10">
            <v>141</v>
          </cell>
          <cell r="Q10">
            <v>97</v>
          </cell>
          <cell r="R10">
            <v>132</v>
          </cell>
          <cell r="S10">
            <v>131</v>
          </cell>
          <cell r="T10">
            <v>116</v>
          </cell>
          <cell r="U10">
            <v>98</v>
          </cell>
          <cell r="V10">
            <v>131</v>
          </cell>
          <cell r="W10">
            <v>121</v>
          </cell>
          <cell r="X10">
            <v>112</v>
          </cell>
          <cell r="Y10">
            <v>86</v>
          </cell>
          <cell r="Z10">
            <v>117.1</v>
          </cell>
          <cell r="AA10">
            <v>115</v>
          </cell>
          <cell r="AB10">
            <v>94.9</v>
          </cell>
          <cell r="AC10">
            <v>78</v>
          </cell>
          <cell r="AD10">
            <v>117</v>
          </cell>
          <cell r="AE10">
            <v>119.3</v>
          </cell>
          <cell r="AF10">
            <v>100.2</v>
          </cell>
          <cell r="AG10">
            <v>60</v>
          </cell>
          <cell r="AH10">
            <v>66</v>
          </cell>
          <cell r="AI10">
            <v>117</v>
          </cell>
          <cell r="AJ10">
            <v>54</v>
          </cell>
          <cell r="AL10">
            <v>54</v>
          </cell>
          <cell r="AM10" t="str">
            <v>----</v>
          </cell>
          <cell r="AN10" t="str">
            <v>----</v>
          </cell>
          <cell r="AO10" t="str">
            <v>----</v>
          </cell>
          <cell r="AP10" t="str">
            <v>----</v>
          </cell>
          <cell r="AS10" t="str">
            <v>----</v>
          </cell>
          <cell r="AT10" t="str">
            <v>----</v>
          </cell>
          <cell r="AU10" t="str">
            <v>----</v>
          </cell>
          <cell r="AV10" t="str">
            <v>----</v>
          </cell>
          <cell r="AX10" t="str">
            <v>----</v>
          </cell>
          <cell r="AY10" t="str">
            <v>----</v>
          </cell>
          <cell r="AZ10" t="str">
            <v>----</v>
          </cell>
          <cell r="BA10" t="str">
            <v>----</v>
          </cell>
          <cell r="BB10" t="str">
            <v>Other</v>
          </cell>
          <cell r="BC10">
            <v>37</v>
          </cell>
          <cell r="BD10">
            <v>37</v>
          </cell>
          <cell r="BE10">
            <v>34</v>
          </cell>
          <cell r="BF10">
            <v>33</v>
          </cell>
          <cell r="BG10" t="str">
            <v>Other</v>
          </cell>
          <cell r="BH10">
            <v>36</v>
          </cell>
          <cell r="BI10">
            <v>32</v>
          </cell>
          <cell r="BJ10">
            <v>33</v>
          </cell>
          <cell r="BK10">
            <v>32</v>
          </cell>
          <cell r="BL10" t="str">
            <v>Other</v>
          </cell>
          <cell r="BM10">
            <v>33</v>
          </cell>
          <cell r="BN10">
            <v>57</v>
          </cell>
          <cell r="BO10">
            <v>69</v>
          </cell>
          <cell r="BP10">
            <v>64</v>
          </cell>
          <cell r="BQ10" t="str">
            <v>Other</v>
          </cell>
          <cell r="BR10">
            <v>45</v>
          </cell>
          <cell r="BS10">
            <v>67</v>
          </cell>
          <cell r="BT10">
            <v>69</v>
          </cell>
          <cell r="BU10">
            <v>61</v>
          </cell>
          <cell r="BW10" t="str">
            <v>Other</v>
          </cell>
          <cell r="BX10">
            <v>46</v>
          </cell>
          <cell r="BY10">
            <v>66</v>
          </cell>
          <cell r="BZ10">
            <v>68</v>
          </cell>
          <cell r="CA10">
            <v>56</v>
          </cell>
          <cell r="CB10">
            <v>46</v>
          </cell>
          <cell r="CC10">
            <v>66</v>
          </cell>
          <cell r="CD10">
            <v>73</v>
          </cell>
          <cell r="CE10">
            <v>65</v>
          </cell>
          <cell r="CG10" t="str">
            <v>Other</v>
          </cell>
          <cell r="CH10">
            <v>49</v>
          </cell>
          <cell r="CI10">
            <v>63</v>
          </cell>
          <cell r="CJ10">
            <v>77</v>
          </cell>
          <cell r="CK10">
            <v>64</v>
          </cell>
          <cell r="CL10">
            <v>49</v>
          </cell>
          <cell r="CM10">
            <v>70</v>
          </cell>
          <cell r="CN10">
            <v>78</v>
          </cell>
          <cell r="CO10">
            <v>79</v>
          </cell>
          <cell r="CQ10" t="str">
            <v>Resources</v>
          </cell>
          <cell r="CR10">
            <v>50</v>
          </cell>
          <cell r="CS10">
            <v>77</v>
          </cell>
          <cell r="CT10">
            <v>85</v>
          </cell>
          <cell r="CU10">
            <v>74</v>
          </cell>
          <cell r="CV10">
            <v>41</v>
          </cell>
          <cell r="CW10">
            <v>69</v>
          </cell>
          <cell r="CX10">
            <v>78</v>
          </cell>
          <cell r="CY10">
            <v>68</v>
          </cell>
          <cell r="DA10" t="str">
            <v>Resources</v>
          </cell>
          <cell r="DB10">
            <v>47</v>
          </cell>
          <cell r="DC10">
            <v>65</v>
          </cell>
          <cell r="DD10">
            <v>74</v>
          </cell>
          <cell r="DE10">
            <v>-185</v>
          </cell>
          <cell r="DG10" t="str">
            <v>Resources/Corporate</v>
          </cell>
          <cell r="DH10">
            <v>0</v>
          </cell>
          <cell r="DI10">
            <v>0</v>
          </cell>
          <cell r="DJ10">
            <v>0</v>
          </cell>
          <cell r="DK10">
            <v>0</v>
          </cell>
          <cell r="DL10">
            <v>0</v>
          </cell>
          <cell r="DM10">
            <v>0</v>
          </cell>
          <cell r="DN10">
            <v>0</v>
          </cell>
          <cell r="DO10">
            <v>0</v>
          </cell>
          <cell r="EB10" t="str">
            <v>Resources/Corporate</v>
          </cell>
          <cell r="EC10">
            <v>141</v>
          </cell>
          <cell r="ED10">
            <v>133</v>
          </cell>
          <cell r="EE10">
            <v>223</v>
          </cell>
          <cell r="EF10">
            <v>242</v>
          </cell>
          <cell r="EG10">
            <v>236</v>
          </cell>
          <cell r="EH10">
            <v>250</v>
          </cell>
        </row>
        <row r="11">
          <cell r="A11" t="str">
            <v xml:space="preserve"> Total Revs.</v>
          </cell>
          <cell r="B11">
            <v>3778</v>
          </cell>
          <cell r="C11">
            <v>3565</v>
          </cell>
          <cell r="D11">
            <v>3416.3</v>
          </cell>
          <cell r="E11">
            <v>2964</v>
          </cell>
          <cell r="F11">
            <v>3135</v>
          </cell>
          <cell r="H11" t="str">
            <v xml:space="preserve"> Total Revs.</v>
          </cell>
          <cell r="I11">
            <v>3161</v>
          </cell>
          <cell r="K11" t="str">
            <v xml:space="preserve"> Total Revs.</v>
          </cell>
          <cell r="L11">
            <v>3225</v>
          </cell>
          <cell r="M11">
            <v>3187</v>
          </cell>
          <cell r="N11">
            <v>3058</v>
          </cell>
          <cell r="P11" t="str">
            <v xml:space="preserve"> Total Revs.</v>
          </cell>
          <cell r="Q11">
            <v>995</v>
          </cell>
          <cell r="R11">
            <v>1125</v>
          </cell>
          <cell r="S11">
            <v>1114</v>
          </cell>
          <cell r="T11">
            <v>1212</v>
          </cell>
          <cell r="U11">
            <v>1063</v>
          </cell>
          <cell r="V11">
            <v>1126</v>
          </cell>
          <cell r="W11">
            <v>1075</v>
          </cell>
          <cell r="X11">
            <v>1176.5</v>
          </cell>
          <cell r="Y11">
            <v>1032.7</v>
          </cell>
          <cell r="Z11">
            <v>1070.5999999999999</v>
          </cell>
          <cell r="AA11">
            <v>1099.4000000000001</v>
          </cell>
          <cell r="AB11">
            <v>1150</v>
          </cell>
          <cell r="AC11">
            <v>1033</v>
          </cell>
          <cell r="AD11">
            <v>1133</v>
          </cell>
          <cell r="AE11">
            <v>1130.8000000000002</v>
          </cell>
          <cell r="AF11">
            <v>1130.9000000000001</v>
          </cell>
          <cell r="AG11">
            <v>1669.1999999999998</v>
          </cell>
          <cell r="AH11">
            <v>1795</v>
          </cell>
          <cell r="AI11">
            <v>1654.8</v>
          </cell>
          <cell r="AJ11">
            <v>1641.9</v>
          </cell>
          <cell r="AK11">
            <v>0</v>
          </cell>
          <cell r="AL11">
            <v>1641.9</v>
          </cell>
          <cell r="AM11">
            <v>766</v>
          </cell>
          <cell r="AN11">
            <v>856</v>
          </cell>
          <cell r="AO11">
            <v>779</v>
          </cell>
          <cell r="AP11">
            <v>760</v>
          </cell>
          <cell r="AR11" t="str">
            <v xml:space="preserve"> Total Revs.</v>
          </cell>
          <cell r="AS11">
            <v>761</v>
          </cell>
          <cell r="AT11">
            <v>795</v>
          </cell>
          <cell r="AU11">
            <v>750</v>
          </cell>
          <cell r="AV11">
            <v>919</v>
          </cell>
          <cell r="AW11" t="str">
            <v xml:space="preserve"> Total Revs.</v>
          </cell>
          <cell r="AX11">
            <v>853</v>
          </cell>
          <cell r="AY11">
            <v>768</v>
          </cell>
          <cell r="AZ11">
            <v>768</v>
          </cell>
          <cell r="BA11">
            <v>798</v>
          </cell>
          <cell r="BB11" t="str">
            <v xml:space="preserve"> Total Revs.</v>
          </cell>
          <cell r="BC11">
            <v>800</v>
          </cell>
          <cell r="BD11">
            <v>820</v>
          </cell>
          <cell r="BE11">
            <v>714</v>
          </cell>
          <cell r="BF11">
            <v>724</v>
          </cell>
          <cell r="BG11" t="str">
            <v xml:space="preserve"> Total Revs.</v>
          </cell>
          <cell r="BH11">
            <v>753</v>
          </cell>
          <cell r="BI11">
            <v>703</v>
          </cell>
          <cell r="BJ11">
            <v>718</v>
          </cell>
          <cell r="BK11">
            <v>893</v>
          </cell>
          <cell r="BL11" t="str">
            <v xml:space="preserve"> Total Revs.</v>
          </cell>
          <cell r="BM11">
            <v>893</v>
          </cell>
          <cell r="BN11">
            <v>930</v>
          </cell>
          <cell r="BO11">
            <v>862</v>
          </cell>
          <cell r="BP11">
            <v>896</v>
          </cell>
          <cell r="BQ11" t="str">
            <v xml:space="preserve"> Total Revs.</v>
          </cell>
          <cell r="BR11">
            <v>941</v>
          </cell>
          <cell r="BS11">
            <v>1032</v>
          </cell>
          <cell r="BT11">
            <v>988</v>
          </cell>
          <cell r="BU11">
            <v>1101</v>
          </cell>
          <cell r="BW11" t="str">
            <v xml:space="preserve"> Total Revs.</v>
          </cell>
          <cell r="BX11">
            <v>1657.4</v>
          </cell>
          <cell r="BY11">
            <v>1735</v>
          </cell>
          <cell r="BZ11">
            <v>1798.2</v>
          </cell>
          <cell r="CA11">
            <v>2344.3999999999996</v>
          </cell>
          <cell r="CB11">
            <v>2002.1</v>
          </cell>
          <cell r="CC11">
            <v>2086.8000000000002</v>
          </cell>
          <cell r="CD11">
            <v>2215</v>
          </cell>
          <cell r="CE11">
            <v>2655.1</v>
          </cell>
          <cell r="CG11" t="str">
            <v xml:space="preserve"> Total Revs.</v>
          </cell>
          <cell r="CH11">
            <v>2546</v>
          </cell>
          <cell r="CI11">
            <v>2617</v>
          </cell>
          <cell r="CJ11">
            <v>2502</v>
          </cell>
          <cell r="CK11">
            <v>2640</v>
          </cell>
          <cell r="CL11">
            <v>2673</v>
          </cell>
          <cell r="CM11">
            <v>2962</v>
          </cell>
          <cell r="CN11">
            <v>3020</v>
          </cell>
          <cell r="CO11">
            <v>3399</v>
          </cell>
          <cell r="CQ11" t="str">
            <v>Total Revenues</v>
          </cell>
          <cell r="CR11">
            <v>3102</v>
          </cell>
          <cell r="CS11">
            <v>3506</v>
          </cell>
          <cell r="CT11">
            <v>3284</v>
          </cell>
          <cell r="CU11">
            <v>3788</v>
          </cell>
          <cell r="CV11">
            <v>3387</v>
          </cell>
          <cell r="CW11">
            <v>3896</v>
          </cell>
          <cell r="CX11">
            <v>4355</v>
          </cell>
          <cell r="CY11">
            <v>4731</v>
          </cell>
          <cell r="DA11" t="str">
            <v>Total Revenues</v>
          </cell>
          <cell r="DB11">
            <v>4646</v>
          </cell>
          <cell r="DC11">
            <v>4652</v>
          </cell>
          <cell r="DD11">
            <v>4647</v>
          </cell>
          <cell r="DE11">
            <v>4923</v>
          </cell>
          <cell r="DG11" t="str">
            <v>Total Revenues</v>
          </cell>
          <cell r="DH11">
            <v>4772</v>
          </cell>
          <cell r="DI11">
            <v>5137</v>
          </cell>
          <cell r="DJ11">
            <v>5302</v>
          </cell>
          <cell r="DK11">
            <v>5764</v>
          </cell>
          <cell r="DL11">
            <v>5546</v>
          </cell>
          <cell r="DM11">
            <v>5934</v>
          </cell>
          <cell r="DN11">
            <v>6069</v>
          </cell>
          <cell r="DO11">
            <v>6514</v>
          </cell>
          <cell r="EB11" t="str">
            <v>Total Revenues</v>
          </cell>
          <cell r="EC11">
            <v>3058</v>
          </cell>
          <cell r="ED11">
            <v>3067</v>
          </cell>
          <cell r="EE11">
            <v>3581</v>
          </cell>
          <cell r="EF11">
            <v>6029</v>
          </cell>
          <cell r="EG11">
            <v>7535</v>
          </cell>
          <cell r="EH11">
            <v>8959</v>
          </cell>
        </row>
        <row r="12">
          <cell r="A12" t="str">
            <v xml:space="preserve"> % CH.</v>
          </cell>
          <cell r="C12">
            <v>-5.637903652726306E-2</v>
          </cell>
          <cell r="D12">
            <v>-4.1711079943898999E-2</v>
          </cell>
          <cell r="E12">
            <v>-0.13239469601615783</v>
          </cell>
          <cell r="F12">
            <v>5.7692307692307709E-2</v>
          </cell>
          <cell r="G12" t="str">
            <v xml:space="preserve"> % CH.</v>
          </cell>
          <cell r="I12">
            <v>8.2934609250397973E-3</v>
          </cell>
          <cell r="K12" t="str">
            <v>% Change</v>
          </cell>
          <cell r="L12">
            <v>2.024675735526732E-2</v>
          </cell>
          <cell r="M12">
            <v>-1.1782945736434109E-2</v>
          </cell>
          <cell r="N12">
            <v>-4.0476937558832762E-2</v>
          </cell>
          <cell r="P12" t="str">
            <v xml:space="preserve"> % CH.</v>
          </cell>
          <cell r="AL12" t="str">
            <v xml:space="preserve"> </v>
          </cell>
          <cell r="AQ12" t="str">
            <v xml:space="preserve"> % CH.</v>
          </cell>
          <cell r="AS12">
            <v>-6.5274151436031302E-3</v>
          </cell>
          <cell r="AT12">
            <v>-7.1261682242990607E-2</v>
          </cell>
          <cell r="AU12">
            <v>-3.7227214377406899E-2</v>
          </cell>
          <cell r="AV12">
            <v>0.20921052631578901</v>
          </cell>
          <cell r="AX12">
            <v>0.120893561103811</v>
          </cell>
          <cell r="AY12">
            <v>-3.3962264150943403E-2</v>
          </cell>
          <cell r="AZ12">
            <v>2.4E-2</v>
          </cell>
          <cell r="BA12">
            <v>-0.13166485310119699</v>
          </cell>
          <cell r="BB12" t="str">
            <v>% Change</v>
          </cell>
          <cell r="BC12">
            <v>4.1666666666666699E-2</v>
          </cell>
          <cell r="BD12">
            <v>6.7708333333333301E-2</v>
          </cell>
          <cell r="BE12">
            <v>-7.03125E-2</v>
          </cell>
          <cell r="BF12">
            <v>-9.2731829573934804E-2</v>
          </cell>
          <cell r="BG12" t="str">
            <v>% Change</v>
          </cell>
          <cell r="BH12">
            <v>-8.1707317073170693E-2</v>
          </cell>
          <cell r="BI12">
            <v>-0.142682926829268</v>
          </cell>
          <cell r="BJ12">
            <v>5.60224089635854E-3</v>
          </cell>
          <cell r="BK12">
            <v>0.23342541436464101</v>
          </cell>
          <cell r="BL12" t="str">
            <v>% Change</v>
          </cell>
          <cell r="BM12">
            <v>0.18592297476759601</v>
          </cell>
          <cell r="BN12">
            <v>0.32290184921763898</v>
          </cell>
          <cell r="BO12">
            <v>0.20055710306406699</v>
          </cell>
          <cell r="BP12">
            <v>3.3594624860022399E-3</v>
          </cell>
          <cell r="BQ12" t="str">
            <v>% Change</v>
          </cell>
          <cell r="BR12">
            <v>5.3751399776035831E-2</v>
          </cell>
          <cell r="BS12">
            <v>0.1096774193548387</v>
          </cell>
          <cell r="BT12">
            <v>0.14617169373549879</v>
          </cell>
          <cell r="BU12">
            <v>0.22879464285714279</v>
          </cell>
          <cell r="BW12" t="str">
            <v>% Change</v>
          </cell>
          <cell r="BX12">
            <v>0.76131774707757716</v>
          </cell>
          <cell r="BY12">
            <v>0.681201550387597</v>
          </cell>
          <cell r="BZ12">
            <v>0.82004048582995948</v>
          </cell>
          <cell r="CA12">
            <v>1.1293369663941868</v>
          </cell>
          <cell r="CB12">
            <v>0.2079763484976469</v>
          </cell>
          <cell r="CC12">
            <v>0.20276657060518732</v>
          </cell>
          <cell r="CD12">
            <v>0.23178734289845404</v>
          </cell>
          <cell r="CE12">
            <v>0.13252857874082946</v>
          </cell>
          <cell r="CG12" t="str">
            <v xml:space="preserve">  % Change</v>
          </cell>
          <cell r="CH12">
            <v>0.2716647520103892</v>
          </cell>
          <cell r="CI12">
            <v>0.25407322215832839</v>
          </cell>
          <cell r="CJ12">
            <v>0.12957110609480815</v>
          </cell>
          <cell r="CK12">
            <v>-5.6871680915974165E-3</v>
          </cell>
          <cell r="CL12">
            <v>4.9882168106834247E-2</v>
          </cell>
          <cell r="CM12">
            <v>0.13183034008406572</v>
          </cell>
          <cell r="CN12">
            <v>0.20703437250199841</v>
          </cell>
          <cell r="CO12">
            <v>0.28749999999999998</v>
          </cell>
          <cell r="CQ12" t="str">
            <v>% Change</v>
          </cell>
          <cell r="CR12">
            <v>0.16049382716049382</v>
          </cell>
          <cell r="CS12">
            <v>0.18365968939905469</v>
          </cell>
          <cell r="CT12">
            <v>8.7417218543046363E-2</v>
          </cell>
          <cell r="CU12">
            <v>0.11444542512503678</v>
          </cell>
          <cell r="CV12">
            <v>9.187620889748549E-2</v>
          </cell>
          <cell r="CW12">
            <v>0.11123787792355962</v>
          </cell>
          <cell r="CX12">
            <v>0.32612667478684532</v>
          </cell>
          <cell r="CY12">
            <v>0.2489440337909187</v>
          </cell>
          <cell r="DA12" t="str">
            <v>% Ch Y/Y</v>
          </cell>
          <cell r="DB12">
            <v>0.37171538234425744</v>
          </cell>
          <cell r="DC12">
            <v>0.19404517453798767</v>
          </cell>
          <cell r="DD12">
            <v>6.7049368541905852E-2</v>
          </cell>
          <cell r="DE12">
            <v>4.0583386176284084E-2</v>
          </cell>
          <cell r="DG12" t="str">
            <v>% Ch Y/Y</v>
          </cell>
          <cell r="DH12">
            <v>2.7120103314679293E-2</v>
          </cell>
          <cell r="DI12">
            <v>0.10425623387790198</v>
          </cell>
          <cell r="DJ12">
            <v>0.14095115128039595</v>
          </cell>
          <cell r="DK12">
            <v>0.17083079423115985</v>
          </cell>
          <cell r="DL12">
            <v>0.16219614417435038</v>
          </cell>
          <cell r="DM12">
            <v>0.15514891960288105</v>
          </cell>
          <cell r="DN12">
            <v>0.14466239155035834</v>
          </cell>
          <cell r="DO12">
            <v>0.13011797362942401</v>
          </cell>
          <cell r="EB12" t="str">
            <v>% Ch Y/Y</v>
          </cell>
          <cell r="ED12">
            <v>2.9431000654023265E-3</v>
          </cell>
          <cell r="EE12">
            <v>0.16759047929572879</v>
          </cell>
          <cell r="EF12">
            <v>0.68360793074560178</v>
          </cell>
          <cell r="EG12">
            <v>0.24979266876762307</v>
          </cell>
          <cell r="EH12">
            <v>0.18898473788984749</v>
          </cell>
        </row>
        <row r="13">
          <cell r="A13" t="str">
            <v>Operating Profit</v>
          </cell>
          <cell r="G13" t="str">
            <v>Op Profit</v>
          </cell>
          <cell r="K13" t="str">
            <v>Op Profit</v>
          </cell>
          <cell r="P13" t="str">
            <v>Operating Profit</v>
          </cell>
          <cell r="AQ13" t="str">
            <v>Op Profit</v>
          </cell>
          <cell r="AU13" t="str">
            <v xml:space="preserve"> </v>
          </cell>
          <cell r="BB13" t="str">
            <v>Op Profit</v>
          </cell>
          <cell r="BG13" t="str">
            <v>Op Profit</v>
          </cell>
          <cell r="BL13" t="str">
            <v>Op Profit</v>
          </cell>
          <cell r="BQ13" t="str">
            <v>Op Profit</v>
          </cell>
          <cell r="BW13" t="str">
            <v>Op Profit</v>
          </cell>
          <cell r="CG13" t="str">
            <v>Operating Profit</v>
          </cell>
          <cell r="CQ13" t="str">
            <v>Operating Profit</v>
          </cell>
          <cell r="DA13" t="str">
            <v>Operating Profit</v>
          </cell>
          <cell r="DG13" t="str">
            <v>Operating Profit</v>
          </cell>
          <cell r="EB13" t="str">
            <v>Operating Profit</v>
          </cell>
        </row>
        <row r="14">
          <cell r="A14" t="str">
            <v>Tactical A/C</v>
          </cell>
          <cell r="P14" t="str">
            <v>Tactical A/C</v>
          </cell>
          <cell r="Q14">
            <v>76.099999999999994</v>
          </cell>
          <cell r="R14">
            <v>86.7</v>
          </cell>
          <cell r="S14">
            <v>86</v>
          </cell>
          <cell r="T14">
            <v>80.3</v>
          </cell>
          <cell r="U14">
            <v>85.2</v>
          </cell>
          <cell r="V14">
            <v>86.5</v>
          </cell>
          <cell r="W14">
            <v>79</v>
          </cell>
          <cell r="X14">
            <v>70.900000000000006</v>
          </cell>
          <cell r="Y14">
            <v>100.9</v>
          </cell>
          <cell r="Z14">
            <v>83</v>
          </cell>
          <cell r="AA14">
            <v>67.7</v>
          </cell>
          <cell r="AB14">
            <v>66.400000000000006</v>
          </cell>
          <cell r="AC14">
            <v>62.5</v>
          </cell>
          <cell r="AD14">
            <v>70.599999999999994</v>
          </cell>
          <cell r="AE14">
            <v>54.5</v>
          </cell>
          <cell r="AF14">
            <v>49.6</v>
          </cell>
          <cell r="AG14">
            <v>53.3</v>
          </cell>
          <cell r="AH14">
            <v>-379.6</v>
          </cell>
          <cell r="AI14">
            <v>41.5</v>
          </cell>
          <cell r="AJ14">
            <v>-354.2</v>
          </cell>
          <cell r="AK14">
            <v>-383.2</v>
          </cell>
          <cell r="AL14">
            <v>29</v>
          </cell>
          <cell r="AM14">
            <v>19</v>
          </cell>
          <cell r="AN14">
            <v>20</v>
          </cell>
          <cell r="AO14">
            <v>24</v>
          </cell>
          <cell r="AP14">
            <v>21</v>
          </cell>
          <cell r="AR14" t="str">
            <v>Nuc. Subs</v>
          </cell>
          <cell r="AS14">
            <v>22</v>
          </cell>
          <cell r="AT14">
            <v>21</v>
          </cell>
          <cell r="AU14">
            <v>26</v>
          </cell>
          <cell r="AV14">
            <v>25</v>
          </cell>
          <cell r="AW14" t="str">
            <v>Nuc. Subs</v>
          </cell>
          <cell r="AX14">
            <v>30</v>
          </cell>
          <cell r="AY14">
            <v>30</v>
          </cell>
          <cell r="AZ14">
            <v>29</v>
          </cell>
          <cell r="BA14">
            <v>35</v>
          </cell>
          <cell r="BB14" t="str">
            <v>Marine Group</v>
          </cell>
          <cell r="BC14">
            <v>51</v>
          </cell>
          <cell r="BD14">
            <v>52</v>
          </cell>
          <cell r="BE14">
            <v>46</v>
          </cell>
          <cell r="BF14">
            <v>47</v>
          </cell>
          <cell r="BG14" t="str">
            <v>Marine Group</v>
          </cell>
          <cell r="BH14">
            <v>49</v>
          </cell>
          <cell r="BI14">
            <v>47</v>
          </cell>
          <cell r="BJ14">
            <v>47</v>
          </cell>
          <cell r="BK14">
            <v>51</v>
          </cell>
          <cell r="BL14" t="str">
            <v>Marine Group</v>
          </cell>
          <cell r="BM14">
            <v>54</v>
          </cell>
          <cell r="BN14">
            <v>55</v>
          </cell>
          <cell r="BO14">
            <v>52</v>
          </cell>
          <cell r="BP14">
            <v>55</v>
          </cell>
          <cell r="BQ14" t="str">
            <v>Marine Group</v>
          </cell>
          <cell r="BR14">
            <v>59</v>
          </cell>
          <cell r="BS14">
            <v>61</v>
          </cell>
          <cell r="BT14">
            <v>55</v>
          </cell>
          <cell r="BU14">
            <v>59</v>
          </cell>
          <cell r="BW14" t="str">
            <v>Marine Group</v>
          </cell>
          <cell r="BX14">
            <v>64</v>
          </cell>
          <cell r="BY14">
            <v>71</v>
          </cell>
          <cell r="BZ14">
            <v>66</v>
          </cell>
          <cell r="CA14">
            <v>84</v>
          </cell>
          <cell r="CB14">
            <v>88</v>
          </cell>
          <cell r="CC14">
            <v>88</v>
          </cell>
          <cell r="CD14">
            <v>80</v>
          </cell>
          <cell r="CE14">
            <v>72</v>
          </cell>
          <cell r="CG14" t="str">
            <v>Marine Group</v>
          </cell>
          <cell r="CH14">
            <v>88</v>
          </cell>
          <cell r="CI14">
            <v>82</v>
          </cell>
          <cell r="CJ14">
            <v>77</v>
          </cell>
          <cell r="CK14">
            <v>77</v>
          </cell>
          <cell r="CL14">
            <v>80</v>
          </cell>
          <cell r="CM14">
            <v>83</v>
          </cell>
          <cell r="CN14">
            <v>82</v>
          </cell>
          <cell r="CO14">
            <v>65</v>
          </cell>
          <cell r="CQ14" t="str">
            <v>Marine Group</v>
          </cell>
          <cell r="CR14">
            <v>73</v>
          </cell>
          <cell r="CS14">
            <v>64</v>
          </cell>
          <cell r="CT14">
            <v>78</v>
          </cell>
          <cell r="CU14">
            <v>72</v>
          </cell>
          <cell r="CV14">
            <v>65</v>
          </cell>
          <cell r="CW14">
            <v>64</v>
          </cell>
          <cell r="CX14">
            <v>36</v>
          </cell>
          <cell r="CY14">
            <v>51</v>
          </cell>
          <cell r="DA14" t="str">
            <v>Marine Systems</v>
          </cell>
          <cell r="DB14">
            <v>98</v>
          </cell>
          <cell r="DC14">
            <v>81</v>
          </cell>
          <cell r="DD14">
            <v>62</v>
          </cell>
          <cell r="DE14">
            <v>51</v>
          </cell>
          <cell r="DG14" t="str">
            <v>Marine Systems</v>
          </cell>
          <cell r="DH14">
            <v>49</v>
          </cell>
          <cell r="DI14">
            <v>65</v>
          </cell>
          <cell r="DJ14">
            <v>52</v>
          </cell>
          <cell r="DK14">
            <v>83</v>
          </cell>
          <cell r="DL14">
            <v>97</v>
          </cell>
          <cell r="DM14">
            <v>92</v>
          </cell>
          <cell r="DN14">
            <v>102</v>
          </cell>
          <cell r="DO14">
            <v>84</v>
          </cell>
          <cell r="EB14" t="str">
            <v>Marine Systems</v>
          </cell>
          <cell r="EC14">
            <v>196</v>
          </cell>
          <cell r="ED14">
            <v>194</v>
          </cell>
          <cell r="EE14">
            <v>216</v>
          </cell>
          <cell r="EF14">
            <v>234</v>
          </cell>
          <cell r="EG14">
            <v>285</v>
          </cell>
          <cell r="EH14">
            <v>328</v>
          </cell>
        </row>
        <row r="15">
          <cell r="A15" t="str">
            <v>Nuc. Subs</v>
          </cell>
          <cell r="B15">
            <v>329.1</v>
          </cell>
          <cell r="C15">
            <v>321.60000000000002</v>
          </cell>
          <cell r="D15">
            <v>318</v>
          </cell>
          <cell r="E15">
            <v>237.2</v>
          </cell>
          <cell r="F15">
            <v>84</v>
          </cell>
          <cell r="H15" t="str">
            <v>Nuc. Subs</v>
          </cell>
          <cell r="I15">
            <v>84</v>
          </cell>
          <cell r="K15" t="str">
            <v>Marine Group</v>
          </cell>
          <cell r="L15">
            <v>94</v>
          </cell>
          <cell r="M15">
            <v>124</v>
          </cell>
          <cell r="N15">
            <v>196</v>
          </cell>
          <cell r="P15" t="str">
            <v>Nuc. Subs</v>
          </cell>
          <cell r="Q15">
            <v>42.9</v>
          </cell>
          <cell r="R15">
            <v>42.5</v>
          </cell>
          <cell r="S15">
            <v>38</v>
          </cell>
          <cell r="T15">
            <v>51.6</v>
          </cell>
          <cell r="U15">
            <v>22.1</v>
          </cell>
          <cell r="V15">
            <v>26.9</v>
          </cell>
          <cell r="W15">
            <v>30.8</v>
          </cell>
          <cell r="X15">
            <v>25.8</v>
          </cell>
          <cell r="Y15">
            <v>27.1</v>
          </cell>
          <cell r="Z15">
            <v>-23.4</v>
          </cell>
          <cell r="AA15">
            <v>9.8000000000000007</v>
          </cell>
          <cell r="AB15">
            <v>22.5</v>
          </cell>
          <cell r="AC15">
            <v>30.9</v>
          </cell>
          <cell r="AD15">
            <v>-38.4</v>
          </cell>
          <cell r="AE15">
            <v>20.5</v>
          </cell>
          <cell r="AF15">
            <v>28.4</v>
          </cell>
          <cell r="AG15">
            <v>26.1</v>
          </cell>
          <cell r="AH15">
            <v>29.7</v>
          </cell>
          <cell r="AI15">
            <v>22.3</v>
          </cell>
          <cell r="AJ15">
            <v>6.9</v>
          </cell>
          <cell r="AL15">
            <v>6.9</v>
          </cell>
          <cell r="AM15">
            <v>24</v>
          </cell>
          <cell r="AN15">
            <v>25</v>
          </cell>
          <cell r="AO15">
            <v>26</v>
          </cell>
          <cell r="AP15">
            <v>21</v>
          </cell>
          <cell r="AR15" t="str">
            <v>Armored Veh</v>
          </cell>
          <cell r="AS15">
            <v>26</v>
          </cell>
          <cell r="AT15">
            <v>28</v>
          </cell>
          <cell r="AU15">
            <v>28</v>
          </cell>
          <cell r="AV15">
            <v>40</v>
          </cell>
          <cell r="AW15" t="str">
            <v>Armored Veh</v>
          </cell>
          <cell r="AX15">
            <v>58</v>
          </cell>
          <cell r="AY15">
            <v>31</v>
          </cell>
          <cell r="AZ15">
            <v>32</v>
          </cell>
          <cell r="BA15">
            <v>53</v>
          </cell>
          <cell r="BB15" t="str">
            <v>Armored Veh</v>
          </cell>
          <cell r="BC15">
            <v>32</v>
          </cell>
          <cell r="BD15">
            <v>34</v>
          </cell>
          <cell r="BE15">
            <v>37</v>
          </cell>
          <cell r="BF15">
            <v>37</v>
          </cell>
          <cell r="BG15" t="str">
            <v>Armored Veh</v>
          </cell>
          <cell r="BH15">
            <v>36</v>
          </cell>
          <cell r="BI15">
            <v>35</v>
          </cell>
          <cell r="BJ15">
            <v>35</v>
          </cell>
          <cell r="BK15">
            <v>34</v>
          </cell>
          <cell r="BL15" t="str">
            <v>Combat Sys</v>
          </cell>
          <cell r="BM15">
            <v>33</v>
          </cell>
          <cell r="BN15">
            <v>35.4</v>
          </cell>
          <cell r="BO15">
            <v>34</v>
          </cell>
          <cell r="BP15">
            <v>37.6</v>
          </cell>
          <cell r="BQ15" t="str">
            <v>Combat Sys</v>
          </cell>
          <cell r="BR15">
            <v>45</v>
          </cell>
          <cell r="BS15">
            <v>41</v>
          </cell>
          <cell r="BT15">
            <v>47</v>
          </cell>
          <cell r="BU15">
            <v>54</v>
          </cell>
          <cell r="BW15" t="str">
            <v>Combat Sys</v>
          </cell>
          <cell r="BX15">
            <v>43</v>
          </cell>
          <cell r="BY15">
            <v>38</v>
          </cell>
          <cell r="BZ15">
            <v>39</v>
          </cell>
          <cell r="CA15">
            <v>46</v>
          </cell>
          <cell r="CB15">
            <v>35</v>
          </cell>
          <cell r="CC15">
            <v>34</v>
          </cell>
          <cell r="CD15">
            <v>37</v>
          </cell>
          <cell r="CE15">
            <v>49</v>
          </cell>
          <cell r="CG15" t="str">
            <v>Combat Sys</v>
          </cell>
          <cell r="CH15">
            <v>37</v>
          </cell>
          <cell r="CI15">
            <v>36</v>
          </cell>
          <cell r="CJ15">
            <v>37</v>
          </cell>
          <cell r="CK15">
            <v>46</v>
          </cell>
          <cell r="CL15">
            <v>48</v>
          </cell>
          <cell r="CM15">
            <v>56</v>
          </cell>
          <cell r="CN15">
            <v>58</v>
          </cell>
          <cell r="CO15">
            <v>76</v>
          </cell>
          <cell r="CQ15" t="str">
            <v>Combat Systems</v>
          </cell>
          <cell r="CR15">
            <v>55</v>
          </cell>
          <cell r="CS15">
            <v>81</v>
          </cell>
          <cell r="CT15">
            <v>80</v>
          </cell>
          <cell r="CU15">
            <v>93</v>
          </cell>
          <cell r="CV15">
            <v>88</v>
          </cell>
          <cell r="CW15">
            <v>115</v>
          </cell>
          <cell r="CX15">
            <v>109</v>
          </cell>
          <cell r="CY15">
            <v>131</v>
          </cell>
          <cell r="DA15" t="str">
            <v>Combat Systems</v>
          </cell>
          <cell r="DB15">
            <v>112</v>
          </cell>
          <cell r="DC15">
            <v>111</v>
          </cell>
          <cell r="DD15">
            <v>128</v>
          </cell>
          <cell r="DE15">
            <v>171</v>
          </cell>
          <cell r="DG15" t="str">
            <v>Combat Systems</v>
          </cell>
          <cell r="DH15">
            <v>104</v>
          </cell>
          <cell r="DI15">
            <v>123</v>
          </cell>
          <cell r="DJ15">
            <v>159</v>
          </cell>
          <cell r="DK15">
            <v>190</v>
          </cell>
          <cell r="DL15">
            <v>147</v>
          </cell>
          <cell r="DM15">
            <v>172</v>
          </cell>
          <cell r="DN15">
            <v>164</v>
          </cell>
          <cell r="DO15">
            <v>194</v>
          </cell>
          <cell r="EB15" t="str">
            <v>Combat Systems</v>
          </cell>
          <cell r="EC15">
            <v>140</v>
          </cell>
          <cell r="ED15">
            <v>140</v>
          </cell>
          <cell r="EE15">
            <v>140</v>
          </cell>
          <cell r="EF15">
            <v>179</v>
          </cell>
          <cell r="EG15">
            <v>166</v>
          </cell>
          <cell r="EH15">
            <v>155</v>
          </cell>
        </row>
        <row r="16">
          <cell r="A16" t="str">
            <v>Armored Veh</v>
          </cell>
          <cell r="B16">
            <v>175</v>
          </cell>
          <cell r="C16">
            <v>105.6</v>
          </cell>
          <cell r="D16">
            <v>36</v>
          </cell>
          <cell r="E16">
            <v>41.4</v>
          </cell>
          <cell r="F16">
            <v>72</v>
          </cell>
          <cell r="H16" t="str">
            <v>Armored Veh</v>
          </cell>
          <cell r="I16">
            <v>96</v>
          </cell>
          <cell r="K16" t="str">
            <v>Combat Sys</v>
          </cell>
          <cell r="L16">
            <v>122</v>
          </cell>
          <cell r="M16">
            <v>174</v>
          </cell>
          <cell r="N16">
            <v>140</v>
          </cell>
          <cell r="P16" t="str">
            <v>Armored Veh</v>
          </cell>
          <cell r="Q16">
            <v>11.4</v>
          </cell>
          <cell r="R16">
            <v>11.2</v>
          </cell>
          <cell r="S16">
            <v>18</v>
          </cell>
          <cell r="T16">
            <v>11.5</v>
          </cell>
          <cell r="U16">
            <v>5.2</v>
          </cell>
          <cell r="V16">
            <v>5.6</v>
          </cell>
          <cell r="W16">
            <v>3</v>
          </cell>
          <cell r="X16">
            <v>14.5</v>
          </cell>
          <cell r="Y16">
            <v>4.5999999999999996</v>
          </cell>
          <cell r="Z16">
            <v>7.4</v>
          </cell>
          <cell r="AA16">
            <v>17</v>
          </cell>
          <cell r="AB16">
            <v>10.4</v>
          </cell>
          <cell r="AC16">
            <v>17.100000000000001</v>
          </cell>
          <cell r="AD16">
            <v>18.5</v>
          </cell>
          <cell r="AE16">
            <v>14</v>
          </cell>
          <cell r="AF16">
            <v>20.9</v>
          </cell>
          <cell r="AG16">
            <v>16</v>
          </cell>
          <cell r="AH16">
            <v>18</v>
          </cell>
          <cell r="AI16">
            <v>16</v>
          </cell>
          <cell r="AJ16">
            <v>20</v>
          </cell>
          <cell r="AK16">
            <v>-15</v>
          </cell>
          <cell r="AL16">
            <v>35</v>
          </cell>
          <cell r="AM16">
            <v>-1</v>
          </cell>
          <cell r="AN16">
            <v>-25</v>
          </cell>
          <cell r="AO16">
            <v>-23</v>
          </cell>
          <cell r="AP16">
            <v>80</v>
          </cell>
          <cell r="AR16" t="str">
            <v>Other</v>
          </cell>
          <cell r="AS16">
            <v>8</v>
          </cell>
          <cell r="AT16">
            <v>10</v>
          </cell>
          <cell r="AU16">
            <v>9</v>
          </cell>
          <cell r="AV16">
            <v>12</v>
          </cell>
          <cell r="AW16" t="str">
            <v>Other</v>
          </cell>
          <cell r="AX16">
            <v>2</v>
          </cell>
          <cell r="AY16">
            <v>4</v>
          </cell>
          <cell r="AZ16">
            <v>3</v>
          </cell>
          <cell r="BA16">
            <v>2</v>
          </cell>
          <cell r="BG16" t="str">
            <v>Def/Arm Sys</v>
          </cell>
          <cell r="BL16" t="str">
            <v>CDI</v>
          </cell>
          <cell r="BQ16" t="str">
            <v>Info Sys &amp; Tech</v>
          </cell>
          <cell r="BW16" t="str">
            <v>Info Sys &amp; Tech</v>
          </cell>
          <cell r="BX16">
            <v>14</v>
          </cell>
          <cell r="BY16">
            <v>13</v>
          </cell>
          <cell r="BZ16">
            <v>18</v>
          </cell>
          <cell r="CA16">
            <v>24</v>
          </cell>
          <cell r="CB16">
            <v>20</v>
          </cell>
          <cell r="CC16">
            <v>24</v>
          </cell>
          <cell r="CD16">
            <v>30</v>
          </cell>
          <cell r="CE16">
            <v>53</v>
          </cell>
          <cell r="CG16" t="str">
            <v>Info Sys &amp; Tech</v>
          </cell>
          <cell r="CH16">
            <v>58</v>
          </cell>
          <cell r="CI16">
            <v>53</v>
          </cell>
          <cell r="CJ16">
            <v>55</v>
          </cell>
          <cell r="CK16">
            <v>51</v>
          </cell>
          <cell r="CL16">
            <v>60</v>
          </cell>
          <cell r="CM16">
            <v>61</v>
          </cell>
          <cell r="CN16">
            <v>59</v>
          </cell>
          <cell r="CO16">
            <v>81</v>
          </cell>
          <cell r="CQ16" t="str">
            <v>Info. Systems &amp; Tech.</v>
          </cell>
          <cell r="CR16">
            <v>91</v>
          </cell>
          <cell r="CS16">
            <v>103</v>
          </cell>
          <cell r="CT16">
            <v>135</v>
          </cell>
          <cell r="CU16">
            <v>106</v>
          </cell>
          <cell r="CV16">
            <v>111</v>
          </cell>
          <cell r="CW16">
            <v>142</v>
          </cell>
          <cell r="CX16">
            <v>146</v>
          </cell>
          <cell r="CY16">
            <v>137</v>
          </cell>
          <cell r="DA16" t="str">
            <v>Info. Systems &amp; Tech.</v>
          </cell>
          <cell r="DB16">
            <v>169</v>
          </cell>
          <cell r="DC16">
            <v>192</v>
          </cell>
          <cell r="DD16">
            <v>176</v>
          </cell>
          <cell r="DE16">
            <v>181</v>
          </cell>
          <cell r="DG16" t="str">
            <v>Info. Systems &amp; Tech.</v>
          </cell>
          <cell r="DH16">
            <v>197</v>
          </cell>
          <cell r="DI16">
            <v>225</v>
          </cell>
          <cell r="DJ16">
            <v>228</v>
          </cell>
          <cell r="DK16">
            <v>215</v>
          </cell>
          <cell r="DL16">
            <v>220</v>
          </cell>
          <cell r="DM16">
            <v>232</v>
          </cell>
          <cell r="DN16">
            <v>258</v>
          </cell>
          <cell r="DO16">
            <v>266</v>
          </cell>
          <cell r="EB16" t="str">
            <v>Info. Systems &amp; Tech.</v>
          </cell>
          <cell r="EF16">
            <v>15</v>
          </cell>
          <cell r="EG16">
            <v>69</v>
          </cell>
          <cell r="EH16">
            <v>127</v>
          </cell>
        </row>
        <row r="17">
          <cell r="A17" t="str">
            <v>Space Launch</v>
          </cell>
          <cell r="B17">
            <v>52.1</v>
          </cell>
          <cell r="C17">
            <v>28.3</v>
          </cell>
          <cell r="D17">
            <v>39.4</v>
          </cell>
          <cell r="E17">
            <v>70.5</v>
          </cell>
          <cell r="F17">
            <v>-395</v>
          </cell>
          <cell r="H17" t="str">
            <v>Other</v>
          </cell>
          <cell r="I17">
            <v>31</v>
          </cell>
          <cell r="K17" t="str">
            <v>Info Sys &amp; Tech</v>
          </cell>
          <cell r="P17" t="str">
            <v>Space Launch</v>
          </cell>
          <cell r="Q17">
            <v>-29.6</v>
          </cell>
          <cell r="R17">
            <v>-18.3</v>
          </cell>
          <cell r="S17">
            <v>-12</v>
          </cell>
          <cell r="T17">
            <v>0.9</v>
          </cell>
          <cell r="U17">
            <v>2.9</v>
          </cell>
          <cell r="V17">
            <v>2.9</v>
          </cell>
          <cell r="W17">
            <v>-1.6</v>
          </cell>
          <cell r="X17">
            <v>2.1</v>
          </cell>
          <cell r="Y17">
            <v>3.3</v>
          </cell>
          <cell r="Z17">
            <v>0.9</v>
          </cell>
          <cell r="AA17">
            <v>9.4</v>
          </cell>
          <cell r="AB17">
            <v>11.3</v>
          </cell>
          <cell r="AC17">
            <v>4.3</v>
          </cell>
          <cell r="AD17">
            <v>9.3000000000000007</v>
          </cell>
          <cell r="AE17">
            <v>19.8</v>
          </cell>
          <cell r="AF17">
            <v>42.6</v>
          </cell>
          <cell r="AG17">
            <v>-23</v>
          </cell>
          <cell r="AH17">
            <v>-20</v>
          </cell>
          <cell r="AI17">
            <v>-24</v>
          </cell>
          <cell r="AJ17">
            <v>-328</v>
          </cell>
          <cell r="AL17">
            <v>-328</v>
          </cell>
          <cell r="AM17" t="str">
            <v>----</v>
          </cell>
          <cell r="AN17" t="str">
            <v>----</v>
          </cell>
          <cell r="AO17" t="str">
            <v>----</v>
          </cell>
          <cell r="AP17" t="str">
            <v>----</v>
          </cell>
          <cell r="AS17" t="str">
            <v>----</v>
          </cell>
          <cell r="AT17" t="str">
            <v>----</v>
          </cell>
          <cell r="AU17" t="str">
            <v>----</v>
          </cell>
          <cell r="AV17" t="str">
            <v>----</v>
          </cell>
          <cell r="AX17" t="str">
            <v>----</v>
          </cell>
          <cell r="AY17" t="str">
            <v>----</v>
          </cell>
          <cell r="AZ17" t="str">
            <v>----</v>
          </cell>
          <cell r="BA17" t="str">
            <v>----</v>
          </cell>
          <cell r="BW17" t="str">
            <v>Gulfstream</v>
          </cell>
          <cell r="BX17">
            <v>69.200000000000017</v>
          </cell>
          <cell r="BY17">
            <v>91.6</v>
          </cell>
          <cell r="BZ17">
            <v>104</v>
          </cell>
          <cell r="CA17">
            <v>-35.5</v>
          </cell>
          <cell r="CB17">
            <v>97.311999999999898</v>
          </cell>
          <cell r="CC17">
            <v>115.6</v>
          </cell>
          <cell r="CD17">
            <v>128</v>
          </cell>
          <cell r="CE17">
            <v>141.08800000000008</v>
          </cell>
          <cell r="CG17" t="str">
            <v>Aerospace (GAC+Galaxy)</v>
          </cell>
          <cell r="CH17">
            <v>131</v>
          </cell>
          <cell r="CI17">
            <v>151</v>
          </cell>
          <cell r="CJ17">
            <v>149</v>
          </cell>
          <cell r="CK17">
            <v>161</v>
          </cell>
          <cell r="CL17">
            <v>144</v>
          </cell>
          <cell r="CM17">
            <v>157</v>
          </cell>
          <cell r="CN17">
            <v>161</v>
          </cell>
          <cell r="CO17">
            <v>163</v>
          </cell>
          <cell r="CQ17" t="str">
            <v>Aerospace</v>
          </cell>
          <cell r="CR17">
            <v>144</v>
          </cell>
          <cell r="CS17">
            <v>150</v>
          </cell>
          <cell r="CT17">
            <v>100</v>
          </cell>
          <cell r="CU17">
            <v>53</v>
          </cell>
          <cell r="CV17">
            <v>40</v>
          </cell>
          <cell r="CW17">
            <v>45</v>
          </cell>
          <cell r="CX17">
            <v>50</v>
          </cell>
          <cell r="CY17">
            <v>83</v>
          </cell>
          <cell r="DA17" t="str">
            <v>Aerospace</v>
          </cell>
          <cell r="DB17">
            <v>66</v>
          </cell>
          <cell r="DC17">
            <v>94</v>
          </cell>
          <cell r="DD17">
            <v>117</v>
          </cell>
          <cell r="DE17">
            <v>116</v>
          </cell>
          <cell r="DG17" t="str">
            <v>Aerospace</v>
          </cell>
          <cell r="DH17">
            <v>101</v>
          </cell>
          <cell r="DI17">
            <v>125</v>
          </cell>
          <cell r="DJ17">
            <v>146</v>
          </cell>
          <cell r="DK17">
            <v>123</v>
          </cell>
          <cell r="DL17">
            <v>145</v>
          </cell>
          <cell r="DM17">
            <v>166</v>
          </cell>
          <cell r="DN17">
            <v>165</v>
          </cell>
          <cell r="DO17">
            <v>168</v>
          </cell>
          <cell r="EB17" t="str">
            <v>Aerospace</v>
          </cell>
          <cell r="EF17">
            <v>229</v>
          </cell>
          <cell r="EG17">
            <v>228.39999999999998</v>
          </cell>
          <cell r="EH17">
            <v>482</v>
          </cell>
        </row>
        <row r="18">
          <cell r="B18">
            <v>-59.000000000000007</v>
          </cell>
          <cell r="C18">
            <v>21</v>
          </cell>
          <cell r="D18">
            <v>24.900000000000002</v>
          </cell>
          <cell r="E18">
            <v>27.200000000000003</v>
          </cell>
          <cell r="K18" t="str">
            <v>Other</v>
          </cell>
          <cell r="L18">
            <v>39</v>
          </cell>
          <cell r="M18">
            <v>11</v>
          </cell>
          <cell r="N18">
            <v>-15</v>
          </cell>
          <cell r="Q18">
            <v>-1.7</v>
          </cell>
          <cell r="R18">
            <v>-3.2</v>
          </cell>
          <cell r="S18">
            <v>7</v>
          </cell>
          <cell r="T18">
            <v>-2.2999999999999998</v>
          </cell>
          <cell r="U18">
            <v>2</v>
          </cell>
          <cell r="V18">
            <v>1.9</v>
          </cell>
          <cell r="W18">
            <v>1.7</v>
          </cell>
          <cell r="X18">
            <v>-14.6</v>
          </cell>
          <cell r="Y18">
            <v>-15.1</v>
          </cell>
          <cell r="Z18">
            <v>-10</v>
          </cell>
          <cell r="AA18">
            <v>-4.0999999999999996</v>
          </cell>
          <cell r="AB18">
            <v>-3.8</v>
          </cell>
          <cell r="AC18">
            <v>-7.4</v>
          </cell>
          <cell r="AD18">
            <v>3.3</v>
          </cell>
          <cell r="AE18">
            <v>-5.2</v>
          </cell>
          <cell r="AF18">
            <v>-8</v>
          </cell>
          <cell r="AG18" t="str">
            <v>----</v>
          </cell>
          <cell r="AH18" t="str">
            <v>----</v>
          </cell>
          <cell r="AI18" t="str">
            <v>----</v>
          </cell>
          <cell r="AJ18" t="str">
            <v>----</v>
          </cell>
          <cell r="AL18" t="str">
            <v xml:space="preserve"> </v>
          </cell>
          <cell r="BB18" t="str">
            <v>Other</v>
          </cell>
          <cell r="BC18">
            <v>-4</v>
          </cell>
          <cell r="BD18">
            <v>-3</v>
          </cell>
          <cell r="BE18">
            <v>-6</v>
          </cell>
          <cell r="BF18">
            <v>-2</v>
          </cell>
          <cell r="BG18" t="str">
            <v>Other</v>
          </cell>
          <cell r="BH18">
            <v>-6</v>
          </cell>
          <cell r="BI18">
            <v>-6</v>
          </cell>
          <cell r="BJ18">
            <v>-5</v>
          </cell>
          <cell r="BK18">
            <v>-2</v>
          </cell>
          <cell r="BL18" t="str">
            <v>Other</v>
          </cell>
          <cell r="BM18">
            <v>-4</v>
          </cell>
          <cell r="BN18">
            <v>-1</v>
          </cell>
          <cell r="BO18">
            <v>3</v>
          </cell>
          <cell r="BP18">
            <v>-1</v>
          </cell>
          <cell r="BQ18" t="str">
            <v>Other</v>
          </cell>
          <cell r="BR18">
            <v>-2</v>
          </cell>
          <cell r="BS18">
            <v>12</v>
          </cell>
          <cell r="BT18">
            <v>11</v>
          </cell>
          <cell r="BU18">
            <v>4</v>
          </cell>
          <cell r="BW18" t="str">
            <v>Other</v>
          </cell>
          <cell r="BX18">
            <v>3</v>
          </cell>
          <cell r="BY18">
            <v>13</v>
          </cell>
          <cell r="BZ18">
            <v>16</v>
          </cell>
          <cell r="CA18">
            <v>0</v>
          </cell>
          <cell r="CB18">
            <v>0</v>
          </cell>
          <cell r="CC18">
            <v>17</v>
          </cell>
          <cell r="CD18">
            <v>15</v>
          </cell>
          <cell r="CE18">
            <v>14</v>
          </cell>
          <cell r="CG18" t="str">
            <v>Other</v>
          </cell>
          <cell r="CH18">
            <v>-8</v>
          </cell>
          <cell r="CI18">
            <v>13</v>
          </cell>
          <cell r="CJ18">
            <v>19</v>
          </cell>
          <cell r="CK18">
            <v>12</v>
          </cell>
          <cell r="CL18">
            <v>2</v>
          </cell>
          <cell r="CM18">
            <v>14</v>
          </cell>
          <cell r="CN18">
            <v>16</v>
          </cell>
          <cell r="CO18">
            <v>20</v>
          </cell>
          <cell r="CQ18" t="str">
            <v>Resources</v>
          </cell>
          <cell r="CR18">
            <v>6</v>
          </cell>
          <cell r="CS18">
            <v>25</v>
          </cell>
          <cell r="CT18">
            <v>31</v>
          </cell>
          <cell r="CU18">
            <v>27</v>
          </cell>
          <cell r="CV18">
            <v>10</v>
          </cell>
          <cell r="CW18">
            <v>9</v>
          </cell>
          <cell r="CX18">
            <v>8</v>
          </cell>
          <cell r="CY18">
            <v>5</v>
          </cell>
          <cell r="DA18" t="str">
            <v>Corporate</v>
          </cell>
          <cell r="DB18">
            <v>-9</v>
          </cell>
          <cell r="DC18">
            <v>7</v>
          </cell>
          <cell r="DD18">
            <v>10</v>
          </cell>
          <cell r="DE18">
            <v>-2</v>
          </cell>
          <cell r="DG18" t="str">
            <v>Corporate</v>
          </cell>
          <cell r="DH18">
            <v>9</v>
          </cell>
          <cell r="DI18">
            <v>1</v>
          </cell>
          <cell r="DJ18">
            <v>-10</v>
          </cell>
          <cell r="DK18">
            <v>1</v>
          </cell>
          <cell r="DL18">
            <v>-13</v>
          </cell>
          <cell r="DM18">
            <v>-13</v>
          </cell>
          <cell r="DN18">
            <v>-12</v>
          </cell>
          <cell r="DO18">
            <v>-9</v>
          </cell>
          <cell r="EB18" t="str">
            <v>Corporate</v>
          </cell>
          <cell r="EC18">
            <v>-15</v>
          </cell>
          <cell r="ED18">
            <v>-19</v>
          </cell>
          <cell r="EE18">
            <v>-3</v>
          </cell>
          <cell r="EF18">
            <v>25</v>
          </cell>
          <cell r="EG18">
            <v>32</v>
          </cell>
          <cell r="EH18">
            <v>46</v>
          </cell>
        </row>
        <row r="19">
          <cell r="B19">
            <v>-0.20000000000000018</v>
          </cell>
          <cell r="C19">
            <v>-9</v>
          </cell>
          <cell r="D19">
            <v>-33</v>
          </cell>
          <cell r="I19" t="str">
            <v>----</v>
          </cell>
          <cell r="Q19" t="str">
            <v>----</v>
          </cell>
          <cell r="R19" t="str">
            <v>----</v>
          </cell>
          <cell r="S19" t="str">
            <v>----</v>
          </cell>
          <cell r="T19" t="str">
            <v>----</v>
          </cell>
          <cell r="U19" t="str">
            <v>----</v>
          </cell>
          <cell r="V19" t="str">
            <v>----</v>
          </cell>
          <cell r="W19" t="str">
            <v>----</v>
          </cell>
          <cell r="X19" t="str">
            <v>----</v>
          </cell>
          <cell r="Y19" t="str">
            <v>----</v>
          </cell>
          <cell r="Z19" t="str">
            <v>----</v>
          </cell>
          <cell r="AA19" t="str">
            <v>----</v>
          </cell>
          <cell r="AB19" t="str">
            <v>----</v>
          </cell>
          <cell r="AC19" t="str">
            <v>----</v>
          </cell>
          <cell r="AD19" t="str">
            <v>----</v>
          </cell>
          <cell r="AE19" t="str">
            <v>----</v>
          </cell>
          <cell r="AF19" t="str">
            <v>----</v>
          </cell>
          <cell r="CQ19" t="str">
            <v>Total Operating Profit</v>
          </cell>
          <cell r="CR19">
            <v>369</v>
          </cell>
          <cell r="CS19">
            <v>423</v>
          </cell>
          <cell r="CT19">
            <v>424</v>
          </cell>
          <cell r="CU19">
            <v>351</v>
          </cell>
          <cell r="CV19">
            <v>314</v>
          </cell>
          <cell r="CW19">
            <v>375</v>
          </cell>
          <cell r="CX19">
            <v>349</v>
          </cell>
          <cell r="CY19">
            <v>407</v>
          </cell>
          <cell r="DA19" t="str">
            <v>Total Operating Profit</v>
          </cell>
          <cell r="DB19">
            <v>436</v>
          </cell>
          <cell r="DC19">
            <v>485</v>
          </cell>
          <cell r="DD19">
            <v>493</v>
          </cell>
          <cell r="DE19">
            <v>517</v>
          </cell>
          <cell r="DG19" t="str">
            <v>Total Operating Profit</v>
          </cell>
          <cell r="DH19">
            <v>460</v>
          </cell>
          <cell r="DI19">
            <v>539</v>
          </cell>
          <cell r="DJ19">
            <v>575</v>
          </cell>
          <cell r="DK19">
            <v>612</v>
          </cell>
          <cell r="DL19">
            <v>596</v>
          </cell>
          <cell r="DM19">
            <v>649</v>
          </cell>
          <cell r="DN19">
            <v>677</v>
          </cell>
          <cell r="DO19">
            <v>703</v>
          </cell>
          <cell r="EB19" t="str">
            <v>Total Operating Profit</v>
          </cell>
          <cell r="EC19">
            <v>321</v>
          </cell>
          <cell r="ED19">
            <v>315</v>
          </cell>
          <cell r="EE19">
            <v>353</v>
          </cell>
          <cell r="EF19">
            <v>682</v>
          </cell>
          <cell r="EG19">
            <v>780.4</v>
          </cell>
          <cell r="EH19">
            <v>1138</v>
          </cell>
        </row>
        <row r="20">
          <cell r="A20" t="str">
            <v xml:space="preserve"> Total</v>
          </cell>
          <cell r="B20">
            <v>497</v>
          </cell>
          <cell r="C20">
            <v>467.50000000000006</v>
          </cell>
          <cell r="D20">
            <v>385.3</v>
          </cell>
          <cell r="E20">
            <v>407.79999999999995</v>
          </cell>
          <cell r="F20">
            <v>-239</v>
          </cell>
          <cell r="H20" t="str">
            <v xml:space="preserve"> Total Op Pr.</v>
          </cell>
          <cell r="I20">
            <v>211</v>
          </cell>
          <cell r="K20" t="str">
            <v xml:space="preserve"> Total Op Pr.</v>
          </cell>
          <cell r="L20">
            <v>255</v>
          </cell>
          <cell r="M20">
            <v>309</v>
          </cell>
          <cell r="N20">
            <v>321</v>
          </cell>
          <cell r="P20" t="str">
            <v xml:space="preserve"> Total</v>
          </cell>
          <cell r="Q20">
            <v>99.1</v>
          </cell>
          <cell r="R20">
            <v>118.9</v>
          </cell>
          <cell r="S20">
            <v>137</v>
          </cell>
          <cell r="T20">
            <v>142</v>
          </cell>
          <cell r="U20">
            <v>117.4</v>
          </cell>
          <cell r="V20">
            <v>123.8</v>
          </cell>
          <cell r="W20">
            <v>112.9</v>
          </cell>
          <cell r="X20">
            <v>98.7</v>
          </cell>
          <cell r="Y20">
            <v>120.8</v>
          </cell>
          <cell r="Z20">
            <v>57.9</v>
          </cell>
          <cell r="AA20">
            <v>99.8</v>
          </cell>
          <cell r="AB20">
            <v>106.8</v>
          </cell>
          <cell r="AC20">
            <v>107.4</v>
          </cell>
          <cell r="AD20">
            <v>63.3</v>
          </cell>
          <cell r="AE20">
            <v>103.6</v>
          </cell>
          <cell r="AF20">
            <v>133.5</v>
          </cell>
          <cell r="AG20">
            <v>72.400000000000006</v>
          </cell>
          <cell r="AH20">
            <v>-351.9</v>
          </cell>
          <cell r="AI20">
            <v>55.8</v>
          </cell>
          <cell r="AJ20">
            <v>-655.29999999999995</v>
          </cell>
          <cell r="AM20">
            <v>42</v>
          </cell>
          <cell r="AN20">
            <v>20</v>
          </cell>
          <cell r="AO20">
            <v>27</v>
          </cell>
          <cell r="AP20">
            <v>122</v>
          </cell>
          <cell r="AR20" t="str">
            <v xml:space="preserve"> Total Op Pr.</v>
          </cell>
          <cell r="AS20">
            <v>56</v>
          </cell>
          <cell r="AT20">
            <v>59</v>
          </cell>
          <cell r="AU20">
            <v>63</v>
          </cell>
          <cell r="AV20">
            <v>77</v>
          </cell>
          <cell r="AW20" t="str">
            <v xml:space="preserve"> Total Op Pr.</v>
          </cell>
          <cell r="AX20">
            <v>90</v>
          </cell>
          <cell r="AY20">
            <v>65</v>
          </cell>
          <cell r="AZ20">
            <v>64</v>
          </cell>
          <cell r="BA20">
            <v>90</v>
          </cell>
          <cell r="BB20" t="str">
            <v xml:space="preserve"> Total Op Pr.</v>
          </cell>
          <cell r="BC20">
            <v>79</v>
          </cell>
          <cell r="BD20">
            <v>83</v>
          </cell>
          <cell r="BE20">
            <v>77</v>
          </cell>
          <cell r="BF20">
            <v>82</v>
          </cell>
          <cell r="BG20" t="str">
            <v xml:space="preserve"> Total Op Pr.</v>
          </cell>
          <cell r="BH20">
            <v>79</v>
          </cell>
          <cell r="BI20">
            <v>76</v>
          </cell>
          <cell r="BJ20">
            <v>77</v>
          </cell>
          <cell r="BK20">
            <v>83</v>
          </cell>
          <cell r="BL20" t="str">
            <v xml:space="preserve"> Total Op Pr.</v>
          </cell>
          <cell r="BM20">
            <v>83</v>
          </cell>
          <cell r="BN20">
            <v>89.4</v>
          </cell>
          <cell r="BO20">
            <v>89</v>
          </cell>
          <cell r="BP20">
            <v>91.6</v>
          </cell>
          <cell r="BQ20" t="str">
            <v xml:space="preserve"> Total Op Pr.</v>
          </cell>
          <cell r="BR20">
            <v>102</v>
          </cell>
          <cell r="BS20">
            <v>114</v>
          </cell>
          <cell r="BT20">
            <v>113</v>
          </cell>
          <cell r="BU20">
            <v>117</v>
          </cell>
          <cell r="BW20" t="str">
            <v xml:space="preserve"> Total Op Pr.</v>
          </cell>
          <cell r="BX20">
            <v>193.20000000000002</v>
          </cell>
          <cell r="BY20">
            <v>226.6</v>
          </cell>
          <cell r="BZ20">
            <v>243</v>
          </cell>
          <cell r="CA20">
            <v>117.60000000000002</v>
          </cell>
          <cell r="CB20">
            <v>240.3119999999999</v>
          </cell>
          <cell r="CC20">
            <v>278.60000000000002</v>
          </cell>
          <cell r="CD20">
            <v>290</v>
          </cell>
          <cell r="CE20">
            <v>329.08800000000008</v>
          </cell>
          <cell r="CG20" t="str">
            <v xml:space="preserve"> Total Operating Profit</v>
          </cell>
          <cell r="CH20">
            <v>306</v>
          </cell>
          <cell r="CI20">
            <v>335</v>
          </cell>
          <cell r="CJ20">
            <v>337</v>
          </cell>
          <cell r="CK20">
            <v>347</v>
          </cell>
          <cell r="CL20">
            <v>334</v>
          </cell>
          <cell r="CM20">
            <v>371</v>
          </cell>
          <cell r="CN20">
            <v>376</v>
          </cell>
          <cell r="CO20">
            <v>405</v>
          </cell>
          <cell r="CQ20" t="str">
            <v>Operating Margins</v>
          </cell>
          <cell r="CR20">
            <v>0.11895551257253385</v>
          </cell>
          <cell r="CS20">
            <v>0.12065031374786081</v>
          </cell>
          <cell r="CT20">
            <v>0.12911084043848964</v>
          </cell>
          <cell r="CU20">
            <v>9.2661034846884899E-2</v>
          </cell>
          <cell r="CV20">
            <v>9.2707410687924416E-2</v>
          </cell>
          <cell r="CW20">
            <v>9.625256673511294E-2</v>
          </cell>
          <cell r="CX20">
            <v>8.0137772675086108E-2</v>
          </cell>
          <cell r="CY20">
            <v>8.6028323821602193E-2</v>
          </cell>
          <cell r="DA20" t="str">
            <v>Operating Margins</v>
          </cell>
          <cell r="DB20">
            <v>9.384416702539819E-2</v>
          </cell>
          <cell r="DC20">
            <v>0.10425623387790198</v>
          </cell>
          <cell r="DD20">
            <v>0.10608995050570261</v>
          </cell>
          <cell r="DE20">
            <v>0.10501726589477961</v>
          </cell>
          <cell r="DG20" t="str">
            <v>Operating Profit Margin</v>
          </cell>
          <cell r="EB20" t="str">
            <v>Operating Profit Margin</v>
          </cell>
        </row>
        <row r="21">
          <cell r="CG21" t="str">
            <v>Operating Margins</v>
          </cell>
          <cell r="CH21">
            <v>0.1201885310290652</v>
          </cell>
          <cell r="CI21">
            <v>0.12800917080626673</v>
          </cell>
          <cell r="CJ21">
            <v>0.13469224620303757</v>
          </cell>
          <cell r="CK21">
            <v>0.13143939393939394</v>
          </cell>
          <cell r="CL21">
            <v>0.12495323606434718</v>
          </cell>
          <cell r="CM21">
            <v>0.12525320729237002</v>
          </cell>
          <cell r="CN21">
            <v>0.12450331125827814</v>
          </cell>
          <cell r="CO21">
            <v>0.11915269196822595</v>
          </cell>
          <cell r="CQ21" t="str">
            <v>Interest, net</v>
          </cell>
          <cell r="CR21">
            <v>-12</v>
          </cell>
          <cell r="CS21">
            <v>-11</v>
          </cell>
          <cell r="CT21">
            <v>-11</v>
          </cell>
          <cell r="CU21">
            <v>-11</v>
          </cell>
          <cell r="CV21">
            <v>-11</v>
          </cell>
          <cell r="CW21">
            <v>-19</v>
          </cell>
          <cell r="CX21">
            <v>-29</v>
          </cell>
          <cell r="CY21">
            <v>-39</v>
          </cell>
          <cell r="DA21" t="str">
            <v>Interest, net</v>
          </cell>
          <cell r="DB21">
            <v>-39</v>
          </cell>
          <cell r="DC21">
            <v>-39</v>
          </cell>
          <cell r="DD21">
            <v>-33</v>
          </cell>
          <cell r="DE21">
            <v>-37</v>
          </cell>
          <cell r="DG21" t="str">
            <v>Marine Systems</v>
          </cell>
          <cell r="DH21">
            <v>4.049586776859504E-2</v>
          </cell>
          <cell r="DI21">
            <v>5.5178268251273345E-2</v>
          </cell>
          <cell r="DJ21">
            <v>4.4406490179333902E-2</v>
          </cell>
          <cell r="DK21">
            <v>7.3063380281690141E-2</v>
          </cell>
          <cell r="DL21">
            <v>7.6078431372549021E-2</v>
          </cell>
          <cell r="DM21">
            <v>7.266982622432859E-2</v>
          </cell>
          <cell r="DN21">
            <v>8.3538083538083535E-2</v>
          </cell>
          <cell r="DO21">
            <v>7.1307300509337868E-2</v>
          </cell>
          <cell r="EB21" t="str">
            <v>Marine Systems</v>
          </cell>
          <cell r="EC21">
            <v>0.11309867282169649</v>
          </cell>
          <cell r="ED21">
            <v>0.1029723991507431</v>
          </cell>
          <cell r="EE21">
            <v>9.2624356775300176E-2</v>
          </cell>
          <cell r="EF21">
            <v>0.10125486802250108</v>
          </cell>
          <cell r="EG21">
            <v>0.10690172543135784</v>
          </cell>
          <cell r="EH21">
            <v>0.10621761658031088</v>
          </cell>
        </row>
        <row r="22">
          <cell r="A22" t="str">
            <v>Interest,net</v>
          </cell>
          <cell r="B22">
            <v>-55</v>
          </cell>
          <cell r="C22">
            <v>-41</v>
          </cell>
          <cell r="D22">
            <v>-48.4</v>
          </cell>
          <cell r="E22">
            <v>-83.7</v>
          </cell>
          <cell r="F22">
            <v>-33</v>
          </cell>
          <cell r="H22" t="str">
            <v>Interest,net</v>
          </cell>
          <cell r="I22">
            <v>10</v>
          </cell>
          <cell r="K22" t="str">
            <v>Interest,net</v>
          </cell>
          <cell r="L22">
            <v>27</v>
          </cell>
          <cell r="M22">
            <v>36</v>
          </cell>
          <cell r="N22">
            <v>22</v>
          </cell>
          <cell r="P22" t="str">
            <v>Interest,net</v>
          </cell>
          <cell r="AC22">
            <v>-14.1</v>
          </cell>
          <cell r="AD22">
            <v>-19</v>
          </cell>
          <cell r="AE22">
            <v>-21.5</v>
          </cell>
          <cell r="AF22">
            <v>-29.1</v>
          </cell>
          <cell r="AG22">
            <v>-19.399999999999999</v>
          </cell>
          <cell r="AH22">
            <v>-14</v>
          </cell>
          <cell r="AI22">
            <v>-13.6</v>
          </cell>
          <cell r="AJ22">
            <v>-15.1</v>
          </cell>
          <cell r="AL22">
            <v>-15.1</v>
          </cell>
          <cell r="AM22">
            <v>-12</v>
          </cell>
          <cell r="AN22">
            <v>-12</v>
          </cell>
          <cell r="AO22">
            <v>-7.8</v>
          </cell>
          <cell r="AP22">
            <v>41.8</v>
          </cell>
          <cell r="AR22" t="str">
            <v>Interest,net</v>
          </cell>
          <cell r="AS22">
            <v>8</v>
          </cell>
          <cell r="AT22">
            <v>12</v>
          </cell>
          <cell r="AU22">
            <v>1</v>
          </cell>
          <cell r="AV22">
            <v>6</v>
          </cell>
          <cell r="AW22" t="str">
            <v>Interest,net</v>
          </cell>
          <cell r="AX22">
            <v>10</v>
          </cell>
          <cell r="AY22">
            <v>12</v>
          </cell>
          <cell r="AZ22">
            <v>8</v>
          </cell>
          <cell r="BA22">
            <v>6</v>
          </cell>
          <cell r="BB22" t="str">
            <v>Interest,net</v>
          </cell>
          <cell r="BC22">
            <v>2.8</v>
          </cell>
          <cell r="BD22">
            <v>3</v>
          </cell>
          <cell r="BE22">
            <v>7</v>
          </cell>
          <cell r="BF22">
            <v>9.1999999999999993</v>
          </cell>
          <cell r="BG22" t="str">
            <v>Interest,net</v>
          </cell>
          <cell r="BH22">
            <v>13</v>
          </cell>
          <cell r="BI22">
            <v>15</v>
          </cell>
          <cell r="BJ22">
            <v>14</v>
          </cell>
          <cell r="BK22">
            <v>12.5</v>
          </cell>
          <cell r="BL22" t="str">
            <v>Interest,net</v>
          </cell>
          <cell r="BM22">
            <v>13</v>
          </cell>
          <cell r="BN22">
            <v>13</v>
          </cell>
          <cell r="BO22">
            <v>14</v>
          </cell>
          <cell r="BP22">
            <v>15</v>
          </cell>
          <cell r="BQ22" t="str">
            <v>Interest,net</v>
          </cell>
          <cell r="BR22">
            <v>9</v>
          </cell>
          <cell r="BS22">
            <v>8</v>
          </cell>
          <cell r="BT22">
            <v>10</v>
          </cell>
          <cell r="BU22">
            <v>9</v>
          </cell>
          <cell r="BW22" t="str">
            <v>Interest,net</v>
          </cell>
          <cell r="BX22">
            <v>-3.9770000000000003</v>
          </cell>
          <cell r="BY22">
            <v>-3.9</v>
          </cell>
          <cell r="BZ22">
            <v>-2.9000000000000004</v>
          </cell>
          <cell r="CA22">
            <v>-6.222999999999999</v>
          </cell>
          <cell r="CB22">
            <v>-5.5</v>
          </cell>
          <cell r="CC22">
            <v>-5</v>
          </cell>
          <cell r="CD22">
            <v>-6</v>
          </cell>
          <cell r="CE22">
            <v>-17.5</v>
          </cell>
          <cell r="CG22" t="str">
            <v>Interest, net</v>
          </cell>
          <cell r="CH22">
            <v>-19</v>
          </cell>
          <cell r="CI22">
            <v>-16</v>
          </cell>
          <cell r="CJ22">
            <v>-17</v>
          </cell>
          <cell r="CK22">
            <v>-8</v>
          </cell>
          <cell r="CL22">
            <v>-12</v>
          </cell>
          <cell r="CM22">
            <v>-15</v>
          </cell>
          <cell r="CN22">
            <v>-13</v>
          </cell>
          <cell r="CO22">
            <v>-16</v>
          </cell>
          <cell r="CQ22" t="str">
            <v>Other</v>
          </cell>
          <cell r="CR22">
            <v>-3</v>
          </cell>
          <cell r="CS22">
            <v>3</v>
          </cell>
          <cell r="CT22">
            <v>8</v>
          </cell>
          <cell r="CU22">
            <v>39</v>
          </cell>
          <cell r="CV22">
            <v>4</v>
          </cell>
          <cell r="CW22">
            <v>2</v>
          </cell>
          <cell r="CX22">
            <v>-3</v>
          </cell>
          <cell r="CY22">
            <v>0</v>
          </cell>
          <cell r="DA22" t="str">
            <v>Other</v>
          </cell>
          <cell r="DB22">
            <v>0</v>
          </cell>
          <cell r="DC22">
            <v>-12</v>
          </cell>
          <cell r="DD22">
            <v>3</v>
          </cell>
          <cell r="DE22">
            <v>0</v>
          </cell>
          <cell r="DG22" t="str">
            <v>Combat Systems</v>
          </cell>
          <cell r="DH22">
            <v>9.8391674550614955E-2</v>
          </cell>
          <cell r="DI22">
            <v>0.11001788908765653</v>
          </cell>
          <cell r="DJ22">
            <v>0.12822580645161291</v>
          </cell>
          <cell r="DK22">
            <v>0.11830635118306351</v>
          </cell>
          <cell r="DL22">
            <v>0.10737764791818846</v>
          </cell>
          <cell r="DM22">
            <v>0.11911357340720222</v>
          </cell>
          <cell r="DN22">
            <v>0.12014652014652015</v>
          </cell>
          <cell r="DO22">
            <v>0.1074792243767313</v>
          </cell>
          <cell r="EB22" t="str">
            <v>Combat Systems</v>
          </cell>
          <cell r="EC22">
            <v>0.11824324324324324</v>
          </cell>
          <cell r="ED22">
            <v>0.13333333333333333</v>
          </cell>
          <cell r="EE22">
            <v>0.1364522417153996</v>
          </cell>
          <cell r="EF22">
            <v>0.12905551550108146</v>
          </cell>
          <cell r="EG22">
            <v>0.13050314465408805</v>
          </cell>
          <cell r="EH22">
            <v>0.12015503875968993</v>
          </cell>
        </row>
        <row r="23">
          <cell r="A23" t="str">
            <v>Other</v>
          </cell>
          <cell r="B23">
            <v>-31.7</v>
          </cell>
          <cell r="C23">
            <v>-70.900000000000006</v>
          </cell>
          <cell r="D23">
            <v>-32</v>
          </cell>
          <cell r="E23">
            <v>-52</v>
          </cell>
          <cell r="F23">
            <v>-41</v>
          </cell>
          <cell r="H23" t="str">
            <v>Other</v>
          </cell>
          <cell r="I23">
            <v>-29</v>
          </cell>
          <cell r="K23" t="str">
            <v>Other</v>
          </cell>
          <cell r="L23">
            <v>28</v>
          </cell>
          <cell r="M23">
            <v>68</v>
          </cell>
          <cell r="N23">
            <v>0</v>
          </cell>
          <cell r="P23" t="str">
            <v>Other</v>
          </cell>
          <cell r="Q23">
            <v>-10.3</v>
          </cell>
          <cell r="R23">
            <v>-4.7</v>
          </cell>
          <cell r="S23">
            <v>-4</v>
          </cell>
          <cell r="T23">
            <v>-12.7</v>
          </cell>
          <cell r="U23">
            <v>-12</v>
          </cell>
          <cell r="V23">
            <v>-1.8</v>
          </cell>
          <cell r="W23">
            <v>-15.5</v>
          </cell>
          <cell r="X23">
            <v>-12.8</v>
          </cell>
          <cell r="Y23">
            <v>-19.8</v>
          </cell>
          <cell r="Z23">
            <v>-16.600000000000001</v>
          </cell>
          <cell r="AA23">
            <v>-17.8</v>
          </cell>
          <cell r="AB23">
            <v>-18.2</v>
          </cell>
          <cell r="AC23">
            <v>-15.4</v>
          </cell>
          <cell r="AD23">
            <v>-13.1</v>
          </cell>
          <cell r="AE23">
            <v>-10.5</v>
          </cell>
          <cell r="AF23">
            <v>-13</v>
          </cell>
          <cell r="AG23">
            <v>-12</v>
          </cell>
          <cell r="AH23">
            <v>-10.3</v>
          </cell>
          <cell r="AI23">
            <v>-9</v>
          </cell>
          <cell r="AJ23">
            <v>-29.8</v>
          </cell>
          <cell r="AK23" t="str">
            <v xml:space="preserve"> </v>
          </cell>
          <cell r="AL23">
            <v>-29.8</v>
          </cell>
          <cell r="AM23">
            <v>-5</v>
          </cell>
          <cell r="AN23">
            <v>-6</v>
          </cell>
          <cell r="AO23">
            <v>-5</v>
          </cell>
          <cell r="AP23">
            <v>-13</v>
          </cell>
          <cell r="AR23" t="str">
            <v>Other</v>
          </cell>
          <cell r="AS23">
            <v>1</v>
          </cell>
          <cell r="AT23">
            <v>-1</v>
          </cell>
          <cell r="AU23" t="str">
            <v xml:space="preserve"> </v>
          </cell>
          <cell r="AV23">
            <v>28</v>
          </cell>
          <cell r="AW23" t="str">
            <v>Other</v>
          </cell>
          <cell r="AX23">
            <v>1</v>
          </cell>
          <cell r="AY23">
            <v>19</v>
          </cell>
          <cell r="AZ23">
            <v>45</v>
          </cell>
          <cell r="BA23">
            <v>3</v>
          </cell>
          <cell r="BB23" t="str">
            <v>Other</v>
          </cell>
          <cell r="BC23">
            <v>1.8</v>
          </cell>
          <cell r="BD23">
            <v>-4</v>
          </cell>
          <cell r="BE23">
            <v>-1</v>
          </cell>
          <cell r="BF23">
            <v>3.2</v>
          </cell>
          <cell r="BG23" t="str">
            <v>Other</v>
          </cell>
          <cell r="BH23">
            <v>0</v>
          </cell>
          <cell r="BI23">
            <v>2</v>
          </cell>
          <cell r="BJ23">
            <v>2</v>
          </cell>
          <cell r="BK23">
            <v>1</v>
          </cell>
          <cell r="BL23" t="str">
            <v>Other</v>
          </cell>
          <cell r="BM23">
            <v>2</v>
          </cell>
          <cell r="BN23">
            <v>0</v>
          </cell>
          <cell r="BO23">
            <v>0</v>
          </cell>
          <cell r="BP23">
            <v>-1</v>
          </cell>
          <cell r="BQ23" t="str">
            <v>Other</v>
          </cell>
          <cell r="BR23">
            <v>-3</v>
          </cell>
          <cell r="BS23">
            <v>0</v>
          </cell>
          <cell r="BT23">
            <v>0</v>
          </cell>
          <cell r="BU23">
            <v>0</v>
          </cell>
          <cell r="BW23" t="str">
            <v>Other</v>
          </cell>
          <cell r="BX23">
            <v>-1</v>
          </cell>
          <cell r="BY23">
            <v>4</v>
          </cell>
          <cell r="BZ23">
            <v>3</v>
          </cell>
          <cell r="CA23">
            <v>-3</v>
          </cell>
          <cell r="CB23">
            <v>9</v>
          </cell>
          <cell r="CC23">
            <v>-4</v>
          </cell>
          <cell r="CD23">
            <v>-1</v>
          </cell>
          <cell r="CE23">
            <v>18</v>
          </cell>
          <cell r="CG23" t="str">
            <v>Other</v>
          </cell>
          <cell r="CH23">
            <v>-1</v>
          </cell>
          <cell r="CI23">
            <v>-1</v>
          </cell>
          <cell r="CJ23">
            <v>-3</v>
          </cell>
          <cell r="CK23">
            <v>-2</v>
          </cell>
          <cell r="CL23">
            <v>8</v>
          </cell>
          <cell r="CM23">
            <v>-3</v>
          </cell>
          <cell r="CN23">
            <v>-5</v>
          </cell>
          <cell r="CO23">
            <v>-5</v>
          </cell>
          <cell r="CQ23" t="str">
            <v>Pretax Income</v>
          </cell>
          <cell r="CR23">
            <v>354</v>
          </cell>
          <cell r="CS23">
            <v>415</v>
          </cell>
          <cell r="CT23">
            <v>421</v>
          </cell>
          <cell r="CU23">
            <v>379</v>
          </cell>
          <cell r="CV23">
            <v>307</v>
          </cell>
          <cell r="CW23">
            <v>358</v>
          </cell>
          <cell r="CX23">
            <v>317</v>
          </cell>
          <cell r="CY23">
            <v>368</v>
          </cell>
          <cell r="DA23" t="str">
            <v>Pretax Income</v>
          </cell>
          <cell r="DB23">
            <v>397</v>
          </cell>
          <cell r="DC23">
            <v>434</v>
          </cell>
          <cell r="DD23">
            <v>463</v>
          </cell>
          <cell r="DE23">
            <v>480</v>
          </cell>
          <cell r="DG23" t="str">
            <v>Info. Systems &amp; Tech.</v>
          </cell>
          <cell r="DH23">
            <v>0.11244292237442922</v>
          </cell>
          <cell r="DI23">
            <v>0.11177347242921014</v>
          </cell>
          <cell r="DJ23">
            <v>0.11486146095717883</v>
          </cell>
          <cell r="DK23">
            <v>0.1035645472061657</v>
          </cell>
          <cell r="DL23">
            <v>0.11150532184490623</v>
          </cell>
          <cell r="DM23">
            <v>0.10755679184051924</v>
          </cell>
          <cell r="DN23">
            <v>0.10767946577629382</v>
          </cell>
          <cell r="DO23">
            <v>0.10648518815052041</v>
          </cell>
          <cell r="EB23" t="str">
            <v>Info. Systems &amp; Tech.</v>
          </cell>
          <cell r="EF23">
            <v>8.1081081081081086E-2</v>
          </cell>
          <cell r="EG23">
            <v>7.3954983922829579E-2</v>
          </cell>
          <cell r="EH23">
            <v>8.9310829817158932E-2</v>
          </cell>
        </row>
        <row r="24">
          <cell r="A24" t="str">
            <v>Pretax Inc</v>
          </cell>
          <cell r="B24">
            <v>465.3</v>
          </cell>
          <cell r="C24">
            <v>396.6</v>
          </cell>
          <cell r="D24">
            <v>312.89999999999998</v>
          </cell>
          <cell r="E24">
            <v>272.10000000000002</v>
          </cell>
          <cell r="F24">
            <v>-313</v>
          </cell>
          <cell r="H24" t="str">
            <v>Pretax Inc</v>
          </cell>
          <cell r="I24">
            <v>192</v>
          </cell>
          <cell r="K24" t="str">
            <v>Pretax Inc</v>
          </cell>
          <cell r="L24">
            <v>310</v>
          </cell>
          <cell r="M24">
            <v>413</v>
          </cell>
          <cell r="N24">
            <v>343</v>
          </cell>
          <cell r="P24" t="str">
            <v>Pretax Inc</v>
          </cell>
          <cell r="Q24">
            <v>88.8</v>
          </cell>
          <cell r="R24">
            <v>114.2</v>
          </cell>
          <cell r="S24">
            <v>133</v>
          </cell>
          <cell r="T24">
            <v>129.30000000000001</v>
          </cell>
          <cell r="U24">
            <v>105.4</v>
          </cell>
          <cell r="V24">
            <v>122</v>
          </cell>
          <cell r="W24">
            <v>97.4</v>
          </cell>
          <cell r="X24">
            <v>85.9</v>
          </cell>
          <cell r="Y24">
            <v>101</v>
          </cell>
          <cell r="Z24">
            <v>41.3</v>
          </cell>
          <cell r="AA24">
            <v>82</v>
          </cell>
          <cell r="AB24">
            <v>88.6</v>
          </cell>
          <cell r="AC24">
            <v>77.900000000000006</v>
          </cell>
          <cell r="AD24">
            <v>31.2</v>
          </cell>
          <cell r="AE24">
            <v>71.599999999999994</v>
          </cell>
          <cell r="AF24">
            <v>91.4</v>
          </cell>
          <cell r="AG24">
            <v>41</v>
          </cell>
          <cell r="AH24">
            <v>-376.2</v>
          </cell>
          <cell r="AI24">
            <v>33.200000000000003</v>
          </cell>
          <cell r="AJ24">
            <v>-700.2</v>
          </cell>
          <cell r="AK24">
            <v>-398.2</v>
          </cell>
          <cell r="AL24">
            <v>-302</v>
          </cell>
          <cell r="AM24">
            <v>25</v>
          </cell>
          <cell r="AN24">
            <v>2</v>
          </cell>
          <cell r="AO24">
            <v>14.2</v>
          </cell>
          <cell r="AP24">
            <v>150.80000000000001</v>
          </cell>
          <cell r="AR24" t="str">
            <v>Pretax Inc</v>
          </cell>
          <cell r="AS24">
            <v>65</v>
          </cell>
          <cell r="AT24">
            <v>70</v>
          </cell>
          <cell r="AU24">
            <v>64</v>
          </cell>
          <cell r="AV24">
            <v>111</v>
          </cell>
          <cell r="AW24" t="str">
            <v>Pretax Inc</v>
          </cell>
          <cell r="AX24">
            <v>101</v>
          </cell>
          <cell r="AY24">
            <v>96</v>
          </cell>
          <cell r="AZ24">
            <v>117</v>
          </cell>
          <cell r="BA24">
            <v>99</v>
          </cell>
          <cell r="BB24" t="str">
            <v>Pretax Inc</v>
          </cell>
          <cell r="BC24">
            <v>83.6</v>
          </cell>
          <cell r="BD24">
            <v>82</v>
          </cell>
          <cell r="BE24">
            <v>83</v>
          </cell>
          <cell r="BF24">
            <v>94.4</v>
          </cell>
          <cell r="BG24" t="str">
            <v>Pretax Inc</v>
          </cell>
          <cell r="BH24">
            <v>92</v>
          </cell>
          <cell r="BI24">
            <v>93</v>
          </cell>
          <cell r="BJ24">
            <v>93</v>
          </cell>
          <cell r="BK24">
            <v>96.5</v>
          </cell>
          <cell r="BL24" t="str">
            <v>Pretax Inc</v>
          </cell>
          <cell r="BM24">
            <v>98</v>
          </cell>
          <cell r="BN24">
            <v>102.4</v>
          </cell>
          <cell r="BO24">
            <v>103</v>
          </cell>
          <cell r="BP24">
            <v>105.6</v>
          </cell>
          <cell r="BQ24" t="str">
            <v>Pretax Inc</v>
          </cell>
          <cell r="BR24">
            <v>108</v>
          </cell>
          <cell r="BS24">
            <v>122</v>
          </cell>
          <cell r="BT24">
            <v>123</v>
          </cell>
          <cell r="BU24">
            <v>126</v>
          </cell>
          <cell r="BW24" t="str">
            <v>Pretax Inc</v>
          </cell>
          <cell r="BX24">
            <v>188.22300000000001</v>
          </cell>
          <cell r="BY24">
            <v>226.7</v>
          </cell>
          <cell r="BZ24">
            <v>243.1</v>
          </cell>
          <cell r="CA24">
            <v>108.37699999999995</v>
          </cell>
          <cell r="CB24">
            <v>243.8119999999999</v>
          </cell>
          <cell r="CC24">
            <v>269.60000000000002</v>
          </cell>
          <cell r="CD24">
            <v>283</v>
          </cell>
          <cell r="CE24">
            <v>329.58800000000008</v>
          </cell>
          <cell r="CG24" t="str">
            <v>Pretax Inc</v>
          </cell>
          <cell r="CH24">
            <v>286</v>
          </cell>
          <cell r="CI24">
            <v>318</v>
          </cell>
          <cell r="CJ24">
            <v>317</v>
          </cell>
          <cell r="CK24">
            <v>337</v>
          </cell>
          <cell r="CL24">
            <v>330</v>
          </cell>
          <cell r="CM24">
            <v>353</v>
          </cell>
          <cell r="CN24">
            <v>358</v>
          </cell>
          <cell r="CO24">
            <v>384</v>
          </cell>
          <cell r="CQ24" t="str">
            <v>Effective Tax Rate</v>
          </cell>
          <cell r="CR24">
            <v>0.34499999999999997</v>
          </cell>
          <cell r="CS24">
            <v>0.34399999999999997</v>
          </cell>
          <cell r="CT24">
            <v>0.33849000000000001</v>
          </cell>
          <cell r="CU24">
            <v>0.317</v>
          </cell>
          <cell r="CV24">
            <v>0.28999999999999998</v>
          </cell>
          <cell r="CW24">
            <v>0.33</v>
          </cell>
          <cell r="CX24">
            <v>0.215</v>
          </cell>
          <cell r="CY24">
            <v>0.25271739130434784</v>
          </cell>
          <cell r="DA24" t="str">
            <v>Effective Tax Rate</v>
          </cell>
          <cell r="DB24">
            <v>0.33250000000000002</v>
          </cell>
          <cell r="DC24">
            <v>0.33179723502304148</v>
          </cell>
          <cell r="DD24">
            <v>0.30885529157667385</v>
          </cell>
          <cell r="DE24">
            <v>0.33198380566801622</v>
          </cell>
          <cell r="DG24" t="str">
            <v>Aerospace</v>
          </cell>
          <cell r="DH24">
            <v>0.13413014608233731</v>
          </cell>
          <cell r="DI24">
            <v>0.15096618357487923</v>
          </cell>
          <cell r="DJ24">
            <v>0.16114790286975716</v>
          </cell>
          <cell r="DK24">
            <v>0.13002114164904863</v>
          </cell>
          <cell r="DL24">
            <v>0.15608180839612487</v>
          </cell>
          <cell r="DM24">
            <v>0.15557638238050608</v>
          </cell>
          <cell r="DN24">
            <v>0.15179392824287027</v>
          </cell>
          <cell r="DO24">
            <v>0.16263310745401743</v>
          </cell>
          <cell r="EB24" t="str">
            <v>Aerospace</v>
          </cell>
          <cell r="EF24">
            <v>0.12027310924369748</v>
          </cell>
          <cell r="EG24">
            <v>9.406919275123557E-2</v>
          </cell>
          <cell r="EH24">
            <v>0.16569267789618425</v>
          </cell>
        </row>
        <row r="25">
          <cell r="A25" t="str">
            <v>Eff Tax Rate</v>
          </cell>
          <cell r="B25">
            <v>0.23146357188910383</v>
          </cell>
          <cell r="C25">
            <v>-1.7650025214321685E-2</v>
          </cell>
          <cell r="D25">
            <v>6.0402684563758302E-2</v>
          </cell>
          <cell r="E25">
            <v>-7.7177508269018702E-2</v>
          </cell>
          <cell r="F25">
            <v>0.60063897763578278</v>
          </cell>
          <cell r="H25" t="str">
            <v>Eff Tax Rate</v>
          </cell>
          <cell r="I25">
            <v>0.38906250000000009</v>
          </cell>
          <cell r="K25" t="str">
            <v>Eff Tax Rate</v>
          </cell>
          <cell r="L25">
            <v>0.32</v>
          </cell>
          <cell r="M25">
            <v>0.34699999999999998</v>
          </cell>
          <cell r="N25">
            <v>0.35</v>
          </cell>
          <cell r="P25" t="str">
            <v>Eff Tax Rate</v>
          </cell>
          <cell r="Q25">
            <v>0.19819819819819801</v>
          </cell>
          <cell r="R25">
            <v>9.8949211908931703E-2</v>
          </cell>
          <cell r="S25">
            <v>0.26390977443608998</v>
          </cell>
          <cell r="T25">
            <v>0.337973704563032</v>
          </cell>
          <cell r="U25">
            <v>-1.0842021724855001E-19</v>
          </cell>
          <cell r="V25">
            <v>-2.5409836065573801E-2</v>
          </cell>
          <cell r="W25">
            <v>-0.14476386036961</v>
          </cell>
          <cell r="X25">
            <v>-0.10942956926658901</v>
          </cell>
          <cell r="Y25">
            <v>0.15148514851485101</v>
          </cell>
          <cell r="Z25">
            <v>-0.13075060532687699</v>
          </cell>
          <cell r="AA25">
            <v>6.8292682926829204E-2</v>
          </cell>
          <cell r="AB25">
            <v>3.8374717832957199E-2</v>
          </cell>
          <cell r="AC25">
            <v>3.2092426187419601E-2</v>
          </cell>
          <cell r="AD25">
            <v>-0.87179487179487203</v>
          </cell>
          <cell r="AE25">
            <v>-6.8435754189944104E-2</v>
          </cell>
          <cell r="AF25">
            <v>9.4091903719912495E-2</v>
          </cell>
          <cell r="AG25">
            <v>-0.517073170731707</v>
          </cell>
          <cell r="AH25">
            <v>0.362041467304625</v>
          </cell>
          <cell r="AI25">
            <v>-0.80722891566265098</v>
          </cell>
          <cell r="AJ25">
            <v>0.205798343330477</v>
          </cell>
          <cell r="AK25">
            <v>-0.42365645404319402</v>
          </cell>
          <cell r="AL25">
            <v>1.03576158940397</v>
          </cell>
          <cell r="AM25">
            <v>-0.76</v>
          </cell>
          <cell r="AN25">
            <v>0.3</v>
          </cell>
          <cell r="AO25">
            <v>-1.8380281690140801</v>
          </cell>
          <cell r="AP25">
            <v>0.79045092838196296</v>
          </cell>
          <cell r="AR25" t="str">
            <v>Eff Tax Rate</v>
          </cell>
          <cell r="AS25">
            <v>0.32650000000000001</v>
          </cell>
          <cell r="AT25">
            <v>0.3</v>
          </cell>
          <cell r="AU25">
            <v>0.32700000000000001</v>
          </cell>
          <cell r="AV25">
            <v>0.33300000000000002</v>
          </cell>
          <cell r="AW25" t="str">
            <v>Eff Tax Rate</v>
          </cell>
          <cell r="AX25">
            <v>0.34</v>
          </cell>
          <cell r="AY25">
            <v>0.34499999999999997</v>
          </cell>
          <cell r="AZ25">
            <v>0.35099999999999998</v>
          </cell>
          <cell r="BA25">
            <v>0.35135353535353497</v>
          </cell>
          <cell r="BB25" t="str">
            <v>Eff Tax Rate</v>
          </cell>
          <cell r="BC25">
            <v>0.35</v>
          </cell>
          <cell r="BD25">
            <v>0.35</v>
          </cell>
          <cell r="BE25">
            <v>0.35</v>
          </cell>
          <cell r="BF25">
            <v>0.35</v>
          </cell>
          <cell r="BG25" t="str">
            <v>Eff Tax Rate</v>
          </cell>
          <cell r="BH25">
            <v>0.35</v>
          </cell>
          <cell r="BI25">
            <v>0.34399999999999997</v>
          </cell>
          <cell r="BJ25">
            <v>0.33300000000000002</v>
          </cell>
          <cell r="BK25">
            <v>0.337238341968912</v>
          </cell>
          <cell r="BL25" t="str">
            <v>Eff Tax Rate</v>
          </cell>
          <cell r="BM25">
            <v>0.33800000000000002</v>
          </cell>
          <cell r="BN25">
            <v>0.34</v>
          </cell>
          <cell r="BO25">
            <v>0.34</v>
          </cell>
          <cell r="BP25">
            <v>0.341856060606061</v>
          </cell>
          <cell r="BQ25" t="str">
            <v>Eff Tax Rate</v>
          </cell>
          <cell r="BR25">
            <v>0.34</v>
          </cell>
          <cell r="BS25">
            <v>0.34399999999999997</v>
          </cell>
          <cell r="BT25">
            <v>0.33700000000000002</v>
          </cell>
          <cell r="BU25">
            <v>0.34</v>
          </cell>
          <cell r="BW25" t="str">
            <v>Eff Tax Rate</v>
          </cell>
          <cell r="BX25">
            <v>0.34951520271167713</v>
          </cell>
          <cell r="BY25">
            <v>0.34883193647992938</v>
          </cell>
          <cell r="BZ25">
            <v>0.34570000000000001</v>
          </cell>
          <cell r="CA25">
            <v>0.36329664043108756</v>
          </cell>
          <cell r="CB25">
            <v>0.35</v>
          </cell>
          <cell r="CC25">
            <v>0.35399999999999998</v>
          </cell>
          <cell r="CD25">
            <v>0.35299999999999998</v>
          </cell>
          <cell r="CE25">
            <v>0.39129701324077337</v>
          </cell>
          <cell r="CG25" t="str">
            <v>Eff Tax Rate</v>
          </cell>
          <cell r="CH25">
            <v>0.35799999999999998</v>
          </cell>
          <cell r="CI25">
            <v>0.36</v>
          </cell>
          <cell r="CJ25">
            <v>0.35599999999999998</v>
          </cell>
          <cell r="CK25">
            <v>0.35699999999999998</v>
          </cell>
          <cell r="CL25">
            <v>0.35799999999999998</v>
          </cell>
          <cell r="CM25">
            <v>0.35799999999999998</v>
          </cell>
          <cell r="CN25">
            <v>0.36</v>
          </cell>
          <cell r="CO25">
            <v>0.36</v>
          </cell>
          <cell r="CQ25" t="str">
            <v>Pretax Margin</v>
          </cell>
          <cell r="CR25">
            <v>0.11411992263056092</v>
          </cell>
          <cell r="CS25">
            <v>0.1183685111237878</v>
          </cell>
          <cell r="CT25">
            <v>0.1281973203410475</v>
          </cell>
          <cell r="CU25">
            <v>0.10005279831045406</v>
          </cell>
          <cell r="CV25">
            <v>9.0640684971951574E-2</v>
          </cell>
          <cell r="CW25">
            <v>9.1889117043121152E-2</v>
          </cell>
          <cell r="CX25">
            <v>7.2789896670493681E-2</v>
          </cell>
          <cell r="CY25">
            <v>7.7784823504544492E-2</v>
          </cell>
          <cell r="DA25" t="str">
            <v>Pretax Margin</v>
          </cell>
          <cell r="DB25">
            <v>8.5449849332759356E-2</v>
          </cell>
          <cell r="DC25">
            <v>9.3293207222699917E-2</v>
          </cell>
          <cell r="DD25">
            <v>9.9634172584463096E-2</v>
          </cell>
          <cell r="DE25">
            <v>9.7501523461304085E-2</v>
          </cell>
          <cell r="DG25" t="str">
            <v>Resources/Corporate</v>
          </cell>
          <cell r="EB25" t="str">
            <v>Resources/Corporate</v>
          </cell>
          <cell r="EC25">
            <v>-0.10638297872340426</v>
          </cell>
          <cell r="ED25">
            <v>-0.14285714285714285</v>
          </cell>
          <cell r="EE25">
            <v>-1.3452914798206279E-2</v>
          </cell>
          <cell r="EF25">
            <v>0.10330578512396695</v>
          </cell>
          <cell r="EG25">
            <v>0.13559322033898305</v>
          </cell>
          <cell r="EH25">
            <v>0.184</v>
          </cell>
        </row>
        <row r="26">
          <cell r="CG26" t="str">
            <v>Pretax Margin</v>
          </cell>
          <cell r="CH26">
            <v>0.11233307148468186</v>
          </cell>
          <cell r="CI26">
            <v>0.1215131830340084</v>
          </cell>
          <cell r="CJ26">
            <v>0.1266986410871303</v>
          </cell>
          <cell r="CK26">
            <v>0.12765151515151515</v>
          </cell>
          <cell r="CL26">
            <v>0.12345679012345678</v>
          </cell>
          <cell r="CM26">
            <v>0.11917623227548954</v>
          </cell>
          <cell r="CN26">
            <v>0.11854304635761589</v>
          </cell>
          <cell r="CO26">
            <v>0.11297440423654016</v>
          </cell>
          <cell r="DG26" t="str">
            <v>Total Operating Profit Margin</v>
          </cell>
          <cell r="DH26">
            <v>9.6395641240569985E-2</v>
          </cell>
          <cell r="DI26">
            <v>0.10492505353319058</v>
          </cell>
          <cell r="DJ26">
            <v>0.10844964164466239</v>
          </cell>
          <cell r="DK26">
            <v>0.10617626648160999</v>
          </cell>
          <cell r="DL26">
            <v>0.10746483952398125</v>
          </cell>
          <cell r="DM26">
            <v>0.10936973373778228</v>
          </cell>
          <cell r="DN26">
            <v>0.11155050255396276</v>
          </cell>
          <cell r="DO26">
            <v>0.1079214000614062</v>
          </cell>
          <cell r="EB26" t="str">
            <v>Total Op Profit Margin</v>
          </cell>
          <cell r="EC26">
            <v>0.10497056899934598</v>
          </cell>
          <cell r="ED26">
            <v>0.10270622758395827</v>
          </cell>
          <cell r="EE26">
            <v>9.8575816810946668E-2</v>
          </cell>
          <cell r="EF26">
            <v>0.11311992038480677</v>
          </cell>
          <cell r="EG26">
            <v>0.10357000663570007</v>
          </cell>
          <cell r="EH26">
            <v>0.12702310525728319</v>
          </cell>
        </row>
        <row r="27">
          <cell r="CQ27" t="str">
            <v>Net Income</v>
          </cell>
          <cell r="CR27">
            <v>231.87</v>
          </cell>
          <cell r="CS27">
            <v>272.24</v>
          </cell>
          <cell r="CT27">
            <v>278.49571000000003</v>
          </cell>
          <cell r="CU27">
            <v>258.85700000000003</v>
          </cell>
          <cell r="CV27">
            <v>217.97</v>
          </cell>
          <cell r="CW27">
            <v>239.85999999999999</v>
          </cell>
          <cell r="CX27">
            <v>248.845</v>
          </cell>
          <cell r="CY27">
            <v>275</v>
          </cell>
          <cell r="DA27" t="str">
            <v>Net Income</v>
          </cell>
          <cell r="DB27">
            <v>264.9975</v>
          </cell>
          <cell r="DC27">
            <v>290</v>
          </cell>
          <cell r="DD27">
            <v>320.00000000000006</v>
          </cell>
          <cell r="DE27">
            <v>320.64777327935224</v>
          </cell>
          <cell r="DG27" t="str">
            <v>Interest, net</v>
          </cell>
          <cell r="DH27">
            <v>-34</v>
          </cell>
          <cell r="DI27">
            <v>-29</v>
          </cell>
          <cell r="DJ27">
            <v>-30</v>
          </cell>
          <cell r="DK27">
            <v>-25</v>
          </cell>
          <cell r="DL27">
            <v>-17</v>
          </cell>
          <cell r="DM27">
            <v>-23</v>
          </cell>
          <cell r="DN27">
            <v>-34</v>
          </cell>
          <cell r="DO27">
            <v>-27</v>
          </cell>
          <cell r="EB27" t="str">
            <v>Interest, net</v>
          </cell>
          <cell r="EC27">
            <v>22</v>
          </cell>
          <cell r="ED27">
            <v>54.5</v>
          </cell>
          <cell r="EE27">
            <v>55</v>
          </cell>
          <cell r="EF27">
            <v>16</v>
          </cell>
          <cell r="EG27">
            <v>-17</v>
          </cell>
          <cell r="EH27">
            <v>-34</v>
          </cell>
        </row>
        <row r="28">
          <cell r="A28" t="str">
            <v>Net Income</v>
          </cell>
          <cell r="B28">
            <v>357.6</v>
          </cell>
          <cell r="C28">
            <v>403.6</v>
          </cell>
          <cell r="D28">
            <v>294</v>
          </cell>
          <cell r="E28">
            <v>293.10000000000002</v>
          </cell>
          <cell r="F28">
            <v>-125</v>
          </cell>
          <cell r="H28" t="str">
            <v>Net Income</v>
          </cell>
          <cell r="I28">
            <v>117.29999999999998</v>
          </cell>
          <cell r="K28" t="str">
            <v>Net Income</v>
          </cell>
          <cell r="L28">
            <v>210.8</v>
          </cell>
          <cell r="M28">
            <v>269.68900000000002</v>
          </cell>
          <cell r="N28">
            <v>222.95</v>
          </cell>
          <cell r="P28" t="str">
            <v>Net Income</v>
          </cell>
          <cell r="Q28">
            <v>71.2</v>
          </cell>
          <cell r="R28">
            <v>102.9</v>
          </cell>
          <cell r="S28">
            <v>97.9</v>
          </cell>
          <cell r="T28">
            <v>85.6</v>
          </cell>
          <cell r="U28">
            <v>105.4</v>
          </cell>
          <cell r="V28">
            <v>125.1</v>
          </cell>
          <cell r="W28">
            <v>111.5</v>
          </cell>
          <cell r="X28">
            <v>95.3</v>
          </cell>
          <cell r="Y28">
            <v>85.7</v>
          </cell>
          <cell r="Z28">
            <v>46.7</v>
          </cell>
          <cell r="AA28">
            <v>76.400000000000006</v>
          </cell>
          <cell r="AB28">
            <v>85.2</v>
          </cell>
          <cell r="AC28">
            <v>75.400000000000006</v>
          </cell>
          <cell r="AD28">
            <v>58.4</v>
          </cell>
          <cell r="AE28">
            <v>76.5</v>
          </cell>
          <cell r="AF28">
            <v>82.8</v>
          </cell>
          <cell r="AG28">
            <v>62.2</v>
          </cell>
          <cell r="AH28">
            <v>-240</v>
          </cell>
          <cell r="AI28">
            <v>60</v>
          </cell>
          <cell r="AJ28">
            <v>-556.1</v>
          </cell>
          <cell r="AK28">
            <v>-566.9</v>
          </cell>
          <cell r="AL28">
            <v>10.8</v>
          </cell>
          <cell r="AM28">
            <v>44</v>
          </cell>
          <cell r="AN28">
            <v>1.4</v>
          </cell>
          <cell r="AO28">
            <v>40.299999999999997</v>
          </cell>
          <cell r="AP28">
            <v>31.6</v>
          </cell>
          <cell r="AR28" t="str">
            <v>Net Income</v>
          </cell>
          <cell r="AS28">
            <v>43.777500000000003</v>
          </cell>
          <cell r="AT28">
            <v>49</v>
          </cell>
          <cell r="AU28">
            <v>43.072000000000003</v>
          </cell>
          <cell r="AV28">
            <v>44</v>
          </cell>
          <cell r="AW28" t="str">
            <v>Net Income</v>
          </cell>
          <cell r="AX28">
            <v>66.66</v>
          </cell>
          <cell r="AY28">
            <v>62.88</v>
          </cell>
          <cell r="AZ28">
            <v>75.933000000000007</v>
          </cell>
          <cell r="BA28">
            <v>64.215999999999994</v>
          </cell>
          <cell r="BB28" t="str">
            <v>Net Income</v>
          </cell>
          <cell r="BC28">
            <v>54.34</v>
          </cell>
          <cell r="BD28">
            <v>53.3</v>
          </cell>
          <cell r="BE28">
            <v>53.95</v>
          </cell>
          <cell r="BF28">
            <v>61.36</v>
          </cell>
          <cell r="BG28" t="str">
            <v>Net Income</v>
          </cell>
          <cell r="BH28">
            <v>59.8</v>
          </cell>
          <cell r="BI28">
            <v>61.008000000000003</v>
          </cell>
          <cell r="BJ28">
            <v>62.030999999999999</v>
          </cell>
          <cell r="BK28">
            <v>63.956499999999998</v>
          </cell>
          <cell r="BL28" t="str">
            <v>Net Income</v>
          </cell>
          <cell r="BM28">
            <v>64.876000000000005</v>
          </cell>
          <cell r="BN28">
            <v>67.584000000000003</v>
          </cell>
          <cell r="BO28">
            <v>67.98</v>
          </cell>
          <cell r="BP28">
            <v>69.5</v>
          </cell>
          <cell r="BQ28" t="str">
            <v>Net Income</v>
          </cell>
          <cell r="BR28">
            <v>71.28</v>
          </cell>
          <cell r="BS28">
            <v>80.031999999999996</v>
          </cell>
          <cell r="BT28">
            <v>81.549000000000007</v>
          </cell>
          <cell r="BU28">
            <v>83.278999999999996</v>
          </cell>
          <cell r="BW28" t="str">
            <v>Net Income</v>
          </cell>
          <cell r="BX28">
            <v>122.43620000000001</v>
          </cell>
          <cell r="BY28">
            <v>147.6198</v>
          </cell>
          <cell r="BZ28">
            <v>159.06032999999999</v>
          </cell>
          <cell r="CA28">
            <v>69.003999999999991</v>
          </cell>
          <cell r="CB28">
            <v>158.47779999999995</v>
          </cell>
          <cell r="CC28">
            <v>172.81</v>
          </cell>
          <cell r="CD28">
            <v>183.101</v>
          </cell>
          <cell r="CE28">
            <v>200.62120000000004</v>
          </cell>
          <cell r="CG28" t="str">
            <v>Net Income</v>
          </cell>
          <cell r="CH28">
            <v>183.61199999999999</v>
          </cell>
          <cell r="CI28">
            <v>203.52</v>
          </cell>
          <cell r="CJ28">
            <v>204.148</v>
          </cell>
          <cell r="CK28">
            <v>216.691</v>
          </cell>
          <cell r="CL28">
            <v>211.86</v>
          </cell>
          <cell r="CM28">
            <v>226.626</v>
          </cell>
          <cell r="CN28">
            <v>229.12</v>
          </cell>
          <cell r="CO28">
            <v>245.76</v>
          </cell>
          <cell r="CQ28" t="str">
            <v>Net Margin</v>
          </cell>
          <cell r="CR28">
            <v>7.4748549323017416E-2</v>
          </cell>
          <cell r="CS28">
            <v>7.7649743297204796E-2</v>
          </cell>
          <cell r="CT28">
            <v>8.4803809378806341E-2</v>
          </cell>
          <cell r="CU28">
            <v>6.8336061246040136E-2</v>
          </cell>
          <cell r="CV28">
            <v>6.4354886330085626E-2</v>
          </cell>
          <cell r="CW28">
            <v>6.1565708418891169E-2</v>
          </cell>
          <cell r="CX28">
            <v>5.714006888633754E-2</v>
          </cell>
          <cell r="CY28">
            <v>5.812724582540689E-2</v>
          </cell>
          <cell r="DA28" t="str">
            <v>Net Margin</v>
          </cell>
          <cell r="DB28">
            <v>5.7037774429616876E-2</v>
          </cell>
          <cell r="DC28">
            <v>6.2338779019776441E-2</v>
          </cell>
          <cell r="DD28">
            <v>6.8861631159888109E-2</v>
          </cell>
          <cell r="DE28">
            <v>6.5132596644190993E-2</v>
          </cell>
          <cell r="DG28" t="str">
            <v>Other, net</v>
          </cell>
          <cell r="DH28">
            <v>-1</v>
          </cell>
          <cell r="DI28">
            <v>1</v>
          </cell>
          <cell r="DJ28">
            <v>-4</v>
          </cell>
          <cell r="DK28">
            <v>12</v>
          </cell>
          <cell r="DL28">
            <v>0</v>
          </cell>
          <cell r="DM28">
            <v>2</v>
          </cell>
          <cell r="DN28">
            <v>1</v>
          </cell>
          <cell r="DO28">
            <v>0</v>
          </cell>
          <cell r="EB28" t="str">
            <v>Other, net</v>
          </cell>
          <cell r="EC28">
            <v>0</v>
          </cell>
          <cell r="ED28">
            <v>5</v>
          </cell>
          <cell r="EE28">
            <v>1</v>
          </cell>
          <cell r="EF28">
            <v>-3</v>
          </cell>
          <cell r="EG28">
            <v>3</v>
          </cell>
          <cell r="EH28">
            <v>22</v>
          </cell>
        </row>
        <row r="29">
          <cell r="CG29" t="str">
            <v>Net Margin</v>
          </cell>
          <cell r="CH29">
            <v>7.2117831893165743E-2</v>
          </cell>
          <cell r="CI29">
            <v>7.7768437141765387E-2</v>
          </cell>
          <cell r="CJ29">
            <v>8.159392486011191E-2</v>
          </cell>
          <cell r="CK29">
            <v>8.2079924242424246E-2</v>
          </cell>
          <cell r="CL29">
            <v>7.9259259259259265E-2</v>
          </cell>
          <cell r="CM29">
            <v>7.6511141120864282E-2</v>
          </cell>
          <cell r="CN29">
            <v>7.5867549668874171E-2</v>
          </cell>
          <cell r="CO29">
            <v>7.23036187113857E-2</v>
          </cell>
          <cell r="CQ29" t="str">
            <v xml:space="preserve">  % Change Y/Y</v>
          </cell>
          <cell r="CR29">
            <v>9.4449164542622435E-2</v>
          </cell>
          <cell r="CS29">
            <v>0.20127434627977375</v>
          </cell>
          <cell r="CT29">
            <v>0.21550152758379901</v>
          </cell>
          <cell r="CU29">
            <v>5.3291829427083486E-2</v>
          </cell>
          <cell r="CV29">
            <v>-5.994738431017383E-2</v>
          </cell>
          <cell r="CW29">
            <v>-0.11893917131942412</v>
          </cell>
          <cell r="CX29">
            <v>-0.10646738508108447</v>
          </cell>
          <cell r="CY29">
            <v>6.2362617197912244E-2</v>
          </cell>
          <cell r="DA29" t="str">
            <v>% Ch Y/Y</v>
          </cell>
          <cell r="DB29">
            <v>0.21575216772950409</v>
          </cell>
          <cell r="DC29">
            <v>0.20903860585341458</v>
          </cell>
          <cell r="DD29">
            <v>0.28594104764009748</v>
          </cell>
          <cell r="DE29">
            <v>0.16599190283400814</v>
          </cell>
          <cell r="DG29" t="str">
            <v>Pretax Income</v>
          </cell>
          <cell r="DH29">
            <v>425</v>
          </cell>
          <cell r="DI29">
            <v>511</v>
          </cell>
          <cell r="DJ29">
            <v>541</v>
          </cell>
          <cell r="DK29">
            <v>599</v>
          </cell>
          <cell r="DL29">
            <v>579</v>
          </cell>
          <cell r="DM29">
            <v>628</v>
          </cell>
          <cell r="DN29">
            <v>644</v>
          </cell>
          <cell r="DO29">
            <v>676</v>
          </cell>
          <cell r="EB29" t="str">
            <v>Pretax Income</v>
          </cell>
          <cell r="EC29">
            <v>343</v>
          </cell>
          <cell r="ED29">
            <v>374.5</v>
          </cell>
          <cell r="EE29">
            <v>409</v>
          </cell>
          <cell r="EF29">
            <v>695</v>
          </cell>
          <cell r="EG29">
            <v>766.4</v>
          </cell>
          <cell r="EH29">
            <v>1126</v>
          </cell>
        </row>
        <row r="30">
          <cell r="CG30" t="str">
            <v xml:space="preserve">  % Change Y/Y</v>
          </cell>
          <cell r="CH30">
            <v>0.15859760799304423</v>
          </cell>
          <cell r="CI30">
            <v>0.17641618497109834</v>
          </cell>
          <cell r="CJ30">
            <v>0.11494748799842713</v>
          </cell>
          <cell r="CK30">
            <v>8.1124096448057958E-2</v>
          </cell>
          <cell r="CL30">
            <v>0.15384615384615397</v>
          </cell>
          <cell r="CM30">
            <v>0.11353183962264148</v>
          </cell>
          <cell r="CN30">
            <v>0.12232302055371598</v>
          </cell>
          <cell r="CO30">
            <v>0.13414954935830278</v>
          </cell>
          <cell r="DG30" t="str">
            <v>Effective Tax Rate</v>
          </cell>
          <cell r="DH30">
            <v>0.16941176470588235</v>
          </cell>
          <cell r="DI30">
            <v>0.33855185909980429</v>
          </cell>
          <cell r="DJ30">
            <v>0.32717190388170053</v>
          </cell>
          <cell r="DK30">
            <v>0.335559265442404</v>
          </cell>
          <cell r="DL30">
            <v>0.33160621761658032</v>
          </cell>
          <cell r="DM30">
            <v>0.33121019108280253</v>
          </cell>
          <cell r="DN30">
            <v>0.31677018633540371</v>
          </cell>
          <cell r="DO30">
            <v>0.3150887573964497</v>
          </cell>
          <cell r="EB30" t="str">
            <v>Effective Tax Rate</v>
          </cell>
          <cell r="EC30">
            <v>0.35</v>
          </cell>
          <cell r="ED30">
            <v>0.34100000000000003</v>
          </cell>
          <cell r="EE30">
            <v>0.34</v>
          </cell>
          <cell r="EF30">
            <v>0.19500000000000001</v>
          </cell>
          <cell r="EG30">
            <v>0.35299999999999998</v>
          </cell>
          <cell r="EH30">
            <v>0.36499999999999999</v>
          </cell>
        </row>
        <row r="31">
          <cell r="Q31" t="str">
            <v>====</v>
          </cell>
          <cell r="R31" t="str">
            <v>====</v>
          </cell>
          <cell r="S31" t="str">
            <v>====</v>
          </cell>
          <cell r="T31" t="str">
            <v>====</v>
          </cell>
          <cell r="U31" t="str">
            <v>====</v>
          </cell>
          <cell r="V31" t="str">
            <v>====</v>
          </cell>
          <cell r="W31" t="str">
            <v>====</v>
          </cell>
          <cell r="X31" t="str">
            <v>====</v>
          </cell>
          <cell r="Y31" t="str">
            <v>====</v>
          </cell>
          <cell r="Z31" t="str">
            <v>====</v>
          </cell>
          <cell r="AA31" t="str">
            <v>====</v>
          </cell>
          <cell r="AB31" t="str">
            <v>====</v>
          </cell>
          <cell r="AC31" t="str">
            <v>====</v>
          </cell>
          <cell r="AD31" t="str">
            <v>====</v>
          </cell>
          <cell r="AE31" t="str">
            <v>====</v>
          </cell>
          <cell r="AF31" t="str">
            <v>====</v>
          </cell>
          <cell r="AG31" t="str">
            <v>====</v>
          </cell>
          <cell r="AH31" t="str">
            <v>====</v>
          </cell>
          <cell r="AI31" t="str">
            <v>====</v>
          </cell>
          <cell r="AJ31" t="str">
            <v>====</v>
          </cell>
          <cell r="AK31" t="str">
            <v>====</v>
          </cell>
          <cell r="AL31" t="str">
            <v>====</v>
          </cell>
          <cell r="AM31" t="str">
            <v>====</v>
          </cell>
          <cell r="AN31" t="str">
            <v>====</v>
          </cell>
          <cell r="AO31" t="str">
            <v>====</v>
          </cell>
          <cell r="AP31" t="str">
            <v>====</v>
          </cell>
          <cell r="AS31" t="str">
            <v>====</v>
          </cell>
          <cell r="AT31" t="str">
            <v>====</v>
          </cell>
          <cell r="AU31" t="str">
            <v>====</v>
          </cell>
          <cell r="AV31" t="str">
            <v>====</v>
          </cell>
          <cell r="AX31" t="str">
            <v>====</v>
          </cell>
          <cell r="AY31" t="str">
            <v>====</v>
          </cell>
          <cell r="AZ31" t="str">
            <v>====</v>
          </cell>
          <cell r="BA31" t="str">
            <v>====</v>
          </cell>
          <cell r="CQ31" t="str">
            <v>EPS from Continued Operations</v>
          </cell>
          <cell r="CR31">
            <v>1.1439072520966946</v>
          </cell>
          <cell r="CS31">
            <v>1.3358194308145239</v>
          </cell>
          <cell r="CT31">
            <v>1.3712245691777452</v>
          </cell>
          <cell r="CU31">
            <v>1.2802027695351139</v>
          </cell>
          <cell r="CV31">
            <v>1.0914872308462695</v>
          </cell>
          <cell r="CW31">
            <v>1.2077542799597181</v>
          </cell>
          <cell r="CX31">
            <v>1.2503391584849917</v>
          </cell>
          <cell r="CY31">
            <v>1.3780759758241174</v>
          </cell>
          <cell r="DA31" t="str">
            <v>EPS, Cont. Ops</v>
          </cell>
          <cell r="DB31">
            <v>0.66149098919457006</v>
          </cell>
          <cell r="DC31">
            <v>0.72139303482587069</v>
          </cell>
          <cell r="DD31">
            <v>0.79265871992611958</v>
          </cell>
          <cell r="DE31">
            <v>0.79141922259092146</v>
          </cell>
          <cell r="DG31" t="str">
            <v>Pretax Margin</v>
          </cell>
          <cell r="DH31">
            <v>8.9061190276613578E-2</v>
          </cell>
          <cell r="DI31">
            <v>9.947440140159626E-2</v>
          </cell>
          <cell r="DJ31">
            <v>0.1020369671821954</v>
          </cell>
          <cell r="DK31">
            <v>0.10392088827203332</v>
          </cell>
          <cell r="DL31">
            <v>0.10439956725567977</v>
          </cell>
          <cell r="DM31">
            <v>0.10583080552746882</v>
          </cell>
          <cell r="DN31">
            <v>0.10611303344867359</v>
          </cell>
          <cell r="DO31">
            <v>0.10377648142462388</v>
          </cell>
          <cell r="EB31" t="str">
            <v>Pretax Margin</v>
          </cell>
          <cell r="EC31">
            <v>0.11216481360366252</v>
          </cell>
          <cell r="ED31">
            <v>0.1221062927942615</v>
          </cell>
          <cell r="EE31">
            <v>0.11421390672996369</v>
          </cell>
          <cell r="EF31">
            <v>0.11527616520152596</v>
          </cell>
          <cell r="EG31">
            <v>0.1017120106171201</v>
          </cell>
          <cell r="EH31">
            <v>0.1256836700524612</v>
          </cell>
        </row>
        <row r="32">
          <cell r="A32" t="str">
            <v>EPS-Core</v>
          </cell>
          <cell r="B32">
            <v>8.3820685613829493</v>
          </cell>
          <cell r="C32">
            <v>9.4700000000000006</v>
          </cell>
          <cell r="D32">
            <v>7.0022003553092098</v>
          </cell>
          <cell r="E32">
            <v>7.0091582619072295</v>
          </cell>
          <cell r="F32">
            <v>-15.34</v>
          </cell>
          <cell r="H32" t="str">
            <v>EPS</v>
          </cell>
          <cell r="I32">
            <v>2.7406542056074765</v>
          </cell>
          <cell r="K32" t="str">
            <v>EPS</v>
          </cell>
          <cell r="L32">
            <v>1.394179894179894</v>
          </cell>
          <cell r="M32">
            <v>2.133615506329114</v>
          </cell>
          <cell r="N32">
            <v>1.7582807570977919</v>
          </cell>
          <cell r="P32" t="str">
            <v>EPS-Core</v>
          </cell>
          <cell r="Q32">
            <v>1.67136150234742</v>
          </cell>
          <cell r="R32">
            <v>2.4126611957796</v>
          </cell>
          <cell r="S32">
            <v>2.2911303533816998</v>
          </cell>
          <cell r="T32">
            <v>2.00609327396297</v>
          </cell>
          <cell r="U32">
            <v>2.4454756380510401</v>
          </cell>
          <cell r="V32">
            <v>2.9228971962616801</v>
          </cell>
          <cell r="W32">
            <v>2.6173708920187799</v>
          </cell>
          <cell r="X32">
            <v>2.2636579572446598</v>
          </cell>
          <cell r="Y32">
            <v>2.0404761904761899</v>
          </cell>
          <cell r="Z32">
            <v>1.1092636579572399</v>
          </cell>
          <cell r="AA32">
            <v>1.8190476190476199</v>
          </cell>
          <cell r="AB32">
            <v>2.0334128878281601</v>
          </cell>
          <cell r="AC32">
            <v>1.8081534772182299</v>
          </cell>
          <cell r="AD32">
            <v>1.39</v>
          </cell>
          <cell r="AE32">
            <v>1.8301435406698601</v>
          </cell>
          <cell r="AF32">
            <v>1.98086124401914</v>
          </cell>
          <cell r="AK32">
            <v>-13.594724220623499</v>
          </cell>
          <cell r="AL32">
            <v>0.88249400479616202</v>
          </cell>
          <cell r="AM32">
            <v>1.0551558752997601</v>
          </cell>
          <cell r="AN32">
            <v>3.3412887828162298E-2</v>
          </cell>
          <cell r="AO32">
            <v>0.9618138424821</v>
          </cell>
          <cell r="AP32">
            <v>0.75363701407107098</v>
          </cell>
          <cell r="AR32" t="str">
            <v>EPS</v>
          </cell>
          <cell r="AS32">
            <v>1.0086981566820299</v>
          </cell>
          <cell r="AT32">
            <v>1.1192325262677001</v>
          </cell>
          <cell r="AU32">
            <v>1.3544654088050301</v>
          </cell>
          <cell r="AV32">
            <v>1.41479099678457</v>
          </cell>
          <cell r="AW32" t="str">
            <v>EPS</v>
          </cell>
          <cell r="AX32">
            <v>1.05809523809524</v>
          </cell>
          <cell r="AY32">
            <v>0.99493670886075902</v>
          </cell>
          <cell r="AZ32">
            <v>1.2014715189873399</v>
          </cell>
          <cell r="BA32">
            <v>1.0128706624605699</v>
          </cell>
          <cell r="BB32" t="str">
            <v>EPS</v>
          </cell>
          <cell r="BC32">
            <v>0.85306122448979604</v>
          </cell>
          <cell r="BD32">
            <v>0.83937007874015701</v>
          </cell>
          <cell r="BE32">
            <v>0.85229067930489699</v>
          </cell>
          <cell r="BF32">
            <v>-0.78782678946944495</v>
          </cell>
          <cell r="BG32" t="str">
            <v>EPS</v>
          </cell>
          <cell r="BH32">
            <v>0.94620253164557</v>
          </cell>
          <cell r="BI32">
            <v>0.96531645569620295</v>
          </cell>
          <cell r="BJ32">
            <v>0.979952606635071</v>
          </cell>
          <cell r="BK32">
            <v>0.5059849683544303</v>
          </cell>
          <cell r="BL32" t="str">
            <v>EPS</v>
          </cell>
          <cell r="BM32">
            <v>0.51325949367088597</v>
          </cell>
          <cell r="BN32">
            <v>0.53</v>
          </cell>
          <cell r="BO32">
            <v>0.53866877971473803</v>
          </cell>
          <cell r="BP32">
            <v>0.54984177215189867</v>
          </cell>
          <cell r="BQ32" t="str">
            <v>EPS</v>
          </cell>
          <cell r="BR32">
            <v>0.56481774960380349</v>
          </cell>
          <cell r="BS32">
            <v>0.63923322683706074</v>
          </cell>
          <cell r="BT32">
            <v>0.64927547770700633</v>
          </cell>
          <cell r="BU32">
            <v>0.63989121146727135</v>
          </cell>
          <cell r="BW32" t="str">
            <v>EPS</v>
          </cell>
          <cell r="BX32">
            <v>0.60526583780309962</v>
          </cell>
          <cell r="BY32">
            <v>0.7257610619469026</v>
          </cell>
          <cell r="BZ32">
            <v>0.78548311111111113</v>
          </cell>
          <cell r="CA32">
            <v>0.75</v>
          </cell>
          <cell r="CB32">
            <v>0.78361253955696175</v>
          </cell>
          <cell r="CC32">
            <v>0.8559187716691431</v>
          </cell>
          <cell r="CD32">
            <v>0.90375616979269502</v>
          </cell>
          <cell r="CE32">
            <v>0.99023297137216215</v>
          </cell>
          <cell r="CG32" t="str">
            <v>EPS</v>
          </cell>
          <cell r="CH32">
            <v>0.90762234305486889</v>
          </cell>
          <cell r="CI32">
            <v>1.0085232903865213</v>
          </cell>
          <cell r="CJ32">
            <v>1.0176869391824526</v>
          </cell>
          <cell r="CK32">
            <v>1.073790882061447</v>
          </cell>
          <cell r="CL32">
            <v>1.0477744807121663</v>
          </cell>
          <cell r="CM32">
            <v>1.116384236453202</v>
          </cell>
          <cell r="CN32">
            <v>1.1253438113948919</v>
          </cell>
          <cell r="CO32">
            <v>-0.96569769859476029</v>
          </cell>
          <cell r="CQ32" t="str">
            <v>EPS-Disc. Opns</v>
          </cell>
          <cell r="CR32">
            <v>-0.01</v>
          </cell>
          <cell r="CS32">
            <v>-0.05</v>
          </cell>
          <cell r="CT32">
            <v>-0.05</v>
          </cell>
          <cell r="CU32">
            <v>-0.55000000000000004</v>
          </cell>
          <cell r="CX32">
            <v>3.5171991036166861E-2</v>
          </cell>
          <cell r="CY32">
            <v>2.0044741466532619E-2</v>
          </cell>
          <cell r="DA32" t="str">
            <v>EPS, Disc. Opns</v>
          </cell>
          <cell r="DB32">
            <v>9.9848638450486527E-3</v>
          </cell>
          <cell r="DC32">
            <v>2.4875621890547265E-2</v>
          </cell>
          <cell r="DD32">
            <v>4.954116999538247E-3</v>
          </cell>
          <cell r="DE32">
            <v>1.4999999999999999E-2</v>
          </cell>
        </row>
        <row r="33">
          <cell r="A33" t="str">
            <v>EPS-Non-Core</v>
          </cell>
          <cell r="D33">
            <v>42</v>
          </cell>
          <cell r="F33">
            <v>1.48</v>
          </cell>
          <cell r="H33" t="str">
            <v>EPS-Disc. Opns</v>
          </cell>
          <cell r="I33">
            <v>5.4</v>
          </cell>
          <cell r="K33" t="str">
            <v>EPS-Disc. Opns</v>
          </cell>
          <cell r="L33">
            <v>1.8</v>
          </cell>
          <cell r="M33">
            <v>-0.47</v>
          </cell>
          <cell r="N33">
            <v>0.12</v>
          </cell>
          <cell r="AK33">
            <v>0</v>
          </cell>
          <cell r="AL33">
            <v>0</v>
          </cell>
          <cell r="AM33">
            <v>0.31484412470023998</v>
          </cell>
          <cell r="AN33">
            <v>1.6565871121718401</v>
          </cell>
          <cell r="AO33">
            <v>0.74102422095696996</v>
          </cell>
          <cell r="AP33">
            <v>3.1963629859289302</v>
          </cell>
          <cell r="AR33" t="str">
            <v>EPS-Disc. Opns</v>
          </cell>
          <cell r="AS33">
            <v>0.82130184331797196</v>
          </cell>
          <cell r="AT33">
            <v>0.48</v>
          </cell>
          <cell r="AU33">
            <v>1.6</v>
          </cell>
          <cell r="AV33">
            <v>0.16</v>
          </cell>
          <cell r="AW33" t="str">
            <v>EPS-Disc. Opns</v>
          </cell>
          <cell r="AX33">
            <v>-0.39</v>
          </cell>
          <cell r="AY33">
            <v>-0.04</v>
          </cell>
          <cell r="AZ33">
            <v>-4.4999999999999998E-2</v>
          </cell>
          <cell r="BA33">
            <v>5.0000000000000504E-3</v>
          </cell>
          <cell r="BB33" t="str">
            <v>EPS-Disc. Opns</v>
          </cell>
          <cell r="BC33" t="str">
            <v xml:space="preserve"> </v>
          </cell>
          <cell r="BD33">
            <v>0.23622047244094499</v>
          </cell>
          <cell r="BG33" t="str">
            <v>EPS-Disc. Opns</v>
          </cell>
          <cell r="BI33">
            <v>0.33</v>
          </cell>
          <cell r="BJ33">
            <v>0.46</v>
          </cell>
          <cell r="BK33">
            <v>0.39</v>
          </cell>
          <cell r="BL33" t="str">
            <v>EPS-Disc. Opns</v>
          </cell>
          <cell r="BQ33" t="str">
            <v>EPS-Disc. Opns</v>
          </cell>
          <cell r="BW33" t="str">
            <v>EPS-Disc. Opns</v>
          </cell>
          <cell r="CB33">
            <v>0.82</v>
          </cell>
          <cell r="CG33" t="str">
            <v>EPS-Disc. Opns</v>
          </cell>
          <cell r="CJ33">
            <v>0.47</v>
          </cell>
          <cell r="CK33">
            <v>-0.24499999999999997</v>
          </cell>
          <cell r="CL33">
            <v>0.14000000000000001</v>
          </cell>
          <cell r="CQ33" t="str">
            <v>EPS, Reported (GAAP)</v>
          </cell>
          <cell r="CR33">
            <v>1.1339072520966946</v>
          </cell>
          <cell r="CS33">
            <v>1.2858194308145239</v>
          </cell>
          <cell r="CT33">
            <v>1.3212245691777451</v>
          </cell>
          <cell r="CU33">
            <v>0.73020276953511387</v>
          </cell>
          <cell r="CV33">
            <v>1.0914872308462695</v>
          </cell>
          <cell r="CW33">
            <v>1.2077542799597181</v>
          </cell>
          <cell r="CX33">
            <v>1.2855111495211586</v>
          </cell>
          <cell r="CY33">
            <v>-1.0715968798177866</v>
          </cell>
          <cell r="DA33" t="str">
            <v>EPS, Reported (GAAP)/ FAS123R</v>
          </cell>
          <cell r="DB33">
            <v>0.67147585303961876</v>
          </cell>
          <cell r="DC33">
            <v>0.74626865671641796</v>
          </cell>
          <cell r="DD33">
            <v>0.79761283692565776</v>
          </cell>
          <cell r="DE33">
            <v>0.80641922259092147</v>
          </cell>
          <cell r="DG33" t="str">
            <v>Net Income</v>
          </cell>
          <cell r="DH33">
            <v>353</v>
          </cell>
          <cell r="DI33">
            <v>338.00000000000006</v>
          </cell>
          <cell r="DJ33">
            <v>364.00000000000006</v>
          </cell>
          <cell r="DK33">
            <v>398</v>
          </cell>
          <cell r="DL33">
            <v>386.99999999999994</v>
          </cell>
          <cell r="DM33">
            <v>420.00000000000006</v>
          </cell>
          <cell r="DN33">
            <v>440</v>
          </cell>
          <cell r="DO33">
            <v>463</v>
          </cell>
          <cell r="EB33" t="str">
            <v>Net Income</v>
          </cell>
          <cell r="EC33">
            <v>222.95000000000002</v>
          </cell>
          <cell r="ED33">
            <v>246.7955</v>
          </cell>
          <cell r="EE33">
            <v>269.93999999999994</v>
          </cell>
          <cell r="EF33">
            <v>559.47499999999991</v>
          </cell>
          <cell r="EG33">
            <v>495.86079999999998</v>
          </cell>
          <cell r="EH33">
            <v>715.01</v>
          </cell>
        </row>
        <row r="34">
          <cell r="A34" t="str">
            <v>Total EPS</v>
          </cell>
          <cell r="C34">
            <v>9.4630715123094973</v>
          </cell>
          <cell r="E34">
            <v>7.0091582619072197</v>
          </cell>
          <cell r="F34">
            <v>-13.86</v>
          </cell>
          <cell r="H34" t="str">
            <v>Total EPS</v>
          </cell>
          <cell r="I34">
            <v>8.1406542056074773</v>
          </cell>
          <cell r="K34" t="str">
            <v>Total EPS</v>
          </cell>
          <cell r="L34">
            <v>3.1941798941798938</v>
          </cell>
          <cell r="M34">
            <v>1.663615506329114</v>
          </cell>
          <cell r="N34">
            <v>1.8782807570977917</v>
          </cell>
          <cell r="AG34">
            <v>1.4880382775119601</v>
          </cell>
          <cell r="AH34">
            <v>-5.7485029940119796</v>
          </cell>
          <cell r="AI34">
            <v>1.6348448687350801</v>
          </cell>
          <cell r="AJ34">
            <v>-12.712230215827301</v>
          </cell>
          <cell r="AK34">
            <v>-13.594724220623499</v>
          </cell>
          <cell r="AL34">
            <v>0.88249400479616202</v>
          </cell>
          <cell r="AM34">
            <v>1.37</v>
          </cell>
          <cell r="AN34">
            <v>1.69</v>
          </cell>
          <cell r="AO34">
            <v>1.7028380634390701</v>
          </cell>
          <cell r="AP34">
            <v>3.95</v>
          </cell>
          <cell r="AR34" t="str">
            <v>Total EPS</v>
          </cell>
          <cell r="AS34">
            <v>1.83</v>
          </cell>
          <cell r="AT34">
            <v>1.5992325262677001</v>
          </cell>
          <cell r="AU34">
            <v>2.9544654088050302</v>
          </cell>
          <cell r="AV34">
            <v>1.5747909967845699</v>
          </cell>
          <cell r="AW34" t="str">
            <v>Total EPS</v>
          </cell>
          <cell r="AX34">
            <v>0.66809523809523796</v>
          </cell>
          <cell r="AY34">
            <v>0.95493670886075999</v>
          </cell>
          <cell r="AZ34">
            <v>1.15647151898734</v>
          </cell>
          <cell r="BA34">
            <v>1.01787066246057</v>
          </cell>
          <cell r="BB34" t="str">
            <v>Total EPS</v>
          </cell>
          <cell r="BC34">
            <v>0.42653061224489797</v>
          </cell>
          <cell r="BD34">
            <v>0.41968503937007873</v>
          </cell>
          <cell r="BE34">
            <v>0.42614533965244872</v>
          </cell>
          <cell r="BF34">
            <v>0.48467614533965248</v>
          </cell>
          <cell r="BG34" t="str">
            <v>Total EPS</v>
          </cell>
          <cell r="BH34">
            <v>0.47310126582278478</v>
          </cell>
          <cell r="BI34">
            <v>0.48265822784810125</v>
          </cell>
          <cell r="BJ34">
            <v>0.48997630331753556</v>
          </cell>
          <cell r="BK34">
            <v>0.5059849683544303</v>
          </cell>
          <cell r="BL34" t="str">
            <v>Total EPS</v>
          </cell>
          <cell r="BM34">
            <v>0.51325949367088597</v>
          </cell>
          <cell r="BN34">
            <v>1.06</v>
          </cell>
          <cell r="BO34">
            <v>0.53866877971473803</v>
          </cell>
          <cell r="BP34">
            <v>0.54984177215189867</v>
          </cell>
          <cell r="BQ34" t="str">
            <v>Total EPS</v>
          </cell>
          <cell r="BR34">
            <v>0.56481774960380349</v>
          </cell>
          <cell r="BS34">
            <v>0.63923322683706074</v>
          </cell>
          <cell r="BT34">
            <v>0.64927547770700633</v>
          </cell>
          <cell r="BU34">
            <v>0.63989121146727135</v>
          </cell>
          <cell r="BW34" t="str">
            <v>Total EPS</v>
          </cell>
          <cell r="BX34">
            <v>0.60526583780309962</v>
          </cell>
          <cell r="BY34">
            <v>0.7257610619469026</v>
          </cell>
          <cell r="BZ34">
            <v>0.78548311111111113</v>
          </cell>
          <cell r="CA34">
            <v>-0.89034581699365534</v>
          </cell>
          <cell r="CB34">
            <v>1.6036125395569618</v>
          </cell>
          <cell r="CC34">
            <v>0.8559187716691431</v>
          </cell>
          <cell r="CD34">
            <v>0.90375616979269502</v>
          </cell>
          <cell r="CE34">
            <v>0.99461454767986401</v>
          </cell>
          <cell r="CG34" t="str">
            <v>Total EPS</v>
          </cell>
          <cell r="CH34">
            <v>0.90762234305486889</v>
          </cell>
          <cell r="CI34">
            <v>1.0085232903865213</v>
          </cell>
          <cell r="CJ34">
            <v>1.4876869391824525</v>
          </cell>
          <cell r="CK34">
            <v>-1.1696572124648763</v>
          </cell>
          <cell r="CL34">
            <v>1.1877744807121662</v>
          </cell>
          <cell r="CM34">
            <v>1.116384236453202</v>
          </cell>
          <cell r="CN34">
            <v>1.1253438113948919</v>
          </cell>
          <cell r="CO34">
            <v>-1.10569769859476</v>
          </cell>
          <cell r="CQ34" t="str">
            <v xml:space="preserve">  % Change</v>
          </cell>
          <cell r="CR34">
            <v>9.1749487274387018E-2</v>
          </cell>
          <cell r="CS34">
            <v>0.1965588434484497</v>
          </cell>
          <cell r="CT34">
            <v>0.21849389963595023</v>
          </cell>
          <cell r="CU34">
            <v>-2.3256765252708038</v>
          </cell>
          <cell r="CV34">
            <v>-4.582541211653586E-2</v>
          </cell>
          <cell r="CW34">
            <v>-9.5870106318724044E-2</v>
          </cell>
          <cell r="CX34">
            <v>-8.8158725718605252E-2</v>
          </cell>
          <cell r="CY34">
            <v>7.645133147504804E-2</v>
          </cell>
          <cell r="DA34" t="str">
            <v>% Ch Y/Y</v>
          </cell>
          <cell r="DB34">
            <v>-0.3939544407847152</v>
          </cell>
          <cell r="DC34">
            <v>-0.40269883800376088</v>
          </cell>
          <cell r="DD34">
            <v>-0.36604503302402636</v>
          </cell>
          <cell r="DE34">
            <v>-0.42570711885631946</v>
          </cell>
          <cell r="DG34" t="str">
            <v>Net Margin</v>
          </cell>
          <cell r="DH34">
            <v>7.3973176865046106E-2</v>
          </cell>
          <cell r="DI34">
            <v>6.5797157874245685E-2</v>
          </cell>
          <cell r="DJ34">
            <v>6.8653338362881941E-2</v>
          </cell>
          <cell r="DK34">
            <v>6.904927133934767E-2</v>
          </cell>
          <cell r="DL34">
            <v>6.9780021637216E-2</v>
          </cell>
          <cell r="DM34">
            <v>7.0778564206268962E-2</v>
          </cell>
          <cell r="DN34">
            <v>7.2499588070522328E-2</v>
          </cell>
          <cell r="DO34">
            <v>7.1077678845563402E-2</v>
          </cell>
          <cell r="EB34" t="str">
            <v>Net Margin</v>
          </cell>
          <cell r="EC34">
            <v>7.2907128842380653E-2</v>
          </cell>
          <cell r="ED34">
            <v>8.0468046951418321E-2</v>
          </cell>
          <cell r="EE34">
            <v>7.5381178441776026E-2</v>
          </cell>
          <cell r="EF34">
            <v>9.2797312987228375E-2</v>
          </cell>
          <cell r="EG34">
            <v>6.5807670869276705E-2</v>
          </cell>
          <cell r="EH34">
            <v>7.9809130483312868E-2</v>
          </cell>
        </row>
        <row r="35">
          <cell r="A35" t="str">
            <v xml:space="preserve">  %Chge.</v>
          </cell>
          <cell r="E35" t="str">
            <v xml:space="preserve"> </v>
          </cell>
          <cell r="H35" t="str">
            <v xml:space="preserve">  %Chge.</v>
          </cell>
          <cell r="I35" t="str">
            <v xml:space="preserve"> </v>
          </cell>
          <cell r="K35" t="str">
            <v xml:space="preserve">  %Chge.</v>
          </cell>
          <cell r="M35">
            <v>0.53037317152259023</v>
          </cell>
          <cell r="N35">
            <v>-0.58828214646598986</v>
          </cell>
          <cell r="P35" t="str">
            <v xml:space="preserve">  %Chge.</v>
          </cell>
          <cell r="U35">
            <v>0.46316379467660801</v>
          </cell>
          <cell r="V35">
            <v>0.211482657148307</v>
          </cell>
          <cell r="W35">
            <v>0.14239283162372199</v>
          </cell>
          <cell r="X35">
            <v>0.128391180322774</v>
          </cell>
          <cell r="Y35">
            <v>-0.16561172856239301</v>
          </cell>
          <cell r="Z35">
            <v>-0.62049173013133396</v>
          </cell>
          <cell r="AA35">
            <v>-0.30500960922485598</v>
          </cell>
          <cell r="AB35">
            <v>-0.10171371901819901</v>
          </cell>
          <cell r="AC35">
            <v>-0.113857105680683</v>
          </cell>
          <cell r="AD35">
            <v>0.25308351177730198</v>
          </cell>
          <cell r="AE35">
            <v>6.0998522007062999E-3</v>
          </cell>
          <cell r="AF35">
            <v>-2.5844059572747501E-2</v>
          </cell>
          <cell r="AR35" t="str">
            <v xml:space="preserve">  %Chge.</v>
          </cell>
          <cell r="AS35">
            <v>-4.4029246962714701E-2</v>
          </cell>
          <cell r="AT35">
            <v>32.497030607583397</v>
          </cell>
          <cell r="AU35">
            <v>0.40824071039530602</v>
          </cell>
          <cell r="AV35">
            <v>0.87728438275876097</v>
          </cell>
          <cell r="AW35" t="str">
            <v xml:space="preserve">  %Chge.</v>
          </cell>
          <cell r="AX35">
            <v>0.288314700257637</v>
          </cell>
          <cell r="AY35">
            <v>1.07278481012658</v>
          </cell>
          <cell r="AZ35">
            <v>-0.24908030063291101</v>
          </cell>
          <cell r="BA35">
            <v>5.3304416403785497</v>
          </cell>
          <cell r="BB35" t="str">
            <v xml:space="preserve">  %Chge.</v>
          </cell>
          <cell r="BC35">
            <v>-0.14259749701407301</v>
          </cell>
          <cell r="BD35">
            <v>-0.15635831780569401</v>
          </cell>
          <cell r="BE35">
            <v>-0.29062764631886701</v>
          </cell>
          <cell r="BF35">
            <v>-1.7739949863227</v>
          </cell>
          <cell r="BG35" t="str">
            <v xml:space="preserve">  %Chge.</v>
          </cell>
          <cell r="BH35">
            <v>0.10918478590030878</v>
          </cell>
          <cell r="BI35">
            <v>0.15004868549172357</v>
          </cell>
          <cell r="BJ35">
            <v>0.14978683966635753</v>
          </cell>
          <cell r="BK35">
            <v>4.3965074864257936E-2</v>
          </cell>
          <cell r="BL35" t="str">
            <v xml:space="preserve">  %Chge.</v>
          </cell>
          <cell r="BM35">
            <v>8.4882943143812506E-2</v>
          </cell>
          <cell r="BN35">
            <v>1.1961709939680043</v>
          </cell>
          <cell r="BO35">
            <v>9.9377206749622582E-2</v>
          </cell>
          <cell r="BP35">
            <v>8.6676100161828806E-2</v>
          </cell>
          <cell r="BQ35" t="str">
            <v xml:space="preserve">  %Chge.</v>
          </cell>
          <cell r="BR35">
            <v>0.1004526103631662</v>
          </cell>
          <cell r="BS35">
            <v>0.20610042799445419</v>
          </cell>
          <cell r="BT35">
            <v>0.20533341110068079</v>
          </cell>
          <cell r="BU35">
            <v>0.1637733687692533</v>
          </cell>
          <cell r="BW35" t="str">
            <v xml:space="preserve">  %Chge.</v>
          </cell>
          <cell r="BX35">
            <v>7.1612636514466477E-2</v>
          </cell>
          <cell r="BY35">
            <v>0.13536191718003043</v>
          </cell>
          <cell r="BZ35">
            <v>0.20978404095152081</v>
          </cell>
          <cell r="CA35">
            <v>0.17207423161860436</v>
          </cell>
          <cell r="CB35">
            <v>0.29465846346325675</v>
          </cell>
          <cell r="CC35">
            <v>0.17933961540053378</v>
          </cell>
          <cell r="CD35">
            <v>0.15057364952669672</v>
          </cell>
          <cell r="CE35">
            <v>0.24662751433513908</v>
          </cell>
          <cell r="CG35" t="str">
            <v xml:space="preserve">  % Change</v>
          </cell>
          <cell r="CH35">
            <v>0.15825398042764816</v>
          </cell>
          <cell r="CI35">
            <v>0.17699914641062819</v>
          </cell>
          <cell r="CJ35">
            <v>0.12606361449890979</v>
          </cell>
          <cell r="CK35">
            <v>8.5410019526147352E-2</v>
          </cell>
          <cell r="CL35">
            <v>0.15441679981739356</v>
          </cell>
          <cell r="CM35">
            <v>0.10694938539827117</v>
          </cell>
          <cell r="CN35">
            <v>0.1057858444158911</v>
          </cell>
          <cell r="CO35">
            <v>-1.8993349773475714</v>
          </cell>
          <cell r="CQ35" t="str">
            <v>EPS Post FAS142</v>
          </cell>
          <cell r="DA35" t="str">
            <v>EPS Post FAS142</v>
          </cell>
          <cell r="DG35" t="str">
            <v>% Ch Y/Y</v>
          </cell>
          <cell r="DH35">
            <v>0.33208803856640157</v>
          </cell>
          <cell r="DI35">
            <v>0.16551724137931054</v>
          </cell>
          <cell r="DJ35">
            <v>0.13749999999999998</v>
          </cell>
          <cell r="DK35">
            <v>0.24123737373737369</v>
          </cell>
          <cell r="DL35">
            <v>9.6317280453257631E-2</v>
          </cell>
          <cell r="DM35">
            <v>0.24260355029585795</v>
          </cell>
          <cell r="DN35">
            <v>0.2087912087912086</v>
          </cell>
          <cell r="DO35">
            <v>0.16331658291457288</v>
          </cell>
          <cell r="EB35" t="str">
            <v>% Ch Y/Y</v>
          </cell>
          <cell r="ED35">
            <v>0.10695447409733118</v>
          </cell>
          <cell r="EE35">
            <v>9.3780072975398407E-2</v>
          </cell>
          <cell r="EF35">
            <v>1.0725902052307921</v>
          </cell>
          <cell r="EG35">
            <v>-0.11370338263550639</v>
          </cell>
          <cell r="EH35">
            <v>0.4419570976370788</v>
          </cell>
        </row>
        <row r="36">
          <cell r="CG36" t="str">
            <v>EPS Post FAS142</v>
          </cell>
        </row>
        <row r="37">
          <cell r="A37" t="str">
            <v xml:space="preserve"> Avg. Shs.</v>
          </cell>
          <cell r="B37">
            <v>42.662499999999994</v>
          </cell>
          <cell r="C37">
            <v>42.65</v>
          </cell>
          <cell r="E37">
            <v>41.8</v>
          </cell>
          <cell r="F37">
            <v>41.7</v>
          </cell>
          <cell r="H37" t="str">
            <v xml:space="preserve"> Avg. Shs.</v>
          </cell>
          <cell r="I37">
            <v>42.8</v>
          </cell>
          <cell r="K37" t="str">
            <v xml:space="preserve"> Avg. Shs.</v>
          </cell>
          <cell r="L37">
            <v>151.19999999999999</v>
          </cell>
          <cell r="M37">
            <v>126.4</v>
          </cell>
          <cell r="N37">
            <v>126.8</v>
          </cell>
          <cell r="P37" t="str">
            <v xml:space="preserve"> Avg. Shs.</v>
          </cell>
          <cell r="Q37">
            <v>42.6</v>
          </cell>
          <cell r="R37">
            <v>42.65</v>
          </cell>
          <cell r="S37">
            <v>42.73</v>
          </cell>
          <cell r="T37">
            <v>42.67</v>
          </cell>
          <cell r="U37">
            <v>43.1</v>
          </cell>
          <cell r="V37">
            <v>42.8</v>
          </cell>
          <cell r="W37">
            <v>42.6</v>
          </cell>
          <cell r="X37">
            <v>42.1</v>
          </cell>
          <cell r="Y37">
            <v>42</v>
          </cell>
          <cell r="Z37">
            <v>42.1</v>
          </cell>
          <cell r="AA37">
            <v>42</v>
          </cell>
          <cell r="AB37">
            <v>41.9</v>
          </cell>
          <cell r="AC37">
            <v>41.7</v>
          </cell>
          <cell r="AD37">
            <v>41.8</v>
          </cell>
          <cell r="AE37">
            <v>41.8</v>
          </cell>
          <cell r="AF37">
            <v>41.8</v>
          </cell>
          <cell r="AG37">
            <v>41.8</v>
          </cell>
          <cell r="AH37">
            <v>41.75</v>
          </cell>
          <cell r="AI37">
            <v>41.9</v>
          </cell>
          <cell r="AJ37">
            <v>41.7</v>
          </cell>
          <cell r="AK37">
            <v>41.7</v>
          </cell>
          <cell r="AL37">
            <v>41.7</v>
          </cell>
          <cell r="AM37">
            <v>41.7</v>
          </cell>
          <cell r="AN37">
            <v>41.9</v>
          </cell>
          <cell r="AO37">
            <v>41.9</v>
          </cell>
          <cell r="AP37">
            <v>41.93</v>
          </cell>
          <cell r="AR37" t="str">
            <v xml:space="preserve"> Avg. Shs.</v>
          </cell>
          <cell r="AS37">
            <v>43.4</v>
          </cell>
          <cell r="AT37">
            <v>43.78</v>
          </cell>
          <cell r="AU37">
            <v>31.8</v>
          </cell>
          <cell r="AV37">
            <v>31.1</v>
          </cell>
          <cell r="AW37" t="str">
            <v xml:space="preserve"> Avg. Shs.</v>
          </cell>
          <cell r="AX37">
            <v>63</v>
          </cell>
          <cell r="AY37">
            <v>63.2</v>
          </cell>
          <cell r="AZ37">
            <v>63.2</v>
          </cell>
          <cell r="BA37">
            <v>63.4</v>
          </cell>
          <cell r="BB37" t="str">
            <v xml:space="preserve"> Avg. Shs.</v>
          </cell>
          <cell r="BC37">
            <v>127.4</v>
          </cell>
          <cell r="BD37">
            <v>127</v>
          </cell>
          <cell r="BE37">
            <v>126.6</v>
          </cell>
          <cell r="BF37">
            <v>126.6</v>
          </cell>
          <cell r="BG37" t="str">
            <v xml:space="preserve"> Avg. Shs.</v>
          </cell>
          <cell r="BH37">
            <v>126.4</v>
          </cell>
          <cell r="BI37">
            <v>126.4</v>
          </cell>
          <cell r="BJ37">
            <v>126.6</v>
          </cell>
          <cell r="BK37">
            <v>126.4</v>
          </cell>
          <cell r="BL37" t="str">
            <v xml:space="preserve"> Avg. Shs.</v>
          </cell>
          <cell r="BM37">
            <v>126.4</v>
          </cell>
          <cell r="BN37">
            <v>126.6</v>
          </cell>
          <cell r="BO37">
            <v>126.2</v>
          </cell>
          <cell r="BP37">
            <v>126.4</v>
          </cell>
          <cell r="BQ37" t="str">
            <v xml:space="preserve"> Avg. Shs.</v>
          </cell>
          <cell r="BR37">
            <v>126.2</v>
          </cell>
          <cell r="BS37">
            <v>125.2</v>
          </cell>
          <cell r="BT37">
            <v>125.6</v>
          </cell>
          <cell r="BU37">
            <v>124.8</v>
          </cell>
          <cell r="BW37" t="str">
            <v xml:space="preserve"> Avg. Shs.</v>
          </cell>
          <cell r="BX37">
            <v>202.285</v>
          </cell>
          <cell r="BY37">
            <v>203.4</v>
          </cell>
          <cell r="BZ37">
            <v>202.5</v>
          </cell>
          <cell r="CA37">
            <v>202.9</v>
          </cell>
          <cell r="CB37">
            <v>202.24</v>
          </cell>
          <cell r="CC37">
            <v>201.9</v>
          </cell>
          <cell r="CD37">
            <v>202.6</v>
          </cell>
          <cell r="CE37">
            <v>202.6</v>
          </cell>
          <cell r="CG37" t="str">
            <v xml:space="preserve"> Avg. Shs. (MM)</v>
          </cell>
          <cell r="CH37">
            <v>202.3</v>
          </cell>
          <cell r="CI37">
            <v>201.8</v>
          </cell>
          <cell r="CJ37">
            <v>200.6</v>
          </cell>
          <cell r="CK37">
            <v>201.8</v>
          </cell>
          <cell r="CL37">
            <v>202.2</v>
          </cell>
          <cell r="CM37">
            <v>203</v>
          </cell>
          <cell r="CN37">
            <v>203.6</v>
          </cell>
          <cell r="CO37">
            <v>202</v>
          </cell>
          <cell r="CQ37" t="str">
            <v>Reported EPS</v>
          </cell>
          <cell r="CR37">
            <v>1.1339072520966946</v>
          </cell>
          <cell r="CS37">
            <v>1.2858194308145239</v>
          </cell>
          <cell r="CT37">
            <v>1.3212245691777451</v>
          </cell>
          <cell r="CU37">
            <v>0.73020276953511387</v>
          </cell>
          <cell r="CV37">
            <v>1.0914872308462695</v>
          </cell>
          <cell r="CW37">
            <v>1.2077542799597181</v>
          </cell>
          <cell r="CX37">
            <v>1.2855111495211586</v>
          </cell>
          <cell r="CY37">
            <v>-1.0715968798177866</v>
          </cell>
          <cell r="DA37" t="str">
            <v>Reported EPS</v>
          </cell>
          <cell r="DB37">
            <v>0.67147585303961876</v>
          </cell>
          <cell r="DC37">
            <v>0.74626865671641796</v>
          </cell>
          <cell r="DD37">
            <v>0.79761283692565776</v>
          </cell>
          <cell r="DE37">
            <v>0.80641922259092147</v>
          </cell>
          <cell r="DG37" t="str">
            <v>EPS, Cont. Ops</v>
          </cell>
          <cell r="DH37">
            <v>0.87365955256335326</v>
          </cell>
          <cell r="DI37">
            <v>0.8358111465821999</v>
          </cell>
          <cell r="DJ37">
            <v>0.8974209713957767</v>
          </cell>
          <cell r="DK37">
            <v>0.98198278222971003</v>
          </cell>
          <cell r="DL37">
            <v>0.95673671199011112</v>
          </cell>
          <cell r="DM37">
            <v>1.0320485247395879</v>
          </cell>
          <cell r="DN37">
            <v>1.0806109303643339</v>
          </cell>
          <cell r="DO37">
            <v>1.1328602887203327</v>
          </cell>
          <cell r="EB37" t="str">
            <v>EPS, Cont. Ops</v>
          </cell>
          <cell r="EC37">
            <v>0.87914037854889604</v>
          </cell>
          <cell r="ED37">
            <v>0.97934722222222226</v>
          </cell>
          <cell r="EE37">
            <v>1.0627559055118108</v>
          </cell>
          <cell r="EF37">
            <v>1.366573033707865</v>
          </cell>
          <cell r="EG37">
            <v>1.2261641938674579</v>
          </cell>
          <cell r="EH37">
            <v>1.7689510143493321</v>
          </cell>
        </row>
        <row r="38">
          <cell r="AS38" t="str">
            <v xml:space="preserve"> </v>
          </cell>
          <cell r="AT38" t="str">
            <v xml:space="preserve"> </v>
          </cell>
          <cell r="AU38" t="str">
            <v xml:space="preserve"> </v>
          </cell>
          <cell r="AV38" t="str">
            <v xml:space="preserve"> </v>
          </cell>
          <cell r="AY38" t="str">
            <v xml:space="preserve"> </v>
          </cell>
          <cell r="AZ38" t="str">
            <v xml:space="preserve"> </v>
          </cell>
          <cell r="BA38" t="str">
            <v xml:space="preserve"> </v>
          </cell>
          <cell r="CQ38" t="str">
            <v>Stock Options Expense</v>
          </cell>
          <cell r="CR38">
            <v>-3.4533793783917119E-2</v>
          </cell>
          <cell r="CS38">
            <v>-3.4347399411187439E-2</v>
          </cell>
          <cell r="CT38">
            <v>-3.4465780403742E-2</v>
          </cell>
          <cell r="CV38">
            <v>-3.5052578868302459E-2</v>
          </cell>
          <cell r="CW38">
            <v>-3.5246727089627394E-2</v>
          </cell>
          <cell r="CX38">
            <v>-3.5171991036166861E-2</v>
          </cell>
          <cell r="CY38">
            <v>3.5173233203625115E-2</v>
          </cell>
          <cell r="DA38" t="str">
            <v>Stock Options Expense</v>
          </cell>
          <cell r="DB38">
            <v>-1.4977295767572979E-2</v>
          </cell>
          <cell r="DC38">
            <v>-1.7412935323383085E-2</v>
          </cell>
          <cell r="DD38">
            <v>-1.7339409498383862E-2</v>
          </cell>
          <cell r="DE38">
            <v>-1.9760648142809742E-2</v>
          </cell>
          <cell r="DG38" t="str">
            <v>EPS, Disc. Opns</v>
          </cell>
          <cell r="DH38">
            <v>-4.2074256072456108E-2</v>
          </cell>
          <cell r="DI38">
            <v>5.0000000000000001E-3</v>
          </cell>
          <cell r="DJ38">
            <v>2.4654422291092763E-2</v>
          </cell>
          <cell r="DK38">
            <v>1.9738347381501709E-2</v>
          </cell>
          <cell r="DL38">
            <v>-3.2138442521631644E-2</v>
          </cell>
          <cell r="DM38">
            <v>0.5307678127232166</v>
          </cell>
          <cell r="DN38">
            <v>-4.9118678652924266E-3</v>
          </cell>
          <cell r="DO38">
            <v>-0.13457303645705898</v>
          </cell>
          <cell r="EB38" t="str">
            <v>EPS, Disc. Opns</v>
          </cell>
          <cell r="EC38">
            <v>0.06</v>
          </cell>
          <cell r="EH38">
            <v>0.41</v>
          </cell>
        </row>
        <row r="39">
          <cell r="CQ39" t="str">
            <v>EPS Post Stock Options</v>
          </cell>
          <cell r="CR39">
            <v>1.0993734583127774</v>
          </cell>
          <cell r="CS39">
            <v>1.2514720314033365</v>
          </cell>
          <cell r="CT39">
            <v>1.2867587887740031</v>
          </cell>
          <cell r="CU39">
            <v>0.73020276953511387</v>
          </cell>
          <cell r="CV39">
            <v>1.056434651977967</v>
          </cell>
          <cell r="CW39">
            <v>1.1725075528700906</v>
          </cell>
          <cell r="CX39">
            <v>1.2503391584849917</v>
          </cell>
          <cell r="CY39">
            <v>-1.0364236466141614</v>
          </cell>
          <cell r="DA39" t="str">
            <v>EPS Post Stock Options</v>
          </cell>
          <cell r="DB39">
            <v>0.65649855727204576</v>
          </cell>
          <cell r="DC39">
            <v>0.72885572139303489</v>
          </cell>
          <cell r="DD39">
            <v>0.7802734274272739</v>
          </cell>
          <cell r="DE39">
            <v>0.78665857444811171</v>
          </cell>
          <cell r="DG39" t="str">
            <v>EPS, Reported (GAAP)/ FAS123R</v>
          </cell>
          <cell r="DH39">
            <v>0.83158529649089719</v>
          </cell>
          <cell r="DI39">
            <v>0.84081114658219991</v>
          </cell>
          <cell r="DJ39">
            <v>0.92207539368686942</v>
          </cell>
          <cell r="DK39">
            <v>1.0017211296112118</v>
          </cell>
          <cell r="DL39">
            <v>0.92459826946847945</v>
          </cell>
          <cell r="DM39">
            <v>1.5628163374628046</v>
          </cell>
          <cell r="DN39">
            <v>1.0756990624990415</v>
          </cell>
          <cell r="DO39">
            <v>0.99828725226327375</v>
          </cell>
          <cell r="EB39" t="str">
            <v>EPS, Reported</v>
          </cell>
          <cell r="EC39">
            <v>0.93914037854889609</v>
          </cell>
          <cell r="ED39">
            <v>0.97934722222222226</v>
          </cell>
          <cell r="EE39">
            <v>1.0627559055118108</v>
          </cell>
          <cell r="EF39">
            <v>1.366573033707865</v>
          </cell>
          <cell r="EG39">
            <v>1.2261641938674579</v>
          </cell>
          <cell r="EH39">
            <v>2.178951014349332</v>
          </cell>
        </row>
        <row r="40">
          <cell r="CV40">
            <v>1.0914872308462695</v>
          </cell>
          <cell r="CW40">
            <v>1.2077542799597181</v>
          </cell>
          <cell r="CX40">
            <v>1.2503391584849917</v>
          </cell>
          <cell r="CY40">
            <v>1.3780759758241174</v>
          </cell>
          <cell r="DA40" t="str">
            <v>EPS Adj for Consensus</v>
          </cell>
          <cell r="DB40">
            <v>0.67147585303961876</v>
          </cell>
          <cell r="DC40">
            <v>0.74626865671641796</v>
          </cell>
          <cell r="DD40">
            <v>0.79761283692565776</v>
          </cell>
          <cell r="DE40">
            <v>0.80641922259092147</v>
          </cell>
          <cell r="DG40" t="str">
            <v>% Ch Y/Y</v>
          </cell>
          <cell r="DH40">
            <v>0.32074293805138476</v>
          </cell>
          <cell r="DI40">
            <v>0.15860717560704946</v>
          </cell>
          <cell r="DJ40">
            <v>0.13216564561280744</v>
          </cell>
          <cell r="DK40">
            <v>0.24078712545662972</v>
          </cell>
          <cell r="DL40">
            <v>9.5090998756902551E-2</v>
          </cell>
          <cell r="DM40">
            <v>0.23478674454132625</v>
          </cell>
          <cell r="DN40">
            <v>0.2041293493327197</v>
          </cell>
          <cell r="DO40">
            <v>0.15364577589439724</v>
          </cell>
          <cell r="EB40" t="str">
            <v>% Ch Y/Y</v>
          </cell>
          <cell r="ED40">
            <v>0.11398275647255218</v>
          </cell>
          <cell r="EE40">
            <v>8.5167631455907111E-2</v>
          </cell>
          <cell r="EF40">
            <v>0.28587667837963182</v>
          </cell>
          <cell r="EG40">
            <v>-0.10274521476502552</v>
          </cell>
          <cell r="EH40">
            <v>0.44267058457306963</v>
          </cell>
        </row>
        <row r="41">
          <cell r="A41" t="str">
            <v>OP MARGIN</v>
          </cell>
          <cell r="G41" t="str">
            <v>OP MARGIN</v>
          </cell>
          <cell r="K41" t="str">
            <v>Op Margin</v>
          </cell>
          <cell r="P41" t="str">
            <v>OP MARGIN</v>
          </cell>
          <cell r="AQ41" t="str">
            <v>OP MARGIN</v>
          </cell>
          <cell r="BL41" t="str">
            <v>Op Margin</v>
          </cell>
          <cell r="BQ41" t="str">
            <v>Op Margin</v>
          </cell>
          <cell r="BW41" t="str">
            <v>Op Margin</v>
          </cell>
          <cell r="CG41" t="str">
            <v>Operating Margins</v>
          </cell>
          <cell r="CQ41" t="str">
            <v xml:space="preserve"> Avg. Shs. (MM)</v>
          </cell>
          <cell r="CR41">
            <v>202.7</v>
          </cell>
          <cell r="CS41">
            <v>203.8</v>
          </cell>
          <cell r="CT41">
            <v>203.1</v>
          </cell>
          <cell r="CU41">
            <v>202.2</v>
          </cell>
          <cell r="CV41">
            <v>199.7</v>
          </cell>
          <cell r="CW41">
            <v>198.6</v>
          </cell>
          <cell r="CX41">
            <v>199.02199999999999</v>
          </cell>
          <cell r="CY41">
            <v>199.553584</v>
          </cell>
          <cell r="DA41" t="str">
            <v>Avg. Diluted Shares</v>
          </cell>
          <cell r="DB41">
            <v>400.60636399999999</v>
          </cell>
          <cell r="DC41">
            <v>402</v>
          </cell>
          <cell r="DD41">
            <v>403.70463599999999</v>
          </cell>
          <cell r="DE41">
            <v>405.15540199999998</v>
          </cell>
          <cell r="DG41" t="str">
            <v>EPS Post FAS142</v>
          </cell>
          <cell r="EB41" t="str">
            <v>EPS Post FAS142</v>
          </cell>
        </row>
        <row r="42">
          <cell r="A42" t="str">
            <v>Tactical A/C</v>
          </cell>
          <cell r="C42">
            <v>0.20062383031815348</v>
          </cell>
          <cell r="D42">
            <v>0.20542635658914729</v>
          </cell>
          <cell r="E42">
            <v>0.14129981533329361</v>
          </cell>
          <cell r="F42">
            <v>4.8082427017744706E-2</v>
          </cell>
          <cell r="K42" t="str">
            <v>Marine Group</v>
          </cell>
          <cell r="L42">
            <v>5.4335260115606937E-2</v>
          </cell>
          <cell r="M42">
            <v>7.2472238457042662E-2</v>
          </cell>
          <cell r="N42">
            <v>0.1130986728216965</v>
          </cell>
          <cell r="P42" t="str">
            <v>Tactical A/C</v>
          </cell>
          <cell r="Q42">
            <v>0.10214285714285699</v>
          </cell>
          <cell r="R42">
            <v>9.7477064220183499E-2</v>
          </cell>
          <cell r="S42">
            <v>9.7686375321336796E-2</v>
          </cell>
          <cell r="T42">
            <v>0.12463768115942001</v>
          </cell>
          <cell r="U42">
            <v>6.0054347826086998E-2</v>
          </cell>
          <cell r="V42">
            <v>6.5770171149144296E-2</v>
          </cell>
          <cell r="W42">
            <v>7.4216867469879502E-2</v>
          </cell>
          <cell r="X42">
            <v>6.27737226277372E-2</v>
          </cell>
          <cell r="Y42">
            <v>6.5776699029126195E-2</v>
          </cell>
          <cell r="Z42">
            <v>-5.4955378111789598E-2</v>
          </cell>
          <cell r="AA42">
            <v>2.9394121175764801E-2</v>
          </cell>
          <cell r="AB42">
            <v>5.9650053022269403E-2</v>
          </cell>
          <cell r="AC42">
            <v>7.6674937965260606E-2</v>
          </cell>
          <cell r="AD42">
            <v>-8.7074829931972797E-2</v>
          </cell>
          <cell r="AE42">
            <v>5.1262815703925997E-2</v>
          </cell>
          <cell r="AF42">
            <v>6.5317387304507799E-2</v>
          </cell>
          <cell r="AG42">
            <v>5.8875510880371101E-2</v>
          </cell>
          <cell r="AH42">
            <v>-0.37292464878671799</v>
          </cell>
          <cell r="AI42">
            <v>4.7461116193961601E-2</v>
          </cell>
          <cell r="AJ42">
            <v>-0.41014358499305198</v>
          </cell>
          <cell r="AL42">
            <v>3.3580361278369601E-2</v>
          </cell>
          <cell r="AR42" t="str">
            <v>Nuc. Subs</v>
          </cell>
          <cell r="AS42">
            <v>5.1401869158878503E-2</v>
          </cell>
          <cell r="AT42">
            <v>4.8165137614678902E-2</v>
          </cell>
          <cell r="AU42">
            <v>6.2052505966587103E-2</v>
          </cell>
          <cell r="AV42">
            <v>5.5928411633109597E-2</v>
          </cell>
          <cell r="AW42" t="str">
            <v>Nuc. Subs</v>
          </cell>
          <cell r="AX42">
            <v>6.6666666666666693E-2</v>
          </cell>
          <cell r="AY42">
            <v>6.9605568445475594E-2</v>
          </cell>
          <cell r="AZ42">
            <v>6.8235294117647102E-2</v>
          </cell>
          <cell r="BA42">
            <v>8.6419753086419707E-2</v>
          </cell>
          <cell r="BB42" t="str">
            <v>Marine Group</v>
          </cell>
          <cell r="BC42">
            <v>0.11184210526315801</v>
          </cell>
          <cell r="BD42">
            <v>0.114285714285714</v>
          </cell>
          <cell r="BE42">
            <v>0.11414392059553299</v>
          </cell>
          <cell r="BF42">
            <v>0.112171837708831</v>
          </cell>
          <cell r="BG42" t="str">
            <v>Marine Group</v>
          </cell>
          <cell r="BH42">
            <v>0.11161731207289299</v>
          </cell>
          <cell r="BI42">
            <v>0.114634146341463</v>
          </cell>
          <cell r="BJ42">
            <v>0.10930232558139499</v>
          </cell>
          <cell r="BK42">
            <v>8.4297520661157005E-2</v>
          </cell>
          <cell r="BL42" t="str">
            <v>Marine Group</v>
          </cell>
          <cell r="BM42">
            <v>8.7947882736156294E-2</v>
          </cell>
          <cell r="BN42">
            <v>8.9869281045751606E-2</v>
          </cell>
          <cell r="BO42">
            <v>9.6834264432029804E-2</v>
          </cell>
          <cell r="BP42">
            <v>9.6660808435852397E-2</v>
          </cell>
          <cell r="BQ42" t="str">
            <v>Marine Group</v>
          </cell>
          <cell r="BR42">
            <v>0.10554561717352411</v>
          </cell>
          <cell r="BS42">
            <v>0.1039182282793867</v>
          </cell>
          <cell r="BT42">
            <v>0.1005484460694698</v>
          </cell>
          <cell r="BU42">
            <v>9.5469255663430425E-2</v>
          </cell>
          <cell r="BW42" t="str">
            <v>Marine Group</v>
          </cell>
          <cell r="BX42">
            <v>0.11531531531531532</v>
          </cell>
          <cell r="BY42">
            <v>0.11488673139158576</v>
          </cell>
          <cell r="BZ42">
            <v>0.1111111111111111</v>
          </cell>
          <cell r="CA42">
            <v>9.3437152391546166E-2</v>
          </cell>
          <cell r="CB42">
            <v>0.10891089108910891</v>
          </cell>
          <cell r="CC42">
            <v>0.11518324607329843</v>
          </cell>
          <cell r="CD42">
            <v>0.10152284263959391</v>
          </cell>
          <cell r="CE42">
            <v>9.8901098901098897E-2</v>
          </cell>
          <cell r="CG42" t="str">
            <v>Marine Group</v>
          </cell>
          <cell r="CH42">
            <v>0.10401891252955082</v>
          </cell>
          <cell r="CI42">
            <v>9.5906432748538009E-2</v>
          </cell>
          <cell r="CJ42">
            <v>9.6491228070175433E-2</v>
          </cell>
          <cell r="CK42">
            <v>8.4245076586433265E-2</v>
          </cell>
          <cell r="CL42">
            <v>9.2807424593967514E-2</v>
          </cell>
          <cell r="CM42">
            <v>8.7645195353748678E-2</v>
          </cell>
          <cell r="CN42">
            <v>8.9912280701754388E-2</v>
          </cell>
          <cell r="CO42">
            <v>7.2951739618406286E-2</v>
          </cell>
          <cell r="DL42">
            <v>404.5</v>
          </cell>
          <cell r="DM42">
            <v>406.95760899999999</v>
          </cell>
          <cell r="DN42">
            <v>407.177077</v>
          </cell>
          <cell r="DO42">
            <v>408.7</v>
          </cell>
        </row>
        <row r="43">
          <cell r="A43" t="str">
            <v>Nuc. Subs</v>
          </cell>
          <cell r="B43">
            <v>4.6187943262411352E-2</v>
          </cell>
          <cell r="C43">
            <v>0.10124640460210929</v>
          </cell>
          <cell r="D43">
            <v>3.5942492012779548E-2</v>
          </cell>
          <cell r="E43">
            <v>4.1512082623082321E-2</v>
          </cell>
          <cell r="F43">
            <v>6.6176470588235295E-2</v>
          </cell>
          <cell r="H43" t="str">
            <v>Nuc. Subs</v>
          </cell>
          <cell r="I43">
            <v>4.6052631578947366E-2</v>
          </cell>
          <cell r="K43" t="str">
            <v>Combat Sys</v>
          </cell>
          <cell r="L43">
            <v>9.6748612212529742E-2</v>
          </cell>
          <cell r="M43">
            <v>0.135303265940902</v>
          </cell>
          <cell r="N43">
            <v>0.1182432432432432</v>
          </cell>
          <cell r="P43" t="str">
            <v>Nuc. Subs</v>
          </cell>
          <cell r="Q43">
            <v>4.0860215053763402E-2</v>
          </cell>
          <cell r="R43">
            <v>3.9857651245551601E-2</v>
          </cell>
          <cell r="S43">
            <v>6.18556701030928E-2</v>
          </cell>
          <cell r="T43">
            <v>4.15162454873646E-2</v>
          </cell>
          <cell r="U43">
            <v>2.0392156862745099E-2</v>
          </cell>
          <cell r="V43">
            <v>0.02</v>
          </cell>
          <cell r="W43">
            <v>1.2552301255230099E-2</v>
          </cell>
          <cell r="X43">
            <v>5.3903345724907098E-2</v>
          </cell>
          <cell r="Y43">
            <v>1.7692307692307702E-2</v>
          </cell>
          <cell r="Z43">
            <v>3.2584764420959901E-2</v>
          </cell>
          <cell r="AA43">
            <v>6.3598952487841406E-2</v>
          </cell>
          <cell r="AB43">
            <v>4.2071197411003201E-2</v>
          </cell>
          <cell r="AC43">
            <v>7.0081967213114799E-2</v>
          </cell>
          <cell r="AD43">
            <v>7.2549019607843102E-2</v>
          </cell>
          <cell r="AE43">
            <v>6.0137457044673499E-2</v>
          </cell>
          <cell r="AF43">
            <v>7.8719397363465199E-2</v>
          </cell>
          <cell r="AG43">
            <v>6.0711793440334998E-2</v>
          </cell>
          <cell r="AH43">
            <v>6.6577000672495001E-2</v>
          </cell>
          <cell r="AI43">
            <v>5.5280118988596902E-2</v>
          </cell>
          <cell r="AJ43">
            <v>1.5289164635497499E-2</v>
          </cell>
          <cell r="AL43">
            <v>1.5289164635497499E-2</v>
          </cell>
          <cell r="AM43">
            <v>4.5454545454545497E-2</v>
          </cell>
          <cell r="AN43">
            <v>4.3572984749455299E-2</v>
          </cell>
          <cell r="AO43">
            <v>5.2980132450331098E-2</v>
          </cell>
          <cell r="AP43">
            <v>4.2510121457489898E-2</v>
          </cell>
          <cell r="AR43" t="str">
            <v>Armored Veh</v>
          </cell>
          <cell r="AS43">
            <v>9.0909090909090898E-2</v>
          </cell>
          <cell r="AT43">
            <v>9.5238095238095205E-2</v>
          </cell>
          <cell r="AU43">
            <v>0.101818181818182</v>
          </cell>
          <cell r="AV43">
            <v>9.8522167487684706E-2</v>
          </cell>
          <cell r="AW43" t="str">
            <v>Armored Veh</v>
          </cell>
          <cell r="AX43">
            <v>0.162921348314607</v>
          </cell>
          <cell r="AY43">
            <v>0.10689655172413801</v>
          </cell>
          <cell r="AZ43">
            <v>0.108108108108108</v>
          </cell>
          <cell r="BA43">
            <v>0.15406976744185999</v>
          </cell>
          <cell r="BB43" t="str">
            <v>Armored Veh</v>
          </cell>
          <cell r="BC43">
            <v>0.10423452768729601</v>
          </cell>
          <cell r="BD43">
            <v>0.103658536585366</v>
          </cell>
          <cell r="BE43">
            <v>0.13357400722021701</v>
          </cell>
          <cell r="BF43">
            <v>0.13602941176470601</v>
          </cell>
          <cell r="BG43" t="str">
            <v>Armored Veh</v>
          </cell>
          <cell r="BH43">
            <v>0.12949640287769801</v>
          </cell>
          <cell r="BI43">
            <v>0.13409961685823801</v>
          </cell>
          <cell r="BJ43">
            <v>0.13725490196078399</v>
          </cell>
          <cell r="BK43">
            <v>0.1328125</v>
          </cell>
          <cell r="BL43" t="str">
            <v>Combat Sys</v>
          </cell>
          <cell r="BM43">
            <v>0.134146341463415</v>
          </cell>
          <cell r="BN43">
            <v>0.13563218390804599</v>
          </cell>
          <cell r="BO43">
            <v>0.1328125</v>
          </cell>
          <cell r="BP43">
            <v>0.14296577946768099</v>
          </cell>
          <cell r="BQ43" t="str">
            <v>Combat Sys</v>
          </cell>
          <cell r="BR43">
            <v>0.1335311572700297</v>
          </cell>
          <cell r="BS43">
            <v>0.1084656084656085</v>
          </cell>
          <cell r="BT43">
            <v>0.1263440860215054</v>
          </cell>
          <cell r="BU43">
            <v>0.12796208530805689</v>
          </cell>
          <cell r="BW43" t="str">
            <v>Combat Sys</v>
          </cell>
          <cell r="BX43">
            <v>0.12835820895522387</v>
          </cell>
          <cell r="BY43">
            <v>0.12751677852348994</v>
          </cell>
          <cell r="BZ43">
            <v>0.13732394366197184</v>
          </cell>
          <cell r="CA43">
            <v>0.12957746478873239</v>
          </cell>
          <cell r="CB43">
            <v>0.1206896551724138</v>
          </cell>
          <cell r="CC43">
            <v>0.1111111111111111</v>
          </cell>
          <cell r="CD43">
            <v>0.125</v>
          </cell>
          <cell r="CE43">
            <v>0.12311557788944724</v>
          </cell>
          <cell r="CG43" t="str">
            <v>Combat Sys</v>
          </cell>
          <cell r="CH43">
            <v>0.11746031746031746</v>
          </cell>
          <cell r="CI43">
            <v>0.125</v>
          </cell>
          <cell r="CJ43">
            <v>0.12416107382550336</v>
          </cell>
          <cell r="CK43">
            <v>0.12365591397849462</v>
          </cell>
          <cell r="CL43">
            <v>0.1095890410958904</v>
          </cell>
          <cell r="CM43">
            <v>0.10980392156862745</v>
          </cell>
          <cell r="CN43">
            <v>0.10642201834862386</v>
          </cell>
          <cell r="CO43">
            <v>0.10599721059972106</v>
          </cell>
          <cell r="CQ43" t="str">
            <v>Operating Margins</v>
          </cell>
          <cell r="DA43" t="str">
            <v>Operating Margins</v>
          </cell>
          <cell r="DG43" t="str">
            <v>Reported EPS</v>
          </cell>
          <cell r="DH43">
            <v>0.83158529649089719</v>
          </cell>
          <cell r="DI43">
            <v>0.84081114658219991</v>
          </cell>
          <cell r="DJ43">
            <v>0.92207539368686942</v>
          </cell>
          <cell r="DK43">
            <v>1.0017211296112118</v>
          </cell>
          <cell r="EB43" t="str">
            <v>Reported EPS</v>
          </cell>
          <cell r="EG43">
            <v>1.2261641938674579</v>
          </cell>
          <cell r="EH43">
            <v>2.178951014349332</v>
          </cell>
        </row>
        <row r="44">
          <cell r="A44" t="str">
            <v>Armored Veh</v>
          </cell>
          <cell r="B44">
            <v>-0.11478599221789884</v>
          </cell>
          <cell r="C44">
            <v>6.1925601750547045E-2</v>
          </cell>
          <cell r="D44">
            <v>8.6841525236940706E-2</v>
          </cell>
          <cell r="E44">
            <v>0.24479166666666666</v>
          </cell>
          <cell r="F44">
            <v>-1.3166666666666667</v>
          </cell>
          <cell r="H44" t="str">
            <v>Armored Veh</v>
          </cell>
          <cell r="I44">
            <v>8.5031000885739588E-2</v>
          </cell>
          <cell r="K44" t="str">
            <v>Info Sys &amp; Tech</v>
          </cell>
          <cell r="P44" t="str">
            <v>Armored Veh</v>
          </cell>
          <cell r="Q44">
            <v>-0.37468354430379702</v>
          </cell>
          <cell r="R44">
            <v>-0.21034482758620701</v>
          </cell>
          <cell r="S44">
            <v>-9.8360655737704902E-2</v>
          </cell>
          <cell r="T44">
            <v>3.9823008849557504E-3</v>
          </cell>
          <cell r="U44">
            <v>2.3966942148760301E-2</v>
          </cell>
          <cell r="V44">
            <v>2.28346456692913E-2</v>
          </cell>
          <cell r="W44">
            <v>-1.6842105263157901E-2</v>
          </cell>
          <cell r="X44">
            <v>1.80257510729614E-2</v>
          </cell>
          <cell r="Y44">
            <v>3.06406685236769E-2</v>
          </cell>
          <cell r="Z44">
            <v>1.0215664018161199E-2</v>
          </cell>
          <cell r="AA44">
            <v>7.4840764331210202E-2</v>
          </cell>
          <cell r="AB44">
            <v>8.5411942554799697E-2</v>
          </cell>
          <cell r="AC44">
            <v>3.7068965517241398E-2</v>
          </cell>
          <cell r="AD44">
            <v>6.9402985074626902E-2</v>
          </cell>
          <cell r="AE44">
            <v>0.11992731677771</v>
          </cell>
          <cell r="AF44">
            <v>0.22866344605475</v>
          </cell>
          <cell r="AG44">
            <v>5.8394160583941597E-2</v>
          </cell>
          <cell r="AH44">
            <v>6.7924528301886805E-2</v>
          </cell>
          <cell r="AI44">
            <v>6.15384615384615E-2</v>
          </cell>
          <cell r="AJ44">
            <v>7.3260073260073305E-2</v>
          </cell>
          <cell r="AL44">
            <v>0.128205128205128</v>
          </cell>
          <cell r="AM44">
            <v>8.4507042253521097E-2</v>
          </cell>
          <cell r="AN44">
            <v>8.2508250825082494E-2</v>
          </cell>
          <cell r="AO44">
            <v>9.8859315589353597E-2</v>
          </cell>
          <cell r="AP44">
            <v>7.5268817204301106E-2</v>
          </cell>
          <cell r="AR44" t="str">
            <v>Other</v>
          </cell>
          <cell r="AS44">
            <v>0.170212765957447</v>
          </cell>
          <cell r="AT44">
            <v>0.15384615384615399</v>
          </cell>
          <cell r="AU44">
            <v>0.160714285714286</v>
          </cell>
          <cell r="AV44">
            <v>0.18181818181818199</v>
          </cell>
          <cell r="AW44" t="str">
            <v>Other</v>
          </cell>
          <cell r="AX44">
            <v>4.2553191489361701E-2</v>
          </cell>
          <cell r="AY44">
            <v>8.5106382978723402E-2</v>
          </cell>
          <cell r="AZ44">
            <v>6.3829787234042507E-2</v>
          </cell>
          <cell r="BA44">
            <v>4.08163265306122E-2</v>
          </cell>
          <cell r="BG44" t="str">
            <v>Def/Arm Sys</v>
          </cell>
          <cell r="BL44" t="str">
            <v>CDI</v>
          </cell>
          <cell r="BQ44" t="str">
            <v>Info Sys &amp; Tech</v>
          </cell>
          <cell r="BW44" t="str">
            <v>Info Sys &amp; Tech</v>
          </cell>
          <cell r="BX44">
            <v>6.4220183486238536E-2</v>
          </cell>
          <cell r="BY44">
            <v>6.6326530612244902E-2</v>
          </cell>
          <cell r="BZ44">
            <v>7.9646017699115043E-2</v>
          </cell>
          <cell r="CA44">
            <v>8.191126279863481E-2</v>
          </cell>
          <cell r="CB44">
            <v>8.5836909871244635E-2</v>
          </cell>
          <cell r="CC44">
            <v>9.8765432098765427E-2</v>
          </cell>
          <cell r="CD44">
            <v>8.4745762711864403E-2</v>
          </cell>
          <cell r="CE44">
            <v>8.9527027027027029E-2</v>
          </cell>
          <cell r="CG44" t="str">
            <v>Info Sys &amp; Tech</v>
          </cell>
          <cell r="CH44">
            <v>9.5709570957095716E-2</v>
          </cell>
          <cell r="CI44">
            <v>8.9830508474576271E-2</v>
          </cell>
          <cell r="CJ44">
            <v>9.2281879194630878E-2</v>
          </cell>
          <cell r="CK44">
            <v>9.3577981651376152E-2</v>
          </cell>
          <cell r="CL44">
            <v>9.8039215686274508E-2</v>
          </cell>
          <cell r="CM44">
            <v>9.1044776119402981E-2</v>
          </cell>
          <cell r="CN44">
            <v>9.1190108191653782E-2</v>
          </cell>
          <cell r="CO44">
            <v>0.1062992125984252</v>
          </cell>
          <cell r="CQ44" t="str">
            <v>Marine Group</v>
          </cell>
          <cell r="CR44">
            <v>8.4490740740740741E-2</v>
          </cell>
          <cell r="CS44">
            <v>6.9868995633187769E-2</v>
          </cell>
          <cell r="CT44">
            <v>9.0382387022016217E-2</v>
          </cell>
          <cell r="CU44">
            <v>7.1499503475670315E-2</v>
          </cell>
          <cell r="CV44">
            <v>6.6598360655737709E-2</v>
          </cell>
          <cell r="CW44">
            <v>6.5106815869786366E-2</v>
          </cell>
          <cell r="CX44">
            <v>3.0252100840336135E-2</v>
          </cell>
          <cell r="CY44">
            <v>4.5454545454545456E-2</v>
          </cell>
          <cell r="DA44" t="str">
            <v>Marine Systems</v>
          </cell>
          <cell r="DB44">
            <v>7.6562500000000006E-2</v>
          </cell>
          <cell r="DC44">
            <v>6.881903143585387E-2</v>
          </cell>
          <cell r="DD44">
            <v>5.3726169844020795E-2</v>
          </cell>
          <cell r="DE44">
            <v>4.5739910313901344E-2</v>
          </cell>
          <cell r="DG44" t="str">
            <v>Stock Options Expense</v>
          </cell>
          <cell r="DH44">
            <v>-2.2274606156006172E-2</v>
          </cell>
          <cell r="DI44">
            <v>-0.03</v>
          </cell>
          <cell r="DJ44">
            <v>-0.03</v>
          </cell>
          <cell r="DK44">
            <v>-4.1775931879451389E-3</v>
          </cell>
          <cell r="EB44" t="str">
            <v>Stock Options Expense</v>
          </cell>
        </row>
        <row r="45">
          <cell r="A45" t="str">
            <v>Space Launch</v>
          </cell>
          <cell r="C45">
            <v>4.5454545454545456E-2</v>
          </cell>
          <cell r="D45">
            <v>6.0290556900726398E-2</v>
          </cell>
          <cell r="H45" t="str">
            <v>Other</v>
          </cell>
          <cell r="I45">
            <v>0.14903846153846154</v>
          </cell>
          <cell r="K45" t="str">
            <v>Other</v>
          </cell>
          <cell r="L45">
            <v>0.16666666666666671</v>
          </cell>
          <cell r="M45">
            <v>5.7894736842105263E-2</v>
          </cell>
          <cell r="N45">
            <v>-0.1063829787234043</v>
          </cell>
          <cell r="P45" t="str">
            <v>Space Launch</v>
          </cell>
          <cell r="Q45">
            <v>-0.1</v>
          </cell>
          <cell r="R45">
            <v>-0.139130434782609</v>
          </cell>
          <cell r="S45">
            <v>0.28000000000000003</v>
          </cell>
          <cell r="T45">
            <v>-9.1999999999999998E-2</v>
          </cell>
          <cell r="U45">
            <v>8.3333333333333301E-2</v>
          </cell>
          <cell r="V45">
            <v>6.7857142857142894E-2</v>
          </cell>
          <cell r="W45">
            <v>5.6666666666666698E-2</v>
          </cell>
          <cell r="X45">
            <v>-0.204481792717087</v>
          </cell>
          <cell r="Y45">
            <v>-0.33932584269662902</v>
          </cell>
          <cell r="Z45">
            <v>-0.196850393700787</v>
          </cell>
          <cell r="AA45">
            <v>-8.6680761099365705E-2</v>
          </cell>
          <cell r="AB45">
            <v>-4.2035398230088498E-2</v>
          </cell>
          <cell r="AC45">
            <v>-0.11562500000000001</v>
          </cell>
          <cell r="AD45">
            <v>4.1772151898734199E-2</v>
          </cell>
          <cell r="AE45">
            <v>-7.7611940298507501E-2</v>
          </cell>
          <cell r="AF45">
            <v>-6.5843621399177002E-2</v>
          </cell>
          <cell r="AG45">
            <v>-0.38333333333333303</v>
          </cell>
          <cell r="AH45">
            <v>-0.30303030303030298</v>
          </cell>
          <cell r="AI45">
            <v>-0.20512820512820501</v>
          </cell>
          <cell r="AJ45">
            <v>-6.07407407407407</v>
          </cell>
          <cell r="AL45">
            <v>-6.07407407407407</v>
          </cell>
          <cell r="AM45">
            <v>-1.5625E-2</v>
          </cell>
          <cell r="AN45">
            <v>-0.26595744680851102</v>
          </cell>
          <cell r="AO45">
            <v>-0.365079365079365</v>
          </cell>
          <cell r="AP45">
            <v>-6.1538461538461497</v>
          </cell>
          <cell r="AS45" t="str">
            <v>----</v>
          </cell>
          <cell r="AT45" t="str">
            <v>----</v>
          </cell>
          <cell r="AU45" t="str">
            <v>----</v>
          </cell>
          <cell r="AV45" t="str">
            <v>----</v>
          </cell>
          <cell r="AX45" t="str">
            <v>----</v>
          </cell>
          <cell r="AY45" t="str">
            <v>----</v>
          </cell>
          <cell r="AZ45" t="str">
            <v>----</v>
          </cell>
          <cell r="BA45" t="str">
            <v>----</v>
          </cell>
          <cell r="BW45" t="str">
            <v>Gulfstream</v>
          </cell>
          <cell r="BX45">
            <v>0.13746523639253083</v>
          </cell>
          <cell r="BY45">
            <v>0.1644524236983842</v>
          </cell>
          <cell r="BZ45">
            <v>0.16608112424145638</v>
          </cell>
          <cell r="CA45">
            <v>-4.7882384677636912E-2</v>
          </cell>
          <cell r="CB45">
            <v>0.1556742921132617</v>
          </cell>
          <cell r="CC45">
            <v>0.16332297259112744</v>
          </cell>
          <cell r="CD45">
            <v>0.18181818181818182</v>
          </cell>
          <cell r="CE45">
            <v>0.16177961242976735</v>
          </cell>
          <cell r="CG45" t="str">
            <v>Aerospace</v>
          </cell>
          <cell r="CH45">
            <v>0.17945205479452056</v>
          </cell>
          <cell r="CI45">
            <v>0.18392204628501826</v>
          </cell>
          <cell r="CJ45">
            <v>0.20327421555252387</v>
          </cell>
          <cell r="CK45">
            <v>0.21610738255033557</v>
          </cell>
          <cell r="CL45">
            <v>0.20224719101123595</v>
          </cell>
          <cell r="CM45">
            <v>0.20522875816993463</v>
          </cell>
          <cell r="CN45">
            <v>0.19212410501193317</v>
          </cell>
          <cell r="CO45">
            <v>0.17157894736842105</v>
          </cell>
          <cell r="CQ45" t="str">
            <v>Combat Systems</v>
          </cell>
          <cell r="CR45">
            <v>9.5986038394415357E-2</v>
          </cell>
          <cell r="CS45">
            <v>0.11790393013100436</v>
          </cell>
          <cell r="CT45">
            <v>0.11315417256011315</v>
          </cell>
          <cell r="CU45">
            <v>0.11355311355311355</v>
          </cell>
          <cell r="CV45">
            <v>0.1123882503192848</v>
          </cell>
          <cell r="CW45">
            <v>0.11746680286006128</v>
          </cell>
          <cell r="CX45">
            <v>0.10845771144278607</v>
          </cell>
          <cell r="CY45">
            <v>0.10564516129032259</v>
          </cell>
          <cell r="DA45" t="str">
            <v>Combat Systems</v>
          </cell>
          <cell r="DB45">
            <v>0.10467289719626169</v>
          </cell>
          <cell r="DC45">
            <v>0.11122244488977956</v>
          </cell>
          <cell r="DD45">
            <v>0.12415130940834142</v>
          </cell>
          <cell r="DE45">
            <v>0.13073394495412843</v>
          </cell>
          <cell r="DG45" t="str">
            <v>EPS Post Stock Options</v>
          </cell>
          <cell r="DH45">
            <v>0.809310690334891</v>
          </cell>
          <cell r="DI45">
            <v>0.81081114658219988</v>
          </cell>
          <cell r="DJ45">
            <v>0.89207539368686939</v>
          </cell>
          <cell r="DK45">
            <v>0.99754353642326676</v>
          </cell>
          <cell r="EB45" t="str">
            <v>EPS Post Stock Options</v>
          </cell>
          <cell r="EG45">
            <v>1.2261641938674579</v>
          </cell>
          <cell r="EH45">
            <v>2.178951014349332</v>
          </cell>
        </row>
        <row r="46">
          <cell r="A46" t="str">
            <v xml:space="preserve">  Total</v>
          </cell>
          <cell r="B46">
            <v>0.13155108523028058</v>
          </cell>
          <cell r="C46">
            <v>0.13113604488078542</v>
          </cell>
          <cell r="D46">
            <v>0.11278283523109797</v>
          </cell>
          <cell r="E46">
            <v>0.1375843454790823</v>
          </cell>
          <cell r="F46">
            <v>-7.6236044657097282E-2</v>
          </cell>
          <cell r="H46" t="str">
            <v xml:space="preserve">  Total</v>
          </cell>
          <cell r="I46">
            <v>6.6751028155646944E-2</v>
          </cell>
          <cell r="K46" t="str">
            <v xml:space="preserve">  Total</v>
          </cell>
          <cell r="L46">
            <v>7.9069767441860464E-2</v>
          </cell>
          <cell r="M46">
            <v>9.6956385315343577E-2</v>
          </cell>
          <cell r="N46">
            <v>0.104970568999346</v>
          </cell>
          <cell r="P46" t="str">
            <v xml:space="preserve">  Total</v>
          </cell>
          <cell r="Q46">
            <v>9.9597989949748736E-2</v>
          </cell>
          <cell r="R46">
            <v>0.10568888888888889</v>
          </cell>
          <cell r="S46">
            <v>0.12298025134649911</v>
          </cell>
          <cell r="T46">
            <v>0.11716171617161716</v>
          </cell>
          <cell r="U46">
            <v>0.11044214487300094</v>
          </cell>
          <cell r="V46">
            <v>0.10994671403197158</v>
          </cell>
          <cell r="W46">
            <v>0.1050232558139535</v>
          </cell>
          <cell r="X46">
            <v>8.3892902677433073E-2</v>
          </cell>
          <cell r="Y46">
            <v>0.11697492011232691</v>
          </cell>
          <cell r="Z46">
            <v>5.4081823276667294E-2</v>
          </cell>
          <cell r="AA46">
            <v>9.0776787338548284E-2</v>
          </cell>
          <cell r="AB46">
            <v>9.2869565217391301E-2</v>
          </cell>
          <cell r="AC46">
            <v>0.10396902226524686</v>
          </cell>
          <cell r="AD46">
            <v>5.5869373345101496E-2</v>
          </cell>
          <cell r="AE46">
            <v>9.1616554651574089E-2</v>
          </cell>
          <cell r="AF46">
            <v>0.11804757272968432</v>
          </cell>
          <cell r="AG46">
            <v>4.33740714114546E-2</v>
          </cell>
          <cell r="AH46">
            <v>-0.19604456824512534</v>
          </cell>
          <cell r="AI46">
            <v>3.3720087019579403E-2</v>
          </cell>
          <cell r="AJ46">
            <v>-0.39911078628418289</v>
          </cell>
          <cell r="AL46">
            <v>0</v>
          </cell>
          <cell r="AM46">
            <v>5.4830287206266322E-2</v>
          </cell>
          <cell r="AN46">
            <v>2.336448598130841E-2</v>
          </cell>
          <cell r="AO46">
            <v>3.4659820282413351E-2</v>
          </cell>
          <cell r="AP46">
            <v>0.16052631578947368</v>
          </cell>
          <cell r="AR46" t="str">
            <v xml:space="preserve">  Total</v>
          </cell>
          <cell r="AS46">
            <v>7.3587385019710905E-2</v>
          </cell>
          <cell r="AT46">
            <v>7.4213836477987405E-2</v>
          </cell>
          <cell r="AU46">
            <v>8.4000000000000005E-2</v>
          </cell>
          <cell r="AV46">
            <v>8.3786724700761706E-2</v>
          </cell>
          <cell r="AW46" t="str">
            <v xml:space="preserve">  Total</v>
          </cell>
          <cell r="AX46">
            <v>0.105509964830012</v>
          </cell>
          <cell r="AY46">
            <v>8.4635416666666699E-2</v>
          </cell>
          <cell r="AZ46">
            <v>8.3333333333333301E-2</v>
          </cell>
          <cell r="BA46">
            <v>0.112781954887218</v>
          </cell>
          <cell r="BB46" t="str">
            <v>Other</v>
          </cell>
          <cell r="BC46">
            <v>-0.108108108108108</v>
          </cell>
          <cell r="BD46">
            <v>-8.1081081081081099E-2</v>
          </cell>
          <cell r="BE46">
            <v>-0.17647058823529399</v>
          </cell>
          <cell r="BF46">
            <v>-6.0606060606060601E-2</v>
          </cell>
          <cell r="BG46" t="str">
            <v>Other</v>
          </cell>
          <cell r="BH46">
            <v>-0.16666666666666699</v>
          </cell>
          <cell r="BI46">
            <v>-0.1875</v>
          </cell>
          <cell r="BJ46">
            <v>-0.15151515151515099</v>
          </cell>
          <cell r="BK46">
            <v>-6.25E-2</v>
          </cell>
          <cell r="BL46" t="str">
            <v>Other</v>
          </cell>
          <cell r="BM46">
            <v>-0.12121212121212099</v>
          </cell>
          <cell r="BN46">
            <v>-1.7543859649122799E-2</v>
          </cell>
          <cell r="BO46">
            <v>4.3478260869565202E-2</v>
          </cell>
          <cell r="BP46">
            <v>-1.5625E-2</v>
          </cell>
          <cell r="BQ46" t="str">
            <v>Other</v>
          </cell>
          <cell r="BR46">
            <v>-4.4444444444444453E-2</v>
          </cell>
          <cell r="BS46">
            <v>0.17910447761194029</v>
          </cell>
          <cell r="BT46">
            <v>0.15942028985507251</v>
          </cell>
          <cell r="BU46">
            <v>6.5573770491803282E-2</v>
          </cell>
          <cell r="BW46" t="str">
            <v>Other</v>
          </cell>
          <cell r="BX46">
            <v>6.5217391304347824E-2</v>
          </cell>
          <cell r="BY46">
            <v>0.19696969696969696</v>
          </cell>
          <cell r="BZ46">
            <v>0.23529411764705882</v>
          </cell>
          <cell r="CA46">
            <v>0</v>
          </cell>
          <cell r="CB46">
            <v>0</v>
          </cell>
          <cell r="CC46">
            <v>0.25757575757575757</v>
          </cell>
          <cell r="CD46">
            <v>0.20547945205479451</v>
          </cell>
          <cell r="CE46">
            <v>0.2153846153846154</v>
          </cell>
          <cell r="CG46" t="str">
            <v>Other</v>
          </cell>
          <cell r="CH46">
            <v>-0.16326530612244897</v>
          </cell>
          <cell r="CI46">
            <v>0.20634920634920634</v>
          </cell>
          <cell r="CJ46">
            <v>0.24675324675324675</v>
          </cell>
          <cell r="CK46">
            <v>0.1875</v>
          </cell>
          <cell r="CL46">
            <v>4.0816326530612242E-2</v>
          </cell>
          <cell r="CM46">
            <v>0.2</v>
          </cell>
          <cell r="CN46">
            <v>0.20512820512820512</v>
          </cell>
          <cell r="CO46">
            <v>0.25316455696202533</v>
          </cell>
          <cell r="CQ46" t="str">
            <v>Info. Systems &amp; Tech.</v>
          </cell>
          <cell r="CR46">
            <v>0.1068075117370892</v>
          </cell>
          <cell r="CS46">
            <v>0.10887949260042283</v>
          </cell>
          <cell r="CT46">
            <v>0.15168539325842698</v>
          </cell>
          <cell r="CU46">
            <v>0.10805300713557595</v>
          </cell>
          <cell r="CV46">
            <v>0.11178247734138973</v>
          </cell>
          <cell r="CW46">
            <v>0.12347826086956522</v>
          </cell>
          <cell r="CX46">
            <v>0.11459968602825746</v>
          </cell>
          <cell r="CY46">
            <v>9.307065217391304E-2</v>
          </cell>
          <cell r="DA46" t="str">
            <v>Info. Systems &amp; Tech.</v>
          </cell>
          <cell r="DB46">
            <v>0.10286062081558126</v>
          </cell>
          <cell r="DC46">
            <v>0.1170018281535649</v>
          </cell>
          <cell r="DD46">
            <v>0.11069182389937107</v>
          </cell>
          <cell r="DE46">
            <v>9.7943722943722944E-2</v>
          </cell>
          <cell r="DG46" t="str">
            <v>EPS Adj for Consensus</v>
          </cell>
          <cell r="DH46">
            <v>0.87365955256335326</v>
          </cell>
          <cell r="DI46">
            <v>0.8358111465821999</v>
          </cell>
          <cell r="DJ46">
            <v>0.8974209713957767</v>
          </cell>
          <cell r="DK46">
            <v>0.98198278222971003</v>
          </cell>
          <cell r="EB46" t="str">
            <v>EPS Adj for Consensus</v>
          </cell>
          <cell r="EC46">
            <v>0.87914037854889604</v>
          </cell>
          <cell r="ED46">
            <v>0.97934722222222226</v>
          </cell>
          <cell r="EE46">
            <v>1.0627559055118108</v>
          </cell>
          <cell r="EF46">
            <v>1.366573033707865</v>
          </cell>
          <cell r="EG46">
            <v>1.2261641938674579</v>
          </cell>
          <cell r="EH46">
            <v>1.7689510143493321</v>
          </cell>
        </row>
        <row r="47">
          <cell r="BB47" t="str">
            <v xml:space="preserve">  Total</v>
          </cell>
          <cell r="BC47">
            <v>9.8750000000000004E-2</v>
          </cell>
          <cell r="BD47">
            <v>0.101219512195122</v>
          </cell>
          <cell r="BE47">
            <v>0.10784313725490199</v>
          </cell>
          <cell r="BF47">
            <v>0.113259668508287</v>
          </cell>
          <cell r="BG47" t="str">
            <v xml:space="preserve">  Total</v>
          </cell>
          <cell r="BH47">
            <v>0.104913678618858</v>
          </cell>
          <cell r="BI47">
            <v>0.108108108108108</v>
          </cell>
          <cell r="BJ47">
            <v>0.107242339832869</v>
          </cell>
          <cell r="BK47">
            <v>9.29451287793953E-2</v>
          </cell>
          <cell r="BL47" t="str">
            <v xml:space="preserve">  Total</v>
          </cell>
          <cell r="BM47">
            <v>9.29451287793953E-2</v>
          </cell>
          <cell r="BN47">
            <v>9.6129032258064503E-2</v>
          </cell>
          <cell r="BO47">
            <v>0.103248259860789</v>
          </cell>
          <cell r="BP47">
            <v>0.10223214285714299</v>
          </cell>
          <cell r="BQ47" t="str">
            <v xml:space="preserve">  Total</v>
          </cell>
          <cell r="BR47">
            <v>0.1083953241232731</v>
          </cell>
          <cell r="BS47">
            <v>0.1104651162790698</v>
          </cell>
          <cell r="BT47">
            <v>0.1143724696356275</v>
          </cell>
          <cell r="BU47">
            <v>0.106267029972752</v>
          </cell>
          <cell r="BW47" t="str">
            <v xml:space="preserve">  Total</v>
          </cell>
          <cell r="BX47">
            <v>0.11656811874019549</v>
          </cell>
          <cell r="BY47">
            <v>0.13060518731988471</v>
          </cell>
          <cell r="BZ47">
            <v>0.13513513513513514</v>
          </cell>
          <cell r="CA47">
            <v>5.0162088380822402E-2</v>
          </cell>
          <cell r="CB47">
            <v>0.12002996853304027</v>
          </cell>
          <cell r="CC47">
            <v>0.13350584627180373</v>
          </cell>
          <cell r="CD47">
            <v>0.1309255079006772</v>
          </cell>
          <cell r="CE47">
            <v>0.12394561410116381</v>
          </cell>
          <cell r="CG47" t="str">
            <v xml:space="preserve">  Total</v>
          </cell>
          <cell r="CH47">
            <v>0.1201885310290652</v>
          </cell>
          <cell r="CI47">
            <v>0.12800917080626673</v>
          </cell>
          <cell r="CJ47">
            <v>0.13469224620303757</v>
          </cell>
          <cell r="CK47">
            <v>0.13143939393939394</v>
          </cell>
          <cell r="CL47">
            <v>0.12495323606434718</v>
          </cell>
          <cell r="CM47">
            <v>0.12525320729237002</v>
          </cell>
          <cell r="CN47">
            <v>0.12450331125827814</v>
          </cell>
          <cell r="CO47">
            <v>0.11915269196822595</v>
          </cell>
          <cell r="CQ47" t="str">
            <v>Aerospace</v>
          </cell>
          <cell r="CR47">
            <v>0.18872870249017037</v>
          </cell>
          <cell r="CS47">
            <v>0.17045454545454544</v>
          </cell>
          <cell r="CT47">
            <v>0.13531799729364005</v>
          </cell>
          <cell r="CU47">
            <v>5.8434399117971332E-2</v>
          </cell>
          <cell r="CV47">
            <v>6.7340067340067339E-2</v>
          </cell>
          <cell r="CW47">
            <v>6.2937062937062943E-2</v>
          </cell>
          <cell r="CX47">
            <v>6.1881188118811881E-2</v>
          </cell>
          <cell r="CY47">
            <v>0.10012062726176116</v>
          </cell>
          <cell r="DA47" t="str">
            <v>Aerospace</v>
          </cell>
          <cell r="DB47">
            <v>0.10891089108910891</v>
          </cell>
          <cell r="DC47">
            <v>0.12191958495460441</v>
          </cell>
          <cell r="DD47">
            <v>0.14661654135338345</v>
          </cell>
          <cell r="DE47">
            <v>0.13859020310633213</v>
          </cell>
          <cell r="DG47" t="str">
            <v>Avg. Diluted Shares</v>
          </cell>
          <cell r="DH47">
            <v>404.04754800000001</v>
          </cell>
          <cell r="DI47">
            <v>404.39757400000002</v>
          </cell>
          <cell r="DJ47">
            <v>405.60674599999999</v>
          </cell>
          <cell r="DK47">
            <v>405.30242199999998</v>
          </cell>
          <cell r="EB47" t="str">
            <v>Avg. Diluted Shares</v>
          </cell>
          <cell r="EC47">
            <v>253.6</v>
          </cell>
          <cell r="ED47">
            <v>252</v>
          </cell>
          <cell r="EE47">
            <v>254</v>
          </cell>
          <cell r="EF47">
            <v>409.4</v>
          </cell>
          <cell r="EG47">
            <v>404.4</v>
          </cell>
          <cell r="EH47">
            <v>404.2</v>
          </cell>
        </row>
        <row r="48">
          <cell r="A48" t="str">
            <v>BAL SHEET</v>
          </cell>
          <cell r="G48" t="str">
            <v>BAL SHEET</v>
          </cell>
          <cell r="K48" t="str">
            <v>BAL SHEET</v>
          </cell>
          <cell r="P48" t="str">
            <v>BAL SHEET</v>
          </cell>
          <cell r="AQ48" t="str">
            <v>BAL SHEET</v>
          </cell>
          <cell r="BB48" t="str">
            <v>BAL SHEET</v>
          </cell>
          <cell r="BG48" t="str">
            <v>BAL SHEET</v>
          </cell>
          <cell r="BJ48" t="str">
            <v xml:space="preserve"> </v>
          </cell>
          <cell r="BL48" t="str">
            <v>BAL SHEET</v>
          </cell>
          <cell r="BQ48" t="str">
            <v>BAL SHEET</v>
          </cell>
          <cell r="BW48" t="str">
            <v>Bal Sheet - GD only</v>
          </cell>
          <cell r="CG48" t="str">
            <v xml:space="preserve">Balance Sheet </v>
          </cell>
          <cell r="CQ48" t="str">
            <v>Resources</v>
          </cell>
          <cell r="CR48">
            <v>0.12</v>
          </cell>
          <cell r="CS48">
            <v>0.32467532467532467</v>
          </cell>
          <cell r="CT48">
            <v>0.36470588235294116</v>
          </cell>
          <cell r="CU48">
            <v>0.36486486486486486</v>
          </cell>
          <cell r="CV48">
            <v>0.24390243902439024</v>
          </cell>
          <cell r="CW48">
            <v>0.13043478260869565</v>
          </cell>
          <cell r="CX48">
            <v>0.10256410256410256</v>
          </cell>
          <cell r="CY48">
            <v>7.3529411764705885E-2</v>
          </cell>
          <cell r="DA48" t="str">
            <v>Resources</v>
          </cell>
          <cell r="DB48">
            <v>-0.19148936170212766</v>
          </cell>
          <cell r="DC48">
            <v>0.1076923076923077</v>
          </cell>
          <cell r="DD48">
            <v>0.13513513513513514</v>
          </cell>
          <cell r="DE48">
            <v>1.0810810810810811E-2</v>
          </cell>
        </row>
        <row r="49">
          <cell r="A49" t="str">
            <v>Comml Paper</v>
          </cell>
          <cell r="D49">
            <v>40</v>
          </cell>
          <cell r="E49">
            <v>198</v>
          </cell>
          <cell r="F49">
            <v>3</v>
          </cell>
          <cell r="H49" t="str">
            <v>Comml Paper</v>
          </cell>
          <cell r="I49">
            <v>0</v>
          </cell>
          <cell r="P49" t="str">
            <v>Comml Paper</v>
          </cell>
          <cell r="Z49">
            <v>40</v>
          </cell>
          <cell r="AB49">
            <v>40</v>
          </cell>
          <cell r="AC49">
            <v>223</v>
          </cell>
          <cell r="AD49">
            <v>335</v>
          </cell>
          <cell r="AE49">
            <v>450</v>
          </cell>
          <cell r="AF49">
            <v>198</v>
          </cell>
          <cell r="AG49">
            <v>239.9</v>
          </cell>
          <cell r="AH49">
            <v>4</v>
          </cell>
          <cell r="AI49">
            <v>4</v>
          </cell>
          <cell r="AJ49">
            <v>3</v>
          </cell>
          <cell r="AM49" t="str">
            <v xml:space="preserve"> </v>
          </cell>
          <cell r="AR49" t="str">
            <v>Comml Paper</v>
          </cell>
          <cell r="AS49" t="str">
            <v xml:space="preserve"> </v>
          </cell>
          <cell r="AU49" t="str">
            <v xml:space="preserve"> </v>
          </cell>
          <cell r="AW49" t="str">
            <v>Comml Paper</v>
          </cell>
          <cell r="AX49" t="str">
            <v xml:space="preserve"> </v>
          </cell>
          <cell r="AY49" t="str">
            <v xml:space="preserve"> </v>
          </cell>
          <cell r="AZ49" t="str">
            <v xml:space="preserve"> </v>
          </cell>
          <cell r="CQ49" t="str">
            <v xml:space="preserve">  Total</v>
          </cell>
          <cell r="CR49">
            <v>0.11895551257253385</v>
          </cell>
          <cell r="CS49">
            <v>0.12065031374786081</v>
          </cell>
          <cell r="CT49">
            <v>0.12911084043848964</v>
          </cell>
          <cell r="CU49">
            <v>9.2661034846884899E-2</v>
          </cell>
          <cell r="CV49">
            <v>9.2707410687924416E-2</v>
          </cell>
          <cell r="CW49">
            <v>9.625256673511294E-2</v>
          </cell>
          <cell r="CX49">
            <v>8.0137772675086108E-2</v>
          </cell>
          <cell r="CY49">
            <v>8.6028323821602193E-2</v>
          </cell>
          <cell r="DA49" t="str">
            <v xml:space="preserve">  Total</v>
          </cell>
          <cell r="DB49">
            <v>9.384416702539819E-2</v>
          </cell>
          <cell r="DC49">
            <v>0.10425623387790198</v>
          </cell>
          <cell r="DD49">
            <v>0.10608995050570261</v>
          </cell>
          <cell r="DE49">
            <v>0.10501726589477961</v>
          </cell>
          <cell r="DG49" t="str">
            <v>Balance Sheet Highlights</v>
          </cell>
          <cell r="EB49" t="str">
            <v>Balance Sheet Highlights</v>
          </cell>
        </row>
        <row r="50">
          <cell r="A50" t="str">
            <v>LT DEbt</v>
          </cell>
          <cell r="D50">
            <v>624</v>
          </cell>
          <cell r="E50">
            <v>624</v>
          </cell>
          <cell r="F50">
            <v>636</v>
          </cell>
          <cell r="H50" t="str">
            <v>LT DEbt</v>
          </cell>
          <cell r="I50">
            <v>623</v>
          </cell>
          <cell r="K50" t="str">
            <v>LT DEbt</v>
          </cell>
          <cell r="L50">
            <v>183</v>
          </cell>
          <cell r="M50">
            <v>38</v>
          </cell>
          <cell r="N50">
            <v>40</v>
          </cell>
          <cell r="P50" t="str">
            <v>LT DEbt</v>
          </cell>
          <cell r="Z50">
            <v>625</v>
          </cell>
          <cell r="AB50">
            <v>624</v>
          </cell>
          <cell r="AC50">
            <v>624</v>
          </cell>
          <cell r="AD50">
            <v>623</v>
          </cell>
          <cell r="AE50">
            <v>623</v>
          </cell>
          <cell r="AF50">
            <v>624</v>
          </cell>
          <cell r="AG50">
            <v>623.6</v>
          </cell>
          <cell r="AH50">
            <v>623</v>
          </cell>
          <cell r="AI50">
            <v>631.9</v>
          </cell>
          <cell r="AJ50">
            <v>636</v>
          </cell>
          <cell r="AM50">
            <v>638</v>
          </cell>
          <cell r="AN50">
            <v>636</v>
          </cell>
          <cell r="AO50">
            <v>614</v>
          </cell>
          <cell r="AP50">
            <v>623</v>
          </cell>
          <cell r="AR50" t="str">
            <v>LT DEbt</v>
          </cell>
          <cell r="AS50">
            <v>266</v>
          </cell>
          <cell r="AT50">
            <v>256</v>
          </cell>
          <cell r="AU50">
            <v>243</v>
          </cell>
          <cell r="AV50">
            <v>183</v>
          </cell>
          <cell r="AW50" t="str">
            <v>LT DEbt</v>
          </cell>
          <cell r="AX50">
            <v>83</v>
          </cell>
          <cell r="AY50">
            <v>83</v>
          </cell>
          <cell r="AZ50">
            <v>38</v>
          </cell>
          <cell r="BA50">
            <v>38</v>
          </cell>
          <cell r="BB50" t="str">
            <v>LT DEbt</v>
          </cell>
          <cell r="BC50">
            <v>42</v>
          </cell>
          <cell r="BD50">
            <v>41</v>
          </cell>
          <cell r="BE50">
            <v>41</v>
          </cell>
          <cell r="BF50">
            <v>40</v>
          </cell>
          <cell r="BG50" t="str">
            <v>LT DEbt</v>
          </cell>
          <cell r="BH50">
            <v>40</v>
          </cell>
          <cell r="BI50">
            <v>39</v>
          </cell>
          <cell r="BJ50">
            <v>38</v>
          </cell>
          <cell r="BK50">
            <v>38</v>
          </cell>
          <cell r="BL50" t="str">
            <v>LT DEbt</v>
          </cell>
          <cell r="BM50">
            <v>38</v>
          </cell>
          <cell r="BN50">
            <v>38</v>
          </cell>
          <cell r="BO50">
            <v>38</v>
          </cell>
          <cell r="BP50">
            <v>38</v>
          </cell>
          <cell r="BQ50" t="str">
            <v>LT DEbt</v>
          </cell>
          <cell r="BR50">
            <v>40</v>
          </cell>
          <cell r="BS50">
            <v>40</v>
          </cell>
          <cell r="BT50">
            <v>40</v>
          </cell>
          <cell r="BU50">
            <v>157</v>
          </cell>
          <cell r="BW50" t="str">
            <v>LT DEbt</v>
          </cell>
          <cell r="BX50">
            <v>268</v>
          </cell>
          <cell r="BY50">
            <v>156</v>
          </cell>
          <cell r="BZ50">
            <v>149</v>
          </cell>
          <cell r="CA50">
            <v>169</v>
          </cell>
          <cell r="CB50">
            <v>202</v>
          </cell>
          <cell r="CC50">
            <v>169</v>
          </cell>
          <cell r="CD50">
            <v>1317</v>
          </cell>
          <cell r="CE50">
            <v>1022</v>
          </cell>
          <cell r="CG50" t="str">
            <v>Total  Debt</v>
          </cell>
          <cell r="CH50">
            <v>1168</v>
          </cell>
          <cell r="CI50">
            <v>1071</v>
          </cell>
          <cell r="CJ50">
            <v>1011</v>
          </cell>
          <cell r="CK50">
            <v>502</v>
          </cell>
          <cell r="CL50">
            <v>1143</v>
          </cell>
          <cell r="CM50">
            <v>1183</v>
          </cell>
          <cell r="CN50">
            <v>2239</v>
          </cell>
          <cell r="CO50">
            <v>1924</v>
          </cell>
          <cell r="DG50" t="str">
            <v>Total  Debt</v>
          </cell>
          <cell r="DH50">
            <v>3297</v>
          </cell>
          <cell r="DI50">
            <v>3298</v>
          </cell>
          <cell r="DJ50">
            <v>3297</v>
          </cell>
          <cell r="DK50">
            <v>3291</v>
          </cell>
          <cell r="DL50">
            <v>3285</v>
          </cell>
          <cell r="DM50">
            <v>3649</v>
          </cell>
          <cell r="DN50">
            <v>3107</v>
          </cell>
          <cell r="DO50">
            <v>2781</v>
          </cell>
          <cell r="EB50" t="str">
            <v>Total  Debt</v>
          </cell>
          <cell r="EF50">
            <v>645</v>
          </cell>
          <cell r="EG50">
            <v>530</v>
          </cell>
          <cell r="EH50">
            <v>1022</v>
          </cell>
        </row>
        <row r="51">
          <cell r="A51" t="str">
            <v>Cash</v>
          </cell>
          <cell r="C51">
            <v>181</v>
          </cell>
          <cell r="D51">
            <v>228</v>
          </cell>
          <cell r="E51">
            <v>14</v>
          </cell>
          <cell r="F51">
            <v>115</v>
          </cell>
          <cell r="H51" t="str">
            <v>Cash</v>
          </cell>
          <cell r="I51">
            <v>820</v>
          </cell>
          <cell r="K51" t="str">
            <v>Cash</v>
          </cell>
          <cell r="L51">
            <v>945</v>
          </cell>
          <cell r="M51">
            <v>585</v>
          </cell>
          <cell r="N51">
            <v>1059</v>
          </cell>
          <cell r="P51" t="str">
            <v>Cash</v>
          </cell>
          <cell r="Z51">
            <v>197</v>
          </cell>
          <cell r="AB51">
            <v>228</v>
          </cell>
          <cell r="AC51">
            <v>220</v>
          </cell>
          <cell r="AD51">
            <v>96</v>
          </cell>
          <cell r="AE51">
            <v>119</v>
          </cell>
          <cell r="AF51">
            <v>14</v>
          </cell>
          <cell r="AG51">
            <v>211.3</v>
          </cell>
          <cell r="AH51">
            <v>126</v>
          </cell>
          <cell r="AI51">
            <v>54</v>
          </cell>
          <cell r="AJ51">
            <v>115</v>
          </cell>
          <cell r="AM51">
            <v>143</v>
          </cell>
          <cell r="AN51">
            <v>491</v>
          </cell>
          <cell r="AO51">
            <v>605</v>
          </cell>
          <cell r="AP51">
            <v>820</v>
          </cell>
          <cell r="AR51" t="str">
            <v>Cash</v>
          </cell>
          <cell r="AS51">
            <v>1196</v>
          </cell>
          <cell r="AT51">
            <v>1328</v>
          </cell>
          <cell r="AU51">
            <v>513</v>
          </cell>
          <cell r="AV51">
            <v>945</v>
          </cell>
          <cell r="AW51" t="str">
            <v>Cash</v>
          </cell>
          <cell r="AX51">
            <v>2360</v>
          </cell>
          <cell r="AY51">
            <v>1613</v>
          </cell>
          <cell r="AZ51">
            <v>970</v>
          </cell>
          <cell r="BA51">
            <v>585</v>
          </cell>
          <cell r="BB51" t="str">
            <v>Cash</v>
          </cell>
          <cell r="BC51">
            <v>711</v>
          </cell>
          <cell r="BD51">
            <v>988</v>
          </cell>
          <cell r="BE51">
            <v>953</v>
          </cell>
          <cell r="BF51">
            <v>1059</v>
          </cell>
          <cell r="BG51" t="str">
            <v>Cash</v>
          </cell>
          <cell r="BH51">
            <v>1080</v>
          </cell>
          <cell r="BI51">
            <v>1238</v>
          </cell>
          <cell r="BJ51">
            <v>993</v>
          </cell>
          <cell r="BK51">
            <v>1095</v>
          </cell>
          <cell r="BL51" t="str">
            <v>Cash</v>
          </cell>
          <cell r="BM51">
            <v>1030</v>
          </cell>
          <cell r="BN51">
            <v>1112</v>
          </cell>
          <cell r="BO51">
            <v>1111</v>
          </cell>
          <cell r="BP51">
            <v>1155</v>
          </cell>
          <cell r="BQ51" t="str">
            <v>Cash</v>
          </cell>
          <cell r="BR51">
            <v>665</v>
          </cell>
          <cell r="BS51">
            <v>788</v>
          </cell>
          <cell r="BT51">
            <v>874</v>
          </cell>
          <cell r="BU51">
            <v>441</v>
          </cell>
          <cell r="BW51" t="str">
            <v>Cash</v>
          </cell>
          <cell r="BX51">
            <v>403</v>
          </cell>
          <cell r="BY51">
            <v>322</v>
          </cell>
          <cell r="BZ51">
            <v>400</v>
          </cell>
          <cell r="CA51">
            <v>220</v>
          </cell>
          <cell r="CB51">
            <v>185</v>
          </cell>
          <cell r="CC51">
            <v>393</v>
          </cell>
          <cell r="CD51">
            <v>69</v>
          </cell>
          <cell r="CE51">
            <v>270</v>
          </cell>
          <cell r="CG51" t="str">
            <v>Cash</v>
          </cell>
          <cell r="CH51">
            <v>236</v>
          </cell>
          <cell r="CI51">
            <v>275</v>
          </cell>
          <cell r="CJ51">
            <v>367</v>
          </cell>
          <cell r="CK51">
            <v>177</v>
          </cell>
          <cell r="CL51">
            <v>280</v>
          </cell>
          <cell r="CM51">
            <v>163</v>
          </cell>
          <cell r="CN51">
            <v>579</v>
          </cell>
          <cell r="CO51">
            <v>442</v>
          </cell>
          <cell r="CQ51" t="str">
            <v>Balance Sheet Highlights</v>
          </cell>
          <cell r="DA51" t="str">
            <v>Balance Sheet Highlights</v>
          </cell>
          <cell r="DG51" t="str">
            <v>Cash</v>
          </cell>
          <cell r="DH51">
            <v>1511</v>
          </cell>
          <cell r="DI51">
            <v>1438</v>
          </cell>
          <cell r="DJ51">
            <v>1754</v>
          </cell>
          <cell r="DK51">
            <v>2331</v>
          </cell>
          <cell r="DL51">
            <v>2599</v>
          </cell>
          <cell r="DM51">
            <v>1399</v>
          </cell>
          <cell r="DN51">
            <v>963</v>
          </cell>
          <cell r="DO51">
            <v>1604</v>
          </cell>
          <cell r="EB51" t="str">
            <v>Cash</v>
          </cell>
          <cell r="EF51">
            <v>669.47499999999991</v>
          </cell>
          <cell r="EG51">
            <v>117.33579999999984</v>
          </cell>
          <cell r="EH51">
            <v>176.34579999999983</v>
          </cell>
        </row>
        <row r="52">
          <cell r="A52" t="str">
            <v>Net Debt-Parent</v>
          </cell>
          <cell r="D52">
            <v>436</v>
          </cell>
          <cell r="E52">
            <v>808</v>
          </cell>
          <cell r="F52">
            <v>524</v>
          </cell>
          <cell r="H52" t="str">
            <v>Net Debt-Parent</v>
          </cell>
          <cell r="I52">
            <v>-197</v>
          </cell>
          <cell r="K52" t="str">
            <v>Net Debt-Parent</v>
          </cell>
          <cell r="L52">
            <v>-762</v>
          </cell>
          <cell r="M52">
            <v>-547</v>
          </cell>
          <cell r="N52">
            <v>-1019</v>
          </cell>
          <cell r="P52" t="str">
            <v>Net Debt-Parent</v>
          </cell>
          <cell r="Z52">
            <v>468</v>
          </cell>
          <cell r="AB52">
            <v>436</v>
          </cell>
          <cell r="AC52">
            <v>627</v>
          </cell>
          <cell r="AD52">
            <v>862</v>
          </cell>
          <cell r="AE52">
            <v>954</v>
          </cell>
          <cell r="AF52">
            <v>808</v>
          </cell>
          <cell r="AG52">
            <v>652.20000000000005</v>
          </cell>
          <cell r="AH52">
            <v>501</v>
          </cell>
          <cell r="AI52">
            <v>581.9</v>
          </cell>
          <cell r="AJ52">
            <v>524</v>
          </cell>
          <cell r="AM52">
            <v>495</v>
          </cell>
          <cell r="AN52">
            <v>145</v>
          </cell>
          <cell r="AO52">
            <v>9</v>
          </cell>
          <cell r="AP52">
            <v>-197</v>
          </cell>
          <cell r="AR52" t="str">
            <v>Net Debt-Parent</v>
          </cell>
          <cell r="AS52">
            <v>-930</v>
          </cell>
          <cell r="AT52">
            <v>-1072</v>
          </cell>
          <cell r="AU52">
            <v>-270</v>
          </cell>
          <cell r="AV52">
            <v>-762</v>
          </cell>
          <cell r="AW52" t="str">
            <v>Net Debt-Parent</v>
          </cell>
          <cell r="AX52">
            <v>-2277</v>
          </cell>
          <cell r="AY52">
            <v>-1530</v>
          </cell>
          <cell r="AZ52">
            <v>-932</v>
          </cell>
          <cell r="BA52">
            <v>-547</v>
          </cell>
          <cell r="BB52" t="str">
            <v>Net Debt-Parent</v>
          </cell>
          <cell r="BC52">
            <v>-669</v>
          </cell>
          <cell r="BD52">
            <v>-947</v>
          </cell>
          <cell r="BE52">
            <v>-912</v>
          </cell>
          <cell r="BF52">
            <v>-1019</v>
          </cell>
          <cell r="BG52" t="str">
            <v>Net Debt-Parent</v>
          </cell>
          <cell r="BH52">
            <v>-1040</v>
          </cell>
          <cell r="BI52">
            <v>-1199</v>
          </cell>
          <cell r="BJ52">
            <v>-955</v>
          </cell>
          <cell r="BK52">
            <v>-1057</v>
          </cell>
          <cell r="BL52" t="str">
            <v>Net Debt-Parent</v>
          </cell>
          <cell r="BM52">
            <v>-992</v>
          </cell>
          <cell r="BN52">
            <v>-1074</v>
          </cell>
          <cell r="BO52">
            <v>-1073</v>
          </cell>
          <cell r="BP52">
            <v>-1117</v>
          </cell>
          <cell r="BQ52" t="str">
            <v>Net Debt-Parent</v>
          </cell>
          <cell r="BR52">
            <v>-625</v>
          </cell>
          <cell r="BS52">
            <v>-748</v>
          </cell>
          <cell r="BT52">
            <v>-834</v>
          </cell>
          <cell r="BU52">
            <v>-284</v>
          </cell>
          <cell r="BW52" t="str">
            <v>Net Debt-Parent</v>
          </cell>
          <cell r="BX52">
            <v>135</v>
          </cell>
          <cell r="BY52">
            <v>166</v>
          </cell>
          <cell r="BZ52">
            <v>251</v>
          </cell>
          <cell r="CA52">
            <v>51</v>
          </cell>
          <cell r="CB52">
            <v>-17</v>
          </cell>
          <cell r="CC52">
            <v>224</v>
          </cell>
          <cell r="CD52">
            <v>-1248</v>
          </cell>
          <cell r="CE52">
            <v>-752</v>
          </cell>
          <cell r="CG52" t="str">
            <v>Net Debt (Cash)</v>
          </cell>
          <cell r="CH52">
            <v>932</v>
          </cell>
          <cell r="CI52">
            <v>796</v>
          </cell>
          <cell r="CJ52">
            <v>644</v>
          </cell>
          <cell r="CK52">
            <v>325</v>
          </cell>
          <cell r="CL52">
            <v>863</v>
          </cell>
          <cell r="CM52">
            <v>1020</v>
          </cell>
          <cell r="CN52">
            <v>1660</v>
          </cell>
          <cell r="CO52">
            <v>1482</v>
          </cell>
          <cell r="CQ52" t="str">
            <v>Total  Debt</v>
          </cell>
          <cell r="CR52">
            <v>2016</v>
          </cell>
          <cell r="CS52">
            <v>1948</v>
          </cell>
          <cell r="CT52">
            <v>2021</v>
          </cell>
          <cell r="CU52">
            <v>1450</v>
          </cell>
          <cell r="CV52">
            <v>3100</v>
          </cell>
          <cell r="CW52">
            <v>3084</v>
          </cell>
          <cell r="CX52">
            <v>4544</v>
          </cell>
          <cell r="CY52">
            <v>4043</v>
          </cell>
          <cell r="DA52" t="str">
            <v>Total  Debt</v>
          </cell>
          <cell r="DB52">
            <v>3858</v>
          </cell>
          <cell r="DC52">
            <v>3816</v>
          </cell>
          <cell r="DD52">
            <v>3687</v>
          </cell>
          <cell r="DE52">
            <v>3297</v>
          </cell>
          <cell r="DG52" t="str">
            <v>Net Debt (Cash)</v>
          </cell>
          <cell r="DH52">
            <v>1786</v>
          </cell>
          <cell r="DI52">
            <v>1860</v>
          </cell>
          <cell r="DJ52">
            <v>1543</v>
          </cell>
          <cell r="DK52">
            <v>960</v>
          </cell>
          <cell r="DL52">
            <v>686</v>
          </cell>
          <cell r="DM52">
            <v>2250</v>
          </cell>
          <cell r="DN52">
            <v>2144</v>
          </cell>
          <cell r="DO52">
            <v>1177</v>
          </cell>
          <cell r="EB52" t="str">
            <v>Net Debt (Cash)</v>
          </cell>
          <cell r="EC52">
            <v>-1019.95</v>
          </cell>
          <cell r="ED52">
            <v>-1056.7455</v>
          </cell>
          <cell r="EE52">
            <v>-855.68550000000005</v>
          </cell>
          <cell r="EF52">
            <v>-24.474999999999909</v>
          </cell>
          <cell r="EG52">
            <v>412.66420000000016</v>
          </cell>
          <cell r="EH52">
            <v>845.65420000000017</v>
          </cell>
        </row>
        <row r="53">
          <cell r="A53" t="str">
            <v>Equity</v>
          </cell>
          <cell r="D53">
            <v>1878</v>
          </cell>
          <cell r="E53">
            <v>2126</v>
          </cell>
          <cell r="F53">
            <v>1510</v>
          </cell>
          <cell r="H53" t="str">
            <v>Equity</v>
          </cell>
          <cell r="I53">
            <v>1980</v>
          </cell>
          <cell r="K53" t="str">
            <v>Equity</v>
          </cell>
          <cell r="L53">
            <v>1874</v>
          </cell>
          <cell r="M53">
            <v>1177</v>
          </cell>
          <cell r="N53">
            <v>1316</v>
          </cell>
          <cell r="P53" t="str">
            <v>Equity</v>
          </cell>
          <cell r="Z53">
            <v>1761</v>
          </cell>
          <cell r="AB53">
            <v>1878</v>
          </cell>
          <cell r="AC53">
            <v>1946</v>
          </cell>
          <cell r="AD53">
            <v>1996</v>
          </cell>
          <cell r="AE53">
            <v>2064</v>
          </cell>
          <cell r="AF53">
            <v>2126</v>
          </cell>
          <cell r="AG53">
            <v>2246.5</v>
          </cell>
          <cell r="AH53">
            <v>1993</v>
          </cell>
          <cell r="AI53">
            <v>2051</v>
          </cell>
          <cell r="AJ53">
            <v>1510</v>
          </cell>
          <cell r="AM53">
            <v>1562</v>
          </cell>
          <cell r="AN53">
            <v>1763</v>
          </cell>
          <cell r="AO53">
            <v>1824</v>
          </cell>
          <cell r="AP53">
            <v>1980</v>
          </cell>
          <cell r="AR53" t="str">
            <v>Equity</v>
          </cell>
          <cell r="AS53">
            <v>2422</v>
          </cell>
          <cell r="AT53">
            <v>2492</v>
          </cell>
          <cell r="AU53">
            <v>1660</v>
          </cell>
          <cell r="AV53">
            <v>1874</v>
          </cell>
          <cell r="AW53" t="str">
            <v>Equity</v>
          </cell>
          <cell r="AX53">
            <v>1939</v>
          </cell>
          <cell r="AY53">
            <v>1432</v>
          </cell>
          <cell r="AZ53">
            <v>1117</v>
          </cell>
          <cell r="BA53">
            <v>1177</v>
          </cell>
          <cell r="BB53" t="str">
            <v>Equity</v>
          </cell>
          <cell r="BC53">
            <v>1220</v>
          </cell>
          <cell r="BD53">
            <v>1250</v>
          </cell>
          <cell r="BE53">
            <v>1283</v>
          </cell>
          <cell r="BF53">
            <v>1316</v>
          </cell>
          <cell r="BG53" t="str">
            <v>Equity</v>
          </cell>
          <cell r="BH53">
            <v>1353</v>
          </cell>
          <cell r="BI53">
            <v>1411</v>
          </cell>
          <cell r="BJ53">
            <v>1480</v>
          </cell>
          <cell r="BK53">
            <v>1480</v>
          </cell>
          <cell r="BL53" t="str">
            <v>Equity</v>
          </cell>
          <cell r="BM53">
            <v>1601</v>
          </cell>
          <cell r="BN53">
            <v>1641</v>
          </cell>
          <cell r="BO53">
            <v>1665</v>
          </cell>
          <cell r="BP53">
            <v>1714</v>
          </cell>
          <cell r="BQ53" t="str">
            <v>Equity</v>
          </cell>
          <cell r="BR53">
            <v>1744</v>
          </cell>
          <cell r="BS53">
            <v>1792</v>
          </cell>
          <cell r="BT53">
            <v>1856</v>
          </cell>
          <cell r="BU53">
            <v>1915</v>
          </cell>
          <cell r="BW53" t="str">
            <v>Equity</v>
          </cell>
          <cell r="BX53">
            <v>1989</v>
          </cell>
          <cell r="BY53">
            <v>2064</v>
          </cell>
          <cell r="BZ53">
            <v>2120</v>
          </cell>
          <cell r="CA53">
            <v>2219</v>
          </cell>
          <cell r="CB53">
            <v>2489</v>
          </cell>
          <cell r="CC53">
            <v>2575</v>
          </cell>
          <cell r="CD53">
            <v>3031</v>
          </cell>
          <cell r="CE53">
            <v>3171</v>
          </cell>
          <cell r="CG53" t="str">
            <v>Equity</v>
          </cell>
          <cell r="CH53">
            <v>3270</v>
          </cell>
          <cell r="CI53">
            <v>3315</v>
          </cell>
          <cell r="CJ53">
            <v>3577</v>
          </cell>
          <cell r="CK53">
            <v>3820</v>
          </cell>
          <cell r="CL53">
            <v>4008</v>
          </cell>
          <cell r="CM53">
            <v>4214</v>
          </cell>
          <cell r="CN53">
            <v>4434</v>
          </cell>
          <cell r="CO53">
            <v>4525</v>
          </cell>
          <cell r="CQ53" t="str">
            <v>Cash</v>
          </cell>
          <cell r="CR53">
            <v>377</v>
          </cell>
          <cell r="CS53">
            <v>376</v>
          </cell>
          <cell r="CT53">
            <v>468</v>
          </cell>
          <cell r="CU53">
            <v>328</v>
          </cell>
          <cell r="CV53">
            <v>748</v>
          </cell>
          <cell r="CW53">
            <v>811</v>
          </cell>
          <cell r="CX53">
            <v>697</v>
          </cell>
          <cell r="CY53">
            <v>861</v>
          </cell>
          <cell r="DA53" t="str">
            <v>Cash</v>
          </cell>
          <cell r="DB53">
            <v>869</v>
          </cell>
          <cell r="DC53">
            <v>1100</v>
          </cell>
          <cell r="DD53">
            <v>686</v>
          </cell>
          <cell r="DE53">
            <v>976</v>
          </cell>
          <cell r="DG53" t="str">
            <v>Equity</v>
          </cell>
          <cell r="DH53">
            <v>7396</v>
          </cell>
          <cell r="DI53">
            <v>7576</v>
          </cell>
          <cell r="DJ53">
            <v>7973</v>
          </cell>
          <cell r="DK53">
            <v>8145</v>
          </cell>
          <cell r="DL53">
            <v>8467</v>
          </cell>
          <cell r="DM53">
            <v>9081</v>
          </cell>
          <cell r="DN53">
            <v>9472</v>
          </cell>
          <cell r="DO53">
            <v>9827</v>
          </cell>
          <cell r="EB53" t="str">
            <v>Equity</v>
          </cell>
          <cell r="EC53">
            <v>1316</v>
          </cell>
          <cell r="ED53">
            <v>1567</v>
          </cell>
          <cell r="EE53">
            <v>1714</v>
          </cell>
          <cell r="EF53">
            <v>2008</v>
          </cell>
          <cell r="EG53">
            <v>2415</v>
          </cell>
          <cell r="EH53">
            <v>3170.4</v>
          </cell>
        </row>
        <row r="54">
          <cell r="A54" t="str">
            <v>Net Debt/Cap</v>
          </cell>
          <cell r="D54">
            <v>0.188418323249784</v>
          </cell>
          <cell r="E54">
            <v>0.27539195637355102</v>
          </cell>
          <cell r="F54">
            <v>0.25762045231071801</v>
          </cell>
          <cell r="H54" t="str">
            <v>Net Debt/Cap</v>
          </cell>
          <cell r="I54">
            <v>-0.11048794167134</v>
          </cell>
          <cell r="P54" t="str">
            <v>Net Debt/Cap</v>
          </cell>
          <cell r="Z54">
            <v>0.20995962314939401</v>
          </cell>
          <cell r="AB54">
            <v>0.188418323249784</v>
          </cell>
          <cell r="AC54">
            <v>0.243684415079674</v>
          </cell>
          <cell r="AD54">
            <v>0.30160951714485701</v>
          </cell>
          <cell r="AE54">
            <v>0.31610337972167002</v>
          </cell>
          <cell r="AF54">
            <v>0.27539195637355102</v>
          </cell>
          <cell r="AG54">
            <v>0.22499741263324899</v>
          </cell>
          <cell r="AH54">
            <v>0.20088211708099399</v>
          </cell>
          <cell r="AI54">
            <v>0.22101105245166899</v>
          </cell>
          <cell r="AJ54">
            <v>0.25762045231071801</v>
          </cell>
          <cell r="AM54">
            <v>0.24064171122994699</v>
          </cell>
          <cell r="AN54">
            <v>7.5995807127882606E-2</v>
          </cell>
          <cell r="AO54">
            <v>4.9099836333878896E-3</v>
          </cell>
          <cell r="AP54">
            <v>-0.11048794167134</v>
          </cell>
          <cell r="AR54" t="str">
            <v>Net Debt/Cap</v>
          </cell>
          <cell r="AS54">
            <v>-0.62332439678284202</v>
          </cell>
          <cell r="AT54">
            <v>-0.75492957746478895</v>
          </cell>
          <cell r="AU54">
            <v>-0.194244604316547</v>
          </cell>
          <cell r="AV54" t="str">
            <v>NMF</v>
          </cell>
          <cell r="AW54" t="str">
            <v>Net Debt/Cap</v>
          </cell>
          <cell r="AX54" t="str">
            <v>NMF</v>
          </cell>
          <cell r="AY54" t="str">
            <v>NMF</v>
          </cell>
          <cell r="AZ54" t="str">
            <v>NMF</v>
          </cell>
          <cell r="BA54" t="str">
            <v>NMF</v>
          </cell>
          <cell r="BB54" t="str">
            <v>Net Debt/Cap</v>
          </cell>
          <cell r="BC54" t="str">
            <v>NMF</v>
          </cell>
          <cell r="BD54" t="str">
            <v>NMF</v>
          </cell>
          <cell r="BE54" t="str">
            <v>NMF</v>
          </cell>
          <cell r="BF54" t="str">
            <v>NMF</v>
          </cell>
          <cell r="CG54" t="str">
            <v>N. Debt/cap</v>
          </cell>
          <cell r="CQ54" t="str">
            <v>Net Debt (Cash)</v>
          </cell>
          <cell r="CR54">
            <v>1639</v>
          </cell>
          <cell r="CS54">
            <v>1572</v>
          </cell>
          <cell r="CT54">
            <v>1553</v>
          </cell>
          <cell r="CU54">
            <v>1122</v>
          </cell>
          <cell r="CV54">
            <v>2352</v>
          </cell>
          <cell r="CW54">
            <v>2273</v>
          </cell>
          <cell r="CX54">
            <v>3847</v>
          </cell>
          <cell r="CY54">
            <v>3182</v>
          </cell>
          <cell r="DA54" t="str">
            <v>Net Debt (Cash)</v>
          </cell>
          <cell r="DB54">
            <v>2989</v>
          </cell>
          <cell r="DC54">
            <v>2716</v>
          </cell>
          <cell r="DD54">
            <v>3001</v>
          </cell>
          <cell r="DE54">
            <v>2321</v>
          </cell>
          <cell r="DG54" t="str">
            <v>Net Debt(Cash)/Cap</v>
          </cell>
          <cell r="DH54">
            <v>0.19451099978218253</v>
          </cell>
          <cell r="DI54">
            <v>0.19711742263671048</v>
          </cell>
          <cell r="DJ54">
            <v>0.16214796132828921</v>
          </cell>
          <cell r="DK54">
            <v>0.10543657331136738</v>
          </cell>
          <cell r="DL54">
            <v>7.4948104446629527E-2</v>
          </cell>
          <cell r="DM54">
            <v>0.19857029388403494</v>
          </cell>
          <cell r="DN54">
            <v>0.18457300275482094</v>
          </cell>
          <cell r="DO54">
            <v>0.1069611050527081</v>
          </cell>
          <cell r="EB54" t="str">
            <v>Net Debt(Cash)/Cap</v>
          </cell>
          <cell r="EC54" t="str">
            <v>NM</v>
          </cell>
          <cell r="ED54" t="str">
            <v>NM</v>
          </cell>
          <cell r="EE54" t="str">
            <v>NM</v>
          </cell>
          <cell r="EF54" t="str">
            <v>NM</v>
          </cell>
          <cell r="EG54">
            <v>0.14593819167070834</v>
          </cell>
          <cell r="EH54">
            <v>0.21056842310544516</v>
          </cell>
        </row>
        <row r="55">
          <cell r="A55" t="str">
            <v>Cash/share</v>
          </cell>
          <cell r="BG55" t="str">
            <v>Cash/share</v>
          </cell>
          <cell r="BJ55">
            <v>15.6872037914692</v>
          </cell>
          <cell r="BK55">
            <v>17.325949367088601</v>
          </cell>
          <cell r="BL55" t="str">
            <v>Cash/share</v>
          </cell>
          <cell r="BM55">
            <v>8.1487341772151893</v>
          </cell>
          <cell r="BN55">
            <v>8.7835703001579795</v>
          </cell>
          <cell r="BO55">
            <v>8.8034865293185405</v>
          </cell>
          <cell r="BP55">
            <v>9.1376582278480996</v>
          </cell>
          <cell r="BQ55" t="str">
            <v>Cash/share</v>
          </cell>
          <cell r="BR55">
            <v>4.9524564183835178</v>
          </cell>
          <cell r="BS55">
            <v>5.9744408945686898</v>
          </cell>
          <cell r="BT55">
            <v>6.6401273885350323</v>
          </cell>
          <cell r="BU55">
            <v>2.275641025641026</v>
          </cell>
          <cell r="BW55" t="str">
            <v>Cash/share//NDEbt/cap</v>
          </cell>
          <cell r="BX55">
            <v>0.66737523790691355</v>
          </cell>
          <cell r="BY55">
            <v>0.81612586037364798</v>
          </cell>
          <cell r="BZ55">
            <v>1.2395061728395063</v>
          </cell>
          <cell r="CA55">
            <v>0.25135534746180382</v>
          </cell>
          <cell r="CQ55" t="str">
            <v>Equity</v>
          </cell>
          <cell r="CR55">
            <v>4741</v>
          </cell>
          <cell r="CS55">
            <v>4989</v>
          </cell>
          <cell r="CT55">
            <v>5121</v>
          </cell>
          <cell r="CU55">
            <v>5199</v>
          </cell>
          <cell r="CV55">
            <v>5108</v>
          </cell>
          <cell r="CW55">
            <v>5407</v>
          </cell>
          <cell r="CX55">
            <v>5586</v>
          </cell>
          <cell r="CY55">
            <v>5921</v>
          </cell>
          <cell r="DA55" t="str">
            <v>Equity</v>
          </cell>
          <cell r="DB55">
            <v>6217</v>
          </cell>
          <cell r="DC55">
            <v>6458</v>
          </cell>
          <cell r="DD55">
            <v>6777</v>
          </cell>
          <cell r="DE55">
            <v>7189</v>
          </cell>
        </row>
        <row r="56">
          <cell r="A56" t="str">
            <v>FUNDED BACKLOG</v>
          </cell>
          <cell r="F56">
            <v>18.600000000000001</v>
          </cell>
          <cell r="G56" t="str">
            <v>Funded Backlog</v>
          </cell>
          <cell r="I56">
            <v>18</v>
          </cell>
          <cell r="K56" t="str">
            <v>Funded Backlog</v>
          </cell>
          <cell r="L56">
            <v>8.5</v>
          </cell>
          <cell r="M56">
            <v>5.5</v>
          </cell>
          <cell r="N56">
            <v>4.5999999999999996</v>
          </cell>
          <cell r="P56" t="str">
            <v>FUNDED BACKLOG</v>
          </cell>
          <cell r="AG56">
            <v>19.100000000000001</v>
          </cell>
          <cell r="AH56">
            <v>18.2</v>
          </cell>
          <cell r="AI56">
            <v>17.3</v>
          </cell>
          <cell r="AJ56">
            <v>18.600000000000001</v>
          </cell>
          <cell r="AM56">
            <v>18</v>
          </cell>
          <cell r="AN56">
            <v>17.7</v>
          </cell>
          <cell r="AO56">
            <v>17.7</v>
          </cell>
          <cell r="AP56">
            <v>18</v>
          </cell>
          <cell r="AQ56" t="str">
            <v>Funded Backlog</v>
          </cell>
          <cell r="AS56" t="str">
            <v xml:space="preserve"> </v>
          </cell>
          <cell r="AT56" t="str">
            <v xml:space="preserve"> </v>
          </cell>
          <cell r="AU56" t="str">
            <v xml:space="preserve"> </v>
          </cell>
          <cell r="AV56">
            <v>8.5</v>
          </cell>
          <cell r="AX56">
            <v>6.4</v>
          </cell>
          <cell r="AY56">
            <v>6.2</v>
          </cell>
          <cell r="AZ56">
            <v>5.7</v>
          </cell>
          <cell r="BA56">
            <v>5.5</v>
          </cell>
          <cell r="BB56" t="str">
            <v>Funded Backlog</v>
          </cell>
          <cell r="BC56">
            <v>5.2</v>
          </cell>
          <cell r="BD56">
            <v>4.9000000000000004</v>
          </cell>
          <cell r="BE56">
            <v>5.0999999999999996</v>
          </cell>
          <cell r="BF56">
            <v>4.5999999999999996</v>
          </cell>
          <cell r="BG56" t="str">
            <v>Funded Backlog</v>
          </cell>
          <cell r="BH56">
            <v>4.5</v>
          </cell>
          <cell r="BI56">
            <v>4.0999999999999996</v>
          </cell>
          <cell r="BJ56">
            <v>6</v>
          </cell>
          <cell r="BK56">
            <v>5.2</v>
          </cell>
          <cell r="BL56" t="str">
            <v>Funded Backlog</v>
          </cell>
          <cell r="BM56">
            <v>4.8</v>
          </cell>
          <cell r="BN56">
            <v>5.9</v>
          </cell>
          <cell r="BO56">
            <v>5.6</v>
          </cell>
          <cell r="BP56">
            <v>6.2</v>
          </cell>
          <cell r="BQ56" t="str">
            <v>Funded Backlog</v>
          </cell>
          <cell r="BR56">
            <v>6.7</v>
          </cell>
          <cell r="BS56">
            <v>6.2</v>
          </cell>
          <cell r="BT56">
            <v>5.7</v>
          </cell>
          <cell r="BU56">
            <v>6.8</v>
          </cell>
          <cell r="BW56" t="str">
            <v>Funded BL-GD</v>
          </cell>
          <cell r="BX56">
            <v>7.2</v>
          </cell>
          <cell r="BY56">
            <v>6.6</v>
          </cell>
          <cell r="BZ56">
            <v>7.1</v>
          </cell>
          <cell r="CA56">
            <v>7.3</v>
          </cell>
          <cell r="CB56">
            <v>8.0389999999999997</v>
          </cell>
          <cell r="CC56">
            <v>7.6</v>
          </cell>
          <cell r="CD56">
            <v>10.5</v>
          </cell>
          <cell r="CE56">
            <v>11.7</v>
          </cell>
          <cell r="CG56" t="str">
            <v>Funded BL-GD</v>
          </cell>
          <cell r="CH56">
            <v>12.909000000000001</v>
          </cell>
          <cell r="CI56">
            <v>12.606999999999999</v>
          </cell>
          <cell r="CJ56">
            <v>12.444000000000001</v>
          </cell>
          <cell r="CK56">
            <v>14.366</v>
          </cell>
          <cell r="CL56">
            <v>15.32</v>
          </cell>
          <cell r="CM56">
            <v>16.2</v>
          </cell>
          <cell r="CN56">
            <v>20.9</v>
          </cell>
          <cell r="CO56">
            <v>20.2</v>
          </cell>
          <cell r="CQ56" t="str">
            <v>N. Debt/cap</v>
          </cell>
          <cell r="CR56">
            <v>0.25689655172413794</v>
          </cell>
          <cell r="CS56">
            <v>0.23959762231367171</v>
          </cell>
          <cell r="CT56">
            <v>0.23269403655978424</v>
          </cell>
          <cell r="CU56">
            <v>0.17750355956336022</v>
          </cell>
          <cell r="CV56">
            <v>0.31528150134048255</v>
          </cell>
          <cell r="CW56">
            <v>0.29596354166666666</v>
          </cell>
          <cell r="CX56">
            <v>0.40782359800699669</v>
          </cell>
          <cell r="CY56">
            <v>0.34955509172800175</v>
          </cell>
          <cell r="DA56" t="str">
            <v>Net Debt(Cash)/Cap</v>
          </cell>
          <cell r="DB56">
            <v>0.32467955681077559</v>
          </cell>
          <cell r="DC56">
            <v>0.29605406583823851</v>
          </cell>
          <cell r="DD56">
            <v>0.30691347923910822</v>
          </cell>
          <cell r="DE56">
            <v>0.24405888538380652</v>
          </cell>
          <cell r="DG56" t="str">
            <v>Total Debt to Equity</v>
          </cell>
          <cell r="DH56">
            <v>0.30833255400729448</v>
          </cell>
          <cell r="DI56">
            <v>0.30329225675924221</v>
          </cell>
          <cell r="DJ56">
            <v>0.29254658385093169</v>
          </cell>
          <cell r="DK56">
            <v>0.28777544596012594</v>
          </cell>
          <cell r="DL56">
            <v>0.27952688904016337</v>
          </cell>
          <cell r="DM56">
            <v>0.28664571877454831</v>
          </cell>
          <cell r="DN56">
            <v>0.24699896653152079</v>
          </cell>
          <cell r="DO56">
            <v>0.22057423857868019</v>
          </cell>
          <cell r="EB56" t="str">
            <v>Total Debt to Equity</v>
          </cell>
          <cell r="EH56">
            <v>0.24377444900295775</v>
          </cell>
        </row>
        <row r="57">
          <cell r="Q57">
            <v>41.8</v>
          </cell>
          <cell r="R57">
            <v>48.6</v>
          </cell>
          <cell r="S57">
            <v>28</v>
          </cell>
          <cell r="T57">
            <v>23.9</v>
          </cell>
          <cell r="U57">
            <v>46.7</v>
          </cell>
          <cell r="V57">
            <v>41.1</v>
          </cell>
          <cell r="W57">
            <v>42.4</v>
          </cell>
          <cell r="X57">
            <v>30.2</v>
          </cell>
          <cell r="Y57">
            <v>38.700000000000003</v>
          </cell>
          <cell r="Z57">
            <v>19.8</v>
          </cell>
          <cell r="AA57">
            <v>38</v>
          </cell>
          <cell r="AB57">
            <v>46.4</v>
          </cell>
          <cell r="AC57">
            <v>43.6</v>
          </cell>
          <cell r="AD57">
            <v>39.700000000000003</v>
          </cell>
          <cell r="AE57">
            <v>30.5</v>
          </cell>
          <cell r="AF57">
            <v>35.1</v>
          </cell>
          <cell r="AG57">
            <v>-0.517073170731707</v>
          </cell>
          <cell r="AH57">
            <v>0.362041467304625</v>
          </cell>
          <cell r="AI57">
            <v>-0.80722891566265098</v>
          </cell>
          <cell r="AJ57">
            <v>0.205798343330477</v>
          </cell>
          <cell r="DG57" t="str">
            <v>Orders ($B)</v>
          </cell>
          <cell r="DJ57">
            <v>5.0999999999999996</v>
          </cell>
          <cell r="EB57" t="str">
            <v>Orders ($B)</v>
          </cell>
        </row>
        <row r="58">
          <cell r="Q58">
            <v>-7.7</v>
          </cell>
          <cell r="R58">
            <v>12.3</v>
          </cell>
          <cell r="S58">
            <v>8</v>
          </cell>
          <cell r="T58">
            <v>-3.9</v>
          </cell>
          <cell r="U58">
            <v>-9.8000000000000007</v>
          </cell>
          <cell r="V58">
            <v>14.1</v>
          </cell>
          <cell r="W58">
            <v>11.8</v>
          </cell>
          <cell r="X58">
            <v>5.2</v>
          </cell>
          <cell r="Y58">
            <v>-10</v>
          </cell>
          <cell r="Z58">
            <v>8</v>
          </cell>
          <cell r="AA58">
            <v>-5.7</v>
          </cell>
          <cell r="AB58">
            <v>1.6</v>
          </cell>
          <cell r="AC58">
            <v>-8.9</v>
          </cell>
          <cell r="AD58">
            <v>14.8</v>
          </cell>
          <cell r="AE58">
            <v>15.8</v>
          </cell>
          <cell r="AF58">
            <v>5.5</v>
          </cell>
          <cell r="AG58">
            <v>33</v>
          </cell>
          <cell r="AH58">
            <v>25</v>
          </cell>
          <cell r="AI58">
            <v>14</v>
          </cell>
          <cell r="AJ58">
            <v>-83</v>
          </cell>
          <cell r="AK58" t="str">
            <v xml:space="preserve"> </v>
          </cell>
          <cell r="AL58">
            <v>-83</v>
          </cell>
          <cell r="AM58">
            <v>18</v>
          </cell>
          <cell r="AN58">
            <v>7</v>
          </cell>
          <cell r="AO58">
            <v>15</v>
          </cell>
          <cell r="AP58">
            <v>36</v>
          </cell>
          <cell r="BQ58" t="str">
            <v>Revenue Growth</v>
          </cell>
          <cell r="BW58" t="str">
            <v>Backlog by division, Funded</v>
          </cell>
          <cell r="CG58" t="str">
            <v>Backlog by division, Unfunded</v>
          </cell>
          <cell r="CH58" t="str">
            <v>--- unfunded ----</v>
          </cell>
          <cell r="CQ58" t="str">
            <v xml:space="preserve">New Orders </v>
          </cell>
          <cell r="DA58" t="str">
            <v>Total Debt to Equity</v>
          </cell>
          <cell r="DB58">
            <v>0.38292803970223327</v>
          </cell>
          <cell r="DC58">
            <v>0.37142300953864121</v>
          </cell>
          <cell r="DD58">
            <v>0.35235091743119268</v>
          </cell>
          <cell r="DE58">
            <v>0.3144192256341789</v>
          </cell>
          <cell r="DG58" t="str">
            <v>Book:bill</v>
          </cell>
          <cell r="EB58" t="str">
            <v>Book:bill</v>
          </cell>
        </row>
        <row r="59">
          <cell r="Q59">
            <v>420</v>
          </cell>
          <cell r="R59">
            <v>436</v>
          </cell>
          <cell r="S59">
            <v>389</v>
          </cell>
          <cell r="T59">
            <v>414</v>
          </cell>
          <cell r="U59">
            <v>368</v>
          </cell>
          <cell r="V59">
            <v>409</v>
          </cell>
          <cell r="W59">
            <v>415</v>
          </cell>
          <cell r="X59">
            <v>411</v>
          </cell>
          <cell r="Y59">
            <v>412</v>
          </cell>
          <cell r="Z59">
            <v>425.8</v>
          </cell>
          <cell r="AA59">
            <v>333.4</v>
          </cell>
          <cell r="AB59">
            <v>377.2</v>
          </cell>
          <cell r="AC59">
            <v>403</v>
          </cell>
          <cell r="AD59">
            <v>441</v>
          </cell>
          <cell r="AE59">
            <v>399.9</v>
          </cell>
          <cell r="AF59">
            <v>434.8</v>
          </cell>
          <cell r="AG59">
            <v>6</v>
          </cell>
          <cell r="AH59">
            <v>-29</v>
          </cell>
          <cell r="AI59">
            <v>43</v>
          </cell>
          <cell r="AJ59">
            <v>-50</v>
          </cell>
          <cell r="AK59" t="str">
            <v xml:space="preserve"> </v>
          </cell>
          <cell r="AL59">
            <v>-50</v>
          </cell>
          <cell r="AM59">
            <v>-20</v>
          </cell>
          <cell r="AN59">
            <v>16</v>
          </cell>
          <cell r="AO59">
            <v>21</v>
          </cell>
          <cell r="AP59">
            <v>8</v>
          </cell>
          <cell r="BQ59" t="str">
            <v>Marine Group</v>
          </cell>
          <cell r="BW59" t="str">
            <v>Marine</v>
          </cell>
          <cell r="BX59">
            <v>11565</v>
          </cell>
          <cell r="BY59" t="str">
            <v xml:space="preserve"> </v>
          </cell>
          <cell r="CB59">
            <v>11351</v>
          </cell>
          <cell r="CC59">
            <v>11200</v>
          </cell>
          <cell r="CD59">
            <v>10800</v>
          </cell>
          <cell r="CE59">
            <v>11608</v>
          </cell>
          <cell r="CG59" t="str">
            <v>Marine</v>
          </cell>
          <cell r="CH59">
            <v>11.815</v>
          </cell>
          <cell r="CI59">
            <v>11.241</v>
          </cell>
          <cell r="CJ59">
            <v>11.628</v>
          </cell>
          <cell r="CK59">
            <v>11.211</v>
          </cell>
          <cell r="CL59">
            <v>6.9370000000000003</v>
          </cell>
          <cell r="CM59">
            <v>6.4</v>
          </cell>
          <cell r="CN59">
            <v>9.5280000000000005</v>
          </cell>
          <cell r="CO59">
            <v>10.06</v>
          </cell>
          <cell r="CQ59" t="str">
            <v>Total</v>
          </cell>
          <cell r="DA59" t="str">
            <v>Orders ($B)</v>
          </cell>
          <cell r="DG59" t="str">
            <v>Funded Backlog</v>
          </cell>
          <cell r="EB59" t="str">
            <v>Funded Backlog</v>
          </cell>
        </row>
        <row r="60">
          <cell r="Q60">
            <v>17</v>
          </cell>
          <cell r="R60">
            <v>23</v>
          </cell>
          <cell r="S60">
            <v>25</v>
          </cell>
          <cell r="T60">
            <v>25</v>
          </cell>
          <cell r="U60">
            <v>24</v>
          </cell>
          <cell r="V60">
            <v>28</v>
          </cell>
          <cell r="W60">
            <v>30</v>
          </cell>
          <cell r="X60">
            <v>71.400000000000006</v>
          </cell>
          <cell r="Y60">
            <v>44.5</v>
          </cell>
          <cell r="Z60">
            <v>50.8</v>
          </cell>
          <cell r="AA60">
            <v>47.3</v>
          </cell>
          <cell r="AB60">
            <v>90.4</v>
          </cell>
          <cell r="AC60">
            <v>64</v>
          </cell>
          <cell r="AD60">
            <v>79</v>
          </cell>
          <cell r="AE60">
            <v>67</v>
          </cell>
          <cell r="AF60">
            <v>121.5</v>
          </cell>
          <cell r="AG60">
            <v>440</v>
          </cell>
          <cell r="AH60">
            <v>402</v>
          </cell>
          <cell r="AI60">
            <v>363</v>
          </cell>
          <cell r="AJ60">
            <v>390</v>
          </cell>
          <cell r="AL60">
            <v>390</v>
          </cell>
          <cell r="AM60">
            <v>367</v>
          </cell>
          <cell r="AN60">
            <v>330</v>
          </cell>
          <cell r="AO60">
            <v>343</v>
          </cell>
          <cell r="AP60">
            <v>345</v>
          </cell>
          <cell r="BQ60" t="str">
            <v>Combat Sys</v>
          </cell>
          <cell r="CG60" t="str">
            <v>Aerospace</v>
          </cell>
          <cell r="CK60">
            <v>4.37</v>
          </cell>
          <cell r="CL60">
            <v>3.64</v>
          </cell>
          <cell r="CM60">
            <v>5.0999999999999996</v>
          </cell>
          <cell r="CN60">
            <v>9.0370000000000008</v>
          </cell>
          <cell r="CO60">
            <v>6.2729999999999997</v>
          </cell>
          <cell r="DA60" t="str">
            <v>Book:bill</v>
          </cell>
          <cell r="DG60" t="str">
            <v>Marine Systems</v>
          </cell>
          <cell r="DH60">
            <v>10.396000000000001</v>
          </cell>
          <cell r="DI60">
            <v>9.6539999999999999</v>
          </cell>
          <cell r="DJ60">
            <v>8.8759999999999994</v>
          </cell>
          <cell r="DK60">
            <v>8.4190000000000005</v>
          </cell>
          <cell r="DL60">
            <v>9.5449999999999999</v>
          </cell>
          <cell r="DM60">
            <v>8.8030000000000008</v>
          </cell>
          <cell r="DN60">
            <v>8.64</v>
          </cell>
          <cell r="DO60">
            <v>8.1739999999999995</v>
          </cell>
          <cell r="EB60" t="str">
            <v>Marine Systems</v>
          </cell>
          <cell r="EC60">
            <v>2.4630000000000001</v>
          </cell>
          <cell r="EH60">
            <v>5.5289999999999999</v>
          </cell>
        </row>
        <row r="61">
          <cell r="AG61">
            <v>224</v>
          </cell>
          <cell r="AH61">
            <v>252</v>
          </cell>
          <cell r="AI61">
            <v>258</v>
          </cell>
          <cell r="AJ61">
            <v>367</v>
          </cell>
          <cell r="AL61">
            <v>367</v>
          </cell>
          <cell r="AM61">
            <v>286</v>
          </cell>
          <cell r="AN61">
            <v>339</v>
          </cell>
          <cell r="AO61">
            <v>363</v>
          </cell>
          <cell r="BQ61" t="str">
            <v>Info Sys &amp; Tech</v>
          </cell>
          <cell r="BW61" t="str">
            <v>Combat</v>
          </cell>
          <cell r="BX61">
            <v>1579</v>
          </cell>
          <cell r="CB61">
            <v>1424</v>
          </cell>
          <cell r="CC61">
            <v>1500</v>
          </cell>
          <cell r="CD61">
            <v>1300</v>
          </cell>
          <cell r="CE61">
            <v>1596</v>
          </cell>
          <cell r="CG61" t="str">
            <v>Combat</v>
          </cell>
          <cell r="CH61">
            <v>1.631</v>
          </cell>
          <cell r="CI61">
            <v>1.6619999999999999</v>
          </cell>
          <cell r="CJ61">
            <v>1.5840000000000001</v>
          </cell>
          <cell r="CK61">
            <v>1.7729999999999999</v>
          </cell>
          <cell r="CL61">
            <v>2.3719999999999999</v>
          </cell>
          <cell r="CM61">
            <v>2.2000000000000002</v>
          </cell>
          <cell r="CN61">
            <v>5.1829999999999998</v>
          </cell>
          <cell r="CO61">
            <v>5.194</v>
          </cell>
          <cell r="CQ61" t="str">
            <v>Funded Backlog</v>
          </cell>
          <cell r="DA61" t="str">
            <v>Funded Backlog</v>
          </cell>
          <cell r="DG61" t="str">
            <v>Combat Systems</v>
          </cell>
          <cell r="DH61">
            <v>8.06</v>
          </cell>
          <cell r="DI61">
            <v>7.9020000000000001</v>
          </cell>
          <cell r="DJ61">
            <v>7.7709999999999999</v>
          </cell>
          <cell r="DK61">
            <v>6.9539999999999997</v>
          </cell>
          <cell r="DL61">
            <v>7.5629999999999997</v>
          </cell>
          <cell r="DM61">
            <v>8.3140000000000001</v>
          </cell>
          <cell r="DN61">
            <v>9.2129999999999992</v>
          </cell>
          <cell r="DO61">
            <v>10.086</v>
          </cell>
          <cell r="EB61" t="str">
            <v>Combat Systems</v>
          </cell>
          <cell r="EC61">
            <v>1.3779999999999999</v>
          </cell>
          <cell r="EH61">
            <v>1.1160000000000001</v>
          </cell>
        </row>
        <row r="62">
          <cell r="AM62">
            <v>4.9046321525885603E-2</v>
          </cell>
          <cell r="AN62">
            <v>2.12121212121212E-2</v>
          </cell>
          <cell r="AO62">
            <v>4.3731778425656002E-2</v>
          </cell>
          <cell r="AP62">
            <v>0.104347826086957</v>
          </cell>
          <cell r="BQ62" t="str">
            <v>Other</v>
          </cell>
          <cell r="BW62" t="str">
            <v>Info</v>
          </cell>
          <cell r="BX62">
            <v>892</v>
          </cell>
          <cell r="CB62">
            <v>925</v>
          </cell>
          <cell r="CC62">
            <v>900</v>
          </cell>
          <cell r="CD62">
            <v>1800</v>
          </cell>
          <cell r="CE62">
            <v>1952</v>
          </cell>
          <cell r="CG62" t="str">
            <v>Info</v>
          </cell>
          <cell r="CH62">
            <v>2.12</v>
          </cell>
          <cell r="CI62">
            <v>1.988</v>
          </cell>
          <cell r="CJ62">
            <v>1.92</v>
          </cell>
          <cell r="CK62">
            <v>1.9419999999999999</v>
          </cell>
          <cell r="CL62">
            <v>1.9670000000000001</v>
          </cell>
          <cell r="CM62">
            <v>2</v>
          </cell>
          <cell r="CN62">
            <v>5.1829999999999998</v>
          </cell>
          <cell r="CO62">
            <v>4.9710000000000001</v>
          </cell>
          <cell r="CQ62" t="str">
            <v>Marine</v>
          </cell>
          <cell r="CT62">
            <v>7.8</v>
          </cell>
          <cell r="CU62">
            <v>7.2619999999999996</v>
          </cell>
          <cell r="CV62">
            <v>8.26</v>
          </cell>
          <cell r="CW62">
            <v>7.7610000000000001</v>
          </cell>
          <cell r="CX62">
            <v>8.81</v>
          </cell>
          <cell r="CY62">
            <v>8.7750000000000004</v>
          </cell>
          <cell r="DA62" t="str">
            <v>Marine Systems</v>
          </cell>
          <cell r="DB62">
            <v>9.968</v>
          </cell>
          <cell r="DC62">
            <v>9.3870000000000005</v>
          </cell>
          <cell r="DD62">
            <v>8.4459999999999997</v>
          </cell>
          <cell r="DE62">
            <v>9.8989999999999991</v>
          </cell>
          <cell r="DG62" t="str">
            <v>Info. Systems &amp; Tech.</v>
          </cell>
          <cell r="DH62">
            <v>7.4660000000000002</v>
          </cell>
          <cell r="DI62">
            <v>7.1740000000000004</v>
          </cell>
          <cell r="DJ62">
            <v>7.31</v>
          </cell>
          <cell r="DK62">
            <v>6.96</v>
          </cell>
          <cell r="DL62">
            <v>6.3220000000000001</v>
          </cell>
          <cell r="DM62">
            <v>7.125</v>
          </cell>
          <cell r="DN62">
            <v>7.3440000000000003</v>
          </cell>
          <cell r="DO62">
            <v>7.548</v>
          </cell>
          <cell r="EB62" t="str">
            <v>Info. Systems &amp; Tech.</v>
          </cell>
          <cell r="EH62">
            <v>1.952</v>
          </cell>
        </row>
        <row r="63">
          <cell r="AM63">
            <v>-6.9930069930069894E-2</v>
          </cell>
          <cell r="AN63">
            <v>4.71976401179941E-2</v>
          </cell>
          <cell r="AO63">
            <v>5.7851239669421503E-2</v>
          </cell>
          <cell r="BQ63" t="str">
            <v xml:space="preserve"> Total Revs.</v>
          </cell>
          <cell r="BW63" t="str">
            <v>Other</v>
          </cell>
          <cell r="BX63">
            <v>562</v>
          </cell>
          <cell r="CB63">
            <v>545</v>
          </cell>
          <cell r="CC63">
            <v>500</v>
          </cell>
          <cell r="CD63">
            <v>4000</v>
          </cell>
          <cell r="CE63">
            <v>4344</v>
          </cell>
          <cell r="CG63" t="str">
            <v>Other</v>
          </cell>
          <cell r="CH63">
            <v>4.0170000000000003</v>
          </cell>
          <cell r="CI63">
            <v>4.0190000000000001</v>
          </cell>
          <cell r="CJ63">
            <v>3.7719999999999998</v>
          </cell>
          <cell r="CK63">
            <v>0.44600000000000001</v>
          </cell>
          <cell r="CL63">
            <v>0.39900000000000002</v>
          </cell>
          <cell r="CM63">
            <v>0.5</v>
          </cell>
          <cell r="CN63">
            <v>0.44600000000000001</v>
          </cell>
          <cell r="CO63">
            <v>0.33400000000000002</v>
          </cell>
          <cell r="CQ63" t="str">
            <v>Aerospace</v>
          </cell>
          <cell r="CS63">
            <v>4.3</v>
          </cell>
          <cell r="CT63">
            <v>4.5999999999999996</v>
          </cell>
          <cell r="CU63">
            <v>4.4980000000000002</v>
          </cell>
          <cell r="CV63">
            <v>5.867</v>
          </cell>
          <cell r="CW63">
            <v>5.8890000000000002</v>
          </cell>
          <cell r="CX63">
            <v>5.569</v>
          </cell>
          <cell r="CY63">
            <v>5.8259999999999996</v>
          </cell>
          <cell r="DA63" t="str">
            <v>Combat Systems</v>
          </cell>
          <cell r="DB63">
            <v>6.32</v>
          </cell>
          <cell r="DC63">
            <v>6.6440000000000001</v>
          </cell>
          <cell r="DD63">
            <v>6.202</v>
          </cell>
          <cell r="DE63">
            <v>6.3979999999999997</v>
          </cell>
          <cell r="DG63" t="str">
            <v>Aerospace</v>
          </cell>
          <cell r="DH63">
            <v>4.7249999999999996</v>
          </cell>
          <cell r="DI63">
            <v>4.9770000000000003</v>
          </cell>
          <cell r="DJ63">
            <v>5.1559999999999997</v>
          </cell>
          <cell r="DK63">
            <v>5.8529999999999998</v>
          </cell>
          <cell r="DL63">
            <v>5.798</v>
          </cell>
          <cell r="DM63">
            <v>6.2939999999999996</v>
          </cell>
          <cell r="DN63">
            <v>6.5</v>
          </cell>
          <cell r="DO63">
            <v>6.9409999999999998</v>
          </cell>
          <cell r="EB63" t="str">
            <v>Aerospace</v>
          </cell>
          <cell r="EF63">
            <v>2.782</v>
          </cell>
          <cell r="EG63">
            <v>3.5779999999999998</v>
          </cell>
          <cell r="EH63">
            <v>2.5739999999999998</v>
          </cell>
        </row>
        <row r="64">
          <cell r="BW64" t="str">
            <v>Total B-L GD</v>
          </cell>
          <cell r="BX64">
            <v>14598</v>
          </cell>
          <cell r="CB64">
            <v>14245</v>
          </cell>
          <cell r="CC64">
            <v>14100</v>
          </cell>
          <cell r="CD64">
            <v>17900</v>
          </cell>
          <cell r="CE64">
            <v>19500</v>
          </cell>
          <cell r="CG64" t="str">
            <v>Total B-L GD</v>
          </cell>
          <cell r="CH64">
            <v>19.582999999999998</v>
          </cell>
          <cell r="CI64">
            <v>18.909999999999997</v>
          </cell>
          <cell r="CJ64">
            <v>18.904</v>
          </cell>
          <cell r="CK64">
            <v>19.742000000000001</v>
          </cell>
          <cell r="CL64">
            <v>15.315000000000001</v>
          </cell>
          <cell r="CM64">
            <v>16.2</v>
          </cell>
          <cell r="CN64">
            <v>29.377000000000002</v>
          </cell>
          <cell r="CO64">
            <v>26.831999999999997</v>
          </cell>
          <cell r="CQ64" t="str">
            <v>Combat</v>
          </cell>
          <cell r="CT64">
            <v>4</v>
          </cell>
          <cell r="CU64">
            <v>4.2329999999999997</v>
          </cell>
          <cell r="CV64">
            <v>5.2389999999999999</v>
          </cell>
          <cell r="CW64">
            <v>5.5190000000000001</v>
          </cell>
          <cell r="CX64">
            <v>5.931</v>
          </cell>
          <cell r="CY64">
            <v>5.95</v>
          </cell>
          <cell r="DA64" t="str">
            <v>Info. Systems &amp; Tech.</v>
          </cell>
          <cell r="DB64">
            <v>6.48</v>
          </cell>
          <cell r="DC64">
            <v>6.1719999999999997</v>
          </cell>
          <cell r="DD64">
            <v>6.1639999999999997</v>
          </cell>
          <cell r="DE64">
            <v>7.0709999999999997</v>
          </cell>
          <cell r="DG64" t="str">
            <v>Resources/Corporate</v>
          </cell>
          <cell r="DH64">
            <v>0.22800000000000001</v>
          </cell>
          <cell r="DI64">
            <v>0.20200000000000001</v>
          </cell>
          <cell r="DJ64">
            <v>0.18099999999999999</v>
          </cell>
          <cell r="DK64">
            <v>0</v>
          </cell>
          <cell r="DL64">
            <v>0.14599999999999999</v>
          </cell>
          <cell r="DM64">
            <v>0</v>
          </cell>
          <cell r="DN64">
            <v>0</v>
          </cell>
          <cell r="DO64">
            <v>0</v>
          </cell>
          <cell r="EB64" t="str">
            <v>Resources/Corporate</v>
          </cell>
          <cell r="EC64">
            <v>0.72099999999999997</v>
          </cell>
          <cell r="EH64">
            <v>0.49399999999999999</v>
          </cell>
        </row>
        <row r="65">
          <cell r="CG65" t="str">
            <v>Funded backlog</v>
          </cell>
          <cell r="CQ65" t="str">
            <v>Info</v>
          </cell>
          <cell r="CT65">
            <v>5</v>
          </cell>
          <cell r="CU65">
            <v>5.1050000000000004</v>
          </cell>
          <cell r="CV65">
            <v>4.28</v>
          </cell>
          <cell r="CW65">
            <v>4.13</v>
          </cell>
          <cell r="CX65">
            <v>3.831</v>
          </cell>
          <cell r="CY65">
            <v>4.1269999999999998</v>
          </cell>
          <cell r="DA65" t="str">
            <v>Aerospace</v>
          </cell>
          <cell r="DB65">
            <v>4.0940000000000003</v>
          </cell>
          <cell r="DC65">
            <v>3.97</v>
          </cell>
          <cell r="DD65">
            <v>4.0659999999999998</v>
          </cell>
          <cell r="DE65">
            <v>4.6520000000000001</v>
          </cell>
          <cell r="DG65" t="str">
            <v>Total</v>
          </cell>
          <cell r="DH65">
            <v>30.875000000000007</v>
          </cell>
          <cell r="DI65">
            <v>29.909000000000002</v>
          </cell>
          <cell r="DJ65">
            <v>29.293999999999997</v>
          </cell>
          <cell r="DK65">
            <v>28.186</v>
          </cell>
          <cell r="DL65">
            <v>29.374000000000002</v>
          </cell>
          <cell r="DM65">
            <v>30.536000000000001</v>
          </cell>
          <cell r="DN65">
            <v>31.697000000000003</v>
          </cell>
          <cell r="DO65">
            <v>32.749000000000002</v>
          </cell>
          <cell r="EB65" t="str">
            <v>Total</v>
          </cell>
          <cell r="EC65">
            <v>4.5620000000000003</v>
          </cell>
          <cell r="ED65">
            <v>5.2270000000000003</v>
          </cell>
          <cell r="EE65">
            <v>6.1609999999999996</v>
          </cell>
          <cell r="EF65">
            <v>6.7960000000000003</v>
          </cell>
          <cell r="EG65">
            <v>7.2919999999999998</v>
          </cell>
          <cell r="EH65">
            <v>11.7</v>
          </cell>
        </row>
        <row r="66">
          <cell r="BL66" t="str">
            <v>Estimated Division Breakdown</v>
          </cell>
          <cell r="BW66" t="str">
            <v>GAC Backlog</v>
          </cell>
          <cell r="BX66">
            <v>2800</v>
          </cell>
          <cell r="BY66">
            <v>3300</v>
          </cell>
          <cell r="CA66">
            <v>3.302</v>
          </cell>
          <cell r="CB66">
            <v>3200</v>
          </cell>
          <cell r="CC66">
            <v>3900</v>
          </cell>
          <cell r="CD66">
            <v>3500</v>
          </cell>
          <cell r="CE66">
            <v>2574</v>
          </cell>
          <cell r="CG66" t="str">
            <v>GAC Backlog, firm</v>
          </cell>
          <cell r="CQ66" t="str">
            <v>Other</v>
          </cell>
          <cell r="CT66">
            <v>0.20000000000000284</v>
          </cell>
          <cell r="CU66">
            <v>0.20200000000000173</v>
          </cell>
          <cell r="CV66">
            <v>0.221</v>
          </cell>
          <cell r="CW66">
            <v>0.19900000000000001</v>
          </cell>
          <cell r="CX66">
            <v>0.18</v>
          </cell>
          <cell r="CY66">
            <v>0.16300000000000001</v>
          </cell>
          <cell r="DA66" t="str">
            <v>Resources</v>
          </cell>
          <cell r="DB66">
            <v>0.14499999999999999</v>
          </cell>
          <cell r="DC66">
            <v>0.23499999999999999</v>
          </cell>
          <cell r="DD66">
            <v>0.216</v>
          </cell>
          <cell r="DE66">
            <v>0.2</v>
          </cell>
          <cell r="DG66" t="str">
            <v>% ch. y/y</v>
          </cell>
          <cell r="DH66">
            <v>0.14322212759654929</v>
          </cell>
          <cell r="DI66">
            <v>0.1325734625870949</v>
          </cell>
          <cell r="DJ66">
            <v>0.16737068621981344</v>
          </cell>
          <cell r="DK66">
            <v>-1.2048192771082489E-3</v>
          </cell>
          <cell r="DL66">
            <v>-4.8615384615384727E-2</v>
          </cell>
          <cell r="DM66">
            <v>2.0963589554983342E-2</v>
          </cell>
          <cell r="DN66">
            <v>8.2030449921485893E-2</v>
          </cell>
          <cell r="DO66">
            <v>0.16188888100475429</v>
          </cell>
          <cell r="EB66" t="str">
            <v>% ch. y/y</v>
          </cell>
          <cell r="EH66">
            <v>0.60449808008776729</v>
          </cell>
        </row>
        <row r="67">
          <cell r="BN67" t="str">
            <v>1996A</v>
          </cell>
          <cell r="BQ67" t="str">
            <v>Estimated Division Breakdown</v>
          </cell>
          <cell r="CQ67" t="str">
            <v>Total</v>
          </cell>
          <cell r="CR67">
            <v>20.7</v>
          </cell>
          <cell r="CS67">
            <v>20.5</v>
          </cell>
          <cell r="CT67">
            <v>21.6</v>
          </cell>
          <cell r="CU67">
            <v>21.3</v>
          </cell>
          <cell r="CV67">
            <v>23.867000000000001</v>
          </cell>
          <cell r="CW67">
            <v>23.498000000000001</v>
          </cell>
          <cell r="CX67">
            <v>24.321000000000002</v>
          </cell>
          <cell r="CY67">
            <v>24.840999999999998</v>
          </cell>
          <cell r="DA67" t="str">
            <v>Total</v>
          </cell>
          <cell r="DB67">
            <v>27.007000000000001</v>
          </cell>
          <cell r="DC67">
            <v>26.407999999999998</v>
          </cell>
          <cell r="DD67">
            <v>25.093999999999998</v>
          </cell>
          <cell r="DE67">
            <v>28.219999999999995</v>
          </cell>
          <cell r="DG67" t="str">
            <v>% ch. sequentially</v>
          </cell>
          <cell r="DH67">
            <v>9.4082211197732635E-2</v>
          </cell>
          <cell r="DI67">
            <v>-3.1287449392712663E-2</v>
          </cell>
          <cell r="DJ67">
            <v>-2.0562372530007922E-2</v>
          </cell>
          <cell r="DK67">
            <v>-3.7823445074076534E-2</v>
          </cell>
          <cell r="DL67">
            <v>4.2148584403604694E-2</v>
          </cell>
          <cell r="DM67">
            <v>3.9558793490842126E-2</v>
          </cell>
          <cell r="DN67">
            <v>3.8020696882368421E-2</v>
          </cell>
          <cell r="DO67">
            <v>3.3189260813326182E-2</v>
          </cell>
          <cell r="EB67" t="str">
            <v>% ch. sequentially</v>
          </cell>
          <cell r="EH67">
            <v>0.60449808008776729</v>
          </cell>
        </row>
        <row r="68">
          <cell r="BB68" t="str">
            <v>Marine</v>
          </cell>
          <cell r="BG68" t="str">
            <v>Marine</v>
          </cell>
          <cell r="BL68" t="str">
            <v>Marine</v>
          </cell>
          <cell r="BM68" t="str">
            <v>Q1</v>
          </cell>
          <cell r="BN68" t="str">
            <v>Q2</v>
          </cell>
          <cell r="BO68" t="str">
            <v>Q3</v>
          </cell>
          <cell r="BP68" t="str">
            <v>Q4</v>
          </cell>
          <cell r="BS68" t="str">
            <v>1997</v>
          </cell>
          <cell r="CG68" t="str">
            <v>Gulfstream Deliveries</v>
          </cell>
          <cell r="CQ68" t="str">
            <v>% ch. y/y</v>
          </cell>
          <cell r="CV68">
            <v>0.15299516908212563</v>
          </cell>
          <cell r="CW68">
            <v>0.14624390243902452</v>
          </cell>
          <cell r="CX68">
            <v>0.12597222222222215</v>
          </cell>
          <cell r="CY68">
            <v>0.16624413145539885</v>
          </cell>
          <cell r="DA68" t="str">
            <v>% ch. y/y</v>
          </cell>
          <cell r="DB68">
            <v>0.1315624083462521</v>
          </cell>
          <cell r="DC68">
            <v>0.1238403268363264</v>
          </cell>
          <cell r="DD68">
            <v>3.1783232597343725E-2</v>
          </cell>
          <cell r="DE68">
            <v>0.13602511976168419</v>
          </cell>
        </row>
        <row r="69">
          <cell r="BB69" t="str">
            <v>Elec. Boat</v>
          </cell>
          <cell r="BC69">
            <v>443</v>
          </cell>
          <cell r="BD69">
            <v>441</v>
          </cell>
          <cell r="BE69">
            <v>389</v>
          </cell>
          <cell r="BF69">
            <v>405</v>
          </cell>
          <cell r="BG69" t="str">
            <v>Elec. Boat</v>
          </cell>
          <cell r="BH69">
            <v>425</v>
          </cell>
          <cell r="BI69">
            <v>395</v>
          </cell>
          <cell r="BJ69">
            <v>370</v>
          </cell>
          <cell r="BK69">
            <v>310</v>
          </cell>
          <cell r="BL69" t="str">
            <v>Elec. Boat</v>
          </cell>
          <cell r="BM69">
            <v>390</v>
          </cell>
          <cell r="BN69">
            <v>385</v>
          </cell>
          <cell r="BO69">
            <v>325</v>
          </cell>
          <cell r="BP69">
            <v>342</v>
          </cell>
          <cell r="BQ69" t="str">
            <v>Marine</v>
          </cell>
          <cell r="BR69" t="str">
            <v>Q1</v>
          </cell>
          <cell r="BS69" t="str">
            <v>Q2</v>
          </cell>
          <cell r="BT69" t="str">
            <v>Q3</v>
          </cell>
          <cell r="BU69" t="str">
            <v>Q4</v>
          </cell>
          <cell r="CG69" t="str">
            <v>GIVSP/GVs</v>
          </cell>
          <cell r="CQ69" t="str">
            <v>% ch. sequentially</v>
          </cell>
          <cell r="CV69">
            <v>0.12051643192488259</v>
          </cell>
          <cell r="CW69">
            <v>-1.5460677923492705E-2</v>
          </cell>
          <cell r="CX69">
            <v>3.5024257383607038E-2</v>
          </cell>
          <cell r="CY69">
            <v>2.1380699806751169E-2</v>
          </cell>
          <cell r="DA69" t="str">
            <v>% ch. sequentially</v>
          </cell>
          <cell r="DB69">
            <v>8.7194557384968618E-2</v>
          </cell>
          <cell r="DC69">
            <v>-2.2179434961306477E-2</v>
          </cell>
          <cell r="DD69">
            <v>-4.9757649197212928E-2</v>
          </cell>
          <cell r="DE69">
            <v>0.1245716107436039</v>
          </cell>
          <cell r="DG69" t="str">
            <v>Total (Funded &amp; Unfunded) Backlog</v>
          </cell>
          <cell r="EB69" t="str">
            <v>Total (Funded &amp; Unfunded) Backlog</v>
          </cell>
        </row>
        <row r="70">
          <cell r="BB70" t="str">
            <v>Bath Iron</v>
          </cell>
          <cell r="BG70" t="str">
            <v>Bath Iron</v>
          </cell>
          <cell r="BJ70">
            <v>45</v>
          </cell>
          <cell r="BK70">
            <v>270</v>
          </cell>
          <cell r="BL70" t="str">
            <v>Bath Iron</v>
          </cell>
          <cell r="BM70">
            <v>209</v>
          </cell>
          <cell r="BN70">
            <v>212</v>
          </cell>
          <cell r="BO70">
            <v>190</v>
          </cell>
          <cell r="BP70">
            <v>194</v>
          </cell>
          <cell r="BQ70" t="str">
            <v>Elec. Boat</v>
          </cell>
          <cell r="BR70">
            <v>325</v>
          </cell>
          <cell r="BS70">
            <v>362</v>
          </cell>
          <cell r="BT70">
            <v>325</v>
          </cell>
          <cell r="BU70">
            <v>364</v>
          </cell>
          <cell r="CG70" t="str">
            <v>G100/G200s</v>
          </cell>
          <cell r="DG70" t="str">
            <v>Marine Systems</v>
          </cell>
          <cell r="DH70">
            <v>17.245000000000001</v>
          </cell>
          <cell r="DI70">
            <v>16.611000000000001</v>
          </cell>
          <cell r="DJ70">
            <v>15.536</v>
          </cell>
          <cell r="DK70">
            <v>15.433</v>
          </cell>
          <cell r="DL70">
            <v>14.984999999999999</v>
          </cell>
          <cell r="DM70">
            <v>13.965</v>
          </cell>
          <cell r="DN70">
            <v>14.391</v>
          </cell>
          <cell r="DO70">
            <v>14.025</v>
          </cell>
          <cell r="EB70" t="str">
            <v>Marine Systems</v>
          </cell>
          <cell r="ED70">
            <v>5.6859999999999999</v>
          </cell>
          <cell r="EE70">
            <v>7.5659999999999998</v>
          </cell>
          <cell r="EF70">
            <v>5.8639999999999999</v>
          </cell>
          <cell r="EG70">
            <v>11.728</v>
          </cell>
          <cell r="EH70">
            <v>11.608000000000001</v>
          </cell>
        </row>
        <row r="71">
          <cell r="BB71" t="str">
            <v>Other</v>
          </cell>
          <cell r="BC71">
            <v>13</v>
          </cell>
          <cell r="BD71">
            <v>14</v>
          </cell>
          <cell r="BE71">
            <v>14</v>
          </cell>
          <cell r="BF71">
            <v>14</v>
          </cell>
          <cell r="BG71" t="str">
            <v>Other</v>
          </cell>
          <cell r="BH71">
            <v>14</v>
          </cell>
          <cell r="BI71">
            <v>15</v>
          </cell>
          <cell r="BJ71">
            <v>15</v>
          </cell>
          <cell r="BK71">
            <v>24</v>
          </cell>
          <cell r="BL71" t="str">
            <v>Other</v>
          </cell>
          <cell r="BM71">
            <v>15</v>
          </cell>
          <cell r="BN71">
            <v>15</v>
          </cell>
          <cell r="BO71">
            <v>22</v>
          </cell>
          <cell r="BP71">
            <v>13</v>
          </cell>
          <cell r="BQ71" t="str">
            <v>Bath Iron</v>
          </cell>
          <cell r="BR71">
            <v>219</v>
          </cell>
          <cell r="BS71">
            <v>205</v>
          </cell>
          <cell r="BT71">
            <v>205</v>
          </cell>
          <cell r="BU71">
            <v>211</v>
          </cell>
          <cell r="CG71" t="str">
            <v>Total</v>
          </cell>
          <cell r="CQ71" t="str">
            <v>Total (Funded &amp; Unfunded) Backlog</v>
          </cell>
          <cell r="DA71" t="str">
            <v>Total (Funded &amp; Unfunded) Backlog</v>
          </cell>
          <cell r="DG71" t="str">
            <v>Combat Systems</v>
          </cell>
          <cell r="DH71">
            <v>10.159000000000001</v>
          </cell>
          <cell r="DI71">
            <v>10.295999999999999</v>
          </cell>
          <cell r="DJ71">
            <v>10.186999999999999</v>
          </cell>
          <cell r="DK71">
            <v>9.3279999999999994</v>
          </cell>
          <cell r="DL71">
            <v>9.7650000000000006</v>
          </cell>
          <cell r="DM71">
            <v>10.439</v>
          </cell>
          <cell r="DN71">
            <v>11.198</v>
          </cell>
          <cell r="DO71">
            <v>11.968999999999999</v>
          </cell>
          <cell r="EB71" t="str">
            <v>Combat Systems</v>
          </cell>
          <cell r="ED71">
            <v>1.103</v>
          </cell>
          <cell r="EE71">
            <v>2.0569999999999999</v>
          </cell>
          <cell r="EF71">
            <v>2.323</v>
          </cell>
          <cell r="EG71">
            <v>1.579</v>
          </cell>
          <cell r="EH71">
            <v>1.1160000000000001</v>
          </cell>
        </row>
        <row r="72">
          <cell r="BB72" t="str">
            <v>subtot Revs</v>
          </cell>
          <cell r="BC72">
            <v>456</v>
          </cell>
          <cell r="BD72">
            <v>455</v>
          </cell>
          <cell r="BE72">
            <v>403</v>
          </cell>
          <cell r="BF72">
            <v>419</v>
          </cell>
          <cell r="BG72" t="str">
            <v>subtot Revs</v>
          </cell>
          <cell r="BH72">
            <v>439</v>
          </cell>
          <cell r="BI72">
            <v>410</v>
          </cell>
          <cell r="BJ72">
            <v>430</v>
          </cell>
          <cell r="BK72">
            <v>604</v>
          </cell>
          <cell r="BL72" t="str">
            <v>subtot Revs</v>
          </cell>
          <cell r="BM72">
            <v>614</v>
          </cell>
          <cell r="BN72">
            <v>612</v>
          </cell>
          <cell r="BO72">
            <v>537</v>
          </cell>
          <cell r="BP72">
            <v>549</v>
          </cell>
          <cell r="BQ72" t="str">
            <v>Other</v>
          </cell>
          <cell r="BR72">
            <v>15</v>
          </cell>
          <cell r="BS72">
            <v>20</v>
          </cell>
          <cell r="BT72">
            <v>17</v>
          </cell>
          <cell r="BU72">
            <v>43</v>
          </cell>
          <cell r="CQ72" t="str">
            <v>Marine</v>
          </cell>
          <cell r="CR72">
            <v>9.4049999999999994</v>
          </cell>
          <cell r="CS72">
            <v>8.7579999999999991</v>
          </cell>
          <cell r="CT72">
            <v>12.164</v>
          </cell>
          <cell r="CU72">
            <v>11.6</v>
          </cell>
          <cell r="CV72">
            <v>11.404999999999999</v>
          </cell>
          <cell r="CW72">
            <v>10.919</v>
          </cell>
          <cell r="CX72">
            <v>18.584</v>
          </cell>
          <cell r="CY72">
            <v>18.163</v>
          </cell>
          <cell r="DA72" t="str">
            <v>Marine Systems</v>
          </cell>
          <cell r="DB72">
            <v>18.324999999999999</v>
          </cell>
          <cell r="DC72">
            <v>17.899000000000001</v>
          </cell>
          <cell r="DD72">
            <v>17.134</v>
          </cell>
          <cell r="DE72">
            <v>16.841999999999999</v>
          </cell>
          <cell r="DG72" t="str">
            <v>Info. Systems &amp; Tech.</v>
          </cell>
          <cell r="DH72">
            <v>10.064</v>
          </cell>
          <cell r="DI72">
            <v>9.2070000000000007</v>
          </cell>
          <cell r="DJ72">
            <v>10.058</v>
          </cell>
          <cell r="DK72">
            <v>9.375</v>
          </cell>
          <cell r="DL72">
            <v>8.8569999999999993</v>
          </cell>
          <cell r="DM72">
            <v>9.5549999999999997</v>
          </cell>
          <cell r="DN72">
            <v>9.9930000000000003</v>
          </cell>
          <cell r="DO72">
            <v>9.98</v>
          </cell>
          <cell r="EB72" t="str">
            <v>Info. Systems &amp; Tech.</v>
          </cell>
          <cell r="EF72">
            <v>0.80500000000000005</v>
          </cell>
          <cell r="EG72">
            <v>0.72899999999999998</v>
          </cell>
          <cell r="EH72">
            <v>1.952</v>
          </cell>
        </row>
        <row r="73">
          <cell r="BB73" t="str">
            <v>Op Pr</v>
          </cell>
          <cell r="BG73" t="str">
            <v>Op Pr</v>
          </cell>
          <cell r="BL73" t="str">
            <v>Op Pr</v>
          </cell>
          <cell r="BQ73" t="str">
            <v>subtot Revs</v>
          </cell>
          <cell r="BR73">
            <v>559</v>
          </cell>
          <cell r="BS73">
            <v>587</v>
          </cell>
          <cell r="BT73">
            <v>547</v>
          </cell>
          <cell r="BU73">
            <v>618</v>
          </cell>
          <cell r="BW73" t="str">
            <v>Revenue Growth</v>
          </cell>
          <cell r="CG73" t="str">
            <v>Revenue Growth</v>
          </cell>
          <cell r="CQ73" t="str">
            <v>Aerospace</v>
          </cell>
          <cell r="CR73">
            <v>6.41</v>
          </cell>
          <cell r="CS73">
            <v>6.16</v>
          </cell>
          <cell r="CT73">
            <v>6.907</v>
          </cell>
          <cell r="CU73">
            <v>6.7809999999999997</v>
          </cell>
          <cell r="CV73">
            <v>6.62</v>
          </cell>
          <cell r="CW73">
            <v>6.617</v>
          </cell>
          <cell r="CX73">
            <v>6.2679999999999998</v>
          </cell>
          <cell r="CY73">
            <v>8.2590000000000003</v>
          </cell>
          <cell r="DA73" t="str">
            <v>Combat Systems</v>
          </cell>
          <cell r="DB73">
            <v>8.69</v>
          </cell>
          <cell r="DC73">
            <v>9.141</v>
          </cell>
          <cell r="DD73">
            <v>8.6210000000000004</v>
          </cell>
          <cell r="DE73">
            <v>8.7159999999999993</v>
          </cell>
          <cell r="DG73" t="str">
            <v>Aerospace</v>
          </cell>
          <cell r="DH73">
            <v>6.9340000000000002</v>
          </cell>
          <cell r="DI73">
            <v>7.1760000000000002</v>
          </cell>
          <cell r="DJ73">
            <v>7.3440000000000003</v>
          </cell>
          <cell r="DK73">
            <v>6.6180000000000003</v>
          </cell>
          <cell r="DL73">
            <v>8</v>
          </cell>
          <cell r="DM73">
            <v>8.4760000000000009</v>
          </cell>
          <cell r="DN73">
            <v>7.08</v>
          </cell>
          <cell r="DO73">
            <v>7.6929999999999996</v>
          </cell>
          <cell r="EB73" t="str">
            <v>Aerospace</v>
          </cell>
          <cell r="EH73">
            <v>3.7530000000000001</v>
          </cell>
        </row>
        <row r="74">
          <cell r="BB74" t="str">
            <v>Elec. Boat</v>
          </cell>
          <cell r="BC74">
            <v>46</v>
          </cell>
          <cell r="BD74">
            <v>46</v>
          </cell>
          <cell r="BE74">
            <v>40</v>
          </cell>
          <cell r="BF74">
            <v>41</v>
          </cell>
          <cell r="BG74" t="str">
            <v>Elec. Boat</v>
          </cell>
          <cell r="BH74">
            <v>43</v>
          </cell>
          <cell r="BI74">
            <v>41</v>
          </cell>
          <cell r="BJ74">
            <v>39</v>
          </cell>
          <cell r="BK74">
            <v>32</v>
          </cell>
          <cell r="BL74" t="str">
            <v>Elec. Boat</v>
          </cell>
          <cell r="BM74">
            <v>39.5</v>
          </cell>
          <cell r="BN74">
            <v>38</v>
          </cell>
          <cell r="BO74">
            <v>35</v>
          </cell>
          <cell r="BP74">
            <v>37.5</v>
          </cell>
          <cell r="BQ74" t="str">
            <v>Op Pr</v>
          </cell>
          <cell r="BR74">
            <v>559</v>
          </cell>
          <cell r="BS74">
            <v>587</v>
          </cell>
          <cell r="BT74">
            <v>547</v>
          </cell>
          <cell r="BU74">
            <v>618</v>
          </cell>
          <cell r="BW74" t="str">
            <v>Marine Group</v>
          </cell>
          <cell r="BX74">
            <v>-7.1556350626118537E-3</v>
          </cell>
          <cell r="BY74">
            <v>5.2810902896081702E-2</v>
          </cell>
          <cell r="BZ74">
            <v>8.5923217550274211E-2</v>
          </cell>
          <cell r="CA74">
            <v>0.4546925566343043</v>
          </cell>
          <cell r="CB74">
            <v>0.45585585585585586</v>
          </cell>
          <cell r="CC74">
            <v>0.2362459546925566</v>
          </cell>
          <cell r="CD74">
            <v>0.32659932659932656</v>
          </cell>
          <cell r="CE74">
            <v>-0.19021134593993327</v>
          </cell>
          <cell r="CG74" t="str">
            <v>Marine Group</v>
          </cell>
          <cell r="CQ74" t="str">
            <v>Combat</v>
          </cell>
          <cell r="CR74">
            <v>5.5270000000000001</v>
          </cell>
          <cell r="CS74">
            <v>5.1710000000000003</v>
          </cell>
          <cell r="CT74">
            <v>5.0430000000000001</v>
          </cell>
          <cell r="CU74">
            <v>4.9000000000000004</v>
          </cell>
          <cell r="CV74">
            <v>5.4690000000000003</v>
          </cell>
          <cell r="CW74">
            <v>5.7789999999999999</v>
          </cell>
          <cell r="CX74">
            <v>7.34</v>
          </cell>
          <cell r="CY74">
            <v>7.4790000000000001</v>
          </cell>
          <cell r="DA74" t="str">
            <v>Info. Systems &amp; Tech.</v>
          </cell>
          <cell r="DB74">
            <v>7.9249999999999998</v>
          </cell>
          <cell r="DC74">
            <v>7.5780000000000003</v>
          </cell>
          <cell r="DD74">
            <v>7.5789999999999997</v>
          </cell>
          <cell r="DE74">
            <v>9.3469999999999995</v>
          </cell>
          <cell r="DG74" t="str">
            <v>Resources/Corporate</v>
          </cell>
          <cell r="DH74">
            <v>0.28599999999999998</v>
          </cell>
          <cell r="DI74">
            <v>0.26</v>
          </cell>
          <cell r="DJ74">
            <v>0</v>
          </cell>
          <cell r="DK74">
            <v>0</v>
          </cell>
          <cell r="DL74">
            <v>0.14599999999999999</v>
          </cell>
          <cell r="DM74">
            <v>0</v>
          </cell>
          <cell r="DN74">
            <v>0</v>
          </cell>
          <cell r="DO74">
            <v>0</v>
          </cell>
          <cell r="EB74" t="str">
            <v>Resources/Corporate</v>
          </cell>
          <cell r="ED74">
            <v>0.59699999999999998</v>
          </cell>
          <cell r="EE74">
            <v>0.72699999999999998</v>
          </cell>
          <cell r="EF74">
            <v>0.60699999999999998</v>
          </cell>
          <cell r="EG74">
            <v>0.56200000000000006</v>
          </cell>
          <cell r="EH74">
            <v>0.6</v>
          </cell>
        </row>
        <row r="75">
          <cell r="BB75" t="str">
            <v>Bath Iron</v>
          </cell>
          <cell r="BG75" t="str">
            <v>Bath Iron</v>
          </cell>
          <cell r="BH75" t="str">
            <v xml:space="preserve"> </v>
          </cell>
          <cell r="BI75" t="str">
            <v xml:space="preserve"> </v>
          </cell>
          <cell r="BJ75">
            <v>2</v>
          </cell>
          <cell r="BK75">
            <v>14</v>
          </cell>
          <cell r="BL75" t="str">
            <v>Bath Iron</v>
          </cell>
          <cell r="BM75">
            <v>10.5</v>
          </cell>
          <cell r="BN75">
            <v>10.5</v>
          </cell>
          <cell r="BO75">
            <v>12</v>
          </cell>
          <cell r="BP75">
            <v>10</v>
          </cell>
          <cell r="BQ75" t="str">
            <v>Elec. Boat</v>
          </cell>
          <cell r="BR75">
            <v>42</v>
          </cell>
          <cell r="BS75">
            <v>44</v>
          </cell>
          <cell r="BT75">
            <v>40</v>
          </cell>
          <cell r="BU75">
            <v>27</v>
          </cell>
          <cell r="BW75" t="str">
            <v>Combat Sys</v>
          </cell>
          <cell r="BX75">
            <v>-5.9347181008901906E-3</v>
          </cell>
          <cell r="BY75">
            <v>-0.21164021164021163</v>
          </cell>
          <cell r="BZ75">
            <v>-0.23655913978494625</v>
          </cell>
          <cell r="CA75">
            <v>-0.15876777251184837</v>
          </cell>
          <cell r="CB75">
            <v>-0.13432835820895528</v>
          </cell>
          <cell r="CC75">
            <v>2.6845637583892579E-2</v>
          </cell>
          <cell r="CD75">
            <v>4.2253521126760507E-2</v>
          </cell>
          <cell r="CE75">
            <v>0.12112676056338034</v>
          </cell>
          <cell r="CG75" t="str">
            <v>Combat Sys</v>
          </cell>
          <cell r="CQ75" t="str">
            <v>Info</v>
          </cell>
          <cell r="CR75">
            <v>4.9080000000000004</v>
          </cell>
          <cell r="CS75">
            <v>5.1349999999999998</v>
          </cell>
          <cell r="CT75">
            <v>5.1429999999999998</v>
          </cell>
          <cell r="CU75">
            <v>5.3</v>
          </cell>
          <cell r="CV75">
            <v>6.7030000000000003</v>
          </cell>
          <cell r="CW75">
            <v>6.5430000000000001</v>
          </cell>
          <cell r="CX75">
            <v>6.2619999999999996</v>
          </cell>
          <cell r="CY75">
            <v>6.524</v>
          </cell>
          <cell r="DA75" t="str">
            <v>Aerospace</v>
          </cell>
          <cell r="DB75">
            <v>6.48</v>
          </cell>
          <cell r="DC75">
            <v>6.2270000000000003</v>
          </cell>
          <cell r="DD75">
            <v>6.2670000000000003</v>
          </cell>
          <cell r="DE75">
            <v>6.8440000000000003</v>
          </cell>
          <cell r="DG75" t="str">
            <v>Total</v>
          </cell>
          <cell r="DH75">
            <v>44.688000000000002</v>
          </cell>
          <cell r="DI75">
            <v>43.550000000000004</v>
          </cell>
          <cell r="DJ75">
            <v>43.125</v>
          </cell>
          <cell r="DK75">
            <v>40.753999999999998</v>
          </cell>
          <cell r="DL75">
            <v>41.753</v>
          </cell>
          <cell r="DM75">
            <v>42.435000000000002</v>
          </cell>
          <cell r="DN75">
            <v>42.661999999999999</v>
          </cell>
          <cell r="DO75">
            <v>43.667000000000002</v>
          </cell>
          <cell r="EB75" t="str">
            <v>Total</v>
          </cell>
          <cell r="EC75">
            <v>6.0060000000000002</v>
          </cell>
          <cell r="ED75">
            <v>7.3859999999999992</v>
          </cell>
          <cell r="EE75">
            <v>10.35</v>
          </cell>
          <cell r="EF75">
            <v>9.5989999999999984</v>
          </cell>
          <cell r="EG75">
            <v>14.597999999999999</v>
          </cell>
          <cell r="EH75">
            <v>19.029000000000003</v>
          </cell>
        </row>
        <row r="76">
          <cell r="BB76" t="str">
            <v>Other</v>
          </cell>
          <cell r="BC76">
            <v>5</v>
          </cell>
          <cell r="BD76">
            <v>6</v>
          </cell>
          <cell r="BE76">
            <v>6</v>
          </cell>
          <cell r="BF76">
            <v>6</v>
          </cell>
          <cell r="BG76" t="str">
            <v>Other</v>
          </cell>
          <cell r="BH76">
            <v>6</v>
          </cell>
          <cell r="BI76">
            <v>6</v>
          </cell>
          <cell r="BJ76">
            <v>6</v>
          </cell>
          <cell r="BK76">
            <v>5</v>
          </cell>
          <cell r="BL76" t="str">
            <v>Other</v>
          </cell>
          <cell r="BM76">
            <v>4</v>
          </cell>
          <cell r="BN76">
            <v>6</v>
          </cell>
          <cell r="BO76">
            <v>5</v>
          </cell>
          <cell r="BP76">
            <v>8</v>
          </cell>
          <cell r="BQ76" t="str">
            <v>Bath Iron</v>
          </cell>
          <cell r="BR76">
            <v>11</v>
          </cell>
          <cell r="BS76">
            <v>10</v>
          </cell>
          <cell r="BT76">
            <v>11</v>
          </cell>
          <cell r="BU76">
            <v>18</v>
          </cell>
          <cell r="BW76" t="str">
            <v>Info Sys &amp; Tech</v>
          </cell>
          <cell r="CB76">
            <v>6.8807339449541205E-2</v>
          </cell>
          <cell r="CC76">
            <v>0.23979591836734704</v>
          </cell>
          <cell r="CD76">
            <v>0.5663716814159292</v>
          </cell>
          <cell r="CE76">
            <v>1.0204778156996586</v>
          </cell>
          <cell r="CG76" t="str">
            <v>Info Sys &amp; Tech</v>
          </cell>
          <cell r="CQ76" t="str">
            <v>Other</v>
          </cell>
          <cell r="CR76">
            <v>0.29499999999999998</v>
          </cell>
          <cell r="CS76">
            <v>0.29499999999999998</v>
          </cell>
          <cell r="CT76">
            <v>0.27600000000000002</v>
          </cell>
          <cell r="CU76">
            <v>0.3</v>
          </cell>
          <cell r="CV76">
            <v>0.28499999999999998</v>
          </cell>
          <cell r="CW76">
            <v>0.26300000000000001</v>
          </cell>
          <cell r="CX76">
            <v>0.24399999999999999</v>
          </cell>
          <cell r="CY76">
            <v>0.22</v>
          </cell>
          <cell r="DA76" t="str">
            <v>Resources</v>
          </cell>
          <cell r="DB76">
            <v>0.20200000000000001</v>
          </cell>
          <cell r="DC76">
            <v>0.29199999999999998</v>
          </cell>
          <cell r="DD76">
            <v>0.27300000000000002</v>
          </cell>
          <cell r="DE76">
            <v>0.25800000000000001</v>
          </cell>
          <cell r="DG76" t="str">
            <v>IDIQ contracts</v>
          </cell>
          <cell r="DH76">
            <v>5.8120000000000003</v>
          </cell>
          <cell r="DI76">
            <v>5.6820000000000004</v>
          </cell>
          <cell r="DJ76">
            <v>6.0570000000000004</v>
          </cell>
          <cell r="DK76">
            <v>12.919</v>
          </cell>
          <cell r="DL76">
            <v>6.31</v>
          </cell>
          <cell r="DM76">
            <v>8.8490000000000002</v>
          </cell>
          <cell r="DN76">
            <v>15.298</v>
          </cell>
          <cell r="DO76">
            <v>13.089</v>
          </cell>
          <cell r="EB76" t="str">
            <v>IDIQ contracts</v>
          </cell>
        </row>
        <row r="77">
          <cell r="BB77" t="str">
            <v xml:space="preserve">subtot </v>
          </cell>
          <cell r="BC77">
            <v>51</v>
          </cell>
          <cell r="BD77">
            <v>52</v>
          </cell>
          <cell r="BE77">
            <v>46</v>
          </cell>
          <cell r="BF77">
            <v>47</v>
          </cell>
          <cell r="BG77" t="str">
            <v xml:space="preserve">subtot </v>
          </cell>
          <cell r="BH77">
            <v>49</v>
          </cell>
          <cell r="BI77">
            <v>47</v>
          </cell>
          <cell r="BJ77">
            <v>47</v>
          </cell>
          <cell r="BK77">
            <v>51</v>
          </cell>
          <cell r="BL77" t="str">
            <v xml:space="preserve">subtot </v>
          </cell>
          <cell r="BM77">
            <v>54</v>
          </cell>
          <cell r="BN77">
            <v>54.5</v>
          </cell>
          <cell r="BO77">
            <v>52</v>
          </cell>
          <cell r="BP77">
            <v>55.5</v>
          </cell>
          <cell r="BQ77" t="str">
            <v>Other</v>
          </cell>
          <cell r="BR77">
            <v>6</v>
          </cell>
          <cell r="BS77">
            <v>7</v>
          </cell>
          <cell r="BT77">
            <v>7.5</v>
          </cell>
          <cell r="BU77">
            <v>10.5</v>
          </cell>
          <cell r="BW77" t="str">
            <v>Gulstream</v>
          </cell>
          <cell r="CB77">
            <v>0.24175605880015905</v>
          </cell>
          <cell r="CC77">
            <v>0.27073608617594247</v>
          </cell>
          <cell r="CD77">
            <v>0.12424145640370488</v>
          </cell>
          <cell r="CE77">
            <v>0.176288103587807</v>
          </cell>
          <cell r="CG77" t="str">
            <v>Gulfstream</v>
          </cell>
          <cell r="CQ77" t="str">
            <v>Total</v>
          </cell>
          <cell r="CR77">
            <v>26.545000000000002</v>
          </cell>
          <cell r="CS77">
            <v>25.518999999999998</v>
          </cell>
          <cell r="CT77">
            <v>29.532999999999998</v>
          </cell>
          <cell r="CU77">
            <v>28.881</v>
          </cell>
          <cell r="CV77">
            <v>30.481999999999999</v>
          </cell>
          <cell r="CW77">
            <v>30.121000000000002</v>
          </cell>
          <cell r="CX77">
            <v>38.698</v>
          </cell>
          <cell r="CY77">
            <v>40.645000000000003</v>
          </cell>
          <cell r="DA77" t="str">
            <v>Total</v>
          </cell>
          <cell r="DB77">
            <v>41.622</v>
          </cell>
          <cell r="DC77">
            <v>41.137</v>
          </cell>
          <cell r="DD77">
            <v>39.874000000000009</v>
          </cell>
          <cell r="DE77">
            <v>42.007000000000005</v>
          </cell>
          <cell r="DG77" t="str">
            <v>Total Backlog (incl IDIQ contracts)</v>
          </cell>
          <cell r="DH77">
            <v>50.5</v>
          </cell>
          <cell r="DI77">
            <v>49.232000000000006</v>
          </cell>
          <cell r="DJ77">
            <v>49.182000000000002</v>
          </cell>
          <cell r="DK77">
            <v>53.673000000000002</v>
          </cell>
          <cell r="DL77">
            <v>48.063000000000002</v>
          </cell>
          <cell r="DM77">
            <v>51.284000000000006</v>
          </cell>
          <cell r="DN77">
            <v>57.96</v>
          </cell>
          <cell r="DO77">
            <v>56.756</v>
          </cell>
          <cell r="EB77" t="str">
            <v>Total Backlog (incl IDIQ contracts)</v>
          </cell>
        </row>
        <row r="78">
          <cell r="BB78" t="str">
            <v>Margins</v>
          </cell>
          <cell r="BG78" t="str">
            <v>Margins</v>
          </cell>
          <cell r="BL78" t="str">
            <v>Margins</v>
          </cell>
          <cell r="BQ78" t="str">
            <v xml:space="preserve">subtot </v>
          </cell>
          <cell r="BR78">
            <v>59</v>
          </cell>
          <cell r="BS78">
            <v>61</v>
          </cell>
          <cell r="BT78">
            <v>58.5</v>
          </cell>
          <cell r="BU78">
            <v>55.5</v>
          </cell>
          <cell r="BW78" t="str">
            <v>Other</v>
          </cell>
          <cell r="BX78">
            <v>2.2222222222222143E-2</v>
          </cell>
          <cell r="BY78">
            <v>-1.4925373134328401E-2</v>
          </cell>
          <cell r="BZ78">
            <v>-1.4492753623188359E-2</v>
          </cell>
          <cell r="CA78">
            <v>-8.1967213114754078E-2</v>
          </cell>
          <cell r="CB78">
            <v>0</v>
          </cell>
          <cell r="CC78">
            <v>0</v>
          </cell>
          <cell r="CD78">
            <v>7.3529411764705843E-2</v>
          </cell>
          <cell r="CE78">
            <v>0.16071428571428581</v>
          </cell>
          <cell r="CG78" t="str">
            <v>Other</v>
          </cell>
          <cell r="CQ78" t="str">
            <v>IDIQ contracts</v>
          </cell>
          <cell r="CU78">
            <v>3.0030000000000001</v>
          </cell>
          <cell r="CW78">
            <v>5.9660000000000002</v>
          </cell>
          <cell r="CX78">
            <v>6.6660000000000004</v>
          </cell>
          <cell r="CY78">
            <v>6.6790000000000003</v>
          </cell>
          <cell r="DA78" t="str">
            <v>IDIQ contracts</v>
          </cell>
          <cell r="DB78">
            <v>6.117</v>
          </cell>
          <cell r="DC78">
            <v>5.9779999999999998</v>
          </cell>
          <cell r="DD78">
            <v>6.5439999999999996</v>
          </cell>
          <cell r="DE78">
            <v>6.3979999999999997</v>
          </cell>
        </row>
        <row r="79">
          <cell r="BB79" t="str">
            <v>Elec. Boat</v>
          </cell>
          <cell r="BC79">
            <v>0.103837471783296</v>
          </cell>
          <cell r="BD79">
            <v>0.104308390022676</v>
          </cell>
          <cell r="BE79">
            <v>0.102827763496144</v>
          </cell>
          <cell r="BF79">
            <v>0.101234567901235</v>
          </cell>
          <cell r="BG79" t="str">
            <v>Elec. Boat</v>
          </cell>
          <cell r="BH79">
            <v>0.10117647058823501</v>
          </cell>
          <cell r="BI79">
            <v>0.10379746835443</v>
          </cell>
          <cell r="BJ79">
            <v>0.10540540540540499</v>
          </cell>
          <cell r="BK79">
            <v>0.103225806451613</v>
          </cell>
          <cell r="BL79" t="str">
            <v>Elec. Boat</v>
          </cell>
          <cell r="BM79">
            <v>0.10128205128205101</v>
          </cell>
          <cell r="BN79">
            <v>9.8701298701298706E-2</v>
          </cell>
          <cell r="BO79">
            <v>0.107692307692308</v>
          </cell>
          <cell r="BP79">
            <v>0.109649122807018</v>
          </cell>
          <cell r="BQ79" t="str">
            <v>Margins</v>
          </cell>
          <cell r="BW79" t="str">
            <v xml:space="preserve"> Total Revs.</v>
          </cell>
          <cell r="CB79">
            <v>0.2079763484976469</v>
          </cell>
          <cell r="CC79">
            <v>0.20276657060518732</v>
          </cell>
          <cell r="CD79">
            <v>0.23178734289845404</v>
          </cell>
          <cell r="CE79">
            <v>0.13252857874082946</v>
          </cell>
          <cell r="CG79" t="str">
            <v xml:space="preserve"> Total Revs.</v>
          </cell>
          <cell r="CQ79" t="str">
            <v>Total Backlog (incl IDIQ contracts)</v>
          </cell>
          <cell r="CU79">
            <v>31.884</v>
          </cell>
          <cell r="CV79">
            <v>30.481999999999999</v>
          </cell>
          <cell r="CW79">
            <v>36.087000000000003</v>
          </cell>
          <cell r="CX79">
            <v>45.364000000000004</v>
          </cell>
          <cell r="CY79">
            <v>47.324000000000005</v>
          </cell>
          <cell r="DA79" t="str">
            <v>Total Backlog (incl IDIQ contracts)</v>
          </cell>
          <cell r="DB79">
            <v>47.738999999999997</v>
          </cell>
          <cell r="DC79">
            <v>47.115000000000002</v>
          </cell>
          <cell r="DD79">
            <v>46.418000000000006</v>
          </cell>
          <cell r="DE79">
            <v>48.405000000000001</v>
          </cell>
          <cell r="DG79" t="str">
            <v>GAC backlog ($B), Netjets, firm</v>
          </cell>
          <cell r="DH79">
            <v>1.8427499999999999</v>
          </cell>
          <cell r="DI79">
            <v>1.7419500000000001</v>
          </cell>
          <cell r="DJ79">
            <v>1.6499199999999998</v>
          </cell>
          <cell r="DK79">
            <v>1.6</v>
          </cell>
          <cell r="EB79" t="str">
            <v>GAC backlog ($B), Netjets, firm</v>
          </cell>
        </row>
        <row r="80">
          <cell r="BB80" t="str">
            <v>Bath Iron</v>
          </cell>
          <cell r="BG80" t="str">
            <v>Bath Iron</v>
          </cell>
          <cell r="BJ80">
            <v>4.4444444444444502E-2</v>
          </cell>
          <cell r="BK80">
            <v>5.1851851851851899E-2</v>
          </cell>
          <cell r="BL80" t="str">
            <v>Bath Iron</v>
          </cell>
          <cell r="BM80">
            <v>5.0239234449760799E-2</v>
          </cell>
          <cell r="BN80">
            <v>4.9528301886792497E-2</v>
          </cell>
          <cell r="BO80">
            <v>6.3157894736842093E-2</v>
          </cell>
          <cell r="BP80">
            <v>5.1546391752577303E-2</v>
          </cell>
          <cell r="BQ80" t="str">
            <v>Elec. Boat</v>
          </cell>
          <cell r="BR80">
            <v>0.1292307692307692</v>
          </cell>
          <cell r="BS80">
            <v>0.1215469613259668</v>
          </cell>
          <cell r="BT80">
            <v>0.1230769230769231</v>
          </cell>
          <cell r="BU80">
            <v>7.4175824175824176E-2</v>
          </cell>
        </row>
        <row r="81">
          <cell r="BB81" t="str">
            <v>Other</v>
          </cell>
          <cell r="BC81">
            <v>0.38461538461538503</v>
          </cell>
          <cell r="BD81">
            <v>0.42857142857142899</v>
          </cell>
          <cell r="BE81">
            <v>0.42857142857142899</v>
          </cell>
          <cell r="BF81">
            <v>0.42857142857142899</v>
          </cell>
          <cell r="BG81" t="str">
            <v>Other</v>
          </cell>
          <cell r="BH81">
            <v>0.42857142857142799</v>
          </cell>
          <cell r="BI81">
            <v>0.4</v>
          </cell>
          <cell r="BJ81">
            <v>0.4</v>
          </cell>
          <cell r="BK81">
            <v>0.20833333333333301</v>
          </cell>
          <cell r="BL81" t="str">
            <v>Other</v>
          </cell>
          <cell r="BM81">
            <v>0.266666666666667</v>
          </cell>
          <cell r="BN81">
            <v>0.4</v>
          </cell>
          <cell r="BO81">
            <v>0.22727272727272699</v>
          </cell>
          <cell r="BP81">
            <v>0.61538461538461497</v>
          </cell>
          <cell r="BQ81" t="str">
            <v>Bath Iron</v>
          </cell>
          <cell r="BR81">
            <v>5.0228310502283102E-2</v>
          </cell>
          <cell r="BS81">
            <v>4.878048780487805E-2</v>
          </cell>
          <cell r="BT81">
            <v>5.3658536585365853E-2</v>
          </cell>
          <cell r="BU81">
            <v>8.5308056872037921E-2</v>
          </cell>
          <cell r="BW81" t="str">
            <v>Estimated Division Breakdown</v>
          </cell>
          <cell r="CG81" t="str">
            <v>Working Capital</v>
          </cell>
          <cell r="CQ81" t="str">
            <v>GAC backlog, Netjets, firm</v>
          </cell>
          <cell r="CS81">
            <v>1.7629999999999999</v>
          </cell>
          <cell r="CT81">
            <v>2.3919999999999999</v>
          </cell>
          <cell r="CU81">
            <v>2.3839400000000004</v>
          </cell>
          <cell r="CV81">
            <v>2.3540000000000005</v>
          </cell>
          <cell r="CW81">
            <v>2.3128000000000002</v>
          </cell>
          <cell r="CX81">
            <v>2.2219799999999998</v>
          </cell>
          <cell r="CY81">
            <v>2.1</v>
          </cell>
          <cell r="DA81" t="str">
            <v>GAC backlog ($B), Netjets, firm</v>
          </cell>
          <cell r="DB81">
            <v>2.0879400000000001</v>
          </cell>
          <cell r="DC81">
            <v>2.0644</v>
          </cell>
          <cell r="DD81">
            <v>1.9923399999999998</v>
          </cell>
          <cell r="DE81">
            <v>1.9</v>
          </cell>
        </row>
        <row r="82">
          <cell r="BG82" t="str">
            <v>Armored Vehs</v>
          </cell>
          <cell r="BL82" t="str">
            <v>Combat Systems</v>
          </cell>
          <cell r="BQ82" t="str">
            <v>Other</v>
          </cell>
          <cell r="BR82">
            <v>0.4</v>
          </cell>
          <cell r="BS82">
            <v>0.35</v>
          </cell>
          <cell r="BT82">
            <v>0.44117647058823528</v>
          </cell>
          <cell r="BU82">
            <v>0.2441860465116279</v>
          </cell>
          <cell r="BW82" t="str">
            <v>GD-NINC</v>
          </cell>
          <cell r="BX82">
            <v>82.001199999999997</v>
          </cell>
          <cell r="BY82">
            <v>92.018000000000001</v>
          </cell>
          <cell r="BZ82">
            <v>93.341999999999999</v>
          </cell>
          <cell r="CA82">
            <v>96.625799999999998</v>
          </cell>
          <cell r="CB82">
            <v>100.0073</v>
          </cell>
          <cell r="CC82">
            <v>102.96</v>
          </cell>
          <cell r="CD82">
            <v>104.94</v>
          </cell>
          <cell r="CE82">
            <v>109.87269999999999</v>
          </cell>
          <cell r="CG82" t="str">
            <v>Inventory</v>
          </cell>
          <cell r="CH82">
            <v>991</v>
          </cell>
          <cell r="CI82">
            <v>925</v>
          </cell>
          <cell r="CJ82">
            <v>920</v>
          </cell>
          <cell r="CK82">
            <v>953</v>
          </cell>
          <cell r="CL82">
            <v>1006</v>
          </cell>
          <cell r="CM82">
            <v>1456</v>
          </cell>
          <cell r="CN82">
            <v>1286</v>
          </cell>
          <cell r="CO82">
            <v>1006</v>
          </cell>
          <cell r="DH82">
            <v>2005</v>
          </cell>
          <cell r="DL82">
            <v>2006</v>
          </cell>
        </row>
        <row r="83">
          <cell r="BG83" t="str">
            <v>GD</v>
          </cell>
          <cell r="BL83" t="str">
            <v>Land Vehs</v>
          </cell>
          <cell r="BM83">
            <v>246</v>
          </cell>
          <cell r="BN83">
            <v>250</v>
          </cell>
          <cell r="BO83">
            <v>245</v>
          </cell>
          <cell r="BP83">
            <v>230</v>
          </cell>
          <cell r="BQ83" t="str">
            <v>Combat Systems</v>
          </cell>
          <cell r="BW83" t="str">
            <v>GAC-NINC</v>
          </cell>
          <cell r="BX83">
            <v>40.435000000000009</v>
          </cell>
          <cell r="BY83">
            <v>55.60179999999999</v>
          </cell>
          <cell r="BZ83">
            <v>64.320999999999998</v>
          </cell>
          <cell r="CA83">
            <v>-27.621800000000007</v>
          </cell>
          <cell r="CB83">
            <v>58.526999999999894</v>
          </cell>
          <cell r="CC83">
            <v>69.849999999999994</v>
          </cell>
          <cell r="CD83">
            <v>74.930000000000007</v>
          </cell>
          <cell r="CE83">
            <v>84.983000000000089</v>
          </cell>
          <cell r="CG83" t="str">
            <v>Accounts Receivables</v>
          </cell>
          <cell r="CH83">
            <v>875</v>
          </cell>
          <cell r="CI83">
            <v>755</v>
          </cell>
          <cell r="CJ83">
            <v>383</v>
          </cell>
          <cell r="CK83">
            <v>798</v>
          </cell>
          <cell r="CL83">
            <v>871</v>
          </cell>
          <cell r="CM83">
            <v>921</v>
          </cell>
          <cell r="CN83">
            <v>798</v>
          </cell>
          <cell r="CO83">
            <v>871</v>
          </cell>
          <cell r="CQ83" t="str">
            <v>Gulfstream Deliveries (Green)</v>
          </cell>
          <cell r="DH83" t="str">
            <v xml:space="preserve">Q1 </v>
          </cell>
          <cell r="DI83" t="str">
            <v xml:space="preserve">Q2 </v>
          </cell>
          <cell r="DJ83" t="str">
            <v xml:space="preserve">Q3 </v>
          </cell>
          <cell r="DK83" t="str">
            <v xml:space="preserve">Q4 </v>
          </cell>
          <cell r="DL83" t="str">
            <v xml:space="preserve">Q1 </v>
          </cell>
          <cell r="DM83" t="str">
            <v>Q2</v>
          </cell>
          <cell r="DN83" t="str">
            <v xml:space="preserve">Q3 </v>
          </cell>
          <cell r="DO83" t="str">
            <v xml:space="preserve">Q4 </v>
          </cell>
          <cell r="EC83">
            <v>1994</v>
          </cell>
          <cell r="ED83">
            <v>1995</v>
          </cell>
          <cell r="EE83">
            <v>1996</v>
          </cell>
          <cell r="EF83">
            <v>1997</v>
          </cell>
          <cell r="EG83" t="str">
            <v>1998</v>
          </cell>
          <cell r="EH83">
            <v>1999</v>
          </cell>
        </row>
        <row r="84">
          <cell r="BG84" t="str">
            <v>TVS</v>
          </cell>
          <cell r="BL84" t="str">
            <v>Def/Arm sys</v>
          </cell>
          <cell r="BQ84" t="str">
            <v>Land Vehs</v>
          </cell>
          <cell r="BR84">
            <v>220</v>
          </cell>
          <cell r="BS84">
            <v>233</v>
          </cell>
          <cell r="BT84">
            <v>230</v>
          </cell>
          <cell r="BU84">
            <v>232</v>
          </cell>
          <cell r="BW84" t="str">
            <v>GD-GAC NINC</v>
          </cell>
          <cell r="BX84">
            <v>122.43620000000001</v>
          </cell>
          <cell r="BY84">
            <v>147.6198</v>
          </cell>
          <cell r="BZ84">
            <v>157.66300000000001</v>
          </cell>
          <cell r="CA84">
            <v>69.003999999999991</v>
          </cell>
          <cell r="CB84">
            <v>158.53429999999989</v>
          </cell>
          <cell r="CC84">
            <v>172.81</v>
          </cell>
          <cell r="CD84">
            <v>179.87</v>
          </cell>
          <cell r="CE84">
            <v>194.85570000000007</v>
          </cell>
          <cell r="CG84" t="str">
            <v>Accounts Payable</v>
          </cell>
          <cell r="CH84">
            <v>-624</v>
          </cell>
          <cell r="CI84">
            <v>-622</v>
          </cell>
          <cell r="CJ84">
            <v>-595</v>
          </cell>
          <cell r="CK84">
            <v>-717</v>
          </cell>
          <cell r="CL84">
            <v>-754</v>
          </cell>
          <cell r="CM84">
            <v>-754</v>
          </cell>
          <cell r="CN84">
            <v>-717</v>
          </cell>
          <cell r="CO84">
            <v>-754</v>
          </cell>
          <cell r="CQ84" t="str">
            <v>Large Cabin Aircraft</v>
          </cell>
          <cell r="CR84">
            <v>15</v>
          </cell>
          <cell r="CS84">
            <v>18</v>
          </cell>
          <cell r="CT84">
            <v>14</v>
          </cell>
          <cell r="CU84">
            <v>14</v>
          </cell>
          <cell r="CV84">
            <v>11</v>
          </cell>
          <cell r="CW84">
            <v>12</v>
          </cell>
          <cell r="CX84">
            <v>14</v>
          </cell>
          <cell r="CY84">
            <v>13</v>
          </cell>
          <cell r="DB84">
            <v>2004</v>
          </cell>
          <cell r="DG84" t="str">
            <v>Gulfstream Deliveries (Green)</v>
          </cell>
          <cell r="EB84" t="str">
            <v>Gulfstream Deliveries (Green)</v>
          </cell>
        </row>
        <row r="85">
          <cell r="BG85" t="str">
            <v>subtotal</v>
          </cell>
          <cell r="BL85" t="str">
            <v>TVS</v>
          </cell>
          <cell r="BN85">
            <v>27</v>
          </cell>
          <cell r="BO85">
            <v>11</v>
          </cell>
          <cell r="BP85">
            <v>17</v>
          </cell>
          <cell r="BQ85" t="str">
            <v>Def/Arm sys</v>
          </cell>
          <cell r="BR85">
            <v>102</v>
          </cell>
          <cell r="BS85">
            <v>130</v>
          </cell>
          <cell r="BT85">
            <v>130</v>
          </cell>
          <cell r="BU85">
            <v>172</v>
          </cell>
          <cell r="BW85" t="str">
            <v>Marine</v>
          </cell>
          <cell r="CG85" t="str">
            <v xml:space="preserve">  Working Capital</v>
          </cell>
          <cell r="CH85">
            <v>1242</v>
          </cell>
          <cell r="CI85">
            <v>1058</v>
          </cell>
          <cell r="CJ85">
            <v>708</v>
          </cell>
          <cell r="CK85">
            <v>1034</v>
          </cell>
          <cell r="CL85">
            <v>1123</v>
          </cell>
          <cell r="CM85">
            <v>1623</v>
          </cell>
          <cell r="CN85">
            <v>1367</v>
          </cell>
          <cell r="CO85">
            <v>1123</v>
          </cell>
          <cell r="CQ85" t="str">
            <v>Midsize Aircraft</v>
          </cell>
          <cell r="CR85">
            <v>12</v>
          </cell>
          <cell r="CS85">
            <v>6</v>
          </cell>
          <cell r="CT85">
            <v>3</v>
          </cell>
          <cell r="CU85">
            <v>3</v>
          </cell>
          <cell r="CV85">
            <v>4</v>
          </cell>
          <cell r="CW85">
            <v>7</v>
          </cell>
          <cell r="CX85">
            <v>5</v>
          </cell>
          <cell r="CY85">
            <v>8</v>
          </cell>
          <cell r="DB85" t="str">
            <v xml:space="preserve">Q1 </v>
          </cell>
          <cell r="DC85" t="str">
            <v xml:space="preserve">Q2 </v>
          </cell>
          <cell r="DD85" t="str">
            <v xml:space="preserve">Q3 </v>
          </cell>
          <cell r="DE85" t="str">
            <v xml:space="preserve">Q4 </v>
          </cell>
          <cell r="DG85" t="str">
            <v>Large Cabin Aircraft</v>
          </cell>
          <cell r="DH85">
            <v>14</v>
          </cell>
          <cell r="DI85">
            <v>15</v>
          </cell>
          <cell r="DJ85">
            <v>17</v>
          </cell>
          <cell r="DK85">
            <v>17</v>
          </cell>
          <cell r="DL85">
            <v>18</v>
          </cell>
          <cell r="DM85">
            <v>16</v>
          </cell>
          <cell r="DN85">
            <v>18</v>
          </cell>
          <cell r="DO85">
            <v>19</v>
          </cell>
          <cell r="EB85" t="str">
            <v>Large Cabin Aircraft</v>
          </cell>
          <cell r="ED85">
            <v>26</v>
          </cell>
          <cell r="EE85">
            <v>27</v>
          </cell>
          <cell r="EF85">
            <v>51</v>
          </cell>
          <cell r="EG85">
            <v>61</v>
          </cell>
          <cell r="EH85">
            <v>70</v>
          </cell>
        </row>
        <row r="86">
          <cell r="BG86" t="str">
            <v>Op Pr</v>
          </cell>
          <cell r="BL86" t="str">
            <v>subtotal Revs</v>
          </cell>
          <cell r="BM86">
            <v>246</v>
          </cell>
          <cell r="BN86">
            <v>277</v>
          </cell>
          <cell r="BO86">
            <v>256</v>
          </cell>
          <cell r="BP86">
            <v>247</v>
          </cell>
          <cell r="BQ86" t="str">
            <v>TVS</v>
          </cell>
          <cell r="BR86">
            <v>15</v>
          </cell>
          <cell r="BS86">
            <v>15</v>
          </cell>
          <cell r="BT86">
            <v>15</v>
          </cell>
          <cell r="BU86">
            <v>15</v>
          </cell>
          <cell r="BW86" t="str">
            <v>Elec. Boat</v>
          </cell>
          <cell r="CG86" t="str">
            <v>COGS</v>
          </cell>
          <cell r="CH86">
            <v>2240</v>
          </cell>
          <cell r="CI86">
            <v>2282</v>
          </cell>
          <cell r="CJ86">
            <v>2165</v>
          </cell>
          <cell r="CK86">
            <v>2343</v>
          </cell>
          <cell r="CL86">
            <v>2339</v>
          </cell>
          <cell r="CM86">
            <v>2591</v>
          </cell>
          <cell r="CN86">
            <v>2644</v>
          </cell>
          <cell r="CO86">
            <v>2339</v>
          </cell>
          <cell r="CQ86" t="str">
            <v>Total</v>
          </cell>
          <cell r="CR86">
            <v>27</v>
          </cell>
          <cell r="CS86">
            <v>24</v>
          </cell>
          <cell r="CT86">
            <v>17</v>
          </cell>
          <cell r="CU86">
            <v>17</v>
          </cell>
          <cell r="CV86">
            <v>15</v>
          </cell>
          <cell r="CW86">
            <v>19</v>
          </cell>
          <cell r="CX86">
            <v>19</v>
          </cell>
          <cell r="CY86">
            <v>21</v>
          </cell>
          <cell r="DA86" t="str">
            <v>Gulfstream Deliveries (Green)</v>
          </cell>
          <cell r="DG86" t="str">
            <v>Midsize Aircraft</v>
          </cell>
          <cell r="DH86">
            <v>6</v>
          </cell>
          <cell r="DI86">
            <v>6</v>
          </cell>
          <cell r="DJ86">
            <v>7</v>
          </cell>
          <cell r="DK86">
            <v>7</v>
          </cell>
          <cell r="DL86">
            <v>7</v>
          </cell>
          <cell r="DM86">
            <v>13</v>
          </cell>
          <cell r="DN86">
            <v>11</v>
          </cell>
          <cell r="DO86">
            <v>11</v>
          </cell>
          <cell r="EB86" t="str">
            <v>Midsize Aircraft</v>
          </cell>
          <cell r="ED86">
            <v>0</v>
          </cell>
          <cell r="EE86">
            <v>0</v>
          </cell>
          <cell r="EF86">
            <v>0</v>
          </cell>
          <cell r="EG86">
            <v>0</v>
          </cell>
          <cell r="EH86">
            <v>0</v>
          </cell>
        </row>
        <row r="87">
          <cell r="BG87" t="str">
            <v>GD</v>
          </cell>
          <cell r="BL87" t="str">
            <v>Op Pr</v>
          </cell>
          <cell r="BQ87" t="str">
            <v>subtotal Revs</v>
          </cell>
          <cell r="BR87">
            <v>337</v>
          </cell>
          <cell r="BS87">
            <v>378</v>
          </cell>
          <cell r="BT87">
            <v>375</v>
          </cell>
          <cell r="BU87">
            <v>419</v>
          </cell>
          <cell r="BW87" t="str">
            <v>Bath Iron</v>
          </cell>
          <cell r="CG87" t="str">
            <v>Inventory Turns</v>
          </cell>
          <cell r="CH87">
            <v>9.0413723511604438</v>
          </cell>
          <cell r="CI87">
            <v>9.8681081081081086</v>
          </cell>
          <cell r="CJ87">
            <v>9.4130434782608692</v>
          </cell>
          <cell r="CK87">
            <v>9.8342077649527813</v>
          </cell>
          <cell r="CL87">
            <v>9.3001988071570576</v>
          </cell>
          <cell r="CM87">
            <v>7.1181318681318677</v>
          </cell>
          <cell r="CN87">
            <v>8.2239502332814922</v>
          </cell>
          <cell r="CO87">
            <v>9.3001988071570576</v>
          </cell>
          <cell r="CQ87" t="str">
            <v>Gulfstream Deliveries (Completions)</v>
          </cell>
          <cell r="DA87" t="str">
            <v>Large Cabin Aircraft</v>
          </cell>
          <cell r="DB87">
            <v>13</v>
          </cell>
          <cell r="DC87">
            <v>14</v>
          </cell>
          <cell r="DD87">
            <v>14</v>
          </cell>
          <cell r="DE87">
            <v>15</v>
          </cell>
          <cell r="DG87" t="str">
            <v>Total</v>
          </cell>
          <cell r="DH87">
            <v>20</v>
          </cell>
          <cell r="DI87">
            <v>21</v>
          </cell>
          <cell r="DJ87">
            <v>24</v>
          </cell>
          <cell r="DK87">
            <v>24</v>
          </cell>
          <cell r="DL87">
            <v>25</v>
          </cell>
          <cell r="DM87">
            <v>29</v>
          </cell>
          <cell r="DN87">
            <v>29</v>
          </cell>
          <cell r="DO87">
            <v>30</v>
          </cell>
          <cell r="EB87" t="str">
            <v>Total</v>
          </cell>
          <cell r="ED87">
            <v>26</v>
          </cell>
          <cell r="EE87">
            <v>27</v>
          </cell>
          <cell r="EF87">
            <v>51</v>
          </cell>
          <cell r="EG87">
            <v>61</v>
          </cell>
          <cell r="EH87">
            <v>70</v>
          </cell>
        </row>
        <row r="88">
          <cell r="BG88" t="str">
            <v>TVS</v>
          </cell>
          <cell r="BL88" t="str">
            <v>Land Vehs</v>
          </cell>
          <cell r="BM88">
            <v>33</v>
          </cell>
          <cell r="BN88">
            <v>34</v>
          </cell>
          <cell r="BO88">
            <v>33</v>
          </cell>
          <cell r="BP88">
            <v>37.6</v>
          </cell>
          <cell r="BQ88" t="str">
            <v>Op Pr</v>
          </cell>
          <cell r="BW88" t="str">
            <v>Other</v>
          </cell>
          <cell r="CG88" t="str">
            <v>Receivables Turnover</v>
          </cell>
          <cell r="CH88">
            <v>11.638857142857143</v>
          </cell>
          <cell r="CI88">
            <v>13.864900662251655</v>
          </cell>
          <cell r="CJ88">
            <v>26.130548302872064</v>
          </cell>
          <cell r="CK88">
            <v>13.233082706766917</v>
          </cell>
          <cell r="CL88">
            <v>12.275545350172216</v>
          </cell>
          <cell r="CM88">
            <v>12.8642779587405</v>
          </cell>
          <cell r="CN88">
            <v>15.137844611528822</v>
          </cell>
          <cell r="CO88">
            <v>14.245694603903559</v>
          </cell>
          <cell r="CQ88" t="str">
            <v>Large Cabin Aircraft</v>
          </cell>
          <cell r="CR88">
            <v>15</v>
          </cell>
          <cell r="CS88">
            <v>21</v>
          </cell>
          <cell r="CT88">
            <v>17</v>
          </cell>
          <cell r="CU88">
            <v>15</v>
          </cell>
          <cell r="CV88">
            <v>14</v>
          </cell>
          <cell r="CW88">
            <v>11</v>
          </cell>
          <cell r="CX88">
            <v>12</v>
          </cell>
          <cell r="CY88">
            <v>12</v>
          </cell>
          <cell r="DA88" t="str">
            <v>Midsize Aircraft</v>
          </cell>
          <cell r="DB88">
            <v>4</v>
          </cell>
          <cell r="DC88">
            <v>6</v>
          </cell>
          <cell r="DD88">
            <v>6</v>
          </cell>
          <cell r="DE88">
            <v>6</v>
          </cell>
          <cell r="DG88" t="str">
            <v>Gulfstream Deliveries (Completions)</v>
          </cell>
          <cell r="EB88" t="str">
            <v>Gulfstream Deliveries (Completions)</v>
          </cell>
        </row>
        <row r="89">
          <cell r="BG89" t="str">
            <v>subtotal</v>
          </cell>
          <cell r="BL89" t="str">
            <v>Def/Arm sys</v>
          </cell>
          <cell r="BQ89" t="str">
            <v>Land Vehs</v>
          </cell>
          <cell r="BR89">
            <v>32</v>
          </cell>
          <cell r="BS89">
            <v>28</v>
          </cell>
          <cell r="BT89">
            <v>30</v>
          </cell>
          <cell r="BU89">
            <v>40</v>
          </cell>
          <cell r="BW89" t="str">
            <v>subtot Revs</v>
          </cell>
          <cell r="CG89" t="str">
            <v>Days Sales Outstanding</v>
          </cell>
          <cell r="CH89">
            <v>30.930871956009426</v>
          </cell>
          <cell r="CI89">
            <v>25.964845242644248</v>
          </cell>
          <cell r="CJ89">
            <v>13.776978417266188</v>
          </cell>
          <cell r="CK89">
            <v>27.204545454545457</v>
          </cell>
          <cell r="CL89">
            <v>29.326599326599329</v>
          </cell>
          <cell r="CM89">
            <v>27.984469952734639</v>
          </cell>
          <cell r="CN89">
            <v>23.781456953642383</v>
          </cell>
          <cell r="CO89">
            <v>25.270793036750483</v>
          </cell>
          <cell r="CQ89" t="str">
            <v>Midsize Aircraft</v>
          </cell>
          <cell r="CR89">
            <v>10</v>
          </cell>
          <cell r="CS89">
            <v>8</v>
          </cell>
          <cell r="CT89">
            <v>2</v>
          </cell>
          <cell r="CU89">
            <v>6</v>
          </cell>
          <cell r="CV89">
            <v>3</v>
          </cell>
          <cell r="CW89">
            <v>2</v>
          </cell>
          <cell r="CX89">
            <v>8</v>
          </cell>
          <cell r="CY89">
            <v>12</v>
          </cell>
          <cell r="DA89" t="str">
            <v>Total</v>
          </cell>
          <cell r="DB89">
            <v>17</v>
          </cell>
          <cell r="DC89">
            <v>20</v>
          </cell>
          <cell r="DD89">
            <v>20</v>
          </cell>
          <cell r="DE89">
            <v>21</v>
          </cell>
          <cell r="DG89" t="str">
            <v>Large Cabin Aircraft</v>
          </cell>
          <cell r="DH89">
            <v>12</v>
          </cell>
          <cell r="DI89">
            <v>14</v>
          </cell>
          <cell r="DJ89">
            <v>17</v>
          </cell>
          <cell r="DK89">
            <v>17</v>
          </cell>
          <cell r="DL89">
            <v>16</v>
          </cell>
          <cell r="DM89">
            <v>20</v>
          </cell>
          <cell r="DN89">
            <v>18</v>
          </cell>
          <cell r="DO89">
            <v>17</v>
          </cell>
          <cell r="EB89" t="str">
            <v>Large Cabin Aircraft</v>
          </cell>
          <cell r="ED89">
            <v>29</v>
          </cell>
          <cell r="EE89">
            <v>27</v>
          </cell>
          <cell r="EF89">
            <v>26</v>
          </cell>
          <cell r="EG89">
            <v>46</v>
          </cell>
          <cell r="EH89">
            <v>68</v>
          </cell>
        </row>
        <row r="90">
          <cell r="BG90" t="str">
            <v>Margins</v>
          </cell>
          <cell r="BL90" t="str">
            <v>TVS</v>
          </cell>
          <cell r="BN90">
            <v>1.4</v>
          </cell>
          <cell r="BO90">
            <v>1</v>
          </cell>
          <cell r="BP90">
            <v>2.6</v>
          </cell>
          <cell r="BQ90" t="str">
            <v>Def/Arm sys</v>
          </cell>
          <cell r="BR90">
            <v>12</v>
          </cell>
          <cell r="BS90">
            <v>12</v>
          </cell>
          <cell r="BT90">
            <v>12</v>
          </cell>
          <cell r="BU90">
            <v>17</v>
          </cell>
          <cell r="BW90" t="str">
            <v>Op Pr</v>
          </cell>
          <cell r="CG90" t="str">
            <v>Working Capital Turnover</v>
          </cell>
          <cell r="CH90">
            <v>8.1996779388083745</v>
          </cell>
          <cell r="CI90">
            <v>9.8941398865784507</v>
          </cell>
          <cell r="CJ90">
            <v>14.135593220338983</v>
          </cell>
          <cell r="CK90">
            <v>10.212765957446809</v>
          </cell>
          <cell r="CL90">
            <v>9.520926090828139</v>
          </cell>
          <cell r="CM90">
            <v>7.3000616142945161</v>
          </cell>
          <cell r="CN90">
            <v>8.8368690563277248</v>
          </cell>
          <cell r="CO90">
            <v>11.048975957257346</v>
          </cell>
          <cell r="CQ90" t="str">
            <v>Total</v>
          </cell>
          <cell r="CR90">
            <v>25</v>
          </cell>
          <cell r="CS90">
            <v>29</v>
          </cell>
          <cell r="CT90">
            <v>19</v>
          </cell>
          <cell r="CU90">
            <v>21</v>
          </cell>
          <cell r="CV90">
            <v>17</v>
          </cell>
          <cell r="CW90">
            <v>13</v>
          </cell>
          <cell r="CX90">
            <v>20</v>
          </cell>
          <cell r="CY90">
            <v>24</v>
          </cell>
          <cell r="DA90" t="str">
            <v>Gulfstream Deliveries (Completions)</v>
          </cell>
          <cell r="DG90" t="str">
            <v>Midsize Aircraft</v>
          </cell>
          <cell r="DH90">
            <v>3</v>
          </cell>
          <cell r="DI90">
            <v>8</v>
          </cell>
          <cell r="DJ90">
            <v>5</v>
          </cell>
          <cell r="DK90">
            <v>8</v>
          </cell>
          <cell r="DL90">
            <v>7</v>
          </cell>
          <cell r="DM90">
            <v>6</v>
          </cell>
          <cell r="DN90">
            <v>8</v>
          </cell>
          <cell r="DO90">
            <v>12</v>
          </cell>
          <cell r="EB90" t="str">
            <v>Midsize Aircraft</v>
          </cell>
          <cell r="ED90">
            <v>0</v>
          </cell>
          <cell r="EE90">
            <v>0</v>
          </cell>
          <cell r="EF90">
            <v>0</v>
          </cell>
          <cell r="EG90">
            <v>0</v>
          </cell>
          <cell r="EH90">
            <v>0</v>
          </cell>
        </row>
        <row r="91">
          <cell r="BG91" t="str">
            <v>GD</v>
          </cell>
          <cell r="BL91" t="str">
            <v>subtotal</v>
          </cell>
          <cell r="BM91">
            <v>33</v>
          </cell>
          <cell r="BN91">
            <v>35.4</v>
          </cell>
          <cell r="BO91">
            <v>34</v>
          </cell>
          <cell r="BP91">
            <v>40.200000000000003</v>
          </cell>
          <cell r="BQ91" t="str">
            <v>TVS</v>
          </cell>
          <cell r="BR91">
            <v>1</v>
          </cell>
          <cell r="BS91">
            <v>1</v>
          </cell>
          <cell r="BT91">
            <v>1</v>
          </cell>
          <cell r="BU91">
            <v>1</v>
          </cell>
          <cell r="BW91" t="str">
            <v>Elec. Boat</v>
          </cell>
          <cell r="DA91" t="str">
            <v>Large Cabin Aircraft</v>
          </cell>
          <cell r="DB91">
            <v>7</v>
          </cell>
          <cell r="DC91">
            <v>15</v>
          </cell>
          <cell r="DD91">
            <v>14</v>
          </cell>
          <cell r="DE91">
            <v>16</v>
          </cell>
          <cell r="DG91" t="str">
            <v>Total</v>
          </cell>
          <cell r="DH91">
            <v>15</v>
          </cell>
          <cell r="DI91">
            <v>22</v>
          </cell>
          <cell r="DJ91">
            <v>22</v>
          </cell>
          <cell r="DK91">
            <v>25</v>
          </cell>
          <cell r="DL91">
            <v>23</v>
          </cell>
          <cell r="DM91">
            <v>26</v>
          </cell>
          <cell r="DN91">
            <v>26</v>
          </cell>
          <cell r="DO91">
            <v>29</v>
          </cell>
          <cell r="EB91" t="str">
            <v>Total</v>
          </cell>
          <cell r="ED91">
            <v>29</v>
          </cell>
          <cell r="EE91">
            <v>27</v>
          </cell>
          <cell r="EF91">
            <v>26</v>
          </cell>
          <cell r="EG91">
            <v>46</v>
          </cell>
          <cell r="EH91">
            <v>68</v>
          </cell>
        </row>
        <row r="92">
          <cell r="BG92" t="str">
            <v>TVS</v>
          </cell>
          <cell r="BL92" t="str">
            <v>Margins</v>
          </cell>
          <cell r="BQ92" t="str">
            <v>subtotal</v>
          </cell>
          <cell r="BR92">
            <v>45</v>
          </cell>
          <cell r="BS92">
            <v>41</v>
          </cell>
          <cell r="BT92">
            <v>43</v>
          </cell>
          <cell r="BU92">
            <v>58</v>
          </cell>
          <cell r="BW92" t="str">
            <v>Bath Iron</v>
          </cell>
          <cell r="CG92" t="str">
            <v>G&amp;A</v>
          </cell>
          <cell r="CH92">
            <v>157</v>
          </cell>
          <cell r="CI92">
            <v>163</v>
          </cell>
          <cell r="CL92">
            <v>182</v>
          </cell>
          <cell r="CM92">
            <v>209</v>
          </cell>
          <cell r="CN92">
            <v>186</v>
          </cell>
          <cell r="CO92">
            <v>182</v>
          </cell>
          <cell r="CQ92" t="str">
            <v>Preowned Sales</v>
          </cell>
          <cell r="CR92">
            <v>2</v>
          </cell>
          <cell r="CS92">
            <v>4</v>
          </cell>
          <cell r="CT92">
            <v>9</v>
          </cell>
          <cell r="CU92">
            <v>21</v>
          </cell>
          <cell r="CV92">
            <v>4</v>
          </cell>
          <cell r="CW92">
            <v>11</v>
          </cell>
          <cell r="CX92">
            <v>9</v>
          </cell>
          <cell r="CY92">
            <v>7</v>
          </cell>
          <cell r="DA92" t="str">
            <v>Midsize Aircraft</v>
          </cell>
          <cell r="DB92">
            <v>5</v>
          </cell>
          <cell r="DC92">
            <v>3</v>
          </cell>
          <cell r="DD92">
            <v>7</v>
          </cell>
          <cell r="DE92">
            <v>10</v>
          </cell>
        </row>
        <row r="93">
          <cell r="BG93" t="str">
            <v>subtotal</v>
          </cell>
          <cell r="BL93" t="str">
            <v>Land Vehs</v>
          </cell>
          <cell r="BM93">
            <v>0.134146341463415</v>
          </cell>
          <cell r="BN93">
            <v>0.13600000000000001</v>
          </cell>
          <cell r="BO93">
            <v>0.13469387755102</v>
          </cell>
          <cell r="BP93">
            <v>0.16347826086956499</v>
          </cell>
          <cell r="BQ93" t="str">
            <v>Margins</v>
          </cell>
          <cell r="BW93" t="str">
            <v>Other</v>
          </cell>
          <cell r="CG93" t="str">
            <v>G&amp;A/Sales</v>
          </cell>
          <cell r="CH93">
            <v>6.166535742340927E-2</v>
          </cell>
          <cell r="CI93">
            <v>6.2285059228123808E-2</v>
          </cell>
          <cell r="CL93">
            <v>6.8088290310512528E-2</v>
          </cell>
          <cell r="CM93">
            <v>7.0560432140445647E-2</v>
          </cell>
          <cell r="CN93">
            <v>6.1589403973509933E-2</v>
          </cell>
          <cell r="CO93">
            <v>5.8671824629271438E-2</v>
          </cell>
          <cell r="DA93" t="str">
            <v>Total</v>
          </cell>
          <cell r="DB93">
            <v>12</v>
          </cell>
          <cell r="DC93">
            <v>18</v>
          </cell>
          <cell r="DD93">
            <v>21</v>
          </cell>
          <cell r="DE93">
            <v>26</v>
          </cell>
          <cell r="DG93" t="str">
            <v>Preowned Units</v>
          </cell>
          <cell r="DH93">
            <v>3</v>
          </cell>
          <cell r="DI93">
            <v>2</v>
          </cell>
          <cell r="DJ93">
            <v>3</v>
          </cell>
          <cell r="DK93">
            <v>4</v>
          </cell>
          <cell r="DL93">
            <v>3</v>
          </cell>
          <cell r="DM93">
            <v>5</v>
          </cell>
          <cell r="DN93">
            <v>2</v>
          </cell>
          <cell r="DO93">
            <v>1</v>
          </cell>
          <cell r="EB93" t="str">
            <v>Preowned Units</v>
          </cell>
          <cell r="ED93">
            <v>21</v>
          </cell>
          <cell r="EE93">
            <v>16</v>
          </cell>
          <cell r="EF93">
            <v>14</v>
          </cell>
          <cell r="EG93">
            <v>12</v>
          </cell>
          <cell r="EH93">
            <v>17</v>
          </cell>
        </row>
        <row r="94">
          <cell r="BL94" t="str">
            <v>Def/Arm sys</v>
          </cell>
          <cell r="BQ94" t="str">
            <v>Land Vehs</v>
          </cell>
          <cell r="BR94">
            <v>0.14545454545454539</v>
          </cell>
          <cell r="BS94">
            <v>0.1201716738197425</v>
          </cell>
          <cell r="BT94">
            <v>0.13043478260869559</v>
          </cell>
          <cell r="BU94">
            <v>0.17241379310344829</v>
          </cell>
          <cell r="BW94" t="str">
            <v xml:space="preserve">subtot </v>
          </cell>
          <cell r="CQ94" t="str">
            <v>Revenue Growth, Total</v>
          </cell>
        </row>
        <row r="95">
          <cell r="BL95" t="str">
            <v>TVS</v>
          </cell>
          <cell r="BN95">
            <v>5.1851851851851899E-2</v>
          </cell>
          <cell r="BO95">
            <v>9.0909090909090898E-2</v>
          </cell>
          <cell r="BP95">
            <v>0.152941176470588</v>
          </cell>
          <cell r="BQ95" t="str">
            <v>Def/Arm sys</v>
          </cell>
          <cell r="BR95">
            <v>0.1176470588235294</v>
          </cell>
          <cell r="BS95">
            <v>9.2307692307692313E-2</v>
          </cell>
          <cell r="BT95">
            <v>9.2307692307692313E-2</v>
          </cell>
          <cell r="BU95">
            <v>9.8837209302325577E-2</v>
          </cell>
          <cell r="BW95" t="str">
            <v>Margins</v>
          </cell>
          <cell r="CG95" t="str">
            <v>Quarterly Cash Flow</v>
          </cell>
          <cell r="CQ95" t="str">
            <v>Marine Group</v>
          </cell>
          <cell r="CR95">
            <v>2.3201856148491462E-3</v>
          </cell>
          <cell r="CS95">
            <v>-3.2734952481520585E-2</v>
          </cell>
          <cell r="CT95">
            <v>-5.3728070175438569E-2</v>
          </cell>
          <cell r="CU95">
            <v>0.1301907968574636</v>
          </cell>
          <cell r="CV95">
            <v>0.12962962962962954</v>
          </cell>
          <cell r="CW95">
            <v>7.3144104803493537E-2</v>
          </cell>
          <cell r="CX95">
            <v>0.37891077636152959</v>
          </cell>
          <cell r="CY95">
            <v>0.11420059582919562</v>
          </cell>
          <cell r="DA95" t="str">
            <v>Preowned Units</v>
          </cell>
          <cell r="DB95">
            <v>3</v>
          </cell>
          <cell r="DC95">
            <v>4</v>
          </cell>
          <cell r="DD95">
            <v>5</v>
          </cell>
          <cell r="DE95">
            <v>3</v>
          </cell>
          <cell r="DG95" t="str">
            <v>Revenue Growth, Total</v>
          </cell>
          <cell r="EB95" t="str">
            <v>Revenue Growth, Total</v>
          </cell>
        </row>
        <row r="96">
          <cell r="BL96" t="str">
            <v>subtotal</v>
          </cell>
          <cell r="BM96">
            <v>0.134146341463415</v>
          </cell>
          <cell r="BN96">
            <v>0.12779783393501801</v>
          </cell>
          <cell r="BO96">
            <v>0.1328125</v>
          </cell>
          <cell r="BP96">
            <v>0.16275303643724701</v>
          </cell>
          <cell r="BQ96" t="str">
            <v>TVS</v>
          </cell>
          <cell r="BR96">
            <v>6.6666666666666666E-2</v>
          </cell>
          <cell r="BS96">
            <v>6.6666666666666666E-2</v>
          </cell>
          <cell r="BT96">
            <v>6.6666666666666666E-2</v>
          </cell>
          <cell r="BU96">
            <v>6.6666666666666666E-2</v>
          </cell>
          <cell r="BW96" t="str">
            <v>Elec. Boat</v>
          </cell>
          <cell r="CQ96" t="str">
            <v>Combat Systems</v>
          </cell>
          <cell r="CR96">
            <v>0.30821917808219168</v>
          </cell>
          <cell r="CS96">
            <v>0.34705882352941186</v>
          </cell>
          <cell r="CT96">
            <v>0.29724770642201825</v>
          </cell>
          <cell r="CU96">
            <v>0.14225941422594146</v>
          </cell>
          <cell r="CV96">
            <v>0.36649214659685869</v>
          </cell>
          <cell r="CW96">
            <v>0.42503639010189231</v>
          </cell>
          <cell r="CX96">
            <v>0.4214992927864214</v>
          </cell>
          <cell r="CY96">
            <v>0.51404151404151399</v>
          </cell>
          <cell r="DG96" t="str">
            <v>Marine Systems</v>
          </cell>
          <cell r="DH96">
            <v>-5.46875E-2</v>
          </cell>
          <cell r="DI96">
            <v>8.4961767204760896E-4</v>
          </cell>
          <cell r="DJ96">
            <v>1.4731369150779994E-2</v>
          </cell>
          <cell r="DK96">
            <v>1.883408071748871E-2</v>
          </cell>
          <cell r="DL96">
            <v>5.3719008264462742E-2</v>
          </cell>
          <cell r="DM96">
            <v>7.4702886247877798E-2</v>
          </cell>
          <cell r="DN96">
            <v>4.2698548249359591E-2</v>
          </cell>
          <cell r="DO96">
            <v>3.6971830985915499E-2</v>
          </cell>
          <cell r="EB96" t="str">
            <v>Marine Systems</v>
          </cell>
          <cell r="ED96">
            <v>8.7132140796307045E-2</v>
          </cell>
          <cell r="EE96">
            <v>0.23779193205944793</v>
          </cell>
          <cell r="EF96">
            <v>-9.0051457975985905E-3</v>
          </cell>
          <cell r="EG96">
            <v>0.15361315447858059</v>
          </cell>
          <cell r="EH96">
            <v>0.15828957239309838</v>
          </cell>
        </row>
        <row r="97">
          <cell r="BQ97" t="str">
            <v>subtotal</v>
          </cell>
          <cell r="BR97">
            <v>0.1335311572700297</v>
          </cell>
          <cell r="BS97">
            <v>0.1084656084656085</v>
          </cell>
          <cell r="BT97">
            <v>0.11466666666666669</v>
          </cell>
          <cell r="BU97">
            <v>0.13842482100238659</v>
          </cell>
          <cell r="BW97" t="str">
            <v>Bath Iron</v>
          </cell>
          <cell r="CG97" t="str">
            <v>Cash Flows from Operating Activities:</v>
          </cell>
          <cell r="CQ97" t="str">
            <v>Info. Systems &amp; Tech.</v>
          </cell>
          <cell r="CR97">
            <v>0.39215686274509798</v>
          </cell>
          <cell r="CS97">
            <v>0.41194029850746272</v>
          </cell>
          <cell r="CT97">
            <v>0.37557959814528585</v>
          </cell>
          <cell r="CU97">
            <v>0.28740157480314954</v>
          </cell>
          <cell r="CV97">
            <v>0.16549295774647876</v>
          </cell>
          <cell r="CW97">
            <v>0.21564482029598309</v>
          </cell>
          <cell r="CX97">
            <v>0.43146067415730327</v>
          </cell>
          <cell r="CY97">
            <v>0.50050968399592244</v>
          </cell>
          <cell r="DA97" t="str">
            <v>Revenue Growth, Total</v>
          </cell>
          <cell r="DG97" t="str">
            <v>Combat Systems</v>
          </cell>
          <cell r="DH97">
            <v>-1.2149532710280408E-2</v>
          </cell>
          <cell r="DI97">
            <v>0.12024048096192375</v>
          </cell>
          <cell r="DJ97">
            <v>0.20271580989330751</v>
          </cell>
          <cell r="DK97">
            <v>0.22782874617737003</v>
          </cell>
          <cell r="DL97">
            <v>0.29517502365184489</v>
          </cell>
          <cell r="DM97">
            <v>0.29159212880143115</v>
          </cell>
          <cell r="DN97">
            <v>0.10080645161290325</v>
          </cell>
          <cell r="DO97">
            <v>0.12391033623910341</v>
          </cell>
          <cell r="EB97" t="str">
            <v>Combat Systems</v>
          </cell>
          <cell r="ED97">
            <v>-0.11317567567567566</v>
          </cell>
          <cell r="EE97">
            <v>-2.2857142857142909E-2</v>
          </cell>
          <cell r="EF97">
            <v>0.35185185185185186</v>
          </cell>
          <cell r="EG97">
            <v>-8.2912761355443454E-2</v>
          </cell>
          <cell r="EH97">
            <v>1.4150943396226356E-2</v>
          </cell>
        </row>
        <row r="98">
          <cell r="BQ98" t="str">
            <v>Info Tech</v>
          </cell>
          <cell r="BW98" t="str">
            <v>Other</v>
          </cell>
          <cell r="CG98" t="str">
            <v>Net earnings</v>
          </cell>
          <cell r="CH98">
            <v>184</v>
          </cell>
          <cell r="CI98">
            <v>204</v>
          </cell>
          <cell r="CJ98">
            <v>294</v>
          </cell>
          <cell r="CK98">
            <v>219</v>
          </cell>
          <cell r="CL98">
            <v>240</v>
          </cell>
          <cell r="CM98">
            <v>227</v>
          </cell>
          <cell r="CN98">
            <v>230</v>
          </cell>
          <cell r="CO98">
            <v>246</v>
          </cell>
          <cell r="CQ98" t="str">
            <v>Aerospace</v>
          </cell>
          <cell r="CR98">
            <v>7.1629213483145993E-2</v>
          </cell>
          <cell r="CS98">
            <v>0.15032679738562083</v>
          </cell>
          <cell r="CT98">
            <v>-0.11813842482100234</v>
          </cell>
          <cell r="CU98">
            <v>-4.5263157894736894E-2</v>
          </cell>
          <cell r="CV98">
            <v>-0.22149410222804722</v>
          </cell>
          <cell r="CW98">
            <v>-0.1875</v>
          </cell>
          <cell r="CX98">
            <v>9.3369418132611681E-2</v>
          </cell>
          <cell r="CY98">
            <v>-8.5997794928335147E-2</v>
          </cell>
          <cell r="DA98" t="str">
            <v>Marine Systems</v>
          </cell>
          <cell r="DB98">
            <v>0.31147540983606548</v>
          </cell>
          <cell r="DC98">
            <v>0.19735503560529</v>
          </cell>
          <cell r="DD98">
            <v>-3.0252100840336138E-2</v>
          </cell>
          <cell r="DE98">
            <v>-6.2388591800356386E-3</v>
          </cell>
          <cell r="DG98" t="str">
            <v>Info. Systems &amp; Tech.</v>
          </cell>
          <cell r="DH98">
            <v>6.6342057212416261E-2</v>
          </cell>
          <cell r="DI98">
            <v>0.2266910420475321</v>
          </cell>
          <cell r="DJ98">
            <v>0.2484276729559749</v>
          </cell>
          <cell r="DK98">
            <v>0.12337662337662336</v>
          </cell>
          <cell r="DL98">
            <v>0.12614155251141557</v>
          </cell>
          <cell r="DM98">
            <v>7.1535022354694444E-2</v>
          </cell>
          <cell r="DN98">
            <v>0.2070528967254408</v>
          </cell>
          <cell r="DO98">
            <v>0.2032755298651252</v>
          </cell>
          <cell r="EB98" t="str">
            <v>Info. Systems &amp; Tech.</v>
          </cell>
          <cell r="EG98">
            <v>4.0432432432432428</v>
          </cell>
          <cell r="EH98">
            <v>0.52411575562700974</v>
          </cell>
        </row>
        <row r="99">
          <cell r="BQ99" t="str">
            <v>ATS</v>
          </cell>
          <cell r="BW99" t="str">
            <v>Combat Systems</v>
          </cell>
          <cell r="CG99" t="str">
            <v>Adjustments to reconcile net earnings</v>
          </cell>
          <cell r="CQ99" t="str">
            <v>Resources</v>
          </cell>
          <cell r="CR99">
            <v>2.0408163265306145E-2</v>
          </cell>
          <cell r="CS99">
            <v>0.10000000000000009</v>
          </cell>
          <cell r="CT99">
            <v>8.9743589743589647E-2</v>
          </cell>
          <cell r="CU99">
            <v>-6.3291139240506333E-2</v>
          </cell>
          <cell r="CV99">
            <v>-0.18000000000000005</v>
          </cell>
          <cell r="CW99">
            <v>-0.10389610389610393</v>
          </cell>
          <cell r="CX99">
            <v>-8.2352941176470629E-2</v>
          </cell>
          <cell r="CY99">
            <v>-8.108108108108103E-2</v>
          </cell>
          <cell r="DA99" t="str">
            <v>Combat Systems</v>
          </cell>
          <cell r="DB99">
            <v>0.36653895274584936</v>
          </cell>
          <cell r="DC99">
            <v>1.9407558733401498E-2</v>
          </cell>
          <cell r="DD99">
            <v>2.5870646766169125E-2</v>
          </cell>
          <cell r="DE99">
            <v>5.4838709677419439E-2</v>
          </cell>
          <cell r="DG99" t="str">
            <v>Aerospace</v>
          </cell>
          <cell r="DH99">
            <v>0.24257425742574257</v>
          </cell>
          <cell r="DI99">
            <v>7.3929961089494123E-2</v>
          </cell>
          <cell r="DJ99">
            <v>0.13533834586466176</v>
          </cell>
          <cell r="DK99">
            <v>0.13022700119474306</v>
          </cell>
          <cell r="DL99">
            <v>0.23373173970783534</v>
          </cell>
          <cell r="DM99">
            <v>0.28864734299516903</v>
          </cell>
          <cell r="DN99">
            <v>0.19977924944812364</v>
          </cell>
          <cell r="DO99">
            <v>9.1966173361522241E-2</v>
          </cell>
          <cell r="EB99" t="str">
            <v>Aerospace</v>
          </cell>
          <cell r="EG99">
            <v>0.27521008403361336</v>
          </cell>
          <cell r="EH99">
            <v>0.19810543657331148</v>
          </cell>
        </row>
        <row r="100">
          <cell r="BQ100" t="str">
            <v>CDI</v>
          </cell>
          <cell r="BW100" t="str">
            <v>Land Vehs</v>
          </cell>
          <cell r="CG100" t="str">
            <v xml:space="preserve">    Depreciation, depletion and amortization - PPE</v>
          </cell>
          <cell r="CH100">
            <v>56</v>
          </cell>
          <cell r="CI100">
            <v>55</v>
          </cell>
          <cell r="CJ100">
            <v>60</v>
          </cell>
          <cell r="CK100">
            <v>-26</v>
          </cell>
          <cell r="CL100">
            <v>36</v>
          </cell>
          <cell r="CM100">
            <v>44</v>
          </cell>
          <cell r="CN100">
            <v>47</v>
          </cell>
          <cell r="CO100">
            <v>44</v>
          </cell>
          <cell r="CQ100" t="str">
            <v>Total</v>
          </cell>
          <cell r="CR100">
            <v>0.16049382716049387</v>
          </cell>
          <cell r="CS100">
            <v>0.18365968939905475</v>
          </cell>
          <cell r="CT100">
            <v>8.7417218543046404E-2</v>
          </cell>
          <cell r="CU100">
            <v>0.11444542512503686</v>
          </cell>
          <cell r="CV100">
            <v>9.1876208897485601E-2</v>
          </cell>
          <cell r="CW100">
            <v>0.11123787792355966</v>
          </cell>
          <cell r="CX100">
            <v>0.32612667478684521</v>
          </cell>
          <cell r="CY100">
            <v>0.24894403379091878</v>
          </cell>
          <cell r="DA100" t="str">
            <v>Info. Systems &amp; Tech.</v>
          </cell>
          <cell r="DB100">
            <v>0.65458207452165151</v>
          </cell>
          <cell r="DC100">
            <v>0.42695652173913046</v>
          </cell>
          <cell r="DD100">
            <v>0.24803767660910525</v>
          </cell>
          <cell r="DE100">
            <v>0.25543478260869557</v>
          </cell>
          <cell r="DG100" t="str">
            <v>Resources/Corporate</v>
          </cell>
          <cell r="DH100" t="str">
            <v>NM</v>
          </cell>
          <cell r="DI100" t="str">
            <v>NM</v>
          </cell>
          <cell r="DJ100" t="str">
            <v>NM</v>
          </cell>
          <cell r="DK100" t="str">
            <v>NM</v>
          </cell>
          <cell r="DL100" t="str">
            <v>NM</v>
          </cell>
          <cell r="DM100" t="str">
            <v>NM</v>
          </cell>
          <cell r="DN100" t="str">
            <v>NM</v>
          </cell>
          <cell r="DO100" t="str">
            <v>NM</v>
          </cell>
          <cell r="EB100" t="str">
            <v>Resources/Corporate</v>
          </cell>
          <cell r="ED100">
            <v>-5.673758865248224E-2</v>
          </cell>
          <cell r="EE100">
            <v>0.67669172932330834</v>
          </cell>
          <cell r="EF100">
            <v>8.5201793721973118E-2</v>
          </cell>
          <cell r="EG100">
            <v>-2.4793388429752095E-2</v>
          </cell>
          <cell r="EH100">
            <v>5.9322033898305149E-2</v>
          </cell>
        </row>
        <row r="101">
          <cell r="BQ101" t="str">
            <v>subtotal</v>
          </cell>
          <cell r="BW101" t="str">
            <v>Def/Arm sys</v>
          </cell>
          <cell r="CG101" t="str">
            <v xml:space="preserve">    Amortization of intangible assets &amp; goodwill </v>
          </cell>
          <cell r="CH101">
            <v>0</v>
          </cell>
          <cell r="CI101">
            <v>0</v>
          </cell>
          <cell r="CJ101">
            <v>0</v>
          </cell>
          <cell r="CK101">
            <v>81</v>
          </cell>
          <cell r="CL101">
            <v>24</v>
          </cell>
          <cell r="CM101">
            <v>23</v>
          </cell>
          <cell r="CN101">
            <v>21</v>
          </cell>
          <cell r="CO101">
            <v>32</v>
          </cell>
          <cell r="CQ101" t="str">
            <v>Revenue Growth, Organic</v>
          </cell>
          <cell r="DA101" t="str">
            <v>Aerospace</v>
          </cell>
          <cell r="DB101">
            <v>2.020202020202011E-2</v>
          </cell>
          <cell r="DC101">
            <v>7.8321678321678245E-2</v>
          </cell>
          <cell r="DD101">
            <v>-1.2376237623762387E-2</v>
          </cell>
          <cell r="DE101">
            <v>9.6501809408926498E-3</v>
          </cell>
          <cell r="DG101" t="str">
            <v>Total</v>
          </cell>
          <cell r="DH101">
            <v>2.7120103314679289E-2</v>
          </cell>
          <cell r="DI101">
            <v>0.10425623387790206</v>
          </cell>
          <cell r="DJ101">
            <v>0.14095115128039604</v>
          </cell>
          <cell r="DK101">
            <v>0.17083079423115977</v>
          </cell>
          <cell r="DL101">
            <v>0.16219614417435047</v>
          </cell>
          <cell r="DM101">
            <v>0.15514891960288102</v>
          </cell>
          <cell r="DN101">
            <v>0.14466239155035843</v>
          </cell>
          <cell r="DO101">
            <v>0.13011797362942401</v>
          </cell>
          <cell r="EB101" t="str">
            <v>Total</v>
          </cell>
          <cell r="ED101">
            <v>2.9431000654023265E-3</v>
          </cell>
          <cell r="EE101">
            <v>0.16759047929572879</v>
          </cell>
          <cell r="EF101">
            <v>0.68360793074560178</v>
          </cell>
          <cell r="EG101">
            <v>0.24979266876762307</v>
          </cell>
          <cell r="EH101">
            <v>0.18898473788984749</v>
          </cell>
        </row>
        <row r="102">
          <cell r="BQ102" t="str">
            <v>Op Pr</v>
          </cell>
          <cell r="BW102" t="str">
            <v>TVS</v>
          </cell>
          <cell r="CG102" t="str">
            <v xml:space="preserve">    Recognition of pension gains previously deferred</v>
          </cell>
          <cell r="CH102">
            <v>0</v>
          </cell>
          <cell r="CI102">
            <v>0</v>
          </cell>
          <cell r="CJ102">
            <v>0</v>
          </cell>
          <cell r="CK102">
            <v>0</v>
          </cell>
          <cell r="CL102">
            <v>0</v>
          </cell>
          <cell r="CM102">
            <v>0</v>
          </cell>
          <cell r="CN102">
            <v>0</v>
          </cell>
          <cell r="CO102">
            <v>0</v>
          </cell>
          <cell r="CQ102" t="str">
            <v>Marine Group</v>
          </cell>
          <cell r="CR102">
            <v>2.3201856148491462E-3</v>
          </cell>
          <cell r="CS102">
            <v>-3.2734952481520585E-2</v>
          </cell>
          <cell r="CT102">
            <v>-5.3728070175438569E-2</v>
          </cell>
          <cell r="CU102">
            <v>0.1301907968574636</v>
          </cell>
          <cell r="CV102">
            <v>0.12962962962962954</v>
          </cell>
          <cell r="CW102">
            <v>7.3144104803493537E-2</v>
          </cell>
          <cell r="CX102">
            <v>0.37891077636152959</v>
          </cell>
          <cell r="CY102">
            <v>0.11420059582919562</v>
          </cell>
          <cell r="DA102" t="str">
            <v>Resources</v>
          </cell>
          <cell r="DB102">
            <v>0.14634146341463405</v>
          </cell>
          <cell r="DC102">
            <v>-5.7971014492753659E-2</v>
          </cell>
          <cell r="DD102">
            <v>-5.1282051282051322E-2</v>
          </cell>
          <cell r="DE102">
            <v>-3.7205882352941178</v>
          </cell>
          <cell r="DG102" t="str">
            <v>Revenue Growth, Organic</v>
          </cell>
          <cell r="EB102" t="str">
            <v>Revenue Growth, Organic</v>
          </cell>
        </row>
        <row r="103">
          <cell r="BQ103" t="str">
            <v>ATS</v>
          </cell>
          <cell r="BW103" t="str">
            <v>subtotal Revs</v>
          </cell>
          <cell r="CG103" t="str">
            <v xml:space="preserve">    Amortization of debt issuance costs</v>
          </cell>
          <cell r="CH103">
            <v>0</v>
          </cell>
          <cell r="CI103">
            <v>0</v>
          </cell>
          <cell r="CJ103">
            <v>0</v>
          </cell>
          <cell r="CK103">
            <v>0</v>
          </cell>
          <cell r="CL103">
            <v>0</v>
          </cell>
          <cell r="CM103">
            <v>0</v>
          </cell>
          <cell r="CN103">
            <v>0</v>
          </cell>
          <cell r="CO103">
            <v>0</v>
          </cell>
          <cell r="CQ103" t="str">
            <v>Combat Systems</v>
          </cell>
          <cell r="CT103">
            <v>0.17</v>
          </cell>
          <cell r="CV103">
            <v>0.17</v>
          </cell>
          <cell r="CW103">
            <v>7.0000000000000007E-2</v>
          </cell>
          <cell r="CX103">
            <v>0.1</v>
          </cell>
          <cell r="CY103">
            <v>-1.7000000000000001E-2</v>
          </cell>
          <cell r="DA103" t="str">
            <v>Total</v>
          </cell>
          <cell r="DB103">
            <v>0.37171538234425738</v>
          </cell>
          <cell r="DC103">
            <v>0.19404517453798764</v>
          </cell>
          <cell r="DD103">
            <v>6.7049368541905796E-2</v>
          </cell>
          <cell r="DE103">
            <v>4.0583386176284098E-2</v>
          </cell>
          <cell r="DG103" t="str">
            <v>Marine Systems</v>
          </cell>
          <cell r="EB103" t="str">
            <v>Marine Systems</v>
          </cell>
          <cell r="EF103">
            <v>-9.0051457975985905E-3</v>
          </cell>
        </row>
        <row r="104">
          <cell r="BQ104" t="str">
            <v>CDI</v>
          </cell>
          <cell r="BW104" t="str">
            <v>Op Pr</v>
          </cell>
          <cell r="CG104" t="str">
            <v>Decrease (increase) in assets, net of effect of business acq.</v>
          </cell>
          <cell r="CQ104" t="str">
            <v>Info. Systems &amp; Tech.</v>
          </cell>
          <cell r="CT104">
            <v>0.11</v>
          </cell>
          <cell r="CV104">
            <v>0.16549295774647876</v>
          </cell>
          <cell r="CW104">
            <v>0.21564482029598309</v>
          </cell>
          <cell r="CX104">
            <v>0.28000000000000003</v>
          </cell>
          <cell r="CY104">
            <v>0.19700000000000001</v>
          </cell>
          <cell r="DA104" t="str">
            <v>Revenue Growth, Organic</v>
          </cell>
          <cell r="DG104" t="str">
            <v>Combat Systems</v>
          </cell>
          <cell r="EB104" t="str">
            <v>Combat Systems</v>
          </cell>
          <cell r="EH104">
            <v>1.4150943396226356E-2</v>
          </cell>
        </row>
        <row r="105">
          <cell r="BQ105" t="str">
            <v>subtotal</v>
          </cell>
          <cell r="BW105" t="str">
            <v>Land Vehs</v>
          </cell>
          <cell r="CG105" t="str">
            <v xml:space="preserve">    Marketable securities</v>
          </cell>
          <cell r="CH105">
            <v>-124</v>
          </cell>
          <cell r="CI105">
            <v>124</v>
          </cell>
          <cell r="CJ105">
            <v>-16</v>
          </cell>
          <cell r="CK105">
            <v>0</v>
          </cell>
          <cell r="CL105">
            <v>0</v>
          </cell>
          <cell r="CM105">
            <v>0</v>
          </cell>
          <cell r="CN105">
            <v>0</v>
          </cell>
          <cell r="CO105">
            <v>0</v>
          </cell>
          <cell r="CQ105" t="str">
            <v>Aerospace</v>
          </cell>
          <cell r="CR105">
            <v>7.1629213483145993E-2</v>
          </cell>
          <cell r="CS105">
            <v>0.15032679738562083</v>
          </cell>
          <cell r="CT105">
            <v>-0.11813842482100234</v>
          </cell>
          <cell r="CU105">
            <v>-4.5263157894736894E-2</v>
          </cell>
          <cell r="CV105">
            <v>-0.22149410222804722</v>
          </cell>
          <cell r="CW105">
            <v>-0.1875</v>
          </cell>
          <cell r="CX105">
            <v>9.3369418132611681E-2</v>
          </cell>
          <cell r="CY105">
            <v>-8.5997794928335147E-2</v>
          </cell>
          <cell r="DA105" t="str">
            <v>Marine Systems</v>
          </cell>
          <cell r="DB105">
            <v>0.31147540983606548</v>
          </cell>
          <cell r="DC105">
            <v>0.19735503560529</v>
          </cell>
          <cell r="DD105">
            <v>-3.0252100840336138E-2</v>
          </cell>
          <cell r="DG105" t="str">
            <v>Info. Systems &amp; Tech.</v>
          </cell>
          <cell r="EB105" t="str">
            <v>Info. Systems &amp; Tech.</v>
          </cell>
        </row>
        <row r="106">
          <cell r="BQ106" t="str">
            <v>Margins</v>
          </cell>
          <cell r="BW106" t="str">
            <v>Def/Arm sys</v>
          </cell>
          <cell r="CG106" t="str">
            <v xml:space="preserve">    Accounts receivable</v>
          </cell>
          <cell r="CH106">
            <v>0</v>
          </cell>
          <cell r="CI106">
            <v>4</v>
          </cell>
          <cell r="CJ106">
            <v>-82</v>
          </cell>
          <cell r="CK106">
            <v>39</v>
          </cell>
          <cell r="CL106">
            <v>-8</v>
          </cell>
          <cell r="CM106">
            <v>-43</v>
          </cell>
          <cell r="CN106">
            <v>-28</v>
          </cell>
          <cell r="CO106">
            <v>41</v>
          </cell>
          <cell r="CQ106" t="str">
            <v>Resources</v>
          </cell>
          <cell r="CR106">
            <v>2.0408163265306145E-2</v>
          </cell>
          <cell r="CS106">
            <v>0.10000000000000009</v>
          </cell>
          <cell r="CT106">
            <v>8.9743589743589647E-2</v>
          </cell>
          <cell r="CU106">
            <v>-6.3291139240506333E-2</v>
          </cell>
          <cell r="CV106">
            <v>-0.18000000000000005</v>
          </cell>
          <cell r="CW106">
            <v>-0.10389610389610393</v>
          </cell>
          <cell r="CX106">
            <v>-8.2352941176470629E-2</v>
          </cell>
          <cell r="CY106">
            <v>-8.108108108108103E-2</v>
          </cell>
          <cell r="DA106" t="str">
            <v>Combat Systems</v>
          </cell>
          <cell r="DB106">
            <v>4.3999999999999997E-2</v>
          </cell>
          <cell r="DG106" t="str">
            <v>Aerospace</v>
          </cell>
          <cell r="EB106" t="str">
            <v>Aerospace</v>
          </cell>
        </row>
        <row r="107">
          <cell r="BQ107" t="str">
            <v>ATS</v>
          </cell>
          <cell r="BW107" t="str">
            <v>TVS</v>
          </cell>
          <cell r="CG107" t="str">
            <v xml:space="preserve">    Contracts in process</v>
          </cell>
          <cell r="CH107">
            <v>-209</v>
          </cell>
          <cell r="CI107">
            <v>62</v>
          </cell>
          <cell r="CJ107">
            <v>48</v>
          </cell>
          <cell r="CK107">
            <v>17</v>
          </cell>
          <cell r="CL107">
            <v>-118</v>
          </cell>
          <cell r="CM107">
            <v>15</v>
          </cell>
          <cell r="CN107">
            <v>-17</v>
          </cell>
          <cell r="CO107">
            <v>-103</v>
          </cell>
          <cell r="CQ107" t="str">
            <v>Total</v>
          </cell>
          <cell r="CV107">
            <v>5.5580270793036624E-2</v>
          </cell>
          <cell r="CW107">
            <v>4.1668568168853337E-2</v>
          </cell>
          <cell r="CX107">
            <v>0.21586479902557865</v>
          </cell>
          <cell r="CY107">
            <v>3.4000000000000002E-2</v>
          </cell>
          <cell r="DA107" t="str">
            <v>Info. Systems &amp; Tech.</v>
          </cell>
          <cell r="DB107">
            <v>0.28299999999999997</v>
          </cell>
          <cell r="DG107" t="str">
            <v>Resources/Corporate</v>
          </cell>
          <cell r="EB107" t="str">
            <v>Resources/Corporate</v>
          </cell>
          <cell r="EH107">
            <v>5.9322033898305149E-2</v>
          </cell>
        </row>
        <row r="108">
          <cell r="BQ108" t="str">
            <v>CDI</v>
          </cell>
          <cell r="BW108" t="str">
            <v>subtotal</v>
          </cell>
          <cell r="CG108" t="str">
            <v xml:space="preserve">    Inventories</v>
          </cell>
          <cell r="CH108">
            <v>-30</v>
          </cell>
          <cell r="CI108">
            <v>71</v>
          </cell>
          <cell r="CJ108">
            <v>5</v>
          </cell>
          <cell r="CK108">
            <v>-35</v>
          </cell>
          <cell r="CL108">
            <v>-56</v>
          </cell>
          <cell r="CM108">
            <v>-26</v>
          </cell>
          <cell r="CN108">
            <v>-98</v>
          </cell>
          <cell r="CO108">
            <v>-43</v>
          </cell>
          <cell r="CQ108" t="str">
            <v>EPS, Qtrly as % of Total</v>
          </cell>
          <cell r="CR108">
            <v>0.4462382190429206</v>
          </cell>
          <cell r="CS108">
            <v>0.52110315996074585</v>
          </cell>
          <cell r="CT108">
            <v>0.53491470443623845</v>
          </cell>
          <cell r="CU108">
            <v>0.49940710039564801</v>
          </cell>
          <cell r="CV108">
            <v>0.44406918283451741</v>
          </cell>
          <cell r="CW108">
            <v>0.49137217643010783</v>
          </cell>
          <cell r="CX108">
            <v>0.50869774073667628</v>
          </cell>
          <cell r="CY108">
            <v>0.56066718434591345</v>
          </cell>
          <cell r="DA108" t="str">
            <v>Aerospace</v>
          </cell>
          <cell r="DB108">
            <v>2.020202020202011E-2</v>
          </cell>
          <cell r="DG108" t="str">
            <v>Total</v>
          </cell>
          <cell r="EB108" t="str">
            <v>Total</v>
          </cell>
        </row>
        <row r="109">
          <cell r="BQ109" t="str">
            <v>subtotal</v>
          </cell>
          <cell r="BW109" t="str">
            <v>Margins</v>
          </cell>
          <cell r="CG109" t="str">
            <v xml:space="preserve">    Other current assets</v>
          </cell>
          <cell r="CH109">
            <v>-7</v>
          </cell>
          <cell r="CI109">
            <v>-7</v>
          </cell>
          <cell r="CJ109">
            <v>24</v>
          </cell>
          <cell r="CK109">
            <v>-16</v>
          </cell>
          <cell r="CL109">
            <v>2</v>
          </cell>
          <cell r="CM109">
            <v>-6</v>
          </cell>
          <cell r="CN109">
            <v>1</v>
          </cell>
          <cell r="DA109" t="str">
            <v>Resources</v>
          </cell>
          <cell r="DB109">
            <v>0.14634146341463405</v>
          </cell>
          <cell r="DG109" t="str">
            <v>EPS, Qtrly as % of Total</v>
          </cell>
          <cell r="DH109">
            <v>0.24426748793934286</v>
          </cell>
          <cell r="DI109">
            <v>0.23368540819855696</v>
          </cell>
          <cell r="DJ109">
            <v>0.25091097059919715</v>
          </cell>
          <cell r="DK109">
            <v>0.27455370540064478</v>
          </cell>
          <cell r="DL109">
            <v>0.22760262832606853</v>
          </cell>
          <cell r="DM109">
            <v>0.24551891220120722</v>
          </cell>
          <cell r="DN109">
            <v>0.25707165290772571</v>
          </cell>
          <cell r="DO109">
            <v>0.26950150026399494</v>
          </cell>
          <cell r="EB109" t="str">
            <v>EPS, Qtrly as % of Total</v>
          </cell>
        </row>
        <row r="110">
          <cell r="BW110" t="str">
            <v>Land Vehs</v>
          </cell>
          <cell r="CG110" t="str">
            <v>Increase (decrease) in liabilities, net of effects</v>
          </cell>
          <cell r="CQ110" t="str">
            <v>Working Capital</v>
          </cell>
          <cell r="DA110" t="str">
            <v>Total</v>
          </cell>
          <cell r="DB110">
            <v>0.19</v>
          </cell>
        </row>
        <row r="111">
          <cell r="BW111" t="str">
            <v>Def/Arm sys</v>
          </cell>
          <cell r="CG111" t="str">
            <v xml:space="preserve">    Accounts payable and other current liabilities</v>
          </cell>
          <cell r="CH111">
            <v>35</v>
          </cell>
          <cell r="CI111">
            <v>23</v>
          </cell>
          <cell r="CJ111">
            <v>-27</v>
          </cell>
          <cell r="CK111">
            <v>70</v>
          </cell>
          <cell r="CL111">
            <v>-70</v>
          </cell>
          <cell r="CM111">
            <v>88</v>
          </cell>
          <cell r="CN111">
            <v>-15</v>
          </cell>
          <cell r="CO111">
            <v>45</v>
          </cell>
          <cell r="CQ111" t="str">
            <v>Inventory</v>
          </cell>
          <cell r="CR111">
            <v>1456</v>
          </cell>
          <cell r="CS111">
            <v>1370</v>
          </cell>
          <cell r="CT111">
            <v>1554</v>
          </cell>
          <cell r="CU111">
            <v>1405</v>
          </cell>
          <cell r="CV111">
            <v>1456</v>
          </cell>
          <cell r="CW111">
            <v>1375</v>
          </cell>
          <cell r="CX111">
            <v>1223</v>
          </cell>
          <cell r="CY111">
            <v>1160</v>
          </cell>
          <cell r="DA111" t="str">
            <v>EPS, Qtrly as % of Total</v>
          </cell>
          <cell r="DB111">
            <v>0.22323049433846309</v>
          </cell>
          <cell r="DC111">
            <v>0.24344537780111175</v>
          </cell>
          <cell r="DD111">
            <v>0.26749509937580496</v>
          </cell>
          <cell r="DE111">
            <v>0.26707681158747937</v>
          </cell>
          <cell r="DG111" t="str">
            <v>Working Capital</v>
          </cell>
          <cell r="EB111" t="str">
            <v>Working Capital</v>
          </cell>
        </row>
        <row r="112">
          <cell r="BW112" t="str">
            <v>TVS</v>
          </cell>
          <cell r="CG112" t="str">
            <v xml:space="preserve">    Customer deposits</v>
          </cell>
          <cell r="CH112">
            <v>40</v>
          </cell>
          <cell r="CI112">
            <v>-25</v>
          </cell>
          <cell r="CJ112">
            <v>-6</v>
          </cell>
          <cell r="CK112">
            <v>-64</v>
          </cell>
          <cell r="CL112">
            <v>7</v>
          </cell>
          <cell r="CM112">
            <v>41</v>
          </cell>
          <cell r="CN112">
            <v>-48</v>
          </cell>
          <cell r="CO112">
            <v>-112</v>
          </cell>
          <cell r="CQ112" t="str">
            <v>Accounts Receivables</v>
          </cell>
          <cell r="CR112">
            <v>921</v>
          </cell>
          <cell r="CS112">
            <v>1320</v>
          </cell>
          <cell r="CT112">
            <v>1156</v>
          </cell>
          <cell r="CU112">
            <v>1074</v>
          </cell>
          <cell r="CV112">
            <v>1263</v>
          </cell>
          <cell r="CW112">
            <v>1237</v>
          </cell>
          <cell r="CX112">
            <v>1502</v>
          </cell>
          <cell r="CY112">
            <v>1378</v>
          </cell>
          <cell r="DG112" t="str">
            <v>Inventory</v>
          </cell>
          <cell r="DH112">
            <v>1210</v>
          </cell>
          <cell r="DI112">
            <v>1189</v>
          </cell>
          <cell r="DJ112">
            <v>1350</v>
          </cell>
          <cell r="DK112">
            <v>1293</v>
          </cell>
          <cell r="DL112">
            <v>1437</v>
          </cell>
          <cell r="DM112">
            <v>1487</v>
          </cell>
          <cell r="DN112">
            <v>1409</v>
          </cell>
          <cell r="DO112">
            <v>1484</v>
          </cell>
          <cell r="EB112" t="str">
            <v>Inventory</v>
          </cell>
          <cell r="EG112">
            <v>804</v>
          </cell>
          <cell r="EH112">
            <v>961</v>
          </cell>
        </row>
        <row r="113">
          <cell r="BW113" t="str">
            <v>subtotal</v>
          </cell>
          <cell r="CG113" t="str">
            <v xml:space="preserve">    Current income taxes</v>
          </cell>
          <cell r="CH113">
            <v>54</v>
          </cell>
          <cell r="CI113">
            <v>-50</v>
          </cell>
          <cell r="CJ113">
            <v>-57</v>
          </cell>
          <cell r="CK113">
            <v>18</v>
          </cell>
          <cell r="CL113">
            <v>96</v>
          </cell>
          <cell r="CM113">
            <v>-96</v>
          </cell>
          <cell r="CN113">
            <v>93</v>
          </cell>
          <cell r="CQ113" t="str">
            <v>Accounts Payable</v>
          </cell>
          <cell r="CR113">
            <v>-754</v>
          </cell>
          <cell r="CS113">
            <v>-935</v>
          </cell>
          <cell r="CT113">
            <v>-1041</v>
          </cell>
          <cell r="CU113">
            <v>-1056</v>
          </cell>
          <cell r="CV113">
            <v>-1212</v>
          </cell>
          <cell r="CW113">
            <v>-1195</v>
          </cell>
          <cell r="CX113">
            <v>-1353</v>
          </cell>
          <cell r="CY113">
            <v>-1317</v>
          </cell>
          <cell r="DA113" t="str">
            <v>Working Capital</v>
          </cell>
          <cell r="DG113" t="str">
            <v>Accounts Receivables</v>
          </cell>
          <cell r="DH113">
            <v>1511</v>
          </cell>
          <cell r="DI113">
            <v>1677</v>
          </cell>
          <cell r="DJ113">
            <v>1720</v>
          </cell>
          <cell r="DK113">
            <v>2004</v>
          </cell>
          <cell r="DL113">
            <v>1743</v>
          </cell>
          <cell r="DM113">
            <v>1978</v>
          </cell>
          <cell r="DN113">
            <v>2144</v>
          </cell>
          <cell r="DO113">
            <v>2341</v>
          </cell>
          <cell r="EB113" t="str">
            <v>Accounts Receivables</v>
          </cell>
          <cell r="EG113">
            <v>580</v>
          </cell>
          <cell r="EH113">
            <v>746</v>
          </cell>
        </row>
        <row r="114">
          <cell r="BW114" t="str">
            <v>Info Tech</v>
          </cell>
          <cell r="CG114" t="str">
            <v>Deferred income taxes</v>
          </cell>
          <cell r="CH114">
            <v>14</v>
          </cell>
          <cell r="CI114">
            <v>-2</v>
          </cell>
          <cell r="CJ114">
            <v>101</v>
          </cell>
          <cell r="CK114">
            <v>15</v>
          </cell>
          <cell r="CL114">
            <v>-15</v>
          </cell>
          <cell r="CM114">
            <v>15</v>
          </cell>
          <cell r="CN114">
            <v>0</v>
          </cell>
          <cell r="CO114">
            <v>117</v>
          </cell>
          <cell r="CQ114" t="str">
            <v>Working Capital</v>
          </cell>
          <cell r="CR114">
            <v>1623</v>
          </cell>
          <cell r="CS114">
            <v>1755</v>
          </cell>
          <cell r="CT114">
            <v>1669</v>
          </cell>
          <cell r="CU114">
            <v>1423</v>
          </cell>
          <cell r="CV114">
            <v>1507</v>
          </cell>
          <cell r="CW114">
            <v>1417</v>
          </cell>
          <cell r="CX114">
            <v>1372</v>
          </cell>
          <cell r="CY114">
            <v>1221</v>
          </cell>
          <cell r="DA114" t="str">
            <v>Inventory</v>
          </cell>
          <cell r="DB114">
            <v>1268</v>
          </cell>
          <cell r="DC114">
            <v>1236</v>
          </cell>
          <cell r="DD114">
            <v>1287</v>
          </cell>
          <cell r="DE114">
            <v>1195</v>
          </cell>
          <cell r="DG114" t="str">
            <v>Accounts Payable</v>
          </cell>
          <cell r="DH114">
            <v>-1446</v>
          </cell>
          <cell r="DI114">
            <v>-1462</v>
          </cell>
          <cell r="DJ114">
            <v>-1592</v>
          </cell>
          <cell r="DK114">
            <v>-1686</v>
          </cell>
          <cell r="DL114">
            <v>-1721</v>
          </cell>
          <cell r="DM114">
            <v>-1741</v>
          </cell>
          <cell r="DN114">
            <v>-1625</v>
          </cell>
          <cell r="DO114">
            <v>-1956</v>
          </cell>
          <cell r="EB114" t="str">
            <v>Accounts Payable</v>
          </cell>
          <cell r="EG114">
            <v>-522</v>
          </cell>
          <cell r="EH114">
            <v>-631</v>
          </cell>
        </row>
        <row r="115">
          <cell r="BW115" t="str">
            <v>ATS</v>
          </cell>
          <cell r="CG115" t="str">
            <v>Other, net</v>
          </cell>
          <cell r="CH115">
            <v>-10</v>
          </cell>
          <cell r="CI115">
            <v>-8</v>
          </cell>
          <cell r="CJ115">
            <v>-97</v>
          </cell>
          <cell r="CK115">
            <v>36</v>
          </cell>
          <cell r="CL115">
            <v>-59</v>
          </cell>
          <cell r="CM115">
            <v>8</v>
          </cell>
          <cell r="CN115">
            <v>108</v>
          </cell>
          <cell r="CO115">
            <v>173</v>
          </cell>
          <cell r="CQ115" t="str">
            <v>Inventory Turns</v>
          </cell>
          <cell r="CR115">
            <v>7.1181318681318677</v>
          </cell>
          <cell r="CS115">
            <v>10.251094890510949</v>
          </cell>
          <cell r="CT115">
            <v>6.9189189189189193</v>
          </cell>
          <cell r="CU115">
            <v>6.9209964412811384</v>
          </cell>
          <cell r="CV115">
            <v>7.8763736263736268</v>
          </cell>
          <cell r="CW115">
            <v>9.5970909090909089</v>
          </cell>
          <cell r="CX115">
            <v>12.418642681929681</v>
          </cell>
          <cell r="CY115">
            <v>13.286206896551723</v>
          </cell>
          <cell r="DA115" t="str">
            <v>Accounts Receivables</v>
          </cell>
          <cell r="DB115">
            <v>1525</v>
          </cell>
          <cell r="DC115">
            <v>1376</v>
          </cell>
          <cell r="DD115">
            <v>1438</v>
          </cell>
          <cell r="DE115">
            <v>1450</v>
          </cell>
          <cell r="DG115" t="str">
            <v>Working Capital</v>
          </cell>
          <cell r="DH115">
            <v>1275</v>
          </cell>
          <cell r="DI115">
            <v>1404</v>
          </cell>
          <cell r="DJ115">
            <v>1478</v>
          </cell>
          <cell r="DK115">
            <v>1611</v>
          </cell>
          <cell r="DL115">
            <v>1459</v>
          </cell>
          <cell r="DM115">
            <v>1724</v>
          </cell>
          <cell r="DN115">
            <v>1928</v>
          </cell>
          <cell r="DO115">
            <v>1869</v>
          </cell>
          <cell r="EB115" t="str">
            <v>Working Capital</v>
          </cell>
          <cell r="EG115">
            <v>862</v>
          </cell>
          <cell r="EH115">
            <v>1076</v>
          </cell>
        </row>
        <row r="116">
          <cell r="BW116" t="str">
            <v>CDI</v>
          </cell>
          <cell r="CG116" t="str">
            <v>Net cash provided by operating activities</v>
          </cell>
          <cell r="CH116">
            <v>3</v>
          </cell>
          <cell r="CI116">
            <v>451</v>
          </cell>
          <cell r="CJ116">
            <v>247</v>
          </cell>
          <cell r="CK116">
            <v>354</v>
          </cell>
          <cell r="CL116">
            <v>79</v>
          </cell>
          <cell r="CM116">
            <v>290</v>
          </cell>
          <cell r="CN116">
            <v>294</v>
          </cell>
          <cell r="CO116">
            <v>440</v>
          </cell>
          <cell r="CQ116" t="str">
            <v>Receivables Turnover</v>
          </cell>
          <cell r="CR116">
            <v>15.226927252985885</v>
          </cell>
          <cell r="CS116">
            <v>9.9515151515151512</v>
          </cell>
          <cell r="CT116">
            <v>13.107266435986158</v>
          </cell>
          <cell r="CU116">
            <v>12.614525139664805</v>
          </cell>
          <cell r="CV116">
            <v>12.338875692794932</v>
          </cell>
          <cell r="CW116">
            <v>14.082457558609539</v>
          </cell>
          <cell r="CX116">
            <v>12.599201065246339</v>
          </cell>
          <cell r="CY116">
            <v>13.486211901306241</v>
          </cell>
          <cell r="DA116" t="str">
            <v>Accounts Payable</v>
          </cell>
          <cell r="DB116">
            <v>-1370</v>
          </cell>
          <cell r="DC116">
            <v>-1257</v>
          </cell>
          <cell r="DD116">
            <v>-1296</v>
          </cell>
          <cell r="DE116">
            <v>-1505</v>
          </cell>
          <cell r="DG116" t="str">
            <v>Inventory Turns</v>
          </cell>
          <cell r="DH116">
            <v>12.393388429752067</v>
          </cell>
          <cell r="DI116">
            <v>14.4053826745164</v>
          </cell>
          <cell r="DJ116">
            <v>13.247407407407408</v>
          </cell>
          <cell r="DK116">
            <v>15.433874709976799</v>
          </cell>
          <cell r="DL116">
            <v>12.768267223382045</v>
          </cell>
          <cell r="DM116">
            <v>13.180901143241426</v>
          </cell>
          <cell r="DN116">
            <v>15.307310149041873</v>
          </cell>
          <cell r="DO116">
            <v>14.533692722371967</v>
          </cell>
          <cell r="EB116" t="str">
            <v>Inventory Turns</v>
          </cell>
          <cell r="EG116">
            <v>7.4266169154228852</v>
          </cell>
          <cell r="EH116">
            <v>7.4776274713839754</v>
          </cell>
        </row>
        <row r="117">
          <cell r="BW117" t="str">
            <v>subtotal</v>
          </cell>
          <cell r="CG117" t="str">
            <v>Net cash used by discontinued operations</v>
          </cell>
          <cell r="CH117">
            <v>-1</v>
          </cell>
          <cell r="CI117">
            <v>-4</v>
          </cell>
          <cell r="CJ117">
            <v>-1</v>
          </cell>
          <cell r="CK117">
            <v>22</v>
          </cell>
          <cell r="CL117">
            <v>0</v>
          </cell>
          <cell r="CM117">
            <v>0</v>
          </cell>
          <cell r="CN117">
            <v>0</v>
          </cell>
          <cell r="CO117">
            <v>0</v>
          </cell>
          <cell r="CQ117" t="str">
            <v>Days Sales Outstanding</v>
          </cell>
          <cell r="CR117">
            <v>23.642327438676553</v>
          </cell>
          <cell r="CS117">
            <v>36.175395858708896</v>
          </cell>
          <cell r="CT117">
            <v>27.465681098204858</v>
          </cell>
          <cell r="CU117">
            <v>28.538529672276351</v>
          </cell>
          <cell r="CV117">
            <v>29.176078028747433</v>
          </cell>
          <cell r="CW117">
            <v>25.563719862227327</v>
          </cell>
          <cell r="CX117">
            <v>28.57324032974001</v>
          </cell>
          <cell r="CY117">
            <v>26.693930262591479</v>
          </cell>
          <cell r="DA117" t="str">
            <v>Working Capital</v>
          </cell>
          <cell r="DB117">
            <v>1423</v>
          </cell>
          <cell r="DC117">
            <v>1355</v>
          </cell>
          <cell r="DD117">
            <v>1429</v>
          </cell>
          <cell r="DE117">
            <v>1140</v>
          </cell>
          <cell r="DG117" t="str">
            <v>Receivables Turnover</v>
          </cell>
          <cell r="DH117">
            <v>12.632693580410324</v>
          </cell>
          <cell r="DI117">
            <v>12.252832438878951</v>
          </cell>
          <cell r="DJ117">
            <v>12.330232558139535</v>
          </cell>
          <cell r="DK117">
            <v>11.504990019960079</v>
          </cell>
          <cell r="DL117">
            <v>12.727481353987377</v>
          </cell>
          <cell r="DM117">
            <v>12</v>
          </cell>
          <cell r="DN117">
            <v>11.322761194029852</v>
          </cell>
          <cell r="DO117">
            <v>11.130286202477574</v>
          </cell>
          <cell r="EB117" t="str">
            <v>Receivables Turnover</v>
          </cell>
          <cell r="EG117">
            <v>12.991379310344827</v>
          </cell>
          <cell r="EH117">
            <v>12.009383378016086</v>
          </cell>
        </row>
        <row r="118">
          <cell r="BW118" t="str">
            <v>Op Pr</v>
          </cell>
          <cell r="CG118" t="str">
            <v>Net cash provided by operating activities</v>
          </cell>
          <cell r="CH118">
            <v>2</v>
          </cell>
          <cell r="CI118">
            <v>447</v>
          </cell>
          <cell r="CJ118">
            <v>246</v>
          </cell>
          <cell r="CK118">
            <v>376</v>
          </cell>
          <cell r="CL118">
            <v>79</v>
          </cell>
          <cell r="CM118">
            <v>290</v>
          </cell>
          <cell r="CN118">
            <v>294</v>
          </cell>
          <cell r="CO118">
            <v>440</v>
          </cell>
          <cell r="CQ118" t="str">
            <v>Working Capital Turnover</v>
          </cell>
          <cell r="CR118">
            <v>8.6407886629698094</v>
          </cell>
          <cell r="CS118">
            <v>7.4849002849002852</v>
          </cell>
          <cell r="CT118">
            <v>9.0784901138406227</v>
          </cell>
          <cell r="CU118">
            <v>9.5207308503162338</v>
          </cell>
          <cell r="CV118">
            <v>10.341074983410749</v>
          </cell>
          <cell r="CW118">
            <v>12.293577981651376</v>
          </cell>
          <cell r="CX118">
            <v>13.793002915451895</v>
          </cell>
          <cell r="CY118">
            <v>15.220311220311221</v>
          </cell>
          <cell r="DA118" t="str">
            <v>Inventory Turns</v>
          </cell>
          <cell r="DB118">
            <v>12.681388012618296</v>
          </cell>
          <cell r="DC118">
            <v>12.601941747572816</v>
          </cell>
          <cell r="DD118">
            <v>12.03108003108003</v>
          </cell>
          <cell r="DE118">
            <v>13.375732217573221</v>
          </cell>
          <cell r="DG118" t="str">
            <v>Days Sales Outstanding</v>
          </cell>
          <cell r="DH118">
            <v>28.497485331098069</v>
          </cell>
          <cell r="DI118">
            <v>29.380961650768931</v>
          </cell>
          <cell r="DJ118">
            <v>29.196529611467369</v>
          </cell>
          <cell r="DK118">
            <v>31.290770298403881</v>
          </cell>
          <cell r="DL118">
            <v>28.285250631085468</v>
          </cell>
          <cell r="DM118">
            <v>30</v>
          </cell>
          <cell r="DN118">
            <v>31.794364804745427</v>
          </cell>
          <cell r="DO118">
            <v>32.344181762357998</v>
          </cell>
          <cell r="EB118" t="str">
            <v>Days Sales Outstanding</v>
          </cell>
          <cell r="EG118">
            <v>27.710683477106834</v>
          </cell>
          <cell r="EH118">
            <v>29.976559883915613</v>
          </cell>
        </row>
        <row r="119">
          <cell r="BW119" t="str">
            <v>ATS</v>
          </cell>
          <cell r="DA119" t="str">
            <v>Receivables Turnover</v>
          </cell>
          <cell r="DB119">
            <v>12.186229508196721</v>
          </cell>
          <cell r="DC119">
            <v>13.523255813953488</v>
          </cell>
          <cell r="DD119">
            <v>12.926286509040334</v>
          </cell>
          <cell r="DE119">
            <v>13.580689655172414</v>
          </cell>
          <cell r="DG119" t="str">
            <v>Working Capital Turnover</v>
          </cell>
          <cell r="DH119">
            <v>14.970980392156862</v>
          </cell>
          <cell r="DI119">
            <v>14.635327635327636</v>
          </cell>
          <cell r="DJ119">
            <v>14.349120433017591</v>
          </cell>
          <cell r="DK119">
            <v>14.311607697082557</v>
          </cell>
          <cell r="DL119">
            <v>15.204934886908841</v>
          </cell>
          <cell r="DM119">
            <v>13.767981438515081</v>
          </cell>
          <cell r="DN119">
            <v>12.591286307053942</v>
          </cell>
          <cell r="DO119">
            <v>13.941144997324773</v>
          </cell>
          <cell r="EB119" t="str">
            <v>Working Capital Turnover</v>
          </cell>
          <cell r="EG119">
            <v>8.7412993039443148</v>
          </cell>
          <cell r="EH119">
            <v>8.3262081784386623</v>
          </cell>
        </row>
        <row r="120">
          <cell r="BW120" t="str">
            <v>CDI</v>
          </cell>
          <cell r="CG120" t="str">
            <v>Cash Flows from Investing Activities:</v>
          </cell>
          <cell r="CQ120" t="str">
            <v>COGS</v>
          </cell>
          <cell r="CR120">
            <v>2591</v>
          </cell>
          <cell r="CS120">
            <v>3511</v>
          </cell>
          <cell r="CT120">
            <v>2688</v>
          </cell>
          <cell r="CU120">
            <v>2431</v>
          </cell>
          <cell r="CV120">
            <v>2867</v>
          </cell>
          <cell r="CW120">
            <v>3299</v>
          </cell>
          <cell r="CX120">
            <v>3797</v>
          </cell>
          <cell r="CY120">
            <v>3853</v>
          </cell>
          <cell r="DA120" t="str">
            <v>Days Sales Outstanding</v>
          </cell>
          <cell r="DB120">
            <v>29.541541110632803</v>
          </cell>
          <cell r="DC120">
            <v>26.620808254514188</v>
          </cell>
          <cell r="DD120">
            <v>27.850225952227245</v>
          </cell>
          <cell r="DE120">
            <v>26.508226691042047</v>
          </cell>
        </row>
        <row r="121">
          <cell r="BW121" t="str">
            <v>subtotal</v>
          </cell>
          <cell r="CG121" t="str">
            <v>Business acquisitions, net of cash acquired</v>
          </cell>
          <cell r="CH121">
            <v>-8</v>
          </cell>
          <cell r="CI121">
            <v>-33</v>
          </cell>
          <cell r="CJ121">
            <v>0</v>
          </cell>
          <cell r="CK121">
            <v>-30</v>
          </cell>
          <cell r="CL121">
            <v>-355</v>
          </cell>
          <cell r="CM121">
            <v>-356</v>
          </cell>
          <cell r="CN121">
            <v>-741</v>
          </cell>
          <cell r="CO121">
            <v>1</v>
          </cell>
          <cell r="CQ121" t="str">
            <v>COGS/Sales</v>
          </cell>
          <cell r="CR121">
            <v>0.83526756931012247</v>
          </cell>
          <cell r="CS121">
            <v>1.0014261266400457</v>
          </cell>
          <cell r="CT121">
            <v>0.81851400730816082</v>
          </cell>
          <cell r="CU121">
            <v>0.6417634635691658</v>
          </cell>
          <cell r="CV121">
            <v>0.8464718039563035</v>
          </cell>
          <cell r="CW121">
            <v>0.84676591375770016</v>
          </cell>
          <cell r="CX121">
            <v>0.87187141216991959</v>
          </cell>
          <cell r="CY121">
            <v>0.81441555696470092</v>
          </cell>
          <cell r="DA121" t="str">
            <v>Working Capital Turnover</v>
          </cell>
          <cell r="DB121">
            <v>13.0597329585383</v>
          </cell>
          <cell r="DC121">
            <v>13.732841328413285</v>
          </cell>
          <cell r="DD121">
            <v>13.007697690692792</v>
          </cell>
          <cell r="DE121">
            <v>17.273684210526316</v>
          </cell>
          <cell r="DG121" t="str">
            <v>COGS</v>
          </cell>
          <cell r="DH121">
            <v>3749</v>
          </cell>
          <cell r="DI121">
            <v>4282</v>
          </cell>
          <cell r="DJ121">
            <v>4471</v>
          </cell>
          <cell r="DK121">
            <v>4989</v>
          </cell>
          <cell r="DL121">
            <v>4587</v>
          </cell>
          <cell r="DM121">
            <v>4900</v>
          </cell>
          <cell r="DN121">
            <v>5392</v>
          </cell>
          <cell r="DO121">
            <v>5392</v>
          </cell>
          <cell r="EB121" t="str">
            <v>COGS</v>
          </cell>
          <cell r="EG121">
            <v>5971</v>
          </cell>
          <cell r="EH121">
            <v>7186</v>
          </cell>
        </row>
        <row r="122">
          <cell r="BW122" t="str">
            <v>Margins</v>
          </cell>
          <cell r="CG122" t="str">
            <v>Purchases of available-for-sale securities</v>
          </cell>
          <cell r="CH122">
            <v>0</v>
          </cell>
          <cell r="CI122">
            <v>-11</v>
          </cell>
          <cell r="CJ122">
            <v>-5</v>
          </cell>
          <cell r="CK122">
            <v>-7</v>
          </cell>
          <cell r="CL122">
            <v>0</v>
          </cell>
          <cell r="CM122">
            <v>0</v>
          </cell>
          <cell r="CN122">
            <v>0</v>
          </cell>
          <cell r="CO122">
            <v>-45</v>
          </cell>
          <cell r="CQ122" t="str">
            <v>G&amp;A</v>
          </cell>
          <cell r="CR122">
            <v>209</v>
          </cell>
          <cell r="CS122">
            <v>224</v>
          </cell>
          <cell r="CT122">
            <v>193</v>
          </cell>
          <cell r="CU122">
            <v>266</v>
          </cell>
          <cell r="CV122">
            <v>236</v>
          </cell>
          <cell r="CW122">
            <v>258</v>
          </cell>
          <cell r="CX122">
            <v>273</v>
          </cell>
          <cell r="CY122">
            <v>303</v>
          </cell>
          <cell r="DG122" t="str">
            <v>COGS/Sales</v>
          </cell>
          <cell r="DH122">
            <v>0.78562447611064545</v>
          </cell>
          <cell r="DI122">
            <v>0.83356044383881644</v>
          </cell>
          <cell r="DJ122">
            <v>0.84326669181440961</v>
          </cell>
          <cell r="DK122">
            <v>0.86554476058292851</v>
          </cell>
          <cell r="DL122">
            <v>0.82708258204111074</v>
          </cell>
          <cell r="DM122">
            <v>0.8257499157398045</v>
          </cell>
          <cell r="DN122">
            <v>0.88844949744603718</v>
          </cell>
          <cell r="DO122">
            <v>0.8277556033159349</v>
          </cell>
          <cell r="EB122" t="str">
            <v>COGS/Sales</v>
          </cell>
          <cell r="EG122">
            <v>0.79243530192435296</v>
          </cell>
          <cell r="EH122">
            <v>0.80209844848755441</v>
          </cell>
        </row>
        <row r="123">
          <cell r="BW123" t="str">
            <v>ATS</v>
          </cell>
          <cell r="CG123" t="str">
            <v>Sales/maturities of available-for-sale securities</v>
          </cell>
          <cell r="CH123">
            <v>0</v>
          </cell>
          <cell r="CI123">
            <v>16</v>
          </cell>
          <cell r="CJ123">
            <v>6</v>
          </cell>
          <cell r="CK123">
            <v>7</v>
          </cell>
          <cell r="CL123">
            <v>70</v>
          </cell>
          <cell r="CM123">
            <v>0</v>
          </cell>
          <cell r="CN123">
            <v>-70</v>
          </cell>
          <cell r="CO123">
            <v>42</v>
          </cell>
          <cell r="CQ123" t="str">
            <v>G&amp;A/Sales</v>
          </cell>
          <cell r="CR123">
            <v>6.7375886524822695E-2</v>
          </cell>
          <cell r="CS123">
            <v>6.3890473474044501E-2</v>
          </cell>
          <cell r="CT123">
            <v>5.8769792935444577E-2</v>
          </cell>
          <cell r="CU123">
            <v>7.0221752903907073E-2</v>
          </cell>
          <cell r="CV123">
            <v>6.9678181281369947E-2</v>
          </cell>
          <cell r="CW123">
            <v>6.6221765913757696E-2</v>
          </cell>
          <cell r="CX123">
            <v>6.2686567164179099E-2</v>
          </cell>
          <cell r="CY123">
            <v>6.4045656309448321E-2</v>
          </cell>
          <cell r="DA123" t="str">
            <v>COGS</v>
          </cell>
          <cell r="DB123">
            <v>4020</v>
          </cell>
          <cell r="DC123">
            <v>3894</v>
          </cell>
          <cell r="DD123">
            <v>3871</v>
          </cell>
          <cell r="DE123">
            <v>3996</v>
          </cell>
          <cell r="DG123" t="str">
            <v>G&amp;A</v>
          </cell>
          <cell r="DH123">
            <v>309</v>
          </cell>
          <cell r="DI123">
            <v>316</v>
          </cell>
          <cell r="DJ123">
            <v>317</v>
          </cell>
          <cell r="DK123">
            <v>363</v>
          </cell>
          <cell r="DL123">
            <v>363</v>
          </cell>
          <cell r="DM123">
            <v>385</v>
          </cell>
          <cell r="DN123">
            <v>371</v>
          </cell>
          <cell r="DO123">
            <v>371</v>
          </cell>
          <cell r="EB123" t="str">
            <v>G&amp;A</v>
          </cell>
          <cell r="EG123">
            <v>509</v>
          </cell>
          <cell r="EH123">
            <v>570</v>
          </cell>
        </row>
        <row r="124">
          <cell r="BW124" t="str">
            <v>CDI</v>
          </cell>
          <cell r="CG124" t="str">
            <v>Capital expenditures</v>
          </cell>
          <cell r="CH124">
            <v>-79</v>
          </cell>
          <cell r="CI124">
            <v>-99</v>
          </cell>
          <cell r="CJ124">
            <v>-41</v>
          </cell>
          <cell r="CK124">
            <v>-69</v>
          </cell>
          <cell r="CL124">
            <v>-53</v>
          </cell>
          <cell r="CM124">
            <v>-57</v>
          </cell>
          <cell r="CN124">
            <v>-127</v>
          </cell>
          <cell r="CO124">
            <v>-119</v>
          </cell>
          <cell r="CQ124" t="str">
            <v>Employees (K)</v>
          </cell>
          <cell r="CR124">
            <v>51.9</v>
          </cell>
          <cell r="CS124">
            <v>53.6</v>
          </cell>
          <cell r="CT124">
            <v>53.4</v>
          </cell>
          <cell r="CU124">
            <v>53400</v>
          </cell>
          <cell r="CV124">
            <v>56800</v>
          </cell>
          <cell r="CW124">
            <v>57300</v>
          </cell>
          <cell r="CX124">
            <v>66900</v>
          </cell>
          <cell r="CY124">
            <v>65600</v>
          </cell>
          <cell r="DA124" t="str">
            <v>COGS/Sales</v>
          </cell>
          <cell r="DB124">
            <v>0.86526043908738703</v>
          </cell>
          <cell r="DC124">
            <v>0.83705932932072225</v>
          </cell>
          <cell r="DD124">
            <v>0.83301054443727141</v>
          </cell>
          <cell r="DE124">
            <v>0.8117001828153565</v>
          </cell>
          <cell r="DG124" t="str">
            <v>G&amp;A/Sales</v>
          </cell>
          <cell r="DH124">
            <v>6.475272422464376E-2</v>
          </cell>
          <cell r="DI124">
            <v>6.151450262799299E-2</v>
          </cell>
          <cell r="DJ124">
            <v>5.9788758958883442E-2</v>
          </cell>
          <cell r="DK124">
            <v>6.2977099236641215E-2</v>
          </cell>
          <cell r="DL124">
            <v>6.5452578434908038E-2</v>
          </cell>
          <cell r="DM124">
            <v>6.4880350522413213E-2</v>
          </cell>
          <cell r="DN124">
            <v>6.1130334486735868E-2</v>
          </cell>
          <cell r="DO124">
            <v>5.6954252379490332E-2</v>
          </cell>
          <cell r="EB124" t="str">
            <v>G&amp;A/Sales</v>
          </cell>
          <cell r="EG124">
            <v>6.7551426675514267E-2</v>
          </cell>
          <cell r="EH124">
            <v>6.3623172229043415E-2</v>
          </cell>
        </row>
        <row r="125">
          <cell r="BW125" t="str">
            <v>subtotal</v>
          </cell>
          <cell r="CG125" t="str">
            <v>Proceeds from sale of assets</v>
          </cell>
          <cell r="CH125">
            <v>1</v>
          </cell>
          <cell r="CI125">
            <v>5</v>
          </cell>
          <cell r="CJ125">
            <v>-6</v>
          </cell>
          <cell r="CK125">
            <v>33</v>
          </cell>
          <cell r="CL125">
            <v>0</v>
          </cell>
          <cell r="CM125">
            <v>0</v>
          </cell>
          <cell r="CN125">
            <v>81</v>
          </cell>
          <cell r="CO125">
            <v>15</v>
          </cell>
          <cell r="CQ125" t="str">
            <v>Sales/Employee ($K)</v>
          </cell>
          <cell r="CR125">
            <v>239.07514450867052</v>
          </cell>
          <cell r="CS125">
            <v>261.64179104477608</v>
          </cell>
          <cell r="CT125">
            <v>245.99250936329588</v>
          </cell>
          <cell r="CU125">
            <v>0.28374531835205991</v>
          </cell>
          <cell r="CV125">
            <v>238.52112676056339</v>
          </cell>
          <cell r="CW125">
            <v>271.97207678883075</v>
          </cell>
          <cell r="CX125">
            <v>260.38863976083707</v>
          </cell>
          <cell r="CY125">
            <v>288.47560975609758</v>
          </cell>
          <cell r="DA125" t="str">
            <v>G&amp;A</v>
          </cell>
          <cell r="DB125">
            <v>298</v>
          </cell>
          <cell r="DC125">
            <v>273</v>
          </cell>
          <cell r="DD125">
            <v>283</v>
          </cell>
          <cell r="DE125">
            <v>302</v>
          </cell>
          <cell r="DG125" t="str">
            <v>Employees</v>
          </cell>
          <cell r="DH125">
            <v>69400</v>
          </cell>
          <cell r="DI125">
            <v>69600</v>
          </cell>
          <cell r="DJ125">
            <v>70600</v>
          </cell>
          <cell r="DK125">
            <v>70900</v>
          </cell>
          <cell r="DL125">
            <v>72700</v>
          </cell>
          <cell r="DM125">
            <v>81900</v>
          </cell>
          <cell r="DN125">
            <v>81100</v>
          </cell>
          <cell r="DO125">
            <v>81000</v>
          </cell>
          <cell r="EB125" t="str">
            <v>Employees</v>
          </cell>
          <cell r="EG125">
            <v>38440</v>
          </cell>
          <cell r="EH125">
            <v>43400</v>
          </cell>
        </row>
        <row r="126">
          <cell r="BW126" t="str">
            <v>Estimated GD "Free" Cash Position ($MM)</v>
          </cell>
          <cell r="CG126" t="str">
            <v>Other</v>
          </cell>
          <cell r="CH126">
            <v>-2</v>
          </cell>
          <cell r="CI126">
            <v>-3</v>
          </cell>
          <cell r="CJ126">
            <v>7</v>
          </cell>
          <cell r="CK126">
            <v>-11</v>
          </cell>
          <cell r="CL126">
            <v>-2</v>
          </cell>
          <cell r="CM126">
            <v>-1</v>
          </cell>
          <cell r="CN126">
            <v>-14</v>
          </cell>
          <cell r="CO126">
            <v>-15</v>
          </cell>
          <cell r="CQ126" t="str">
            <v>R&amp;D (included in Overhead)</v>
          </cell>
          <cell r="CR126">
            <v>51</v>
          </cell>
          <cell r="CS126">
            <v>75</v>
          </cell>
          <cell r="CT126">
            <v>63</v>
          </cell>
          <cell r="CU126">
            <v>62</v>
          </cell>
          <cell r="CV126">
            <v>68</v>
          </cell>
          <cell r="CW126">
            <v>65</v>
          </cell>
          <cell r="CX126">
            <v>74</v>
          </cell>
          <cell r="CY126">
            <v>75</v>
          </cell>
          <cell r="DA126" t="str">
            <v>G&amp;A/Sales</v>
          </cell>
          <cell r="DB126">
            <v>6.4141196728368488E-2</v>
          </cell>
          <cell r="DC126">
            <v>5.868443680137575E-2</v>
          </cell>
          <cell r="DD126">
            <v>6.0899505057026036E-2</v>
          </cell>
          <cell r="DE126">
            <v>6.1344708511070482E-2</v>
          </cell>
          <cell r="DG126" t="str">
            <v>Sales/Employee ($K)</v>
          </cell>
          <cell r="DH126">
            <v>275.04322766570601</v>
          </cell>
          <cell r="DI126">
            <v>295.22988505747128</v>
          </cell>
          <cell r="DJ126">
            <v>300.39660056657226</v>
          </cell>
          <cell r="DK126">
            <v>325.19040902679831</v>
          </cell>
          <cell r="DL126">
            <v>305.14442916093532</v>
          </cell>
          <cell r="DM126">
            <v>289.81684981684981</v>
          </cell>
          <cell r="DN126">
            <v>299.33415536374849</v>
          </cell>
          <cell r="DO126">
            <v>321.67901234567898</v>
          </cell>
          <cell r="EB126" t="str">
            <v>Sales/Employee ($K)</v>
          </cell>
          <cell r="EG126">
            <v>196.01977107180022</v>
          </cell>
          <cell r="EH126">
            <v>206.42857142857144</v>
          </cell>
        </row>
        <row r="127">
          <cell r="CG127" t="str">
            <v>Net cash (used) provided by investing activities</v>
          </cell>
          <cell r="CH127">
            <v>-88</v>
          </cell>
          <cell r="CI127">
            <v>-125</v>
          </cell>
          <cell r="CJ127">
            <v>-39</v>
          </cell>
          <cell r="CK127">
            <v>-77</v>
          </cell>
          <cell r="CL127">
            <v>-340</v>
          </cell>
          <cell r="CM127">
            <v>-414</v>
          </cell>
          <cell r="CN127">
            <v>-871</v>
          </cell>
          <cell r="CO127">
            <v>-121</v>
          </cell>
          <cell r="CQ127" t="str">
            <v>R&amp;D/Sales</v>
          </cell>
          <cell r="CR127">
            <v>1.6441005802707929E-2</v>
          </cell>
          <cell r="CS127">
            <v>2.1391899600684539E-2</v>
          </cell>
          <cell r="CT127">
            <v>1.9183922046285017E-2</v>
          </cell>
          <cell r="CU127">
            <v>1.6367476240760296E-2</v>
          </cell>
          <cell r="CV127">
            <v>2.0076764098021848E-2</v>
          </cell>
          <cell r="CW127">
            <v>1.6683778234086243E-2</v>
          </cell>
          <cell r="CX127">
            <v>1.6991963260619976E-2</v>
          </cell>
          <cell r="CY127">
            <v>1.5852885225110969E-2</v>
          </cell>
          <cell r="DA127" t="str">
            <v>Employees</v>
          </cell>
          <cell r="DB127">
            <v>68400</v>
          </cell>
          <cell r="DC127">
            <v>69400</v>
          </cell>
          <cell r="DD127">
            <v>69300</v>
          </cell>
          <cell r="DE127">
            <v>70000</v>
          </cell>
          <cell r="DG127" t="str">
            <v>R&amp;D (included in Overhead)</v>
          </cell>
          <cell r="DH127">
            <v>80</v>
          </cell>
          <cell r="DI127">
            <v>87</v>
          </cell>
          <cell r="DJ127">
            <v>86</v>
          </cell>
          <cell r="DK127">
            <v>91</v>
          </cell>
          <cell r="DL127">
            <v>83</v>
          </cell>
          <cell r="DM127">
            <v>93</v>
          </cell>
          <cell r="DN127">
            <v>100</v>
          </cell>
          <cell r="DO127">
            <v>101</v>
          </cell>
          <cell r="EB127" t="str">
            <v>R&amp;D (included in Overhead)</v>
          </cell>
          <cell r="EC127">
            <v>30</v>
          </cell>
          <cell r="EE127">
            <v>38</v>
          </cell>
          <cell r="EF127">
            <v>55</v>
          </cell>
          <cell r="EG127">
            <v>93</v>
          </cell>
          <cell r="EH127">
            <v>103</v>
          </cell>
        </row>
        <row r="128">
          <cell r="DA128" t="str">
            <v>Sales/Employee ($K)</v>
          </cell>
          <cell r="DB128">
            <v>271.69590643274853</v>
          </cell>
          <cell r="DC128">
            <v>268.12680115273776</v>
          </cell>
          <cell r="DD128">
            <v>268.22510822510822</v>
          </cell>
          <cell r="DE128">
            <v>281.31428571428569</v>
          </cell>
          <cell r="DG128" t="str">
            <v>R&amp;D/Sales</v>
          </cell>
          <cell r="DH128">
            <v>1.6764459346186086E-2</v>
          </cell>
          <cell r="DI128">
            <v>1.6935954837453766E-2</v>
          </cell>
          <cell r="DJ128">
            <v>1.6220294228592985E-2</v>
          </cell>
          <cell r="DK128">
            <v>1.5787647467036779E-2</v>
          </cell>
          <cell r="DL128">
            <v>1.4965741074648395E-2</v>
          </cell>
          <cell r="DM128">
            <v>1.5672396359959553E-2</v>
          </cell>
          <cell r="DN128">
            <v>1.6477179106936891E-2</v>
          </cell>
          <cell r="DO128">
            <v>1.5505066011667179E-2</v>
          </cell>
          <cell r="EB128" t="str">
            <v>R&amp;D/Sales</v>
          </cell>
          <cell r="EC128">
            <v>9.8103335513407448E-3</v>
          </cell>
          <cell r="ED128">
            <v>0</v>
          </cell>
          <cell r="EE128">
            <v>1.0611561016475845E-2</v>
          </cell>
          <cell r="EF128">
            <v>9.1225742245811901E-3</v>
          </cell>
          <cell r="EG128">
            <v>1.2342402123424022E-2</v>
          </cell>
          <cell r="EH128">
            <v>1.1496818841388548E-2</v>
          </cell>
        </row>
        <row r="129">
          <cell r="BW129" t="str">
            <v>Operations</v>
          </cell>
          <cell r="CG129" t="str">
            <v>Cash Flows from Financing Activities:</v>
          </cell>
          <cell r="CQ129" t="str">
            <v>Customers by Revenues</v>
          </cell>
          <cell r="DA129" t="str">
            <v>R&amp;D (included in Overhead)</v>
          </cell>
          <cell r="DB129">
            <v>93</v>
          </cell>
          <cell r="DC129">
            <v>91</v>
          </cell>
          <cell r="DD129">
            <v>65</v>
          </cell>
          <cell r="DE129">
            <v>77</v>
          </cell>
        </row>
        <row r="130">
          <cell r="BW130" t="str">
            <v>Net Income</v>
          </cell>
          <cell r="CG130" t="str">
            <v>Net (repayments) proceeds from commercial paper</v>
          </cell>
          <cell r="CH130">
            <v>144</v>
          </cell>
          <cell r="CI130">
            <v>-99</v>
          </cell>
          <cell r="CJ130">
            <v>-64</v>
          </cell>
          <cell r="CK130">
            <v>-489</v>
          </cell>
          <cell r="CL130">
            <v>565</v>
          </cell>
          <cell r="CM130">
            <v>46</v>
          </cell>
          <cell r="CN130">
            <v>1036</v>
          </cell>
          <cell r="CO130">
            <v>-822</v>
          </cell>
          <cell r="CQ130" t="str">
            <v>US Government (Defense)</v>
          </cell>
          <cell r="DA130" t="str">
            <v>R&amp;D/Sales</v>
          </cell>
          <cell r="DB130">
            <v>2.0017219113215669E-2</v>
          </cell>
          <cell r="DC130">
            <v>1.9561478933791919E-2</v>
          </cell>
          <cell r="DD130">
            <v>1.398751882935227E-2</v>
          </cell>
          <cell r="DE130">
            <v>1.5640869388584198E-2</v>
          </cell>
          <cell r="DG130" t="str">
            <v>Customers by Revenues</v>
          </cell>
          <cell r="EB130" t="str">
            <v>Customers by Revenues</v>
          </cell>
        </row>
        <row r="131">
          <cell r="BW131" t="str">
            <v>Depn/Depletion</v>
          </cell>
          <cell r="CG131" t="str">
            <v>Repayment of finance operations debt</v>
          </cell>
          <cell r="CH131">
            <v>-3</v>
          </cell>
          <cell r="CI131">
            <v>0</v>
          </cell>
          <cell r="CJ131">
            <v>-9</v>
          </cell>
          <cell r="CK131">
            <v>-6</v>
          </cell>
          <cell r="CL131">
            <v>-146</v>
          </cell>
          <cell r="CM131">
            <v>-11</v>
          </cell>
          <cell r="CN131">
            <v>-1</v>
          </cell>
          <cell r="CO131">
            <v>138</v>
          </cell>
          <cell r="CQ131" t="str">
            <v>Direct</v>
          </cell>
          <cell r="DG131" t="str">
            <v>US Government (Defense)</v>
          </cell>
          <cell r="EB131" t="str">
            <v>US Government (Defense)</v>
          </cell>
        </row>
        <row r="132">
          <cell r="BW132" t="str">
            <v>Goodwill Amort</v>
          </cell>
          <cell r="CG132" t="str">
            <v>Net repayments of other debt</v>
          </cell>
          <cell r="CH132">
            <v>0</v>
          </cell>
          <cell r="CI132">
            <v>-9</v>
          </cell>
          <cell r="CJ132">
            <v>6</v>
          </cell>
          <cell r="CK132">
            <v>-7</v>
          </cell>
          <cell r="CL132">
            <v>-4</v>
          </cell>
          <cell r="CM132">
            <v>4</v>
          </cell>
          <cell r="CN132">
            <v>0</v>
          </cell>
          <cell r="CO132">
            <v>-133</v>
          </cell>
          <cell r="CQ132" t="str">
            <v>Foreign Military Sales</v>
          </cell>
          <cell r="DA132" t="str">
            <v>Customers by Revenues</v>
          </cell>
          <cell r="DG132" t="str">
            <v>Direct</v>
          </cell>
          <cell r="EB132" t="str">
            <v>Direct</v>
          </cell>
          <cell r="EH132">
            <v>5104</v>
          </cell>
        </row>
        <row r="133">
          <cell r="BW133" t="str">
            <v>Capex</v>
          </cell>
          <cell r="CG133" t="str">
            <v>Dividends paid</v>
          </cell>
          <cell r="CH133">
            <v>-48</v>
          </cell>
          <cell r="CI133">
            <v>-52</v>
          </cell>
          <cell r="CJ133">
            <v>-51</v>
          </cell>
          <cell r="CK133">
            <v>-51</v>
          </cell>
          <cell r="CL133">
            <v>-52</v>
          </cell>
          <cell r="CM133">
            <v>-56</v>
          </cell>
          <cell r="CN133">
            <v>-55</v>
          </cell>
          <cell r="CO133">
            <v>-56</v>
          </cell>
          <cell r="CQ133" t="str">
            <v>Subtotal US Gov</v>
          </cell>
          <cell r="DA133" t="str">
            <v>US Government (Defense)</v>
          </cell>
          <cell r="DG133" t="str">
            <v>Foreign Military Sales</v>
          </cell>
          <cell r="EB133" t="str">
            <v>Foreign Military Sales</v>
          </cell>
          <cell r="EH133">
            <v>99</v>
          </cell>
        </row>
        <row r="134">
          <cell r="BW134" t="str">
            <v>Defd. Taxes</v>
          </cell>
          <cell r="CG134" t="str">
            <v>Purchases of common stock</v>
          </cell>
          <cell r="CH134">
            <v>-43</v>
          </cell>
          <cell r="CI134">
            <v>-146</v>
          </cell>
          <cell r="CJ134">
            <v>-19</v>
          </cell>
          <cell r="CK134">
            <v>0</v>
          </cell>
          <cell r="CL134">
            <v>-20</v>
          </cell>
          <cell r="CM134">
            <v>0</v>
          </cell>
          <cell r="CN134">
            <v>0</v>
          </cell>
          <cell r="CO134">
            <v>-93</v>
          </cell>
          <cell r="CQ134" t="str">
            <v>US Commercial</v>
          </cell>
          <cell r="DA134" t="str">
            <v>Direct</v>
          </cell>
          <cell r="DG134" t="str">
            <v>Subtotal US Gov</v>
          </cell>
          <cell r="EB134" t="str">
            <v>Subtotal US Gov</v>
          </cell>
          <cell r="EH134">
            <v>5203</v>
          </cell>
        </row>
        <row r="135">
          <cell r="BW135" t="str">
            <v>Dividends</v>
          </cell>
          <cell r="CG135" t="str">
            <v>Proceeds from option exercises</v>
          </cell>
          <cell r="CH135">
            <v>2</v>
          </cell>
          <cell r="CI135">
            <v>23</v>
          </cell>
          <cell r="CJ135">
            <v>22</v>
          </cell>
          <cell r="CK135">
            <v>64</v>
          </cell>
          <cell r="CL135">
            <v>14</v>
          </cell>
          <cell r="CM135">
            <v>24</v>
          </cell>
          <cell r="CN135">
            <v>20</v>
          </cell>
          <cell r="CO135">
            <v>10</v>
          </cell>
          <cell r="CQ135" t="str">
            <v>Int'l Defense</v>
          </cell>
          <cell r="DA135" t="str">
            <v>Foreign Military Sales</v>
          </cell>
          <cell r="DG135" t="str">
            <v>US Commercial</v>
          </cell>
          <cell r="EB135" t="str">
            <v>US Commercial</v>
          </cell>
          <cell r="EH135">
            <v>2790</v>
          </cell>
        </row>
        <row r="136">
          <cell r="BW136" t="str">
            <v>W.C./Other</v>
          </cell>
          <cell r="CG136" t="str">
            <v>Other</v>
          </cell>
          <cell r="CH136">
            <v>0</v>
          </cell>
          <cell r="CI136">
            <v>0</v>
          </cell>
          <cell r="CJ136">
            <v>0</v>
          </cell>
          <cell r="CK136">
            <v>0</v>
          </cell>
          <cell r="CL136">
            <v>7</v>
          </cell>
          <cell r="CM136">
            <v>0</v>
          </cell>
          <cell r="CN136">
            <v>-7</v>
          </cell>
          <cell r="CO136">
            <v>500</v>
          </cell>
          <cell r="CQ136" t="str">
            <v>Int'l Commercial</v>
          </cell>
          <cell r="DA136" t="str">
            <v>Subtotal US Gov</v>
          </cell>
          <cell r="DG136" t="str">
            <v>Int'l Defense</v>
          </cell>
          <cell r="EB136" t="str">
            <v>Int'l Defense</v>
          </cell>
        </row>
        <row r="137">
          <cell r="BW137" t="str">
            <v>- subtotal</v>
          </cell>
          <cell r="CG137" t="str">
            <v>Net cash (used) provided by financing activities</v>
          </cell>
          <cell r="CH137">
            <v>52</v>
          </cell>
          <cell r="CI137">
            <v>-283</v>
          </cell>
          <cell r="CJ137">
            <v>-115</v>
          </cell>
          <cell r="CK137">
            <v>-489</v>
          </cell>
          <cell r="CL137">
            <v>364</v>
          </cell>
          <cell r="CM137">
            <v>7</v>
          </cell>
          <cell r="CN137">
            <v>993</v>
          </cell>
          <cell r="CO137">
            <v>-456</v>
          </cell>
          <cell r="CQ137" t="str">
            <v>Total</v>
          </cell>
          <cell r="DA137" t="str">
            <v>US Commercial</v>
          </cell>
          <cell r="DG137" t="str">
            <v>Int'l Commercial</v>
          </cell>
          <cell r="EB137" t="str">
            <v>Int'l Commercial</v>
          </cell>
        </row>
        <row r="138">
          <cell r="BW138" t="str">
            <v>Non-Opns/Discretionary</v>
          </cell>
          <cell r="CQ138" t="str">
            <v>Customers as % of Revenues</v>
          </cell>
          <cell r="DA138" t="str">
            <v>Int'l Defense</v>
          </cell>
          <cell r="DG138" t="str">
            <v>Total</v>
          </cell>
          <cell r="EB138" t="str">
            <v>Total</v>
          </cell>
        </row>
        <row r="139">
          <cell r="BW139" t="str">
            <v>Real Estate &amp; Asset Sales</v>
          </cell>
          <cell r="CG139" t="str">
            <v>Net (decrease) increase in cash and equivalents</v>
          </cell>
          <cell r="CH139">
            <v>-34</v>
          </cell>
          <cell r="CI139">
            <v>39</v>
          </cell>
          <cell r="CJ139">
            <v>92</v>
          </cell>
          <cell r="CK139">
            <v>-190</v>
          </cell>
          <cell r="CL139">
            <v>103</v>
          </cell>
          <cell r="CM139">
            <v>-117</v>
          </cell>
          <cell r="CN139">
            <v>416</v>
          </cell>
          <cell r="CO139">
            <v>-137</v>
          </cell>
          <cell r="CQ139" t="str">
            <v>US Government (Defense)</v>
          </cell>
          <cell r="DA139" t="str">
            <v>Int'l Commercial</v>
          </cell>
          <cell r="DG139" t="str">
            <v>Customers as % of Revenues</v>
          </cell>
          <cell r="EB139" t="str">
            <v>Customers as % of Revenues</v>
          </cell>
        </row>
        <row r="140">
          <cell r="BW140" t="str">
            <v>R&amp;D Tax refund</v>
          </cell>
          <cell r="CG140" t="str">
            <v>Cash and equivalents at beginning of period</v>
          </cell>
          <cell r="CH140">
            <v>270</v>
          </cell>
          <cell r="CI140">
            <v>236</v>
          </cell>
          <cell r="CJ140">
            <v>275</v>
          </cell>
          <cell r="CK140">
            <v>367</v>
          </cell>
          <cell r="CL140">
            <v>177</v>
          </cell>
          <cell r="CM140">
            <v>280</v>
          </cell>
          <cell r="CN140">
            <v>163</v>
          </cell>
          <cell r="CO140">
            <v>579</v>
          </cell>
          <cell r="CQ140" t="str">
            <v>Direct</v>
          </cell>
          <cell r="DA140" t="str">
            <v>Total</v>
          </cell>
          <cell r="DG140" t="str">
            <v>US Government (Defense)</v>
          </cell>
          <cell r="EB140" t="str">
            <v>US Government (Defense)</v>
          </cell>
        </row>
        <row r="141">
          <cell r="CG141" t="str">
            <v>Cash and equivalents at end of period</v>
          </cell>
          <cell r="CH141">
            <v>236</v>
          </cell>
          <cell r="CI141">
            <v>275</v>
          </cell>
          <cell r="CJ141">
            <v>367</v>
          </cell>
          <cell r="CK141">
            <v>177</v>
          </cell>
          <cell r="CL141">
            <v>280</v>
          </cell>
          <cell r="CM141">
            <v>163</v>
          </cell>
          <cell r="CN141">
            <v>579</v>
          </cell>
          <cell r="CO141">
            <v>442</v>
          </cell>
          <cell r="CQ141" t="str">
            <v>Foreign Military Sales</v>
          </cell>
          <cell r="DA141" t="str">
            <v>Customers as % of Revenues</v>
          </cell>
          <cell r="DG141" t="str">
            <v>Direct</v>
          </cell>
          <cell r="EB141" t="str">
            <v>Direct</v>
          </cell>
          <cell r="EH141">
            <v>0.56970644045094321</v>
          </cell>
        </row>
        <row r="142">
          <cell r="BW142" t="str">
            <v>Acquis./Divests</v>
          </cell>
          <cell r="CQ142" t="str">
            <v>Subtotal US Gov</v>
          </cell>
          <cell r="DA142" t="str">
            <v>US Government (Defense)</v>
          </cell>
          <cell r="DG142" t="str">
            <v>Foreign Military Sales</v>
          </cell>
          <cell r="EB142" t="str">
            <v>Foreign Military Sales</v>
          </cell>
          <cell r="EH142">
            <v>1.1050340439781226E-2</v>
          </cell>
        </row>
        <row r="143">
          <cell r="BW143" t="str">
            <v>Stock Repurchase</v>
          </cell>
          <cell r="CQ143" t="str">
            <v>US Commercial</v>
          </cell>
          <cell r="DA143" t="str">
            <v>Direct</v>
          </cell>
          <cell r="DG143" t="str">
            <v>Subtotal US Gov</v>
          </cell>
          <cell r="EB143" t="str">
            <v>Subtotal US Gov</v>
          </cell>
          <cell r="EH143">
            <v>0.58075678089072447</v>
          </cell>
        </row>
        <row r="144">
          <cell r="BW144" t="str">
            <v>Securities sales (purchases)</v>
          </cell>
          <cell r="CQ144" t="str">
            <v>Int'l Defense</v>
          </cell>
          <cell r="DA144" t="str">
            <v>Foreign Military Sales</v>
          </cell>
          <cell r="DG144" t="str">
            <v>US Commercial</v>
          </cell>
          <cell r="EB144" t="str">
            <v>US Commercial</v>
          </cell>
          <cell r="EH144">
            <v>0.31141868512110726</v>
          </cell>
        </row>
        <row r="145">
          <cell r="BW145" t="str">
            <v>A-12/Restruct.</v>
          </cell>
          <cell r="CQ145" t="str">
            <v>Int'l Commercial</v>
          </cell>
          <cell r="DA145" t="str">
            <v>Subtotal US Gov</v>
          </cell>
          <cell r="DG145" t="str">
            <v>Int'l Defense</v>
          </cell>
          <cell r="EB145" t="str">
            <v>Int'l Defense</v>
          </cell>
        </row>
        <row r="146">
          <cell r="BW146" t="str">
            <v>Finance operations leases</v>
          </cell>
          <cell r="CQ146" t="str">
            <v>Total</v>
          </cell>
          <cell r="DA146" t="str">
            <v>US Commercial</v>
          </cell>
          <cell r="DG146" t="str">
            <v>Int'l Commercial</v>
          </cell>
          <cell r="EB146" t="str">
            <v>Int'l Commercial</v>
          </cell>
        </row>
        <row r="147">
          <cell r="BW147" t="str">
            <v>Other</v>
          </cell>
          <cell r="CQ147" t="str">
            <v xml:space="preserve">Government Contracts </v>
          </cell>
          <cell r="DA147" t="str">
            <v>Int'l Defense</v>
          </cell>
          <cell r="DG147" t="str">
            <v>Total</v>
          </cell>
          <cell r="EB147" t="str">
            <v>Total</v>
          </cell>
        </row>
        <row r="148">
          <cell r="BW148" t="str">
            <v>- subtotal</v>
          </cell>
          <cell r="CQ148" t="str">
            <v>Cost-reimburesable</v>
          </cell>
          <cell r="DA148" t="str">
            <v>Int'l Commercial</v>
          </cell>
          <cell r="DG148" t="str">
            <v xml:space="preserve">Government Contracts </v>
          </cell>
          <cell r="EB148" t="str">
            <v xml:space="preserve">Government Contracts </v>
          </cell>
        </row>
        <row r="149">
          <cell r="BW149" t="str">
            <v>Cash Throwoff</v>
          </cell>
          <cell r="CQ149" t="str">
            <v>Fixed-price</v>
          </cell>
          <cell r="DA149" t="str">
            <v>Total</v>
          </cell>
          <cell r="DG149" t="str">
            <v>Cost-reimburesable</v>
          </cell>
          <cell r="EB149" t="str">
            <v>Cost-reimburesable</v>
          </cell>
        </row>
        <row r="150">
          <cell r="DA150" t="str">
            <v xml:space="preserve">Government Contracts </v>
          </cell>
          <cell r="DG150" t="str">
            <v>Fixed-price</v>
          </cell>
          <cell r="EB150" t="str">
            <v>Fixed-price</v>
          </cell>
        </row>
        <row r="151">
          <cell r="BW151" t="str">
            <v>Debt issuance (repayment)</v>
          </cell>
          <cell r="DA151" t="str">
            <v>Cost-reimburesable</v>
          </cell>
        </row>
        <row r="152">
          <cell r="BW152" t="str">
            <v>Finance operations debt</v>
          </cell>
          <cell r="DA152" t="str">
            <v>Fixed-price</v>
          </cell>
        </row>
        <row r="154">
          <cell r="BW154" t="str">
            <v>Increase (decrease) in Cash and Equivalents</v>
          </cell>
          <cell r="CQ154" t="str">
            <v>General Dynamics</v>
          </cell>
          <cell r="DG154" t="str">
            <v>General Dynamics</v>
          </cell>
          <cell r="EB154" t="str">
            <v>General Dynamics</v>
          </cell>
        </row>
        <row r="155">
          <cell r="CQ155" t="str">
            <v>Cash Flow Model</v>
          </cell>
          <cell r="DG155" t="str">
            <v>Cash Flow Model</v>
          </cell>
          <cell r="EB155" t="str">
            <v>Cash Flow Model</v>
          </cell>
        </row>
        <row r="156">
          <cell r="BW156" t="str">
            <v>CASH FLOW/NINC</v>
          </cell>
          <cell r="CQ156" t="str">
            <v>Cash Flows from Operating Activities:</v>
          </cell>
          <cell r="DA156" t="str">
            <v>General Dynamics</v>
          </cell>
          <cell r="DG156" t="str">
            <v>($USD in Millions, Except EPS)</v>
          </cell>
          <cell r="DH156">
            <v>2005</v>
          </cell>
          <cell r="DL156">
            <v>2006</v>
          </cell>
          <cell r="EB156" t="str">
            <v>($USD in Millions, Except EPS)</v>
          </cell>
        </row>
        <row r="157">
          <cell r="CQ157" t="str">
            <v>Net earnings</v>
          </cell>
          <cell r="CR157">
            <v>231.87</v>
          </cell>
          <cell r="CS157">
            <v>272.24</v>
          </cell>
          <cell r="CT157">
            <v>278.49571000000003</v>
          </cell>
          <cell r="CU157">
            <v>258.85700000000003</v>
          </cell>
          <cell r="CV157">
            <v>217.97</v>
          </cell>
          <cell r="CW157">
            <v>239.85999999999999</v>
          </cell>
          <cell r="CX157">
            <v>248.845</v>
          </cell>
          <cell r="CY157">
            <v>275</v>
          </cell>
          <cell r="DA157" t="str">
            <v>Cash Flow Model</v>
          </cell>
          <cell r="DH157" t="str">
            <v xml:space="preserve">Q1 </v>
          </cell>
          <cell r="DI157" t="str">
            <v xml:space="preserve">Q2 </v>
          </cell>
          <cell r="DJ157" t="str">
            <v xml:space="preserve">Q3 </v>
          </cell>
          <cell r="DK157" t="str">
            <v xml:space="preserve">Q4 </v>
          </cell>
          <cell r="DL157" t="str">
            <v xml:space="preserve">Q1 </v>
          </cell>
          <cell r="DM157" t="str">
            <v>Q2</v>
          </cell>
          <cell r="DN157" t="str">
            <v xml:space="preserve">Q3 </v>
          </cell>
          <cell r="DO157" t="str">
            <v xml:space="preserve">Q4 </v>
          </cell>
          <cell r="EC157">
            <v>1994</v>
          </cell>
          <cell r="ED157">
            <v>1995</v>
          </cell>
          <cell r="EE157">
            <v>1996</v>
          </cell>
          <cell r="EF157">
            <v>1997</v>
          </cell>
          <cell r="EG157" t="str">
            <v>1998</v>
          </cell>
          <cell r="EH157">
            <v>1999</v>
          </cell>
        </row>
        <row r="158">
          <cell r="BW158" t="str">
            <v>Cash - Begin'g</v>
          </cell>
          <cell r="CQ158" t="str">
            <v>Adjustments to reconcile net earnings</v>
          </cell>
          <cell r="DA158" t="str">
            <v>($USD in Millions, Except EPS)</v>
          </cell>
          <cell r="DB158">
            <v>2004</v>
          </cell>
          <cell r="DG158" t="str">
            <v>Cash Flows from Operating Activities:</v>
          </cell>
          <cell r="EB158" t="str">
            <v>Cash Flows from Operating Activities:</v>
          </cell>
        </row>
        <row r="159">
          <cell r="BW159" t="str">
            <v>Cash - Endin'g</v>
          </cell>
          <cell r="CQ159" t="str">
            <v xml:space="preserve">    Depreciation, depletion and amortization - PPE</v>
          </cell>
          <cell r="CR159">
            <v>45</v>
          </cell>
          <cell r="CS159">
            <v>49</v>
          </cell>
          <cell r="CT159">
            <v>50</v>
          </cell>
          <cell r="CU159">
            <v>33</v>
          </cell>
          <cell r="CV159">
            <v>47</v>
          </cell>
          <cell r="CW159">
            <v>46</v>
          </cell>
          <cell r="CX159">
            <v>52</v>
          </cell>
          <cell r="CY159">
            <v>59</v>
          </cell>
          <cell r="DB159" t="str">
            <v xml:space="preserve">Q1 </v>
          </cell>
          <cell r="DC159" t="str">
            <v xml:space="preserve">Q2 </v>
          </cell>
          <cell r="DD159" t="str">
            <v xml:space="preserve">Q3 </v>
          </cell>
          <cell r="DE159" t="str">
            <v xml:space="preserve">Q4 </v>
          </cell>
          <cell r="DG159" t="str">
            <v>Net earnings</v>
          </cell>
          <cell r="DH159">
            <v>336</v>
          </cell>
          <cell r="DI159">
            <v>345</v>
          </cell>
          <cell r="DJ159">
            <v>374</v>
          </cell>
          <cell r="DK159">
            <v>406</v>
          </cell>
          <cell r="DL159">
            <v>374</v>
          </cell>
          <cell r="DM159">
            <v>636</v>
          </cell>
          <cell r="DN159">
            <v>438</v>
          </cell>
          <cell r="DO159">
            <v>408</v>
          </cell>
          <cell r="EB159" t="str">
            <v>Net earnings</v>
          </cell>
          <cell r="EH159">
            <v>880.73199999999997</v>
          </cell>
        </row>
        <row r="160">
          <cell r="BW160" t="str">
            <v>Ending Marketable Securities</v>
          </cell>
          <cell r="CQ160" t="str">
            <v xml:space="preserve">    Amortization of intangible assets &amp; goodwill </v>
          </cell>
          <cell r="CR160">
            <v>7</v>
          </cell>
          <cell r="CS160">
            <v>10</v>
          </cell>
          <cell r="CT160">
            <v>8</v>
          </cell>
          <cell r="CU160">
            <v>6</v>
          </cell>
          <cell r="CV160">
            <v>10</v>
          </cell>
          <cell r="CW160">
            <v>10</v>
          </cell>
          <cell r="CX160">
            <v>28</v>
          </cell>
          <cell r="CY160">
            <v>18</v>
          </cell>
          <cell r="DA160" t="str">
            <v>Cash Flows from Operating Activities:</v>
          </cell>
          <cell r="DG160" t="str">
            <v>Adjustments to reconcile net earnings</v>
          </cell>
          <cell r="EB160" t="str">
            <v>Adjustments to reconcile net earnings</v>
          </cell>
        </row>
        <row r="161">
          <cell r="BW161" t="str">
            <v>Ending Cash &amp; Marketable Securities</v>
          </cell>
          <cell r="CQ161" t="str">
            <v xml:space="preserve">    Recognition of pension gains previously deferred</v>
          </cell>
          <cell r="CR161">
            <v>0</v>
          </cell>
          <cell r="CS161">
            <v>0</v>
          </cell>
          <cell r="CT161">
            <v>0</v>
          </cell>
          <cell r="CU161">
            <v>0</v>
          </cell>
          <cell r="CV161">
            <v>0</v>
          </cell>
          <cell r="CW161">
            <v>0</v>
          </cell>
          <cell r="CX161">
            <v>0</v>
          </cell>
          <cell r="CY161">
            <v>0</v>
          </cell>
          <cell r="DA161" t="str">
            <v>Net earnings</v>
          </cell>
          <cell r="DB161">
            <v>264.9975</v>
          </cell>
          <cell r="DC161">
            <v>290</v>
          </cell>
          <cell r="DD161">
            <v>320.00000000000006</v>
          </cell>
          <cell r="DE161">
            <v>352.00250000000005</v>
          </cell>
          <cell r="DG161" t="str">
            <v>Depreciation, depletion and amortization - PPE</v>
          </cell>
          <cell r="DH161">
            <v>58</v>
          </cell>
          <cell r="DI161">
            <v>54</v>
          </cell>
          <cell r="DJ161">
            <v>56</v>
          </cell>
          <cell r="DK161">
            <v>58</v>
          </cell>
          <cell r="DL161">
            <v>55</v>
          </cell>
          <cell r="DM161">
            <v>65</v>
          </cell>
          <cell r="DN161">
            <v>59</v>
          </cell>
          <cell r="DO161">
            <v>72</v>
          </cell>
          <cell r="EB161" t="str">
            <v>Depreciation, depletion and amortization - PPE</v>
          </cell>
          <cell r="EH161">
            <v>129</v>
          </cell>
        </row>
        <row r="162">
          <cell r="CQ162" t="str">
            <v xml:space="preserve">    Amortization of debt issuance costs</v>
          </cell>
          <cell r="CR162">
            <v>0</v>
          </cell>
          <cell r="CS162">
            <v>0</v>
          </cell>
          <cell r="CT162">
            <v>0</v>
          </cell>
          <cell r="CU162">
            <v>0</v>
          </cell>
          <cell r="CV162">
            <v>0</v>
          </cell>
          <cell r="CW162">
            <v>0</v>
          </cell>
          <cell r="CX162">
            <v>0</v>
          </cell>
          <cell r="CY162">
            <v>0</v>
          </cell>
          <cell r="DA162" t="str">
            <v>Adjustments to reconcile net earnings</v>
          </cell>
          <cell r="DG162" t="str">
            <v xml:space="preserve">Amortization of intangible assets &amp; goodwill </v>
          </cell>
          <cell r="DH162">
            <v>26</v>
          </cell>
          <cell r="DI162">
            <v>25</v>
          </cell>
          <cell r="DJ162">
            <v>25</v>
          </cell>
          <cell r="DK162">
            <v>25</v>
          </cell>
          <cell r="DL162">
            <v>27</v>
          </cell>
          <cell r="DM162">
            <v>30</v>
          </cell>
          <cell r="DN162">
            <v>38</v>
          </cell>
          <cell r="DO162">
            <v>38</v>
          </cell>
          <cell r="EB162" t="str">
            <v xml:space="preserve">Amortization of intangible assets &amp; goodwill </v>
          </cell>
          <cell r="EH162">
            <v>64</v>
          </cell>
        </row>
        <row r="163">
          <cell r="BW163" t="str">
            <v>Debt</v>
          </cell>
          <cell r="CQ163" t="str">
            <v>Decrease (increase) in assets, net of effect of business acq.</v>
          </cell>
          <cell r="DA163" t="str">
            <v xml:space="preserve">    Depreciation, depletion and amortization - PPE</v>
          </cell>
          <cell r="DB163">
            <v>54</v>
          </cell>
          <cell r="DC163">
            <v>61</v>
          </cell>
          <cell r="DD163">
            <v>61</v>
          </cell>
          <cell r="DE163">
            <v>37</v>
          </cell>
          <cell r="DG163" t="str">
            <v>Recognition of pension gains previously deferred</v>
          </cell>
          <cell r="DH163">
            <v>0</v>
          </cell>
          <cell r="DI163">
            <v>0</v>
          </cell>
          <cell r="DJ163">
            <v>0</v>
          </cell>
          <cell r="DK163">
            <v>0</v>
          </cell>
          <cell r="DL163">
            <v>0</v>
          </cell>
          <cell r="DM163">
            <v>0</v>
          </cell>
          <cell r="DN163">
            <v>0</v>
          </cell>
          <cell r="DO163">
            <v>0</v>
          </cell>
          <cell r="EB163" t="str">
            <v>Recognition of pension gains previously deferred</v>
          </cell>
          <cell r="EH163">
            <v>-126</v>
          </cell>
        </row>
        <row r="164">
          <cell r="BW164" t="str">
            <v>Net Cash (Debt)</v>
          </cell>
          <cell r="CQ164" t="str">
            <v xml:space="preserve">    Marketable securities</v>
          </cell>
          <cell r="CR164">
            <v>0</v>
          </cell>
          <cell r="CS164">
            <v>0</v>
          </cell>
          <cell r="CT164">
            <v>0</v>
          </cell>
          <cell r="CU164">
            <v>0</v>
          </cell>
          <cell r="CV164">
            <v>0</v>
          </cell>
          <cell r="CW164">
            <v>0</v>
          </cell>
          <cell r="CX164">
            <v>0</v>
          </cell>
          <cell r="DA164" t="str">
            <v xml:space="preserve">    Amortization of intangible assets &amp; goodwill </v>
          </cell>
          <cell r="DB164">
            <v>23</v>
          </cell>
          <cell r="DC164">
            <v>25</v>
          </cell>
          <cell r="DD164">
            <v>24</v>
          </cell>
          <cell r="DE164">
            <v>21</v>
          </cell>
          <cell r="DG164" t="str">
            <v>Amortization of debt issuance costs</v>
          </cell>
          <cell r="DH164">
            <v>0</v>
          </cell>
          <cell r="DI164">
            <v>0</v>
          </cell>
          <cell r="DJ164">
            <v>0</v>
          </cell>
          <cell r="DK164">
            <v>0</v>
          </cell>
          <cell r="DL164">
            <v>0</v>
          </cell>
          <cell r="DM164">
            <v>0</v>
          </cell>
          <cell r="DN164">
            <v>0</v>
          </cell>
          <cell r="DO164">
            <v>0</v>
          </cell>
          <cell r="EB164" t="str">
            <v>Amortization of debt issuance costs</v>
          </cell>
          <cell r="EH164">
            <v>7</v>
          </cell>
        </row>
        <row r="165">
          <cell r="BW165" t="str">
            <v xml:space="preserve">  -- Per Share</v>
          </cell>
          <cell r="CQ165" t="str">
            <v xml:space="preserve">    Accounts receivable</v>
          </cell>
          <cell r="CR165">
            <v>-214</v>
          </cell>
          <cell r="CS165">
            <v>-89</v>
          </cell>
          <cell r="CT165">
            <v>164</v>
          </cell>
          <cell r="CU165">
            <v>44</v>
          </cell>
          <cell r="CV165">
            <v>-41</v>
          </cell>
          <cell r="CW165">
            <v>33</v>
          </cell>
          <cell r="CX165">
            <v>34</v>
          </cell>
          <cell r="CY165">
            <v>35</v>
          </cell>
          <cell r="DA165" t="str">
            <v xml:space="preserve">    Recognition of pension gains previously deferred</v>
          </cell>
          <cell r="DB165">
            <v>0</v>
          </cell>
          <cell r="DC165">
            <v>0</v>
          </cell>
          <cell r="DD165">
            <v>0</v>
          </cell>
          <cell r="DE165">
            <v>0</v>
          </cell>
          <cell r="DG165" t="str">
            <v>Stock-based compensation expense</v>
          </cell>
          <cell r="DH165">
            <v>0</v>
          </cell>
          <cell r="DI165">
            <v>0</v>
          </cell>
          <cell r="DJ165">
            <v>30</v>
          </cell>
          <cell r="DK165">
            <v>9</v>
          </cell>
          <cell r="DL165">
            <v>16</v>
          </cell>
          <cell r="DM165">
            <v>16</v>
          </cell>
          <cell r="DN165">
            <v>14</v>
          </cell>
          <cell r="DO165">
            <v>15</v>
          </cell>
          <cell r="EB165" t="str">
            <v>Stock-based compensation expense</v>
          </cell>
        </row>
        <row r="166">
          <cell r="BW166" t="str">
            <v>Avg Net Cash</v>
          </cell>
          <cell r="CQ166" t="str">
            <v xml:space="preserve">    Contracts in process</v>
          </cell>
          <cell r="CR166">
            <v>20</v>
          </cell>
          <cell r="CS166">
            <v>-18</v>
          </cell>
          <cell r="CT166">
            <v>-140</v>
          </cell>
          <cell r="CU166">
            <v>-40</v>
          </cell>
          <cell r="CV166">
            <v>-124</v>
          </cell>
          <cell r="CW166">
            <v>-199</v>
          </cell>
          <cell r="CX166">
            <v>-168</v>
          </cell>
          <cell r="CY166">
            <v>39</v>
          </cell>
          <cell r="DA166" t="str">
            <v xml:space="preserve">    Amortization of debt issuance costs</v>
          </cell>
          <cell r="DB166">
            <v>0</v>
          </cell>
          <cell r="DC166">
            <v>0</v>
          </cell>
          <cell r="DD166">
            <v>0</v>
          </cell>
          <cell r="DE166">
            <v>0</v>
          </cell>
          <cell r="DG166" t="str">
            <v>Excess tax benefit from stock-based comp</v>
          </cell>
          <cell r="DH166">
            <v>0</v>
          </cell>
          <cell r="DI166">
            <v>0</v>
          </cell>
          <cell r="DJ166">
            <v>-2</v>
          </cell>
          <cell r="DK166">
            <v>0</v>
          </cell>
          <cell r="DL166">
            <v>-18</v>
          </cell>
          <cell r="DM166">
            <v>-8</v>
          </cell>
          <cell r="DN166">
            <v>-9</v>
          </cell>
          <cell r="DO166">
            <v>-12</v>
          </cell>
          <cell r="EB166" t="str">
            <v>Excess tax benefit from stock-based comp</v>
          </cell>
        </row>
        <row r="167">
          <cell r="BW167" t="str">
            <v>Int. rate assump</v>
          </cell>
          <cell r="CQ167" t="str">
            <v xml:space="preserve">    Inventories</v>
          </cell>
          <cell r="CR167">
            <v>-74</v>
          </cell>
          <cell r="CS167">
            <v>-22</v>
          </cell>
          <cell r="CT167">
            <v>-184</v>
          </cell>
          <cell r="CU167">
            <v>139</v>
          </cell>
          <cell r="CV167">
            <v>-80</v>
          </cell>
          <cell r="CW167">
            <v>78</v>
          </cell>
          <cell r="CX167">
            <v>152</v>
          </cell>
          <cell r="CY167">
            <v>39</v>
          </cell>
          <cell r="DA167" t="str">
            <v>Decrease (increase) in assets, net of effect of bus. acq.</v>
          </cell>
          <cell r="DG167" t="str">
            <v>Deferred income tax provision</v>
          </cell>
          <cell r="DH167">
            <v>12</v>
          </cell>
          <cell r="DI167">
            <v>32</v>
          </cell>
          <cell r="DJ167">
            <v>56</v>
          </cell>
          <cell r="DK167">
            <v>41</v>
          </cell>
          <cell r="DL167">
            <v>-18</v>
          </cell>
          <cell r="DM167">
            <v>29</v>
          </cell>
          <cell r="DN167">
            <v>19</v>
          </cell>
          <cell r="DO167">
            <v>15</v>
          </cell>
          <cell r="EB167" t="str">
            <v>Deferred income tax provision</v>
          </cell>
          <cell r="EH167">
            <v>41</v>
          </cell>
        </row>
        <row r="168">
          <cell r="BW168" t="str">
            <v>Int. income est. ($ X int. rate)</v>
          </cell>
          <cell r="CQ168" t="str">
            <v xml:space="preserve">    Other current assets</v>
          </cell>
          <cell r="CR168">
            <v>0</v>
          </cell>
          <cell r="CS168">
            <v>0</v>
          </cell>
          <cell r="CT168">
            <v>0</v>
          </cell>
          <cell r="CU168">
            <v>0</v>
          </cell>
          <cell r="CV168">
            <v>0</v>
          </cell>
          <cell r="CW168">
            <v>0</v>
          </cell>
          <cell r="CX168">
            <v>0</v>
          </cell>
          <cell r="CY168">
            <v>0</v>
          </cell>
          <cell r="DA168" t="str">
            <v xml:space="preserve">    Marketable securities</v>
          </cell>
          <cell r="DB168">
            <v>0</v>
          </cell>
          <cell r="DC168">
            <v>0</v>
          </cell>
          <cell r="DD168">
            <v>0</v>
          </cell>
          <cell r="DG168" t="str">
            <v>Discontinued ops, net of tax</v>
          </cell>
          <cell r="DH168">
            <v>0</v>
          </cell>
          <cell r="DI168">
            <v>5</v>
          </cell>
          <cell r="DJ168">
            <v>-10</v>
          </cell>
          <cell r="DK168">
            <v>-8</v>
          </cell>
          <cell r="DL168">
            <v>13</v>
          </cell>
          <cell r="DM168">
            <v>-216</v>
          </cell>
          <cell r="DN168">
            <v>2</v>
          </cell>
          <cell r="DO168">
            <v>55</v>
          </cell>
          <cell r="EB168" t="str">
            <v>Discontinued ops, net of tax</v>
          </cell>
        </row>
        <row r="169">
          <cell r="BW169" t="str">
            <v>Int. inc actual/per P&amp;L</v>
          </cell>
          <cell r="CQ169" t="str">
            <v>Increase (decrease) in liabilities, net of effects</v>
          </cell>
          <cell r="DA169" t="str">
            <v xml:space="preserve">    Accounts receivable</v>
          </cell>
          <cell r="DB169">
            <v>-147</v>
          </cell>
          <cell r="DC169">
            <v>149</v>
          </cell>
          <cell r="DD169">
            <v>-19</v>
          </cell>
          <cell r="DE169">
            <v>-48</v>
          </cell>
          <cell r="DG169" t="str">
            <v>Decrease (increase) in assets, net of effect of bus. acq.</v>
          </cell>
          <cell r="EB169" t="str">
            <v>Decrease (increase) in assets, net of effect of bus. acq.</v>
          </cell>
        </row>
        <row r="170">
          <cell r="BW170" t="str">
            <v>Equity</v>
          </cell>
          <cell r="CQ170" t="str">
            <v xml:space="preserve">    Accounts payable and other current liabilities</v>
          </cell>
          <cell r="CR170">
            <v>-45</v>
          </cell>
          <cell r="CS170">
            <v>46</v>
          </cell>
          <cell r="CT170">
            <v>106</v>
          </cell>
          <cell r="CU170">
            <v>134</v>
          </cell>
          <cell r="CV170">
            <v>-53</v>
          </cell>
          <cell r="CW170">
            <v>186</v>
          </cell>
          <cell r="CX170">
            <v>12</v>
          </cell>
          <cell r="CY170">
            <v>179</v>
          </cell>
          <cell r="DA170" t="str">
            <v xml:space="preserve">    Contracts in process</v>
          </cell>
          <cell r="DB170">
            <v>-8</v>
          </cell>
          <cell r="DC170">
            <v>2</v>
          </cell>
          <cell r="DD170">
            <v>-271</v>
          </cell>
          <cell r="DE170">
            <v>-4</v>
          </cell>
          <cell r="DG170" t="str">
            <v>Accounts receivable</v>
          </cell>
          <cell r="DH170">
            <v>-69</v>
          </cell>
          <cell r="DI170">
            <v>-150</v>
          </cell>
          <cell r="DJ170">
            <v>-13</v>
          </cell>
          <cell r="DK170">
            <v>-323</v>
          </cell>
          <cell r="DL170">
            <v>309</v>
          </cell>
          <cell r="DM170">
            <v>-112</v>
          </cell>
          <cell r="DN170">
            <v>-166</v>
          </cell>
          <cell r="DO170">
            <v>-191</v>
          </cell>
          <cell r="EB170" t="str">
            <v>Accounts receivable</v>
          </cell>
          <cell r="EH170">
            <v>36</v>
          </cell>
        </row>
        <row r="171">
          <cell r="BW171" t="str">
            <v>Shares out</v>
          </cell>
          <cell r="CQ171" t="str">
            <v xml:space="preserve">    Customer deposits</v>
          </cell>
          <cell r="CR171">
            <v>-115</v>
          </cell>
          <cell r="CS171">
            <v>56</v>
          </cell>
          <cell r="CT171">
            <v>-77</v>
          </cell>
          <cell r="CU171">
            <v>138</v>
          </cell>
          <cell r="CV171">
            <v>-53</v>
          </cell>
          <cell r="CW171">
            <v>3</v>
          </cell>
          <cell r="CX171">
            <v>-6</v>
          </cell>
          <cell r="CY171">
            <v>46</v>
          </cell>
          <cell r="DA171" t="str">
            <v xml:space="preserve">    Inventories</v>
          </cell>
          <cell r="DB171">
            <v>-108</v>
          </cell>
          <cell r="DC171">
            <v>29</v>
          </cell>
          <cell r="DD171">
            <v>-51</v>
          </cell>
          <cell r="DE171">
            <v>68</v>
          </cell>
          <cell r="DG171" t="str">
            <v>Contracts in process</v>
          </cell>
          <cell r="DH171">
            <v>-134</v>
          </cell>
          <cell r="DI171">
            <v>-42</v>
          </cell>
          <cell r="DJ171">
            <v>-37</v>
          </cell>
          <cell r="DK171">
            <v>17</v>
          </cell>
          <cell r="DL171">
            <v>-229</v>
          </cell>
          <cell r="DM171">
            <v>-57</v>
          </cell>
          <cell r="DN171">
            <v>41</v>
          </cell>
          <cell r="DO171">
            <v>-145</v>
          </cell>
          <cell r="EB171" t="str">
            <v>Contracts in process</v>
          </cell>
          <cell r="EH171">
            <v>105</v>
          </cell>
        </row>
        <row r="172">
          <cell r="BW172" t="str">
            <v>BVPS</v>
          </cell>
          <cell r="CQ172" t="str">
            <v xml:space="preserve">    Current income taxes</v>
          </cell>
          <cell r="CR172">
            <v>0</v>
          </cell>
          <cell r="CS172">
            <v>0</v>
          </cell>
          <cell r="CT172">
            <v>8</v>
          </cell>
          <cell r="CU172">
            <v>-8</v>
          </cell>
          <cell r="CV172">
            <v>83</v>
          </cell>
          <cell r="CW172">
            <v>-31</v>
          </cell>
          <cell r="CX172">
            <v>15</v>
          </cell>
          <cell r="CY172">
            <v>-67</v>
          </cell>
          <cell r="DA172" t="str">
            <v xml:space="preserve">    Other current assets</v>
          </cell>
          <cell r="DB172">
            <v>0</v>
          </cell>
          <cell r="DC172">
            <v>0</v>
          </cell>
          <cell r="DD172">
            <v>0</v>
          </cell>
          <cell r="DE172">
            <v>0</v>
          </cell>
          <cell r="DG172" t="str">
            <v>Inventories</v>
          </cell>
          <cell r="DH172">
            <v>-16</v>
          </cell>
          <cell r="DI172">
            <v>21</v>
          </cell>
          <cell r="DJ172">
            <v>-142</v>
          </cell>
          <cell r="DK172">
            <v>15</v>
          </cell>
          <cell r="DL172">
            <v>-143</v>
          </cell>
          <cell r="DM172">
            <v>-71</v>
          </cell>
          <cell r="DN172">
            <v>61</v>
          </cell>
          <cell r="DO172">
            <v>-84</v>
          </cell>
          <cell r="EB172" t="str">
            <v>Inventories</v>
          </cell>
          <cell r="EH172">
            <v>-189</v>
          </cell>
        </row>
        <row r="173">
          <cell r="BW173" t="str">
            <v>Net debt/cap</v>
          </cell>
          <cell r="CQ173" t="str">
            <v>Other current liabilities</v>
          </cell>
          <cell r="CV173">
            <v>0</v>
          </cell>
          <cell r="CW173">
            <v>0</v>
          </cell>
          <cell r="CX173">
            <v>0</v>
          </cell>
          <cell r="CY173">
            <v>108</v>
          </cell>
          <cell r="DA173" t="str">
            <v>Increase (decrease) in liabilities, net of effects</v>
          </cell>
          <cell r="DG173" t="str">
            <v>Other current assets</v>
          </cell>
          <cell r="DH173">
            <v>0</v>
          </cell>
          <cell r="DI173">
            <v>-121</v>
          </cell>
          <cell r="DJ173">
            <v>121</v>
          </cell>
          <cell r="DK173">
            <v>0</v>
          </cell>
          <cell r="DL173">
            <v>0</v>
          </cell>
          <cell r="DM173">
            <v>-23</v>
          </cell>
          <cell r="DN173">
            <v>23</v>
          </cell>
          <cell r="DO173">
            <v>0</v>
          </cell>
          <cell r="EB173" t="str">
            <v>Other current assets</v>
          </cell>
        </row>
        <row r="174">
          <cell r="BW174" t="str">
            <v xml:space="preserve">   vs. peer avg (need to update)</v>
          </cell>
          <cell r="CQ174" t="str">
            <v>Deferred income tax provision</v>
          </cell>
          <cell r="CR174">
            <v>57</v>
          </cell>
          <cell r="CS174">
            <v>35</v>
          </cell>
          <cell r="CT174">
            <v>33</v>
          </cell>
          <cell r="CU174">
            <v>52</v>
          </cell>
          <cell r="CV174">
            <v>33</v>
          </cell>
          <cell r="CW174">
            <v>8</v>
          </cell>
          <cell r="CX174">
            <v>43</v>
          </cell>
          <cell r="CY174">
            <v>53</v>
          </cell>
          <cell r="DA174" t="str">
            <v xml:space="preserve">    Accounts payable</v>
          </cell>
          <cell r="DB174">
            <v>160</v>
          </cell>
          <cell r="DC174">
            <v>-304</v>
          </cell>
          <cell r="DD174">
            <v>159</v>
          </cell>
          <cell r="DE174">
            <v>149</v>
          </cell>
          <cell r="DG174" t="str">
            <v>Increase (decrease) in liabilities, net of effects</v>
          </cell>
          <cell r="EB174" t="str">
            <v>Increase (decrease) in liabilities, net of effects</v>
          </cell>
        </row>
        <row r="175">
          <cell r="BW175" t="str">
            <v>Cash EPS ((NI+Dep+Amort)/Shares)</v>
          </cell>
          <cell r="CQ175" t="str">
            <v>Other, net</v>
          </cell>
          <cell r="CR175">
            <v>4</v>
          </cell>
          <cell r="CS175">
            <v>94</v>
          </cell>
          <cell r="CT175">
            <v>18</v>
          </cell>
          <cell r="CU175">
            <v>-205</v>
          </cell>
          <cell r="CV175">
            <v>170</v>
          </cell>
          <cell r="CW175">
            <v>-120</v>
          </cell>
          <cell r="CX175">
            <v>-52</v>
          </cell>
          <cell r="CY175">
            <v>66</v>
          </cell>
          <cell r="DA175" t="str">
            <v xml:space="preserve">    Customer deposits</v>
          </cell>
          <cell r="DB175">
            <v>0</v>
          </cell>
          <cell r="DC175">
            <v>0</v>
          </cell>
          <cell r="DD175">
            <v>0</v>
          </cell>
          <cell r="DE175">
            <v>391</v>
          </cell>
          <cell r="DG175" t="str">
            <v>Accounts payable</v>
          </cell>
          <cell r="DH175">
            <v>-52</v>
          </cell>
          <cell r="DI175">
            <v>52</v>
          </cell>
          <cell r="DJ175">
            <v>75</v>
          </cell>
          <cell r="DK175">
            <v>112</v>
          </cell>
          <cell r="DL175">
            <v>14</v>
          </cell>
          <cell r="DM175">
            <v>-14</v>
          </cell>
          <cell r="DN175">
            <v>-145</v>
          </cell>
          <cell r="DO175">
            <v>325</v>
          </cell>
          <cell r="EB175" t="str">
            <v>Accounts payable</v>
          </cell>
          <cell r="EH175">
            <v>79</v>
          </cell>
        </row>
        <row r="176">
          <cell r="BW176" t="str">
            <v>Dividends Per Share</v>
          </cell>
          <cell r="CQ176" t="str">
            <v>Net cash provided by operating activities</v>
          </cell>
          <cell r="CR176">
            <v>-83.13</v>
          </cell>
          <cell r="CS176">
            <v>433.24</v>
          </cell>
          <cell r="CT176">
            <v>264.49571000000003</v>
          </cell>
          <cell r="CU176">
            <v>551.85699999999997</v>
          </cell>
          <cell r="CV176">
            <v>209.97000000000003</v>
          </cell>
          <cell r="CW176">
            <v>253.86</v>
          </cell>
          <cell r="CX176">
            <v>358.84500000000003</v>
          </cell>
          <cell r="CY176">
            <v>850</v>
          </cell>
          <cell r="DA176" t="str">
            <v xml:space="preserve">    Current income taxes</v>
          </cell>
          <cell r="DB176">
            <v>-2</v>
          </cell>
          <cell r="DC176">
            <v>43</v>
          </cell>
          <cell r="DD176">
            <v>-20</v>
          </cell>
          <cell r="DE176">
            <v>-21</v>
          </cell>
          <cell r="DG176" t="str">
            <v>Customer deposits</v>
          </cell>
          <cell r="DH176">
            <v>208</v>
          </cell>
          <cell r="DI176">
            <v>54</v>
          </cell>
          <cell r="DJ176">
            <v>139</v>
          </cell>
          <cell r="DK176">
            <v>553</v>
          </cell>
          <cell r="DL176">
            <v>-101</v>
          </cell>
          <cell r="DM176">
            <v>179</v>
          </cell>
          <cell r="DN176">
            <v>133</v>
          </cell>
          <cell r="DO176">
            <v>188</v>
          </cell>
          <cell r="EB176" t="str">
            <v>Customer deposits</v>
          </cell>
          <cell r="EH176">
            <v>-60</v>
          </cell>
        </row>
        <row r="177">
          <cell r="BW177" t="str">
            <v>Return on Average Equity</v>
          </cell>
          <cell r="CQ177" t="str">
            <v>Net cash used by discontinued operations</v>
          </cell>
          <cell r="CR177">
            <v>0</v>
          </cell>
          <cell r="CS177">
            <v>0</v>
          </cell>
          <cell r="CT177">
            <v>0</v>
          </cell>
          <cell r="CU177">
            <v>-1</v>
          </cell>
          <cell r="CV177">
            <v>-12</v>
          </cell>
          <cell r="CW177">
            <v>1</v>
          </cell>
          <cell r="CX177">
            <v>3</v>
          </cell>
          <cell r="CY177">
            <v>34</v>
          </cell>
          <cell r="DA177" t="str">
            <v xml:space="preserve">    Other current liabilities</v>
          </cell>
          <cell r="DB177">
            <v>0</v>
          </cell>
          <cell r="DC177">
            <v>0</v>
          </cell>
          <cell r="DD177">
            <v>0</v>
          </cell>
          <cell r="DE177">
            <v>-183</v>
          </cell>
          <cell r="DG177" t="str">
            <v>Current income taxes</v>
          </cell>
          <cell r="DH177">
            <v>107</v>
          </cell>
          <cell r="DI177">
            <v>-107</v>
          </cell>
          <cell r="DJ177">
            <v>0</v>
          </cell>
          <cell r="DK177">
            <v>0</v>
          </cell>
          <cell r="DL177">
            <v>166</v>
          </cell>
          <cell r="DM177">
            <v>-166</v>
          </cell>
          <cell r="DN177">
            <v>0</v>
          </cell>
          <cell r="DO177">
            <v>0</v>
          </cell>
          <cell r="EB177" t="str">
            <v>Current income taxes</v>
          </cell>
        </row>
        <row r="178">
          <cell r="BW178" t="str">
            <v>ROA</v>
          </cell>
          <cell r="CQ178" t="str">
            <v>Net cash provided by operating activities</v>
          </cell>
          <cell r="CR178">
            <v>-83.13</v>
          </cell>
          <cell r="CS178">
            <v>433.24</v>
          </cell>
          <cell r="CT178">
            <v>264.49571000000003</v>
          </cell>
          <cell r="CU178">
            <v>550.85699999999997</v>
          </cell>
          <cell r="CV178">
            <v>197.97000000000003</v>
          </cell>
          <cell r="CW178">
            <v>254.86</v>
          </cell>
          <cell r="CX178">
            <v>361.84500000000003</v>
          </cell>
          <cell r="CY178">
            <v>884</v>
          </cell>
          <cell r="DA178" t="str">
            <v>Deferred income tax provision</v>
          </cell>
          <cell r="DB178">
            <v>111</v>
          </cell>
          <cell r="DC178">
            <v>117</v>
          </cell>
          <cell r="DD178">
            <v>7</v>
          </cell>
          <cell r="DE178">
            <v>44</v>
          </cell>
          <cell r="DG178" t="str">
            <v>Other current/noncurrent liabilities</v>
          </cell>
          <cell r="DH178">
            <v>-39</v>
          </cell>
          <cell r="DI178">
            <v>-83</v>
          </cell>
          <cell r="DJ178">
            <v>-6</v>
          </cell>
          <cell r="DK178">
            <v>-1</v>
          </cell>
          <cell r="DL178">
            <v>27</v>
          </cell>
          <cell r="DM178">
            <v>-15</v>
          </cell>
          <cell r="DN178">
            <v>4</v>
          </cell>
          <cell r="DO178">
            <v>100</v>
          </cell>
          <cell r="EB178" t="str">
            <v>Other current/noncurrent liabilities</v>
          </cell>
          <cell r="EH178">
            <v>0</v>
          </cell>
        </row>
        <row r="179">
          <cell r="BW179" t="str">
            <v>Asset Turnover</v>
          </cell>
          <cell r="DA179" t="str">
            <v>Other, net</v>
          </cell>
          <cell r="DB179">
            <v>-15</v>
          </cell>
          <cell r="DC179">
            <v>-49</v>
          </cell>
          <cell r="DD179">
            <v>100</v>
          </cell>
          <cell r="DE179">
            <v>-68</v>
          </cell>
          <cell r="DG179" t="str">
            <v>Other, net</v>
          </cell>
          <cell r="DH179">
            <v>-75</v>
          </cell>
          <cell r="DI179">
            <v>114</v>
          </cell>
          <cell r="DJ179">
            <v>-89</v>
          </cell>
          <cell r="DK179">
            <v>-9</v>
          </cell>
          <cell r="DL179">
            <v>-22</v>
          </cell>
          <cell r="DM179">
            <v>69</v>
          </cell>
          <cell r="DN179">
            <v>8</v>
          </cell>
          <cell r="DO179">
            <v>40</v>
          </cell>
          <cell r="EB179" t="str">
            <v>Other, net</v>
          </cell>
          <cell r="EH179">
            <v>50</v>
          </cell>
        </row>
        <row r="180">
          <cell r="BW180" t="str">
            <v>Asset Leverage</v>
          </cell>
          <cell r="CQ180" t="str">
            <v>Cash Flows from Investing Activities:</v>
          </cell>
          <cell r="DA180" t="str">
            <v>Net cash provided by operating activities</v>
          </cell>
          <cell r="DB180">
            <v>332.9975</v>
          </cell>
          <cell r="DC180">
            <v>363</v>
          </cell>
          <cell r="DD180">
            <v>310.00000000000006</v>
          </cell>
          <cell r="DE180">
            <v>738.00250000000005</v>
          </cell>
          <cell r="DG180" t="str">
            <v>Net cash provided by operating activities</v>
          </cell>
          <cell r="DH180">
            <v>362</v>
          </cell>
          <cell r="DI180">
            <v>199</v>
          </cell>
          <cell r="DJ180">
            <v>577</v>
          </cell>
          <cell r="DK180">
            <v>895</v>
          </cell>
          <cell r="DL180">
            <v>470</v>
          </cell>
          <cell r="DM180">
            <v>342</v>
          </cell>
          <cell r="DN180">
            <v>520</v>
          </cell>
          <cell r="DO180">
            <v>824</v>
          </cell>
          <cell r="EB180" t="str">
            <v>Net cash provided by operating activities</v>
          </cell>
          <cell r="EH180">
            <v>1016.732</v>
          </cell>
        </row>
        <row r="181">
          <cell r="BW181" t="str">
            <v>CF per share</v>
          </cell>
          <cell r="CQ181" t="str">
            <v>Business acquisitions, net of cash acquired</v>
          </cell>
          <cell r="CR181">
            <v>0</v>
          </cell>
          <cell r="CS181">
            <v>-213</v>
          </cell>
          <cell r="CT181">
            <v>-68</v>
          </cell>
          <cell r="CU181">
            <v>6</v>
          </cell>
          <cell r="CV181">
            <v>-1075</v>
          </cell>
          <cell r="CW181">
            <v>-53</v>
          </cell>
          <cell r="CX181">
            <v>-1859</v>
          </cell>
          <cell r="CY181">
            <v>-57</v>
          </cell>
          <cell r="DA181" t="str">
            <v>Net cash used by discontinued operations</v>
          </cell>
          <cell r="DB181">
            <v>-8</v>
          </cell>
          <cell r="DC181">
            <v>-8</v>
          </cell>
          <cell r="DD181">
            <v>-3</v>
          </cell>
          <cell r="DE181">
            <v>62</v>
          </cell>
          <cell r="DG181" t="str">
            <v>Net cash used by discontinued operations</v>
          </cell>
          <cell r="DH181">
            <v>-4</v>
          </cell>
          <cell r="DI181">
            <v>0</v>
          </cell>
          <cell r="DJ181">
            <v>22</v>
          </cell>
          <cell r="DK181">
            <v>5</v>
          </cell>
          <cell r="DL181">
            <v>-5</v>
          </cell>
          <cell r="DM181">
            <v>-14</v>
          </cell>
          <cell r="DN181">
            <v>14</v>
          </cell>
          <cell r="DO181">
            <v>-23</v>
          </cell>
          <cell r="EB181" t="str">
            <v>Net cash used by discontinued operations</v>
          </cell>
        </row>
        <row r="182">
          <cell r="CQ182" t="str">
            <v>Purchases of available-for-sale securities</v>
          </cell>
          <cell r="CR182">
            <v>0</v>
          </cell>
          <cell r="CS182">
            <v>0</v>
          </cell>
          <cell r="CT182">
            <v>0</v>
          </cell>
          <cell r="CU182">
            <v>-41</v>
          </cell>
          <cell r="CV182">
            <v>0</v>
          </cell>
          <cell r="CW182">
            <v>0</v>
          </cell>
          <cell r="CX182">
            <v>0</v>
          </cell>
          <cell r="CY182">
            <v>-30</v>
          </cell>
          <cell r="DA182" t="str">
            <v>Net cash provided by operating activities</v>
          </cell>
          <cell r="DB182">
            <v>324.9975</v>
          </cell>
          <cell r="DC182">
            <v>355</v>
          </cell>
          <cell r="DD182">
            <v>307.00000000000006</v>
          </cell>
          <cell r="DE182">
            <v>800.00250000000005</v>
          </cell>
          <cell r="DG182" t="str">
            <v>Net cash provided by operating activities</v>
          </cell>
          <cell r="DH182">
            <v>358</v>
          </cell>
          <cell r="DI182">
            <v>199</v>
          </cell>
          <cell r="DJ182">
            <v>599</v>
          </cell>
          <cell r="DK182">
            <v>900</v>
          </cell>
          <cell r="DL182">
            <v>465</v>
          </cell>
          <cell r="DM182">
            <v>328</v>
          </cell>
          <cell r="DN182">
            <v>534</v>
          </cell>
          <cell r="DO182">
            <v>801</v>
          </cell>
          <cell r="EB182" t="str">
            <v>Net cash provided by operating activities</v>
          </cell>
          <cell r="EH182">
            <v>1016.732</v>
          </cell>
        </row>
        <row r="183">
          <cell r="CQ183" t="str">
            <v>Sales/maturities of available-for-sale securities</v>
          </cell>
          <cell r="CR183">
            <v>0</v>
          </cell>
          <cell r="CS183">
            <v>0</v>
          </cell>
          <cell r="CT183">
            <v>0</v>
          </cell>
          <cell r="CU183">
            <v>39</v>
          </cell>
          <cell r="CV183">
            <v>0</v>
          </cell>
          <cell r="CW183">
            <v>0</v>
          </cell>
          <cell r="CX183">
            <v>0</v>
          </cell>
          <cell r="CY183">
            <v>31</v>
          </cell>
        </row>
        <row r="184">
          <cell r="CQ184" t="str">
            <v>Capital expenditures</v>
          </cell>
          <cell r="CR184">
            <v>-44</v>
          </cell>
          <cell r="CS184">
            <v>-56</v>
          </cell>
          <cell r="CT184">
            <v>-46</v>
          </cell>
          <cell r="CU184">
            <v>-116</v>
          </cell>
          <cell r="CV184">
            <v>-31</v>
          </cell>
          <cell r="CW184">
            <v>-36</v>
          </cell>
          <cell r="CX184">
            <v>-48</v>
          </cell>
          <cell r="CY184">
            <v>-105</v>
          </cell>
          <cell r="DA184" t="str">
            <v>Cash Flows from Investing Activities:</v>
          </cell>
          <cell r="DG184" t="str">
            <v>Cash Flows from Investing Activities:</v>
          </cell>
          <cell r="EB184" t="str">
            <v>Cash Flows from Investing Activities:</v>
          </cell>
        </row>
        <row r="185">
          <cell r="CQ185" t="str">
            <v>Proceeds from sale of assets</v>
          </cell>
          <cell r="CR185">
            <v>18</v>
          </cell>
          <cell r="CS185">
            <v>7</v>
          </cell>
          <cell r="CT185">
            <v>10</v>
          </cell>
          <cell r="CU185">
            <v>98</v>
          </cell>
          <cell r="CV185">
            <v>1</v>
          </cell>
          <cell r="CW185">
            <v>0</v>
          </cell>
          <cell r="CX185">
            <v>0</v>
          </cell>
          <cell r="CY185">
            <v>33</v>
          </cell>
          <cell r="DA185" t="str">
            <v>Business acquisitions, net of cash acquired</v>
          </cell>
          <cell r="DB185">
            <v>-31</v>
          </cell>
          <cell r="DC185">
            <v>-5</v>
          </cell>
          <cell r="DD185">
            <v>-490</v>
          </cell>
          <cell r="DE185">
            <v>-17</v>
          </cell>
          <cell r="DG185" t="str">
            <v>Business acquisitions, net of cash acquired</v>
          </cell>
          <cell r="DH185">
            <v>-37</v>
          </cell>
          <cell r="DI185">
            <v>0</v>
          </cell>
          <cell r="DJ185">
            <v>-240</v>
          </cell>
          <cell r="DK185">
            <v>0</v>
          </cell>
          <cell r="DL185">
            <v>-153</v>
          </cell>
          <cell r="DM185">
            <v>-2001</v>
          </cell>
          <cell r="DN185">
            <v>-164</v>
          </cell>
          <cell r="DO185">
            <v>-24</v>
          </cell>
          <cell r="EB185" t="str">
            <v>Business acquisitions, net of cash acquired</v>
          </cell>
          <cell r="EH185">
            <v>-1090</v>
          </cell>
        </row>
        <row r="186">
          <cell r="CQ186" t="str">
            <v>Other</v>
          </cell>
          <cell r="CR186">
            <v>11</v>
          </cell>
          <cell r="CS186">
            <v>-4</v>
          </cell>
          <cell r="CT186">
            <v>2</v>
          </cell>
          <cell r="CU186">
            <v>-1</v>
          </cell>
          <cell r="CV186">
            <v>-7</v>
          </cell>
          <cell r="CW186">
            <v>14</v>
          </cell>
          <cell r="CX186">
            <v>3</v>
          </cell>
          <cell r="CY186">
            <v>-9</v>
          </cell>
          <cell r="DA186" t="str">
            <v>Purchases of available-for-sale securities</v>
          </cell>
          <cell r="DB186">
            <v>0</v>
          </cell>
          <cell r="DC186">
            <v>0</v>
          </cell>
          <cell r="DD186">
            <v>0</v>
          </cell>
          <cell r="DE186">
            <v>0</v>
          </cell>
          <cell r="DG186" t="str">
            <v>Purchases of available-for-sale securities</v>
          </cell>
          <cell r="DH186">
            <v>0</v>
          </cell>
          <cell r="DI186">
            <v>0</v>
          </cell>
          <cell r="DJ186">
            <v>0</v>
          </cell>
          <cell r="DK186">
            <v>0</v>
          </cell>
          <cell r="DL186">
            <v>0</v>
          </cell>
          <cell r="DM186">
            <v>0</v>
          </cell>
          <cell r="DN186">
            <v>0</v>
          </cell>
          <cell r="DO186">
            <v>0</v>
          </cell>
          <cell r="EB186" t="str">
            <v>Purchases of available-for-sale securities</v>
          </cell>
          <cell r="EH186">
            <v>-37</v>
          </cell>
        </row>
        <row r="187">
          <cell r="CQ187" t="str">
            <v>Net cash (used) provided by investing activities</v>
          </cell>
          <cell r="CR187">
            <v>-15</v>
          </cell>
          <cell r="CS187">
            <v>-266</v>
          </cell>
          <cell r="CT187">
            <v>-102</v>
          </cell>
          <cell r="CU187">
            <v>-15</v>
          </cell>
          <cell r="CV187">
            <v>-1112</v>
          </cell>
          <cell r="CW187">
            <v>-75</v>
          </cell>
          <cell r="CX187">
            <v>-1904</v>
          </cell>
          <cell r="CY187">
            <v>-137</v>
          </cell>
          <cell r="DA187" t="str">
            <v>Sales/maturities of available-for-sale securities</v>
          </cell>
          <cell r="DB187">
            <v>0</v>
          </cell>
          <cell r="DC187">
            <v>0</v>
          </cell>
          <cell r="DD187">
            <v>0</v>
          </cell>
          <cell r="DE187">
            <v>0</v>
          </cell>
          <cell r="DG187" t="str">
            <v>Sales/maturities of available-for-sale securities</v>
          </cell>
          <cell r="DH187">
            <v>0</v>
          </cell>
          <cell r="DI187">
            <v>0</v>
          </cell>
          <cell r="DJ187">
            <v>0</v>
          </cell>
          <cell r="DK187">
            <v>0</v>
          </cell>
          <cell r="DL187">
            <v>0</v>
          </cell>
          <cell r="DM187">
            <v>0</v>
          </cell>
          <cell r="DN187">
            <v>0</v>
          </cell>
          <cell r="DO187">
            <v>0</v>
          </cell>
          <cell r="EB187" t="str">
            <v>Sales/maturities of available-for-sale securities</v>
          </cell>
          <cell r="EH187">
            <v>91</v>
          </cell>
        </row>
        <row r="188">
          <cell r="DA188" t="str">
            <v>Capital expenditures</v>
          </cell>
          <cell r="DB188">
            <v>-53</v>
          </cell>
          <cell r="DC188">
            <v>-65</v>
          </cell>
          <cell r="DD188">
            <v>-60</v>
          </cell>
          <cell r="DE188">
            <v>-75</v>
          </cell>
          <cell r="DG188" t="str">
            <v>Capital expenditures</v>
          </cell>
          <cell r="DH188">
            <v>-38</v>
          </cell>
          <cell r="DI188">
            <v>-51</v>
          </cell>
          <cell r="DJ188">
            <v>-78</v>
          </cell>
          <cell r="DK188">
            <v>-95</v>
          </cell>
          <cell r="DL188">
            <v>-53</v>
          </cell>
          <cell r="DM188">
            <v>-64</v>
          </cell>
          <cell r="DN188">
            <v>-94</v>
          </cell>
          <cell r="DO188">
            <v>-123</v>
          </cell>
          <cell r="EB188" t="str">
            <v>Capital expenditures</v>
          </cell>
          <cell r="EH188">
            <v>-197</v>
          </cell>
        </row>
        <row r="189">
          <cell r="CQ189" t="str">
            <v>Cash Flows from Financing Activities:</v>
          </cell>
          <cell r="DA189" t="str">
            <v>Proceeds from sale of assets</v>
          </cell>
          <cell r="DB189">
            <v>0</v>
          </cell>
          <cell r="DC189">
            <v>0</v>
          </cell>
          <cell r="DD189">
            <v>23</v>
          </cell>
          <cell r="DE189">
            <v>1</v>
          </cell>
          <cell r="DG189" t="str">
            <v>Proceeds from sale of assets</v>
          </cell>
          <cell r="DH189">
            <v>373</v>
          </cell>
          <cell r="DI189">
            <v>-24</v>
          </cell>
          <cell r="DJ189">
            <v>13</v>
          </cell>
          <cell r="DK189">
            <v>-1</v>
          </cell>
          <cell r="DL189">
            <v>0</v>
          </cell>
          <cell r="DM189">
            <v>299</v>
          </cell>
          <cell r="DN189">
            <v>28</v>
          </cell>
          <cell r="DO189">
            <v>53</v>
          </cell>
          <cell r="EB189" t="str">
            <v>Proceeds from sale of assets</v>
          </cell>
          <cell r="EH189">
            <v>18</v>
          </cell>
        </row>
        <row r="190">
          <cell r="CQ190" t="str">
            <v>Net (repayments) proceeds from commercial paper</v>
          </cell>
          <cell r="CR190">
            <v>75</v>
          </cell>
          <cell r="CS190">
            <v>-48</v>
          </cell>
          <cell r="CT190">
            <v>83</v>
          </cell>
          <cell r="CU190">
            <v>-561</v>
          </cell>
          <cell r="CV190">
            <v>1654</v>
          </cell>
          <cell r="CW190">
            <v>-2018</v>
          </cell>
          <cell r="CX190">
            <v>371</v>
          </cell>
          <cell r="CY190">
            <v>-536</v>
          </cell>
          <cell r="DA190" t="str">
            <v>Other</v>
          </cell>
          <cell r="DB190">
            <v>16</v>
          </cell>
          <cell r="DC190">
            <v>0</v>
          </cell>
          <cell r="DD190">
            <v>-13</v>
          </cell>
          <cell r="DE190">
            <v>-17</v>
          </cell>
          <cell r="DG190" t="str">
            <v>Other</v>
          </cell>
          <cell r="DH190">
            <v>-1</v>
          </cell>
          <cell r="DI190">
            <v>-61</v>
          </cell>
          <cell r="DJ190">
            <v>72</v>
          </cell>
          <cell r="DK190">
            <v>-13</v>
          </cell>
          <cell r="DL190">
            <v>-7</v>
          </cell>
          <cell r="DM190">
            <v>-13</v>
          </cell>
          <cell r="DN190">
            <v>-166</v>
          </cell>
          <cell r="DO190">
            <v>166</v>
          </cell>
          <cell r="EB190" t="str">
            <v>Other</v>
          </cell>
          <cell r="EH190">
            <v>-8</v>
          </cell>
        </row>
        <row r="191">
          <cell r="CQ191" t="str">
            <v>Proceeds from issuance of fixed-rate notes</v>
          </cell>
          <cell r="CR191">
            <v>0</v>
          </cell>
          <cell r="CS191">
            <v>0</v>
          </cell>
          <cell r="CT191">
            <v>0</v>
          </cell>
          <cell r="CU191">
            <v>0</v>
          </cell>
          <cell r="CV191">
            <v>0</v>
          </cell>
          <cell r="CW191">
            <v>0</v>
          </cell>
          <cell r="CX191">
            <v>0</v>
          </cell>
          <cell r="CY191">
            <v>3094</v>
          </cell>
          <cell r="DA191" t="str">
            <v>Net cash (used) provided by investing activities</v>
          </cell>
          <cell r="DB191">
            <v>-68</v>
          </cell>
          <cell r="DC191">
            <v>-70</v>
          </cell>
          <cell r="DD191">
            <v>-540</v>
          </cell>
          <cell r="DE191">
            <v>-108</v>
          </cell>
          <cell r="DG191" t="str">
            <v>Net cash (used) provided by investing activities</v>
          </cell>
          <cell r="DH191">
            <v>297</v>
          </cell>
          <cell r="DI191">
            <v>-136</v>
          </cell>
          <cell r="DJ191">
            <v>-233</v>
          </cell>
          <cell r="DK191">
            <v>-109</v>
          </cell>
          <cell r="DL191">
            <v>-213</v>
          </cell>
          <cell r="DM191">
            <v>-1779</v>
          </cell>
          <cell r="DN191">
            <v>-396</v>
          </cell>
          <cell r="DO191">
            <v>72</v>
          </cell>
          <cell r="EB191" t="str">
            <v>Net cash (used) provided by investing activities</v>
          </cell>
          <cell r="EH191">
            <v>-1223</v>
          </cell>
        </row>
        <row r="192">
          <cell r="CQ192" t="str">
            <v>Repayment of finance operations debt</v>
          </cell>
          <cell r="CR192">
            <v>0</v>
          </cell>
          <cell r="CS192">
            <v>0</v>
          </cell>
          <cell r="CT192">
            <v>0</v>
          </cell>
          <cell r="CU192">
            <v>0</v>
          </cell>
          <cell r="CV192">
            <v>0</v>
          </cell>
          <cell r="CW192">
            <v>0</v>
          </cell>
          <cell r="CX192">
            <v>0</v>
          </cell>
          <cell r="CY192">
            <v>0</v>
          </cell>
        </row>
        <row r="193">
          <cell r="CQ193" t="str">
            <v>Net repayments of other debt</v>
          </cell>
          <cell r="CR193">
            <v>2</v>
          </cell>
          <cell r="CS193">
            <v>-70</v>
          </cell>
          <cell r="CT193">
            <v>-14</v>
          </cell>
          <cell r="CU193">
            <v>-16</v>
          </cell>
          <cell r="CV193">
            <v>-10</v>
          </cell>
          <cell r="CW193">
            <v>1986</v>
          </cell>
          <cell r="CX193">
            <v>1093</v>
          </cell>
          <cell r="CY193">
            <v>-3109</v>
          </cell>
          <cell r="DA193" t="str">
            <v>Cash Flows from Financing Activities:</v>
          </cell>
          <cell r="DG193" t="str">
            <v>Cash Flows from Financing Activities:</v>
          </cell>
          <cell r="EB193" t="str">
            <v>Cash Flows from Financing Activities:</v>
          </cell>
        </row>
        <row r="194">
          <cell r="CQ194" t="str">
            <v>Dividends paid</v>
          </cell>
          <cell r="CR194">
            <v>-56</v>
          </cell>
          <cell r="CS194">
            <v>-60</v>
          </cell>
          <cell r="CT194">
            <v>-60</v>
          </cell>
          <cell r="CU194">
            <v>-60</v>
          </cell>
          <cell r="CV194">
            <v>-60</v>
          </cell>
          <cell r="CW194">
            <v>-63</v>
          </cell>
          <cell r="CX194">
            <v>-63</v>
          </cell>
          <cell r="CY194">
            <v>-63</v>
          </cell>
          <cell r="DA194" t="str">
            <v>Net (repayments) proceeds from commercial paper</v>
          </cell>
          <cell r="DB194">
            <v>-183</v>
          </cell>
          <cell r="DC194">
            <v>1</v>
          </cell>
          <cell r="DD194">
            <v>372</v>
          </cell>
          <cell r="DE194">
            <v>-372</v>
          </cell>
          <cell r="DG194" t="str">
            <v>Net repayments from commercial paper</v>
          </cell>
          <cell r="DH194">
            <v>0</v>
          </cell>
          <cell r="DI194">
            <v>0</v>
          </cell>
          <cell r="DJ194">
            <v>0</v>
          </cell>
          <cell r="DK194">
            <v>0</v>
          </cell>
          <cell r="DL194">
            <v>0</v>
          </cell>
          <cell r="DM194">
            <v>862</v>
          </cell>
          <cell r="DN194">
            <v>-543</v>
          </cell>
          <cell r="DO194">
            <v>-319</v>
          </cell>
          <cell r="EB194" t="str">
            <v>Net repayments from commercial paper</v>
          </cell>
          <cell r="EH194">
            <v>844</v>
          </cell>
        </row>
        <row r="195">
          <cell r="CQ195" t="str">
            <v>Purchases of common stock</v>
          </cell>
          <cell r="CR195">
            <v>-10</v>
          </cell>
          <cell r="CS195">
            <v>0</v>
          </cell>
          <cell r="CT195">
            <v>-71</v>
          </cell>
          <cell r="CU195">
            <v>-19</v>
          </cell>
          <cell r="CV195">
            <v>-274</v>
          </cell>
          <cell r="CW195">
            <v>-26</v>
          </cell>
          <cell r="CX195">
            <v>0</v>
          </cell>
          <cell r="CY195">
            <v>0</v>
          </cell>
          <cell r="DA195" t="str">
            <v>Proceeds from issuance of fixed-rate notes</v>
          </cell>
          <cell r="DB195">
            <v>0</v>
          </cell>
          <cell r="DC195">
            <v>0</v>
          </cell>
          <cell r="DD195">
            <v>0</v>
          </cell>
          <cell r="DE195">
            <v>0</v>
          </cell>
          <cell r="DG195" t="str">
            <v>Proceeds from issuance of fixed-rate notes</v>
          </cell>
          <cell r="DH195">
            <v>0</v>
          </cell>
          <cell r="DI195">
            <v>0</v>
          </cell>
          <cell r="DJ195">
            <v>0</v>
          </cell>
          <cell r="DK195">
            <v>0</v>
          </cell>
          <cell r="DL195">
            <v>0</v>
          </cell>
          <cell r="DM195">
            <v>0</v>
          </cell>
          <cell r="DN195">
            <v>0</v>
          </cell>
          <cell r="DO195">
            <v>0</v>
          </cell>
          <cell r="EB195" t="str">
            <v>Proceeds from issuance of fixed-rate notes</v>
          </cell>
        </row>
        <row r="196">
          <cell r="CQ196" t="str">
            <v>Proceeds from option exercises</v>
          </cell>
          <cell r="CR196">
            <v>31</v>
          </cell>
          <cell r="CS196">
            <v>22</v>
          </cell>
          <cell r="CT196">
            <v>2</v>
          </cell>
          <cell r="CU196">
            <v>-6</v>
          </cell>
          <cell r="CV196">
            <v>21</v>
          </cell>
          <cell r="CW196">
            <v>3</v>
          </cell>
          <cell r="CX196">
            <v>21</v>
          </cell>
          <cell r="CY196">
            <v>20</v>
          </cell>
          <cell r="DA196" t="str">
            <v>Repayment of finance operations debt</v>
          </cell>
          <cell r="DB196">
            <v>0</v>
          </cell>
          <cell r="DC196">
            <v>0</v>
          </cell>
          <cell r="DD196">
            <v>0</v>
          </cell>
          <cell r="DE196">
            <v>-500</v>
          </cell>
          <cell r="DG196" t="str">
            <v>Repayment of finance operations debt</v>
          </cell>
          <cell r="DH196">
            <v>0</v>
          </cell>
          <cell r="DI196">
            <v>0</v>
          </cell>
          <cell r="DJ196">
            <v>0</v>
          </cell>
          <cell r="DK196">
            <v>0</v>
          </cell>
          <cell r="DL196">
            <v>0</v>
          </cell>
          <cell r="DM196">
            <v>-500</v>
          </cell>
          <cell r="DN196">
            <v>0</v>
          </cell>
          <cell r="DO196">
            <v>0</v>
          </cell>
          <cell r="EB196" t="str">
            <v>Repayment of finance operations debt</v>
          </cell>
          <cell r="EH196">
            <v>-59</v>
          </cell>
        </row>
        <row r="197">
          <cell r="CQ197" t="str">
            <v>Other</v>
          </cell>
          <cell r="CR197">
            <v>-6</v>
          </cell>
          <cell r="CS197">
            <v>-3</v>
          </cell>
          <cell r="CT197">
            <v>0</v>
          </cell>
          <cell r="CU197">
            <v>9</v>
          </cell>
          <cell r="CV197">
            <v>0</v>
          </cell>
          <cell r="CW197">
            <v>0</v>
          </cell>
          <cell r="CX197">
            <v>0</v>
          </cell>
          <cell r="CY197">
            <v>0</v>
          </cell>
          <cell r="DA197" t="str">
            <v>Net repayments of other debt</v>
          </cell>
          <cell r="DB197">
            <v>-3</v>
          </cell>
          <cell r="DC197">
            <v>-42</v>
          </cell>
          <cell r="DD197">
            <v>-501</v>
          </cell>
          <cell r="DE197">
            <v>481</v>
          </cell>
          <cell r="DG197" t="str">
            <v>Net repayments of other debt</v>
          </cell>
          <cell r="DH197">
            <v>0</v>
          </cell>
          <cell r="DI197">
            <v>0</v>
          </cell>
          <cell r="DJ197">
            <v>0</v>
          </cell>
          <cell r="DK197">
            <v>0</v>
          </cell>
          <cell r="DL197">
            <v>0</v>
          </cell>
          <cell r="DM197">
            <v>0</v>
          </cell>
          <cell r="DN197">
            <v>0</v>
          </cell>
          <cell r="DO197">
            <v>0</v>
          </cell>
          <cell r="EB197" t="str">
            <v>Net repayments of other debt</v>
          </cell>
          <cell r="EH197">
            <v>-374</v>
          </cell>
        </row>
        <row r="198">
          <cell r="CQ198" t="str">
            <v>Net cash (used) provided by financing activities</v>
          </cell>
          <cell r="CR198">
            <v>36</v>
          </cell>
          <cell r="CS198">
            <v>-159</v>
          </cell>
          <cell r="CT198">
            <v>-60</v>
          </cell>
          <cell r="CU198">
            <v>-653</v>
          </cell>
          <cell r="CV198">
            <v>1331</v>
          </cell>
          <cell r="CW198">
            <v>-118</v>
          </cell>
          <cell r="CX198">
            <v>1422</v>
          </cell>
          <cell r="CY198">
            <v>-594</v>
          </cell>
          <cell r="DA198" t="str">
            <v>Dividends paid</v>
          </cell>
          <cell r="DB198">
            <v>-63</v>
          </cell>
          <cell r="DC198">
            <v>-71</v>
          </cell>
          <cell r="DD198">
            <v>-72</v>
          </cell>
          <cell r="DE198">
            <v>-72</v>
          </cell>
          <cell r="DG198" t="str">
            <v>Dividends paid</v>
          </cell>
          <cell r="DH198">
            <v>-72</v>
          </cell>
          <cell r="DI198">
            <v>-80</v>
          </cell>
          <cell r="DJ198">
            <v>-80</v>
          </cell>
          <cell r="DK198">
            <v>-82</v>
          </cell>
          <cell r="DL198">
            <v>-80</v>
          </cell>
          <cell r="DM198">
            <v>-93</v>
          </cell>
          <cell r="DN198">
            <v>-93</v>
          </cell>
          <cell r="DO198">
            <v>-93</v>
          </cell>
          <cell r="EB198" t="str">
            <v>Dividends paid</v>
          </cell>
          <cell r="EH198">
            <v>-136</v>
          </cell>
        </row>
        <row r="199">
          <cell r="DA199" t="str">
            <v>Purchases of common stock</v>
          </cell>
          <cell r="DB199">
            <v>0</v>
          </cell>
          <cell r="DC199">
            <v>0</v>
          </cell>
          <cell r="DD199">
            <v>0</v>
          </cell>
          <cell r="DE199">
            <v>0</v>
          </cell>
          <cell r="DG199" t="str">
            <v>Purchases of common stock</v>
          </cell>
          <cell r="DH199">
            <v>-100</v>
          </cell>
          <cell r="DI199">
            <v>-100</v>
          </cell>
          <cell r="DJ199">
            <v>0</v>
          </cell>
          <cell r="DK199">
            <v>-148</v>
          </cell>
          <cell r="DL199">
            <v>-18</v>
          </cell>
          <cell r="DM199">
            <v>-67</v>
          </cell>
          <cell r="DN199">
            <v>0</v>
          </cell>
          <cell r="DO199">
            <v>0</v>
          </cell>
          <cell r="EB199" t="str">
            <v>Purchases of common stock</v>
          </cell>
          <cell r="EH199">
            <v>-59</v>
          </cell>
        </row>
        <row r="200">
          <cell r="CQ200" t="str">
            <v>Net (decrease) increase in cash and equivalents</v>
          </cell>
          <cell r="CR200">
            <v>-62.129999999999995</v>
          </cell>
          <cell r="CS200">
            <v>8.2400000000000091</v>
          </cell>
          <cell r="CT200">
            <v>102.49571000000003</v>
          </cell>
          <cell r="CU200">
            <v>-117.14300000000003</v>
          </cell>
          <cell r="CV200">
            <v>416.97</v>
          </cell>
          <cell r="CW200">
            <v>61.860000000000014</v>
          </cell>
          <cell r="CX200">
            <v>-120.15499999999997</v>
          </cell>
          <cell r="CY200">
            <v>153</v>
          </cell>
          <cell r="DA200" t="str">
            <v>Proceeds from option exercises</v>
          </cell>
          <cell r="DB200">
            <v>0</v>
          </cell>
          <cell r="DC200">
            <v>0</v>
          </cell>
          <cell r="DD200">
            <v>0</v>
          </cell>
          <cell r="DE200">
            <v>169</v>
          </cell>
          <cell r="DG200" t="str">
            <v>Proceeds from option exercises</v>
          </cell>
          <cell r="DH200">
            <v>52</v>
          </cell>
          <cell r="DI200">
            <v>44</v>
          </cell>
          <cell r="DJ200">
            <v>31</v>
          </cell>
          <cell r="DK200">
            <v>21</v>
          </cell>
          <cell r="DL200">
            <v>101</v>
          </cell>
          <cell r="DM200">
            <v>36</v>
          </cell>
          <cell r="DN200">
            <v>55</v>
          </cell>
          <cell r="DO200">
            <v>61</v>
          </cell>
          <cell r="EB200" t="str">
            <v>Proceeds from option exercises</v>
          </cell>
          <cell r="EH200">
            <v>51</v>
          </cell>
        </row>
        <row r="201">
          <cell r="CQ201" t="str">
            <v>Cash and equivalents at beginning of period</v>
          </cell>
          <cell r="CR201">
            <v>439</v>
          </cell>
          <cell r="CS201">
            <v>376.87</v>
          </cell>
          <cell r="CT201">
            <v>385.11</v>
          </cell>
          <cell r="CU201">
            <v>487.60571000000004</v>
          </cell>
          <cell r="CV201">
            <v>370.46271000000002</v>
          </cell>
          <cell r="CW201">
            <v>787.43271000000004</v>
          </cell>
          <cell r="CX201">
            <v>849.29271000000006</v>
          </cell>
          <cell r="CY201">
            <v>729.13771000000008</v>
          </cell>
          <cell r="DA201" t="str">
            <v>Other</v>
          </cell>
          <cell r="DB201">
            <v>-3</v>
          </cell>
          <cell r="DC201">
            <v>52</v>
          </cell>
          <cell r="DD201">
            <v>17</v>
          </cell>
          <cell r="DE201">
            <v>-112</v>
          </cell>
          <cell r="DG201" t="str">
            <v>Other</v>
          </cell>
          <cell r="DH201">
            <v>0</v>
          </cell>
          <cell r="DI201">
            <v>0</v>
          </cell>
          <cell r="DJ201">
            <v>-1</v>
          </cell>
          <cell r="DK201">
            <v>-5</v>
          </cell>
          <cell r="DL201">
            <v>13</v>
          </cell>
          <cell r="DM201">
            <v>13</v>
          </cell>
          <cell r="DN201">
            <v>7</v>
          </cell>
          <cell r="DO201">
            <v>119</v>
          </cell>
          <cell r="EB201" t="str">
            <v>Other</v>
          </cell>
          <cell r="EH201">
            <v>0</v>
          </cell>
        </row>
        <row r="202">
          <cell r="CQ202" t="str">
            <v>Cash and equivalents at end of period</v>
          </cell>
          <cell r="CR202">
            <v>376.87</v>
          </cell>
          <cell r="CS202">
            <v>385.11</v>
          </cell>
          <cell r="CT202">
            <v>487.60571000000004</v>
          </cell>
          <cell r="CU202">
            <v>370.46271000000002</v>
          </cell>
          <cell r="CV202">
            <v>787.43271000000004</v>
          </cell>
          <cell r="CW202">
            <v>849.29271000000006</v>
          </cell>
          <cell r="CX202">
            <v>729.13771000000008</v>
          </cell>
          <cell r="CY202">
            <v>882.13771000000008</v>
          </cell>
          <cell r="DA202" t="str">
            <v>Net cash (used) provided by financing activities</v>
          </cell>
          <cell r="DB202">
            <v>-252</v>
          </cell>
          <cell r="DC202">
            <v>-60</v>
          </cell>
          <cell r="DD202">
            <v>-184</v>
          </cell>
          <cell r="DE202">
            <v>-406</v>
          </cell>
          <cell r="DG202" t="str">
            <v>Net cash (used) provided by financing activities</v>
          </cell>
          <cell r="DH202">
            <v>-120</v>
          </cell>
          <cell r="DI202">
            <v>-136</v>
          </cell>
          <cell r="DJ202">
            <v>-50</v>
          </cell>
          <cell r="DK202">
            <v>-214</v>
          </cell>
          <cell r="DL202">
            <v>16</v>
          </cell>
          <cell r="DM202">
            <v>251</v>
          </cell>
          <cell r="DN202">
            <v>-574</v>
          </cell>
          <cell r="DO202">
            <v>-232</v>
          </cell>
          <cell r="EB202" t="str">
            <v>Net cash (used) provided by financing activities</v>
          </cell>
          <cell r="EH202">
            <v>267</v>
          </cell>
        </row>
        <row r="204">
          <cell r="CQ204" t="str">
            <v>FCF (OpCash -Capex)</v>
          </cell>
          <cell r="CR204">
            <v>-127.13</v>
          </cell>
          <cell r="CS204">
            <v>377.24</v>
          </cell>
          <cell r="CT204">
            <v>218.49571000000003</v>
          </cell>
          <cell r="CU204">
            <v>435.85699999999997</v>
          </cell>
          <cell r="CV204">
            <v>166.97000000000003</v>
          </cell>
          <cell r="CW204">
            <v>218.86</v>
          </cell>
          <cell r="CX204">
            <v>313.84500000000003</v>
          </cell>
          <cell r="CY204">
            <v>779</v>
          </cell>
          <cell r="DA204" t="str">
            <v>Net (decrease) increase in cash and equivalents</v>
          </cell>
          <cell r="DB204">
            <v>4.9975000000000023</v>
          </cell>
          <cell r="DC204">
            <v>225</v>
          </cell>
          <cell r="DD204">
            <v>-416.99999999999994</v>
          </cell>
          <cell r="DE204">
            <v>286.00250000000005</v>
          </cell>
          <cell r="DG204" t="str">
            <v>Net (decrease) increase in cash and equivalents</v>
          </cell>
          <cell r="DH204">
            <v>535</v>
          </cell>
          <cell r="DI204">
            <v>-73</v>
          </cell>
          <cell r="DJ204">
            <v>316</v>
          </cell>
          <cell r="DK204">
            <v>577</v>
          </cell>
          <cell r="DL204">
            <v>268</v>
          </cell>
          <cell r="DM204">
            <v>-1200</v>
          </cell>
          <cell r="DN204">
            <v>-436</v>
          </cell>
          <cell r="DO204">
            <v>641</v>
          </cell>
          <cell r="EB204" t="str">
            <v>Net (decrease) increase in cash and equivalents</v>
          </cell>
          <cell r="EH204">
            <v>60.731999999999971</v>
          </cell>
        </row>
        <row r="205">
          <cell r="DA205" t="str">
            <v>Cash and equivalents at beginning of period</v>
          </cell>
          <cell r="DB205">
            <v>882.13771000000008</v>
          </cell>
          <cell r="DC205">
            <v>887.13521000000014</v>
          </cell>
          <cell r="DD205">
            <v>1112.1352100000001</v>
          </cell>
          <cell r="DE205">
            <v>695.13521000000014</v>
          </cell>
          <cell r="DG205" t="str">
            <v>Cash and equivalents at beginning of period</v>
          </cell>
          <cell r="DH205">
            <v>976</v>
          </cell>
          <cell r="DI205">
            <v>1511</v>
          </cell>
          <cell r="DJ205">
            <v>1438</v>
          </cell>
          <cell r="DK205">
            <v>1754</v>
          </cell>
          <cell r="DL205">
            <v>2331</v>
          </cell>
          <cell r="DM205">
            <v>2599</v>
          </cell>
          <cell r="DN205">
            <v>1399</v>
          </cell>
          <cell r="DO205">
            <v>963</v>
          </cell>
          <cell r="EB205" t="str">
            <v>Cash and equivalents at beginning of period</v>
          </cell>
          <cell r="EH205">
            <v>208</v>
          </cell>
        </row>
        <row r="206">
          <cell r="DA206" t="str">
            <v>Cash and equivalents at end of period</v>
          </cell>
          <cell r="DB206">
            <v>887.13521000000014</v>
          </cell>
          <cell r="DC206">
            <v>1112.1352100000001</v>
          </cell>
          <cell r="DD206">
            <v>695.13521000000014</v>
          </cell>
          <cell r="DE206">
            <v>981.1377100000002</v>
          </cell>
          <cell r="DG206" t="str">
            <v>Cash and equivalents at end of period</v>
          </cell>
          <cell r="DH206">
            <v>1511</v>
          </cell>
          <cell r="DI206">
            <v>1438</v>
          </cell>
          <cell r="DJ206">
            <v>1754</v>
          </cell>
          <cell r="DK206">
            <v>2331</v>
          </cell>
          <cell r="DL206">
            <v>2599</v>
          </cell>
          <cell r="DM206">
            <v>1399</v>
          </cell>
          <cell r="DN206">
            <v>963</v>
          </cell>
          <cell r="DO206">
            <v>1604</v>
          </cell>
          <cell r="EB206" t="str">
            <v>Cash and equivalents at end of period</v>
          </cell>
          <cell r="EG206">
            <v>208</v>
          </cell>
          <cell r="EH206">
            <v>268.73199999999997</v>
          </cell>
        </row>
        <row r="207">
          <cell r="CQ207" t="str">
            <v>General Dynamics</v>
          </cell>
        </row>
        <row r="208">
          <cell r="CQ208" t="str">
            <v>Cash Flow Model</v>
          </cell>
          <cell r="DA208" t="str">
            <v>FCF (OpCash -Capex)</v>
          </cell>
          <cell r="DB208">
            <v>271.9975</v>
          </cell>
          <cell r="DC208">
            <v>290</v>
          </cell>
          <cell r="DD208">
            <v>247.00000000000006</v>
          </cell>
          <cell r="DE208">
            <v>725.00250000000005</v>
          </cell>
          <cell r="DG208" t="str">
            <v>FCF (OpCash -Capex)</v>
          </cell>
          <cell r="DH208">
            <v>320</v>
          </cell>
          <cell r="DI208">
            <v>148</v>
          </cell>
          <cell r="DJ208">
            <v>521</v>
          </cell>
          <cell r="DK208">
            <v>805</v>
          </cell>
          <cell r="DL208">
            <v>417</v>
          </cell>
          <cell r="DM208">
            <v>278</v>
          </cell>
          <cell r="DN208">
            <v>426</v>
          </cell>
          <cell r="DO208">
            <v>701</v>
          </cell>
          <cell r="EB208" t="str">
            <v>FCF (OpCash -Capex)</v>
          </cell>
          <cell r="EH208">
            <v>819.73199999999997</v>
          </cell>
        </row>
        <row r="209">
          <cell r="CR209">
            <v>2002</v>
          </cell>
          <cell r="CV209" t="str">
            <v>2003A</v>
          </cell>
          <cell r="DA209" t="str">
            <v>FCF Conversion</v>
          </cell>
          <cell r="DB209">
            <v>1.0264153435409769</v>
          </cell>
          <cell r="DC209">
            <v>1</v>
          </cell>
          <cell r="DD209">
            <v>0.77187500000000009</v>
          </cell>
          <cell r="DE209">
            <v>2.2610557765151515</v>
          </cell>
          <cell r="DG209" t="str">
            <v>FCF Conversion</v>
          </cell>
          <cell r="DH209">
            <v>0.90651558073654392</v>
          </cell>
          <cell r="DI209">
            <v>0.43786982248520701</v>
          </cell>
          <cell r="DJ209">
            <v>1.4313186813186811</v>
          </cell>
          <cell r="DK209">
            <v>2.0226130653266332</v>
          </cell>
          <cell r="DL209">
            <v>1.0775193798449614</v>
          </cell>
          <cell r="DM209">
            <v>0.66190476190476177</v>
          </cell>
          <cell r="DN209">
            <v>0.96818181818181814</v>
          </cell>
          <cell r="DO209">
            <v>1.5140388768898487</v>
          </cell>
          <cell r="EB209" t="str">
            <v>FCF Conversion</v>
          </cell>
          <cell r="EH209">
            <v>1.146462287240738</v>
          </cell>
        </row>
        <row r="210">
          <cell r="CQ210" t="str">
            <v>Operations</v>
          </cell>
          <cell r="CR210" t="str">
            <v>Q1</v>
          </cell>
          <cell r="CS210" t="str">
            <v>Q2</v>
          </cell>
          <cell r="CT210" t="str">
            <v>Q3</v>
          </cell>
          <cell r="CU210" t="str">
            <v>Q4</v>
          </cell>
          <cell r="CV210" t="str">
            <v xml:space="preserve">Q1 </v>
          </cell>
          <cell r="CW210" t="str">
            <v xml:space="preserve">Q2 </v>
          </cell>
          <cell r="CX210" t="str">
            <v xml:space="preserve">Q3 </v>
          </cell>
          <cell r="CY210" t="str">
            <v xml:space="preserve">Q4 </v>
          </cell>
        </row>
        <row r="211">
          <cell r="CQ211" t="str">
            <v>Net Income</v>
          </cell>
          <cell r="CR211">
            <v>231.87</v>
          </cell>
          <cell r="CS211">
            <v>272.24</v>
          </cell>
          <cell r="CT211">
            <v>278.49571000000003</v>
          </cell>
          <cell r="CU211">
            <v>258.85700000000003</v>
          </cell>
          <cell r="CV211">
            <v>217.97</v>
          </cell>
          <cell r="CW211">
            <v>239.85999999999999</v>
          </cell>
          <cell r="CX211">
            <v>248.845</v>
          </cell>
          <cell r="CY211">
            <v>275</v>
          </cell>
          <cell r="DG211" t="str">
            <v>Income taxes</v>
          </cell>
          <cell r="DH211">
            <v>33</v>
          </cell>
          <cell r="DI211">
            <v>235</v>
          </cell>
          <cell r="DJ211">
            <v>101</v>
          </cell>
          <cell r="DK211">
            <v>153</v>
          </cell>
          <cell r="DL211">
            <v>29</v>
          </cell>
          <cell r="DM211">
            <v>278</v>
          </cell>
          <cell r="DN211">
            <v>241</v>
          </cell>
          <cell r="DO211">
            <v>195</v>
          </cell>
          <cell r="EB211" t="str">
            <v>Income taxes</v>
          </cell>
        </row>
        <row r="212">
          <cell r="CQ212" t="str">
            <v>Depreciation/Depletion</v>
          </cell>
          <cell r="CR212">
            <v>45</v>
          </cell>
          <cell r="CS212">
            <v>49</v>
          </cell>
          <cell r="CT212">
            <v>50</v>
          </cell>
          <cell r="CU212">
            <v>35</v>
          </cell>
          <cell r="CV212">
            <v>47</v>
          </cell>
          <cell r="CW212">
            <v>46</v>
          </cell>
          <cell r="CX212">
            <v>52</v>
          </cell>
          <cell r="CY212">
            <v>59</v>
          </cell>
          <cell r="DA212" t="str">
            <v>General Dynamics</v>
          </cell>
          <cell r="DG212" t="str">
            <v>Interest</v>
          </cell>
          <cell r="DH212">
            <v>35</v>
          </cell>
          <cell r="DI212">
            <v>37</v>
          </cell>
          <cell r="DJ212">
            <v>24</v>
          </cell>
          <cell r="DK212">
            <v>58</v>
          </cell>
          <cell r="DL212">
            <v>33</v>
          </cell>
          <cell r="DM212">
            <v>40</v>
          </cell>
          <cell r="DN212">
            <v>43</v>
          </cell>
          <cell r="DO212">
            <v>40</v>
          </cell>
          <cell r="EB212" t="str">
            <v>Interest</v>
          </cell>
          <cell r="EH212">
            <v>53</v>
          </cell>
        </row>
        <row r="213">
          <cell r="CQ213" t="str">
            <v>Intang/Goodwill Amort</v>
          </cell>
          <cell r="CR213">
            <v>7</v>
          </cell>
          <cell r="CS213">
            <v>10</v>
          </cell>
          <cell r="CT213">
            <v>8</v>
          </cell>
          <cell r="CU213">
            <v>9</v>
          </cell>
          <cell r="CV213">
            <v>10</v>
          </cell>
          <cell r="CW213">
            <v>10</v>
          </cell>
          <cell r="CX213">
            <v>28</v>
          </cell>
          <cell r="CY213">
            <v>18</v>
          </cell>
          <cell r="DA213" t="str">
            <v>Cash Flow Model</v>
          </cell>
        </row>
        <row r="214">
          <cell r="CQ214" t="str">
            <v>Pension and OPEB</v>
          </cell>
          <cell r="DA214" t="str">
            <v>($USD in Millions, Except EPS)</v>
          </cell>
          <cell r="DB214">
            <v>2004</v>
          </cell>
          <cell r="DG214" t="str">
            <v>General Dynamics</v>
          </cell>
          <cell r="EB214" t="str">
            <v>General Dynamics</v>
          </cell>
        </row>
        <row r="215">
          <cell r="CQ215" t="str">
            <v>Capex</v>
          </cell>
          <cell r="CR215">
            <v>-44</v>
          </cell>
          <cell r="CS215">
            <v>-56</v>
          </cell>
          <cell r="CT215">
            <v>-46</v>
          </cell>
          <cell r="CU215">
            <v>-118</v>
          </cell>
          <cell r="CV215">
            <v>-31</v>
          </cell>
          <cell r="CW215">
            <v>-36</v>
          </cell>
          <cell r="CX215">
            <v>-48</v>
          </cell>
          <cell r="CY215">
            <v>-105</v>
          </cell>
          <cell r="DB215" t="str">
            <v xml:space="preserve">Q1 </v>
          </cell>
          <cell r="DC215" t="str">
            <v xml:space="preserve">Q2 </v>
          </cell>
          <cell r="DD215" t="str">
            <v xml:space="preserve">Q3 </v>
          </cell>
          <cell r="DE215" t="str">
            <v xml:space="preserve">Q4 </v>
          </cell>
          <cell r="DG215" t="str">
            <v>Cash Flow Model</v>
          </cell>
          <cell r="EB215" t="str">
            <v>Cash Flow Model</v>
          </cell>
        </row>
        <row r="216">
          <cell r="CQ216" t="str">
            <v>Deferred Taxes</v>
          </cell>
          <cell r="CR216">
            <v>57</v>
          </cell>
          <cell r="CS216">
            <v>35</v>
          </cell>
          <cell r="CT216">
            <v>33</v>
          </cell>
          <cell r="CU216">
            <v>54</v>
          </cell>
          <cell r="CV216">
            <v>33</v>
          </cell>
          <cell r="CW216">
            <v>8</v>
          </cell>
          <cell r="CX216">
            <v>43</v>
          </cell>
          <cell r="CY216">
            <v>53</v>
          </cell>
          <cell r="DA216" t="str">
            <v>Operations</v>
          </cell>
          <cell r="DG216" t="str">
            <v>($USD in Millions, Except EPS)</v>
          </cell>
          <cell r="DH216">
            <v>2005</v>
          </cell>
          <cell r="DL216">
            <v>2006</v>
          </cell>
          <cell r="EB216" t="str">
            <v>($USD in Millions, Except EPS)</v>
          </cell>
          <cell r="EF216" t="str">
            <v>Pro Forma for GAC</v>
          </cell>
        </row>
        <row r="217">
          <cell r="CQ217" t="str">
            <v>Dividends</v>
          </cell>
          <cell r="CR217">
            <v>-56</v>
          </cell>
          <cell r="CS217">
            <v>-60</v>
          </cell>
          <cell r="CT217">
            <v>-60</v>
          </cell>
          <cell r="CU217">
            <v>-60</v>
          </cell>
          <cell r="CV217">
            <v>-60</v>
          </cell>
          <cell r="CW217">
            <v>-63</v>
          </cell>
          <cell r="CX217">
            <v>-63</v>
          </cell>
          <cell r="CY217">
            <v>-63</v>
          </cell>
          <cell r="DA217" t="str">
            <v>Net Income</v>
          </cell>
          <cell r="DB217">
            <v>264.9975</v>
          </cell>
          <cell r="DC217">
            <v>290</v>
          </cell>
          <cell r="DD217">
            <v>320.00000000000006</v>
          </cell>
          <cell r="DE217">
            <v>320.64777327935224</v>
          </cell>
          <cell r="DH217" t="str">
            <v xml:space="preserve">Q1 </v>
          </cell>
          <cell r="DI217" t="str">
            <v xml:space="preserve">Q2 </v>
          </cell>
          <cell r="DJ217" t="str">
            <v xml:space="preserve">Q3 </v>
          </cell>
          <cell r="DK217" t="str">
            <v xml:space="preserve">Q4 </v>
          </cell>
          <cell r="DL217" t="str">
            <v xml:space="preserve">Q1 </v>
          </cell>
          <cell r="DM217" t="str">
            <v>Q2</v>
          </cell>
          <cell r="DN217" t="str">
            <v xml:space="preserve">Q3 </v>
          </cell>
          <cell r="DO217" t="str">
            <v xml:space="preserve">Q4 </v>
          </cell>
          <cell r="EC217">
            <v>1994</v>
          </cell>
          <cell r="ED217">
            <v>1995</v>
          </cell>
          <cell r="EE217">
            <v>1996</v>
          </cell>
          <cell r="EF217">
            <v>1997</v>
          </cell>
          <cell r="EG217" t="str">
            <v>1998</v>
          </cell>
          <cell r="EH217">
            <v>1999</v>
          </cell>
        </row>
        <row r="218">
          <cell r="CQ218" t="str">
            <v>Receivables</v>
          </cell>
          <cell r="DA218" t="str">
            <v>Depreciation/Depletion</v>
          </cell>
          <cell r="DB218">
            <v>54</v>
          </cell>
          <cell r="DC218">
            <v>61</v>
          </cell>
          <cell r="DD218">
            <v>61</v>
          </cell>
          <cell r="DE218">
            <v>37</v>
          </cell>
          <cell r="DG218" t="str">
            <v>Operations</v>
          </cell>
          <cell r="EB218" t="str">
            <v>Operations</v>
          </cell>
        </row>
        <row r="219">
          <cell r="CQ219" t="str">
            <v>Contracts in Progress</v>
          </cell>
          <cell r="DA219" t="str">
            <v>Intang/Goodwill Amort</v>
          </cell>
          <cell r="DB219">
            <v>23</v>
          </cell>
          <cell r="DC219">
            <v>25</v>
          </cell>
          <cell r="DD219">
            <v>24</v>
          </cell>
          <cell r="DE219">
            <v>21</v>
          </cell>
          <cell r="DG219" t="str">
            <v>Net Income</v>
          </cell>
          <cell r="DH219">
            <v>353</v>
          </cell>
          <cell r="DI219">
            <v>338.00000000000006</v>
          </cell>
          <cell r="DJ219">
            <v>364.00000000000006</v>
          </cell>
          <cell r="DK219">
            <v>398</v>
          </cell>
          <cell r="DL219">
            <v>374</v>
          </cell>
          <cell r="DM219">
            <v>636</v>
          </cell>
          <cell r="DN219">
            <v>438</v>
          </cell>
          <cell r="DO219">
            <v>408</v>
          </cell>
          <cell r="EB219" t="str">
            <v>Net Income</v>
          </cell>
          <cell r="EC219">
            <v>222.95</v>
          </cell>
          <cell r="ED219">
            <v>246.7955</v>
          </cell>
          <cell r="EE219">
            <v>269.93999999999994</v>
          </cell>
          <cell r="EF219">
            <v>559.47499999999991</v>
          </cell>
          <cell r="EG219">
            <v>495.86079999999998</v>
          </cell>
          <cell r="EH219">
            <v>715.01</v>
          </cell>
        </row>
        <row r="220">
          <cell r="CQ220" t="str">
            <v>Inventories</v>
          </cell>
          <cell r="DA220" t="str">
            <v>Pension and OPEB</v>
          </cell>
          <cell r="DG220" t="str">
            <v>Depreciation/Depletion</v>
          </cell>
          <cell r="DH220">
            <v>58</v>
          </cell>
          <cell r="DI220">
            <v>54</v>
          </cell>
          <cell r="DJ220">
            <v>56</v>
          </cell>
          <cell r="DK220">
            <v>58</v>
          </cell>
          <cell r="DL220">
            <v>55</v>
          </cell>
          <cell r="DM220">
            <v>65</v>
          </cell>
          <cell r="DN220">
            <v>59</v>
          </cell>
          <cell r="DO220">
            <v>72</v>
          </cell>
          <cell r="EB220" t="str">
            <v>Depreciation/Depletion</v>
          </cell>
          <cell r="EC220">
            <v>39</v>
          </cell>
          <cell r="ED220">
            <v>38</v>
          </cell>
          <cell r="EE220">
            <v>57</v>
          </cell>
          <cell r="EF220">
            <v>96</v>
          </cell>
          <cell r="EG220">
            <v>109</v>
          </cell>
          <cell r="EH220">
            <v>129</v>
          </cell>
        </row>
        <row r="221">
          <cell r="CQ221" t="str">
            <v>Other Current Assets</v>
          </cell>
          <cell r="DA221" t="str">
            <v>Capex</v>
          </cell>
          <cell r="DB221">
            <v>-53</v>
          </cell>
          <cell r="DC221">
            <v>-65</v>
          </cell>
          <cell r="DD221">
            <v>-60</v>
          </cell>
          <cell r="DE221">
            <v>-75</v>
          </cell>
          <cell r="DG221" t="str">
            <v>Intang/Goodwill Amort</v>
          </cell>
          <cell r="DH221">
            <v>26</v>
          </cell>
          <cell r="DI221">
            <v>25</v>
          </cell>
          <cell r="DJ221">
            <v>25</v>
          </cell>
          <cell r="DK221">
            <v>25</v>
          </cell>
          <cell r="DL221">
            <v>27</v>
          </cell>
          <cell r="DM221">
            <v>30</v>
          </cell>
          <cell r="DN221">
            <v>38</v>
          </cell>
          <cell r="DO221">
            <v>38</v>
          </cell>
          <cell r="EB221" t="str">
            <v>Intang/Goodwill Amort</v>
          </cell>
          <cell r="EE221">
            <v>10</v>
          </cell>
          <cell r="EF221">
            <v>28</v>
          </cell>
          <cell r="EG221">
            <v>52</v>
          </cell>
          <cell r="EH221">
            <v>64</v>
          </cell>
        </row>
        <row r="222">
          <cell r="CQ222" t="str">
            <v>Accounts Payable</v>
          </cell>
          <cell r="DA222" t="str">
            <v>Deferred Taxes</v>
          </cell>
          <cell r="DB222">
            <v>111</v>
          </cell>
          <cell r="DC222">
            <v>117</v>
          </cell>
          <cell r="DD222">
            <v>7</v>
          </cell>
          <cell r="DE222">
            <v>44</v>
          </cell>
          <cell r="DG222" t="str">
            <v>Pension and OPEB</v>
          </cell>
          <cell r="EB222" t="str">
            <v>Pension and OPEB</v>
          </cell>
          <cell r="EH222">
            <v>-126</v>
          </cell>
        </row>
        <row r="223">
          <cell r="CQ223" t="str">
            <v>Other Current Liabilities</v>
          </cell>
          <cell r="DA223" t="str">
            <v>Dividends</v>
          </cell>
          <cell r="DB223">
            <v>-63</v>
          </cell>
          <cell r="DC223">
            <v>-71</v>
          </cell>
          <cell r="DD223">
            <v>-72</v>
          </cell>
          <cell r="DE223">
            <v>-72</v>
          </cell>
          <cell r="DG223" t="str">
            <v>Capex</v>
          </cell>
          <cell r="DH223">
            <v>-38</v>
          </cell>
          <cell r="DI223">
            <v>-51</v>
          </cell>
          <cell r="DJ223">
            <v>-78</v>
          </cell>
          <cell r="DK223">
            <v>-95</v>
          </cell>
          <cell r="DL223">
            <v>-53</v>
          </cell>
          <cell r="DM223">
            <v>-64</v>
          </cell>
          <cell r="DN223">
            <v>-94</v>
          </cell>
          <cell r="DO223">
            <v>-123</v>
          </cell>
          <cell r="EB223" t="str">
            <v>Capex</v>
          </cell>
          <cell r="EC223">
            <v>-23</v>
          </cell>
          <cell r="ED223">
            <v>-32</v>
          </cell>
          <cell r="EE223">
            <v>-75</v>
          </cell>
          <cell r="EF223">
            <v>-113</v>
          </cell>
          <cell r="EG223">
            <v>-186</v>
          </cell>
          <cell r="EH223">
            <v>-197</v>
          </cell>
        </row>
        <row r="224">
          <cell r="CQ224" t="str">
            <v>Total W.C.</v>
          </cell>
          <cell r="CR224">
            <v>-424</v>
          </cell>
          <cell r="CS224">
            <v>67</v>
          </cell>
          <cell r="CT224">
            <v>-105</v>
          </cell>
          <cell r="CU224">
            <v>145</v>
          </cell>
          <cell r="CV224">
            <v>-98</v>
          </cell>
          <cell r="CW224">
            <v>-50</v>
          </cell>
          <cell r="CX224">
            <v>-21</v>
          </cell>
          <cell r="CY224">
            <v>493.5</v>
          </cell>
          <cell r="DA224" t="str">
            <v>Receivables</v>
          </cell>
          <cell r="DG224" t="str">
            <v>Deferred Taxes</v>
          </cell>
          <cell r="DH224">
            <v>12</v>
          </cell>
          <cell r="DI224">
            <v>32</v>
          </cell>
          <cell r="DJ224">
            <v>56</v>
          </cell>
          <cell r="DK224">
            <v>41</v>
          </cell>
          <cell r="DL224">
            <v>-18</v>
          </cell>
          <cell r="DM224">
            <v>29</v>
          </cell>
          <cell r="DN224">
            <v>19</v>
          </cell>
          <cell r="DO224">
            <v>15</v>
          </cell>
          <cell r="EB224" t="str">
            <v>Deferred Taxes</v>
          </cell>
          <cell r="EC224">
            <v>4</v>
          </cell>
          <cell r="ED224">
            <v>36</v>
          </cell>
          <cell r="EE224">
            <v>-61</v>
          </cell>
          <cell r="EF224">
            <v>-53</v>
          </cell>
          <cell r="EG224">
            <v>61</v>
          </cell>
          <cell r="EH224">
            <v>41</v>
          </cell>
        </row>
        <row r="225">
          <cell r="CQ225" t="str">
            <v>- subtotal</v>
          </cell>
          <cell r="CR225">
            <v>-183.13</v>
          </cell>
          <cell r="CS225">
            <v>317.24</v>
          </cell>
          <cell r="CT225">
            <v>158.49571000000003</v>
          </cell>
          <cell r="CU225">
            <v>323.85700000000003</v>
          </cell>
          <cell r="CV225">
            <v>118.97000000000003</v>
          </cell>
          <cell r="CW225">
            <v>154.86000000000001</v>
          </cell>
          <cell r="CX225">
            <v>239.84500000000003</v>
          </cell>
          <cell r="CY225">
            <v>730.5</v>
          </cell>
          <cell r="DA225" t="str">
            <v>Contracts in Progress</v>
          </cell>
          <cell r="DG225" t="str">
            <v>Dividends</v>
          </cell>
          <cell r="DH225">
            <v>-72</v>
          </cell>
          <cell r="DI225">
            <v>-80</v>
          </cell>
          <cell r="DJ225">
            <v>-80</v>
          </cell>
          <cell r="DK225">
            <v>-82</v>
          </cell>
          <cell r="DL225">
            <v>-80</v>
          </cell>
          <cell r="DM225">
            <v>-93</v>
          </cell>
          <cell r="DN225">
            <v>-93</v>
          </cell>
          <cell r="DO225">
            <v>-93</v>
          </cell>
          <cell r="EB225" t="str">
            <v>Dividends</v>
          </cell>
          <cell r="EC225">
            <v>-84</v>
          </cell>
          <cell r="ED225">
            <v>-92</v>
          </cell>
          <cell r="EE225">
            <v>-101</v>
          </cell>
          <cell r="EF225">
            <v>-102</v>
          </cell>
          <cell r="EG225">
            <v>-108</v>
          </cell>
          <cell r="EH225">
            <v>-136</v>
          </cell>
        </row>
        <row r="226">
          <cell r="CQ226" t="str">
            <v>Non-Opns/Discretionary</v>
          </cell>
          <cell r="DA226" t="str">
            <v>Inventories</v>
          </cell>
          <cell r="DG226" t="str">
            <v>Receivables</v>
          </cell>
          <cell r="DL226">
            <v>309</v>
          </cell>
          <cell r="DM226">
            <v>-112</v>
          </cell>
          <cell r="DN226">
            <v>-166</v>
          </cell>
          <cell r="DO226">
            <v>-191</v>
          </cell>
          <cell r="EB226" t="str">
            <v>Receivables</v>
          </cell>
        </row>
        <row r="227">
          <cell r="CQ227" t="str">
            <v>Real Estate &amp; Asset Sales</v>
          </cell>
          <cell r="CR227">
            <v>18</v>
          </cell>
          <cell r="CS227">
            <v>7</v>
          </cell>
          <cell r="CT227">
            <v>10</v>
          </cell>
          <cell r="CU227">
            <v>98</v>
          </cell>
          <cell r="CV227">
            <v>0</v>
          </cell>
          <cell r="CW227">
            <v>0</v>
          </cell>
          <cell r="CX227">
            <v>0</v>
          </cell>
          <cell r="CY227">
            <v>34</v>
          </cell>
          <cell r="DA227" t="str">
            <v>Other Current Assets</v>
          </cell>
          <cell r="DG227" t="str">
            <v>Contracts in Progress</v>
          </cell>
          <cell r="DL227">
            <v>-229</v>
          </cell>
          <cell r="DM227">
            <v>-57</v>
          </cell>
          <cell r="DN227">
            <v>41</v>
          </cell>
          <cell r="DO227">
            <v>-145</v>
          </cell>
          <cell r="EB227" t="str">
            <v>Contracts in Progress</v>
          </cell>
        </row>
        <row r="228">
          <cell r="CQ228" t="str">
            <v>R&amp;D Tax refund</v>
          </cell>
          <cell r="CR228">
            <v>0</v>
          </cell>
          <cell r="CS228">
            <v>0</v>
          </cell>
          <cell r="CT228">
            <v>0</v>
          </cell>
          <cell r="CU228">
            <v>0</v>
          </cell>
          <cell r="CV228">
            <v>0</v>
          </cell>
          <cell r="CW228">
            <v>0</v>
          </cell>
          <cell r="CX228">
            <v>0</v>
          </cell>
          <cell r="CY228">
            <v>0</v>
          </cell>
          <cell r="DA228" t="str">
            <v>Accounts Payable</v>
          </cell>
          <cell r="DG228" t="str">
            <v>Inventories</v>
          </cell>
          <cell r="DL228">
            <v>-143</v>
          </cell>
          <cell r="DM228">
            <v>-71</v>
          </cell>
          <cell r="DN228">
            <v>61</v>
          </cell>
          <cell r="DO228">
            <v>-84</v>
          </cell>
          <cell r="EB228" t="str">
            <v>Inventories</v>
          </cell>
        </row>
        <row r="229">
          <cell r="CQ229" t="str">
            <v>Acquis./Divests</v>
          </cell>
          <cell r="CR229">
            <v>0</v>
          </cell>
          <cell r="CS229">
            <v>-213</v>
          </cell>
          <cell r="CT229">
            <v>-68</v>
          </cell>
          <cell r="CU229">
            <v>6</v>
          </cell>
          <cell r="CV229">
            <v>-1075</v>
          </cell>
          <cell r="CW229">
            <v>-53</v>
          </cell>
          <cell r="CX229">
            <v>-1859</v>
          </cell>
          <cell r="CY229">
            <v>-57</v>
          </cell>
          <cell r="DA229" t="str">
            <v>Other Current Liabilities</v>
          </cell>
          <cell r="DG229" t="str">
            <v>Other Current Assets</v>
          </cell>
          <cell r="DL229">
            <v>0</v>
          </cell>
          <cell r="DM229">
            <v>-23</v>
          </cell>
          <cell r="DN229">
            <v>23</v>
          </cell>
          <cell r="DO229">
            <v>0</v>
          </cell>
          <cell r="EB229" t="str">
            <v>Other Current Assets</v>
          </cell>
        </row>
        <row r="230">
          <cell r="CQ230" t="str">
            <v>Stock Repurchase</v>
          </cell>
          <cell r="CR230">
            <v>-10</v>
          </cell>
          <cell r="CS230">
            <v>0</v>
          </cell>
          <cell r="CT230">
            <v>-71</v>
          </cell>
          <cell r="CU230">
            <v>-19</v>
          </cell>
          <cell r="CV230">
            <v>-274</v>
          </cell>
          <cell r="CW230">
            <v>-26</v>
          </cell>
          <cell r="CX230">
            <v>45</v>
          </cell>
          <cell r="CY230">
            <v>20</v>
          </cell>
          <cell r="DA230" t="str">
            <v>Total W.C.</v>
          </cell>
          <cell r="DB230">
            <v>-128</v>
          </cell>
          <cell r="DC230">
            <v>-138</v>
          </cell>
          <cell r="DD230">
            <v>-105</v>
          </cell>
          <cell r="DE230">
            <v>529</v>
          </cell>
          <cell r="DG230" t="str">
            <v>Accounts Payable</v>
          </cell>
          <cell r="DL230">
            <v>14</v>
          </cell>
          <cell r="DM230">
            <v>-14</v>
          </cell>
          <cell r="DN230">
            <v>-145</v>
          </cell>
          <cell r="DO230">
            <v>325</v>
          </cell>
          <cell r="EB230" t="str">
            <v>Accounts Payable</v>
          </cell>
        </row>
        <row r="231">
          <cell r="CQ231" t="str">
            <v>Securities sales (purchases)</v>
          </cell>
          <cell r="CR231">
            <v>0</v>
          </cell>
          <cell r="CS231">
            <v>0</v>
          </cell>
          <cell r="CT231">
            <v>0</v>
          </cell>
          <cell r="CU231">
            <v>-2</v>
          </cell>
          <cell r="CV231">
            <v>0</v>
          </cell>
          <cell r="CW231">
            <v>0</v>
          </cell>
          <cell r="CX231">
            <v>0</v>
          </cell>
          <cell r="CY231">
            <v>1</v>
          </cell>
          <cell r="DA231" t="str">
            <v>- subtotal</v>
          </cell>
          <cell r="DB231">
            <v>208.9975</v>
          </cell>
          <cell r="DC231">
            <v>219</v>
          </cell>
          <cell r="DD231">
            <v>175.00000000000006</v>
          </cell>
          <cell r="DE231">
            <v>804.64777327935224</v>
          </cell>
          <cell r="DG231" t="str">
            <v>Other Current Liabilities</v>
          </cell>
          <cell r="DL231">
            <v>76</v>
          </cell>
          <cell r="DM231">
            <v>-155</v>
          </cell>
          <cell r="DN231">
            <v>166</v>
          </cell>
          <cell r="DO231">
            <v>363</v>
          </cell>
          <cell r="EB231" t="str">
            <v>Other Current Liabilities</v>
          </cell>
        </row>
        <row r="232">
          <cell r="CQ232" t="str">
            <v>A-12/Restruct.</v>
          </cell>
          <cell r="CR232">
            <v>0</v>
          </cell>
          <cell r="CS232">
            <v>0</v>
          </cell>
          <cell r="CT232">
            <v>0</v>
          </cell>
          <cell r="CU232">
            <v>0</v>
          </cell>
          <cell r="CV232">
            <v>0</v>
          </cell>
          <cell r="CW232">
            <v>0</v>
          </cell>
          <cell r="CX232">
            <v>0</v>
          </cell>
          <cell r="CY232">
            <v>0</v>
          </cell>
          <cell r="DA232" t="str">
            <v>Non-Opns/Discretionary</v>
          </cell>
          <cell r="DG232" t="str">
            <v>Total W.C.</v>
          </cell>
          <cell r="DH232">
            <v>-74</v>
          </cell>
          <cell r="DI232">
            <v>-262</v>
          </cell>
          <cell r="DJ232">
            <v>70</v>
          </cell>
          <cell r="DK232">
            <v>369</v>
          </cell>
          <cell r="DL232">
            <v>27</v>
          </cell>
          <cell r="DM232">
            <v>-432</v>
          </cell>
          <cell r="DN232">
            <v>-20</v>
          </cell>
          <cell r="DO232">
            <v>268</v>
          </cell>
          <cell r="EB232" t="str">
            <v>Total W.C.</v>
          </cell>
          <cell r="EC232">
            <v>38</v>
          </cell>
          <cell r="ED232">
            <v>109</v>
          </cell>
          <cell r="EE232">
            <v>-258</v>
          </cell>
          <cell r="EF232">
            <v>66</v>
          </cell>
          <cell r="EG232">
            <v>-210</v>
          </cell>
          <cell r="EH232">
            <v>202</v>
          </cell>
        </row>
        <row r="233">
          <cell r="CQ233" t="str">
            <v>Finance operations leases</v>
          </cell>
          <cell r="CY233">
            <v>0</v>
          </cell>
          <cell r="DA233" t="str">
            <v>Real Estate &amp; Asset Sales</v>
          </cell>
          <cell r="DB233">
            <v>0</v>
          </cell>
          <cell r="DC233">
            <v>0</v>
          </cell>
          <cell r="DD233">
            <v>23</v>
          </cell>
          <cell r="DE233">
            <v>1</v>
          </cell>
          <cell r="DG233" t="str">
            <v>- subtotal</v>
          </cell>
          <cell r="DH233">
            <v>265</v>
          </cell>
          <cell r="DI233">
            <v>56.000000000000057</v>
          </cell>
          <cell r="DJ233">
            <v>413.00000000000006</v>
          </cell>
          <cell r="DK233">
            <v>714</v>
          </cell>
          <cell r="DL233">
            <v>332</v>
          </cell>
          <cell r="DM233">
            <v>171</v>
          </cell>
          <cell r="DN233">
            <v>347</v>
          </cell>
          <cell r="DO233">
            <v>585</v>
          </cell>
          <cell r="EB233" t="str">
            <v>- subtotal</v>
          </cell>
          <cell r="EC233">
            <v>196.95</v>
          </cell>
          <cell r="ED233">
            <v>305.7955</v>
          </cell>
          <cell r="EE233">
            <v>-158.06000000000006</v>
          </cell>
          <cell r="EF233">
            <v>481.47499999999991</v>
          </cell>
          <cell r="EG233">
            <v>213.86079999999993</v>
          </cell>
          <cell r="EH233">
            <v>692.01</v>
          </cell>
        </row>
        <row r="234">
          <cell r="CQ234" t="str">
            <v>Other</v>
          </cell>
          <cell r="CR234">
            <v>36</v>
          </cell>
          <cell r="CS234">
            <v>15</v>
          </cell>
          <cell r="CT234">
            <v>4</v>
          </cell>
          <cell r="CU234">
            <v>1</v>
          </cell>
          <cell r="CV234">
            <v>2</v>
          </cell>
          <cell r="CW234">
            <v>18</v>
          </cell>
          <cell r="CX234">
            <v>-10</v>
          </cell>
          <cell r="CY234">
            <v>-9</v>
          </cell>
          <cell r="DA234" t="str">
            <v>R&amp;D Tax refund</v>
          </cell>
          <cell r="DB234">
            <v>0</v>
          </cell>
          <cell r="DC234">
            <v>0</v>
          </cell>
          <cell r="DD234">
            <v>0</v>
          </cell>
          <cell r="DE234">
            <v>1</v>
          </cell>
          <cell r="DG234" t="str">
            <v>Non-Opns/Discretionary</v>
          </cell>
          <cell r="EB234" t="str">
            <v>Non-Opns/Discretionary</v>
          </cell>
        </row>
        <row r="235">
          <cell r="CQ235" t="str">
            <v>- subtotal</v>
          </cell>
          <cell r="CR235">
            <v>44</v>
          </cell>
          <cell r="CS235">
            <v>-191</v>
          </cell>
          <cell r="CT235">
            <v>-125</v>
          </cell>
          <cell r="CU235">
            <v>84</v>
          </cell>
          <cell r="CV235">
            <v>-1347</v>
          </cell>
          <cell r="CW235">
            <v>-61</v>
          </cell>
          <cell r="CX235">
            <v>-1824</v>
          </cell>
          <cell r="CY235">
            <v>-11</v>
          </cell>
          <cell r="DA235" t="str">
            <v>Acquis./Divests</v>
          </cell>
          <cell r="DB235">
            <v>-31</v>
          </cell>
          <cell r="DC235">
            <v>-5</v>
          </cell>
          <cell r="DD235">
            <v>-490</v>
          </cell>
          <cell r="DE235">
            <v>-17</v>
          </cell>
          <cell r="DG235" t="str">
            <v>Real Estate &amp; Asset Sales</v>
          </cell>
          <cell r="DH235">
            <v>373</v>
          </cell>
          <cell r="DI235">
            <v>-24</v>
          </cell>
          <cell r="DJ235">
            <v>13</v>
          </cell>
          <cell r="DK235">
            <v>-1</v>
          </cell>
          <cell r="DL235">
            <v>0</v>
          </cell>
          <cell r="DM235">
            <v>299</v>
          </cell>
          <cell r="DN235">
            <v>28</v>
          </cell>
          <cell r="DO235">
            <v>53</v>
          </cell>
          <cell r="EB235" t="str">
            <v>Real Estate &amp; Asset Sales</v>
          </cell>
          <cell r="EE235">
            <v>41</v>
          </cell>
          <cell r="EF235">
            <v>34</v>
          </cell>
          <cell r="EG235">
            <v>99</v>
          </cell>
          <cell r="EH235">
            <v>18</v>
          </cell>
        </row>
        <row r="236">
          <cell r="CQ236" t="str">
            <v>Cash Throwoff</v>
          </cell>
          <cell r="CR236">
            <v>-139.13</v>
          </cell>
          <cell r="CS236">
            <v>126.24000000000001</v>
          </cell>
          <cell r="CT236">
            <v>33.495710000000031</v>
          </cell>
          <cell r="CU236">
            <v>407.85700000000003</v>
          </cell>
          <cell r="CV236">
            <v>-1228.03</v>
          </cell>
          <cell r="CW236">
            <v>93.860000000000014</v>
          </cell>
          <cell r="CX236">
            <v>-1584.155</v>
          </cell>
          <cell r="CY236">
            <v>719.5</v>
          </cell>
          <cell r="DA236" t="str">
            <v>Stock Repurchase</v>
          </cell>
          <cell r="DB236">
            <v>0</v>
          </cell>
          <cell r="DC236">
            <v>0</v>
          </cell>
          <cell r="DD236">
            <v>0</v>
          </cell>
          <cell r="DE236">
            <v>0</v>
          </cell>
          <cell r="DG236" t="str">
            <v>R&amp;D Tax refund</v>
          </cell>
          <cell r="DH236">
            <v>0</v>
          </cell>
          <cell r="DI236">
            <v>0</v>
          </cell>
          <cell r="DJ236">
            <v>0</v>
          </cell>
          <cell r="DK236">
            <v>0</v>
          </cell>
          <cell r="DL236">
            <v>0</v>
          </cell>
          <cell r="DM236">
            <v>0</v>
          </cell>
          <cell r="DN236">
            <v>0</v>
          </cell>
          <cell r="DO236">
            <v>0</v>
          </cell>
          <cell r="EB236" t="str">
            <v>R&amp;D Tax refund</v>
          </cell>
          <cell r="EF236">
            <v>0</v>
          </cell>
          <cell r="EG236">
            <v>0</v>
          </cell>
          <cell r="EH236">
            <v>0</v>
          </cell>
        </row>
        <row r="237">
          <cell r="CV237" t="str">
            <v xml:space="preserve">                                                           </v>
          </cell>
          <cell r="DA237" t="str">
            <v>Securities sales (purchases)</v>
          </cell>
          <cell r="DB237">
            <v>0</v>
          </cell>
          <cell r="DC237">
            <v>0</v>
          </cell>
          <cell r="DD237">
            <v>0</v>
          </cell>
          <cell r="DE237">
            <v>0</v>
          </cell>
          <cell r="DG237" t="str">
            <v>Acquis./Divests</v>
          </cell>
          <cell r="DH237">
            <v>-37</v>
          </cell>
          <cell r="DI237">
            <v>0</v>
          </cell>
          <cell r="DJ237">
            <v>-240</v>
          </cell>
          <cell r="DK237">
            <v>0</v>
          </cell>
          <cell r="DL237">
            <v>-153</v>
          </cell>
          <cell r="DM237">
            <v>-2001</v>
          </cell>
          <cell r="DN237">
            <v>-164</v>
          </cell>
          <cell r="DO237">
            <v>-24</v>
          </cell>
          <cell r="EB237" t="str">
            <v>Acquis./Divests</v>
          </cell>
          <cell r="EC237">
            <v>276</v>
          </cell>
          <cell r="ED237">
            <v>-255</v>
          </cell>
          <cell r="EE237">
            <v>-59</v>
          </cell>
          <cell r="EF237">
            <v>-1230</v>
          </cell>
          <cell r="EG237">
            <v>-481</v>
          </cell>
          <cell r="EH237">
            <v>-1090</v>
          </cell>
        </row>
        <row r="238">
          <cell r="CQ238" t="str">
            <v>Debt issuance (repayment)</v>
          </cell>
          <cell r="CR238">
            <v>77</v>
          </cell>
          <cell r="CS238">
            <v>-118</v>
          </cell>
          <cell r="CT238">
            <v>69</v>
          </cell>
          <cell r="CU238">
            <v>-555</v>
          </cell>
          <cell r="CV238">
            <v>1644</v>
          </cell>
          <cell r="CW238">
            <v>-32</v>
          </cell>
          <cell r="CX238">
            <v>1464</v>
          </cell>
          <cell r="CY238">
            <v>-511</v>
          </cell>
          <cell r="DA238" t="str">
            <v>A-12/Restruct.</v>
          </cell>
          <cell r="DB238">
            <v>0</v>
          </cell>
          <cell r="DC238">
            <v>0</v>
          </cell>
          <cell r="DD238">
            <v>0</v>
          </cell>
          <cell r="DE238">
            <v>0</v>
          </cell>
          <cell r="DG238" t="str">
            <v>Stock Repurchase</v>
          </cell>
          <cell r="DH238">
            <v>-48</v>
          </cell>
          <cell r="DI238">
            <v>-56</v>
          </cell>
          <cell r="DJ238">
            <v>31</v>
          </cell>
          <cell r="DK238">
            <v>-127</v>
          </cell>
          <cell r="DL238">
            <v>83</v>
          </cell>
          <cell r="DM238">
            <v>-31</v>
          </cell>
          <cell r="DN238">
            <v>55</v>
          </cell>
          <cell r="DO238">
            <v>61</v>
          </cell>
          <cell r="EB238" t="str">
            <v>Stock Repurchase</v>
          </cell>
          <cell r="EC238">
            <v>-22</v>
          </cell>
          <cell r="ED238">
            <v>4</v>
          </cell>
          <cell r="EE238">
            <v>-15</v>
          </cell>
          <cell r="EF238">
            <v>-27</v>
          </cell>
          <cell r="EG238">
            <v>-172</v>
          </cell>
          <cell r="EH238">
            <v>-8</v>
          </cell>
        </row>
        <row r="239">
          <cell r="CQ239" t="str">
            <v>Finance operations debt</v>
          </cell>
          <cell r="CR239">
            <v>0</v>
          </cell>
          <cell r="CS239">
            <v>0</v>
          </cell>
          <cell r="CT239">
            <v>0</v>
          </cell>
          <cell r="CU239">
            <v>-22</v>
          </cell>
          <cell r="CV239">
            <v>0</v>
          </cell>
          <cell r="CW239">
            <v>0</v>
          </cell>
          <cell r="CX239">
            <v>0</v>
          </cell>
          <cell r="CY239">
            <v>-40</v>
          </cell>
          <cell r="DA239" t="str">
            <v>Finance operations leases</v>
          </cell>
          <cell r="DB239">
            <v>0</v>
          </cell>
          <cell r="DC239">
            <v>0</v>
          </cell>
          <cell r="DD239">
            <v>0</v>
          </cell>
          <cell r="DE239">
            <v>-500</v>
          </cell>
          <cell r="DG239" t="str">
            <v>Securities sales (purchases)</v>
          </cell>
          <cell r="DH239">
            <v>0</v>
          </cell>
          <cell r="DI239">
            <v>0</v>
          </cell>
          <cell r="DJ239">
            <v>0</v>
          </cell>
          <cell r="DK239">
            <v>0</v>
          </cell>
          <cell r="DL239">
            <v>0</v>
          </cell>
          <cell r="DM239">
            <v>0</v>
          </cell>
          <cell r="DN239">
            <v>0</v>
          </cell>
          <cell r="DO239">
            <v>0</v>
          </cell>
          <cell r="EB239" t="str">
            <v>Securities sales (purchases)</v>
          </cell>
          <cell r="EF239">
            <v>476</v>
          </cell>
          <cell r="EG239">
            <v>50</v>
          </cell>
          <cell r="EH239">
            <v>54</v>
          </cell>
        </row>
        <row r="240">
          <cell r="DA240" t="str">
            <v>Other</v>
          </cell>
          <cell r="DB240">
            <v>13</v>
          </cell>
          <cell r="DC240">
            <v>52</v>
          </cell>
          <cell r="DD240">
            <v>4</v>
          </cell>
          <cell r="DE240">
            <v>-129</v>
          </cell>
          <cell r="DG240" t="str">
            <v>A-12/Restruct.</v>
          </cell>
          <cell r="DH240">
            <v>0</v>
          </cell>
          <cell r="DI240">
            <v>0</v>
          </cell>
          <cell r="DJ240">
            <v>0</v>
          </cell>
          <cell r="DK240">
            <v>0</v>
          </cell>
          <cell r="DL240">
            <v>0</v>
          </cell>
          <cell r="DM240">
            <v>0</v>
          </cell>
          <cell r="DN240">
            <v>0</v>
          </cell>
          <cell r="DO240">
            <v>0</v>
          </cell>
          <cell r="EB240" t="str">
            <v>A-12/Restruct.</v>
          </cell>
          <cell r="EC240">
            <v>-16</v>
          </cell>
          <cell r="ED240">
            <v>-19</v>
          </cell>
          <cell r="EE240">
            <v>-10</v>
          </cell>
          <cell r="EF240">
            <v>-5</v>
          </cell>
          <cell r="EG240">
            <v>-4</v>
          </cell>
          <cell r="EH240">
            <v>-11</v>
          </cell>
        </row>
        <row r="241">
          <cell r="CQ241" t="str">
            <v>Increase (decrease) in Cash and Equivalents</v>
          </cell>
          <cell r="CR241">
            <v>-62.129999999999995</v>
          </cell>
          <cell r="CS241">
            <v>8.2400000000000091</v>
          </cell>
          <cell r="CT241">
            <v>102.49571000000003</v>
          </cell>
          <cell r="CU241">
            <v>-169.14299999999997</v>
          </cell>
          <cell r="CV241">
            <v>415.97</v>
          </cell>
          <cell r="CW241">
            <v>61.860000000000014</v>
          </cell>
          <cell r="CX241">
            <v>-120.15499999999997</v>
          </cell>
          <cell r="CY241">
            <v>168.5</v>
          </cell>
          <cell r="DA241" t="str">
            <v>- subtotal</v>
          </cell>
          <cell r="DB241">
            <v>-18</v>
          </cell>
          <cell r="DC241">
            <v>47</v>
          </cell>
          <cell r="DD241">
            <v>-463</v>
          </cell>
          <cell r="DE241">
            <v>-644</v>
          </cell>
          <cell r="DG241" t="str">
            <v>Finance operations leases</v>
          </cell>
          <cell r="DH241">
            <v>0</v>
          </cell>
          <cell r="DI241">
            <v>0</v>
          </cell>
          <cell r="DJ241">
            <v>0</v>
          </cell>
          <cell r="DK241">
            <v>0</v>
          </cell>
          <cell r="DL241">
            <v>0</v>
          </cell>
          <cell r="DM241">
            <v>0</v>
          </cell>
          <cell r="DN241">
            <v>0</v>
          </cell>
          <cell r="DO241">
            <v>0</v>
          </cell>
          <cell r="EB241" t="str">
            <v>Finance operations leases</v>
          </cell>
          <cell r="EH241">
            <v>2</v>
          </cell>
        </row>
        <row r="242">
          <cell r="DA242" t="str">
            <v>Cash Throwoff</v>
          </cell>
          <cell r="DB242">
            <v>190.9975</v>
          </cell>
          <cell r="DC242">
            <v>266</v>
          </cell>
          <cell r="DD242">
            <v>-287.99999999999994</v>
          </cell>
          <cell r="DE242">
            <v>160.64777327935224</v>
          </cell>
          <cell r="DG242" t="str">
            <v>Other</v>
          </cell>
          <cell r="DH242">
            <v>-1</v>
          </cell>
          <cell r="DI242">
            <v>-61</v>
          </cell>
          <cell r="DJ242">
            <v>71</v>
          </cell>
          <cell r="DK242">
            <v>-18</v>
          </cell>
          <cell r="DL242">
            <v>6</v>
          </cell>
          <cell r="DM242">
            <v>0</v>
          </cell>
          <cell r="DN242">
            <v>-159</v>
          </cell>
          <cell r="DO242">
            <v>285</v>
          </cell>
          <cell r="EB242" t="str">
            <v>Other</v>
          </cell>
          <cell r="EF242">
            <v>-27</v>
          </cell>
          <cell r="EG242">
            <v>-44</v>
          </cell>
          <cell r="EH242">
            <v>-9</v>
          </cell>
        </row>
        <row r="243">
          <cell r="CQ243" t="str">
            <v>CASH FLOW/NINC</v>
          </cell>
          <cell r="CR243">
            <v>-0.54828136455772625</v>
          </cell>
          <cell r="CS243">
            <v>1.385689097854834</v>
          </cell>
          <cell r="CT243">
            <v>0.78455682495073265</v>
          </cell>
          <cell r="CU243">
            <v>1.4828920987263237</v>
          </cell>
          <cell r="CV243">
            <v>0.82107629490296841</v>
          </cell>
          <cell r="CW243">
            <v>0.9082798299007756</v>
          </cell>
          <cell r="CX243">
            <v>1.2170025517892664</v>
          </cell>
          <cell r="CY243">
            <v>2.8854545454545453</v>
          </cell>
          <cell r="DG243" t="str">
            <v>- subtotal</v>
          </cell>
          <cell r="DH243">
            <v>287</v>
          </cell>
          <cell r="DI243">
            <v>-141</v>
          </cell>
          <cell r="DJ243">
            <v>-125</v>
          </cell>
          <cell r="DK243">
            <v>-146</v>
          </cell>
          <cell r="DL243">
            <v>-64</v>
          </cell>
          <cell r="DM243">
            <v>-1733</v>
          </cell>
          <cell r="DN243">
            <v>-240</v>
          </cell>
          <cell r="DO243">
            <v>375</v>
          </cell>
          <cell r="EB243" t="str">
            <v>- subtotal</v>
          </cell>
          <cell r="EC243">
            <v>238</v>
          </cell>
          <cell r="ED243">
            <v>-270</v>
          </cell>
          <cell r="EE243">
            <v>-43</v>
          </cell>
          <cell r="EF243">
            <v>-779</v>
          </cell>
          <cell r="EG243">
            <v>-552</v>
          </cell>
          <cell r="EH243">
            <v>-1044</v>
          </cell>
        </row>
        <row r="244">
          <cell r="DA244" t="str">
            <v>Debt issuance (repayment)</v>
          </cell>
          <cell r="DB244">
            <v>-186</v>
          </cell>
          <cell r="DC244">
            <v>-41</v>
          </cell>
          <cell r="DD244">
            <v>-129</v>
          </cell>
          <cell r="DE244">
            <v>109</v>
          </cell>
          <cell r="DG244" t="str">
            <v>Cash Throwoff</v>
          </cell>
          <cell r="DH244">
            <v>552</v>
          </cell>
          <cell r="DI244">
            <v>-84.999999999999943</v>
          </cell>
          <cell r="DJ244">
            <v>288.00000000000006</v>
          </cell>
          <cell r="DK244">
            <v>568</v>
          </cell>
          <cell r="DL244">
            <v>268</v>
          </cell>
          <cell r="DM244">
            <v>-1562</v>
          </cell>
          <cell r="DN244">
            <v>107</v>
          </cell>
          <cell r="DO244">
            <v>960</v>
          </cell>
          <cell r="EB244" t="str">
            <v>Cash Throwoff</v>
          </cell>
          <cell r="EC244">
            <v>434.95</v>
          </cell>
          <cell r="ED244">
            <v>35.795500000000004</v>
          </cell>
          <cell r="EE244">
            <v>-201.06000000000006</v>
          </cell>
          <cell r="EF244">
            <v>-297.52500000000009</v>
          </cell>
          <cell r="EG244">
            <v>-338.13920000000007</v>
          </cell>
          <cell r="EH244">
            <v>-351.99</v>
          </cell>
        </row>
        <row r="245">
          <cell r="CQ245" t="str">
            <v>Cash at Beginning of Period</v>
          </cell>
          <cell r="CR245">
            <v>440</v>
          </cell>
          <cell r="CS245">
            <v>377.87</v>
          </cell>
          <cell r="CT245">
            <v>386.11</v>
          </cell>
          <cell r="CU245">
            <v>488.60571000000004</v>
          </cell>
          <cell r="CV245">
            <v>319.46271000000007</v>
          </cell>
          <cell r="CW245">
            <v>735.43271000000004</v>
          </cell>
          <cell r="CX245">
            <v>797.29271000000006</v>
          </cell>
          <cell r="CY245">
            <v>677.13771000000008</v>
          </cell>
          <cell r="DA245" t="str">
            <v>Finance operations debt</v>
          </cell>
          <cell r="DB245">
            <v>0</v>
          </cell>
          <cell r="DC245">
            <v>0</v>
          </cell>
          <cell r="DD245">
            <v>0</v>
          </cell>
          <cell r="DE245">
            <v>-500</v>
          </cell>
        </row>
        <row r="246">
          <cell r="CQ246" t="str">
            <v>Cash at End of Period</v>
          </cell>
          <cell r="CR246">
            <v>377.87</v>
          </cell>
          <cell r="CS246">
            <v>386.11</v>
          </cell>
          <cell r="CT246">
            <v>488.60571000000004</v>
          </cell>
          <cell r="CU246">
            <v>319.46271000000007</v>
          </cell>
          <cell r="CV246">
            <v>735.43271000000004</v>
          </cell>
          <cell r="CW246">
            <v>797.29271000000006</v>
          </cell>
          <cell r="CX246">
            <v>677.13771000000008</v>
          </cell>
          <cell r="CY246">
            <v>845.13771000000008</v>
          </cell>
          <cell r="DG246" t="str">
            <v>Debt issuance (repayment)</v>
          </cell>
          <cell r="DH246">
            <v>0</v>
          </cell>
          <cell r="DI246">
            <v>0</v>
          </cell>
          <cell r="DJ246">
            <v>0</v>
          </cell>
          <cell r="DK246">
            <v>0</v>
          </cell>
          <cell r="DL246">
            <v>0</v>
          </cell>
          <cell r="DM246">
            <v>362</v>
          </cell>
          <cell r="DN246">
            <v>-543</v>
          </cell>
          <cell r="DO246">
            <v>-319</v>
          </cell>
          <cell r="EB246" t="str">
            <v>Debt issuance (repayment)</v>
          </cell>
          <cell r="EF246">
            <v>200</v>
          </cell>
          <cell r="EG246">
            <v>-176</v>
          </cell>
          <cell r="EH246">
            <v>470</v>
          </cell>
        </row>
        <row r="247">
          <cell r="CQ247" t="str">
            <v>Ending Marketable Securities</v>
          </cell>
          <cell r="CR247">
            <v>0</v>
          </cell>
          <cell r="CS247">
            <v>0</v>
          </cell>
          <cell r="CT247">
            <v>0</v>
          </cell>
          <cell r="CU247">
            <v>0</v>
          </cell>
          <cell r="CV247">
            <v>0</v>
          </cell>
          <cell r="CW247">
            <v>0</v>
          </cell>
          <cell r="CX247">
            <v>0</v>
          </cell>
          <cell r="CY247">
            <v>0</v>
          </cell>
          <cell r="DA247" t="str">
            <v>Increase (decrease) in Cash and Equivalents</v>
          </cell>
          <cell r="DB247">
            <v>4.9975000000000023</v>
          </cell>
          <cell r="DC247">
            <v>225</v>
          </cell>
          <cell r="DD247">
            <v>-416.99999999999994</v>
          </cell>
          <cell r="DE247">
            <v>-230.35222672064776</v>
          </cell>
          <cell r="DG247" t="str">
            <v>Finance operations debt</v>
          </cell>
          <cell r="DH247">
            <v>0</v>
          </cell>
          <cell r="DI247">
            <v>0</v>
          </cell>
          <cell r="DJ247">
            <v>0</v>
          </cell>
          <cell r="DK247">
            <v>0</v>
          </cell>
          <cell r="DL247">
            <v>0</v>
          </cell>
          <cell r="DM247">
            <v>0</v>
          </cell>
          <cell r="DN247">
            <v>0</v>
          </cell>
          <cell r="DO247">
            <v>0</v>
          </cell>
          <cell r="EB247" t="str">
            <v>Finance operations debt</v>
          </cell>
          <cell r="EF247">
            <v>-17</v>
          </cell>
          <cell r="EG247">
            <v>-38</v>
          </cell>
          <cell r="EH247">
            <v>-59</v>
          </cell>
        </row>
        <row r="248">
          <cell r="CQ248" t="str">
            <v>Ending Cash &amp; Marketable Securities</v>
          </cell>
          <cell r="CR248">
            <v>377.87</v>
          </cell>
          <cell r="CS248">
            <v>386.11</v>
          </cell>
          <cell r="CT248">
            <v>488.60571000000004</v>
          </cell>
          <cell r="CU248">
            <v>319.46271000000007</v>
          </cell>
          <cell r="CV248">
            <v>735.43271000000004</v>
          </cell>
          <cell r="CW248">
            <v>797.29271000000006</v>
          </cell>
          <cell r="CX248">
            <v>677.13771000000008</v>
          </cell>
          <cell r="CY248">
            <v>845.13771000000008</v>
          </cell>
        </row>
        <row r="249">
          <cell r="DA249" t="str">
            <v>CASH FLOW/NINC</v>
          </cell>
          <cell r="DB249">
            <v>1.0264153435409769</v>
          </cell>
          <cell r="DC249">
            <v>1</v>
          </cell>
          <cell r="DD249">
            <v>0.77187500000000009</v>
          </cell>
          <cell r="DE249">
            <v>2.7339898989898987</v>
          </cell>
          <cell r="DG249" t="str">
            <v>Increase (decrease) in Cash and Equivalents</v>
          </cell>
          <cell r="DH249">
            <v>552</v>
          </cell>
          <cell r="DI249">
            <v>-84.999999999999943</v>
          </cell>
          <cell r="DJ249">
            <v>288.00000000000006</v>
          </cell>
          <cell r="DK249">
            <v>568</v>
          </cell>
          <cell r="DL249">
            <v>268</v>
          </cell>
          <cell r="DM249">
            <v>-1200</v>
          </cell>
          <cell r="DN249">
            <v>-436</v>
          </cell>
          <cell r="DO249">
            <v>641</v>
          </cell>
          <cell r="EB249" t="str">
            <v>Increase (decrease) in Cash and Equivalents</v>
          </cell>
          <cell r="EF249">
            <v>-114.52500000000009</v>
          </cell>
          <cell r="EG249">
            <v>-552.13920000000007</v>
          </cell>
          <cell r="EH249">
            <v>59.009999999999991</v>
          </cell>
        </row>
        <row r="250">
          <cell r="CQ250" t="str">
            <v>FCF (OpCash -Capex)</v>
          </cell>
          <cell r="CV250">
            <v>166.97000000000003</v>
          </cell>
          <cell r="CW250">
            <v>218.86</v>
          </cell>
          <cell r="CX250">
            <v>313.84500000000003</v>
          </cell>
          <cell r="CY250">
            <v>779</v>
          </cell>
        </row>
        <row r="251">
          <cell r="CQ251" t="str">
            <v>FCF/NINC</v>
          </cell>
          <cell r="CV251">
            <v>0.76602284718080482</v>
          </cell>
          <cell r="CW251">
            <v>0.91244892854164938</v>
          </cell>
          <cell r="CX251">
            <v>1.261206775301895</v>
          </cell>
          <cell r="CY251">
            <v>2.8327272727272725</v>
          </cell>
          <cell r="DA251" t="str">
            <v>Cash at Beginning of Period</v>
          </cell>
          <cell r="DB251">
            <v>845.13771000000008</v>
          </cell>
          <cell r="DC251">
            <v>850.13521000000014</v>
          </cell>
          <cell r="DD251">
            <v>1075.1352100000001</v>
          </cell>
          <cell r="DE251">
            <v>658.13521000000014</v>
          </cell>
          <cell r="DG251" t="str">
            <v>CASH FLOW/NINC</v>
          </cell>
          <cell r="DH251">
            <v>0.95467422096317278</v>
          </cell>
          <cell r="DI251">
            <v>0.40236686390532556</v>
          </cell>
          <cell r="DJ251">
            <v>1.3543956043956042</v>
          </cell>
          <cell r="DK251">
            <v>2</v>
          </cell>
          <cell r="DL251">
            <v>1.1016042780748663</v>
          </cell>
          <cell r="DM251">
            <v>0.41509433962264153</v>
          </cell>
          <cell r="DN251">
            <v>1.004566210045662</v>
          </cell>
          <cell r="DO251">
            <v>1.661764705882353</v>
          </cell>
          <cell r="EB251" t="str">
            <v>CASH FLOW/NINC</v>
          </cell>
          <cell r="EG251">
            <v>0.64909506861603083</v>
          </cell>
          <cell r="EH251">
            <v>1.1580397476958364</v>
          </cell>
        </row>
        <row r="252">
          <cell r="DA252" t="str">
            <v>Cash at End of Period</v>
          </cell>
          <cell r="DB252">
            <v>850.13521000000014</v>
          </cell>
          <cell r="DC252">
            <v>1075.1352100000001</v>
          </cell>
          <cell r="DD252">
            <v>658.13521000000014</v>
          </cell>
          <cell r="DE252">
            <v>427.78298327935238</v>
          </cell>
        </row>
        <row r="253">
          <cell r="CQ253" t="str">
            <v>Debt</v>
          </cell>
          <cell r="CR253">
            <v>2016</v>
          </cell>
          <cell r="CS253">
            <v>1948</v>
          </cell>
          <cell r="CT253">
            <v>2021</v>
          </cell>
          <cell r="CU253">
            <v>1471</v>
          </cell>
          <cell r="CV253">
            <v>3100</v>
          </cell>
          <cell r="CW253">
            <v>3084</v>
          </cell>
          <cell r="CX253">
            <v>4544</v>
          </cell>
          <cell r="CY253">
            <v>4043</v>
          </cell>
          <cell r="DA253" t="str">
            <v>Ending Marketable Securities</v>
          </cell>
          <cell r="DB253">
            <v>0</v>
          </cell>
          <cell r="DC253">
            <v>0</v>
          </cell>
          <cell r="DD253">
            <v>0</v>
          </cell>
          <cell r="DE253">
            <v>0</v>
          </cell>
          <cell r="DG253" t="str">
            <v>Cash at Beginning of Period</v>
          </cell>
          <cell r="DH253">
            <v>976</v>
          </cell>
          <cell r="DI253">
            <v>1528</v>
          </cell>
          <cell r="DJ253">
            <v>1443</v>
          </cell>
          <cell r="DK253">
            <v>1731</v>
          </cell>
          <cell r="DL253">
            <v>2331</v>
          </cell>
          <cell r="DM253">
            <v>2599</v>
          </cell>
          <cell r="DN253">
            <v>1399</v>
          </cell>
          <cell r="DO253">
            <v>963</v>
          </cell>
          <cell r="EB253" t="str">
            <v>Cash at Beginning of Period</v>
          </cell>
          <cell r="EC253">
            <v>624</v>
          </cell>
          <cell r="ED253">
            <v>1058.95</v>
          </cell>
          <cell r="EE253">
            <v>1094.7455</v>
          </cell>
          <cell r="EF253">
            <v>784</v>
          </cell>
          <cell r="EG253">
            <v>669.47499999999991</v>
          </cell>
          <cell r="EH253">
            <v>117.33579999999984</v>
          </cell>
        </row>
        <row r="254">
          <cell r="CQ254" t="str">
            <v>Net Cash (Debt)</v>
          </cell>
          <cell r="CR254">
            <v>-1638.13</v>
          </cell>
          <cell r="CS254">
            <v>-1561.8899999999999</v>
          </cell>
          <cell r="CT254">
            <v>-1532.39429</v>
          </cell>
          <cell r="CU254">
            <v>-1151.53729</v>
          </cell>
          <cell r="CV254">
            <v>-2364.56729</v>
          </cell>
          <cell r="CW254">
            <v>-2286.7072899999998</v>
          </cell>
          <cell r="CX254">
            <v>-3866.86229</v>
          </cell>
          <cell r="CY254">
            <v>-3197.86229</v>
          </cell>
          <cell r="DA254" t="str">
            <v>Ending Cash &amp; Marketable Securities</v>
          </cell>
          <cell r="DB254">
            <v>850.13521000000014</v>
          </cell>
          <cell r="DC254">
            <v>1075.1352100000001</v>
          </cell>
          <cell r="DD254">
            <v>658.13521000000014</v>
          </cell>
          <cell r="DE254">
            <v>427.78298327935238</v>
          </cell>
          <cell r="DG254" t="str">
            <v>Cash at End of Period</v>
          </cell>
          <cell r="DH254">
            <v>1528</v>
          </cell>
          <cell r="DI254">
            <v>1443</v>
          </cell>
          <cell r="DJ254">
            <v>1731</v>
          </cell>
          <cell r="DK254">
            <v>2299</v>
          </cell>
          <cell r="DL254">
            <v>2599</v>
          </cell>
          <cell r="DM254">
            <v>1399</v>
          </cell>
          <cell r="DN254">
            <v>963</v>
          </cell>
          <cell r="DO254">
            <v>1604</v>
          </cell>
          <cell r="EB254" t="str">
            <v>Cash at End of Period</v>
          </cell>
          <cell r="EC254">
            <v>1058.95</v>
          </cell>
          <cell r="ED254">
            <v>1094.7455</v>
          </cell>
          <cell r="EE254">
            <v>893.68549999999993</v>
          </cell>
          <cell r="EF254">
            <v>669.47499999999991</v>
          </cell>
          <cell r="EG254">
            <v>117.33579999999984</v>
          </cell>
          <cell r="EH254">
            <v>176.34579999999983</v>
          </cell>
        </row>
        <row r="255">
          <cell r="CQ255" t="str">
            <v>Net Cash (Debt) per Share</v>
          </cell>
          <cell r="CR255">
            <v>-8.0815490873211644</v>
          </cell>
          <cell r="CS255">
            <v>-7.6638370951913632</v>
          </cell>
          <cell r="CT255">
            <v>-7.5450235844411617</v>
          </cell>
          <cell r="CU255">
            <v>-5.6950409990108808</v>
          </cell>
          <cell r="CV255">
            <v>-11.840597346019029</v>
          </cell>
          <cell r="CW255">
            <v>-11.514135397784491</v>
          </cell>
          <cell r="CX255">
            <v>-19.429320828853093</v>
          </cell>
          <cell r="CY255">
            <v>-16.02508071215599</v>
          </cell>
          <cell r="DG255" t="str">
            <v>Ending Marketable Securities</v>
          </cell>
          <cell r="DH255">
            <v>0</v>
          </cell>
          <cell r="DI255">
            <v>0</v>
          </cell>
          <cell r="DJ255">
            <v>0</v>
          </cell>
          <cell r="DK255">
            <v>0</v>
          </cell>
          <cell r="DL255">
            <v>0</v>
          </cell>
          <cell r="DM255">
            <v>0</v>
          </cell>
          <cell r="DN255">
            <v>0</v>
          </cell>
          <cell r="DO255">
            <v>0</v>
          </cell>
          <cell r="EB255" t="str">
            <v>Ending Marketable Securities</v>
          </cell>
          <cell r="EF255">
            <v>105</v>
          </cell>
          <cell r="EG255">
            <v>93</v>
          </cell>
          <cell r="EH255">
            <v>0</v>
          </cell>
        </row>
        <row r="256">
          <cell r="CQ256" t="str">
            <v>Avg Net Cash (Debt)</v>
          </cell>
          <cell r="CR256">
            <v>-819.06500000000005</v>
          </cell>
          <cell r="CS256">
            <v>-1600.01</v>
          </cell>
          <cell r="CT256">
            <v>-1547.1421449999998</v>
          </cell>
          <cell r="CU256">
            <v>-1341.96579</v>
          </cell>
          <cell r="CV256">
            <v>-1758.0522900000001</v>
          </cell>
          <cell r="CW256">
            <v>-2325.6372899999997</v>
          </cell>
          <cell r="CX256">
            <v>-3076.7847899999997</v>
          </cell>
          <cell r="CY256">
            <v>-3532.36229</v>
          </cell>
          <cell r="DA256" t="str">
            <v>FCF (OpCash -Capex)</v>
          </cell>
          <cell r="DB256">
            <v>271.9975</v>
          </cell>
          <cell r="DC256">
            <v>290</v>
          </cell>
          <cell r="DD256">
            <v>247.00000000000006</v>
          </cell>
          <cell r="DE256">
            <v>725.00250000000005</v>
          </cell>
          <cell r="DG256" t="str">
            <v>Ending Cash &amp; Marketable Securities</v>
          </cell>
          <cell r="DH256">
            <v>1528</v>
          </cell>
          <cell r="DI256">
            <v>1443</v>
          </cell>
          <cell r="DJ256">
            <v>1731</v>
          </cell>
          <cell r="DK256">
            <v>2299</v>
          </cell>
          <cell r="DL256">
            <v>2599</v>
          </cell>
          <cell r="DM256">
            <v>1399</v>
          </cell>
          <cell r="DN256">
            <v>963</v>
          </cell>
          <cell r="DO256">
            <v>1604</v>
          </cell>
          <cell r="EB256" t="str">
            <v>Ending Cash &amp; Marketable Securities</v>
          </cell>
          <cell r="EF256">
            <v>774.47499999999991</v>
          </cell>
          <cell r="EG256">
            <v>210.33579999999984</v>
          </cell>
          <cell r="EH256">
            <v>176.34579999999983</v>
          </cell>
        </row>
        <row r="257">
          <cell r="DA257" t="str">
            <v>FCF/NINC</v>
          </cell>
          <cell r="DB257">
            <v>1.0264153435409769</v>
          </cell>
          <cell r="DC257">
            <v>1</v>
          </cell>
          <cell r="DD257">
            <v>0.77187500000000009</v>
          </cell>
          <cell r="DE257">
            <v>2.2610557765151515</v>
          </cell>
        </row>
        <row r="258">
          <cell r="CQ258" t="str">
            <v>DO NOT PUBLISH:</v>
          </cell>
          <cell r="DG258" t="str">
            <v>Debt</v>
          </cell>
          <cell r="DH258">
            <v>3297</v>
          </cell>
          <cell r="DI258">
            <v>3298</v>
          </cell>
          <cell r="DJ258">
            <v>3297</v>
          </cell>
          <cell r="DK258">
            <v>3287</v>
          </cell>
          <cell r="DL258">
            <v>3285</v>
          </cell>
          <cell r="DM258">
            <v>3649</v>
          </cell>
          <cell r="DN258">
            <v>3107</v>
          </cell>
          <cell r="DO258">
            <v>2781</v>
          </cell>
          <cell r="EB258" t="str">
            <v>Debt</v>
          </cell>
          <cell r="EC258">
            <v>39</v>
          </cell>
          <cell r="ED258">
            <v>38</v>
          </cell>
          <cell r="EE258">
            <v>38</v>
          </cell>
          <cell r="EF258">
            <v>645</v>
          </cell>
          <cell r="EG258">
            <v>530</v>
          </cell>
          <cell r="EH258">
            <v>1022</v>
          </cell>
        </row>
        <row r="259">
          <cell r="CQ259" t="str">
            <v>Int. rate assump</v>
          </cell>
          <cell r="CR259">
            <v>0.04</v>
          </cell>
          <cell r="CS259">
            <v>0.04</v>
          </cell>
          <cell r="CT259">
            <v>0.04</v>
          </cell>
          <cell r="CU259">
            <v>0.04</v>
          </cell>
          <cell r="CV259">
            <v>0.04</v>
          </cell>
          <cell r="CW259">
            <v>0.04</v>
          </cell>
          <cell r="CX259">
            <v>4.2999999999999997E-2</v>
          </cell>
          <cell r="CY259">
            <v>4.8000000000000001E-2</v>
          </cell>
          <cell r="DA259" t="str">
            <v>Debt</v>
          </cell>
          <cell r="DB259">
            <v>3858</v>
          </cell>
          <cell r="DC259">
            <v>3816</v>
          </cell>
          <cell r="DD259">
            <v>3687</v>
          </cell>
          <cell r="DE259">
            <v>3297</v>
          </cell>
          <cell r="DG259" t="str">
            <v>Net Cash (Debt)</v>
          </cell>
          <cell r="DH259">
            <v>-1769</v>
          </cell>
          <cell r="DI259">
            <v>-1855</v>
          </cell>
          <cell r="DJ259">
            <v>-1566</v>
          </cell>
          <cell r="DK259">
            <v>-988</v>
          </cell>
          <cell r="DL259">
            <v>-686</v>
          </cell>
          <cell r="DM259">
            <v>-2250</v>
          </cell>
          <cell r="DN259">
            <v>-2144</v>
          </cell>
          <cell r="DO259">
            <v>-1177</v>
          </cell>
          <cell r="EB259" t="str">
            <v>Net Cash (Debt)</v>
          </cell>
          <cell r="EC259">
            <v>1019.95</v>
          </cell>
          <cell r="ED259">
            <v>1056.7455</v>
          </cell>
          <cell r="EE259">
            <v>855.68549999999993</v>
          </cell>
          <cell r="EF259">
            <v>129.47499999999991</v>
          </cell>
          <cell r="EG259">
            <v>-319.66420000000016</v>
          </cell>
          <cell r="EH259">
            <v>-845.65420000000017</v>
          </cell>
        </row>
        <row r="260">
          <cell r="CQ260" t="str">
            <v>Int. income est. ($ X int. rate)</v>
          </cell>
          <cell r="CR260">
            <v>-8.1906500000000015</v>
          </cell>
          <cell r="CS260">
            <v>-12.095374999999999</v>
          </cell>
          <cell r="CT260">
            <v>-15.735760725</v>
          </cell>
          <cell r="CU260">
            <v>-14.445539675000001</v>
          </cell>
          <cell r="CV260">
            <v>-15.500090399999999</v>
          </cell>
          <cell r="CW260">
            <v>-20.4184479</v>
          </cell>
          <cell r="CX260">
            <v>-29.038018679999993</v>
          </cell>
          <cell r="CY260">
            <v>-39.654882479999998</v>
          </cell>
          <cell r="DA260" t="str">
            <v>Net Cash (Debt)</v>
          </cell>
          <cell r="DB260">
            <v>-3007.8647899999996</v>
          </cell>
          <cell r="DC260">
            <v>-2740.8647899999996</v>
          </cell>
          <cell r="DD260">
            <v>-3028.8647899999996</v>
          </cell>
          <cell r="DE260">
            <v>-2869.2170167206477</v>
          </cell>
          <cell r="DG260" t="str">
            <v>Net Cash (Debt) per Share</v>
          </cell>
          <cell r="DH260">
            <v>-4.3781975877749915</v>
          </cell>
          <cell r="DI260">
            <v>-4.5870700500295287</v>
          </cell>
          <cell r="DJ260">
            <v>-3.8608825307851267</v>
          </cell>
          <cell r="DK260">
            <v>-2.4376859016154611</v>
          </cell>
          <cell r="DL260">
            <v>-1.695920889987639</v>
          </cell>
          <cell r="DM260">
            <v>-5.5288313825335065</v>
          </cell>
          <cell r="DN260">
            <v>-5.2655223515934813</v>
          </cell>
          <cell r="DO260">
            <v>-2.8798629801810618</v>
          </cell>
          <cell r="EB260" t="str">
            <v>Net Cash (Debt) per Share</v>
          </cell>
          <cell r="EG260">
            <v>-0.79046538081107864</v>
          </cell>
          <cell r="EH260">
            <v>-2.0921677387431967</v>
          </cell>
        </row>
        <row r="261">
          <cell r="CQ261" t="str">
            <v>Int. inc actual/per P&amp;L</v>
          </cell>
          <cell r="CR261">
            <v>-12</v>
          </cell>
          <cell r="CS261">
            <v>-11</v>
          </cell>
          <cell r="CT261">
            <v>-11</v>
          </cell>
          <cell r="CU261">
            <v>-11</v>
          </cell>
          <cell r="CV261">
            <v>-11</v>
          </cell>
          <cell r="CW261">
            <v>-19</v>
          </cell>
          <cell r="CX261">
            <v>-29</v>
          </cell>
          <cell r="CY261">
            <v>-39</v>
          </cell>
          <cell r="DA261" t="str">
            <v>Net Cash (Debt) per Share</v>
          </cell>
          <cell r="DB261">
            <v>-7.5082800981164635</v>
          </cell>
          <cell r="DC261">
            <v>-6.8180716169154216</v>
          </cell>
          <cell r="DD261">
            <v>-7.5026752727209196</v>
          </cell>
          <cell r="DE261">
            <v>-7.0817691250248904</v>
          </cell>
          <cell r="DG261" t="str">
            <v>Avg Net Cash (Debt)</v>
          </cell>
          <cell r="DH261">
            <v>-2319.1085083603239</v>
          </cell>
          <cell r="DI261">
            <v>-1812</v>
          </cell>
          <cell r="DJ261">
            <v>-1710.5</v>
          </cell>
          <cell r="DK261">
            <v>-1277</v>
          </cell>
          <cell r="DL261">
            <v>-343</v>
          </cell>
          <cell r="DM261">
            <v>-1468</v>
          </cell>
          <cell r="DN261">
            <v>-2197</v>
          </cell>
          <cell r="DO261">
            <v>-1660.5</v>
          </cell>
          <cell r="EB261" t="str">
            <v>Avg Net Cash (Debt)</v>
          </cell>
          <cell r="EF261">
            <v>492.58024999999992</v>
          </cell>
          <cell r="EG261">
            <v>-95.094600000000128</v>
          </cell>
          <cell r="EH261">
            <v>-582.65920000000017</v>
          </cell>
        </row>
        <row r="262">
          <cell r="CQ262" t="str">
            <v>Equity</v>
          </cell>
          <cell r="CR262">
            <v>4741</v>
          </cell>
          <cell r="CS262">
            <v>4989</v>
          </cell>
          <cell r="CT262">
            <v>5121</v>
          </cell>
          <cell r="CU262">
            <v>5199</v>
          </cell>
          <cell r="CV262">
            <v>5108</v>
          </cell>
          <cell r="CW262">
            <v>5407</v>
          </cell>
          <cell r="CX262">
            <v>5586</v>
          </cell>
          <cell r="CY262">
            <v>5921</v>
          </cell>
          <cell r="DA262" t="str">
            <v>Avg Net Cash (Debt)</v>
          </cell>
          <cell r="DB262">
            <v>-3102.8635399999998</v>
          </cell>
          <cell r="DC262">
            <v>-2874.3647899999996</v>
          </cell>
          <cell r="DD262">
            <v>-2884.8647899999996</v>
          </cell>
          <cell r="DE262">
            <v>-2949.0409033603237</v>
          </cell>
        </row>
        <row r="263">
          <cell r="CQ263" t="str">
            <v>Shares out</v>
          </cell>
          <cell r="CR263">
            <v>202.7</v>
          </cell>
          <cell r="CS263">
            <v>203.8</v>
          </cell>
          <cell r="CT263">
            <v>203.1</v>
          </cell>
          <cell r="CU263">
            <v>202.2</v>
          </cell>
          <cell r="CV263">
            <v>199.7</v>
          </cell>
          <cell r="CW263">
            <v>198.6</v>
          </cell>
          <cell r="CX263">
            <v>199.02199999999999</v>
          </cell>
          <cell r="CY263">
            <v>199.553584</v>
          </cell>
          <cell r="DG263" t="str">
            <v>DO NOT PUBLISH:</v>
          </cell>
          <cell r="EB263" t="str">
            <v>DO NOT PUBLISH:</v>
          </cell>
        </row>
        <row r="264">
          <cell r="CQ264" t="str">
            <v>Book Value per Share</v>
          </cell>
          <cell r="CR264">
            <v>23.389245189935867</v>
          </cell>
          <cell r="CS264">
            <v>24.479882237487733</v>
          </cell>
          <cell r="CT264">
            <v>25.214180206794683</v>
          </cell>
          <cell r="CU264">
            <v>25.712166172106826</v>
          </cell>
          <cell r="CV264">
            <v>25.578367551326991</v>
          </cell>
          <cell r="CW264">
            <v>27.225579053373615</v>
          </cell>
          <cell r="CX264">
            <v>28.067248846861151</v>
          </cell>
          <cell r="CY264">
            <v>29.671228555834908</v>
          </cell>
          <cell r="DA264" t="str">
            <v>DO NOT PUBLISH:</v>
          </cell>
          <cell r="DG264" t="str">
            <v>Int. rate assump</v>
          </cell>
          <cell r="DH264">
            <v>4.8000000000000001E-2</v>
          </cell>
          <cell r="DI264">
            <v>4.8000000000000001E-2</v>
          </cell>
          <cell r="DJ264">
            <v>4.8000000000000001E-2</v>
          </cell>
          <cell r="DK264">
            <v>4.8000000000000001E-2</v>
          </cell>
          <cell r="DL264">
            <v>4.8000000000000001E-2</v>
          </cell>
          <cell r="DM264">
            <v>4.8000000000000001E-2</v>
          </cell>
          <cell r="DN264">
            <v>4.8000000000000001E-2</v>
          </cell>
          <cell r="DO264">
            <v>4.8000000000000001E-2</v>
          </cell>
          <cell r="EB264" t="str">
            <v>Int. rate assump</v>
          </cell>
          <cell r="EF264">
            <v>5.1999999999999998E-2</v>
          </cell>
          <cell r="EG264">
            <v>0.04</v>
          </cell>
          <cell r="EH264">
            <v>7.0000000000000007E-2</v>
          </cell>
        </row>
        <row r="265">
          <cell r="CQ265" t="str">
            <v>Net debt/cap</v>
          </cell>
          <cell r="CR265">
            <v>0.25679520561581282</v>
          </cell>
          <cell r="CS265">
            <v>0.23842409199360698</v>
          </cell>
          <cell r="CT265">
            <v>0.23031767293622996</v>
          </cell>
          <cell r="CU265">
            <v>0.1813291123907407</v>
          </cell>
          <cell r="CV265">
            <v>0.31643305416122924</v>
          </cell>
          <cell r="CW265">
            <v>0.29721786959222873</v>
          </cell>
          <cell r="CX265">
            <v>0.40906787503830228</v>
          </cell>
          <cell r="CY265">
            <v>0.35068654271781963</v>
          </cell>
          <cell r="DA265" t="str">
            <v>Int. rate assump</v>
          </cell>
          <cell r="DB265">
            <v>4.8000000000000001E-2</v>
          </cell>
          <cell r="DC265">
            <v>4.8000000000000001E-2</v>
          </cell>
          <cell r="DD265">
            <v>4.8000000000000001E-2</v>
          </cell>
          <cell r="DE265">
            <v>4.8000000000000001E-2</v>
          </cell>
          <cell r="DG265" t="str">
            <v>Int. income est. ($ X int. rate)</v>
          </cell>
          <cell r="DH265">
            <v>-31.608896470323884</v>
          </cell>
          <cell r="DI265">
            <v>-24.786651050161943</v>
          </cell>
          <cell r="DJ265">
            <v>-21.135000000000002</v>
          </cell>
          <cell r="DK265">
            <v>-17.925000000000001</v>
          </cell>
          <cell r="DL265">
            <v>-9.7200000000000006</v>
          </cell>
          <cell r="DM265">
            <v>-17.616</v>
          </cell>
          <cell r="DN265">
            <v>-26.364000000000001</v>
          </cell>
          <cell r="DO265">
            <v>-19.926000000000002</v>
          </cell>
          <cell r="EB265" t="str">
            <v>Int. income est. ($ X int. rate)</v>
          </cell>
          <cell r="EF265">
            <v>25.614172999999994</v>
          </cell>
          <cell r="EG265">
            <v>-3.8037840000000052</v>
          </cell>
          <cell r="EH265">
            <v>-40.786144000000014</v>
          </cell>
        </row>
        <row r="266">
          <cell r="CQ266" t="str">
            <v xml:space="preserve">   vs. peer avg (need to update)</v>
          </cell>
          <cell r="DA266" t="str">
            <v>Int. income est. ($ X int. rate)</v>
          </cell>
          <cell r="DB266">
            <v>-39.811354979999997</v>
          </cell>
          <cell r="DC266">
            <v>-35.863369980000002</v>
          </cell>
          <cell r="DD266">
            <v>-34.555377479999997</v>
          </cell>
          <cell r="DE266">
            <v>-35.003434160161937</v>
          </cell>
          <cell r="DG266" t="str">
            <v>Int. inc actual/per P&amp;L</v>
          </cell>
          <cell r="DH266">
            <v>-34</v>
          </cell>
          <cell r="DI266">
            <v>-29</v>
          </cell>
          <cell r="DJ266">
            <v>-30</v>
          </cell>
          <cell r="DK266">
            <v>-25</v>
          </cell>
          <cell r="DL266">
            <v>-17</v>
          </cell>
          <cell r="DM266">
            <v>-23</v>
          </cell>
          <cell r="DN266">
            <v>-34</v>
          </cell>
          <cell r="DO266">
            <v>-27</v>
          </cell>
          <cell r="EB266" t="str">
            <v>Int. inc actual/per P&amp;L</v>
          </cell>
          <cell r="EF266">
            <v>16</v>
          </cell>
          <cell r="EG266">
            <v>-17</v>
          </cell>
          <cell r="EH266">
            <v>-34</v>
          </cell>
        </row>
        <row r="267">
          <cell r="DA267" t="str">
            <v>Int. inc actual/per P&amp;L</v>
          </cell>
          <cell r="DB267">
            <v>-39</v>
          </cell>
          <cell r="DC267">
            <v>-39</v>
          </cell>
          <cell r="DD267">
            <v>-33</v>
          </cell>
          <cell r="DE267">
            <v>-37</v>
          </cell>
          <cell r="DG267" t="str">
            <v>Equity</v>
          </cell>
          <cell r="DH267">
            <v>7396</v>
          </cell>
          <cell r="DI267">
            <v>7576</v>
          </cell>
          <cell r="DJ267">
            <v>7973</v>
          </cell>
          <cell r="DK267">
            <v>8145</v>
          </cell>
          <cell r="DL267">
            <v>8467</v>
          </cell>
          <cell r="DM267">
            <v>9081</v>
          </cell>
          <cell r="DN267">
            <v>9472</v>
          </cell>
          <cell r="DO267">
            <v>9827</v>
          </cell>
          <cell r="EB267" t="str">
            <v>Equity</v>
          </cell>
          <cell r="EC267">
            <v>1316</v>
          </cell>
          <cell r="ED267">
            <v>1567</v>
          </cell>
          <cell r="EE267">
            <v>1714</v>
          </cell>
          <cell r="EF267">
            <v>2008</v>
          </cell>
          <cell r="EG267">
            <v>2415</v>
          </cell>
          <cell r="EH267">
            <v>3171</v>
          </cell>
        </row>
        <row r="268">
          <cell r="CQ268" t="str">
            <v>Cash EPS ((NI+Dep+Amort)/Shares)</v>
          </cell>
          <cell r="CR268">
            <v>1.4004440059200791</v>
          </cell>
          <cell r="CS268">
            <v>1.6253189401373895</v>
          </cell>
          <cell r="CT268">
            <v>1.6567981782373218</v>
          </cell>
          <cell r="CU268">
            <v>1.4978090999010882</v>
          </cell>
          <cell r="CV268">
            <v>1.3769153730595896</v>
          </cell>
          <cell r="CW268">
            <v>1.4897280966767372</v>
          </cell>
          <cell r="CX268">
            <v>1.6523047703268987</v>
          </cell>
          <cell r="CY268">
            <v>1.7639372490548704</v>
          </cell>
          <cell r="DA268" t="str">
            <v>Equity</v>
          </cell>
          <cell r="DB268">
            <v>6217</v>
          </cell>
          <cell r="DC268">
            <v>6458</v>
          </cell>
          <cell r="DD268">
            <v>6777</v>
          </cell>
          <cell r="DE268">
            <v>7189</v>
          </cell>
          <cell r="DG268" t="str">
            <v>Shares out</v>
          </cell>
          <cell r="DH268">
            <v>404.04754800000001</v>
          </cell>
          <cell r="DI268">
            <v>404.39757400000002</v>
          </cell>
          <cell r="DJ268">
            <v>405.60674599999999</v>
          </cell>
          <cell r="DK268">
            <v>405.30242199999998</v>
          </cell>
          <cell r="DL268">
            <v>404.5</v>
          </cell>
          <cell r="DM268">
            <v>406.95760899999999</v>
          </cell>
          <cell r="DN268">
            <v>407.177077</v>
          </cell>
          <cell r="DO268">
            <v>408.7</v>
          </cell>
          <cell r="EB268" t="str">
            <v>Shares out</v>
          </cell>
          <cell r="EC268">
            <v>253.6</v>
          </cell>
          <cell r="ED268">
            <v>252</v>
          </cell>
          <cell r="EE268">
            <v>254</v>
          </cell>
          <cell r="EF268">
            <v>409.4</v>
          </cell>
          <cell r="EG268">
            <v>404.4</v>
          </cell>
          <cell r="EH268">
            <v>404.2</v>
          </cell>
        </row>
        <row r="269">
          <cell r="CQ269" t="str">
            <v>Dividends Per Share</v>
          </cell>
          <cell r="CR269">
            <v>0.27627035027133695</v>
          </cell>
          <cell r="CS269">
            <v>0.29440628066732089</v>
          </cell>
          <cell r="CT269">
            <v>0.29542097488921715</v>
          </cell>
          <cell r="CU269">
            <v>0.29673590504451042</v>
          </cell>
          <cell r="CV269">
            <v>0.30045067601402103</v>
          </cell>
          <cell r="CW269">
            <v>0.31722054380664655</v>
          </cell>
          <cell r="CX269">
            <v>0.31654791932550169</v>
          </cell>
          <cell r="CY269">
            <v>0.31570467809788871</v>
          </cell>
          <cell r="DA269" t="str">
            <v>Shares out</v>
          </cell>
          <cell r="DB269">
            <v>400.60636399999999</v>
          </cell>
          <cell r="DC269">
            <v>402</v>
          </cell>
          <cell r="DD269">
            <v>403.70463599999999</v>
          </cell>
          <cell r="DE269">
            <v>405.15540199999998</v>
          </cell>
          <cell r="DG269" t="str">
            <v>Book Value per Share</v>
          </cell>
          <cell r="DH269">
            <v>18.304776347757961</v>
          </cell>
          <cell r="DI269">
            <v>18.73403919084836</v>
          </cell>
          <cell r="DJ269">
            <v>19.65697089268826</v>
          </cell>
          <cell r="DK269">
            <v>20.096104927791426</v>
          </cell>
          <cell r="DL269">
            <v>20.932014833127319</v>
          </cell>
          <cell r="DM269">
            <v>22.314363459905231</v>
          </cell>
          <cell r="DN269">
            <v>23.262606210024931</v>
          </cell>
          <cell r="DO269">
            <v>24.044531441154881</v>
          </cell>
          <cell r="EB269" t="str">
            <v>Book Value per Share</v>
          </cell>
          <cell r="EG269">
            <v>5.9718100890207717</v>
          </cell>
          <cell r="EH269">
            <v>7.8451261751608117</v>
          </cell>
        </row>
        <row r="270">
          <cell r="CQ270" t="str">
            <v>Return on Average Equity</v>
          </cell>
          <cell r="CR270">
            <v>0.19562961400548409</v>
          </cell>
          <cell r="CS270">
            <v>0.21827219883744239</v>
          </cell>
          <cell r="CT270">
            <v>0.2175322866627612</v>
          </cell>
          <cell r="CU270">
            <v>0.19915906905174074</v>
          </cell>
          <cell r="CV270">
            <v>0.17068911511354737</v>
          </cell>
          <cell r="CW270">
            <v>0.17744405400406879</v>
          </cell>
          <cell r="CX270">
            <v>0.17819190834228429</v>
          </cell>
          <cell r="CY270">
            <v>0.18577942915048135</v>
          </cell>
          <cell r="DA270" t="str">
            <v>Book Value per Share</v>
          </cell>
          <cell r="DB270">
            <v>15.518974631166868</v>
          </cell>
          <cell r="DC270">
            <v>16.064676616915424</v>
          </cell>
          <cell r="DD270">
            <v>16.78702545293535</v>
          </cell>
          <cell r="DE270">
            <v>17.743808831160543</v>
          </cell>
          <cell r="DG270" t="str">
            <v>Net debt/cap</v>
          </cell>
          <cell r="DH270">
            <v>0.19301691216584835</v>
          </cell>
          <cell r="DI270">
            <v>0.1966917612130209</v>
          </cell>
          <cell r="DJ270">
            <v>0.16416815179788238</v>
          </cell>
          <cell r="DK270">
            <v>0.1081791306252053</v>
          </cell>
          <cell r="DL270">
            <v>7.4948104446629527E-2</v>
          </cell>
          <cell r="DM270">
            <v>0.19857029388403494</v>
          </cell>
          <cell r="DN270">
            <v>0.18457300275482094</v>
          </cell>
          <cell r="DO270">
            <v>0.1069611050527081</v>
          </cell>
          <cell r="EB270" t="str">
            <v>Net debt/cap</v>
          </cell>
          <cell r="EC270">
            <v>-3.4451950684006087</v>
          </cell>
          <cell r="ED270">
            <v>-2.0710165221472812</v>
          </cell>
          <cell r="EE270">
            <v>-0.99693702017151042</v>
          </cell>
          <cell r="EF270">
            <v>-6.8923756670792188E-2</v>
          </cell>
          <cell r="EG270">
            <v>0.11689340139092769</v>
          </cell>
          <cell r="EH270">
            <v>0.21053696880353809</v>
          </cell>
        </row>
        <row r="271">
          <cell r="CQ271" t="str">
            <v>ROA</v>
          </cell>
          <cell r="CR271">
            <v>0.1304463102076889</v>
          </cell>
          <cell r="CS271">
            <v>0.1430382957139234</v>
          </cell>
          <cell r="CT271">
            <v>0.14028122415219191</v>
          </cell>
          <cell r="CU271">
            <v>0.11968289148410195</v>
          </cell>
          <cell r="CV271">
            <v>9.1658760855287166E-2</v>
          </cell>
          <cell r="CW271">
            <v>0.10719645537054241</v>
          </cell>
          <cell r="CX271">
            <v>8.7909319899244331E-2</v>
          </cell>
          <cell r="CY271">
            <v>0.10059939442624977</v>
          </cell>
          <cell r="DA271" t="str">
            <v>Net debt/cap</v>
          </cell>
          <cell r="DB271">
            <v>0.32606058283484063</v>
          </cell>
          <cell r="DC271">
            <v>0.29795685147797457</v>
          </cell>
          <cell r="DD271">
            <v>0.30888298532209313</v>
          </cell>
          <cell r="DE271">
            <v>0.28526099724741466</v>
          </cell>
          <cell r="DG271" t="str">
            <v xml:space="preserve">   vs. peer avg (need to update)</v>
          </cell>
          <cell r="EB271" t="str">
            <v xml:space="preserve">   vs. peer avg (need to update)</v>
          </cell>
          <cell r="EG271">
            <v>0.52333333333333332</v>
          </cell>
          <cell r="EH271">
            <v>0.47</v>
          </cell>
        </row>
        <row r="272">
          <cell r="CQ272" t="str">
            <v>Asset Turnover</v>
          </cell>
          <cell r="CR272">
            <v>1.0965974370304905</v>
          </cell>
          <cell r="CS272">
            <v>1.1855609096288782</v>
          </cell>
          <cell r="CT272">
            <v>1.0865177832919768</v>
          </cell>
          <cell r="CU272">
            <v>1.2916204927116188</v>
          </cell>
          <cell r="CV272">
            <v>0.98868860833394145</v>
          </cell>
          <cell r="CW272">
            <v>1.1136997069963552</v>
          </cell>
          <cell r="CX272">
            <v>1.0969773299748111</v>
          </cell>
          <cell r="CY272">
            <v>1.1693752703454241</v>
          </cell>
          <cell r="DA272" t="str">
            <v xml:space="preserve">   vs. peer avg (need to update)</v>
          </cell>
        </row>
        <row r="273">
          <cell r="CQ273" t="str">
            <v>Asset Leverage</v>
          </cell>
          <cell r="CR273">
            <v>2.3866272938198692</v>
          </cell>
          <cell r="CS273">
            <v>2.3710162357185807</v>
          </cell>
          <cell r="CT273">
            <v>2.3608670181605156</v>
          </cell>
          <cell r="CU273">
            <v>2.2563954606655128</v>
          </cell>
          <cell r="CV273">
            <v>2.68265465935787</v>
          </cell>
          <cell r="CW273">
            <v>2.5879415572406139</v>
          </cell>
          <cell r="CX273">
            <v>2.8428213390619406</v>
          </cell>
          <cell r="CY273">
            <v>2.7331531835838541</v>
          </cell>
          <cell r="DG273" t="str">
            <v>Cash EPS ((NI+Dep+Amort)/Shares)</v>
          </cell>
          <cell r="DH273">
            <v>1.0815558766860776</v>
          </cell>
          <cell r="DI273">
            <v>1.0311634559904657</v>
          </cell>
          <cell r="DJ273">
            <v>1.097121791953628</v>
          </cell>
          <cell r="DK273">
            <v>1.1867681363127902</v>
          </cell>
          <cell r="DL273">
            <v>1.127317676143387</v>
          </cell>
          <cell r="DM273">
            <v>1.7962558847253303</v>
          </cell>
          <cell r="DN273">
            <v>1.3139246539657241</v>
          </cell>
          <cell r="DO273">
            <v>1.2674333251773917</v>
          </cell>
          <cell r="EB273" t="str">
            <v>Cash EPS ((NI+Dep+Amort)/Shares)</v>
          </cell>
          <cell r="EF273">
            <v>1.6694553004396677</v>
          </cell>
          <cell r="EG273">
            <v>1.6242848664688427</v>
          </cell>
          <cell r="EH273">
            <v>2.2464374072241466</v>
          </cell>
        </row>
        <row r="274">
          <cell r="CQ274" t="str">
            <v>CF per share</v>
          </cell>
          <cell r="CR274">
            <v>-0.90345337937839176</v>
          </cell>
          <cell r="CS274">
            <v>1.5566241413150146</v>
          </cell>
          <cell r="CT274">
            <v>0.78038261939931086</v>
          </cell>
          <cell r="CU274">
            <v>1.6016666666666668</v>
          </cell>
          <cell r="CV274">
            <v>0.59574361542313492</v>
          </cell>
          <cell r="CW274">
            <v>0.77975830815709979</v>
          </cell>
          <cell r="CX274">
            <v>1.2051180271527773</v>
          </cell>
          <cell r="CY274">
            <v>3.6606709103255195</v>
          </cell>
          <cell r="DA274" t="str">
            <v>Cash EPS ((NI+Dep+Amort)/Shares)</v>
          </cell>
          <cell r="DB274">
            <v>0.85369961821175666</v>
          </cell>
          <cell r="DC274">
            <v>0.93532338308457708</v>
          </cell>
          <cell r="DD274">
            <v>1.0032086924064951</v>
          </cell>
          <cell r="DE274">
            <v>0.93457416934392068</v>
          </cell>
          <cell r="DG274" t="str">
            <v>Dividends Per Share</v>
          </cell>
          <cell r="DH274">
            <v>0.17819684924804938</v>
          </cell>
          <cell r="DI274">
            <v>0.19782512345140824</v>
          </cell>
          <cell r="DJ274">
            <v>0.19723537832874211</v>
          </cell>
          <cell r="DK274">
            <v>0.20231806066039251</v>
          </cell>
          <cell r="DL274">
            <v>0.19777503090234858</v>
          </cell>
          <cell r="DM274">
            <v>0.22852503047805159</v>
          </cell>
          <cell r="DN274">
            <v>0.22840185573609784</v>
          </cell>
          <cell r="DO274">
            <v>0.22755077073648153</v>
          </cell>
          <cell r="EB274" t="str">
            <v>Dividends Per Share</v>
          </cell>
          <cell r="EF274">
            <v>0.24914509037616026</v>
          </cell>
          <cell r="EG274">
            <v>0.26706231454005935</v>
          </cell>
          <cell r="EH274">
            <v>0.3364670954972786</v>
          </cell>
        </row>
        <row r="275">
          <cell r="DA275" t="str">
            <v>Dividends Per Share</v>
          </cell>
          <cell r="DB275">
            <v>0.15726160555951629</v>
          </cell>
          <cell r="DC275">
            <v>0.17661691542288557</v>
          </cell>
          <cell r="DD275">
            <v>0.17834821198337689</v>
          </cell>
          <cell r="DE275">
            <v>0.17770958907268872</v>
          </cell>
          <cell r="DG275" t="str">
            <v>Return on Average Equity</v>
          </cell>
          <cell r="DH275">
            <v>0.19091400757166035</v>
          </cell>
          <cell r="DI275">
            <v>0.17845828933474131</v>
          </cell>
          <cell r="DJ275">
            <v>0.18261633011413522</v>
          </cell>
          <cell r="DK275">
            <v>0.19545733578882751</v>
          </cell>
          <cell r="DL275">
            <v>0.17668595724577774</v>
          </cell>
          <cell r="DM275">
            <v>0.28014535844070038</v>
          </cell>
          <cell r="DN275">
            <v>0.18496621621621623</v>
          </cell>
          <cell r="DO275">
            <v>0.16607306400732674</v>
          </cell>
          <cell r="EB275" t="str">
            <v>Return on Average Equity</v>
          </cell>
          <cell r="EF275">
            <v>0.30063138097796877</v>
          </cell>
          <cell r="EG275">
            <v>0.22421921772552567</v>
          </cell>
          <cell r="EH275">
            <v>0.25600071607590402</v>
          </cell>
        </row>
        <row r="276">
          <cell r="CQ276" t="str">
            <v>Capital Deployment</v>
          </cell>
          <cell r="DA276" t="str">
            <v>Return on Average Equity</v>
          </cell>
          <cell r="DB276">
            <v>0.17049863278108413</v>
          </cell>
          <cell r="DC276">
            <v>0.17962217404769279</v>
          </cell>
          <cell r="DD276">
            <v>0.18887413309724069</v>
          </cell>
          <cell r="DE276">
            <v>0.17841022299588385</v>
          </cell>
          <cell r="DG276" t="str">
            <v>ROA</v>
          </cell>
          <cell r="DH276">
            <v>0.10276459089639765</v>
          </cell>
          <cell r="DI276">
            <v>0.12019847243128728</v>
          </cell>
          <cell r="DJ276">
            <v>0.12266666666666666</v>
          </cell>
          <cell r="DK276">
            <v>0.12426395939086295</v>
          </cell>
          <cell r="DL276">
            <v>0.1175020947311351</v>
          </cell>
          <cell r="DM276">
            <v>0.11945518129946622</v>
          </cell>
          <cell r="DN276">
            <v>0.12550400889836399</v>
          </cell>
          <cell r="DO276">
            <v>0.12567036110117982</v>
          </cell>
          <cell r="EB276" t="str">
            <v>ROA</v>
          </cell>
          <cell r="EF276">
            <v>0.12214615450055744</v>
          </cell>
          <cell r="EG276">
            <v>0.13355226046784294</v>
          </cell>
          <cell r="EH276">
            <v>0.16512279273775449</v>
          </cell>
        </row>
        <row r="277">
          <cell r="CQ277" t="str">
            <v xml:space="preserve">Cash Repo </v>
          </cell>
          <cell r="DA277" t="str">
            <v>ROA</v>
          </cell>
          <cell r="DB277">
            <v>0.10463162946964243</v>
          </cell>
          <cell r="DC277">
            <v>0.1159593544530783</v>
          </cell>
          <cell r="DD277">
            <v>0.11488494028546462</v>
          </cell>
          <cell r="DE277">
            <v>0.11787505699954401</v>
          </cell>
          <cell r="DG277" t="str">
            <v>Asset Turnover</v>
          </cell>
          <cell r="DH277">
            <v>1.066070929907847</v>
          </cell>
          <cell r="DI277">
            <v>1.1455650331716563</v>
          </cell>
          <cell r="DJ277">
            <v>1.1310933333333333</v>
          </cell>
          <cell r="DK277">
            <v>1.1703553299492386</v>
          </cell>
          <cell r="DL277">
            <v>1.0934003647296564</v>
          </cell>
          <cell r="DM277">
            <v>1.0922142462727775</v>
          </cell>
          <cell r="DN277">
            <v>1.1250868980859248</v>
          </cell>
          <cell r="DO277">
            <v>1.1644619234894529</v>
          </cell>
          <cell r="EB277" t="str">
            <v>Asset Turnover</v>
          </cell>
          <cell r="EF277">
            <v>1.0797934977769219</v>
          </cell>
          <cell r="EG277">
            <v>1.2894878044915385</v>
          </cell>
          <cell r="EH277">
            <v>1.2999429702438861</v>
          </cell>
        </row>
        <row r="278">
          <cell r="CQ278" t="str">
            <v>Number shares (MM)</v>
          </cell>
          <cell r="CR278">
            <v>0.13</v>
          </cell>
          <cell r="CS278">
            <v>0</v>
          </cell>
          <cell r="CT278">
            <v>0.87</v>
          </cell>
          <cell r="CU278">
            <v>0.30000000000000004</v>
          </cell>
          <cell r="CV278">
            <v>4.4000000000000004</v>
          </cell>
          <cell r="CW278">
            <v>0.438</v>
          </cell>
          <cell r="CX278">
            <v>0</v>
          </cell>
          <cell r="CY278">
            <v>0</v>
          </cell>
          <cell r="DA278" t="str">
            <v>Asset Turnover</v>
          </cell>
          <cell r="DB278">
            <v>1.1149508039356852</v>
          </cell>
          <cell r="DC278">
            <v>1.1122534369396293</v>
          </cell>
          <cell r="DD278">
            <v>1.0829012525487911</v>
          </cell>
          <cell r="DE278">
            <v>1.1224350205198359</v>
          </cell>
          <cell r="DG278" t="str">
            <v>Asset Leverage</v>
          </cell>
          <cell r="DH278">
            <v>2.4209031909140077</v>
          </cell>
          <cell r="DI278">
            <v>2.367608236536431</v>
          </cell>
          <cell r="DJ278">
            <v>2.3516869434340899</v>
          </cell>
          <cell r="DK278">
            <v>2.4186617556783303</v>
          </cell>
          <cell r="DL278">
            <v>2.3962442423526631</v>
          </cell>
          <cell r="DM278">
            <v>2.3931285100759827</v>
          </cell>
          <cell r="DN278">
            <v>2.2779771959459461</v>
          </cell>
          <cell r="DO278">
            <v>2.276991960923985</v>
          </cell>
          <cell r="EB278" t="str">
            <v>Asset Leverage</v>
          </cell>
          <cell r="EF278">
            <v>2.7806150398406375</v>
          </cell>
          <cell r="EG278">
            <v>2.5272612008281574</v>
          </cell>
          <cell r="EH278">
            <v>2.4225163386323492</v>
          </cell>
        </row>
        <row r="279">
          <cell r="CQ279" t="str">
            <v>Avg purchase price</v>
          </cell>
          <cell r="CR279">
            <v>76.92307692307692</v>
          </cell>
          <cell r="CS279" t="str">
            <v>NM</v>
          </cell>
          <cell r="CT279">
            <v>81.609195402298852</v>
          </cell>
          <cell r="CU279">
            <v>63.333333333333321</v>
          </cell>
          <cell r="CV279">
            <v>62.272727272727266</v>
          </cell>
          <cell r="CW279">
            <v>60</v>
          </cell>
          <cell r="CX279" t="str">
            <v>NM</v>
          </cell>
          <cell r="CY279" t="str">
            <v>NM</v>
          </cell>
          <cell r="DA279" t="str">
            <v>Asset Leverage</v>
          </cell>
          <cell r="DB279">
            <v>2.6810358693903811</v>
          </cell>
          <cell r="DC279">
            <v>2.5905853205326728</v>
          </cell>
          <cell r="DD279">
            <v>2.5328316364172938</v>
          </cell>
          <cell r="DE279">
            <v>2.4403950479899845</v>
          </cell>
          <cell r="DG279" t="str">
            <v>CF per share</v>
          </cell>
          <cell r="DH279">
            <v>0.8860343337611345</v>
          </cell>
          <cell r="DI279">
            <v>0.492089994585378</v>
          </cell>
          <cell r="DJ279">
            <v>1.4767998952364565</v>
          </cell>
          <cell r="DK279">
            <v>2.2205640804189422</v>
          </cell>
          <cell r="DL279">
            <v>1.1495673671199012</v>
          </cell>
          <cell r="DM279">
            <v>0.80598075265377334</v>
          </cell>
          <cell r="DN279">
            <v>1.3114687200330779</v>
          </cell>
          <cell r="DO279">
            <v>1.9598727673109861</v>
          </cell>
          <cell r="EB279" t="str">
            <v>CF per share</v>
          </cell>
          <cell r="EF279">
            <v>1.17605031753786</v>
          </cell>
          <cell r="EG279">
            <v>0.52883481701285839</v>
          </cell>
          <cell r="EH279">
            <v>1.7120484908461158</v>
          </cell>
        </row>
        <row r="280">
          <cell r="CQ280" t="str">
            <v>Subtotal Share repo</v>
          </cell>
          <cell r="CR280">
            <v>10</v>
          </cell>
          <cell r="CS280">
            <v>0</v>
          </cell>
          <cell r="CT280">
            <v>71</v>
          </cell>
          <cell r="CU280">
            <v>19</v>
          </cell>
          <cell r="CV280">
            <v>274</v>
          </cell>
          <cell r="CW280">
            <v>26.28</v>
          </cell>
          <cell r="CX280">
            <v>0</v>
          </cell>
          <cell r="CY280">
            <v>0</v>
          </cell>
          <cell r="DA280" t="str">
            <v>CF per share</v>
          </cell>
          <cell r="DB280">
            <v>0.52170289536388892</v>
          </cell>
          <cell r="DC280">
            <v>0.54477611940298509</v>
          </cell>
          <cell r="DD280">
            <v>0.43348523745959672</v>
          </cell>
          <cell r="DE280">
            <v>1.986022571357329</v>
          </cell>
        </row>
        <row r="281">
          <cell r="CQ281" t="str">
            <v>Net Acquisition spending</v>
          </cell>
          <cell r="CR281">
            <v>10</v>
          </cell>
          <cell r="CS281">
            <v>10</v>
          </cell>
          <cell r="CT281">
            <v>81</v>
          </cell>
          <cell r="CU281">
            <v>100</v>
          </cell>
          <cell r="CV281">
            <v>1075</v>
          </cell>
          <cell r="CW281">
            <v>53</v>
          </cell>
          <cell r="CX281">
            <v>1859</v>
          </cell>
          <cell r="CY281">
            <v>57</v>
          </cell>
          <cell r="DG281" t="str">
            <v>Capital Deployment</v>
          </cell>
          <cell r="EB281" t="str">
            <v>Capital Deployment</v>
          </cell>
        </row>
        <row r="282">
          <cell r="CQ282" t="str">
            <v>Dividends</v>
          </cell>
          <cell r="CV282">
            <v>60</v>
          </cell>
          <cell r="CW282">
            <v>63</v>
          </cell>
          <cell r="CX282">
            <v>63</v>
          </cell>
          <cell r="CY282">
            <v>63</v>
          </cell>
          <cell r="DA282" t="str">
            <v>Capital Deployment</v>
          </cell>
          <cell r="DG282" t="str">
            <v xml:space="preserve">Cash Repo </v>
          </cell>
          <cell r="EB282" t="str">
            <v xml:space="preserve">Cash Repo </v>
          </cell>
        </row>
        <row r="283">
          <cell r="CQ283" t="str">
            <v>Capex</v>
          </cell>
          <cell r="CV283">
            <v>31</v>
          </cell>
          <cell r="CW283">
            <v>36</v>
          </cell>
          <cell r="CX283">
            <v>48</v>
          </cell>
          <cell r="CY283">
            <v>105</v>
          </cell>
          <cell r="DA283" t="str">
            <v xml:space="preserve">Cash Repo </v>
          </cell>
          <cell r="DG283" t="str">
            <v>Number shares (MM)</v>
          </cell>
          <cell r="DH283">
            <v>2.0044</v>
          </cell>
          <cell r="DI283">
            <v>1.9144000000000001</v>
          </cell>
          <cell r="DJ283">
            <v>0</v>
          </cell>
          <cell r="DK283">
            <v>2.74</v>
          </cell>
          <cell r="DL283">
            <v>0.14560000000000001</v>
          </cell>
          <cell r="DM283">
            <v>1.0481</v>
          </cell>
          <cell r="DN283">
            <v>0</v>
          </cell>
          <cell r="DO283">
            <v>0</v>
          </cell>
          <cell r="EB283" t="str">
            <v>Number shares (MM)</v>
          </cell>
        </row>
        <row r="284">
          <cell r="CQ284" t="str">
            <v>Total Cap Deployed  ($MM)</v>
          </cell>
          <cell r="CV284">
            <v>1440</v>
          </cell>
          <cell r="CW284">
            <v>178.28</v>
          </cell>
          <cell r="CX284">
            <v>1970</v>
          </cell>
          <cell r="CY284">
            <v>225</v>
          </cell>
          <cell r="DA284" t="str">
            <v>Number shares (MM)</v>
          </cell>
          <cell r="DB284">
            <v>0</v>
          </cell>
          <cell r="DC284">
            <v>0</v>
          </cell>
          <cell r="DD284">
            <v>0</v>
          </cell>
          <cell r="DE284">
            <v>0</v>
          </cell>
          <cell r="DG284" t="str">
            <v>Avg purchase price</v>
          </cell>
          <cell r="DH284">
            <v>49.88</v>
          </cell>
          <cell r="DI284">
            <v>52.234548683660677</v>
          </cell>
          <cell r="DJ284">
            <v>0</v>
          </cell>
          <cell r="DK284">
            <v>57.664233576642332</v>
          </cell>
          <cell r="DL284">
            <v>57.21</v>
          </cell>
          <cell r="DM284">
            <v>63.432538879877868</v>
          </cell>
          <cell r="DN284" t="str">
            <v>NA</v>
          </cell>
          <cell r="DO284" t="str">
            <v>NA</v>
          </cell>
          <cell r="EB284" t="str">
            <v>Avg purchase price</v>
          </cell>
        </row>
        <row r="285">
          <cell r="CQ285" t="str">
            <v>Share repo authorization remaining</v>
          </cell>
          <cell r="DA285" t="str">
            <v>Avg purchase price</v>
          </cell>
          <cell r="DB285" t="str">
            <v>NM</v>
          </cell>
          <cell r="DC285" t="str">
            <v>NM</v>
          </cell>
          <cell r="DD285" t="str">
            <v>NM</v>
          </cell>
          <cell r="DE285" t="str">
            <v>NM</v>
          </cell>
          <cell r="DG285" t="str">
            <v>Subtotal Share Repo</v>
          </cell>
          <cell r="DH285">
            <v>99.979472000000001</v>
          </cell>
          <cell r="DI285">
            <v>99.997820000000004</v>
          </cell>
          <cell r="DJ285">
            <v>0</v>
          </cell>
          <cell r="DK285">
            <v>158</v>
          </cell>
          <cell r="DL285">
            <v>8.3297760000000007</v>
          </cell>
          <cell r="DM285">
            <v>66.483643999999998</v>
          </cell>
          <cell r="DN285">
            <v>0</v>
          </cell>
          <cell r="DO285">
            <v>0</v>
          </cell>
          <cell r="EB285" t="str">
            <v>Subtotal Share Repo</v>
          </cell>
        </row>
        <row r="286">
          <cell r="DA286" t="str">
            <v>Subtotal Share Repo</v>
          </cell>
          <cell r="DB286">
            <v>0</v>
          </cell>
          <cell r="DC286">
            <v>0</v>
          </cell>
          <cell r="DD286">
            <v>0</v>
          </cell>
          <cell r="DE286">
            <v>0</v>
          </cell>
          <cell r="DG286" t="str">
            <v>Net Acquisition spending</v>
          </cell>
          <cell r="DH286">
            <v>37</v>
          </cell>
          <cell r="DI286">
            <v>0</v>
          </cell>
          <cell r="DJ286">
            <v>240</v>
          </cell>
          <cell r="DK286">
            <v>0</v>
          </cell>
          <cell r="DL286">
            <v>153</v>
          </cell>
          <cell r="DM286">
            <v>2001</v>
          </cell>
          <cell r="DN286">
            <v>164</v>
          </cell>
          <cell r="DO286">
            <v>24</v>
          </cell>
          <cell r="EB286" t="str">
            <v>Net Acquisition spending</v>
          </cell>
        </row>
        <row r="287">
          <cell r="CQ287" t="str">
            <v xml:space="preserve">Taxes </v>
          </cell>
          <cell r="DA287" t="str">
            <v>Net Acquisition spending</v>
          </cell>
          <cell r="DB287">
            <v>31</v>
          </cell>
          <cell r="DC287">
            <v>5</v>
          </cell>
          <cell r="DD287">
            <v>490</v>
          </cell>
          <cell r="DE287">
            <v>17</v>
          </cell>
          <cell r="DG287" t="str">
            <v>Dividends</v>
          </cell>
          <cell r="DH287">
            <v>72</v>
          </cell>
          <cell r="DI287">
            <v>80</v>
          </cell>
          <cell r="DJ287">
            <v>80</v>
          </cell>
          <cell r="DK287">
            <v>82</v>
          </cell>
          <cell r="DL287">
            <v>80</v>
          </cell>
          <cell r="DM287">
            <v>93</v>
          </cell>
          <cell r="DN287">
            <v>93</v>
          </cell>
          <cell r="DO287">
            <v>93</v>
          </cell>
          <cell r="EB287" t="str">
            <v>Dividends</v>
          </cell>
        </row>
        <row r="288">
          <cell r="CQ288" t="str">
            <v>Current - total</v>
          </cell>
          <cell r="DA288" t="str">
            <v>Dividends</v>
          </cell>
          <cell r="DB288">
            <v>63</v>
          </cell>
          <cell r="DC288">
            <v>71</v>
          </cell>
          <cell r="DD288">
            <v>72</v>
          </cell>
          <cell r="DE288">
            <v>72</v>
          </cell>
          <cell r="DG288" t="str">
            <v>Capex</v>
          </cell>
          <cell r="DH288">
            <v>38</v>
          </cell>
          <cell r="DI288">
            <v>51</v>
          </cell>
          <cell r="DJ288">
            <v>78</v>
          </cell>
          <cell r="DK288">
            <v>95</v>
          </cell>
          <cell r="DL288">
            <v>53</v>
          </cell>
          <cell r="DM288">
            <v>64</v>
          </cell>
          <cell r="DN288">
            <v>94</v>
          </cell>
          <cell r="DO288">
            <v>123</v>
          </cell>
          <cell r="EB288" t="str">
            <v>Capex</v>
          </cell>
        </row>
        <row r="289">
          <cell r="CQ289" t="str">
            <v>Deferred -total</v>
          </cell>
          <cell r="DA289" t="str">
            <v>Capex</v>
          </cell>
          <cell r="DB289">
            <v>53</v>
          </cell>
          <cell r="DC289">
            <v>65</v>
          </cell>
          <cell r="DD289">
            <v>60</v>
          </cell>
          <cell r="DE289">
            <v>75</v>
          </cell>
          <cell r="DG289" t="str">
            <v>Total Cap Deployed  ($MM)</v>
          </cell>
          <cell r="DH289">
            <v>246.97947199999999</v>
          </cell>
          <cell r="DI289">
            <v>230.99781999999999</v>
          </cell>
          <cell r="DJ289">
            <v>398</v>
          </cell>
          <cell r="DK289">
            <v>335</v>
          </cell>
          <cell r="DL289">
            <v>294.32977600000004</v>
          </cell>
          <cell r="DM289">
            <v>2224.4836439999999</v>
          </cell>
          <cell r="DN289">
            <v>351</v>
          </cell>
          <cell r="DO289">
            <v>240</v>
          </cell>
          <cell r="EB289" t="str">
            <v>Total Cap Deployed  ($MM)</v>
          </cell>
        </row>
        <row r="290">
          <cell r="CQ290" t="str">
            <v>Adjusts</v>
          </cell>
          <cell r="DA290" t="str">
            <v>Total Cap Deployed  ($MM)</v>
          </cell>
          <cell r="DB290">
            <v>147</v>
          </cell>
          <cell r="DC290">
            <v>141</v>
          </cell>
          <cell r="DD290">
            <v>622</v>
          </cell>
          <cell r="DE290">
            <v>164</v>
          </cell>
          <cell r="DG290" t="str">
            <v>Share repo authorization remaining</v>
          </cell>
          <cell r="DH290">
            <v>7.0091999999999999</v>
          </cell>
          <cell r="DI290">
            <v>5.0947999999999993</v>
          </cell>
          <cell r="DJ290">
            <v>5.0947999999999993</v>
          </cell>
          <cell r="DK290">
            <v>2.3547999999999991</v>
          </cell>
          <cell r="DL290">
            <v>2.2082000000000002</v>
          </cell>
          <cell r="DM290">
            <v>10</v>
          </cell>
          <cell r="DN290">
            <v>10</v>
          </cell>
          <cell r="DO290">
            <v>10</v>
          </cell>
          <cell r="EB290" t="str">
            <v>Share repo authorization remaining</v>
          </cell>
        </row>
        <row r="291">
          <cell r="CQ291" t="str">
            <v>Total</v>
          </cell>
          <cell r="DA291" t="str">
            <v>Share repo authorization remaining</v>
          </cell>
          <cell r="DB291">
            <v>9.0136000000000003</v>
          </cell>
          <cell r="DC291">
            <v>9.0136000000000003</v>
          </cell>
          <cell r="DD291">
            <v>9.0136000000000003</v>
          </cell>
          <cell r="DE291">
            <v>9.0136000000000003</v>
          </cell>
        </row>
        <row r="292">
          <cell r="CQ292" t="str">
            <v>Deferred/Total</v>
          </cell>
          <cell r="DG292" t="str">
            <v>Cash Returned to Shareholders</v>
          </cell>
          <cell r="DH292">
            <v>171.97947199999999</v>
          </cell>
          <cell r="DI292">
            <v>179.99781999999999</v>
          </cell>
          <cell r="DJ292">
            <v>80</v>
          </cell>
          <cell r="DK292">
            <v>240</v>
          </cell>
          <cell r="DL292">
            <v>88.329775999999995</v>
          </cell>
          <cell r="DM292">
            <v>159.483644</v>
          </cell>
          <cell r="DN292">
            <v>93</v>
          </cell>
          <cell r="DO292">
            <v>93</v>
          </cell>
          <cell r="EB292" t="str">
            <v>Cash Returned to Shareholders</v>
          </cell>
        </row>
        <row r="293">
          <cell r="CQ293" t="str">
            <v>Income Taxes Paid</v>
          </cell>
          <cell r="DA293" t="str">
            <v xml:space="preserve">Taxes </v>
          </cell>
          <cell r="DG293" t="str">
            <v>% FCF</v>
          </cell>
          <cell r="DH293">
            <v>0.53743584999999994</v>
          </cell>
          <cell r="DI293">
            <v>1.2162014864864865</v>
          </cell>
          <cell r="DJ293">
            <v>0.15355086372360843</v>
          </cell>
          <cell r="DK293">
            <v>0.29813664596273293</v>
          </cell>
          <cell r="DL293">
            <v>0.21182200479616306</v>
          </cell>
          <cell r="DM293">
            <v>0.57368217266187049</v>
          </cell>
          <cell r="DN293">
            <v>0.21830985915492956</v>
          </cell>
          <cell r="DO293">
            <v>0.13266761768901569</v>
          </cell>
          <cell r="EB293" t="str">
            <v>% FCF</v>
          </cell>
        </row>
        <row r="294">
          <cell r="CQ294" t="str">
            <v>Taxes Paid/Total</v>
          </cell>
          <cell r="DA294" t="str">
            <v>Current - total</v>
          </cell>
        </row>
        <row r="295">
          <cell r="DA295" t="str">
            <v>Deferred -total</v>
          </cell>
          <cell r="DG295" t="str">
            <v xml:space="preserve">Taxes </v>
          </cell>
          <cell r="EB295" t="str">
            <v xml:space="preserve">Taxes </v>
          </cell>
        </row>
        <row r="296">
          <cell r="DA296" t="str">
            <v>Adjusts</v>
          </cell>
          <cell r="DG296" t="str">
            <v>Current - total</v>
          </cell>
          <cell r="EB296" t="str">
            <v>Current - total</v>
          </cell>
        </row>
        <row r="297">
          <cell r="CQ297" t="str">
            <v>General Dynamics</v>
          </cell>
          <cell r="DA297" t="str">
            <v>Total</v>
          </cell>
          <cell r="DG297" t="str">
            <v>Deferred -total</v>
          </cell>
          <cell r="EB297" t="str">
            <v>Deferred -total</v>
          </cell>
        </row>
        <row r="298">
          <cell r="CQ298" t="str">
            <v>Balance Sheet  ($MM)</v>
          </cell>
          <cell r="DA298" t="str">
            <v>Deferred/Total</v>
          </cell>
          <cell r="DG298" t="str">
            <v>Adjusts</v>
          </cell>
          <cell r="EB298" t="str">
            <v>Adjusts</v>
          </cell>
        </row>
        <row r="299">
          <cell r="CR299">
            <v>2002</v>
          </cell>
          <cell r="CV299" t="str">
            <v>2003A</v>
          </cell>
          <cell r="DA299" t="str">
            <v>Income Taxes Paid</v>
          </cell>
          <cell r="DG299" t="str">
            <v>Total</v>
          </cell>
          <cell r="EB299" t="str">
            <v>Total</v>
          </cell>
        </row>
        <row r="300">
          <cell r="CR300" t="str">
            <v>Q1</v>
          </cell>
          <cell r="CS300" t="str">
            <v>Q2</v>
          </cell>
          <cell r="CT300" t="str">
            <v>Q3</v>
          </cell>
          <cell r="CU300" t="str">
            <v>Q4</v>
          </cell>
          <cell r="CV300" t="str">
            <v xml:space="preserve">Q1 </v>
          </cell>
          <cell r="CW300" t="str">
            <v xml:space="preserve">Q2 </v>
          </cell>
          <cell r="CX300" t="str">
            <v xml:space="preserve">Q3 </v>
          </cell>
          <cell r="CY300" t="str">
            <v xml:space="preserve">Q4 </v>
          </cell>
          <cell r="DA300" t="str">
            <v>Taxes Paid/Total</v>
          </cell>
          <cell r="DG300" t="str">
            <v>Deferred/Total</v>
          </cell>
          <cell r="EB300" t="str">
            <v>Deferred/Total</v>
          </cell>
        </row>
        <row r="301">
          <cell r="CQ301" t="str">
            <v>Assets</v>
          </cell>
          <cell r="DG301" t="str">
            <v>Income Taxes Paid</v>
          </cell>
          <cell r="EB301" t="str">
            <v>Income Taxes Paid</v>
          </cell>
        </row>
        <row r="302">
          <cell r="CQ302" t="str">
            <v>Cash and equivalents</v>
          </cell>
          <cell r="CR302">
            <v>377</v>
          </cell>
          <cell r="CS302">
            <v>376</v>
          </cell>
          <cell r="CT302">
            <v>468</v>
          </cell>
          <cell r="CU302">
            <v>328</v>
          </cell>
          <cell r="CV302">
            <v>748</v>
          </cell>
          <cell r="CW302">
            <v>811</v>
          </cell>
          <cell r="CX302">
            <v>697</v>
          </cell>
          <cell r="CY302">
            <v>861</v>
          </cell>
          <cell r="DG302" t="str">
            <v>Taxes Paid/Total</v>
          </cell>
          <cell r="EB302" t="str">
            <v>Taxes Paid/Total</v>
          </cell>
        </row>
        <row r="303">
          <cell r="CQ303" t="str">
            <v>Marketable securities</v>
          </cell>
          <cell r="CR303">
            <v>0</v>
          </cell>
          <cell r="CS303">
            <v>0</v>
          </cell>
          <cell r="CT303">
            <v>0</v>
          </cell>
          <cell r="CU303">
            <v>0</v>
          </cell>
          <cell r="CV303">
            <v>0</v>
          </cell>
          <cell r="CW303">
            <v>0</v>
          </cell>
          <cell r="CX303">
            <v>0</v>
          </cell>
          <cell r="CY303">
            <v>0</v>
          </cell>
          <cell r="DA303" t="str">
            <v>General Dynamics</v>
          </cell>
        </row>
        <row r="304">
          <cell r="CQ304" t="str">
            <v>Accounts receivables</v>
          </cell>
          <cell r="CR304">
            <v>1210</v>
          </cell>
          <cell r="CS304">
            <v>1320</v>
          </cell>
          <cell r="CT304">
            <v>1156</v>
          </cell>
          <cell r="CU304">
            <v>1074</v>
          </cell>
          <cell r="CV304">
            <v>1263</v>
          </cell>
          <cell r="CW304">
            <v>1237</v>
          </cell>
          <cell r="CX304">
            <v>1502</v>
          </cell>
          <cell r="CY304">
            <v>1344</v>
          </cell>
          <cell r="DA304" t="str">
            <v>Balance Sheet</v>
          </cell>
        </row>
        <row r="305">
          <cell r="CQ305" t="str">
            <v>Contracts in process</v>
          </cell>
          <cell r="CR305">
            <v>1775</v>
          </cell>
          <cell r="CS305">
            <v>1847</v>
          </cell>
          <cell r="CT305">
            <v>1924</v>
          </cell>
          <cell r="CU305">
            <v>1914</v>
          </cell>
          <cell r="CV305">
            <v>2200</v>
          </cell>
          <cell r="CW305">
            <v>2416</v>
          </cell>
          <cell r="CX305">
            <v>2422</v>
          </cell>
          <cell r="CY305">
            <v>2473</v>
          </cell>
          <cell r="DA305" t="str">
            <v>($USD in Millions, Except EPS)</v>
          </cell>
          <cell r="DB305">
            <v>2004</v>
          </cell>
          <cell r="DG305" t="str">
            <v>General Dynamics</v>
          </cell>
          <cell r="EB305" t="str">
            <v>General Dynamics</v>
          </cell>
        </row>
        <row r="306">
          <cell r="CQ306" t="str">
            <v>Inventories</v>
          </cell>
          <cell r="CR306">
            <v>1357</v>
          </cell>
          <cell r="CS306">
            <v>1370</v>
          </cell>
          <cell r="CT306">
            <v>1554</v>
          </cell>
          <cell r="CU306">
            <v>1405</v>
          </cell>
          <cell r="CV306">
            <v>1456</v>
          </cell>
          <cell r="CW306">
            <v>1375</v>
          </cell>
          <cell r="CX306">
            <v>1223</v>
          </cell>
          <cell r="CY306">
            <v>1159</v>
          </cell>
          <cell r="DB306" t="str">
            <v xml:space="preserve">Q1 </v>
          </cell>
          <cell r="DC306" t="str">
            <v xml:space="preserve">Q2 </v>
          </cell>
          <cell r="DD306" t="str">
            <v xml:space="preserve">Q3 </v>
          </cell>
          <cell r="DE306" t="str">
            <v xml:space="preserve">Q4 </v>
          </cell>
          <cell r="DG306" t="str">
            <v>Balance Sheet</v>
          </cell>
          <cell r="EB306" t="str">
            <v>Balance Sheet</v>
          </cell>
        </row>
        <row r="307">
          <cell r="CQ307" t="str">
            <v>Other current assets</v>
          </cell>
          <cell r="CR307">
            <v>443</v>
          </cell>
          <cell r="CS307">
            <v>431</v>
          </cell>
          <cell r="CT307">
            <v>389</v>
          </cell>
          <cell r="CU307">
            <v>377</v>
          </cell>
          <cell r="CV307">
            <v>334</v>
          </cell>
          <cell r="CW307">
            <v>316</v>
          </cell>
          <cell r="CX307">
            <v>480</v>
          </cell>
          <cell r="CY307">
            <v>787</v>
          </cell>
          <cell r="DA307" t="str">
            <v>Assets</v>
          </cell>
          <cell r="DG307" t="str">
            <v>($USD in Millions, Except EPS)</v>
          </cell>
          <cell r="DH307">
            <v>2005</v>
          </cell>
          <cell r="DL307">
            <v>2006</v>
          </cell>
          <cell r="EB307" t="str">
            <v>($USD in Millions, Except EPS)</v>
          </cell>
          <cell r="EF307" t="str">
            <v>Pro Forma for GAC</v>
          </cell>
        </row>
        <row r="308">
          <cell r="CQ308" t="str">
            <v>Total Current Assets</v>
          </cell>
          <cell r="CR308">
            <v>5162</v>
          </cell>
          <cell r="CS308">
            <v>5344</v>
          </cell>
          <cell r="CT308">
            <v>5491</v>
          </cell>
          <cell r="CU308">
            <v>5098</v>
          </cell>
          <cell r="CV308">
            <v>6001</v>
          </cell>
          <cell r="CW308">
            <v>6155</v>
          </cell>
          <cell r="CX308">
            <v>6324</v>
          </cell>
          <cell r="CY308">
            <v>6624</v>
          </cell>
          <cell r="DA308" t="str">
            <v>Cash and equivalents</v>
          </cell>
          <cell r="DB308">
            <v>869</v>
          </cell>
          <cell r="DC308">
            <v>1100</v>
          </cell>
          <cell r="DD308">
            <v>686</v>
          </cell>
          <cell r="DE308">
            <v>976</v>
          </cell>
          <cell r="DH308" t="str">
            <v xml:space="preserve">Q1 </v>
          </cell>
          <cell r="DI308" t="str">
            <v xml:space="preserve">Q2 </v>
          </cell>
          <cell r="DJ308" t="str">
            <v xml:space="preserve">Q3 </v>
          </cell>
          <cell r="DK308" t="str">
            <v xml:space="preserve">Q4 </v>
          </cell>
          <cell r="DL308" t="str">
            <v xml:space="preserve">Q1 </v>
          </cell>
          <cell r="DM308" t="str">
            <v>Q2</v>
          </cell>
          <cell r="DN308" t="str">
            <v xml:space="preserve">Q3 </v>
          </cell>
          <cell r="DO308" t="str">
            <v xml:space="preserve">Q4 </v>
          </cell>
          <cell r="EC308">
            <v>1994</v>
          </cell>
          <cell r="ED308">
            <v>1995</v>
          </cell>
          <cell r="EE308">
            <v>1996</v>
          </cell>
          <cell r="EF308">
            <v>1997</v>
          </cell>
          <cell r="EG308" t="str">
            <v>1998</v>
          </cell>
          <cell r="EH308">
            <v>1999</v>
          </cell>
        </row>
        <row r="309">
          <cell r="DA309" t="str">
            <v>Marketable securities</v>
          </cell>
          <cell r="DB309">
            <v>0</v>
          </cell>
          <cell r="DC309">
            <v>0</v>
          </cell>
          <cell r="DD309">
            <v>0</v>
          </cell>
          <cell r="DE309">
            <v>0</v>
          </cell>
          <cell r="DG309" t="str">
            <v>Assets</v>
          </cell>
          <cell r="EB309" t="str">
            <v>Assets</v>
          </cell>
        </row>
        <row r="310">
          <cell r="CQ310" t="str">
            <v>Property, plant, and equipment, net</v>
          </cell>
          <cell r="CR310">
            <v>1753</v>
          </cell>
          <cell r="CS310">
            <v>1827</v>
          </cell>
          <cell r="CT310">
            <v>1826</v>
          </cell>
          <cell r="CU310">
            <v>1856</v>
          </cell>
          <cell r="CV310">
            <v>1936</v>
          </cell>
          <cell r="CW310">
            <v>1934</v>
          </cell>
          <cell r="CX310">
            <v>2005</v>
          </cell>
          <cell r="CY310">
            <v>2060</v>
          </cell>
          <cell r="DA310" t="str">
            <v>Accounts receivables</v>
          </cell>
          <cell r="DB310">
            <v>1525</v>
          </cell>
          <cell r="DC310">
            <v>1376</v>
          </cell>
          <cell r="DD310">
            <v>1438</v>
          </cell>
          <cell r="DE310">
            <v>1450</v>
          </cell>
          <cell r="DG310" t="str">
            <v>Cash and equivalents</v>
          </cell>
          <cell r="DH310">
            <v>1511</v>
          </cell>
          <cell r="DI310">
            <v>1438</v>
          </cell>
          <cell r="DJ310">
            <v>1754</v>
          </cell>
          <cell r="DK310">
            <v>2331</v>
          </cell>
          <cell r="DL310">
            <v>2599</v>
          </cell>
          <cell r="DM310">
            <v>1399</v>
          </cell>
          <cell r="DN310">
            <v>963</v>
          </cell>
          <cell r="DO310">
            <v>1604</v>
          </cell>
          <cell r="EB310" t="str">
            <v>Cash and equivalents</v>
          </cell>
          <cell r="EF310">
            <v>669.47499999999991</v>
          </cell>
          <cell r="EG310">
            <v>117.33579999999984</v>
          </cell>
          <cell r="EH310">
            <v>176.34579999999983</v>
          </cell>
        </row>
        <row r="311">
          <cell r="CQ311" t="str">
            <v>Goodwill</v>
          </cell>
          <cell r="CV311">
            <v>4515</v>
          </cell>
          <cell r="CW311">
            <v>4672</v>
          </cell>
          <cell r="CX311">
            <v>5829</v>
          </cell>
          <cell r="CY311">
            <v>5955</v>
          </cell>
          <cell r="DA311" t="str">
            <v>Contracts in process</v>
          </cell>
          <cell r="DB311">
            <v>2628</v>
          </cell>
          <cell r="DC311">
            <v>2643</v>
          </cell>
          <cell r="DD311">
            <v>2966</v>
          </cell>
          <cell r="DE311">
            <v>2890</v>
          </cell>
          <cell r="DG311" t="str">
            <v>Marketable securities</v>
          </cell>
          <cell r="DH311">
            <v>0</v>
          </cell>
          <cell r="DI311">
            <v>0</v>
          </cell>
          <cell r="DJ311">
            <v>0</v>
          </cell>
          <cell r="DK311">
            <v>0</v>
          </cell>
          <cell r="DL311">
            <v>0</v>
          </cell>
          <cell r="DM311">
            <v>0</v>
          </cell>
          <cell r="DN311">
            <v>0</v>
          </cell>
          <cell r="DO311">
            <v>0</v>
          </cell>
          <cell r="EB311" t="str">
            <v>Marketable securities</v>
          </cell>
          <cell r="EF311">
            <v>105</v>
          </cell>
          <cell r="EG311">
            <v>93</v>
          </cell>
          <cell r="EH311">
            <v>0</v>
          </cell>
        </row>
        <row r="312">
          <cell r="CQ312" t="str">
            <v>Intangible assets</v>
          </cell>
          <cell r="CR312">
            <v>3736</v>
          </cell>
          <cell r="CS312">
            <v>4008</v>
          </cell>
          <cell r="CT312">
            <v>4076</v>
          </cell>
          <cell r="CU312">
            <v>560</v>
          </cell>
          <cell r="CV312">
            <v>541</v>
          </cell>
          <cell r="CW312">
            <v>531</v>
          </cell>
          <cell r="CX312">
            <v>1069</v>
          </cell>
          <cell r="CY312">
            <v>953</v>
          </cell>
          <cell r="DA312" t="str">
            <v>Inventories</v>
          </cell>
          <cell r="DB312">
            <v>1268</v>
          </cell>
          <cell r="DC312">
            <v>1236</v>
          </cell>
          <cell r="DD312">
            <v>1287</v>
          </cell>
          <cell r="DE312">
            <v>1195</v>
          </cell>
          <cell r="DG312" t="str">
            <v>Accounts receivables</v>
          </cell>
          <cell r="DH312">
            <v>1511</v>
          </cell>
          <cell r="DI312">
            <v>1677</v>
          </cell>
          <cell r="DJ312">
            <v>1720</v>
          </cell>
          <cell r="DK312">
            <v>2004</v>
          </cell>
          <cell r="DL312">
            <v>1743</v>
          </cell>
          <cell r="DM312">
            <v>1978</v>
          </cell>
          <cell r="DN312">
            <v>2144</v>
          </cell>
          <cell r="DO312">
            <v>2341</v>
          </cell>
          <cell r="EB312" t="str">
            <v>Accounts receivables</v>
          </cell>
          <cell r="EF312">
            <v>411</v>
          </cell>
          <cell r="EG312">
            <v>580</v>
          </cell>
          <cell r="EH312">
            <v>746</v>
          </cell>
        </row>
        <row r="313">
          <cell r="CQ313" t="str">
            <v>Other assets</v>
          </cell>
          <cell r="CR313">
            <v>664</v>
          </cell>
          <cell r="CS313">
            <v>650</v>
          </cell>
          <cell r="CT313">
            <v>697</v>
          </cell>
          <cell r="CU313">
            <v>707</v>
          </cell>
          <cell r="CV313">
            <v>710</v>
          </cell>
          <cell r="CW313">
            <v>701</v>
          </cell>
          <cell r="CX313">
            <v>653</v>
          </cell>
          <cell r="CY313">
            <v>591</v>
          </cell>
          <cell r="DA313" t="str">
            <v>Other current assets</v>
          </cell>
          <cell r="DB313">
            <v>482</v>
          </cell>
          <cell r="DC313">
            <v>514</v>
          </cell>
          <cell r="DD313">
            <v>491</v>
          </cell>
          <cell r="DE313">
            <v>820</v>
          </cell>
          <cell r="DG313" t="str">
            <v>Contracts in process</v>
          </cell>
          <cell r="DH313">
            <v>3052</v>
          </cell>
          <cell r="DI313">
            <v>3082</v>
          </cell>
          <cell r="DJ313">
            <v>3133</v>
          </cell>
          <cell r="DK313">
            <v>3152</v>
          </cell>
          <cell r="DL313">
            <v>3511</v>
          </cell>
          <cell r="DM313">
            <v>3839</v>
          </cell>
          <cell r="DN313">
            <v>3821</v>
          </cell>
          <cell r="DO313">
            <v>3988</v>
          </cell>
          <cell r="EB313" t="str">
            <v>Contracts in process</v>
          </cell>
          <cell r="EF313">
            <v>702</v>
          </cell>
          <cell r="EG313">
            <v>952</v>
          </cell>
          <cell r="EH313">
            <v>1204</v>
          </cell>
        </row>
        <row r="314">
          <cell r="CQ314" t="str">
            <v>Total Noncurrent assets</v>
          </cell>
          <cell r="CR314">
            <v>6153</v>
          </cell>
          <cell r="CS314">
            <v>6485</v>
          </cell>
          <cell r="CT314">
            <v>6599</v>
          </cell>
          <cell r="CU314">
            <v>6633</v>
          </cell>
          <cell r="CV314">
            <v>7702</v>
          </cell>
          <cell r="CW314">
            <v>7838</v>
          </cell>
          <cell r="CX314">
            <v>9556</v>
          </cell>
          <cell r="CY314">
            <v>9559</v>
          </cell>
          <cell r="DA314" t="str">
            <v>Total Current Assets</v>
          </cell>
          <cell r="DB314">
            <v>6772</v>
          </cell>
          <cell r="DC314">
            <v>6869</v>
          </cell>
          <cell r="DD314">
            <v>6868</v>
          </cell>
          <cell r="DE314">
            <v>7331</v>
          </cell>
          <cell r="DG314" t="str">
            <v>Inventories</v>
          </cell>
          <cell r="DH314">
            <v>1210</v>
          </cell>
          <cell r="DI314">
            <v>1189</v>
          </cell>
          <cell r="DJ314">
            <v>1350</v>
          </cell>
          <cell r="DK314">
            <v>1293</v>
          </cell>
          <cell r="DL314">
            <v>1437</v>
          </cell>
          <cell r="DM314">
            <v>1487</v>
          </cell>
          <cell r="DN314">
            <v>1409</v>
          </cell>
          <cell r="DO314">
            <v>1484</v>
          </cell>
          <cell r="EB314" t="str">
            <v>Inventories</v>
          </cell>
          <cell r="EF314">
            <v>650</v>
          </cell>
          <cell r="EG314">
            <v>804</v>
          </cell>
          <cell r="EH314">
            <v>961</v>
          </cell>
        </row>
        <row r="315">
          <cell r="DG315" t="str">
            <v>Other current assets</v>
          </cell>
          <cell r="DH315">
            <v>436</v>
          </cell>
          <cell r="DI315">
            <v>483</v>
          </cell>
          <cell r="DJ315">
            <v>429</v>
          </cell>
          <cell r="DK315">
            <v>669</v>
          </cell>
          <cell r="DL315">
            <v>544</v>
          </cell>
          <cell r="DM315">
            <v>550</v>
          </cell>
          <cell r="DN315">
            <v>677</v>
          </cell>
          <cell r="DO315">
            <v>463</v>
          </cell>
          <cell r="EB315" t="str">
            <v>Other current assets</v>
          </cell>
          <cell r="EF315">
            <v>337</v>
          </cell>
          <cell r="EG315">
            <v>391</v>
          </cell>
          <cell r="EH315">
            <v>310</v>
          </cell>
        </row>
        <row r="316">
          <cell r="CQ316" t="str">
            <v>Total Assets</v>
          </cell>
          <cell r="CR316">
            <v>11315</v>
          </cell>
          <cell r="CS316">
            <v>11829</v>
          </cell>
          <cell r="CT316">
            <v>12090</v>
          </cell>
          <cell r="CU316">
            <v>11731</v>
          </cell>
          <cell r="CV316">
            <v>13703</v>
          </cell>
          <cell r="CW316">
            <v>13993</v>
          </cell>
          <cell r="CX316">
            <v>15880</v>
          </cell>
          <cell r="CY316">
            <v>16183</v>
          </cell>
          <cell r="DA316" t="str">
            <v>Property, plant, and equipment, net</v>
          </cell>
          <cell r="DB316">
            <v>2080</v>
          </cell>
          <cell r="DC316">
            <v>2082</v>
          </cell>
          <cell r="DD316">
            <v>2140</v>
          </cell>
          <cell r="DE316">
            <v>2153</v>
          </cell>
          <cell r="DG316" t="str">
            <v>Total Current Assets</v>
          </cell>
          <cell r="DH316">
            <v>7720</v>
          </cell>
          <cell r="DI316">
            <v>7869</v>
          </cell>
          <cell r="DJ316">
            <v>8386</v>
          </cell>
          <cell r="DK316">
            <v>9449</v>
          </cell>
          <cell r="DL316">
            <v>9834</v>
          </cell>
          <cell r="DM316">
            <v>9253</v>
          </cell>
          <cell r="DN316">
            <v>9014</v>
          </cell>
          <cell r="DO316">
            <v>9880</v>
          </cell>
          <cell r="EB316" t="str">
            <v>Total Current Assets</v>
          </cell>
          <cell r="EF316">
            <v>2874.4749999999999</v>
          </cell>
          <cell r="EG316">
            <v>2937.3357999999998</v>
          </cell>
          <cell r="EH316">
            <v>3397.3458000000001</v>
          </cell>
        </row>
        <row r="317">
          <cell r="DA317" t="str">
            <v>Goodwill</v>
          </cell>
          <cell r="DB317">
            <v>6157</v>
          </cell>
          <cell r="DC317">
            <v>6157</v>
          </cell>
          <cell r="DD317">
            <v>6469</v>
          </cell>
          <cell r="DE317">
            <v>6429</v>
          </cell>
        </row>
        <row r="318">
          <cell r="CQ318" t="str">
            <v>Liabs. and Shareholders' Equity</v>
          </cell>
          <cell r="DA318" t="str">
            <v>Intangible assets</v>
          </cell>
          <cell r="DB318">
            <v>1006</v>
          </cell>
          <cell r="DC318">
            <v>978</v>
          </cell>
          <cell r="DD318">
            <v>1026</v>
          </cell>
          <cell r="DE318">
            <v>948</v>
          </cell>
          <cell r="DG318" t="str">
            <v>Property, plant, and equipment, net</v>
          </cell>
          <cell r="DH318">
            <v>2120</v>
          </cell>
          <cell r="DI318">
            <v>2039</v>
          </cell>
          <cell r="DJ318">
            <v>2057</v>
          </cell>
          <cell r="DK318">
            <v>2028</v>
          </cell>
          <cell r="DL318">
            <v>2073</v>
          </cell>
          <cell r="DM318">
            <v>2101</v>
          </cell>
          <cell r="DN318">
            <v>2128</v>
          </cell>
          <cell r="DO318">
            <v>2168</v>
          </cell>
          <cell r="EB318" t="str">
            <v>Property, plant, and equipment, net</v>
          </cell>
          <cell r="EF318">
            <v>770</v>
          </cell>
          <cell r="EG318">
            <v>901</v>
          </cell>
          <cell r="EH318">
            <v>1169</v>
          </cell>
        </row>
        <row r="319">
          <cell r="CQ319" t="str">
            <v>Short-term debt and current port of long-term debt</v>
          </cell>
          <cell r="CR319">
            <v>1292</v>
          </cell>
          <cell r="CS319">
            <v>1223</v>
          </cell>
          <cell r="CT319">
            <v>1293</v>
          </cell>
          <cell r="CU319">
            <v>750</v>
          </cell>
          <cell r="CV319">
            <v>2380</v>
          </cell>
          <cell r="CW319">
            <v>364</v>
          </cell>
          <cell r="CX319">
            <v>1234</v>
          </cell>
          <cell r="CY319">
            <v>747</v>
          </cell>
          <cell r="DA319" t="str">
            <v>Other assets</v>
          </cell>
          <cell r="DB319">
            <v>653</v>
          </cell>
          <cell r="DC319">
            <v>644</v>
          </cell>
          <cell r="DD319">
            <v>662</v>
          </cell>
          <cell r="DE319">
            <v>683</v>
          </cell>
          <cell r="DG319" t="str">
            <v>Goodwill</v>
          </cell>
          <cell r="DH319">
            <v>6460</v>
          </cell>
          <cell r="DI319">
            <v>6442</v>
          </cell>
          <cell r="DJ319">
            <v>6677</v>
          </cell>
          <cell r="DK319">
            <v>6686</v>
          </cell>
          <cell r="DL319">
            <v>6801</v>
          </cell>
          <cell r="DM319">
            <v>8513</v>
          </cell>
          <cell r="DN319">
            <v>8580</v>
          </cell>
          <cell r="DO319">
            <v>8541</v>
          </cell>
          <cell r="EB319" t="str">
            <v>Goodwill</v>
          </cell>
        </row>
        <row r="320">
          <cell r="CQ320" t="str">
            <v>Accounts payable</v>
          </cell>
          <cell r="CR320">
            <v>870</v>
          </cell>
          <cell r="CS320">
            <v>935</v>
          </cell>
          <cell r="CT320">
            <v>1041</v>
          </cell>
          <cell r="CU320">
            <v>1056</v>
          </cell>
          <cell r="CV320">
            <v>1212</v>
          </cell>
          <cell r="CW320">
            <v>1195</v>
          </cell>
          <cell r="CX320">
            <v>1353</v>
          </cell>
          <cell r="CY320">
            <v>1288</v>
          </cell>
          <cell r="DA320" t="str">
            <v>Total Noncurrent assets</v>
          </cell>
          <cell r="DB320">
            <v>9896</v>
          </cell>
          <cell r="DC320">
            <v>9861</v>
          </cell>
          <cell r="DD320">
            <v>10297</v>
          </cell>
          <cell r="DE320">
            <v>10213</v>
          </cell>
          <cell r="DG320" t="str">
            <v>Intangible assets</v>
          </cell>
          <cell r="DH320">
            <v>930</v>
          </cell>
          <cell r="DI320">
            <v>896</v>
          </cell>
          <cell r="DJ320">
            <v>923</v>
          </cell>
          <cell r="DK320">
            <v>898</v>
          </cell>
          <cell r="DL320">
            <v>897</v>
          </cell>
          <cell r="DM320">
            <v>1241</v>
          </cell>
          <cell r="DN320">
            <v>1229</v>
          </cell>
          <cell r="DO320">
            <v>1184</v>
          </cell>
          <cell r="EB320" t="str">
            <v>Intangible assets</v>
          </cell>
          <cell r="EF320">
            <v>1293</v>
          </cell>
          <cell r="EG320">
            <v>1788</v>
          </cell>
          <cell r="EH320">
            <v>2513</v>
          </cell>
        </row>
        <row r="321">
          <cell r="CQ321" t="str">
            <v>Billings in excess of costs &amp; est profits</v>
          </cell>
          <cell r="CV321">
            <v>653</v>
          </cell>
          <cell r="CW321">
            <v>679</v>
          </cell>
          <cell r="CX321">
            <v>526</v>
          </cell>
          <cell r="CY321">
            <v>791</v>
          </cell>
          <cell r="DG321" t="str">
            <v>Other assets</v>
          </cell>
          <cell r="DH321">
            <v>675</v>
          </cell>
          <cell r="DI321">
            <v>691</v>
          </cell>
          <cell r="DJ321">
            <v>707</v>
          </cell>
          <cell r="DK321">
            <v>639</v>
          </cell>
          <cell r="DL321">
            <v>684</v>
          </cell>
          <cell r="DM321">
            <v>624</v>
          </cell>
          <cell r="DN321">
            <v>626</v>
          </cell>
          <cell r="DO321">
            <v>603</v>
          </cell>
          <cell r="EB321" t="str">
            <v>Other assets</v>
          </cell>
          <cell r="EF321">
            <v>646</v>
          </cell>
          <cell r="EG321">
            <v>477</v>
          </cell>
          <cell r="EH321">
            <v>601</v>
          </cell>
        </row>
        <row r="322">
          <cell r="CQ322" t="str">
            <v>Workers compensation</v>
          </cell>
          <cell r="CV322">
            <v>509</v>
          </cell>
          <cell r="CW322">
            <v>496</v>
          </cell>
          <cell r="CX322">
            <v>492</v>
          </cell>
          <cell r="CY322">
            <v>547</v>
          </cell>
          <cell r="DA322" t="str">
            <v>Total Assets</v>
          </cell>
          <cell r="DB322">
            <v>16668</v>
          </cell>
          <cell r="DC322">
            <v>16730</v>
          </cell>
          <cell r="DD322">
            <v>17165</v>
          </cell>
          <cell r="DE322">
            <v>17544</v>
          </cell>
          <cell r="DG322" t="str">
            <v>Total Noncurrent assets</v>
          </cell>
          <cell r="DH322">
            <v>10185</v>
          </cell>
          <cell r="DI322">
            <v>10068</v>
          </cell>
          <cell r="DJ322">
            <v>10364</v>
          </cell>
          <cell r="DK322">
            <v>10251</v>
          </cell>
          <cell r="DL322">
            <v>10455</v>
          </cell>
          <cell r="DM322">
            <v>12479</v>
          </cell>
          <cell r="DN322">
            <v>12563</v>
          </cell>
          <cell r="DO322">
            <v>12496</v>
          </cell>
          <cell r="EB322" t="str">
            <v>Total Noncurrent assets</v>
          </cell>
          <cell r="EF322">
            <v>2709</v>
          </cell>
          <cell r="EG322">
            <v>3166</v>
          </cell>
          <cell r="EH322">
            <v>4283</v>
          </cell>
        </row>
        <row r="323">
          <cell r="CQ323" t="str">
            <v>Customer deposits on commercial contracts</v>
          </cell>
          <cell r="CV323">
            <v>336</v>
          </cell>
          <cell r="CW323">
            <v>345</v>
          </cell>
          <cell r="CX323">
            <v>338</v>
          </cell>
          <cell r="CY323">
            <v>465</v>
          </cell>
        </row>
        <row r="324">
          <cell r="CQ324" t="str">
            <v>Salaries and wages</v>
          </cell>
          <cell r="CV324">
            <v>214</v>
          </cell>
          <cell r="CW324">
            <v>250</v>
          </cell>
          <cell r="CX324">
            <v>364</v>
          </cell>
          <cell r="CY324">
            <v>355</v>
          </cell>
          <cell r="DA324" t="str">
            <v>Liabs. and Shareholders' Equity</v>
          </cell>
          <cell r="DG324" t="str">
            <v>Total Assets</v>
          </cell>
          <cell r="DH324">
            <v>17905</v>
          </cell>
          <cell r="DI324">
            <v>17937</v>
          </cell>
          <cell r="DJ324">
            <v>18750</v>
          </cell>
          <cell r="DK324">
            <v>19700</v>
          </cell>
          <cell r="DL324">
            <v>20289</v>
          </cell>
          <cell r="DM324">
            <v>21732</v>
          </cell>
          <cell r="DN324">
            <v>21577</v>
          </cell>
          <cell r="DO324">
            <v>22376</v>
          </cell>
          <cell r="EB324" t="str">
            <v>Total Assets</v>
          </cell>
          <cell r="EF324">
            <v>5583.4750000000004</v>
          </cell>
          <cell r="EG324">
            <v>6103.3357999999998</v>
          </cell>
          <cell r="EH324">
            <v>7680.3458000000001</v>
          </cell>
        </row>
        <row r="325">
          <cell r="CQ325" t="str">
            <v>Retirement benefits</v>
          </cell>
          <cell r="CV325">
            <v>294</v>
          </cell>
          <cell r="CW325">
            <v>302</v>
          </cell>
          <cell r="CX325">
            <v>305</v>
          </cell>
          <cell r="CY325">
            <v>295</v>
          </cell>
          <cell r="DA325" t="str">
            <v>Short-term debt and current port of long-term debt</v>
          </cell>
          <cell r="DB325">
            <v>561</v>
          </cell>
          <cell r="DC325">
            <v>519</v>
          </cell>
          <cell r="DD325">
            <v>391</v>
          </cell>
          <cell r="DE325">
            <v>6</v>
          </cell>
        </row>
        <row r="326">
          <cell r="CQ326" t="str">
            <v>Liabilities of discontinued operations</v>
          </cell>
          <cell r="CV326">
            <v>109</v>
          </cell>
          <cell r="CW326">
            <v>96</v>
          </cell>
          <cell r="CX326">
            <v>82</v>
          </cell>
          <cell r="CY326">
            <v>140</v>
          </cell>
          <cell r="DA326" t="str">
            <v>Accounts payable</v>
          </cell>
          <cell r="DB326">
            <v>1370</v>
          </cell>
          <cell r="DC326">
            <v>1257</v>
          </cell>
          <cell r="DD326">
            <v>1296</v>
          </cell>
          <cell r="DE326">
            <v>1505</v>
          </cell>
          <cell r="DG326" t="str">
            <v>Liabs. and Shareholders' Equity</v>
          </cell>
          <cell r="EB326" t="str">
            <v>Liabs. and Shareholders' Equity</v>
          </cell>
        </row>
        <row r="327">
          <cell r="CQ327" t="str">
            <v>Other current liabilities</v>
          </cell>
          <cell r="CR327">
            <v>2448</v>
          </cell>
          <cell r="CS327">
            <v>2719</v>
          </cell>
          <cell r="CT327">
            <v>2624</v>
          </cell>
          <cell r="CU327">
            <v>746</v>
          </cell>
          <cell r="CV327">
            <v>873</v>
          </cell>
          <cell r="CW327">
            <v>836</v>
          </cell>
          <cell r="CX327">
            <v>887</v>
          </cell>
          <cell r="CY327">
            <v>996</v>
          </cell>
          <cell r="DA327" t="str">
            <v>Billings in excess of costs &amp; est profits</v>
          </cell>
          <cell r="DB327">
            <v>847</v>
          </cell>
          <cell r="DC327">
            <v>800</v>
          </cell>
          <cell r="DD327">
            <v>914</v>
          </cell>
          <cell r="DE327">
            <v>1003</v>
          </cell>
          <cell r="DG327" t="str">
            <v>Short-term debt and current port of long-term debt</v>
          </cell>
          <cell r="DH327">
            <v>7</v>
          </cell>
          <cell r="DI327">
            <v>507</v>
          </cell>
          <cell r="DJ327">
            <v>507</v>
          </cell>
          <cell r="DK327">
            <v>509</v>
          </cell>
          <cell r="DL327">
            <v>507</v>
          </cell>
          <cell r="DM327">
            <v>871</v>
          </cell>
          <cell r="DN327">
            <v>329</v>
          </cell>
          <cell r="DO327">
            <v>7</v>
          </cell>
          <cell r="EB327" t="str">
            <v>Short-term debt and current port of long-term debt</v>
          </cell>
          <cell r="EF327">
            <v>183</v>
          </cell>
          <cell r="EG327">
            <v>77</v>
          </cell>
          <cell r="EH327">
            <v>853</v>
          </cell>
        </row>
        <row r="328">
          <cell r="CQ328" t="str">
            <v>Total Current Liabilities</v>
          </cell>
          <cell r="CR328">
            <v>4610</v>
          </cell>
          <cell r="CS328">
            <v>4877</v>
          </cell>
          <cell r="CT328">
            <v>4958</v>
          </cell>
          <cell r="CU328">
            <v>4582</v>
          </cell>
          <cell r="CV328">
            <v>6580</v>
          </cell>
          <cell r="CW328">
            <v>4563</v>
          </cell>
          <cell r="CX328">
            <v>5581</v>
          </cell>
          <cell r="CY328">
            <v>5624</v>
          </cell>
          <cell r="DA328" t="str">
            <v>Workers compensation</v>
          </cell>
          <cell r="DB328">
            <v>539</v>
          </cell>
          <cell r="DC328">
            <v>537</v>
          </cell>
          <cell r="DD328">
            <v>537</v>
          </cell>
          <cell r="DE328">
            <v>432</v>
          </cell>
          <cell r="DG328" t="str">
            <v>Accounts payable</v>
          </cell>
          <cell r="DH328">
            <v>1446</v>
          </cell>
          <cell r="DI328">
            <v>1462</v>
          </cell>
          <cell r="DJ328">
            <v>1592</v>
          </cell>
          <cell r="DK328">
            <v>1686</v>
          </cell>
          <cell r="DL328">
            <v>1721</v>
          </cell>
          <cell r="DM328">
            <v>1741</v>
          </cell>
          <cell r="DN328">
            <v>1625</v>
          </cell>
          <cell r="DO328">
            <v>1956</v>
          </cell>
          <cell r="EB328" t="str">
            <v>Accounts payable</v>
          </cell>
          <cell r="EF328">
            <v>403</v>
          </cell>
          <cell r="EG328">
            <v>522</v>
          </cell>
          <cell r="EH328">
            <v>631</v>
          </cell>
        </row>
        <row r="329">
          <cell r="DA329" t="str">
            <v>Customer deposits on commercial contracts</v>
          </cell>
          <cell r="DB329">
            <v>662</v>
          </cell>
          <cell r="DC329">
            <v>629</v>
          </cell>
          <cell r="DD329">
            <v>585</v>
          </cell>
          <cell r="DE329">
            <v>653</v>
          </cell>
          <cell r="DG329" t="str">
            <v>Billings in excess of costs &amp; est profits</v>
          </cell>
          <cell r="DH329">
            <v>1211</v>
          </cell>
          <cell r="DI329">
            <v>1184</v>
          </cell>
          <cell r="DJ329">
            <v>1291</v>
          </cell>
          <cell r="DK329">
            <v>0</v>
          </cell>
          <cell r="DL329">
            <v>1581</v>
          </cell>
          <cell r="DM329">
            <v>1670</v>
          </cell>
          <cell r="DN329">
            <v>0</v>
          </cell>
          <cell r="DO329">
            <v>0</v>
          </cell>
          <cell r="EB329" t="str">
            <v>Billings in excess of costs &amp; est profits</v>
          </cell>
          <cell r="EG329">
            <v>139</v>
          </cell>
          <cell r="EH329">
            <v>142</v>
          </cell>
        </row>
        <row r="330">
          <cell r="CQ330" t="str">
            <v>Long-term debt</v>
          </cell>
          <cell r="CR330">
            <v>724</v>
          </cell>
          <cell r="CS330">
            <v>725</v>
          </cell>
          <cell r="CT330">
            <v>728</v>
          </cell>
          <cell r="CU330">
            <v>721</v>
          </cell>
          <cell r="CV330">
            <v>720</v>
          </cell>
          <cell r="CW330">
            <v>2720</v>
          </cell>
          <cell r="CX330">
            <v>3310</v>
          </cell>
          <cell r="CY330">
            <v>3296</v>
          </cell>
          <cell r="DA330" t="str">
            <v>Salaries and wages</v>
          </cell>
          <cell r="DB330">
            <v>359</v>
          </cell>
          <cell r="DC330">
            <v>360</v>
          </cell>
          <cell r="DD330">
            <v>399</v>
          </cell>
          <cell r="DE330">
            <v>365</v>
          </cell>
          <cell r="DG330" t="str">
            <v>Workers compensation</v>
          </cell>
          <cell r="DH330">
            <v>439</v>
          </cell>
          <cell r="DI330">
            <v>444</v>
          </cell>
          <cell r="DJ330">
            <v>443</v>
          </cell>
          <cell r="DK330">
            <v>412</v>
          </cell>
          <cell r="DL330">
            <v>433</v>
          </cell>
          <cell r="DM330">
            <v>431</v>
          </cell>
          <cell r="DN330">
            <v>437</v>
          </cell>
          <cell r="DO330">
            <v>546</v>
          </cell>
          <cell r="EB330" t="str">
            <v>Workers compensation</v>
          </cell>
          <cell r="EG330">
            <v>341</v>
          </cell>
          <cell r="EH330">
            <v>479</v>
          </cell>
        </row>
        <row r="331">
          <cell r="CQ331" t="str">
            <v>Deferred income taxes</v>
          </cell>
          <cell r="CV331">
            <v>217</v>
          </cell>
          <cell r="CW331">
            <v>220</v>
          </cell>
          <cell r="CX331">
            <v>305</v>
          </cell>
          <cell r="CY331">
            <v>343</v>
          </cell>
          <cell r="DA331" t="str">
            <v>Retirement benefits</v>
          </cell>
          <cell r="DB331">
            <v>322</v>
          </cell>
          <cell r="DC331">
            <v>330</v>
          </cell>
          <cell r="DD331">
            <v>372</v>
          </cell>
          <cell r="DE331">
            <v>357</v>
          </cell>
          <cell r="DG331" t="str">
            <v>Customer deposits on commercial contracts</v>
          </cell>
          <cell r="DH331">
            <v>697</v>
          </cell>
          <cell r="DI331">
            <v>674</v>
          </cell>
          <cell r="DJ331">
            <v>740</v>
          </cell>
          <cell r="DK331">
            <v>2565</v>
          </cell>
          <cell r="DL331">
            <v>873</v>
          </cell>
          <cell r="DM331">
            <v>939</v>
          </cell>
          <cell r="DN331">
            <v>2678</v>
          </cell>
          <cell r="DO331">
            <v>2949</v>
          </cell>
          <cell r="EB331" t="str">
            <v>Customer deposits on commercial contracts</v>
          </cell>
          <cell r="EG331">
            <v>488</v>
          </cell>
          <cell r="EH331">
            <v>471</v>
          </cell>
        </row>
        <row r="332">
          <cell r="CQ332" t="str">
            <v>Retirement benefits</v>
          </cell>
          <cell r="CV332">
            <v>345</v>
          </cell>
          <cell r="CW332">
            <v>328</v>
          </cell>
          <cell r="CX332">
            <v>339</v>
          </cell>
          <cell r="CY332">
            <v>340</v>
          </cell>
          <cell r="DA332" t="str">
            <v>Liabilities of discontinued operations</v>
          </cell>
          <cell r="DB332">
            <v>65</v>
          </cell>
          <cell r="DC332">
            <v>52</v>
          </cell>
          <cell r="DD332">
            <v>47</v>
          </cell>
          <cell r="DE332">
            <v>101</v>
          </cell>
          <cell r="DG332" t="str">
            <v>Salaries and wages</v>
          </cell>
          <cell r="DH332">
            <v>352</v>
          </cell>
          <cell r="DI332">
            <v>385</v>
          </cell>
          <cell r="DJ332">
            <v>424</v>
          </cell>
          <cell r="DK332">
            <v>387</v>
          </cell>
          <cell r="DL332">
            <v>407</v>
          </cell>
          <cell r="DM332">
            <v>481</v>
          </cell>
          <cell r="DN332">
            <v>514</v>
          </cell>
          <cell r="DO332">
            <v>457</v>
          </cell>
          <cell r="EB332" t="str">
            <v>Salaries and wages</v>
          </cell>
        </row>
        <row r="333">
          <cell r="CQ333" t="str">
            <v>Customer deposits on commercial contracts</v>
          </cell>
          <cell r="CV333">
            <v>82</v>
          </cell>
          <cell r="CW333">
            <v>76</v>
          </cell>
          <cell r="CX333">
            <v>77</v>
          </cell>
          <cell r="CY333">
            <v>77</v>
          </cell>
          <cell r="DA333" t="str">
            <v>Other current liabilities</v>
          </cell>
          <cell r="DB333">
            <v>998</v>
          </cell>
          <cell r="DC333">
            <v>960</v>
          </cell>
          <cell r="DD333">
            <v>1056</v>
          </cell>
          <cell r="DE333">
            <v>956</v>
          </cell>
          <cell r="DG333" t="str">
            <v>Retirement benefits</v>
          </cell>
          <cell r="DH333">
            <v>362</v>
          </cell>
          <cell r="DI333">
            <v>361</v>
          </cell>
          <cell r="DJ333">
            <v>385</v>
          </cell>
          <cell r="DK333">
            <v>369</v>
          </cell>
          <cell r="DL333">
            <v>776</v>
          </cell>
          <cell r="DM333">
            <v>854</v>
          </cell>
          <cell r="DN333">
            <v>903</v>
          </cell>
          <cell r="DO333">
            <v>739</v>
          </cell>
          <cell r="EB333" t="str">
            <v>Retirement benefits</v>
          </cell>
          <cell r="EG333">
            <v>196</v>
          </cell>
          <cell r="EH333">
            <v>279</v>
          </cell>
        </row>
        <row r="334">
          <cell r="CQ334" t="str">
            <v>Accrued costs of disposed businesses</v>
          </cell>
          <cell r="CV334">
            <v>67</v>
          </cell>
          <cell r="CW334">
            <v>66</v>
          </cell>
          <cell r="CX334">
            <v>64</v>
          </cell>
          <cell r="CY334">
            <v>63</v>
          </cell>
          <cell r="DA334" t="str">
            <v>Total Current Liabilities</v>
          </cell>
          <cell r="DB334">
            <v>5723</v>
          </cell>
          <cell r="DC334">
            <v>5444</v>
          </cell>
          <cell r="DD334">
            <v>5597</v>
          </cell>
          <cell r="DE334">
            <v>5378</v>
          </cell>
          <cell r="DG334" t="str">
            <v>Liabilities of discontinued operations</v>
          </cell>
          <cell r="DH334">
            <v>26</v>
          </cell>
          <cell r="DI334">
            <v>19</v>
          </cell>
          <cell r="DJ334">
            <v>14</v>
          </cell>
          <cell r="DK334">
            <v>207</v>
          </cell>
          <cell r="DL334">
            <v>55</v>
          </cell>
          <cell r="DM334">
            <v>156</v>
          </cell>
          <cell r="DN334">
            <v>151</v>
          </cell>
          <cell r="DO334">
            <v>228</v>
          </cell>
          <cell r="EB334" t="str">
            <v>Liabilities of discontinued operations</v>
          </cell>
        </row>
        <row r="335">
          <cell r="CQ335" t="str">
            <v>Other liabilities</v>
          </cell>
          <cell r="CR335">
            <v>1240</v>
          </cell>
          <cell r="CS335">
            <v>1238</v>
          </cell>
          <cell r="CT335">
            <v>1283</v>
          </cell>
          <cell r="CU335">
            <v>528</v>
          </cell>
          <cell r="CV335">
            <v>584</v>
          </cell>
          <cell r="CW335">
            <v>613</v>
          </cell>
          <cell r="CX335">
            <v>618</v>
          </cell>
          <cell r="CY335">
            <v>519</v>
          </cell>
          <cell r="DG335" t="str">
            <v>Other current liabilities</v>
          </cell>
          <cell r="DH335">
            <v>1043</v>
          </cell>
          <cell r="DI335">
            <v>905</v>
          </cell>
          <cell r="DJ335">
            <v>935</v>
          </cell>
          <cell r="DK335">
            <v>975</v>
          </cell>
          <cell r="DL335">
            <v>1035</v>
          </cell>
          <cell r="DM335">
            <v>983</v>
          </cell>
          <cell r="DN335">
            <v>889</v>
          </cell>
          <cell r="DO335">
            <v>942</v>
          </cell>
          <cell r="EB335" t="str">
            <v>Other current liabilities</v>
          </cell>
          <cell r="EF335">
            <v>1560</v>
          </cell>
          <cell r="EG335">
            <v>654</v>
          </cell>
          <cell r="EH335">
            <v>598</v>
          </cell>
        </row>
        <row r="336">
          <cell r="CQ336" t="str">
            <v>Total Noncurrent Liabilities</v>
          </cell>
          <cell r="CR336">
            <v>1964</v>
          </cell>
          <cell r="CS336">
            <v>1963</v>
          </cell>
          <cell r="CT336">
            <v>2011</v>
          </cell>
          <cell r="CU336">
            <v>1950</v>
          </cell>
          <cell r="CV336">
            <v>2015</v>
          </cell>
          <cell r="CW336">
            <v>4023</v>
          </cell>
          <cell r="CX336">
            <v>4713</v>
          </cell>
          <cell r="CY336">
            <v>4638</v>
          </cell>
          <cell r="DA336" t="str">
            <v>Long-term debt</v>
          </cell>
          <cell r="DB336">
            <v>3297</v>
          </cell>
          <cell r="DC336">
            <v>3297</v>
          </cell>
          <cell r="DD336">
            <v>3296</v>
          </cell>
          <cell r="DE336">
            <v>3291</v>
          </cell>
          <cell r="DG336" t="str">
            <v>Total Current Liabilities</v>
          </cell>
          <cell r="DH336">
            <v>5583</v>
          </cell>
          <cell r="DI336">
            <v>5941</v>
          </cell>
          <cell r="DJ336">
            <v>6331</v>
          </cell>
          <cell r="DK336">
            <v>7110</v>
          </cell>
          <cell r="DL336">
            <v>7388</v>
          </cell>
          <cell r="DM336">
            <v>8126</v>
          </cell>
          <cell r="DN336">
            <v>7526</v>
          </cell>
          <cell r="DO336">
            <v>7824</v>
          </cell>
          <cell r="EB336" t="str">
            <v>Total Current Liabilities</v>
          </cell>
          <cell r="EF336">
            <v>2146</v>
          </cell>
          <cell r="EG336">
            <v>2417</v>
          </cell>
          <cell r="EH336">
            <v>3453</v>
          </cell>
        </row>
        <row r="337">
          <cell r="DA337" t="str">
            <v>Deferred income taxes</v>
          </cell>
          <cell r="DB337">
            <v>518</v>
          </cell>
          <cell r="DC337">
            <v>609</v>
          </cell>
          <cell r="DD337">
            <v>620</v>
          </cell>
          <cell r="DE337">
            <v>640</v>
          </cell>
        </row>
        <row r="338">
          <cell r="CQ338" t="str">
            <v>Common Stock, including surplus</v>
          </cell>
          <cell r="CR338">
            <v>746</v>
          </cell>
          <cell r="CS338">
            <v>777</v>
          </cell>
          <cell r="CT338">
            <v>755</v>
          </cell>
          <cell r="CU338">
            <v>757</v>
          </cell>
          <cell r="CV338">
            <v>768</v>
          </cell>
          <cell r="CW338">
            <v>790</v>
          </cell>
          <cell r="CX338">
            <v>808</v>
          </cell>
          <cell r="CY338">
            <v>838</v>
          </cell>
          <cell r="DA338" t="str">
            <v>Retirement benefits</v>
          </cell>
          <cell r="DB338">
            <v>348</v>
          </cell>
          <cell r="DC338">
            <v>350</v>
          </cell>
          <cell r="DD338">
            <v>337</v>
          </cell>
          <cell r="DE338">
            <v>342</v>
          </cell>
          <cell r="DG338" t="str">
            <v>Long-term debt</v>
          </cell>
          <cell r="DH338">
            <v>3290</v>
          </cell>
          <cell r="DI338">
            <v>2791</v>
          </cell>
          <cell r="DJ338">
            <v>2790</v>
          </cell>
          <cell r="DK338">
            <v>2778</v>
          </cell>
          <cell r="DL338">
            <v>2778</v>
          </cell>
          <cell r="DM338">
            <v>2778</v>
          </cell>
          <cell r="DN338">
            <v>2778</v>
          </cell>
          <cell r="DO338">
            <v>2774</v>
          </cell>
          <cell r="EB338" t="str">
            <v>Long-term debt</v>
          </cell>
          <cell r="EF338">
            <v>462</v>
          </cell>
          <cell r="EG338">
            <v>453</v>
          </cell>
          <cell r="EH338">
            <v>169</v>
          </cell>
        </row>
        <row r="339">
          <cell r="CQ339" t="str">
            <v>Retained Earnings</v>
          </cell>
          <cell r="CR339">
            <v>4948</v>
          </cell>
          <cell r="CS339">
            <v>5150</v>
          </cell>
          <cell r="CT339">
            <v>5358</v>
          </cell>
          <cell r="CU339">
            <v>5455</v>
          </cell>
          <cell r="CV339">
            <v>5613</v>
          </cell>
          <cell r="CW339">
            <v>5793</v>
          </cell>
          <cell r="CX339">
            <v>5992</v>
          </cell>
          <cell r="CY339">
            <v>6206</v>
          </cell>
          <cell r="DA339" t="str">
            <v>Customer deposits on commercial contracts</v>
          </cell>
          <cell r="DB339">
            <v>33</v>
          </cell>
          <cell r="DC339">
            <v>39</v>
          </cell>
          <cell r="DD339">
            <v>57</v>
          </cell>
          <cell r="DE339">
            <v>100</v>
          </cell>
          <cell r="DG339" t="str">
            <v>Deferred income taxes</v>
          </cell>
          <cell r="DH339">
            <v>682</v>
          </cell>
          <cell r="DI339">
            <v>656</v>
          </cell>
          <cell r="DJ339">
            <v>721</v>
          </cell>
          <cell r="DK339">
            <v>806</v>
          </cell>
          <cell r="DL339">
            <v>706</v>
          </cell>
          <cell r="DM339">
            <v>894</v>
          </cell>
          <cell r="DN339">
            <v>879</v>
          </cell>
          <cell r="DO339">
            <v>854</v>
          </cell>
          <cell r="EB339" t="str">
            <v>Deferred income taxes</v>
          </cell>
        </row>
        <row r="340">
          <cell r="CQ340" t="str">
            <v>Treasury Stock</v>
          </cell>
          <cell r="CR340">
            <v>-933</v>
          </cell>
          <cell r="CS340">
            <v>-927</v>
          </cell>
          <cell r="CT340">
            <v>-997</v>
          </cell>
          <cell r="CU340">
            <v>-1016</v>
          </cell>
          <cell r="CV340">
            <v>-1277</v>
          </cell>
          <cell r="CW340">
            <v>-1301</v>
          </cell>
          <cell r="CX340">
            <v>-1290</v>
          </cell>
          <cell r="CY340">
            <v>-1279</v>
          </cell>
          <cell r="DA340" t="str">
            <v>Accrued costs of disposed businesses</v>
          </cell>
          <cell r="DB340">
            <v>52</v>
          </cell>
          <cell r="DC340">
            <v>51</v>
          </cell>
          <cell r="DD340">
            <v>49</v>
          </cell>
          <cell r="DE340">
            <v>48</v>
          </cell>
          <cell r="DG340" t="str">
            <v>Retirement benefits</v>
          </cell>
          <cell r="DH340">
            <v>340</v>
          </cell>
          <cell r="DI340">
            <v>345</v>
          </cell>
          <cell r="DJ340">
            <v>322</v>
          </cell>
          <cell r="DK340">
            <v>261</v>
          </cell>
          <cell r="DL340">
            <v>314</v>
          </cell>
          <cell r="DM340">
            <v>254</v>
          </cell>
          <cell r="DN340">
            <v>256</v>
          </cell>
          <cell r="DO340">
            <v>386</v>
          </cell>
          <cell r="EB340" t="str">
            <v>Retirement benefits</v>
          </cell>
          <cell r="EG340">
            <v>268</v>
          </cell>
          <cell r="EH340">
            <v>296</v>
          </cell>
        </row>
        <row r="341">
          <cell r="CQ341" t="str">
            <v>Accumulated other comprehensive income</v>
          </cell>
          <cell r="CR341">
            <v>-20</v>
          </cell>
          <cell r="CS341">
            <v>-11</v>
          </cell>
          <cell r="CT341">
            <v>5</v>
          </cell>
          <cell r="CU341">
            <v>3</v>
          </cell>
          <cell r="CV341">
            <v>4</v>
          </cell>
          <cell r="CW341">
            <v>125</v>
          </cell>
          <cell r="CX341">
            <v>76</v>
          </cell>
          <cell r="CY341">
            <v>156</v>
          </cell>
          <cell r="DA341" t="str">
            <v>Other liabilities</v>
          </cell>
          <cell r="DB341">
            <v>480</v>
          </cell>
          <cell r="DC341">
            <v>482</v>
          </cell>
          <cell r="DD341">
            <v>432</v>
          </cell>
          <cell r="DE341">
            <v>556</v>
          </cell>
          <cell r="DG341" t="str">
            <v>Customer deposits on commercial contracts</v>
          </cell>
          <cell r="DH341">
            <v>115</v>
          </cell>
          <cell r="DI341">
            <v>160</v>
          </cell>
          <cell r="DJ341">
            <v>140</v>
          </cell>
          <cell r="DK341">
            <v>216</v>
          </cell>
          <cell r="DL341">
            <v>169</v>
          </cell>
          <cell r="DM341">
            <v>193</v>
          </cell>
          <cell r="DN341">
            <v>257</v>
          </cell>
          <cell r="DO341">
            <v>308</v>
          </cell>
          <cell r="EB341" t="str">
            <v>Customer deposits on commercial contracts</v>
          </cell>
        </row>
        <row r="342">
          <cell r="CQ342" t="str">
            <v>Total Shareholders' Equity</v>
          </cell>
          <cell r="CR342">
            <v>4741</v>
          </cell>
          <cell r="CS342">
            <v>4989</v>
          </cell>
          <cell r="CT342">
            <v>5121</v>
          </cell>
          <cell r="CU342">
            <v>5199</v>
          </cell>
          <cell r="CV342">
            <v>5108</v>
          </cell>
          <cell r="CW342">
            <v>5407</v>
          </cell>
          <cell r="CX342">
            <v>5586</v>
          </cell>
          <cell r="CY342">
            <v>5921</v>
          </cell>
          <cell r="DA342" t="str">
            <v>Total Noncurrent Liabilities</v>
          </cell>
          <cell r="DB342">
            <v>4728</v>
          </cell>
          <cell r="DC342">
            <v>4828</v>
          </cell>
          <cell r="DD342">
            <v>4791</v>
          </cell>
          <cell r="DE342">
            <v>4977</v>
          </cell>
          <cell r="DG342" t="str">
            <v>Accrued costs of disposed businesses</v>
          </cell>
          <cell r="DH342">
            <v>46</v>
          </cell>
          <cell r="DI342">
            <v>46</v>
          </cell>
          <cell r="DJ342">
            <v>45</v>
          </cell>
          <cell r="DK342">
            <v>0</v>
          </cell>
          <cell r="DL342">
            <v>0</v>
          </cell>
          <cell r="DM342">
            <v>0</v>
          </cell>
          <cell r="DN342">
            <v>0</v>
          </cell>
          <cell r="DO342">
            <v>0</v>
          </cell>
          <cell r="EB342" t="str">
            <v>Accrued costs of disposed businesses</v>
          </cell>
          <cell r="EG342">
            <v>177</v>
          </cell>
          <cell r="EH342">
            <v>156</v>
          </cell>
        </row>
        <row r="343">
          <cell r="DG343" t="str">
            <v>Other liabilities</v>
          </cell>
          <cell r="DH343">
            <v>453</v>
          </cell>
          <cell r="DI343">
            <v>422</v>
          </cell>
          <cell r="DJ343">
            <v>428</v>
          </cell>
          <cell r="DK343">
            <v>384</v>
          </cell>
          <cell r="DL343">
            <v>467</v>
          </cell>
          <cell r="DM343">
            <v>406</v>
          </cell>
          <cell r="DN343">
            <v>409</v>
          </cell>
          <cell r="DO343">
            <v>403</v>
          </cell>
          <cell r="EB343" t="str">
            <v>Other liabilities</v>
          </cell>
          <cell r="EF343">
            <v>967</v>
          </cell>
          <cell r="EG343">
            <v>466</v>
          </cell>
          <cell r="EH343">
            <v>529</v>
          </cell>
        </row>
        <row r="344">
          <cell r="CQ344" t="str">
            <v>Total Liabilities and Equity</v>
          </cell>
          <cell r="CR344">
            <v>11315</v>
          </cell>
          <cell r="CS344">
            <v>11829</v>
          </cell>
          <cell r="CT344">
            <v>12090</v>
          </cell>
          <cell r="CU344">
            <v>11731</v>
          </cell>
          <cell r="CV344">
            <v>13703</v>
          </cell>
          <cell r="CW344">
            <v>13993</v>
          </cell>
          <cell r="CX344">
            <v>15880</v>
          </cell>
          <cell r="CY344">
            <v>16183</v>
          </cell>
          <cell r="DA344" t="str">
            <v>Common Stock, including surplus</v>
          </cell>
          <cell r="DB344">
            <v>891</v>
          </cell>
          <cell r="DC344">
            <v>940</v>
          </cell>
          <cell r="DD344">
            <v>960</v>
          </cell>
          <cell r="DE344">
            <v>998</v>
          </cell>
          <cell r="DG344" t="str">
            <v>Total Noncurrent Liabilities</v>
          </cell>
          <cell r="DH344">
            <v>4926</v>
          </cell>
          <cell r="DI344">
            <v>4420</v>
          </cell>
          <cell r="DJ344">
            <v>4446</v>
          </cell>
          <cell r="DK344">
            <v>4445</v>
          </cell>
          <cell r="DL344">
            <v>4434</v>
          </cell>
          <cell r="DM344">
            <v>4525</v>
          </cell>
          <cell r="DN344">
            <v>4579</v>
          </cell>
          <cell r="DO344">
            <v>4725</v>
          </cell>
          <cell r="EB344" t="str">
            <v>Total Noncurrent Liabilities</v>
          </cell>
          <cell r="EF344">
            <v>1429</v>
          </cell>
          <cell r="EG344">
            <v>1364</v>
          </cell>
          <cell r="EH344">
            <v>1150</v>
          </cell>
        </row>
        <row r="345">
          <cell r="CQ345" t="str">
            <v>balance check</v>
          </cell>
          <cell r="CR345">
            <v>0</v>
          </cell>
          <cell r="CS345">
            <v>0</v>
          </cell>
          <cell r="CT345">
            <v>0</v>
          </cell>
          <cell r="CU345">
            <v>0</v>
          </cell>
          <cell r="CV345">
            <v>0</v>
          </cell>
          <cell r="CW345">
            <v>0</v>
          </cell>
          <cell r="CX345">
            <v>0</v>
          </cell>
          <cell r="CY345">
            <v>0</v>
          </cell>
          <cell r="DA345" t="str">
            <v>Retained Earnings</v>
          </cell>
          <cell r="DB345">
            <v>6404</v>
          </cell>
          <cell r="DC345">
            <v>6632</v>
          </cell>
          <cell r="DD345">
            <v>6882</v>
          </cell>
          <cell r="DE345">
            <v>7146</v>
          </cell>
        </row>
        <row r="346">
          <cell r="DA346" t="str">
            <v>Treasury Stock</v>
          </cell>
          <cell r="DB346">
            <v>-1265</v>
          </cell>
          <cell r="DC346">
            <v>-1240</v>
          </cell>
          <cell r="DD346">
            <v>-1231</v>
          </cell>
          <cell r="DE346">
            <v>-1206</v>
          </cell>
          <cell r="DG346" t="str">
            <v>Common Stock, including surplus</v>
          </cell>
          <cell r="DH346">
            <v>1056</v>
          </cell>
          <cell r="DI346">
            <v>1086</v>
          </cell>
          <cell r="DJ346">
            <v>1113</v>
          </cell>
          <cell r="DK346">
            <v>1127</v>
          </cell>
          <cell r="DL346">
            <v>1231</v>
          </cell>
          <cell r="DM346">
            <v>1271</v>
          </cell>
          <cell r="DN346">
            <v>1300</v>
          </cell>
          <cell r="DO346">
            <v>1362</v>
          </cell>
          <cell r="EB346" t="str">
            <v>Common Stock, including surplus</v>
          </cell>
          <cell r="EG346">
            <v>484</v>
          </cell>
          <cell r="EH346">
            <v>487.4</v>
          </cell>
        </row>
        <row r="347">
          <cell r="DA347" t="str">
            <v>Accumulated other comprehensive income</v>
          </cell>
          <cell r="DB347">
            <v>187</v>
          </cell>
          <cell r="DC347">
            <v>126</v>
          </cell>
          <cell r="DD347">
            <v>166</v>
          </cell>
          <cell r="DE347">
            <v>251</v>
          </cell>
          <cell r="DG347" t="str">
            <v>Retained Earnings</v>
          </cell>
          <cell r="DH347">
            <v>7402</v>
          </cell>
          <cell r="DI347">
            <v>7666</v>
          </cell>
          <cell r="DJ347">
            <v>7960</v>
          </cell>
          <cell r="DK347">
            <v>8285</v>
          </cell>
          <cell r="DL347">
            <v>8566</v>
          </cell>
          <cell r="DM347">
            <v>9109</v>
          </cell>
          <cell r="DN347">
            <v>9455</v>
          </cell>
          <cell r="DO347">
            <v>9769</v>
          </cell>
          <cell r="EB347" t="str">
            <v>Retained Earnings</v>
          </cell>
          <cell r="EG347">
            <v>2639</v>
          </cell>
          <cell r="EH347">
            <v>3363</v>
          </cell>
        </row>
        <row r="348">
          <cell r="CQ348" t="str">
            <v>Working Capital Assumptions</v>
          </cell>
          <cell r="DA348" t="str">
            <v>Total Shareholders' Equity</v>
          </cell>
          <cell r="DB348">
            <v>6217</v>
          </cell>
          <cell r="DC348">
            <v>6458</v>
          </cell>
          <cell r="DD348">
            <v>6777</v>
          </cell>
          <cell r="DE348">
            <v>7189</v>
          </cell>
          <cell r="DG348" t="str">
            <v>Treasury Stock</v>
          </cell>
          <cell r="DH348">
            <v>-1277</v>
          </cell>
          <cell r="DI348">
            <v>-1358</v>
          </cell>
          <cell r="DJ348">
            <v>-1345</v>
          </cell>
          <cell r="DK348">
            <v>-1493</v>
          </cell>
          <cell r="DL348">
            <v>-1451</v>
          </cell>
          <cell r="DM348">
            <v>-1503</v>
          </cell>
          <cell r="DN348">
            <v>-1481</v>
          </cell>
          <cell r="DO348">
            <v>-1455</v>
          </cell>
          <cell r="EB348" t="str">
            <v>Treasury Stock</v>
          </cell>
          <cell r="EG348">
            <v>-706</v>
          </cell>
          <cell r="EH348">
            <v>-673</v>
          </cell>
        </row>
        <row r="349">
          <cell r="CQ349" t="str">
            <v>Accounts Receivables (Days Sales Outstanding)</v>
          </cell>
          <cell r="CR349">
            <v>35.106382978723403</v>
          </cell>
          <cell r="CS349">
            <v>33.884768967484312</v>
          </cell>
          <cell r="CT349">
            <v>31.680876979293547</v>
          </cell>
          <cell r="CU349">
            <v>25.517423442449843</v>
          </cell>
          <cell r="CV349">
            <v>33.560673162090346</v>
          </cell>
          <cell r="CW349">
            <v>28.575462012320326</v>
          </cell>
          <cell r="CX349">
            <v>31.040183696900115</v>
          </cell>
          <cell r="CY349">
            <v>25.567533291058972</v>
          </cell>
          <cell r="DG349" t="str">
            <v>Accumulated other comprehensive income</v>
          </cell>
          <cell r="DH349">
            <v>215</v>
          </cell>
          <cell r="DI349">
            <v>182</v>
          </cell>
          <cell r="DJ349">
            <v>245</v>
          </cell>
          <cell r="DK349">
            <v>226</v>
          </cell>
          <cell r="DL349">
            <v>121</v>
          </cell>
          <cell r="DM349">
            <v>204</v>
          </cell>
          <cell r="DN349">
            <v>198</v>
          </cell>
          <cell r="DO349">
            <v>151</v>
          </cell>
          <cell r="EB349" t="str">
            <v>Accumulated other comprehensive income</v>
          </cell>
          <cell r="EG349">
            <v>-2</v>
          </cell>
          <cell r="EH349">
            <v>-7</v>
          </cell>
        </row>
        <row r="350">
          <cell r="CQ350" t="str">
            <v>Contracts in Progress (Days Sales Outstanding, ex. Gulfstream)</v>
          </cell>
          <cell r="CR350">
            <v>68.298418127404872</v>
          </cell>
          <cell r="CS350">
            <v>63.301599390708304</v>
          </cell>
          <cell r="CT350">
            <v>68.039292730844792</v>
          </cell>
          <cell r="CU350">
            <v>59.791738979521</v>
          </cell>
          <cell r="CV350">
            <v>70.891514500537056</v>
          </cell>
          <cell r="CW350">
            <v>68.355862936183598</v>
          </cell>
          <cell r="CX350">
            <v>61.454750493374682</v>
          </cell>
          <cell r="CY350">
            <v>57.039979497693494</v>
          </cell>
          <cell r="DA350" t="str">
            <v>Total Liabilities and Equity</v>
          </cell>
          <cell r="DB350">
            <v>16668</v>
          </cell>
          <cell r="DC350">
            <v>16730</v>
          </cell>
          <cell r="DD350">
            <v>17165</v>
          </cell>
          <cell r="DE350">
            <v>17544</v>
          </cell>
          <cell r="DG350" t="str">
            <v>Total Shareholders' Equity</v>
          </cell>
          <cell r="DH350">
            <v>7396</v>
          </cell>
          <cell r="DI350">
            <v>7576</v>
          </cell>
          <cell r="DJ350">
            <v>7973</v>
          </cell>
          <cell r="DK350">
            <v>8145</v>
          </cell>
          <cell r="DL350">
            <v>8467</v>
          </cell>
          <cell r="DM350">
            <v>9081</v>
          </cell>
          <cell r="DN350">
            <v>9472</v>
          </cell>
          <cell r="DO350">
            <v>9827</v>
          </cell>
          <cell r="EB350" t="str">
            <v>Total Shareholders' Equity</v>
          </cell>
          <cell r="EF350">
            <v>2008</v>
          </cell>
          <cell r="EG350">
            <v>2415</v>
          </cell>
          <cell r="EH350">
            <v>3170.4</v>
          </cell>
        </row>
        <row r="351">
          <cell r="CQ351" t="str">
            <v>Inventory (% of Gulfstream Sales)</v>
          </cell>
          <cell r="CR351">
            <v>0.4446264744429882</v>
          </cell>
          <cell r="CS351">
            <v>0.38920454545454547</v>
          </cell>
          <cell r="CT351">
            <v>0.52571041948579156</v>
          </cell>
          <cell r="CU351">
            <v>0.38726571113561192</v>
          </cell>
          <cell r="CV351">
            <v>0.61279461279461278</v>
          </cell>
          <cell r="CW351">
            <v>0.48076923076923078</v>
          </cell>
          <cell r="CX351">
            <v>0.37840346534653463</v>
          </cell>
          <cell r="CY351">
            <v>0.34951749095295537</v>
          </cell>
          <cell r="DA351" t="str">
            <v>balance check</v>
          </cell>
          <cell r="DB351">
            <v>0</v>
          </cell>
          <cell r="DC351">
            <v>0</v>
          </cell>
          <cell r="DD351">
            <v>0</v>
          </cell>
          <cell r="DE351">
            <v>0</v>
          </cell>
        </row>
        <row r="352">
          <cell r="CQ352" t="str">
            <v>Other Current Assets (% of Sales)</v>
          </cell>
          <cell r="CR352">
            <v>3.5702772404900066E-2</v>
          </cell>
          <cell r="CS352">
            <v>3.0733029092983456E-2</v>
          </cell>
          <cell r="CT352">
            <v>2.9613276492082827E-2</v>
          </cell>
          <cell r="CU352">
            <v>2.4881203801478353E-2</v>
          </cell>
          <cell r="CV352">
            <v>2.4653085326247416E-2</v>
          </cell>
          <cell r="CW352">
            <v>2.0277207392197124E-2</v>
          </cell>
          <cell r="CX352">
            <v>2.7554535017221583E-2</v>
          </cell>
          <cell r="CY352">
            <v>4.158740224054111E-2</v>
          </cell>
          <cell r="DG352" t="str">
            <v>Total Liabilities and Equity</v>
          </cell>
          <cell r="DH352">
            <v>17905</v>
          </cell>
          <cell r="DI352">
            <v>17937</v>
          </cell>
          <cell r="DJ352">
            <v>18750</v>
          </cell>
          <cell r="DK352">
            <v>19700</v>
          </cell>
          <cell r="DL352">
            <v>20289</v>
          </cell>
          <cell r="DM352">
            <v>21732</v>
          </cell>
          <cell r="DN352">
            <v>21577</v>
          </cell>
          <cell r="DO352">
            <v>22376</v>
          </cell>
          <cell r="EB352" t="str">
            <v>Total Liabilities and Equity</v>
          </cell>
          <cell r="EF352">
            <v>5583</v>
          </cell>
          <cell r="EG352">
            <v>6196</v>
          </cell>
          <cell r="EH352">
            <v>7773.4</v>
          </cell>
        </row>
        <row r="353">
          <cell r="CQ353" t="str">
            <v>Accounts Payable (% of Sales)</v>
          </cell>
          <cell r="CR353">
            <v>7.0116054158607347E-2</v>
          </cell>
          <cell r="CS353">
            <v>6.667142042213349E-2</v>
          </cell>
          <cell r="CT353">
            <v>7.9247868453105969E-2</v>
          </cell>
          <cell r="CU353">
            <v>6.9693769799366423E-2</v>
          </cell>
          <cell r="CV353">
            <v>8.9459698848538535E-2</v>
          </cell>
          <cell r="CW353">
            <v>7.6681211498973306E-2</v>
          </cell>
          <cell r="CX353">
            <v>7.7669345579793339E-2</v>
          </cell>
          <cell r="CY353">
            <v>6.8061720566476427E-2</v>
          </cell>
          <cell r="DG353" t="str">
            <v>balance check</v>
          </cell>
          <cell r="DH353">
            <v>0</v>
          </cell>
          <cell r="DI353">
            <v>0</v>
          </cell>
          <cell r="DJ353">
            <v>0</v>
          </cell>
          <cell r="DK353">
            <v>0</v>
          </cell>
          <cell r="DL353">
            <v>0</v>
          </cell>
          <cell r="DM353">
            <v>0</v>
          </cell>
          <cell r="DN353">
            <v>0</v>
          </cell>
          <cell r="DO353">
            <v>0</v>
          </cell>
          <cell r="EB353" t="str">
            <v>balance check</v>
          </cell>
          <cell r="EF353">
            <v>0.4750000000003638</v>
          </cell>
          <cell r="EG353">
            <v>-92.664200000000164</v>
          </cell>
          <cell r="EH353">
            <v>-93.054199999999582</v>
          </cell>
        </row>
        <row r="354">
          <cell r="CQ354" t="str">
            <v>Billings in Excess (% of Sales)</v>
          </cell>
          <cell r="CV354">
            <v>4.8198996161795099E-2</v>
          </cell>
          <cell r="CW354">
            <v>4.3570328542094458E-2</v>
          </cell>
          <cell r="CX354">
            <v>3.0195177956371985E-2</v>
          </cell>
          <cell r="CY354">
            <v>4.179877404354259E-2</v>
          </cell>
          <cell r="DA354" t="str">
            <v>Working Capital Assumptions</v>
          </cell>
        </row>
        <row r="355">
          <cell r="CQ355" t="str">
            <v>Workers Compensation (% of Sales)</v>
          </cell>
          <cell r="CV355">
            <v>3.7570121051077647E-2</v>
          </cell>
          <cell r="CW355">
            <v>3.1827515400410678E-2</v>
          </cell>
          <cell r="CX355">
            <v>2.8243398392652126E-2</v>
          </cell>
          <cell r="CY355">
            <v>2.8905094060452337E-2</v>
          </cell>
          <cell r="DA355" t="str">
            <v>Marketable Securities (% of Previous Cash)</v>
          </cell>
          <cell r="DB355">
            <v>0</v>
          </cell>
          <cell r="DC355">
            <v>0</v>
          </cell>
          <cell r="DD355">
            <v>0</v>
          </cell>
          <cell r="DE355">
            <v>0</v>
          </cell>
        </row>
        <row r="356">
          <cell r="CQ356" t="str">
            <v>Customer Deposits, Current (% of Sales)</v>
          </cell>
          <cell r="CV356">
            <v>2.4800708591674048E-2</v>
          </cell>
          <cell r="CW356">
            <v>2.2138090349075976E-2</v>
          </cell>
          <cell r="CX356">
            <v>1.9402985074626865E-2</v>
          </cell>
          <cell r="CY356">
            <v>2.4571972098922003E-2</v>
          </cell>
          <cell r="DA356" t="str">
            <v>Accounts Receivables (Days Sales Outstanding)</v>
          </cell>
          <cell r="DB356">
            <v>29.541541110632803</v>
          </cell>
          <cell r="DC356">
            <v>26.620808254514188</v>
          </cell>
          <cell r="DD356">
            <v>27.850225952227245</v>
          </cell>
          <cell r="DE356">
            <v>26.508226691042047</v>
          </cell>
          <cell r="DG356" t="str">
            <v>Working Capital Assumptions</v>
          </cell>
          <cell r="EB356" t="str">
            <v>Working Capital Assumptions</v>
          </cell>
        </row>
        <row r="357">
          <cell r="CQ357" t="str">
            <v>Salaries and Wages (% of Sales)</v>
          </cell>
          <cell r="CV357">
            <v>1.5795689400649543E-2</v>
          </cell>
          <cell r="CW357">
            <v>1.6042094455852154E-2</v>
          </cell>
          <cell r="CX357">
            <v>2.0895522388059702E-2</v>
          </cell>
          <cell r="CY357">
            <v>1.8759247516381316E-2</v>
          </cell>
          <cell r="DA357" t="str">
            <v>Contracts in Progress (Days Sales Outstanding, ex. Gulfstream)</v>
          </cell>
          <cell r="DB357">
            <v>58.544554455445549</v>
          </cell>
          <cell r="DC357">
            <v>61.290904406080912</v>
          </cell>
          <cell r="DD357">
            <v>69.353078721745916</v>
          </cell>
          <cell r="DE357">
            <v>63.656387665198238</v>
          </cell>
          <cell r="DG357" t="str">
            <v>Marketable Securities (% of Previous Cash)</v>
          </cell>
          <cell r="DH357">
            <v>0</v>
          </cell>
          <cell r="DI357">
            <v>0</v>
          </cell>
          <cell r="DJ357">
            <v>0</v>
          </cell>
          <cell r="DK357">
            <v>0</v>
          </cell>
          <cell r="DL357">
            <v>0</v>
          </cell>
          <cell r="DM357">
            <v>0</v>
          </cell>
          <cell r="DN357">
            <v>0</v>
          </cell>
          <cell r="DO357">
            <v>0</v>
          </cell>
          <cell r="EB357" t="str">
            <v>Marketable Securities (% of Previous Cash)</v>
          </cell>
          <cell r="EG357">
            <v>0.13891482131520969</v>
          </cell>
          <cell r="EH357">
            <v>0</v>
          </cell>
        </row>
        <row r="358">
          <cell r="CQ358" t="str">
            <v>Other Current Liabilities (% of Sales)</v>
          </cell>
          <cell r="CR358">
            <v>0.19729206963249515</v>
          </cell>
          <cell r="CS358">
            <v>0.19388191671420421</v>
          </cell>
          <cell r="CT358">
            <v>0.19975639464068209</v>
          </cell>
          <cell r="CU358">
            <v>4.923442449841605E-2</v>
          </cell>
          <cell r="CV358">
            <v>6.443755535872453E-2</v>
          </cell>
          <cell r="CW358">
            <v>5.3644763860369607E-2</v>
          </cell>
          <cell r="CX358">
            <v>5.0918484500574054E-2</v>
          </cell>
          <cell r="CY358">
            <v>5.2631578947368418E-2</v>
          </cell>
          <cell r="DA358" t="str">
            <v>Inventory (% of Gulfstream Sales)</v>
          </cell>
          <cell r="DB358">
            <v>0.52310231023102305</v>
          </cell>
          <cell r="DC358">
            <v>0.40077821011673154</v>
          </cell>
          <cell r="DD358">
            <v>0.4031954887218045</v>
          </cell>
          <cell r="DE358">
            <v>0.3569295101553166</v>
          </cell>
          <cell r="DG358" t="str">
            <v>Accounts Receivables (Days Sales Outstanding)</v>
          </cell>
          <cell r="DH358">
            <v>28.497485331098069</v>
          </cell>
          <cell r="DI358">
            <v>29.380961650768931</v>
          </cell>
          <cell r="DJ358">
            <v>29.196529611467369</v>
          </cell>
          <cell r="DK358">
            <v>31.290770298403881</v>
          </cell>
          <cell r="DL358">
            <v>28.285250631085468</v>
          </cell>
          <cell r="DM358">
            <v>30</v>
          </cell>
          <cell r="DN358">
            <v>31.794364804745427</v>
          </cell>
          <cell r="DO358">
            <v>32.344181762357998</v>
          </cell>
          <cell r="EB358" t="str">
            <v>Accounts Receivables (Days Sales Outstanding)</v>
          </cell>
          <cell r="EF358">
            <v>24.541383313982415</v>
          </cell>
          <cell r="EG358">
            <v>27.710683477106834</v>
          </cell>
          <cell r="EH358">
            <v>29.976559883915613</v>
          </cell>
        </row>
        <row r="359">
          <cell r="CQ359" t="str">
            <v>Other Liabilities (% of Sales)</v>
          </cell>
          <cell r="CV359">
            <v>4.310599350457632E-2</v>
          </cell>
          <cell r="CW359">
            <v>3.9335215605749485E-2</v>
          </cell>
          <cell r="CX359">
            <v>3.5476463834672789E-2</v>
          </cell>
          <cell r="CY359">
            <v>2.7425491439441979E-2</v>
          </cell>
          <cell r="DA359" t="str">
            <v>Other Current Assets (% of Sales)</v>
          </cell>
          <cell r="DB359">
            <v>2.5936289281102025E-2</v>
          </cell>
          <cell r="DC359">
            <v>2.7622527944969905E-2</v>
          </cell>
          <cell r="DD359">
            <v>2.6414891327738325E-2</v>
          </cell>
          <cell r="DE359">
            <v>4.1641275644931953E-2</v>
          </cell>
          <cell r="DG359" t="str">
            <v>Contracts in Progress (Days Sales Outstanding, ex. Gulfstream)</v>
          </cell>
          <cell r="DH359">
            <v>68.345359542174663</v>
          </cell>
          <cell r="DI359">
            <v>64.37224414017173</v>
          </cell>
          <cell r="DJ359">
            <v>64.142402183803455</v>
          </cell>
          <cell r="DK359">
            <v>58.879202988792031</v>
          </cell>
          <cell r="DL359">
            <v>68.44054580896686</v>
          </cell>
          <cell r="DM359">
            <v>70.990343127183067</v>
          </cell>
          <cell r="DN359">
            <v>69.026495383380166</v>
          </cell>
          <cell r="DO359">
            <v>65.484400656814458</v>
          </cell>
          <cell r="EB359" t="str">
            <v>Contracts in Progress (Days Sales Outstanding, ex. Gulfstream)</v>
          </cell>
          <cell r="EF359">
            <v>61.265454545454546</v>
          </cell>
          <cell r="EG359">
            <v>67.107891129821809</v>
          </cell>
          <cell r="EH359">
            <v>71.642975206611567</v>
          </cell>
        </row>
        <row r="360">
          <cell r="DA360" t="str">
            <v>Accounts Payable (% of Sales)</v>
          </cell>
          <cell r="DB360">
            <v>7.3719328454584593E-2</v>
          </cell>
          <cell r="DC360">
            <v>6.7551590713671533E-2</v>
          </cell>
          <cell r="DD360">
            <v>6.9722401549386706E-2</v>
          </cell>
          <cell r="DE360">
            <v>7.6426975421490961E-2</v>
          </cell>
          <cell r="DG360" t="str">
            <v>Inventory (% of Gulfstream Sales)</v>
          </cell>
          <cell r="DH360">
            <v>0.40172642762284194</v>
          </cell>
          <cell r="DI360">
            <v>0.35899758454106279</v>
          </cell>
          <cell r="DJ360">
            <v>0.37251655629139074</v>
          </cell>
          <cell r="DK360">
            <v>0.34170190274841439</v>
          </cell>
          <cell r="DL360">
            <v>0.38670613562970935</v>
          </cell>
          <cell r="DM360">
            <v>0.34840674789128395</v>
          </cell>
          <cell r="DN360">
            <v>0.32405703771849126</v>
          </cell>
          <cell r="DO360">
            <v>0.3591481122942885</v>
          </cell>
          <cell r="EB360" t="str">
            <v>Inventory (% of Gulfstream Sales)</v>
          </cell>
          <cell r="EF360">
            <v>0.34138655462184875</v>
          </cell>
          <cell r="EG360">
            <v>0.33113673805601318</v>
          </cell>
          <cell r="EH360">
            <v>0.3303540735647989</v>
          </cell>
        </row>
        <row r="361">
          <cell r="CQ361" t="str">
            <v>Inventory Breakdown</v>
          </cell>
          <cell r="DA361" t="str">
            <v>Billings in Excess (% of Sales)</v>
          </cell>
          <cell r="DB361">
            <v>4.5576840292724928E-2</v>
          </cell>
          <cell r="DC361">
            <v>4.2992261392949267E-2</v>
          </cell>
          <cell r="DD361">
            <v>4.9171508500107597E-2</v>
          </cell>
          <cell r="DE361">
            <v>5.0934389599837496E-2</v>
          </cell>
          <cell r="DG361" t="str">
            <v>Other Current Assets (% of Sales)</v>
          </cell>
          <cell r="DH361">
            <v>2.284157585917854E-2</v>
          </cell>
          <cell r="DI361">
            <v>2.3505937317500485E-2</v>
          </cell>
          <cell r="DJ361">
            <v>2.0228215767634856E-2</v>
          </cell>
          <cell r="DK361">
            <v>2.9016308119361553E-2</v>
          </cell>
          <cell r="DL361">
            <v>2.4522178146411829E-2</v>
          </cell>
          <cell r="DM361">
            <v>2.3171553758004719E-2</v>
          </cell>
          <cell r="DN361">
            <v>2.788762563849069E-2</v>
          </cell>
          <cell r="DO361">
            <v>1.7769419711390851E-2</v>
          </cell>
          <cell r="EB361" t="str">
            <v>Other Current Assets (% of Sales)</v>
          </cell>
          <cell r="EF361">
            <v>5.5896500248797477E-2</v>
          </cell>
          <cell r="EG361">
            <v>5.1891174518911745E-2</v>
          </cell>
          <cell r="EH361">
            <v>3.4602076124567477E-2</v>
          </cell>
        </row>
        <row r="362">
          <cell r="CQ362" t="str">
            <v>WIP</v>
          </cell>
          <cell r="CR362">
            <v>672</v>
          </cell>
          <cell r="CS362">
            <v>610</v>
          </cell>
          <cell r="CT362">
            <v>726</v>
          </cell>
          <cell r="CU362">
            <v>750</v>
          </cell>
          <cell r="CV362">
            <v>807</v>
          </cell>
          <cell r="CW362">
            <v>799</v>
          </cell>
          <cell r="CX362">
            <v>691</v>
          </cell>
          <cell r="CY362">
            <v>614</v>
          </cell>
          <cell r="DA362" t="str">
            <v>Workers Compensation (% of Sales)</v>
          </cell>
          <cell r="DB362">
            <v>2.9003443822643134E-2</v>
          </cell>
          <cell r="DC362">
            <v>2.8858555460017195E-2</v>
          </cell>
          <cell r="DD362">
            <v>2.8889606197546804E-2</v>
          </cell>
          <cell r="DE362">
            <v>2.1937842778793418E-2</v>
          </cell>
          <cell r="DG362" t="str">
            <v>Accounts Payable (% of Sales)</v>
          </cell>
          <cell r="DH362">
            <v>7.575440067057837E-2</v>
          </cell>
          <cell r="DI362">
            <v>7.1150476932061515E-2</v>
          </cell>
          <cell r="DJ362">
            <v>7.5066012825348929E-2</v>
          </cell>
          <cell r="DK362">
            <v>7.31263011797363E-2</v>
          </cell>
          <cell r="DL362">
            <v>7.7578434908041838E-2</v>
          </cell>
          <cell r="DM362">
            <v>7.3348500168520389E-2</v>
          </cell>
          <cell r="DN362">
            <v>6.6938540121931123E-2</v>
          </cell>
          <cell r="DO362">
            <v>7.5069081977279711E-2</v>
          </cell>
          <cell r="EB362" t="str">
            <v>Accounts Payable (% of Sales)</v>
          </cell>
          <cell r="EF362">
            <v>6.6843589318294913E-2</v>
          </cell>
          <cell r="EG362">
            <v>6.9276708692767086E-2</v>
          </cell>
          <cell r="EH362">
            <v>7.0431967853555086E-2</v>
          </cell>
        </row>
        <row r="363">
          <cell r="CQ363" t="str">
            <v>Raw Materials</v>
          </cell>
          <cell r="CR363">
            <v>364</v>
          </cell>
          <cell r="CS363">
            <v>368</v>
          </cell>
          <cell r="CT363">
            <v>380</v>
          </cell>
          <cell r="CU363">
            <v>396</v>
          </cell>
          <cell r="CV363">
            <v>389</v>
          </cell>
          <cell r="CW363">
            <v>413</v>
          </cell>
          <cell r="CX363">
            <v>395</v>
          </cell>
          <cell r="CY363">
            <v>388</v>
          </cell>
          <cell r="DA363" t="str">
            <v>Customer Deposits, Current (% of Sales)</v>
          </cell>
          <cell r="DB363">
            <v>3.5622040464916058E-2</v>
          </cell>
          <cell r="DC363">
            <v>3.380266552020636E-2</v>
          </cell>
          <cell r="DD363">
            <v>3.1471917366042608E-2</v>
          </cell>
          <cell r="DE363">
            <v>3.3160674385537277E-2</v>
          </cell>
          <cell r="DG363" t="str">
            <v>Billings in Excess (% of Sales)</v>
          </cell>
          <cell r="DH363">
            <v>6.3443000838222963E-2</v>
          </cell>
          <cell r="DI363">
            <v>5.7621179676854192E-2</v>
          </cell>
          <cell r="DJ363">
            <v>6.0873255375330067E-2</v>
          </cell>
          <cell r="DK363">
            <v>0</v>
          </cell>
          <cell r="DL363">
            <v>7.1267580238009373E-2</v>
          </cell>
          <cell r="DM363">
            <v>7.0357263228850692E-2</v>
          </cell>
          <cell r="DN363">
            <v>0</v>
          </cell>
          <cell r="DO363">
            <v>0</v>
          </cell>
          <cell r="EB363" t="str">
            <v>Billings in Excess (% of Sales)</v>
          </cell>
          <cell r="EF363">
            <v>0</v>
          </cell>
          <cell r="EG363">
            <v>1.8447246184472462E-2</v>
          </cell>
          <cell r="EH363">
            <v>1.5849983257059941E-2</v>
          </cell>
        </row>
        <row r="364">
          <cell r="CQ364" t="str">
            <v>Preowned Aircraft</v>
          </cell>
          <cell r="CR364">
            <v>291</v>
          </cell>
          <cell r="CS364">
            <v>358</v>
          </cell>
          <cell r="CT364">
            <v>417</v>
          </cell>
          <cell r="CU364">
            <v>230</v>
          </cell>
          <cell r="CV364">
            <v>219</v>
          </cell>
          <cell r="CW364">
            <v>118</v>
          </cell>
          <cell r="CX364">
            <v>94</v>
          </cell>
          <cell r="CY364">
            <v>103</v>
          </cell>
          <cell r="DA364" t="str">
            <v>Salaries and Wages (% of Sales)</v>
          </cell>
          <cell r="DB364">
            <v>1.9317692638829102E-2</v>
          </cell>
          <cell r="DC364">
            <v>1.9346517626827171E-2</v>
          </cell>
          <cell r="DD364">
            <v>2.1465461588121369E-2</v>
          </cell>
          <cell r="DE364">
            <v>1.8535445866341663E-2</v>
          </cell>
          <cell r="DG364" t="str">
            <v>Workers Compensation (% of Sales)</v>
          </cell>
          <cell r="DH364">
            <v>2.2998742665549035E-2</v>
          </cell>
          <cell r="DI364">
            <v>2.1607942378820324E-2</v>
          </cell>
          <cell r="DJ364">
            <v>2.0888344021124106E-2</v>
          </cell>
          <cell r="DK364">
            <v>1.7869535045107566E-2</v>
          </cell>
          <cell r="DL364">
            <v>1.9518571943743238E-2</v>
          </cell>
          <cell r="DM364">
            <v>1.8158072126727334E-2</v>
          </cell>
          <cell r="DN364">
            <v>1.8001318174328554E-2</v>
          </cell>
          <cell r="DO364">
            <v>2.0954866441510591E-2</v>
          </cell>
          <cell r="EB364" t="str">
            <v>Workers Compensation (% of Sales)</v>
          </cell>
          <cell r="EF364">
            <v>0</v>
          </cell>
          <cell r="EG364">
            <v>4.5255474452554748E-2</v>
          </cell>
          <cell r="EH364">
            <v>5.3465788592476839E-2</v>
          </cell>
        </row>
        <row r="365">
          <cell r="CQ365" t="str">
            <v>Other (coal/aggregates)</v>
          </cell>
          <cell r="CR365">
            <v>30</v>
          </cell>
          <cell r="CS365">
            <v>34</v>
          </cell>
          <cell r="CT365">
            <v>31</v>
          </cell>
          <cell r="CU365">
            <v>29</v>
          </cell>
          <cell r="CV365">
            <v>41</v>
          </cell>
          <cell r="CW365">
            <v>45</v>
          </cell>
          <cell r="CX365">
            <v>43</v>
          </cell>
          <cell r="CY365">
            <v>54</v>
          </cell>
          <cell r="DA365" t="str">
            <v>Other Current Liabilities (% of Sales)</v>
          </cell>
          <cell r="DB365">
            <v>5.3702109341368917E-2</v>
          </cell>
          <cell r="DC365">
            <v>5.1590713671539126E-2</v>
          </cell>
          <cell r="DD365">
            <v>5.6810845706907684E-2</v>
          </cell>
          <cell r="DE365">
            <v>4.8547633556774328E-2</v>
          </cell>
          <cell r="DG365" t="str">
            <v>Customer Deposits, Current (% of Sales)</v>
          </cell>
          <cell r="DH365">
            <v>3.6515088013411565E-2</v>
          </cell>
          <cell r="DI365">
            <v>3.2801245863344361E-2</v>
          </cell>
          <cell r="DJ365">
            <v>3.4892493398717465E-2</v>
          </cell>
          <cell r="DK365">
            <v>0.11125086745315753</v>
          </cell>
          <cell r="DL365">
            <v>3.9352686620988099E-2</v>
          </cell>
          <cell r="DM365">
            <v>3.9560161779575331E-2</v>
          </cell>
          <cell r="DN365">
            <v>0.1103147141209425</v>
          </cell>
          <cell r="DO365">
            <v>0.1131793061099171</v>
          </cell>
          <cell r="EB365" t="str">
            <v>Customer Deposits, Current (% of Sales)</v>
          </cell>
          <cell r="EF365">
            <v>0</v>
          </cell>
          <cell r="EG365">
            <v>6.4764432647644324E-2</v>
          </cell>
          <cell r="EH365">
            <v>5.2572831789262198E-2</v>
          </cell>
        </row>
        <row r="366">
          <cell r="CQ366" t="str">
            <v>Total</v>
          </cell>
          <cell r="CR366">
            <v>1357</v>
          </cell>
          <cell r="CS366">
            <v>1370</v>
          </cell>
          <cell r="CT366">
            <v>1554</v>
          </cell>
          <cell r="CU366">
            <v>1405</v>
          </cell>
          <cell r="CV366">
            <v>1456</v>
          </cell>
          <cell r="CW366">
            <v>1375</v>
          </cell>
          <cell r="CX366">
            <v>1223</v>
          </cell>
          <cell r="CY366">
            <v>1159</v>
          </cell>
          <cell r="DA366" t="str">
            <v>Other Liabilities (% of Sales)</v>
          </cell>
          <cell r="DB366">
            <v>2.582866982350409E-2</v>
          </cell>
          <cell r="DC366">
            <v>2.5902837489251936E-2</v>
          </cell>
          <cell r="DD366">
            <v>2.3240800516462233E-2</v>
          </cell>
          <cell r="DE366">
            <v>2.8234816169002641E-2</v>
          </cell>
          <cell r="DG366" t="str">
            <v>Salaries and Wages (% of Sales)</v>
          </cell>
          <cell r="DH366">
            <v>1.8440905280804692E-2</v>
          </cell>
          <cell r="DI366">
            <v>1.873661670235546E-2</v>
          </cell>
          <cell r="DJ366">
            <v>1.9992455677102981E-2</v>
          </cell>
          <cell r="DK366">
            <v>1.6785218598195699E-2</v>
          </cell>
          <cell r="DL366">
            <v>1.8346556076451498E-2</v>
          </cell>
          <cell r="DM366">
            <v>2.0264577013818671E-2</v>
          </cell>
          <cell r="DN366">
            <v>2.1173175152413907E-2</v>
          </cell>
          <cell r="DO366">
            <v>1.7539146453791832E-2</v>
          </cell>
          <cell r="EB366" t="str">
            <v>Salaries and Wages (% of Sales)</v>
          </cell>
          <cell r="EF366">
            <v>0</v>
          </cell>
          <cell r="EG366">
            <v>0</v>
          </cell>
          <cell r="EH366">
            <v>0</v>
          </cell>
        </row>
        <row r="367">
          <cell r="CQ367" t="str">
            <v>% of Total</v>
          </cell>
          <cell r="DG367" t="str">
            <v>Other Current Liabilities (% of Sales)</v>
          </cell>
          <cell r="DH367">
            <v>5.4641659681475274E-2</v>
          </cell>
          <cell r="DI367">
            <v>4.4043215884757639E-2</v>
          </cell>
          <cell r="DJ367">
            <v>4.4087136929460584E-2</v>
          </cell>
          <cell r="DK367">
            <v>4.2288341429562802E-2</v>
          </cell>
          <cell r="DL367">
            <v>4.6655247024882801E-2</v>
          </cell>
          <cell r="DM367">
            <v>4.1413886080215706E-2</v>
          </cell>
          <cell r="DN367">
            <v>3.6620530565167245E-2</v>
          </cell>
          <cell r="DO367">
            <v>3.6152901443045747E-2</v>
          </cell>
          <cell r="EB367" t="str">
            <v>Other Current Liabilities (% of Sales)</v>
          </cell>
          <cell r="EF367">
            <v>0.25874937800630288</v>
          </cell>
          <cell r="EG367">
            <v>8.6794956867949566E-2</v>
          </cell>
          <cell r="EH367">
            <v>6.6748521040294675E-2</v>
          </cell>
        </row>
        <row r="368">
          <cell r="CQ368" t="str">
            <v>WIP</v>
          </cell>
          <cell r="DA368" t="str">
            <v>Inventory Breakdown</v>
          </cell>
          <cell r="DG368" t="str">
            <v>Other Liabilities (% of Sales)</v>
          </cell>
          <cell r="DH368">
            <v>2.3732187761944676E-2</v>
          </cell>
          <cell r="DI368">
            <v>2.0537278567257154E-2</v>
          </cell>
          <cell r="DJ368">
            <v>2.018106374952848E-2</v>
          </cell>
          <cell r="DK368">
            <v>1.6655100624566273E-2</v>
          </cell>
          <cell r="DL368">
            <v>2.1051208077893978E-2</v>
          </cell>
          <cell r="DM368">
            <v>1.7104819683181664E-2</v>
          </cell>
          <cell r="DN368">
            <v>1.6847915636842972E-2</v>
          </cell>
          <cell r="DO368">
            <v>1.5466687135400675E-2</v>
          </cell>
          <cell r="EB368" t="str">
            <v>Other Liabilities (% of Sales)</v>
          </cell>
          <cell r="EF368">
            <v>0.16039144136672748</v>
          </cell>
          <cell r="EG368">
            <v>6.1844724618447248E-2</v>
          </cell>
          <cell r="EH368">
            <v>5.9046768612568364E-2</v>
          </cell>
        </row>
        <row r="369">
          <cell r="CQ369" t="str">
            <v>Raw Materials</v>
          </cell>
          <cell r="DA369" t="str">
            <v>WIP</v>
          </cell>
          <cell r="DB369">
            <v>674</v>
          </cell>
          <cell r="DC369">
            <v>665</v>
          </cell>
          <cell r="DD369">
            <v>648</v>
          </cell>
          <cell r="DE369">
            <v>648</v>
          </cell>
        </row>
        <row r="370">
          <cell r="CQ370" t="str">
            <v>Preowned Aircraft</v>
          </cell>
          <cell r="DA370" t="str">
            <v>Raw Materials</v>
          </cell>
          <cell r="DB370">
            <v>393</v>
          </cell>
          <cell r="DC370">
            <v>386</v>
          </cell>
          <cell r="DD370">
            <v>392</v>
          </cell>
          <cell r="DE370">
            <v>392</v>
          </cell>
          <cell r="DG370" t="str">
            <v>Inventory Breakdown</v>
          </cell>
          <cell r="EB370" t="str">
            <v>Inventory Breakdown</v>
          </cell>
        </row>
        <row r="371">
          <cell r="CQ371" t="str">
            <v>Other (coal/aggregates)</v>
          </cell>
          <cell r="DA371" t="str">
            <v>Preowned Aircraft</v>
          </cell>
          <cell r="DB371">
            <v>150</v>
          </cell>
          <cell r="DC371">
            <v>142</v>
          </cell>
          <cell r="DD371">
            <v>119</v>
          </cell>
          <cell r="DE371">
            <v>119</v>
          </cell>
          <cell r="DG371" t="str">
            <v>Work in Process (WIP)</v>
          </cell>
          <cell r="DH371">
            <v>673</v>
          </cell>
          <cell r="DI371">
            <v>660</v>
          </cell>
          <cell r="DJ371">
            <v>716</v>
          </cell>
          <cell r="DK371">
            <v>701</v>
          </cell>
          <cell r="DL371">
            <v>783</v>
          </cell>
          <cell r="DM371">
            <v>834</v>
          </cell>
          <cell r="DN371">
            <v>740</v>
          </cell>
          <cell r="DO371">
            <v>715</v>
          </cell>
          <cell r="EB371" t="str">
            <v>Work in Process (WIP)</v>
          </cell>
          <cell r="EH371">
            <v>436</v>
          </cell>
        </row>
        <row r="372">
          <cell r="CQ372" t="str">
            <v>% Change</v>
          </cell>
          <cell r="DA372" t="str">
            <v>Other (coal/aggregates)</v>
          </cell>
          <cell r="DB372">
            <v>51</v>
          </cell>
          <cell r="DC372">
            <v>43</v>
          </cell>
          <cell r="DD372">
            <v>36</v>
          </cell>
          <cell r="DE372">
            <v>36</v>
          </cell>
          <cell r="DG372" t="str">
            <v>Raw Materials</v>
          </cell>
          <cell r="DH372">
            <v>414</v>
          </cell>
          <cell r="DI372">
            <v>435</v>
          </cell>
          <cell r="DJ372">
            <v>476</v>
          </cell>
          <cell r="DK372">
            <v>505</v>
          </cell>
          <cell r="DL372">
            <v>515</v>
          </cell>
          <cell r="DM372">
            <v>555</v>
          </cell>
          <cell r="DN372">
            <v>624</v>
          </cell>
          <cell r="DO372">
            <v>711</v>
          </cell>
          <cell r="EB372" t="str">
            <v>Raw Materials</v>
          </cell>
          <cell r="EH372">
            <v>462</v>
          </cell>
        </row>
        <row r="373">
          <cell r="CQ373" t="str">
            <v>WIP</v>
          </cell>
          <cell r="DA373" t="str">
            <v>Total</v>
          </cell>
          <cell r="DB373">
            <v>1268</v>
          </cell>
          <cell r="DC373">
            <v>1236</v>
          </cell>
          <cell r="DD373">
            <v>1195</v>
          </cell>
          <cell r="DE373">
            <v>1195</v>
          </cell>
          <cell r="DG373" t="str">
            <v>Preowned Aircraft</v>
          </cell>
          <cell r="DH373">
            <v>85</v>
          </cell>
          <cell r="DI373">
            <v>58</v>
          </cell>
          <cell r="DJ373">
            <v>116</v>
          </cell>
          <cell r="DK373">
            <v>69</v>
          </cell>
          <cell r="DL373">
            <v>122</v>
          </cell>
          <cell r="DM373">
            <v>81</v>
          </cell>
          <cell r="DN373">
            <v>32</v>
          </cell>
          <cell r="DO373">
            <v>44</v>
          </cell>
          <cell r="EB373" t="str">
            <v>Preowned Aircraft</v>
          </cell>
          <cell r="EH373">
            <v>243</v>
          </cell>
        </row>
        <row r="374">
          <cell r="CQ374" t="str">
            <v>Raw Materials</v>
          </cell>
          <cell r="DA374" t="str">
            <v>% of Total</v>
          </cell>
          <cell r="DG374" t="str">
            <v>Other (coal/aggregates)</v>
          </cell>
          <cell r="DH374">
            <v>38</v>
          </cell>
          <cell r="DI374">
            <v>36</v>
          </cell>
          <cell r="DJ374">
            <v>42</v>
          </cell>
          <cell r="DK374">
            <v>18</v>
          </cell>
          <cell r="DL374">
            <v>17</v>
          </cell>
          <cell r="DM374">
            <v>17</v>
          </cell>
          <cell r="DN374">
            <v>13</v>
          </cell>
          <cell r="DO374">
            <v>14</v>
          </cell>
          <cell r="EB374" t="str">
            <v>Other (coal/aggregates)</v>
          </cell>
          <cell r="EH374">
            <v>20</v>
          </cell>
        </row>
        <row r="375">
          <cell r="CQ375" t="str">
            <v>Preowned Aircraft</v>
          </cell>
          <cell r="DA375" t="str">
            <v>WIP</v>
          </cell>
          <cell r="DG375" t="str">
            <v>Total</v>
          </cell>
          <cell r="DH375">
            <v>1210</v>
          </cell>
          <cell r="DI375">
            <v>1189</v>
          </cell>
          <cell r="DJ375">
            <v>1350</v>
          </cell>
          <cell r="DK375">
            <v>1293</v>
          </cell>
          <cell r="DL375">
            <v>1437</v>
          </cell>
          <cell r="DM375">
            <v>1487</v>
          </cell>
          <cell r="DN375">
            <v>1409</v>
          </cell>
          <cell r="DO375">
            <v>1484</v>
          </cell>
          <cell r="EB375" t="str">
            <v>Total</v>
          </cell>
          <cell r="EH375">
            <v>1161</v>
          </cell>
        </row>
        <row r="376">
          <cell r="CQ376" t="str">
            <v>Other (coal/aggregates)</v>
          </cell>
          <cell r="DA376" t="str">
            <v>Raw Materials</v>
          </cell>
          <cell r="DG376" t="str">
            <v>% of Total</v>
          </cell>
          <cell r="EB376" t="str">
            <v>% of Total</v>
          </cell>
        </row>
        <row r="377">
          <cell r="DA377" t="str">
            <v>Preowned Aircraft</v>
          </cell>
          <cell r="DG377" t="str">
            <v>Work in Process (WIP)</v>
          </cell>
          <cell r="DH377">
            <v>0.55619834710743798</v>
          </cell>
          <cell r="DI377">
            <v>0.55508830950378474</v>
          </cell>
          <cell r="DJ377">
            <v>0.53037037037037038</v>
          </cell>
          <cell r="DK377">
            <v>0.54215003866976019</v>
          </cell>
          <cell r="DL377">
            <v>0.54488517745302711</v>
          </cell>
          <cell r="DM377">
            <v>0.56086079354404839</v>
          </cell>
          <cell r="DN377">
            <v>0.52519517388218595</v>
          </cell>
          <cell r="DO377">
            <v>0.48180592991913745</v>
          </cell>
          <cell r="EB377" t="str">
            <v>Work in Process (WIP)</v>
          </cell>
          <cell r="EH377">
            <v>0.37553832902670115</v>
          </cell>
        </row>
        <row r="378">
          <cell r="CQ378" t="str">
            <v>Gulfstream trade-in commit thru '04</v>
          </cell>
          <cell r="CS378">
            <v>648</v>
          </cell>
          <cell r="CT378">
            <v>567</v>
          </cell>
          <cell r="CU378">
            <v>551</v>
          </cell>
          <cell r="CV378">
            <v>415</v>
          </cell>
          <cell r="CW378">
            <v>322</v>
          </cell>
          <cell r="CX378">
            <v>240</v>
          </cell>
          <cell r="CY378">
            <v>229</v>
          </cell>
          <cell r="DA378" t="str">
            <v>Other (coal/aggregates)</v>
          </cell>
          <cell r="DG378" t="str">
            <v>Raw Materials</v>
          </cell>
          <cell r="DH378">
            <v>0.34214876033057851</v>
          </cell>
          <cell r="DI378">
            <v>0.36585365853658536</v>
          </cell>
          <cell r="DJ378">
            <v>0.35259259259259257</v>
          </cell>
          <cell r="DK378">
            <v>0.39056457849961329</v>
          </cell>
          <cell r="DL378">
            <v>0.35838552540013918</v>
          </cell>
          <cell r="DM378">
            <v>0.37323470073974446</v>
          </cell>
          <cell r="DN378">
            <v>0.44286728176011353</v>
          </cell>
          <cell r="DO378">
            <v>0.47911051212938005</v>
          </cell>
          <cell r="EB378" t="str">
            <v>Raw Materials</v>
          </cell>
          <cell r="EH378">
            <v>0.3979328165374677</v>
          </cell>
        </row>
        <row r="379">
          <cell r="DA379" t="str">
            <v>% Change</v>
          </cell>
          <cell r="DG379" t="str">
            <v>Preowned Aircraft</v>
          </cell>
          <cell r="DH379">
            <v>7.0247933884297523E-2</v>
          </cell>
          <cell r="DI379">
            <v>4.878048780487805E-2</v>
          </cell>
          <cell r="DJ379">
            <v>8.5925925925925919E-2</v>
          </cell>
          <cell r="DK379">
            <v>5.336426914153132E-2</v>
          </cell>
          <cell r="DL379">
            <v>8.4899095337508695E-2</v>
          </cell>
          <cell r="DM379">
            <v>5.4472091459314052E-2</v>
          </cell>
          <cell r="DN379">
            <v>2.2711142654364799E-2</v>
          </cell>
          <cell r="DO379">
            <v>2.9649595687331536E-2</v>
          </cell>
          <cell r="EB379" t="str">
            <v>Preowned Aircraft</v>
          </cell>
          <cell r="EH379">
            <v>0.20930232558139536</v>
          </cell>
        </row>
        <row r="380">
          <cell r="CQ380" t="str">
            <v>GD  warranty Information</v>
          </cell>
          <cell r="DA380" t="str">
            <v>WIP</v>
          </cell>
          <cell r="DG380" t="str">
            <v>Other (coal/aggregates)</v>
          </cell>
          <cell r="DH380">
            <v>3.1404958677685953E-2</v>
          </cell>
          <cell r="DI380">
            <v>3.0277544154751892E-2</v>
          </cell>
          <cell r="DJ380">
            <v>3.111111111111111E-2</v>
          </cell>
          <cell r="DK380">
            <v>1.3921113689095127E-2</v>
          </cell>
          <cell r="DL380">
            <v>1.1830201809324982E-2</v>
          </cell>
          <cell r="DM380">
            <v>1.1432414256893073E-2</v>
          </cell>
          <cell r="DN380">
            <v>9.2264017033356991E-3</v>
          </cell>
          <cell r="DO380">
            <v>9.433962264150943E-3</v>
          </cell>
          <cell r="EB380" t="str">
            <v>Other (coal/aggregates)</v>
          </cell>
          <cell r="EH380">
            <v>1.7226528854435832E-2</v>
          </cell>
        </row>
        <row r="381">
          <cell r="CQ381" t="str">
            <v>Expense</v>
          </cell>
          <cell r="CV381">
            <v>9</v>
          </cell>
          <cell r="CW381">
            <v>34</v>
          </cell>
          <cell r="CX381">
            <v>30</v>
          </cell>
          <cell r="CY381">
            <v>0</v>
          </cell>
          <cell r="DA381" t="str">
            <v>Raw Materials</v>
          </cell>
          <cell r="DG381" t="str">
            <v>% Ch Y/Y</v>
          </cell>
          <cell r="EB381" t="str">
            <v>% Ch Y/Y</v>
          </cell>
        </row>
        <row r="382">
          <cell r="CQ382" t="str">
            <v>Payments</v>
          </cell>
          <cell r="CV382">
            <v>-9</v>
          </cell>
          <cell r="CW382">
            <v>-19</v>
          </cell>
          <cell r="CX382">
            <v>-15</v>
          </cell>
          <cell r="CY382">
            <v>-8</v>
          </cell>
          <cell r="DA382" t="str">
            <v>Preowned Aircraft</v>
          </cell>
          <cell r="DG382" t="str">
            <v>Work in Process (WIP)</v>
          </cell>
          <cell r="DH382">
            <v>-1.4836795252225476E-3</v>
          </cell>
          <cell r="DI382">
            <v>-7.5187969924812581E-3</v>
          </cell>
          <cell r="DJ382">
            <v>0.10493827160493829</v>
          </cell>
          <cell r="DK382">
            <v>8.1790123456790154E-2</v>
          </cell>
          <cell r="DL382">
            <v>0.16344725111441316</v>
          </cell>
          <cell r="DM382">
            <v>0.26363636363636367</v>
          </cell>
          <cell r="DN382">
            <v>3.3519553072625774E-2</v>
          </cell>
          <cell r="DO382">
            <v>1.9971469329529201E-2</v>
          </cell>
          <cell r="EB382" t="str">
            <v>Work in Process (WIP)</v>
          </cell>
        </row>
        <row r="383">
          <cell r="CQ383" t="str">
            <v>Adjustments</v>
          </cell>
          <cell r="CV383">
            <v>81</v>
          </cell>
          <cell r="CW383">
            <v>-16</v>
          </cell>
          <cell r="CX383">
            <v>28</v>
          </cell>
          <cell r="CY383">
            <v>-40</v>
          </cell>
          <cell r="DA383" t="str">
            <v>Other (coal/aggregates)</v>
          </cell>
          <cell r="DG383" t="str">
            <v>Raw Materials</v>
          </cell>
          <cell r="DH383">
            <v>5.3435114503816772E-2</v>
          </cell>
          <cell r="DI383">
            <v>0.12694300518134716</v>
          </cell>
          <cell r="DJ383">
            <v>0.21428571428571419</v>
          </cell>
          <cell r="DK383">
            <v>0.28826530612244894</v>
          </cell>
          <cell r="DL383">
            <v>0.2439613526570048</v>
          </cell>
          <cell r="DM383">
            <v>0.27586206896551735</v>
          </cell>
          <cell r="DN383">
            <v>0.31092436974789917</v>
          </cell>
          <cell r="DO383">
            <v>0.40792079207920784</v>
          </cell>
          <cell r="EB383" t="str">
            <v>Raw Materials</v>
          </cell>
        </row>
        <row r="384">
          <cell r="CQ384" t="str">
            <v>Beginning Liabilities</v>
          </cell>
          <cell r="CV384">
            <v>137</v>
          </cell>
          <cell r="CW384">
            <v>218</v>
          </cell>
          <cell r="CX384">
            <v>217</v>
          </cell>
          <cell r="CY384">
            <v>260</v>
          </cell>
          <cell r="DG384" t="str">
            <v>Preowned Aircraft</v>
          </cell>
          <cell r="DH384">
            <v>-0.43333333333333335</v>
          </cell>
          <cell r="DI384">
            <v>-0.59154929577464788</v>
          </cell>
          <cell r="DJ384">
            <v>-2.5210084033613467E-2</v>
          </cell>
          <cell r="DK384">
            <v>-0.42016806722689071</v>
          </cell>
          <cell r="DL384">
            <v>0.43529411764705883</v>
          </cell>
          <cell r="DM384">
            <v>0.39655172413793105</v>
          </cell>
          <cell r="DN384">
            <v>-0.72413793103448276</v>
          </cell>
          <cell r="DO384">
            <v>-0.3623188405797102</v>
          </cell>
          <cell r="EB384" t="str">
            <v>Preowned Aircraft</v>
          </cell>
        </row>
        <row r="385">
          <cell r="CQ385" t="str">
            <v>Ending Liabilties</v>
          </cell>
          <cell r="CU385">
            <v>137</v>
          </cell>
          <cell r="CV385">
            <v>218</v>
          </cell>
          <cell r="CW385">
            <v>217</v>
          </cell>
          <cell r="CX385">
            <v>260</v>
          </cell>
          <cell r="CY385">
            <v>212</v>
          </cell>
          <cell r="DA385" t="str">
            <v>Gulfstream trade-in commit thru '04</v>
          </cell>
          <cell r="DB385">
            <v>200</v>
          </cell>
          <cell r="DC385">
            <v>156</v>
          </cell>
          <cell r="DD385">
            <v>200</v>
          </cell>
          <cell r="DE385">
            <v>301</v>
          </cell>
          <cell r="DG385" t="str">
            <v>Other (coal/aggregates)</v>
          </cell>
          <cell r="DH385">
            <v>-0.25490196078431371</v>
          </cell>
          <cell r="DI385">
            <v>-0.16279069767441856</v>
          </cell>
          <cell r="DJ385">
            <v>0.16666666666666674</v>
          </cell>
          <cell r="DK385">
            <v>-0.5</v>
          </cell>
          <cell r="DL385">
            <v>-0.55263157894736836</v>
          </cell>
          <cell r="DM385">
            <v>-0.52777777777777779</v>
          </cell>
          <cell r="DN385">
            <v>-0.69047619047619047</v>
          </cell>
          <cell r="DO385">
            <v>-0.22222222222222221</v>
          </cell>
          <cell r="EB385" t="str">
            <v>Other (coal/aggregates)</v>
          </cell>
        </row>
        <row r="386">
          <cell r="DG386" t="str">
            <v>Total</v>
          </cell>
          <cell r="DH386">
            <v>-4.5741324921135695E-2</v>
          </cell>
          <cell r="DI386">
            <v>-3.8025889967637561E-2</v>
          </cell>
          <cell r="DJ386">
            <v>0.12970711297071125</v>
          </cell>
          <cell r="DK386">
            <v>8.200836820083679E-2</v>
          </cell>
          <cell r="DL386">
            <v>0.18760330578512407</v>
          </cell>
          <cell r="DM386">
            <v>0.25063078216989076</v>
          </cell>
          <cell r="DN386">
            <v>4.37037037037038E-2</v>
          </cell>
          <cell r="DO386">
            <v>0.14771848414539823</v>
          </cell>
          <cell r="EB386" t="str">
            <v>Total</v>
          </cell>
        </row>
        <row r="387">
          <cell r="CQ387" t="str">
            <v>Unsold Aircraft inventory</v>
          </cell>
          <cell r="DA387" t="str">
            <v>GD Warranty Information</v>
          </cell>
        </row>
        <row r="388">
          <cell r="CQ388" t="str">
            <v>Large</v>
          </cell>
          <cell r="CU388">
            <v>4</v>
          </cell>
          <cell r="CV388">
            <v>6</v>
          </cell>
          <cell r="CW388">
            <v>3</v>
          </cell>
          <cell r="CX388">
            <v>0</v>
          </cell>
          <cell r="DA388" t="str">
            <v>Expense</v>
          </cell>
          <cell r="DB388">
            <v>16</v>
          </cell>
          <cell r="DC388">
            <v>13</v>
          </cell>
          <cell r="DD388">
            <v>10</v>
          </cell>
          <cell r="DE388">
            <v>14</v>
          </cell>
          <cell r="DG388" t="str">
            <v>Gulfstream trade-in commit thru '04</v>
          </cell>
          <cell r="DH388">
            <v>384</v>
          </cell>
          <cell r="DI388">
            <v>406</v>
          </cell>
          <cell r="DJ388">
            <v>425</v>
          </cell>
          <cell r="DK388">
            <v>570</v>
          </cell>
          <cell r="DL388">
            <v>542</v>
          </cell>
          <cell r="DM388">
            <v>485</v>
          </cell>
          <cell r="DN388">
            <v>386</v>
          </cell>
          <cell r="DO388">
            <v>302</v>
          </cell>
          <cell r="EB388" t="str">
            <v>Gulfstream trade-in commit thru '04</v>
          </cell>
        </row>
        <row r="389">
          <cell r="CQ389" t="str">
            <v>Midsized</v>
          </cell>
          <cell r="CU389">
            <v>15</v>
          </cell>
          <cell r="CV389">
            <v>11</v>
          </cell>
          <cell r="CW389">
            <v>9</v>
          </cell>
          <cell r="CX389">
            <v>5</v>
          </cell>
          <cell r="DA389" t="str">
            <v>Payments</v>
          </cell>
          <cell r="DB389">
            <v>-11</v>
          </cell>
          <cell r="DC389">
            <v>-7</v>
          </cell>
          <cell r="DD389">
            <v>-11</v>
          </cell>
          <cell r="DE389">
            <v>-8</v>
          </cell>
        </row>
        <row r="390">
          <cell r="CQ390" t="str">
            <v>Total</v>
          </cell>
          <cell r="CU390">
            <v>19</v>
          </cell>
          <cell r="CV390">
            <v>17</v>
          </cell>
          <cell r="CW390">
            <v>12</v>
          </cell>
          <cell r="CX390">
            <v>5</v>
          </cell>
          <cell r="CY390">
            <v>7</v>
          </cell>
          <cell r="DA390" t="str">
            <v>Adjustments</v>
          </cell>
          <cell r="DC390">
            <v>-3</v>
          </cell>
          <cell r="DD390">
            <v>4</v>
          </cell>
          <cell r="DE390">
            <v>1</v>
          </cell>
          <cell r="DG390" t="str">
            <v>Warranty Information</v>
          </cell>
          <cell r="EB390" t="str">
            <v>Warranty Information</v>
          </cell>
        </row>
        <row r="391">
          <cell r="CQ391" t="str">
            <v>sequential change (units)</v>
          </cell>
          <cell r="CV391">
            <v>-2</v>
          </cell>
          <cell r="CW391">
            <v>-5</v>
          </cell>
          <cell r="CX391">
            <v>-7</v>
          </cell>
          <cell r="CY391">
            <v>2</v>
          </cell>
          <cell r="DA391" t="str">
            <v>Beginning Liabilities</v>
          </cell>
          <cell r="DB391">
            <v>212</v>
          </cell>
          <cell r="DC391">
            <v>217</v>
          </cell>
          <cell r="DD391">
            <v>220</v>
          </cell>
          <cell r="DE391">
            <v>223</v>
          </cell>
          <cell r="DG391" t="str">
            <v>Expense</v>
          </cell>
          <cell r="DH391">
            <v>7</v>
          </cell>
          <cell r="DI391">
            <v>7</v>
          </cell>
          <cell r="DJ391">
            <v>8</v>
          </cell>
          <cell r="DK391">
            <v>11</v>
          </cell>
          <cell r="DL391">
            <v>20</v>
          </cell>
          <cell r="DM391">
            <v>22</v>
          </cell>
          <cell r="DN391">
            <v>11</v>
          </cell>
          <cell r="DO391">
            <v>17</v>
          </cell>
          <cell r="EB391" t="str">
            <v>Expense</v>
          </cell>
        </row>
        <row r="392">
          <cell r="DA392" t="str">
            <v>Ending Liabilties</v>
          </cell>
          <cell r="DB392">
            <v>217</v>
          </cell>
          <cell r="DC392">
            <v>220</v>
          </cell>
          <cell r="DD392">
            <v>223</v>
          </cell>
          <cell r="DE392">
            <v>230</v>
          </cell>
          <cell r="DG392" t="str">
            <v>Payments</v>
          </cell>
          <cell r="DH392">
            <v>-14</v>
          </cell>
          <cell r="DI392">
            <v>-8</v>
          </cell>
          <cell r="DJ392">
            <v>-8</v>
          </cell>
          <cell r="DK392">
            <v>-12</v>
          </cell>
          <cell r="DL392">
            <v>-12</v>
          </cell>
          <cell r="DM392">
            <v>-15</v>
          </cell>
          <cell r="DN392">
            <v>-13</v>
          </cell>
          <cell r="DO392">
            <v>-19</v>
          </cell>
          <cell r="EB392" t="str">
            <v>Payments</v>
          </cell>
        </row>
        <row r="393">
          <cell r="DG393" t="str">
            <v>Adjustments</v>
          </cell>
          <cell r="DH393">
            <v>-3</v>
          </cell>
          <cell r="DI393">
            <v>-2</v>
          </cell>
          <cell r="DJ393">
            <v>13</v>
          </cell>
          <cell r="DK393">
            <v>4</v>
          </cell>
          <cell r="DL393">
            <v>0</v>
          </cell>
          <cell r="DM393">
            <v>1</v>
          </cell>
          <cell r="DN393">
            <v>7</v>
          </cell>
          <cell r="DO393">
            <v>-2</v>
          </cell>
          <cell r="EB393" t="str">
            <v>Adjustments</v>
          </cell>
        </row>
        <row r="394">
          <cell r="CR394">
            <v>2002</v>
          </cell>
          <cell r="CV394" t="str">
            <v>2003A</v>
          </cell>
          <cell r="DA394" t="str">
            <v>Unsold Aircraft inventory</v>
          </cell>
          <cell r="DG394" t="str">
            <v>Beginning Liabilities</v>
          </cell>
          <cell r="DH394">
            <v>199</v>
          </cell>
          <cell r="DI394">
            <v>189</v>
          </cell>
          <cell r="DJ394">
            <v>186</v>
          </cell>
          <cell r="DK394">
            <v>199</v>
          </cell>
          <cell r="DL394">
            <v>202</v>
          </cell>
          <cell r="DM394">
            <v>210</v>
          </cell>
          <cell r="DN394">
            <v>218</v>
          </cell>
          <cell r="DO394">
            <v>223</v>
          </cell>
          <cell r="EB394" t="str">
            <v>Beginning Liabilities</v>
          </cell>
        </row>
        <row r="395">
          <cell r="CQ395" t="str">
            <v>Modelware Requirements</v>
          </cell>
          <cell r="CR395" t="str">
            <v>Q1</v>
          </cell>
          <cell r="CS395" t="str">
            <v>Q2</v>
          </cell>
          <cell r="CT395" t="str">
            <v>Q3</v>
          </cell>
          <cell r="CU395" t="str">
            <v>Q4</v>
          </cell>
          <cell r="CV395" t="str">
            <v xml:space="preserve">Q1 </v>
          </cell>
          <cell r="CW395" t="str">
            <v xml:space="preserve">Q2 </v>
          </cell>
          <cell r="CX395" t="str">
            <v xml:space="preserve">Q3 </v>
          </cell>
          <cell r="CY395" t="str">
            <v xml:space="preserve">Q4 </v>
          </cell>
          <cell r="DA395" t="str">
            <v>Large</v>
          </cell>
          <cell r="DG395" t="str">
            <v>Ending Liabilties</v>
          </cell>
          <cell r="DH395">
            <v>189</v>
          </cell>
          <cell r="DI395">
            <v>186</v>
          </cell>
          <cell r="DJ395">
            <v>199</v>
          </cell>
          <cell r="DK395">
            <v>202</v>
          </cell>
          <cell r="DL395">
            <v>210</v>
          </cell>
          <cell r="DM395">
            <v>218</v>
          </cell>
          <cell r="DN395">
            <v>223</v>
          </cell>
          <cell r="DO395">
            <v>219</v>
          </cell>
          <cell r="EB395" t="str">
            <v>Ending Liabilties</v>
          </cell>
        </row>
        <row r="396">
          <cell r="CV396" t="str">
            <v>2003-Q1</v>
          </cell>
          <cell r="CW396" t="str">
            <v>2003-Q2</v>
          </cell>
          <cell r="CX396" t="str">
            <v>2003-Q3</v>
          </cell>
          <cell r="CY396" t="str">
            <v>2003-Q4</v>
          </cell>
          <cell r="DA396" t="str">
            <v>Midsized</v>
          </cell>
        </row>
        <row r="397">
          <cell r="CQ397" t="str">
            <v>Tax Expense</v>
          </cell>
          <cell r="DA397" t="str">
            <v>Total</v>
          </cell>
          <cell r="DB397">
            <v>9</v>
          </cell>
          <cell r="DC397">
            <v>9</v>
          </cell>
          <cell r="DD397">
            <v>10</v>
          </cell>
          <cell r="DE397">
            <v>8</v>
          </cell>
          <cell r="DG397" t="str">
            <v>Unsold Aircraft inventory</v>
          </cell>
          <cell r="EB397" t="str">
            <v>Unsold Aircraft inventory</v>
          </cell>
        </row>
        <row r="398">
          <cell r="CQ398" t="str">
            <v>Non-recurring items (net of tax):</v>
          </cell>
          <cell r="DA398" t="str">
            <v>sequential change (units)</v>
          </cell>
          <cell r="DB398">
            <v>2</v>
          </cell>
          <cell r="DC398">
            <v>0</v>
          </cell>
          <cell r="DD398">
            <v>1</v>
          </cell>
          <cell r="DE398">
            <v>-2</v>
          </cell>
          <cell r="DG398" t="str">
            <v>Large</v>
          </cell>
          <cell r="EB398" t="str">
            <v>Large</v>
          </cell>
        </row>
        <row r="399">
          <cell r="CQ399" t="str">
            <v>Discontinued Operations</v>
          </cell>
          <cell r="DG399" t="str">
            <v>Midsized</v>
          </cell>
          <cell r="EB399" t="str">
            <v>Midsized</v>
          </cell>
        </row>
        <row r="400">
          <cell r="DG400" t="str">
            <v>Total</v>
          </cell>
          <cell r="DH400">
            <v>6</v>
          </cell>
          <cell r="EB400" t="str">
            <v>Total</v>
          </cell>
        </row>
        <row r="401">
          <cell r="CQ401" t="str">
            <v>Debt Analysis</v>
          </cell>
          <cell r="DB401">
            <v>2004</v>
          </cell>
          <cell r="DG401" t="str">
            <v>sequential change (units)</v>
          </cell>
          <cell r="DH401">
            <v>-2</v>
          </cell>
          <cell r="EB401" t="str">
            <v>sequential change (units)</v>
          </cell>
        </row>
        <row r="402">
          <cell r="CQ402" t="str">
            <v>Fixed-rate notes</v>
          </cell>
          <cell r="DA402" t="str">
            <v>Modelware Requirements</v>
          </cell>
          <cell r="DB402" t="str">
            <v xml:space="preserve">Q1 </v>
          </cell>
          <cell r="DC402" t="str">
            <v xml:space="preserve">Q2 </v>
          </cell>
          <cell r="DD402" t="str">
            <v xml:space="preserve">Q3 </v>
          </cell>
          <cell r="DE402" t="str">
            <v xml:space="preserve">Q4 </v>
          </cell>
        </row>
        <row r="403">
          <cell r="CQ403" t="str">
            <v>2.125% 2006 Note</v>
          </cell>
          <cell r="CW403">
            <v>500</v>
          </cell>
          <cell r="CX403">
            <v>500</v>
          </cell>
          <cell r="CY403">
            <v>500</v>
          </cell>
          <cell r="DB403" t="str">
            <v>2004-Q1</v>
          </cell>
          <cell r="DC403" t="str">
            <v>2004-Q2</v>
          </cell>
          <cell r="DD403" t="str">
            <v>2004-Q3</v>
          </cell>
          <cell r="DE403" t="str">
            <v>2004-Q4</v>
          </cell>
          <cell r="DG403" t="str">
            <v>Revenue % Annual Total</v>
          </cell>
          <cell r="EB403" t="str">
            <v>Revenue % Annual Total</v>
          </cell>
        </row>
        <row r="404">
          <cell r="CQ404" t="str">
            <v>3.0% 2008 Note</v>
          </cell>
          <cell r="CW404">
            <v>500</v>
          </cell>
          <cell r="CX404">
            <v>500</v>
          </cell>
          <cell r="CY404">
            <v>500</v>
          </cell>
          <cell r="DA404" t="str">
            <v>Tax Expense</v>
          </cell>
          <cell r="DG404" t="str">
            <v>Marine Systems</v>
          </cell>
          <cell r="DH404">
            <v>0.25772097976570818</v>
          </cell>
          <cell r="DI404">
            <v>0.2509052183173589</v>
          </cell>
          <cell r="DJ404">
            <v>0.24941427050053247</v>
          </cell>
          <cell r="DK404">
            <v>0.24195953141640042</v>
          </cell>
          <cell r="DL404">
            <v>0.25809716599190285</v>
          </cell>
          <cell r="DM404">
            <v>0.25627530364372469</v>
          </cell>
          <cell r="DN404">
            <v>0.247165991902834</v>
          </cell>
          <cell r="DO404">
            <v>0.23846153846153847</v>
          </cell>
          <cell r="EB404" t="str">
            <v>Marine Systems</v>
          </cell>
        </row>
        <row r="405">
          <cell r="CQ405" t="str">
            <v>4.25% 2013 Note</v>
          </cell>
          <cell r="CW405">
            <v>1000</v>
          </cell>
          <cell r="CX405">
            <v>1000</v>
          </cell>
          <cell r="CY405">
            <v>1000</v>
          </cell>
          <cell r="DA405" t="str">
            <v>Non-recurring items (net of tax):</v>
          </cell>
          <cell r="DG405" t="str">
            <v>Combat Systems</v>
          </cell>
          <cell r="DH405">
            <v>0.21051583349930292</v>
          </cell>
          <cell r="DI405">
            <v>0.22266480780720971</v>
          </cell>
          <cell r="DJ405">
            <v>0.24696275642302329</v>
          </cell>
          <cell r="DK405">
            <v>0.31985660227046403</v>
          </cell>
          <cell r="DL405">
            <v>0.22881497576466656</v>
          </cell>
          <cell r="DM405">
            <v>0.24135049306368042</v>
          </cell>
          <cell r="DN405">
            <v>0.22814641484205248</v>
          </cell>
          <cell r="DO405">
            <v>0.30168811632960052</v>
          </cell>
          <cell r="EB405" t="str">
            <v>Combat Systems</v>
          </cell>
        </row>
        <row r="406">
          <cell r="CQ406" t="str">
            <v>4.5% 2010 Note</v>
          </cell>
          <cell r="CW406">
            <v>0</v>
          </cell>
          <cell r="CX406">
            <v>700</v>
          </cell>
          <cell r="CY406">
            <v>700</v>
          </cell>
          <cell r="DA406" t="str">
            <v>Discontinued Operations</v>
          </cell>
          <cell r="DG406" t="str">
            <v>Info. Systems &amp; Tech.</v>
          </cell>
          <cell r="DH406">
            <v>0.22386915410171224</v>
          </cell>
          <cell r="DI406">
            <v>0.25721952466138515</v>
          </cell>
          <cell r="DJ406">
            <v>0.25364170713007922</v>
          </cell>
          <cell r="DK406">
            <v>0.26526961410682343</v>
          </cell>
          <cell r="DL406">
            <v>0.21863918439716312</v>
          </cell>
          <cell r="DM406">
            <v>0.23902925531914893</v>
          </cell>
          <cell r="DN406">
            <v>0.26551418439716312</v>
          </cell>
          <cell r="DO406">
            <v>0.27681737588652483</v>
          </cell>
          <cell r="EB406" t="str">
            <v>Info. Systems &amp; Tech.</v>
          </cell>
        </row>
        <row r="407">
          <cell r="CQ407" t="str">
            <v>5.375% 2015 Note</v>
          </cell>
          <cell r="CW407">
            <v>0</v>
          </cell>
          <cell r="CX407">
            <v>400</v>
          </cell>
          <cell r="CY407">
            <v>400</v>
          </cell>
          <cell r="DG407" t="str">
            <v>Aerospace</v>
          </cell>
          <cell r="DH407">
            <v>0.21934168365860762</v>
          </cell>
          <cell r="DI407">
            <v>0.2411884648995048</v>
          </cell>
          <cell r="DJ407">
            <v>0.26390911739003786</v>
          </cell>
          <cell r="DK407">
            <v>0.27556073405184972</v>
          </cell>
          <cell r="DL407">
            <v>0.22570456754130225</v>
          </cell>
          <cell r="DM407">
            <v>0.25923226433430513</v>
          </cell>
          <cell r="DN407">
            <v>0.26409135082604468</v>
          </cell>
          <cell r="DO407">
            <v>0.25097181729834789</v>
          </cell>
          <cell r="EB407" t="str">
            <v>Aerospace</v>
          </cell>
        </row>
        <row r="408">
          <cell r="CQ408" t="str">
            <v>total</v>
          </cell>
          <cell r="CR408">
            <v>0</v>
          </cell>
          <cell r="CS408">
            <v>0</v>
          </cell>
          <cell r="CT408">
            <v>0</v>
          </cell>
          <cell r="CU408">
            <v>0</v>
          </cell>
          <cell r="CV408">
            <v>0</v>
          </cell>
          <cell r="CW408">
            <v>2000</v>
          </cell>
          <cell r="CX408">
            <v>3100</v>
          </cell>
          <cell r="CY408">
            <v>3100</v>
          </cell>
          <cell r="DA408" t="str">
            <v>Debt Analysis</v>
          </cell>
          <cell r="DG408" t="str">
            <v>Resources</v>
          </cell>
          <cell r="DH408" t="str">
            <v>NM</v>
          </cell>
          <cell r="DI408" t="str">
            <v>NM</v>
          </cell>
          <cell r="DJ408" t="str">
            <v>NM</v>
          </cell>
          <cell r="DK408" t="str">
            <v>NM</v>
          </cell>
          <cell r="DL408" t="str">
            <v>NM</v>
          </cell>
          <cell r="DM408" t="str">
            <v>NM</v>
          </cell>
          <cell r="DN408" t="str">
            <v>NM</v>
          </cell>
          <cell r="DO408" t="str">
            <v>NM</v>
          </cell>
          <cell r="EB408" t="str">
            <v>Resources</v>
          </cell>
        </row>
        <row r="409">
          <cell r="CQ409" t="str">
            <v>Floating-rate notes (LiBOR +.22%)</v>
          </cell>
          <cell r="CR409">
            <v>500</v>
          </cell>
          <cell r="CS409">
            <v>500</v>
          </cell>
          <cell r="CT409">
            <v>500</v>
          </cell>
          <cell r="CU409">
            <v>500</v>
          </cell>
          <cell r="CV409">
            <v>500</v>
          </cell>
          <cell r="CW409">
            <v>500</v>
          </cell>
          <cell r="CX409">
            <v>500</v>
          </cell>
          <cell r="CY409">
            <v>500</v>
          </cell>
          <cell r="DA409" t="str">
            <v>Fixed-rate notes</v>
          </cell>
          <cell r="DG409" t="str">
            <v>Total</v>
          </cell>
          <cell r="DH409">
            <v>0.22750893921334922</v>
          </cell>
          <cell r="DI409">
            <v>0.24491060786650776</v>
          </cell>
          <cell r="DJ409">
            <v>0.25277711561382599</v>
          </cell>
          <cell r="DK409">
            <v>0.27480333730631706</v>
          </cell>
          <cell r="DL409">
            <v>0.23047832772306029</v>
          </cell>
          <cell r="DM409">
            <v>0.24660266799650915</v>
          </cell>
          <cell r="DN409">
            <v>0.2522129410297968</v>
          </cell>
          <cell r="DO409">
            <v>0.27070606325063373</v>
          </cell>
          <cell r="EB409" t="str">
            <v>Total</v>
          </cell>
        </row>
        <row r="410">
          <cell r="CQ410" t="str">
            <v>Commercial paper, net of unamortized discount</v>
          </cell>
          <cell r="CR410">
            <v>1240</v>
          </cell>
          <cell r="CS410">
            <v>1194</v>
          </cell>
          <cell r="CT410">
            <v>1276</v>
          </cell>
          <cell r="CU410">
            <v>714</v>
          </cell>
          <cell r="CV410">
            <v>2368</v>
          </cell>
          <cell r="CW410">
            <v>347</v>
          </cell>
          <cell r="CX410">
            <v>719</v>
          </cell>
          <cell r="CY410">
            <v>719</v>
          </cell>
          <cell r="DA410" t="str">
            <v>2.125% 2006 Note</v>
          </cell>
          <cell r="DB410">
            <v>500</v>
          </cell>
          <cell r="DC410">
            <v>500</v>
          </cell>
          <cell r="DD410">
            <v>500</v>
          </cell>
          <cell r="DE410">
            <v>499</v>
          </cell>
        </row>
        <row r="411">
          <cell r="CQ411" t="str">
            <v>Senior notes 2008 (6.32%, semi-annual payment)</v>
          </cell>
          <cell r="CR411">
            <v>150</v>
          </cell>
          <cell r="CS411">
            <v>150</v>
          </cell>
          <cell r="CT411">
            <v>150</v>
          </cell>
          <cell r="CU411">
            <v>150</v>
          </cell>
          <cell r="CV411">
            <v>150</v>
          </cell>
          <cell r="CW411">
            <v>150</v>
          </cell>
          <cell r="CX411">
            <v>150</v>
          </cell>
          <cell r="CY411">
            <v>150</v>
          </cell>
          <cell r="DA411" t="str">
            <v>3.0% 2008 Note</v>
          </cell>
          <cell r="DB411">
            <v>500</v>
          </cell>
          <cell r="DC411">
            <v>500</v>
          </cell>
          <cell r="DD411">
            <v>500</v>
          </cell>
          <cell r="DE411">
            <v>499</v>
          </cell>
          <cell r="DH411">
            <v>2005</v>
          </cell>
          <cell r="DL411">
            <v>2006</v>
          </cell>
        </row>
        <row r="412">
          <cell r="CQ412" t="str">
            <v>Term Debt</v>
          </cell>
          <cell r="CR412">
            <v>50</v>
          </cell>
          <cell r="CS412">
            <v>50</v>
          </cell>
          <cell r="CT412">
            <v>50</v>
          </cell>
          <cell r="CU412">
            <v>45</v>
          </cell>
          <cell r="CV412">
            <v>45</v>
          </cell>
          <cell r="CW412">
            <v>45</v>
          </cell>
          <cell r="CX412">
            <v>45</v>
          </cell>
          <cell r="CY412">
            <v>45</v>
          </cell>
          <cell r="DA412" t="str">
            <v>4.25% 2013 Note</v>
          </cell>
          <cell r="DB412">
            <v>1000</v>
          </cell>
          <cell r="DC412">
            <v>1000</v>
          </cell>
          <cell r="DD412">
            <v>1000</v>
          </cell>
          <cell r="DE412">
            <v>999</v>
          </cell>
          <cell r="DG412" t="str">
            <v>Modelware Requirements</v>
          </cell>
          <cell r="DH412" t="str">
            <v xml:space="preserve">Q1 </v>
          </cell>
          <cell r="DI412" t="str">
            <v xml:space="preserve">Q2 </v>
          </cell>
          <cell r="DJ412" t="str">
            <v xml:space="preserve">Q3 </v>
          </cell>
          <cell r="DK412" t="str">
            <v xml:space="preserve">Q4 </v>
          </cell>
          <cell r="DL412" t="str">
            <v xml:space="preserve">Q1 </v>
          </cell>
          <cell r="DM412" t="str">
            <v>Q2</v>
          </cell>
          <cell r="DN412" t="str">
            <v xml:space="preserve">Q3 </v>
          </cell>
          <cell r="DO412" t="str">
            <v xml:space="preserve">Q4 </v>
          </cell>
          <cell r="EB412" t="str">
            <v>Modelware Requirements</v>
          </cell>
          <cell r="EC412">
            <v>1994</v>
          </cell>
          <cell r="ED412">
            <v>1995</v>
          </cell>
          <cell r="EE412">
            <v>1996</v>
          </cell>
          <cell r="EF412">
            <v>1997</v>
          </cell>
          <cell r="EG412" t="str">
            <v>1998</v>
          </cell>
          <cell r="EH412">
            <v>1999</v>
          </cell>
        </row>
        <row r="413">
          <cell r="CQ413" t="str">
            <v>Other</v>
          </cell>
          <cell r="CR413">
            <v>61</v>
          </cell>
          <cell r="CS413">
            <v>54</v>
          </cell>
          <cell r="CT413">
            <v>45</v>
          </cell>
          <cell r="CU413">
            <v>62</v>
          </cell>
          <cell r="CV413">
            <v>37</v>
          </cell>
          <cell r="CW413">
            <v>46</v>
          </cell>
          <cell r="CX413">
            <v>36</v>
          </cell>
          <cell r="CY413">
            <v>36</v>
          </cell>
          <cell r="DA413" t="str">
            <v>4.5% 2010 Note</v>
          </cell>
          <cell r="DB413">
            <v>700</v>
          </cell>
          <cell r="DC413">
            <v>700</v>
          </cell>
          <cell r="DD413">
            <v>700</v>
          </cell>
          <cell r="DE413">
            <v>698</v>
          </cell>
          <cell r="DH413" t="str">
            <v>2005-Q1</v>
          </cell>
          <cell r="DI413" t="str">
            <v>2005-Q2</v>
          </cell>
          <cell r="DJ413" t="str">
            <v>2005-Q3</v>
          </cell>
          <cell r="DK413" t="str">
            <v>2005-Q4</v>
          </cell>
          <cell r="DL413" t="str">
            <v>2006-Q1</v>
          </cell>
          <cell r="DM413" t="str">
            <v>2006-Q2</v>
          </cell>
          <cell r="DN413" t="str">
            <v>2006-Q3</v>
          </cell>
          <cell r="DO413" t="str">
            <v>2006-Q4</v>
          </cell>
        </row>
        <row r="414">
          <cell r="CQ414" t="str">
            <v>Total Debt</v>
          </cell>
          <cell r="CR414">
            <v>2001</v>
          </cell>
          <cell r="CS414">
            <v>1948</v>
          </cell>
          <cell r="CT414">
            <v>2021</v>
          </cell>
          <cell r="CU414">
            <v>1471</v>
          </cell>
          <cell r="CV414">
            <v>3100</v>
          </cell>
          <cell r="CW414">
            <v>3088</v>
          </cell>
          <cell r="CX414">
            <v>4550</v>
          </cell>
          <cell r="CY414">
            <v>4550</v>
          </cell>
          <cell r="DA414" t="str">
            <v>5.375% 2015 Note</v>
          </cell>
          <cell r="DB414">
            <v>400</v>
          </cell>
          <cell r="DC414">
            <v>400</v>
          </cell>
          <cell r="DD414">
            <v>400</v>
          </cell>
          <cell r="DE414">
            <v>400</v>
          </cell>
          <cell r="DG414" t="str">
            <v>Tax Expense</v>
          </cell>
          <cell r="EB414" t="str">
            <v>Tax Expense</v>
          </cell>
          <cell r="EC414">
            <v>-120.04999999999998</v>
          </cell>
          <cell r="ED414">
            <v>-127.7045</v>
          </cell>
          <cell r="EE414">
            <v>-139.06000000000006</v>
          </cell>
          <cell r="EF414">
            <v>-135.52500000000009</v>
          </cell>
          <cell r="EG414">
            <v>-270.53919999999999</v>
          </cell>
          <cell r="EH414">
            <v>-410.99</v>
          </cell>
        </row>
        <row r="415">
          <cell r="CQ415" t="str">
            <v>Less current portion</v>
          </cell>
          <cell r="CR415">
            <v>1292</v>
          </cell>
          <cell r="CS415">
            <v>1223</v>
          </cell>
          <cell r="CT415">
            <v>1293</v>
          </cell>
          <cell r="CU415">
            <v>750</v>
          </cell>
          <cell r="CV415">
            <v>2380</v>
          </cell>
          <cell r="CW415">
            <v>364</v>
          </cell>
          <cell r="CX415">
            <v>1234</v>
          </cell>
          <cell r="CY415">
            <v>1234</v>
          </cell>
          <cell r="DA415" t="str">
            <v>total</v>
          </cell>
          <cell r="DB415">
            <v>3100</v>
          </cell>
          <cell r="DC415">
            <v>3094</v>
          </cell>
          <cell r="DD415">
            <v>3095</v>
          </cell>
          <cell r="DE415">
            <v>3095</v>
          </cell>
          <cell r="DG415" t="str">
            <v>Non-recurring items (net of tax):</v>
          </cell>
          <cell r="EB415" t="str">
            <v>Non-recurring items (net of tax):</v>
          </cell>
        </row>
        <row r="416">
          <cell r="CQ416" t="str">
            <v>Long-Term Debt</v>
          </cell>
          <cell r="CR416">
            <v>709</v>
          </cell>
          <cell r="CS416">
            <v>725</v>
          </cell>
          <cell r="CT416">
            <v>728</v>
          </cell>
          <cell r="CU416">
            <v>721</v>
          </cell>
          <cell r="CV416">
            <v>720</v>
          </cell>
          <cell r="CW416">
            <v>2724</v>
          </cell>
          <cell r="CX416">
            <v>3316</v>
          </cell>
          <cell r="CY416">
            <v>3316</v>
          </cell>
          <cell r="DA416" t="str">
            <v>Floating-rate notes (LiBOR +.22%)</v>
          </cell>
          <cell r="DB416">
            <v>500</v>
          </cell>
          <cell r="DC416">
            <v>500</v>
          </cell>
          <cell r="DD416">
            <v>0</v>
          </cell>
          <cell r="DE416">
            <v>0</v>
          </cell>
          <cell r="DG416" t="str">
            <v>Discontinued Operations</v>
          </cell>
          <cell r="EB416" t="str">
            <v>Discontinued Operations</v>
          </cell>
          <cell r="EH416">
            <v>165.7</v>
          </cell>
        </row>
        <row r="417">
          <cell r="DA417" t="str">
            <v>Commercial paper, net of unamortized discount</v>
          </cell>
          <cell r="DB417">
            <v>0</v>
          </cell>
          <cell r="DC417">
            <v>0</v>
          </cell>
          <cell r="DD417">
            <v>371</v>
          </cell>
          <cell r="DE417">
            <v>0</v>
          </cell>
        </row>
        <row r="418">
          <cell r="CQ418" t="str">
            <v>Mean Interest Rate for Interest Expense</v>
          </cell>
          <cell r="DA418" t="str">
            <v>Senior notes 2008 (6.32%, semi-annual payment)</v>
          </cell>
          <cell r="DB418">
            <v>150</v>
          </cell>
          <cell r="DC418">
            <v>150</v>
          </cell>
          <cell r="DD418">
            <v>150</v>
          </cell>
          <cell r="DE418">
            <v>150</v>
          </cell>
          <cell r="DG418" t="str">
            <v>Debt Analysis</v>
          </cell>
          <cell r="EB418" t="str">
            <v>Debt Analysis</v>
          </cell>
        </row>
        <row r="419">
          <cell r="CQ419" t="str">
            <v>Interest Expense</v>
          </cell>
          <cell r="CR419">
            <v>-15</v>
          </cell>
          <cell r="CS419">
            <v>-14</v>
          </cell>
          <cell r="CT419">
            <v>-16</v>
          </cell>
          <cell r="CU419">
            <v>-13</v>
          </cell>
          <cell r="CV419">
            <v>-13</v>
          </cell>
          <cell r="CW419">
            <v>-22</v>
          </cell>
          <cell r="CX419">
            <v>-32</v>
          </cell>
          <cell r="CY419">
            <v>-42</v>
          </cell>
          <cell r="DA419" t="str">
            <v>Term Debt</v>
          </cell>
          <cell r="DB419">
            <v>40</v>
          </cell>
          <cell r="DC419">
            <v>40</v>
          </cell>
          <cell r="DD419">
            <v>40</v>
          </cell>
          <cell r="DE419">
            <v>35</v>
          </cell>
          <cell r="DG419" t="str">
            <v>Fixed-rate notes</v>
          </cell>
          <cell r="EB419" t="str">
            <v>Fixed-rate notes</v>
          </cell>
        </row>
        <row r="420">
          <cell r="CQ420" t="str">
            <v>Mean Interest Rate for Interest Income</v>
          </cell>
          <cell r="DA420" t="str">
            <v>Other</v>
          </cell>
          <cell r="DB420">
            <v>74</v>
          </cell>
          <cell r="DC420">
            <v>32</v>
          </cell>
          <cell r="DD420">
            <v>31</v>
          </cell>
          <cell r="DE420">
            <v>17</v>
          </cell>
          <cell r="DG420" t="str">
            <v>2.125% 2006 Note</v>
          </cell>
          <cell r="DH420">
            <v>500</v>
          </cell>
          <cell r="DI420">
            <v>500</v>
          </cell>
          <cell r="DJ420">
            <v>500</v>
          </cell>
          <cell r="DK420">
            <v>500</v>
          </cell>
          <cell r="DL420">
            <v>500</v>
          </cell>
          <cell r="DM420">
            <v>0</v>
          </cell>
          <cell r="DN420">
            <v>0</v>
          </cell>
          <cell r="DO420">
            <v>0</v>
          </cell>
          <cell r="EB420" t="str">
            <v>2.125% 2006 Note</v>
          </cell>
        </row>
        <row r="421">
          <cell r="CQ421" t="str">
            <v>Interest Income</v>
          </cell>
          <cell r="CR421">
            <v>3</v>
          </cell>
          <cell r="CS421">
            <v>3</v>
          </cell>
          <cell r="CT421">
            <v>5</v>
          </cell>
          <cell r="CU421">
            <v>2</v>
          </cell>
          <cell r="CV421">
            <v>2</v>
          </cell>
          <cell r="CW421">
            <v>3</v>
          </cell>
          <cell r="CX421">
            <v>3</v>
          </cell>
          <cell r="CY421">
            <v>3</v>
          </cell>
          <cell r="DA421" t="str">
            <v>Issuance of New Debt</v>
          </cell>
          <cell r="DB421">
            <v>0</v>
          </cell>
          <cell r="DC421">
            <v>0</v>
          </cell>
          <cell r="DD421">
            <v>0</v>
          </cell>
          <cell r="DE421">
            <v>0</v>
          </cell>
          <cell r="DG421" t="str">
            <v>3.0% 2008 Note</v>
          </cell>
          <cell r="DH421">
            <v>499</v>
          </cell>
          <cell r="DI421">
            <v>500</v>
          </cell>
          <cell r="DJ421">
            <v>500</v>
          </cell>
          <cell r="DK421">
            <v>499</v>
          </cell>
          <cell r="DL421">
            <v>499</v>
          </cell>
          <cell r="DM421">
            <v>499</v>
          </cell>
          <cell r="DN421">
            <v>499</v>
          </cell>
          <cell r="DO421">
            <v>499</v>
          </cell>
          <cell r="EB421" t="str">
            <v>3.0% 2008 Note</v>
          </cell>
        </row>
        <row r="422">
          <cell r="CQ422" t="str">
            <v>Interest Expense, net</v>
          </cell>
          <cell r="CR422">
            <v>-12</v>
          </cell>
          <cell r="CS422">
            <v>-11</v>
          </cell>
          <cell r="CT422">
            <v>-11</v>
          </cell>
          <cell r="CU422">
            <v>-11</v>
          </cell>
          <cell r="CV422">
            <v>-11</v>
          </cell>
          <cell r="CW422">
            <v>-19</v>
          </cell>
          <cell r="CX422">
            <v>-29</v>
          </cell>
          <cell r="CY422">
            <v>-39</v>
          </cell>
          <cell r="DA422" t="str">
            <v>Total Debt</v>
          </cell>
          <cell r="DB422">
            <v>3864</v>
          </cell>
          <cell r="DC422">
            <v>3816</v>
          </cell>
          <cell r="DD422">
            <v>3687</v>
          </cell>
          <cell r="DE422">
            <v>3297</v>
          </cell>
          <cell r="DG422" t="str">
            <v>4.5% 2010 Note</v>
          </cell>
          <cell r="DH422">
            <v>698</v>
          </cell>
          <cell r="DI422">
            <v>700</v>
          </cell>
          <cell r="DJ422">
            <v>700</v>
          </cell>
          <cell r="DK422">
            <v>698</v>
          </cell>
          <cell r="DL422">
            <v>698</v>
          </cell>
          <cell r="DM422">
            <v>698</v>
          </cell>
          <cell r="DN422">
            <v>698</v>
          </cell>
          <cell r="DO422">
            <v>699</v>
          </cell>
          <cell r="EB422" t="str">
            <v>4.5% 2010 Note</v>
          </cell>
        </row>
        <row r="423">
          <cell r="DA423" t="str">
            <v>Less current portion</v>
          </cell>
          <cell r="DB423">
            <v>561</v>
          </cell>
          <cell r="DC423">
            <v>519</v>
          </cell>
          <cell r="DD423">
            <v>391</v>
          </cell>
          <cell r="DE423">
            <v>6</v>
          </cell>
          <cell r="DG423" t="str">
            <v>4.25% 2013 Note</v>
          </cell>
          <cell r="DH423">
            <v>999</v>
          </cell>
          <cell r="DI423">
            <v>1000</v>
          </cell>
          <cell r="DJ423">
            <v>1000</v>
          </cell>
          <cell r="DK423">
            <v>999</v>
          </cell>
          <cell r="DL423">
            <v>999</v>
          </cell>
          <cell r="DM423">
            <v>999</v>
          </cell>
          <cell r="DN423">
            <v>999</v>
          </cell>
          <cell r="DO423">
            <v>999</v>
          </cell>
          <cell r="EB423" t="str">
            <v>4.25% 2013 Note</v>
          </cell>
        </row>
        <row r="424">
          <cell r="CQ424" t="str">
            <v>Goodwill Analysis</v>
          </cell>
          <cell r="DA424" t="str">
            <v>Long-Term Debt</v>
          </cell>
          <cell r="DB424">
            <v>3303</v>
          </cell>
          <cell r="DC424">
            <v>3297</v>
          </cell>
          <cell r="DD424">
            <v>3296</v>
          </cell>
          <cell r="DE424">
            <v>3291</v>
          </cell>
          <cell r="DG424" t="str">
            <v>5.375% 2015 Note</v>
          </cell>
          <cell r="DH424">
            <v>395</v>
          </cell>
          <cell r="DI424">
            <v>395</v>
          </cell>
          <cell r="DJ424">
            <v>396</v>
          </cell>
          <cell r="DK424">
            <v>400</v>
          </cell>
          <cell r="DL424">
            <v>400</v>
          </cell>
          <cell r="DM424">
            <v>400</v>
          </cell>
          <cell r="DN424">
            <v>400</v>
          </cell>
          <cell r="DO424">
            <v>400</v>
          </cell>
          <cell r="EB424" t="str">
            <v>5.375% 2015 Note</v>
          </cell>
        </row>
        <row r="425">
          <cell r="CQ425" t="str">
            <v>Goodwill Amort</v>
          </cell>
          <cell r="DA425" t="str">
            <v>check</v>
          </cell>
          <cell r="DG425" t="str">
            <v>total</v>
          </cell>
          <cell r="DH425">
            <v>3091</v>
          </cell>
          <cell r="DI425">
            <v>3095</v>
          </cell>
          <cell r="DJ425">
            <v>3096</v>
          </cell>
          <cell r="DK425">
            <v>3096</v>
          </cell>
          <cell r="DL425">
            <v>3096</v>
          </cell>
          <cell r="DM425">
            <v>2596</v>
          </cell>
          <cell r="DN425">
            <v>2596</v>
          </cell>
          <cell r="DO425">
            <v>2597</v>
          </cell>
          <cell r="EB425" t="str">
            <v>total</v>
          </cell>
        </row>
        <row r="426">
          <cell r="CQ426" t="str">
            <v>Accumulated Goodwill Amort</v>
          </cell>
          <cell r="DG426" t="str">
            <v>Floating-rate notes (LiBOR +.22%)</v>
          </cell>
          <cell r="DH426">
            <v>0</v>
          </cell>
          <cell r="DI426">
            <v>0</v>
          </cell>
          <cell r="DJ426">
            <v>0</v>
          </cell>
          <cell r="DK426">
            <v>0</v>
          </cell>
          <cell r="DL426">
            <v>0</v>
          </cell>
          <cell r="DM426">
            <v>0</v>
          </cell>
          <cell r="DN426">
            <v>0</v>
          </cell>
          <cell r="DO426">
            <v>0</v>
          </cell>
          <cell r="EB426" t="str">
            <v>Floating-rate notes (LiBOR +.22%)</v>
          </cell>
        </row>
        <row r="427">
          <cell r="CQ427" t="str">
            <v>Unrecorded Goodwill from Poolings</v>
          </cell>
          <cell r="DA427" t="str">
            <v>Mean Interest Rate for Interest Expense</v>
          </cell>
          <cell r="DG427" t="str">
            <v>Commercial paper, net of unamortized discount</v>
          </cell>
          <cell r="DH427">
            <v>0</v>
          </cell>
          <cell r="DI427">
            <v>0</v>
          </cell>
          <cell r="DJ427">
            <v>0</v>
          </cell>
          <cell r="DK427">
            <v>0</v>
          </cell>
          <cell r="DL427">
            <v>0</v>
          </cell>
          <cell r="DM427">
            <v>864</v>
          </cell>
          <cell r="DN427">
            <v>322</v>
          </cell>
          <cell r="DO427">
            <v>0</v>
          </cell>
          <cell r="EB427" t="str">
            <v>Commercial paper, net of unamortized discount</v>
          </cell>
          <cell r="EH427">
            <v>852</v>
          </cell>
        </row>
        <row r="428">
          <cell r="CQ428" t="str">
            <v>Unrecorded Goodwill from Poolings, Writeoffs &amp; Accum Amort.</v>
          </cell>
          <cell r="DA428" t="str">
            <v>Interest Expense</v>
          </cell>
          <cell r="DB428">
            <v>-40</v>
          </cell>
          <cell r="DC428">
            <v>-41</v>
          </cell>
          <cell r="DD428">
            <v>-33</v>
          </cell>
          <cell r="DE428">
            <v>-43</v>
          </cell>
          <cell r="DG428" t="str">
            <v>Senior notes 2008 (6.32%, semi-annual payment)</v>
          </cell>
          <cell r="DH428">
            <v>150</v>
          </cell>
          <cell r="DI428">
            <v>150</v>
          </cell>
          <cell r="DJ428">
            <v>150</v>
          </cell>
          <cell r="DK428">
            <v>150</v>
          </cell>
          <cell r="DL428">
            <v>150</v>
          </cell>
          <cell r="DM428">
            <v>150</v>
          </cell>
          <cell r="DN428">
            <v>150</v>
          </cell>
          <cell r="DO428">
            <v>150</v>
          </cell>
          <cell r="EB428" t="str">
            <v>Senior notes 2008 (6.32%, semi-annual payment)</v>
          </cell>
          <cell r="EH428">
            <v>149</v>
          </cell>
        </row>
        <row r="429">
          <cell r="CQ429" t="str">
            <v>Common Dividends, Accrual</v>
          </cell>
          <cell r="DA429" t="str">
            <v>Mean Interest Rate for Interest Income</v>
          </cell>
          <cell r="DG429" t="str">
            <v>Term Debt</v>
          </cell>
          <cell r="DH429">
            <v>35</v>
          </cell>
          <cell r="DI429">
            <v>35</v>
          </cell>
          <cell r="DJ429">
            <v>35</v>
          </cell>
          <cell r="DK429">
            <v>30</v>
          </cell>
          <cell r="DL429">
            <v>30</v>
          </cell>
          <cell r="DM429">
            <v>30</v>
          </cell>
          <cell r="DN429">
            <v>30</v>
          </cell>
          <cell r="DO429">
            <v>25</v>
          </cell>
          <cell r="EB429" t="str">
            <v>Term Debt</v>
          </cell>
        </row>
        <row r="430">
          <cell r="DA430" t="str">
            <v>Interest Income</v>
          </cell>
          <cell r="DB430">
            <v>1</v>
          </cell>
          <cell r="DC430">
            <v>2</v>
          </cell>
          <cell r="DD430">
            <v>6</v>
          </cell>
          <cell r="DE430">
            <v>0</v>
          </cell>
          <cell r="DG430" t="str">
            <v>Other</v>
          </cell>
          <cell r="DH430">
            <v>11</v>
          </cell>
          <cell r="DI430">
            <v>18</v>
          </cell>
          <cell r="DJ430">
            <v>16</v>
          </cell>
          <cell r="DK430">
            <v>11</v>
          </cell>
          <cell r="DL430">
            <v>9</v>
          </cell>
          <cell r="DM430">
            <v>9</v>
          </cell>
          <cell r="DN430">
            <v>9</v>
          </cell>
          <cell r="DO430">
            <v>9</v>
          </cell>
          <cell r="EB430" t="str">
            <v>Other</v>
          </cell>
          <cell r="EH430">
            <v>21</v>
          </cell>
        </row>
        <row r="431">
          <cell r="CQ431" t="str">
            <v>Tax Analysis</v>
          </cell>
          <cell r="DA431" t="str">
            <v>Interest Expense, net</v>
          </cell>
          <cell r="DB431">
            <v>-39</v>
          </cell>
          <cell r="DC431">
            <v>-39</v>
          </cell>
          <cell r="DD431">
            <v>-27</v>
          </cell>
          <cell r="DE431">
            <v>-43</v>
          </cell>
          <cell r="DG431" t="str">
            <v>Issuance of New Debt</v>
          </cell>
          <cell r="DH431">
            <v>0</v>
          </cell>
          <cell r="DI431">
            <v>0</v>
          </cell>
          <cell r="DJ431">
            <v>0</v>
          </cell>
          <cell r="DK431">
            <v>0</v>
          </cell>
          <cell r="DL431">
            <v>0</v>
          </cell>
          <cell r="DM431">
            <v>0</v>
          </cell>
          <cell r="DN431">
            <v>0</v>
          </cell>
          <cell r="DO431">
            <v>0</v>
          </cell>
          <cell r="EB431" t="str">
            <v>Issuance of New Debt</v>
          </cell>
        </row>
        <row r="432">
          <cell r="CQ432" t="str">
            <v>Federal Statuatory Tax Rate</v>
          </cell>
          <cell r="DG432" t="str">
            <v>Total Debt</v>
          </cell>
          <cell r="DH432">
            <v>3287</v>
          </cell>
          <cell r="DI432">
            <v>3298</v>
          </cell>
          <cell r="DJ432">
            <v>3297</v>
          </cell>
          <cell r="DK432">
            <v>3287</v>
          </cell>
          <cell r="DL432">
            <v>3285</v>
          </cell>
          <cell r="DM432">
            <v>3649</v>
          </cell>
          <cell r="DN432">
            <v>3107</v>
          </cell>
          <cell r="DO432">
            <v>2781</v>
          </cell>
          <cell r="EB432" t="str">
            <v>Total Debt</v>
          </cell>
          <cell r="EC432">
            <v>0</v>
          </cell>
          <cell r="ED432">
            <v>0</v>
          </cell>
          <cell r="EE432">
            <v>0</v>
          </cell>
          <cell r="EF432">
            <v>0</v>
          </cell>
          <cell r="EG432">
            <v>0</v>
          </cell>
          <cell r="EH432">
            <v>1022</v>
          </cell>
        </row>
        <row r="433">
          <cell r="CQ433" t="str">
            <v>State Tax Adjustment</v>
          </cell>
          <cell r="DA433" t="str">
            <v>Goodwill Analysis</v>
          </cell>
          <cell r="DG433" t="str">
            <v>Less current portion</v>
          </cell>
          <cell r="DH433">
            <v>7</v>
          </cell>
          <cell r="DI433">
            <v>507</v>
          </cell>
          <cell r="DJ433">
            <v>507</v>
          </cell>
          <cell r="DK433">
            <v>509</v>
          </cell>
          <cell r="DL433">
            <v>507</v>
          </cell>
          <cell r="DM433">
            <v>871</v>
          </cell>
          <cell r="DN433">
            <v>329</v>
          </cell>
          <cell r="DO433">
            <v>7</v>
          </cell>
          <cell r="EB433" t="str">
            <v>Less current portion</v>
          </cell>
          <cell r="EH433">
            <v>853</v>
          </cell>
        </row>
        <row r="434">
          <cell r="CQ434" t="str">
            <v>ForeignTax Adjustment</v>
          </cell>
          <cell r="DA434" t="str">
            <v>Goodwill Amort</v>
          </cell>
          <cell r="DG434" t="str">
            <v>Long-Term Debt</v>
          </cell>
          <cell r="DH434">
            <v>3280</v>
          </cell>
          <cell r="DI434">
            <v>2791</v>
          </cell>
          <cell r="DJ434">
            <v>2790</v>
          </cell>
          <cell r="DK434">
            <v>2778</v>
          </cell>
          <cell r="DL434">
            <v>2778</v>
          </cell>
          <cell r="DM434">
            <v>2778</v>
          </cell>
          <cell r="DN434">
            <v>2778</v>
          </cell>
          <cell r="DO434">
            <v>2774</v>
          </cell>
          <cell r="EB434" t="str">
            <v>Long-Term Debt</v>
          </cell>
          <cell r="EH434">
            <v>169</v>
          </cell>
        </row>
        <row r="435">
          <cell r="CQ435" t="str">
            <v>Adjusted Statutory Tax Rate</v>
          </cell>
          <cell r="DA435" t="str">
            <v>Accumulated Goodwill Amort</v>
          </cell>
          <cell r="DG435" t="str">
            <v>check</v>
          </cell>
          <cell r="EB435" t="str">
            <v>check</v>
          </cell>
        </row>
        <row r="436">
          <cell r="DA436" t="str">
            <v>Unrecorded Goodwill from Poolings</v>
          </cell>
        </row>
        <row r="437">
          <cell r="CQ437" t="str">
            <v>Share Analysis</v>
          </cell>
          <cell r="DA437" t="str">
            <v>Unrecorded Goodwill from Poolings, Writeoffs &amp; Accum Amort.</v>
          </cell>
          <cell r="DG437" t="str">
            <v>Mean Interest Rate for Interest Expense</v>
          </cell>
          <cell r="EB437" t="str">
            <v>Mean Interest Rate for Interest Expense</v>
          </cell>
        </row>
        <row r="438">
          <cell r="CQ438" t="str">
            <v>Period End Basic Shares</v>
          </cell>
          <cell r="DA438" t="str">
            <v>Common Dividends, Accrual</v>
          </cell>
          <cell r="DG438" t="str">
            <v>Interest Expense</v>
          </cell>
          <cell r="DH438">
            <v>-38</v>
          </cell>
          <cell r="DI438">
            <v>-38</v>
          </cell>
          <cell r="DJ438">
            <v>-37</v>
          </cell>
          <cell r="DK438">
            <v>-41</v>
          </cell>
          <cell r="DL438">
            <v>-35</v>
          </cell>
          <cell r="DM438">
            <v>-41</v>
          </cell>
          <cell r="DN438">
            <v>-42</v>
          </cell>
          <cell r="DO438">
            <v>-38</v>
          </cell>
          <cell r="EB438" t="str">
            <v>Interest Expense</v>
          </cell>
          <cell r="EG438">
            <v>-40</v>
          </cell>
          <cell r="EH438">
            <v>-53</v>
          </cell>
        </row>
        <row r="439">
          <cell r="CQ439" t="str">
            <v>Average Basic Shares</v>
          </cell>
          <cell r="DG439" t="str">
            <v>Mean Interest Rate for Interest Income</v>
          </cell>
          <cell r="EB439" t="str">
            <v>Mean Interest Rate for Interest Income</v>
          </cell>
        </row>
        <row r="440">
          <cell r="CQ440" t="str">
            <v>Average Diluted Shares</v>
          </cell>
          <cell r="CV440">
            <v>199.7</v>
          </cell>
          <cell r="CW440">
            <v>198.6</v>
          </cell>
          <cell r="CX440">
            <v>199.02199999999999</v>
          </cell>
          <cell r="CY440">
            <v>199.553584</v>
          </cell>
          <cell r="DA440" t="str">
            <v>Tax Analysis</v>
          </cell>
          <cell r="DG440" t="str">
            <v>Interest Income</v>
          </cell>
          <cell r="DH440">
            <v>4</v>
          </cell>
          <cell r="DI440">
            <v>9</v>
          </cell>
          <cell r="DJ440">
            <v>7</v>
          </cell>
          <cell r="DK440">
            <v>16</v>
          </cell>
          <cell r="DL440">
            <v>18</v>
          </cell>
          <cell r="DM440">
            <v>18</v>
          </cell>
          <cell r="DN440">
            <v>8</v>
          </cell>
          <cell r="DO440">
            <v>11</v>
          </cell>
          <cell r="EB440" t="str">
            <v>Interest Income</v>
          </cell>
          <cell r="EG440">
            <v>23</v>
          </cell>
          <cell r="EH440">
            <v>19</v>
          </cell>
        </row>
        <row r="441">
          <cell r="CQ441" t="str">
            <v>Diluted/Basic Ratio</v>
          </cell>
          <cell r="DA441" t="str">
            <v>Federal Statuatory Tax Rate</v>
          </cell>
          <cell r="DG441" t="str">
            <v>Interest Expense, net</v>
          </cell>
          <cell r="DH441">
            <v>-34</v>
          </cell>
          <cell r="DI441">
            <v>-29</v>
          </cell>
          <cell r="DJ441">
            <v>-30</v>
          </cell>
          <cell r="DK441">
            <v>-25</v>
          </cell>
          <cell r="DL441">
            <v>-17</v>
          </cell>
          <cell r="DM441">
            <v>-23</v>
          </cell>
          <cell r="DN441">
            <v>-34</v>
          </cell>
          <cell r="DO441">
            <v>-27</v>
          </cell>
          <cell r="EB441" t="str">
            <v>Interest Expense, net</v>
          </cell>
          <cell r="EG441">
            <v>-17</v>
          </cell>
          <cell r="EH441">
            <v>-34</v>
          </cell>
        </row>
        <row r="442">
          <cell r="CQ442" t="str">
            <v>Share Repurchases</v>
          </cell>
          <cell r="DA442" t="str">
            <v>State Tax Adjustment</v>
          </cell>
        </row>
        <row r="443">
          <cell r="CQ443" t="str">
            <v>Number of Shares Repurchased</v>
          </cell>
          <cell r="DA443" t="str">
            <v>ForeignTax Adjustment</v>
          </cell>
          <cell r="DG443" t="str">
            <v>Goodwill Analysis</v>
          </cell>
          <cell r="EB443" t="str">
            <v>Goodwill Analysis</v>
          </cell>
        </row>
        <row r="444">
          <cell r="CQ444" t="str">
            <v>Total Cost</v>
          </cell>
          <cell r="DA444" t="str">
            <v>Adjusted Statutory Tax Rate</v>
          </cell>
          <cell r="DG444" t="str">
            <v>Goodwill Amort</v>
          </cell>
          <cell r="EB444" t="str">
            <v>Goodwill Amort</v>
          </cell>
          <cell r="EG444">
            <v>36</v>
          </cell>
          <cell r="EH444">
            <v>51</v>
          </cell>
        </row>
        <row r="445">
          <cell r="CQ445" t="str">
            <v>Average Share Price</v>
          </cell>
          <cell r="DG445" t="str">
            <v>Accumulated Goodwill Amort</v>
          </cell>
          <cell r="EB445" t="str">
            <v>Accumulated Goodwill Amort</v>
          </cell>
          <cell r="EG445">
            <v>44</v>
          </cell>
          <cell r="EH445">
            <v>80</v>
          </cell>
        </row>
        <row r="446">
          <cell r="CQ446" t="str">
            <v>Share Price Growth</v>
          </cell>
          <cell r="DA446" t="str">
            <v>Share Analysis</v>
          </cell>
          <cell r="DG446" t="str">
            <v>Unrecorded Goodwill from Poolings</v>
          </cell>
          <cell r="EB446" t="str">
            <v>Unrecorded Goodwill from Poolings</v>
          </cell>
          <cell r="EH446">
            <v>4557.1081038499997</v>
          </cell>
        </row>
        <row r="447">
          <cell r="CQ447" t="str">
            <v>Authorization Remaining (shares)</v>
          </cell>
          <cell r="CY447">
            <v>4.5068000000000001</v>
          </cell>
          <cell r="DA447" t="str">
            <v>Period End Basic Shares</v>
          </cell>
          <cell r="DD447">
            <v>400.32330999999999</v>
          </cell>
          <cell r="DE447">
            <v>402.066306</v>
          </cell>
          <cell r="DG447" t="str">
            <v>Unrecorded Goodwill from Poolings, Writeoffs &amp; Accum Amort.</v>
          </cell>
          <cell r="EB447" t="str">
            <v>Unrecorded Goodwill from Poolings, Writeoffs &amp; Accum Amort.</v>
          </cell>
          <cell r="EG447">
            <v>44</v>
          </cell>
          <cell r="EH447">
            <v>4637.1081038499997</v>
          </cell>
        </row>
        <row r="448">
          <cell r="CQ448" t="str">
            <v>Share Grants</v>
          </cell>
          <cell r="DA448" t="str">
            <v>Average Basic Shares</v>
          </cell>
          <cell r="DD448">
            <v>399.92846400000002</v>
          </cell>
          <cell r="DE448">
            <v>401.29614400000003</v>
          </cell>
          <cell r="DG448" t="str">
            <v>Common Dividends, Accrual</v>
          </cell>
          <cell r="EB448" t="str">
            <v>Common Dividends, Accrual</v>
          </cell>
          <cell r="EH448">
            <v>-156</v>
          </cell>
        </row>
        <row r="449">
          <cell r="CQ449" t="str">
            <v>Options Outstanding</v>
          </cell>
          <cell r="DA449" t="str">
            <v>Average Diluted Shares</v>
          </cell>
          <cell r="DB449">
            <v>400.60636399999999</v>
          </cell>
          <cell r="DC449">
            <v>402</v>
          </cell>
          <cell r="DD449">
            <v>403.70463599999999</v>
          </cell>
          <cell r="DE449">
            <v>405.15540199999998</v>
          </cell>
        </row>
        <row r="450">
          <cell r="CQ450" t="str">
            <v>Options Exercised</v>
          </cell>
          <cell r="DA450" t="str">
            <v>Diluted/Basic Ratio</v>
          </cell>
          <cell r="DG450" t="str">
            <v>Tax Analysis</v>
          </cell>
          <cell r="EB450" t="str">
            <v>Tax Analysis</v>
          </cell>
        </row>
        <row r="451">
          <cell r="CQ451" t="str">
            <v>Options Exercisable</v>
          </cell>
          <cell r="DA451" t="str">
            <v>Share Repurchases</v>
          </cell>
          <cell r="DG451" t="str">
            <v>Federal Statuatory Tax Rate</v>
          </cell>
          <cell r="EB451" t="str">
            <v>Federal Statuatory Tax Rate</v>
          </cell>
          <cell r="EC451">
            <v>0.35</v>
          </cell>
          <cell r="ED451">
            <v>0.35</v>
          </cell>
          <cell r="EE451">
            <v>0.35</v>
          </cell>
          <cell r="EF451">
            <v>0.35</v>
          </cell>
          <cell r="EG451">
            <v>0.35</v>
          </cell>
          <cell r="EH451">
            <v>0.35</v>
          </cell>
        </row>
        <row r="452">
          <cell r="CQ452" t="str">
            <v>Weighted Average Price</v>
          </cell>
          <cell r="DA452" t="str">
            <v>Number of Shares Repurchased</v>
          </cell>
          <cell r="DB452">
            <v>0</v>
          </cell>
          <cell r="DC452">
            <v>0</v>
          </cell>
          <cell r="DD452">
            <v>0</v>
          </cell>
          <cell r="DE452">
            <v>0</v>
          </cell>
          <cell r="DG452" t="str">
            <v>State Tax Adjustment</v>
          </cell>
          <cell r="EB452" t="str">
            <v>State Tax Adjustment</v>
          </cell>
          <cell r="EH452">
            <v>8.9999999999999993E-3</v>
          </cell>
        </row>
        <row r="453">
          <cell r="CQ453" t="str">
            <v>% Exercisable Options Exercised</v>
          </cell>
          <cell r="DA453" t="str">
            <v>Total Cost</v>
          </cell>
          <cell r="DB453">
            <v>0</v>
          </cell>
          <cell r="DC453">
            <v>0</v>
          </cell>
          <cell r="DD453">
            <v>0</v>
          </cell>
          <cell r="DE453">
            <v>0</v>
          </cell>
          <cell r="DG453" t="str">
            <v>ForeignTax Adjustment</v>
          </cell>
          <cell r="EB453" t="str">
            <v>ForeignTax Adjustment</v>
          </cell>
          <cell r="EH453">
            <v>0</v>
          </cell>
        </row>
        <row r="454">
          <cell r="CQ454" t="str">
            <v>Restricted Stock Awards</v>
          </cell>
          <cell r="DA454" t="str">
            <v>Average Share Price</v>
          </cell>
          <cell r="DG454" t="str">
            <v>Adjusted Statutory Tax Rate</v>
          </cell>
          <cell r="EB454" t="str">
            <v>Adjusted Statutory Tax Rate</v>
          </cell>
          <cell r="EH454">
            <v>0.35899999999999999</v>
          </cell>
        </row>
        <row r="455">
          <cell r="CQ455" t="str">
            <v>Average Price Restricted Stock</v>
          </cell>
          <cell r="DA455" t="str">
            <v>Share Price Growth</v>
          </cell>
        </row>
        <row r="456">
          <cell r="CQ456" t="str">
            <v>Shares Issued</v>
          </cell>
          <cell r="DA456" t="str">
            <v>Authorization Remaining (shares)</v>
          </cell>
          <cell r="DB456">
            <v>9.0136000000000003</v>
          </cell>
          <cell r="DC456">
            <v>9.0136000000000003</v>
          </cell>
          <cell r="DD456">
            <v>9.0136000000000003</v>
          </cell>
          <cell r="DE456">
            <v>9.0136000000000003</v>
          </cell>
          <cell r="DG456" t="str">
            <v>Share Analysis</v>
          </cell>
          <cell r="EB456" t="str">
            <v>Share Analysis</v>
          </cell>
        </row>
        <row r="457">
          <cell r="CQ457" t="str">
            <v>Number of Shares Issued</v>
          </cell>
          <cell r="DA457" t="str">
            <v>Share Grants</v>
          </cell>
          <cell r="DG457" t="str">
            <v>Period End Basic Shares</v>
          </cell>
          <cell r="DJ457">
            <v>402.49944799999997</v>
          </cell>
          <cell r="DK457">
            <v>400.36305399999998</v>
          </cell>
          <cell r="DL457">
            <v>403.34005500000001</v>
          </cell>
          <cell r="DM457">
            <v>403.16262799999998</v>
          </cell>
          <cell r="DN457">
            <v>404.430136</v>
          </cell>
          <cell r="DO457">
            <v>405.792438</v>
          </cell>
          <cell r="EB457" t="str">
            <v>Period End Basic Shares</v>
          </cell>
          <cell r="EF457">
            <v>400.6</v>
          </cell>
          <cell r="EG457">
            <v>398.6</v>
          </cell>
          <cell r="EH457">
            <v>402</v>
          </cell>
        </row>
        <row r="458">
          <cell r="CQ458" t="str">
            <v>Weighted Average Price</v>
          </cell>
          <cell r="DA458" t="str">
            <v>Options Outstanding</v>
          </cell>
          <cell r="DG458" t="str">
            <v>Average Basic Shares</v>
          </cell>
          <cell r="DH458">
            <v>401.11500000000001</v>
          </cell>
          <cell r="DI458">
            <v>401.416</v>
          </cell>
          <cell r="DJ458">
            <v>402.12028199999997</v>
          </cell>
          <cell r="DK458">
            <v>401.89684199999999</v>
          </cell>
          <cell r="DL458">
            <v>401.46899999999999</v>
          </cell>
          <cell r="DM458">
            <v>403.51799999999997</v>
          </cell>
          <cell r="DN458">
            <v>403.72302400000001</v>
          </cell>
          <cell r="DO458">
            <v>404.98395699999998</v>
          </cell>
          <cell r="EB458" t="str">
            <v>Average Basic Shares</v>
          </cell>
          <cell r="EF458">
            <v>399.6</v>
          </cell>
          <cell r="EG458">
            <v>399</v>
          </cell>
          <cell r="EH458">
            <v>399.99599999999998</v>
          </cell>
        </row>
        <row r="459">
          <cell r="CQ459" t="str">
            <v>Proceeds from Exercises</v>
          </cell>
          <cell r="DA459" t="str">
            <v>Options Exercised</v>
          </cell>
          <cell r="DG459" t="str">
            <v>Average Diluted Shares</v>
          </cell>
          <cell r="DH459">
            <v>404.04754800000001</v>
          </cell>
          <cell r="DI459">
            <v>404.39757400000002</v>
          </cell>
          <cell r="DJ459">
            <v>405.60674599999999</v>
          </cell>
          <cell r="DK459">
            <v>405.30242199999998</v>
          </cell>
          <cell r="DL459">
            <v>404.5</v>
          </cell>
          <cell r="DM459">
            <v>406.95760899999999</v>
          </cell>
          <cell r="DN459">
            <v>407.177077</v>
          </cell>
          <cell r="DO459">
            <v>408.66932600000001</v>
          </cell>
          <cell r="EB459" t="str">
            <v>Average Diluted Shares</v>
          </cell>
          <cell r="EC459">
            <v>253.6</v>
          </cell>
          <cell r="ED459">
            <v>252</v>
          </cell>
          <cell r="EE459">
            <v>254</v>
          </cell>
          <cell r="EF459">
            <v>409.4</v>
          </cell>
          <cell r="EG459">
            <v>404.4</v>
          </cell>
          <cell r="EH459">
            <v>404.2</v>
          </cell>
        </row>
        <row r="460">
          <cell r="CQ460" t="str">
            <v>Tax benefit from employee stock plans</v>
          </cell>
          <cell r="DA460" t="str">
            <v>Options Exercisable</v>
          </cell>
          <cell r="DG460" t="str">
            <v>Diluted/Basic Ratio</v>
          </cell>
          <cell r="DL460">
            <v>1.0075497734569792</v>
          </cell>
          <cell r="DM460">
            <v>1.008524053449908</v>
          </cell>
          <cell r="DN460">
            <v>1.0085555016550158</v>
          </cell>
          <cell r="DO460">
            <v>1.009100037017022</v>
          </cell>
          <cell r="EB460" t="str">
            <v>Diluted/Basic Ratio</v>
          </cell>
          <cell r="EF460">
            <v>1.0245245245245245</v>
          </cell>
          <cell r="EG460">
            <v>1.0135338345864662</v>
          </cell>
          <cell r="EH460">
            <v>1.010510105101051</v>
          </cell>
        </row>
        <row r="461">
          <cell r="CQ461" t="str">
            <v>Net Expenditures for Share Issuances</v>
          </cell>
          <cell r="DA461" t="str">
            <v>Weighted Average Price</v>
          </cell>
          <cell r="DG461" t="str">
            <v>Share Repurchases</v>
          </cell>
          <cell r="EB461" t="str">
            <v>Share Repurchases</v>
          </cell>
        </row>
        <row r="462">
          <cell r="CQ462" t="str">
            <v>Net Issuances (Repurchases)</v>
          </cell>
          <cell r="DA462" t="str">
            <v>% Exercisable Options Exercised</v>
          </cell>
          <cell r="DG462" t="str">
            <v>Number of Shares Repurchased</v>
          </cell>
          <cell r="DH462">
            <v>2.0044</v>
          </cell>
          <cell r="DI462">
            <v>1.9144000000000001</v>
          </cell>
          <cell r="DJ462">
            <v>0</v>
          </cell>
          <cell r="DK462">
            <v>2.74</v>
          </cell>
          <cell r="DL462">
            <v>0.14560000000000001</v>
          </cell>
          <cell r="DM462">
            <v>1.0481</v>
          </cell>
          <cell r="DN462">
            <v>0</v>
          </cell>
          <cell r="DO462">
            <v>0</v>
          </cell>
          <cell r="EB462" t="str">
            <v>Number of Shares Repurchased</v>
          </cell>
          <cell r="EH462">
            <v>2.6</v>
          </cell>
        </row>
        <row r="463">
          <cell r="CQ463" t="str">
            <v>Net Expenditures for Issuances/(Repurchases)</v>
          </cell>
          <cell r="DA463" t="str">
            <v>Restricted Stock Awards</v>
          </cell>
          <cell r="DG463" t="str">
            <v>Total Cost</v>
          </cell>
          <cell r="DH463">
            <v>99.979472000000001</v>
          </cell>
          <cell r="DI463">
            <v>99.997820000000004</v>
          </cell>
          <cell r="DJ463">
            <v>0</v>
          </cell>
          <cell r="DK463">
            <v>158</v>
          </cell>
          <cell r="DL463">
            <v>8.3297760000000007</v>
          </cell>
          <cell r="DM463">
            <v>66.483643999999998</v>
          </cell>
          <cell r="DN463">
            <v>0</v>
          </cell>
          <cell r="DO463">
            <v>0</v>
          </cell>
          <cell r="EB463" t="str">
            <v>Total Cost</v>
          </cell>
          <cell r="EH463">
            <v>58</v>
          </cell>
        </row>
        <row r="464">
          <cell r="DA464" t="str">
            <v>Average Price Restricted Stock</v>
          </cell>
          <cell r="DG464" t="str">
            <v>Average Share Price</v>
          </cell>
          <cell r="DH464">
            <v>49.88</v>
          </cell>
          <cell r="DI464">
            <v>52.234548683660677</v>
          </cell>
          <cell r="DJ464">
            <v>0</v>
          </cell>
          <cell r="DK464">
            <v>57.664233576642332</v>
          </cell>
          <cell r="DL464">
            <v>57.21</v>
          </cell>
          <cell r="DM464">
            <v>63.432538879877868</v>
          </cell>
          <cell r="DN464" t="str">
            <v>NA</v>
          </cell>
          <cell r="DO464" t="str">
            <v>NA</v>
          </cell>
          <cell r="EB464" t="str">
            <v>Average Share Price</v>
          </cell>
          <cell r="EH464">
            <v>22.307692307692307</v>
          </cell>
        </row>
        <row r="465">
          <cell r="CQ465" t="str">
            <v>Fixed Asset Analysis</v>
          </cell>
          <cell r="DA465" t="str">
            <v>Shares Issued</v>
          </cell>
          <cell r="DG465" t="str">
            <v>Share Price Growth</v>
          </cell>
          <cell r="EB465" t="str">
            <v>Share Price Growth</v>
          </cell>
        </row>
        <row r="466">
          <cell r="CQ466" t="str">
            <v>Gross PP&amp;E - beginning of period</v>
          </cell>
          <cell r="DA466" t="str">
            <v>Number of Shares Issued</v>
          </cell>
          <cell r="DG466" t="str">
            <v>Authorization Remaining (shares)</v>
          </cell>
          <cell r="DH466">
            <v>7.0091999999999999</v>
          </cell>
          <cell r="DI466">
            <v>5.0947999999999993</v>
          </cell>
          <cell r="DJ466">
            <v>5.0947999999999993</v>
          </cell>
          <cell r="DK466">
            <v>2.3547999999999991</v>
          </cell>
          <cell r="DL466">
            <v>2.2082000000000002</v>
          </cell>
          <cell r="DM466">
            <v>10</v>
          </cell>
          <cell r="DN466">
            <v>10</v>
          </cell>
          <cell r="DO466">
            <v>10</v>
          </cell>
          <cell r="EB466" t="str">
            <v>Authorization Remaining (shares)</v>
          </cell>
        </row>
        <row r="467">
          <cell r="CQ467" t="str">
            <v xml:space="preserve">   Additions - Capital spending</v>
          </cell>
          <cell r="DA467" t="str">
            <v>Weighted Average Price</v>
          </cell>
          <cell r="DG467" t="str">
            <v>Share Grants</v>
          </cell>
          <cell r="EB467" t="str">
            <v>Share Grants</v>
          </cell>
        </row>
        <row r="468">
          <cell r="CQ468" t="str">
            <v xml:space="preserve">   Additions - Acquisitions</v>
          </cell>
          <cell r="DA468" t="str">
            <v>Proceeds from Exercises</v>
          </cell>
          <cell r="DG468" t="str">
            <v>Options Outstanding</v>
          </cell>
          <cell r="EB468" t="str">
            <v>Options Outstanding</v>
          </cell>
          <cell r="EH468">
            <v>15.005762000000001</v>
          </cell>
        </row>
        <row r="469">
          <cell r="CQ469" t="str">
            <v xml:space="preserve">   Asset Retirements/Other</v>
          </cell>
          <cell r="DA469" t="str">
            <v>Tax benefit from employee stock plans</v>
          </cell>
          <cell r="DG469" t="str">
            <v>Options Exercised</v>
          </cell>
          <cell r="EB469" t="str">
            <v>Options Exercised</v>
          </cell>
          <cell r="EH469">
            <v>5.2441620000000002</v>
          </cell>
        </row>
        <row r="470">
          <cell r="CQ470" t="str">
            <v>Gross PP&amp;E - end of period</v>
          </cell>
          <cell r="DA470" t="str">
            <v>Net Expenditures for Share Issuances</v>
          </cell>
          <cell r="DG470" t="str">
            <v>Options Exercisable</v>
          </cell>
          <cell r="EB470" t="str">
            <v>Options Exercisable</v>
          </cell>
          <cell r="EH470">
            <v>10.838024000000001</v>
          </cell>
        </row>
        <row r="471">
          <cell r="DA471" t="str">
            <v>Net Issuances (Repurchases)</v>
          </cell>
          <cell r="DG471" t="str">
            <v>Weighted Average Price</v>
          </cell>
          <cell r="EB471" t="str">
            <v>Weighted Average Price</v>
          </cell>
          <cell r="EH471">
            <v>10.32</v>
          </cell>
        </row>
        <row r="472">
          <cell r="CQ472" t="str">
            <v>Accumulated Depreciation - beginning of period</v>
          </cell>
          <cell r="DA472" t="str">
            <v>Net Expenditures for Issuances/(Repurchases)</v>
          </cell>
          <cell r="DG472" t="str">
            <v>% Exercisable Options Exercised</v>
          </cell>
          <cell r="EB472" t="str">
            <v>% Exercisable Options Exercised</v>
          </cell>
        </row>
        <row r="473">
          <cell r="CQ473" t="str">
            <v xml:space="preserve">   Depreciation </v>
          </cell>
          <cell r="DG473" t="str">
            <v>Restricted Stock Awards</v>
          </cell>
          <cell r="EB473" t="str">
            <v>Restricted Stock Awards</v>
          </cell>
          <cell r="EH473">
            <v>1.0813219999999999</v>
          </cell>
        </row>
        <row r="474">
          <cell r="CQ474" t="str">
            <v xml:space="preserve">   Asset Retirements/Other</v>
          </cell>
          <cell r="DA474" t="str">
            <v>Fixed Asset Analysis</v>
          </cell>
          <cell r="DG474" t="str">
            <v>Average Price Restricted Stock</v>
          </cell>
          <cell r="EB474" t="str">
            <v>Average Price Restricted Stock</v>
          </cell>
          <cell r="EH474">
            <v>30.074999999999999</v>
          </cell>
        </row>
        <row r="475">
          <cell r="CQ475" t="str">
            <v>Accumulated Depreciation - end of period</v>
          </cell>
          <cell r="DA475" t="str">
            <v>Gross PP&amp;E - beginning of period</v>
          </cell>
          <cell r="DG475" t="str">
            <v>Shares Issued</v>
          </cell>
          <cell r="EB475" t="str">
            <v>Shares Issued</v>
          </cell>
        </row>
        <row r="476">
          <cell r="DA476" t="str">
            <v xml:space="preserve">   Additions - Capital spending</v>
          </cell>
          <cell r="DG476" t="str">
            <v>Number of Shares Issued</v>
          </cell>
          <cell r="EB476" t="str">
            <v>Number of Shares Issued</v>
          </cell>
          <cell r="EH476">
            <v>6.3254840000000003</v>
          </cell>
        </row>
        <row r="477">
          <cell r="CQ477" t="str">
            <v>Net Plant, Property &amp; Equipment</v>
          </cell>
          <cell r="DA477" t="str">
            <v xml:space="preserve">   Additions - Acquisitions</v>
          </cell>
          <cell r="DG477" t="str">
            <v>Weighted Average Price</v>
          </cell>
          <cell r="EB477" t="str">
            <v>Weighted Average Price</v>
          </cell>
        </row>
        <row r="478">
          <cell r="CQ478" t="str">
            <v>check from B/S</v>
          </cell>
          <cell r="DA478" t="str">
            <v xml:space="preserve">   Asset Retirements/Other</v>
          </cell>
          <cell r="DG478" t="str">
            <v>Proceeds from Exercises</v>
          </cell>
          <cell r="EB478" t="str">
            <v>Proceeds from Exercises</v>
          </cell>
          <cell r="EH478">
            <v>95</v>
          </cell>
        </row>
        <row r="479">
          <cell r="CQ479" t="str">
            <v>Implied/assumed depreciable life of PP&amp;E</v>
          </cell>
          <cell r="DA479" t="str">
            <v>Gross PP&amp;E - end of period</v>
          </cell>
        </row>
        <row r="480">
          <cell r="DG480" t="str">
            <v>Net Issuances (Repurchases)</v>
          </cell>
          <cell r="EB480" t="str">
            <v>Net Issuances (Repurchases)</v>
          </cell>
          <cell r="EH480">
            <v>3.7254840000000002</v>
          </cell>
        </row>
        <row r="481">
          <cell r="CQ481" t="str">
            <v>Capital Expenditures (Capex)</v>
          </cell>
          <cell r="DA481" t="str">
            <v>Accumulated Depreciation - beginning of period</v>
          </cell>
          <cell r="DG481" t="str">
            <v>Net Expenditures for Issuances/(Repurchases)</v>
          </cell>
          <cell r="EB481" t="str">
            <v>Net Expenditures for Issuances/(Repurchases)</v>
          </cell>
          <cell r="EH481">
            <v>37</v>
          </cell>
        </row>
        <row r="482">
          <cell r="CQ482" t="str">
            <v>Assumed avg. historical growth in Capex</v>
          </cell>
          <cell r="DA482" t="str">
            <v xml:space="preserve">   Depreciation </v>
          </cell>
        </row>
        <row r="483">
          <cell r="CQ483" t="str">
            <v>Capex/Depreciation</v>
          </cell>
          <cell r="DA483" t="str">
            <v xml:space="preserve">   Asset Retirements/Other</v>
          </cell>
          <cell r="DG483" t="str">
            <v>Fixed Asset Analysis</v>
          </cell>
          <cell r="EB483" t="str">
            <v>Fixed Asset Analysis</v>
          </cell>
        </row>
        <row r="484">
          <cell r="DA484" t="str">
            <v>Accumulated Depreciation - end of period</v>
          </cell>
          <cell r="DG484" t="str">
            <v>Gross PP&amp;E - beginning of period</v>
          </cell>
          <cell r="EB484" t="str">
            <v>Gross PP&amp;E - beginning of period</v>
          </cell>
        </row>
        <row r="485">
          <cell r="DG485" t="str">
            <v xml:space="preserve">   Additions - Capital spending</v>
          </cell>
          <cell r="EB485" t="str">
            <v xml:space="preserve">   Additions - Capital spending</v>
          </cell>
          <cell r="EH485">
            <v>197</v>
          </cell>
        </row>
        <row r="486">
          <cell r="DA486" t="str">
            <v>Net Plant, Property &amp; Equipment</v>
          </cell>
          <cell r="DG486" t="str">
            <v xml:space="preserve">   Additions - Acquisitions</v>
          </cell>
          <cell r="EB486" t="str">
            <v xml:space="preserve">   Additions - Acquisitions</v>
          </cell>
        </row>
        <row r="487">
          <cell r="DA487" t="str">
            <v>check from B/S</v>
          </cell>
          <cell r="DG487" t="str">
            <v xml:space="preserve">   Asset Retirements/Other</v>
          </cell>
          <cell r="EB487" t="str">
            <v xml:space="preserve">   Asset Retirements/Other</v>
          </cell>
        </row>
        <row r="488">
          <cell r="DA488" t="str">
            <v>Implied/assumed depreciable life of PP&amp;E</v>
          </cell>
          <cell r="DG488" t="str">
            <v>Gross PP&amp;E - end of period</v>
          </cell>
          <cell r="EB488" t="str">
            <v>Gross PP&amp;E - end of period</v>
          </cell>
          <cell r="EH488">
            <v>2388</v>
          </cell>
        </row>
        <row r="490">
          <cell r="DA490" t="str">
            <v>Amortization of Intangible Assets</v>
          </cell>
          <cell r="DG490" t="str">
            <v>Accumulated Depreciation - beginning of period</v>
          </cell>
          <cell r="EB490" t="str">
            <v>Accumulated Depreciation - beginning of period</v>
          </cell>
        </row>
        <row r="491">
          <cell r="DG491" t="str">
            <v xml:space="preserve">   Depreciation </v>
          </cell>
          <cell r="EB491" t="str">
            <v xml:space="preserve">   Depreciation </v>
          </cell>
          <cell r="EH491">
            <v>129</v>
          </cell>
        </row>
        <row r="492">
          <cell r="DG492" t="str">
            <v xml:space="preserve">   Asset Retirements/Other</v>
          </cell>
          <cell r="EB492" t="str">
            <v xml:space="preserve">   Asset Retirements/Other</v>
          </cell>
        </row>
        <row r="493">
          <cell r="DG493" t="str">
            <v>Accumulated Depreciation - end of period</v>
          </cell>
          <cell r="EB493" t="str">
            <v>Accumulated Depreciation - end of period</v>
          </cell>
          <cell r="EH493">
            <v>1219</v>
          </cell>
        </row>
        <row r="495">
          <cell r="DG495" t="str">
            <v>Net Plant, Property &amp; Equipment</v>
          </cell>
          <cell r="EB495" t="str">
            <v>Net Plant, Property &amp; Equipment</v>
          </cell>
          <cell r="EH495">
            <v>1169</v>
          </cell>
        </row>
        <row r="496">
          <cell r="DG496" t="str">
            <v>check from B/S</v>
          </cell>
          <cell r="EB496" t="str">
            <v>check from B/S</v>
          </cell>
          <cell r="EH496">
            <v>0</v>
          </cell>
        </row>
        <row r="497">
          <cell r="DG497" t="str">
            <v>Implied/assumed depreciable life of PP&amp;E</v>
          </cell>
          <cell r="EB497" t="str">
            <v>Implied/assumed depreciable life of PP&amp;E</v>
          </cell>
        </row>
        <row r="499">
          <cell r="DG499" t="str">
            <v>Amortization of Intangible Assets</v>
          </cell>
          <cell r="EB499" t="str">
            <v>Amortization of Intangible Assets</v>
          </cell>
        </row>
        <row r="500">
          <cell r="DL500">
            <v>0.92459826946847945</v>
          </cell>
          <cell r="DM500">
            <v>1.5628163374628046</v>
          </cell>
          <cell r="DN500">
            <v>1.0756990624990415</v>
          </cell>
          <cell r="DO500">
            <v>0.99828725226327375</v>
          </cell>
        </row>
        <row r="502">
          <cell r="DL502">
            <v>0.92459826946847945</v>
          </cell>
          <cell r="DM502">
            <v>1.5628163374628046</v>
          </cell>
          <cell r="DN502">
            <v>1.0756990624990415</v>
          </cell>
          <cell r="DO502">
            <v>0.99828725226327375</v>
          </cell>
        </row>
        <row r="503">
          <cell r="DL503">
            <v>0.95673671199011112</v>
          </cell>
          <cell r="DM503">
            <v>1.0320485247395879</v>
          </cell>
          <cell r="DN503">
            <v>1.0806109303643339</v>
          </cell>
          <cell r="DO503">
            <v>1.1328602887203327</v>
          </cell>
        </row>
      </sheetData>
      <sheetData sheetId="16" refreshError="1">
        <row r="1">
          <cell r="E1" t="str">
            <v>last updated 9/04</v>
          </cell>
        </row>
        <row r="3">
          <cell r="A3" t="str">
            <v>Resources P&amp;L ($MM)</v>
          </cell>
        </row>
        <row r="5">
          <cell r="A5" t="str">
            <v>Sales ($USD Millions)</v>
          </cell>
          <cell r="B5">
            <v>1996</v>
          </cell>
          <cell r="C5">
            <v>1997</v>
          </cell>
          <cell r="D5">
            <v>1998</v>
          </cell>
          <cell r="E5">
            <v>1999</v>
          </cell>
          <cell r="F5">
            <v>2000</v>
          </cell>
          <cell r="G5">
            <v>2001</v>
          </cell>
          <cell r="H5">
            <v>2002</v>
          </cell>
          <cell r="I5" t="str">
            <v>2003A</v>
          </cell>
          <cell r="J5" t="str">
            <v>2004E</v>
          </cell>
          <cell r="K5" t="str">
            <v>2005E</v>
          </cell>
          <cell r="L5" t="str">
            <v>2006E</v>
          </cell>
          <cell r="M5" t="str">
            <v>2007E</v>
          </cell>
          <cell r="N5" t="str">
            <v>2008E</v>
          </cell>
        </row>
        <row r="6">
          <cell r="A6" t="str">
            <v>Aggregates</v>
          </cell>
          <cell r="B6">
            <v>87</v>
          </cell>
          <cell r="C6">
            <v>110</v>
          </cell>
          <cell r="D6">
            <v>123</v>
          </cell>
          <cell r="E6">
            <v>125</v>
          </cell>
          <cell r="F6">
            <v>126</v>
          </cell>
          <cell r="G6">
            <v>130</v>
          </cell>
          <cell r="H6">
            <v>140</v>
          </cell>
          <cell r="I6">
            <v>130</v>
          </cell>
          <cell r="J6">
            <v>129</v>
          </cell>
          <cell r="K6">
            <v>129</v>
          </cell>
          <cell r="L6">
            <v>129</v>
          </cell>
          <cell r="M6">
            <v>129</v>
          </cell>
          <cell r="N6">
            <v>129</v>
          </cell>
        </row>
        <row r="7">
          <cell r="A7" t="str">
            <v>Coal Mining</v>
          </cell>
          <cell r="B7">
            <v>111</v>
          </cell>
          <cell r="C7">
            <v>107</v>
          </cell>
          <cell r="D7">
            <v>88</v>
          </cell>
          <cell r="E7">
            <v>100</v>
          </cell>
          <cell r="F7">
            <v>106</v>
          </cell>
          <cell r="G7">
            <v>125</v>
          </cell>
          <cell r="H7">
            <v>125</v>
          </cell>
          <cell r="I7">
            <v>110</v>
          </cell>
          <cell r="J7">
            <v>125</v>
          </cell>
          <cell r="K7">
            <v>125</v>
          </cell>
          <cell r="L7">
            <v>125</v>
          </cell>
          <cell r="M7">
            <v>126</v>
          </cell>
          <cell r="N7">
            <v>125</v>
          </cell>
        </row>
        <row r="8">
          <cell r="A8" t="str">
            <v>Other (Patriots Financing)</v>
          </cell>
          <cell r="B8">
            <v>25</v>
          </cell>
          <cell r="C8">
            <v>25</v>
          </cell>
          <cell r="D8">
            <v>25</v>
          </cell>
          <cell r="E8">
            <v>25</v>
          </cell>
          <cell r="F8">
            <v>21</v>
          </cell>
          <cell r="G8">
            <v>21</v>
          </cell>
          <cell r="H8">
            <v>21</v>
          </cell>
          <cell r="I8">
            <v>16</v>
          </cell>
          <cell r="J8">
            <v>21</v>
          </cell>
          <cell r="K8">
            <v>21</v>
          </cell>
          <cell r="L8">
            <v>21</v>
          </cell>
          <cell r="M8">
            <v>21</v>
          </cell>
          <cell r="N8">
            <v>21</v>
          </cell>
        </row>
        <row r="9">
          <cell r="A9" t="str">
            <v>Total</v>
          </cell>
          <cell r="B9">
            <v>223</v>
          </cell>
          <cell r="C9">
            <v>242</v>
          </cell>
          <cell r="D9">
            <v>236</v>
          </cell>
          <cell r="E9">
            <v>250</v>
          </cell>
          <cell r="F9">
            <v>253</v>
          </cell>
          <cell r="G9">
            <v>276</v>
          </cell>
          <cell r="H9">
            <v>286</v>
          </cell>
          <cell r="I9">
            <v>256</v>
          </cell>
          <cell r="J9">
            <v>275</v>
          </cell>
          <cell r="K9">
            <v>275</v>
          </cell>
          <cell r="L9">
            <v>275</v>
          </cell>
          <cell r="M9">
            <v>276</v>
          </cell>
          <cell r="N9">
            <v>275</v>
          </cell>
        </row>
        <row r="10">
          <cell r="A10" t="str">
            <v>Cushion</v>
          </cell>
          <cell r="I10">
            <v>0</v>
          </cell>
          <cell r="J10">
            <v>-274</v>
          </cell>
          <cell r="K10">
            <v>-275</v>
          </cell>
          <cell r="L10">
            <v>-275</v>
          </cell>
          <cell r="M10">
            <v>-276</v>
          </cell>
          <cell r="N10">
            <v>-275</v>
          </cell>
        </row>
        <row r="11">
          <cell r="A11" t="str">
            <v>vs. Main</v>
          </cell>
          <cell r="B11">
            <v>223</v>
          </cell>
          <cell r="C11">
            <v>242</v>
          </cell>
          <cell r="D11">
            <v>236</v>
          </cell>
          <cell r="E11">
            <v>250</v>
          </cell>
          <cell r="F11">
            <v>253</v>
          </cell>
          <cell r="G11">
            <v>276</v>
          </cell>
          <cell r="H11">
            <v>286</v>
          </cell>
          <cell r="I11">
            <v>256</v>
          </cell>
          <cell r="J11">
            <v>1</v>
          </cell>
          <cell r="K11">
            <v>0</v>
          </cell>
          <cell r="L11">
            <v>0</v>
          </cell>
          <cell r="M11">
            <v>0</v>
          </cell>
          <cell r="N11">
            <v>0</v>
          </cell>
        </row>
        <row r="12">
          <cell r="A12" t="str">
            <v>Op Pr</v>
          </cell>
        </row>
        <row r="13">
          <cell r="A13" t="str">
            <v>Aggregates</v>
          </cell>
          <cell r="B13">
            <v>5</v>
          </cell>
          <cell r="C13">
            <v>5</v>
          </cell>
          <cell r="D13">
            <v>13</v>
          </cell>
          <cell r="E13">
            <v>12</v>
          </cell>
          <cell r="F13">
            <v>10</v>
          </cell>
          <cell r="G13">
            <v>15</v>
          </cell>
          <cell r="H13">
            <v>20</v>
          </cell>
          <cell r="I13">
            <v>10</v>
          </cell>
          <cell r="J13">
            <v>5</v>
          </cell>
          <cell r="K13">
            <v>10</v>
          </cell>
          <cell r="L13">
            <v>10</v>
          </cell>
          <cell r="M13">
            <v>10</v>
          </cell>
          <cell r="N13">
            <v>10</v>
          </cell>
        </row>
        <row r="14">
          <cell r="A14" t="str">
            <v>Coal Mining</v>
          </cell>
          <cell r="B14">
            <v>-10</v>
          </cell>
          <cell r="C14">
            <v>-6</v>
          </cell>
          <cell r="D14">
            <v>-6</v>
          </cell>
          <cell r="E14">
            <v>1</v>
          </cell>
          <cell r="F14">
            <v>-9</v>
          </cell>
          <cell r="G14">
            <v>3</v>
          </cell>
          <cell r="H14">
            <v>15</v>
          </cell>
          <cell r="I14">
            <v>-1</v>
          </cell>
          <cell r="J14">
            <v>5</v>
          </cell>
          <cell r="K14">
            <v>5</v>
          </cell>
          <cell r="L14">
            <v>7</v>
          </cell>
          <cell r="M14">
            <v>7</v>
          </cell>
          <cell r="N14">
            <v>7</v>
          </cell>
        </row>
        <row r="15">
          <cell r="A15" t="str">
            <v>Other (Patriots Financing)</v>
          </cell>
          <cell r="B15">
            <v>2</v>
          </cell>
          <cell r="C15">
            <v>26</v>
          </cell>
          <cell r="D15">
            <v>27</v>
          </cell>
          <cell r="E15">
            <v>33</v>
          </cell>
          <cell r="F15">
            <v>35</v>
          </cell>
          <cell r="G15">
            <v>34</v>
          </cell>
          <cell r="H15">
            <v>54</v>
          </cell>
          <cell r="I15">
            <v>23</v>
          </cell>
          <cell r="J15">
            <v>15</v>
          </cell>
          <cell r="K15">
            <v>30</v>
          </cell>
          <cell r="L15">
            <v>38</v>
          </cell>
          <cell r="M15">
            <v>38</v>
          </cell>
          <cell r="N15">
            <v>38</v>
          </cell>
        </row>
        <row r="16">
          <cell r="A16" t="str">
            <v>Total</v>
          </cell>
          <cell r="B16">
            <v>-3</v>
          </cell>
          <cell r="C16">
            <v>25</v>
          </cell>
          <cell r="D16">
            <v>34</v>
          </cell>
          <cell r="E16">
            <v>46</v>
          </cell>
          <cell r="F16">
            <v>36</v>
          </cell>
          <cell r="G16">
            <v>52</v>
          </cell>
          <cell r="H16">
            <v>89</v>
          </cell>
          <cell r="I16">
            <v>32</v>
          </cell>
          <cell r="J16">
            <v>25</v>
          </cell>
          <cell r="K16">
            <v>45</v>
          </cell>
          <cell r="L16">
            <v>55</v>
          </cell>
          <cell r="M16">
            <v>55</v>
          </cell>
          <cell r="N16">
            <v>55</v>
          </cell>
        </row>
        <row r="17">
          <cell r="A17" t="str">
            <v>vs. Main</v>
          </cell>
          <cell r="B17">
            <v>-3</v>
          </cell>
          <cell r="C17">
            <v>25</v>
          </cell>
          <cell r="D17">
            <v>32</v>
          </cell>
          <cell r="E17">
            <v>46</v>
          </cell>
          <cell r="F17">
            <v>36</v>
          </cell>
          <cell r="G17">
            <v>52</v>
          </cell>
          <cell r="H17">
            <v>89</v>
          </cell>
          <cell r="I17">
            <v>32</v>
          </cell>
          <cell r="J17">
            <v>6</v>
          </cell>
          <cell r="K17">
            <v>-6</v>
          </cell>
          <cell r="L17">
            <v>-47</v>
          </cell>
          <cell r="M17">
            <v>-61</v>
          </cell>
          <cell r="N17">
            <v>-75</v>
          </cell>
        </row>
        <row r="18">
          <cell r="A18" t="str">
            <v>% Sls</v>
          </cell>
          <cell r="B18">
            <v>-1.3452914798206279E-2</v>
          </cell>
          <cell r="C18">
            <v>0.10330578512396695</v>
          </cell>
          <cell r="D18">
            <v>0.13559322033898305</v>
          </cell>
          <cell r="E18">
            <v>0.184</v>
          </cell>
          <cell r="F18">
            <v>0.14229249011857709</v>
          </cell>
          <cell r="G18">
            <v>0.18840579710144928</v>
          </cell>
          <cell r="H18">
            <v>0.3111888111888112</v>
          </cell>
          <cell r="I18">
            <v>0.125</v>
          </cell>
          <cell r="J18">
            <v>6</v>
          </cell>
          <cell r="K18" t="str">
            <v>NA</v>
          </cell>
          <cell r="L18" t="str">
            <v>NA</v>
          </cell>
          <cell r="M18" t="str">
            <v>NA</v>
          </cell>
          <cell r="N18" t="str">
            <v>NA</v>
          </cell>
        </row>
        <row r="20">
          <cell r="A20" t="str">
            <v>DDA</v>
          </cell>
          <cell r="B20">
            <v>12</v>
          </cell>
          <cell r="C20">
            <v>17</v>
          </cell>
          <cell r="D20">
            <v>15</v>
          </cell>
          <cell r="E20">
            <v>17</v>
          </cell>
          <cell r="F20">
            <v>17</v>
          </cell>
          <cell r="G20">
            <v>16</v>
          </cell>
          <cell r="H20">
            <v>16</v>
          </cell>
          <cell r="I20">
            <v>16</v>
          </cell>
          <cell r="J20">
            <v>15</v>
          </cell>
          <cell r="K20">
            <v>15</v>
          </cell>
          <cell r="L20">
            <v>15</v>
          </cell>
          <cell r="M20">
            <v>15</v>
          </cell>
          <cell r="N20">
            <v>15</v>
          </cell>
        </row>
        <row r="21">
          <cell r="A21" t="str">
            <v>Capex</v>
          </cell>
          <cell r="B21">
            <v>12</v>
          </cell>
          <cell r="C21">
            <v>19</v>
          </cell>
          <cell r="D21">
            <v>16</v>
          </cell>
          <cell r="E21">
            <v>20</v>
          </cell>
          <cell r="F21">
            <v>25</v>
          </cell>
          <cell r="G21">
            <v>20</v>
          </cell>
          <cell r="H21">
            <v>15</v>
          </cell>
          <cell r="I21">
            <v>15</v>
          </cell>
          <cell r="J21">
            <v>15</v>
          </cell>
          <cell r="K21">
            <v>15</v>
          </cell>
          <cell r="L21">
            <v>15</v>
          </cell>
          <cell r="M21">
            <v>15</v>
          </cell>
          <cell r="N21">
            <v>15</v>
          </cell>
        </row>
        <row r="22">
          <cell r="A22" t="str">
            <v>(Capx/DDA)</v>
          </cell>
          <cell r="B22">
            <v>1</v>
          </cell>
          <cell r="C22">
            <v>1.1176470588235294</v>
          </cell>
          <cell r="D22">
            <v>1.0666666666666667</v>
          </cell>
          <cell r="E22">
            <v>1.1764705882352942</v>
          </cell>
          <cell r="F22">
            <v>1.4705882352941178</v>
          </cell>
          <cell r="G22">
            <v>1.25</v>
          </cell>
          <cell r="H22">
            <v>0.9375</v>
          </cell>
          <cell r="I22">
            <v>0.9375</v>
          </cell>
          <cell r="J22">
            <v>1</v>
          </cell>
          <cell r="K22">
            <v>1</v>
          </cell>
          <cell r="L22">
            <v>1</v>
          </cell>
          <cell r="M22">
            <v>1</v>
          </cell>
          <cell r="N22">
            <v>1</v>
          </cell>
        </row>
        <row r="24">
          <cell r="A24" t="str">
            <v>Assets</v>
          </cell>
          <cell r="B24">
            <v>388</v>
          </cell>
          <cell r="C24">
            <v>371</v>
          </cell>
          <cell r="D24">
            <v>406</v>
          </cell>
          <cell r="E24">
            <v>373</v>
          </cell>
          <cell r="F24">
            <v>317</v>
          </cell>
          <cell r="G24">
            <v>313</v>
          </cell>
          <cell r="H24">
            <v>293</v>
          </cell>
          <cell r="I24">
            <v>290</v>
          </cell>
          <cell r="J24">
            <v>288</v>
          </cell>
          <cell r="K24">
            <v>285</v>
          </cell>
          <cell r="L24">
            <v>286</v>
          </cell>
          <cell r="M24">
            <v>287</v>
          </cell>
          <cell r="N24">
            <v>288</v>
          </cell>
        </row>
        <row r="25">
          <cell r="A25" t="str">
            <v>Sales/Assets</v>
          </cell>
          <cell r="B25">
            <v>0.57474226804123707</v>
          </cell>
          <cell r="C25">
            <v>0.65229110512129385</v>
          </cell>
          <cell r="D25">
            <v>0.58128078817733986</v>
          </cell>
          <cell r="E25">
            <v>0.67024128686327078</v>
          </cell>
          <cell r="F25">
            <v>0.79810725552050477</v>
          </cell>
          <cell r="G25">
            <v>0.88178913738019171</v>
          </cell>
          <cell r="H25">
            <v>0.97610921501706482</v>
          </cell>
          <cell r="I25">
            <v>0.88275862068965516</v>
          </cell>
          <cell r="J25">
            <v>0.95486111111111116</v>
          </cell>
          <cell r="K25">
            <v>0.96491228070175439</v>
          </cell>
          <cell r="L25">
            <v>0.96153846153846156</v>
          </cell>
          <cell r="M25">
            <v>0.9616724738675958</v>
          </cell>
          <cell r="N25">
            <v>0.95486111111111116</v>
          </cell>
        </row>
        <row r="27">
          <cell r="A27" t="str">
            <v>Funded Backlog</v>
          </cell>
          <cell r="B27">
            <v>698</v>
          </cell>
          <cell r="C27">
            <v>578</v>
          </cell>
          <cell r="D27">
            <v>533</v>
          </cell>
          <cell r="E27">
            <v>494</v>
          </cell>
          <cell r="F27">
            <v>417</v>
          </cell>
          <cell r="G27">
            <v>305</v>
          </cell>
          <cell r="H27">
            <v>240</v>
          </cell>
        </row>
        <row r="28">
          <cell r="A28" t="str">
            <v>UnFunded  Backlog</v>
          </cell>
          <cell r="B28">
            <v>29</v>
          </cell>
          <cell r="C28">
            <v>29</v>
          </cell>
          <cell r="D28">
            <v>29</v>
          </cell>
          <cell r="E28">
            <v>29</v>
          </cell>
          <cell r="F28">
            <v>29</v>
          </cell>
          <cell r="G28">
            <v>29</v>
          </cell>
          <cell r="H28">
            <v>64</v>
          </cell>
        </row>
        <row r="29">
          <cell r="A29" t="str">
            <v>Total Backlog</v>
          </cell>
          <cell r="B29">
            <v>727</v>
          </cell>
          <cell r="C29">
            <v>607</v>
          </cell>
          <cell r="D29">
            <v>562</v>
          </cell>
          <cell r="E29">
            <v>523</v>
          </cell>
          <cell r="F29">
            <v>446</v>
          </cell>
          <cell r="G29">
            <v>334</v>
          </cell>
          <cell r="H29">
            <v>304</v>
          </cell>
        </row>
        <row r="31">
          <cell r="A31" t="str">
            <v>Warm weather in IL = better for the business, as it gets its boost from construction in the region; coal doesn't make up enough to offset</v>
          </cell>
        </row>
        <row r="33">
          <cell r="A33" t="str">
            <v>Freeman Energy</v>
          </cell>
        </row>
        <row r="35">
          <cell r="A35" t="str">
            <v>Active Sites</v>
          </cell>
        </row>
        <row r="36">
          <cell r="A36" t="str">
            <v>Name</v>
          </cell>
          <cell r="B36" t="str">
            <v>Location</v>
          </cell>
          <cell r="C36" t="str">
            <v>Type</v>
          </cell>
          <cell r="D36" t="str">
            <v>Annual Production</v>
          </cell>
          <cell r="E36" t="str">
            <v>Loading</v>
          </cell>
        </row>
        <row r="37">
          <cell r="A37" t="str">
            <v>Crown II</v>
          </cell>
          <cell r="B37" t="str">
            <v xml:space="preserve">Macoupin and Montgomery Counties, Illinois </v>
          </cell>
          <cell r="C37" t="str">
            <v>Underground - Continuous Miners</v>
          </cell>
          <cell r="D37" t="str">
            <v>2,000,000 tons</v>
          </cell>
          <cell r="E37" t="str">
            <v>Burlington Northern Rail</v>
          </cell>
        </row>
        <row r="38">
          <cell r="A38" t="str">
            <v>Crown III</v>
          </cell>
          <cell r="B38" t="str">
            <v xml:space="preserve">Macoupin and Montgomery Counties, Illinois </v>
          </cell>
          <cell r="C38" t="str">
            <v>Underground - Continuous Miners</v>
          </cell>
          <cell r="D38" t="str">
            <v>2,000,000 tons</v>
          </cell>
          <cell r="E38" t="str">
            <v>Illinois Central Rail</v>
          </cell>
        </row>
        <row r="39">
          <cell r="A39" t="str">
            <v>Industry</v>
          </cell>
          <cell r="B39" t="str">
            <v xml:space="preserve">McDonough and Schuyler Counties, Illinois </v>
          </cell>
          <cell r="C39" t="str">
            <v xml:space="preserve">Surface
</v>
          </cell>
          <cell r="D39" t="str">
            <v>500,000 tons</v>
          </cell>
          <cell r="E39" t="str">
            <v>Truck</v>
          </cell>
        </row>
        <row r="41">
          <cell r="A41" t="str">
            <v>550 Employees (75% Union covered under 5yr contract ratified in 01/03)</v>
          </cell>
        </row>
        <row r="42">
          <cell r="A42" t="str">
            <v>The coal is sold primarily to Midwest customers in the utility generation business and heavy industrial manufacturing.</v>
          </cell>
        </row>
        <row r="44">
          <cell r="A44" t="str">
            <v>Material Service Corporation</v>
          </cell>
        </row>
        <row r="46">
          <cell r="A46" t="str">
            <v xml:space="preserve">Material </v>
          </cell>
        </row>
        <row r="47">
          <cell r="A47" t="str">
            <v>Sand</v>
          </cell>
        </row>
        <row r="48">
          <cell r="A48" t="str">
            <v>Stone</v>
          </cell>
        </row>
        <row r="49">
          <cell r="A49" t="str">
            <v>Gravel</v>
          </cell>
        </row>
        <row r="50">
          <cell r="A50" t="str">
            <v>Services</v>
          </cell>
        </row>
        <row r="51">
          <cell r="A51" t="str">
            <v>Marine</v>
          </cell>
        </row>
        <row r="52">
          <cell r="A52" t="str">
            <v>Fabrication</v>
          </cell>
        </row>
        <row r="54">
          <cell r="A54" t="str">
            <v xml:space="preserve">Primary markets are in Northern and Central Illinois and Northwest Indiana. </v>
          </cell>
        </row>
        <row r="55">
          <cell r="A55" t="str">
            <v xml:space="preserve">Operates 11 stone quarries, 3 sand and gravel pits, 2 mineral filler plants, and a fleet of towboats and barges ; annual shipments are in excess of 20 Mil. tons.
</v>
          </cell>
        </row>
      </sheetData>
      <sheetData sheetId="17" refreshError="1">
        <row r="1">
          <cell r="B1" t="str">
            <v>last updated 1/07</v>
          </cell>
          <cell r="D1" t="str">
            <v>Source: Airclaims</v>
          </cell>
        </row>
        <row r="2">
          <cell r="A2" t="str">
            <v>Gulfstream Backlog by Customer</v>
          </cell>
        </row>
        <row r="4">
          <cell r="A4" t="str">
            <v>a/o Jan 2007</v>
          </cell>
        </row>
        <row r="5">
          <cell r="A5" t="str">
            <v>Type</v>
          </cell>
          <cell r="B5" t="str">
            <v>DeliveryDate</v>
          </cell>
          <cell r="C5" t="str">
            <v>Operator</v>
          </cell>
          <cell r="D5" t="str">
            <v>OperatorArea</v>
          </cell>
          <cell r="E5" t="str">
            <v>OperatorCountry</v>
          </cell>
        </row>
        <row r="6">
          <cell r="A6" t="str">
            <v>Gulfstream G150</v>
          </cell>
          <cell r="B6">
            <v>39083</v>
          </cell>
          <cell r="C6" t="str">
            <v>Unconfirmed Corporate Operator</v>
          </cell>
          <cell r="D6" t="str">
            <v>Unknown area</v>
          </cell>
          <cell r="E6" t="str">
            <v>Unknown Country</v>
          </cell>
        </row>
        <row r="7">
          <cell r="A7" t="str">
            <v>Gulfstream G150</v>
          </cell>
          <cell r="B7">
            <v>39114</v>
          </cell>
          <cell r="C7" t="str">
            <v>Unconfirmed Corporate Operator</v>
          </cell>
          <cell r="D7" t="str">
            <v>Unknown area</v>
          </cell>
          <cell r="E7" t="str">
            <v>Unknown Country</v>
          </cell>
        </row>
        <row r="8">
          <cell r="A8" t="str">
            <v>Gulfstream G150</v>
          </cell>
          <cell r="B8">
            <v>39114</v>
          </cell>
          <cell r="C8" t="str">
            <v>Unconfirmed Corporate Operator</v>
          </cell>
          <cell r="D8" t="str">
            <v>Unknown area</v>
          </cell>
          <cell r="E8" t="str">
            <v>Unknown Country</v>
          </cell>
        </row>
        <row r="9">
          <cell r="A9" t="str">
            <v>Gulfstream G150</v>
          </cell>
          <cell r="B9">
            <v>39114</v>
          </cell>
          <cell r="C9" t="str">
            <v>Netjets</v>
          </cell>
          <cell r="D9" t="str">
            <v>North America</v>
          </cell>
          <cell r="E9" t="str">
            <v>USA</v>
          </cell>
        </row>
        <row r="10">
          <cell r="A10" t="str">
            <v>Gulfstream G150</v>
          </cell>
          <cell r="B10">
            <v>39114</v>
          </cell>
          <cell r="C10" t="str">
            <v>Netjets</v>
          </cell>
          <cell r="D10" t="str">
            <v>North America</v>
          </cell>
          <cell r="E10" t="str">
            <v>USA</v>
          </cell>
        </row>
        <row r="11">
          <cell r="A11" t="str">
            <v xml:space="preserve">Gulfstream G200 </v>
          </cell>
          <cell r="B11">
            <v>39114</v>
          </cell>
          <cell r="C11" t="str">
            <v>Business Aviation Asia</v>
          </cell>
          <cell r="D11" t="str">
            <v>Asia</v>
          </cell>
          <cell r="E11" t="str">
            <v>Hong Kong</v>
          </cell>
        </row>
        <row r="12">
          <cell r="A12" t="str">
            <v xml:space="preserve">Gulfstream G200 </v>
          </cell>
          <cell r="B12">
            <v>39114</v>
          </cell>
          <cell r="C12" t="str">
            <v>Unconfirmed Corporate Operator</v>
          </cell>
          <cell r="D12" t="str">
            <v>Unknown area</v>
          </cell>
          <cell r="E12" t="str">
            <v>Unknown Country</v>
          </cell>
        </row>
        <row r="13">
          <cell r="A13" t="str">
            <v xml:space="preserve">Gulfstream G200 </v>
          </cell>
          <cell r="B13">
            <v>39114</v>
          </cell>
          <cell r="C13" t="str">
            <v>Unconfirmed Corporate Operator</v>
          </cell>
          <cell r="D13" t="str">
            <v>Unknown area</v>
          </cell>
          <cell r="E13" t="str">
            <v>Unknown Country</v>
          </cell>
        </row>
        <row r="14">
          <cell r="A14" t="str">
            <v xml:space="preserve">Gulfstream G200 </v>
          </cell>
          <cell r="B14">
            <v>39114</v>
          </cell>
          <cell r="C14" t="str">
            <v>Netjets</v>
          </cell>
          <cell r="D14" t="str">
            <v>North America</v>
          </cell>
          <cell r="E14" t="str">
            <v>USA</v>
          </cell>
        </row>
        <row r="15">
          <cell r="A15" t="str">
            <v xml:space="preserve">Gulfstream G200 </v>
          </cell>
          <cell r="B15">
            <v>39114</v>
          </cell>
          <cell r="C15" t="str">
            <v>Netjets</v>
          </cell>
          <cell r="D15" t="str">
            <v>North America</v>
          </cell>
          <cell r="E15" t="str">
            <v>USA</v>
          </cell>
        </row>
        <row r="16">
          <cell r="A16" t="str">
            <v xml:space="preserve">Gulfstream G200 </v>
          </cell>
          <cell r="B16">
            <v>39114</v>
          </cell>
          <cell r="C16" t="str">
            <v>Netjets</v>
          </cell>
          <cell r="D16" t="str">
            <v>North America</v>
          </cell>
          <cell r="E16" t="str">
            <v>USA</v>
          </cell>
        </row>
        <row r="17">
          <cell r="A17" t="str">
            <v>Gulfstream G550</v>
          </cell>
          <cell r="B17">
            <v>39114</v>
          </cell>
          <cell r="C17" t="str">
            <v>Israel Air and Space Force</v>
          </cell>
          <cell r="D17" t="str">
            <v>Middle East</v>
          </cell>
          <cell r="E17" t="str">
            <v>Israel</v>
          </cell>
        </row>
        <row r="18">
          <cell r="A18" t="str">
            <v>Gulfstream G150</v>
          </cell>
          <cell r="B18">
            <v>39142</v>
          </cell>
          <cell r="C18" t="str">
            <v>Unconfirmed Corporate Operator</v>
          </cell>
          <cell r="D18" t="str">
            <v>Unknown area</v>
          </cell>
          <cell r="E18" t="str">
            <v>Unknown Country</v>
          </cell>
        </row>
        <row r="19">
          <cell r="A19" t="str">
            <v>Gulfstream G150</v>
          </cell>
          <cell r="B19">
            <v>39142</v>
          </cell>
          <cell r="C19" t="str">
            <v>Unconfirmed Corporate Operator</v>
          </cell>
          <cell r="D19" t="str">
            <v>Unknown area</v>
          </cell>
          <cell r="E19" t="str">
            <v>Unknown Country</v>
          </cell>
        </row>
        <row r="20">
          <cell r="A20" t="str">
            <v>Gulfstream G150</v>
          </cell>
          <cell r="B20">
            <v>39142</v>
          </cell>
          <cell r="C20" t="str">
            <v>Netjets</v>
          </cell>
          <cell r="D20" t="str">
            <v>North America</v>
          </cell>
          <cell r="E20" t="str">
            <v>USA</v>
          </cell>
        </row>
        <row r="21">
          <cell r="A21" t="str">
            <v>Gulfstream G150</v>
          </cell>
          <cell r="B21">
            <v>39142</v>
          </cell>
          <cell r="C21" t="str">
            <v>Netjets</v>
          </cell>
          <cell r="D21" t="str">
            <v>North America</v>
          </cell>
          <cell r="E21" t="str">
            <v>USA</v>
          </cell>
        </row>
        <row r="22">
          <cell r="A22" t="str">
            <v xml:space="preserve">Gulfstream G200 </v>
          </cell>
          <cell r="B22">
            <v>39142</v>
          </cell>
          <cell r="C22" t="str">
            <v>Gainjet</v>
          </cell>
          <cell r="D22" t="str">
            <v>Europe</v>
          </cell>
          <cell r="E22" t="str">
            <v>Greece</v>
          </cell>
        </row>
        <row r="23">
          <cell r="A23" t="str">
            <v xml:space="preserve">Gulfstream G200 </v>
          </cell>
          <cell r="B23">
            <v>39142</v>
          </cell>
          <cell r="C23" t="str">
            <v>Netjets</v>
          </cell>
          <cell r="D23" t="str">
            <v>North America</v>
          </cell>
          <cell r="E23" t="str">
            <v>USA</v>
          </cell>
        </row>
        <row r="24">
          <cell r="A24" t="str">
            <v xml:space="preserve">Gulfstream G200 </v>
          </cell>
          <cell r="B24">
            <v>39142</v>
          </cell>
          <cell r="C24" t="str">
            <v>Netjets</v>
          </cell>
          <cell r="D24" t="str">
            <v>North America</v>
          </cell>
          <cell r="E24" t="str">
            <v>USA</v>
          </cell>
        </row>
        <row r="25">
          <cell r="A25" t="str">
            <v xml:space="preserve">Gulfstream G200 </v>
          </cell>
          <cell r="B25">
            <v>39142</v>
          </cell>
          <cell r="C25" t="str">
            <v>Netjets</v>
          </cell>
          <cell r="D25" t="str">
            <v>North America</v>
          </cell>
          <cell r="E25" t="str">
            <v>USA</v>
          </cell>
        </row>
        <row r="26">
          <cell r="A26" t="str">
            <v xml:space="preserve">Gulfstream G200 </v>
          </cell>
          <cell r="B26">
            <v>39142</v>
          </cell>
          <cell r="C26" t="str">
            <v>Unconfirmed American Operator</v>
          </cell>
          <cell r="D26" t="str">
            <v>North America</v>
          </cell>
          <cell r="E26" t="str">
            <v>USA</v>
          </cell>
        </row>
        <row r="27">
          <cell r="A27" t="str">
            <v>Gulfstream G450</v>
          </cell>
          <cell r="B27">
            <v>39142</v>
          </cell>
          <cell r="C27" t="str">
            <v>DaimlerChrysler Aviation</v>
          </cell>
          <cell r="D27" t="str">
            <v>Europe</v>
          </cell>
          <cell r="E27" t="str">
            <v>Germany</v>
          </cell>
        </row>
        <row r="28">
          <cell r="A28" t="str">
            <v>Gulfstream G550</v>
          </cell>
          <cell r="B28">
            <v>39142</v>
          </cell>
          <cell r="C28" t="str">
            <v>DaimlerChrysler Aviation</v>
          </cell>
          <cell r="D28" t="str">
            <v>Europe</v>
          </cell>
          <cell r="E28" t="str">
            <v>Germany</v>
          </cell>
        </row>
        <row r="29">
          <cell r="A29" t="str">
            <v>Gulfstream G550</v>
          </cell>
          <cell r="B29">
            <v>39142</v>
          </cell>
          <cell r="C29" t="str">
            <v>NetJets Europe</v>
          </cell>
          <cell r="D29" t="str">
            <v>Europe</v>
          </cell>
          <cell r="E29" t="str">
            <v>Portugal</v>
          </cell>
        </row>
        <row r="30">
          <cell r="A30" t="str">
            <v>Gulfstream G550</v>
          </cell>
          <cell r="B30">
            <v>39142</v>
          </cell>
          <cell r="C30" t="str">
            <v>Unconfirmed Asian Corporate Operate</v>
          </cell>
          <cell r="D30" t="str">
            <v>Asia</v>
          </cell>
          <cell r="E30" t="str">
            <v>Unknown Asian Country</v>
          </cell>
        </row>
        <row r="31">
          <cell r="A31" t="str">
            <v>Gulfstream G550</v>
          </cell>
          <cell r="B31">
            <v>39142</v>
          </cell>
          <cell r="C31" t="str">
            <v>Unconfirmed Corporate Operator</v>
          </cell>
          <cell r="D31" t="str">
            <v>Unknown area</v>
          </cell>
          <cell r="E31" t="str">
            <v>Unknown Country</v>
          </cell>
        </row>
        <row r="32">
          <cell r="A32" t="str">
            <v>Gulfstream G550</v>
          </cell>
          <cell r="B32">
            <v>39142</v>
          </cell>
          <cell r="C32" t="str">
            <v>Netjets International</v>
          </cell>
          <cell r="D32" t="str">
            <v>North America</v>
          </cell>
          <cell r="E32" t="str">
            <v>USA</v>
          </cell>
        </row>
        <row r="33">
          <cell r="A33" t="str">
            <v>Gulfstream G150</v>
          </cell>
          <cell r="B33">
            <v>39173</v>
          </cell>
          <cell r="C33" t="str">
            <v>Unconfirmed Corporate Operator</v>
          </cell>
          <cell r="D33" t="str">
            <v>Unknown area</v>
          </cell>
          <cell r="E33" t="str">
            <v>Unknown Country</v>
          </cell>
        </row>
        <row r="34">
          <cell r="A34" t="str">
            <v>Gulfstream G150</v>
          </cell>
          <cell r="B34">
            <v>39173</v>
          </cell>
          <cell r="C34" t="str">
            <v>Unconfirmed Corporate Operator</v>
          </cell>
          <cell r="D34" t="str">
            <v>Unknown area</v>
          </cell>
          <cell r="E34" t="str">
            <v>Unknown Country</v>
          </cell>
        </row>
        <row r="35">
          <cell r="A35" t="str">
            <v>Gulfstream G150</v>
          </cell>
          <cell r="B35">
            <v>39173</v>
          </cell>
          <cell r="C35" t="str">
            <v>Netjets</v>
          </cell>
          <cell r="D35" t="str">
            <v>North America</v>
          </cell>
          <cell r="E35" t="str">
            <v>USA</v>
          </cell>
        </row>
        <row r="36">
          <cell r="A36" t="str">
            <v>Gulfstream G150</v>
          </cell>
          <cell r="B36">
            <v>39173</v>
          </cell>
          <cell r="C36" t="str">
            <v>Netjets</v>
          </cell>
          <cell r="D36" t="str">
            <v>North America</v>
          </cell>
          <cell r="E36" t="str">
            <v>USA</v>
          </cell>
        </row>
        <row r="37">
          <cell r="A37" t="str">
            <v xml:space="preserve">Gulfstream G200 </v>
          </cell>
          <cell r="B37">
            <v>39173</v>
          </cell>
          <cell r="C37" t="str">
            <v>Unconfirmed American Operator</v>
          </cell>
          <cell r="D37" t="str">
            <v>North America</v>
          </cell>
          <cell r="E37" t="str">
            <v>USA</v>
          </cell>
        </row>
        <row r="38">
          <cell r="A38" t="str">
            <v xml:space="preserve">Gulfstream G200 </v>
          </cell>
          <cell r="B38">
            <v>39173</v>
          </cell>
          <cell r="C38" t="str">
            <v>Unconfirmed American Operator</v>
          </cell>
          <cell r="D38" t="str">
            <v>North America</v>
          </cell>
          <cell r="E38" t="str">
            <v>USA</v>
          </cell>
        </row>
        <row r="39">
          <cell r="A39" t="str">
            <v xml:space="preserve">Gulfstream G200 </v>
          </cell>
          <cell r="B39">
            <v>39173</v>
          </cell>
          <cell r="C39" t="str">
            <v>Netjets</v>
          </cell>
          <cell r="D39" t="str">
            <v>North America</v>
          </cell>
          <cell r="E39" t="str">
            <v>USA</v>
          </cell>
        </row>
        <row r="40">
          <cell r="A40" t="str">
            <v xml:space="preserve">Gulfstream G200 </v>
          </cell>
          <cell r="B40">
            <v>39173</v>
          </cell>
          <cell r="C40" t="str">
            <v>Netjets</v>
          </cell>
          <cell r="D40" t="str">
            <v>North America</v>
          </cell>
          <cell r="E40" t="str">
            <v>USA</v>
          </cell>
        </row>
        <row r="41">
          <cell r="A41" t="str">
            <v xml:space="preserve">Gulfstream G200 </v>
          </cell>
          <cell r="B41">
            <v>39173</v>
          </cell>
          <cell r="C41" t="str">
            <v>Unconfirmed American Operator</v>
          </cell>
          <cell r="D41" t="str">
            <v>North America</v>
          </cell>
          <cell r="E41" t="str">
            <v>USA</v>
          </cell>
        </row>
        <row r="42">
          <cell r="A42" t="str">
            <v>Gulfstream G550</v>
          </cell>
          <cell r="B42">
            <v>39173</v>
          </cell>
          <cell r="C42" t="str">
            <v>Israel Air and Space Force</v>
          </cell>
          <cell r="D42" t="str">
            <v>Middle East</v>
          </cell>
          <cell r="E42" t="str">
            <v>Israel</v>
          </cell>
        </row>
        <row r="43">
          <cell r="A43" t="str">
            <v>Gulfstream G550</v>
          </cell>
          <cell r="B43">
            <v>39173</v>
          </cell>
          <cell r="C43" t="str">
            <v>Unconfirmed Corporate Operator</v>
          </cell>
          <cell r="D43" t="str">
            <v>Unknown area</v>
          </cell>
          <cell r="E43" t="str">
            <v>Unknown Country</v>
          </cell>
        </row>
        <row r="44">
          <cell r="A44" t="str">
            <v>Gulfstream G550</v>
          </cell>
          <cell r="B44">
            <v>39173</v>
          </cell>
          <cell r="C44" t="str">
            <v>Unconfirmed Corporate Operator</v>
          </cell>
          <cell r="D44" t="str">
            <v>Unknown area</v>
          </cell>
          <cell r="E44" t="str">
            <v>Unknown Country</v>
          </cell>
        </row>
        <row r="45">
          <cell r="A45" t="str">
            <v>Gulfstream G150</v>
          </cell>
          <cell r="B45">
            <v>39203</v>
          </cell>
          <cell r="C45" t="str">
            <v>Aerocardal</v>
          </cell>
          <cell r="D45" t="str">
            <v>Latin America and Caribbean</v>
          </cell>
          <cell r="E45" t="str">
            <v>Chile</v>
          </cell>
        </row>
        <row r="46">
          <cell r="A46" t="str">
            <v>Gulfstream G150</v>
          </cell>
          <cell r="B46">
            <v>39203</v>
          </cell>
          <cell r="C46" t="str">
            <v>Unconfirmed Corporate Operator</v>
          </cell>
          <cell r="D46" t="str">
            <v>Unknown area</v>
          </cell>
          <cell r="E46" t="str">
            <v>Unknown Country</v>
          </cell>
        </row>
        <row r="47">
          <cell r="A47" t="str">
            <v>Gulfstream G150</v>
          </cell>
          <cell r="B47">
            <v>39203</v>
          </cell>
          <cell r="C47" t="str">
            <v>Netjets</v>
          </cell>
          <cell r="D47" t="str">
            <v>North America</v>
          </cell>
          <cell r="E47" t="str">
            <v>USA</v>
          </cell>
        </row>
        <row r="48">
          <cell r="A48" t="str">
            <v xml:space="preserve">Gulfstream G200 </v>
          </cell>
          <cell r="B48">
            <v>39203</v>
          </cell>
          <cell r="C48" t="str">
            <v>Netjets</v>
          </cell>
          <cell r="D48" t="str">
            <v>North America</v>
          </cell>
          <cell r="E48" t="str">
            <v>USA</v>
          </cell>
        </row>
        <row r="49">
          <cell r="A49" t="str">
            <v xml:space="preserve">Gulfstream G200 </v>
          </cell>
          <cell r="B49">
            <v>39203</v>
          </cell>
          <cell r="C49" t="str">
            <v>Netjets</v>
          </cell>
          <cell r="D49" t="str">
            <v>North America</v>
          </cell>
          <cell r="E49" t="str">
            <v>USA</v>
          </cell>
        </row>
        <row r="50">
          <cell r="A50" t="str">
            <v xml:space="preserve">Gulfstream G200 </v>
          </cell>
          <cell r="B50">
            <v>39203</v>
          </cell>
          <cell r="C50" t="str">
            <v>Unconfirmed American Operator</v>
          </cell>
          <cell r="D50" t="str">
            <v>North America</v>
          </cell>
          <cell r="E50" t="str">
            <v>USA</v>
          </cell>
        </row>
        <row r="51">
          <cell r="A51" t="str">
            <v xml:space="preserve">Gulfstream G200 </v>
          </cell>
          <cell r="B51">
            <v>39203</v>
          </cell>
          <cell r="C51" t="str">
            <v>Unconfirmed American Operator</v>
          </cell>
          <cell r="D51" t="str">
            <v>North America</v>
          </cell>
          <cell r="E51" t="str">
            <v>USA</v>
          </cell>
        </row>
        <row r="52">
          <cell r="A52" t="str">
            <v>Gulfstream G450</v>
          </cell>
          <cell r="B52">
            <v>39203</v>
          </cell>
          <cell r="C52" t="str">
            <v>Unconfirmed Corporate Operator</v>
          </cell>
          <cell r="D52" t="str">
            <v>Unknown area</v>
          </cell>
          <cell r="E52" t="str">
            <v>Unknown Country</v>
          </cell>
        </row>
        <row r="53">
          <cell r="A53" t="str">
            <v>Gulfstream G450</v>
          </cell>
          <cell r="B53">
            <v>39203</v>
          </cell>
          <cell r="C53" t="str">
            <v>Unconfirmed Corporate Operator</v>
          </cell>
          <cell r="D53" t="str">
            <v>Unknown area</v>
          </cell>
          <cell r="E53" t="str">
            <v>Unknown Country</v>
          </cell>
        </row>
        <row r="54">
          <cell r="A54" t="str">
            <v>Gulfstream G550</v>
          </cell>
          <cell r="B54">
            <v>39203</v>
          </cell>
          <cell r="C54" t="str">
            <v>NetJets Europe</v>
          </cell>
          <cell r="D54" t="str">
            <v>Europe</v>
          </cell>
          <cell r="E54" t="str">
            <v>Portugal</v>
          </cell>
        </row>
        <row r="55">
          <cell r="A55" t="str">
            <v>Gulfstream G550</v>
          </cell>
          <cell r="B55">
            <v>39203</v>
          </cell>
          <cell r="C55" t="str">
            <v>Unconfirmed Corporate Operator</v>
          </cell>
          <cell r="D55" t="str">
            <v>Unknown area</v>
          </cell>
          <cell r="E55" t="str">
            <v>Unknown Country</v>
          </cell>
        </row>
        <row r="56">
          <cell r="A56" t="str">
            <v>Gulfstream G550</v>
          </cell>
          <cell r="B56">
            <v>39203</v>
          </cell>
          <cell r="C56" t="str">
            <v>Netjets International</v>
          </cell>
          <cell r="D56" t="str">
            <v>North America</v>
          </cell>
          <cell r="E56" t="str">
            <v>USA</v>
          </cell>
        </row>
        <row r="57">
          <cell r="A57" t="str">
            <v>Gulfstream G550</v>
          </cell>
          <cell r="B57">
            <v>39203</v>
          </cell>
          <cell r="C57" t="str">
            <v>The Coca-Cola Co</v>
          </cell>
          <cell r="D57" t="str">
            <v>North America</v>
          </cell>
          <cell r="E57" t="str">
            <v>USA</v>
          </cell>
        </row>
        <row r="58">
          <cell r="A58" t="str">
            <v>Gulfstream G150</v>
          </cell>
          <cell r="B58">
            <v>39234</v>
          </cell>
          <cell r="C58" t="str">
            <v>Netjets</v>
          </cell>
          <cell r="D58" t="str">
            <v>North America</v>
          </cell>
          <cell r="E58" t="str">
            <v>USA</v>
          </cell>
        </row>
        <row r="59">
          <cell r="A59" t="str">
            <v xml:space="preserve">Gulfstream G200 </v>
          </cell>
          <cell r="B59">
            <v>39234</v>
          </cell>
          <cell r="C59" t="str">
            <v>Want Want Holdings Ltd</v>
          </cell>
          <cell r="D59" t="str">
            <v>Asia</v>
          </cell>
          <cell r="E59" t="str">
            <v>Taiwan</v>
          </cell>
        </row>
        <row r="60">
          <cell r="A60" t="str">
            <v xml:space="preserve">Gulfstream G200 </v>
          </cell>
          <cell r="B60">
            <v>39234</v>
          </cell>
          <cell r="C60" t="str">
            <v>Unconfirmed American Operator</v>
          </cell>
          <cell r="D60" t="str">
            <v>North America</v>
          </cell>
          <cell r="E60" t="str">
            <v>USA</v>
          </cell>
        </row>
        <row r="61">
          <cell r="A61" t="str">
            <v xml:space="preserve">Gulfstream G200 </v>
          </cell>
          <cell r="B61">
            <v>39234</v>
          </cell>
          <cell r="C61" t="str">
            <v>Netjets</v>
          </cell>
          <cell r="D61" t="str">
            <v>North America</v>
          </cell>
          <cell r="E61" t="str">
            <v>USA</v>
          </cell>
        </row>
        <row r="62">
          <cell r="A62" t="str">
            <v xml:space="preserve">Gulfstream G200 </v>
          </cell>
          <cell r="B62">
            <v>39234</v>
          </cell>
          <cell r="C62" t="str">
            <v>Netjets</v>
          </cell>
          <cell r="D62" t="str">
            <v>North America</v>
          </cell>
          <cell r="E62" t="str">
            <v>USA</v>
          </cell>
        </row>
        <row r="63">
          <cell r="A63" t="str">
            <v xml:space="preserve">Gulfstream G200 </v>
          </cell>
          <cell r="B63">
            <v>39234</v>
          </cell>
          <cell r="C63" t="str">
            <v>Unconfirmed American Operator</v>
          </cell>
          <cell r="D63" t="str">
            <v>North America</v>
          </cell>
          <cell r="E63" t="str">
            <v>USA</v>
          </cell>
        </row>
        <row r="64">
          <cell r="A64" t="str">
            <v xml:space="preserve">Gulfstream G200 </v>
          </cell>
          <cell r="B64">
            <v>39234</v>
          </cell>
          <cell r="C64" t="str">
            <v>Unconfirmed American Operator</v>
          </cell>
          <cell r="D64" t="str">
            <v>North America</v>
          </cell>
          <cell r="E64" t="str">
            <v>USA</v>
          </cell>
        </row>
        <row r="65">
          <cell r="A65" t="str">
            <v>Gulfstream G350</v>
          </cell>
          <cell r="B65">
            <v>39234</v>
          </cell>
          <cell r="C65" t="str">
            <v>Unconfirmed Asian Corporate Operate</v>
          </cell>
          <cell r="D65" t="str">
            <v>Asia</v>
          </cell>
          <cell r="E65" t="str">
            <v>Unknown Asian Country</v>
          </cell>
        </row>
        <row r="66">
          <cell r="A66" t="str">
            <v>Gulfstream G450</v>
          </cell>
          <cell r="B66">
            <v>39234</v>
          </cell>
          <cell r="C66" t="str">
            <v>Unconfirmed Corporate Operator</v>
          </cell>
          <cell r="D66" t="str">
            <v>Unknown area</v>
          </cell>
          <cell r="E66" t="str">
            <v>Unknown Country</v>
          </cell>
        </row>
        <row r="67">
          <cell r="A67" t="str">
            <v>Gulfstream G550</v>
          </cell>
          <cell r="B67">
            <v>39234</v>
          </cell>
          <cell r="C67" t="str">
            <v>EFS European Flight Service</v>
          </cell>
          <cell r="D67" t="str">
            <v>Europe</v>
          </cell>
          <cell r="E67" t="str">
            <v>Sweden</v>
          </cell>
        </row>
        <row r="68">
          <cell r="A68" t="str">
            <v>Gulfstream G150</v>
          </cell>
          <cell r="B68">
            <v>39264</v>
          </cell>
          <cell r="C68" t="str">
            <v>Unconfirmed Corporate Operator</v>
          </cell>
          <cell r="D68" t="str">
            <v>Unknown area</v>
          </cell>
          <cell r="E68" t="str">
            <v>Unknown Country</v>
          </cell>
        </row>
        <row r="69">
          <cell r="A69" t="str">
            <v>Gulfstream G150</v>
          </cell>
          <cell r="B69">
            <v>39264</v>
          </cell>
          <cell r="C69" t="str">
            <v>Netjets</v>
          </cell>
          <cell r="D69" t="str">
            <v>North America</v>
          </cell>
          <cell r="E69" t="str">
            <v>USA</v>
          </cell>
        </row>
        <row r="70">
          <cell r="A70" t="str">
            <v xml:space="preserve">Gulfstream G200 </v>
          </cell>
          <cell r="B70">
            <v>39264</v>
          </cell>
          <cell r="C70" t="str">
            <v>Netjets</v>
          </cell>
          <cell r="D70" t="str">
            <v>North America</v>
          </cell>
          <cell r="E70" t="str">
            <v>USA</v>
          </cell>
        </row>
        <row r="71">
          <cell r="A71" t="str">
            <v xml:space="preserve">Gulfstream G200 </v>
          </cell>
          <cell r="B71">
            <v>39264</v>
          </cell>
          <cell r="C71" t="str">
            <v>Netjets</v>
          </cell>
          <cell r="D71" t="str">
            <v>North America</v>
          </cell>
          <cell r="E71" t="str">
            <v>USA</v>
          </cell>
        </row>
        <row r="72">
          <cell r="A72" t="str">
            <v>Gulfstream G450</v>
          </cell>
          <cell r="B72">
            <v>39264</v>
          </cell>
          <cell r="C72" t="str">
            <v>Unconfirmed Corporate Operator</v>
          </cell>
          <cell r="D72" t="str">
            <v>Unknown area</v>
          </cell>
          <cell r="E72" t="str">
            <v>Unknown Country</v>
          </cell>
        </row>
        <row r="73">
          <cell r="A73" t="str">
            <v>Gulfstream G450</v>
          </cell>
          <cell r="B73">
            <v>39264</v>
          </cell>
          <cell r="C73" t="str">
            <v>Unconfirmed Corporate Operator</v>
          </cell>
          <cell r="D73" t="str">
            <v>Unknown area</v>
          </cell>
          <cell r="E73" t="str">
            <v>Unknown Country</v>
          </cell>
        </row>
        <row r="74">
          <cell r="A74" t="str">
            <v>Gulfstream G450</v>
          </cell>
          <cell r="B74">
            <v>39264</v>
          </cell>
          <cell r="C74" t="str">
            <v>Unconfirmed Corporate Operator</v>
          </cell>
          <cell r="D74" t="str">
            <v>Unknown area</v>
          </cell>
          <cell r="E74" t="str">
            <v>Unknown Country</v>
          </cell>
        </row>
        <row r="75">
          <cell r="A75" t="str">
            <v>Gulfstream G550</v>
          </cell>
          <cell r="B75">
            <v>39264</v>
          </cell>
          <cell r="C75" t="str">
            <v>Unconfirmed Asian Corporate Operate</v>
          </cell>
          <cell r="D75" t="str">
            <v>Asia</v>
          </cell>
          <cell r="E75" t="str">
            <v>Unknown Asian Country</v>
          </cell>
        </row>
        <row r="76">
          <cell r="A76" t="str">
            <v>Gulfstream G550</v>
          </cell>
          <cell r="B76">
            <v>39264</v>
          </cell>
          <cell r="C76" t="str">
            <v>Unconfirmed Corporate Operator</v>
          </cell>
          <cell r="D76" t="str">
            <v>Unknown area</v>
          </cell>
          <cell r="E76" t="str">
            <v>Unknown Country</v>
          </cell>
        </row>
        <row r="77">
          <cell r="A77" t="str">
            <v>Gulfstream G150</v>
          </cell>
          <cell r="B77">
            <v>39295</v>
          </cell>
          <cell r="C77" t="str">
            <v>Netjets</v>
          </cell>
          <cell r="D77" t="str">
            <v>North America</v>
          </cell>
          <cell r="E77" t="str">
            <v>USA</v>
          </cell>
        </row>
        <row r="78">
          <cell r="A78" t="str">
            <v xml:space="preserve">Gulfstream G200 </v>
          </cell>
          <cell r="B78">
            <v>39295</v>
          </cell>
          <cell r="C78" t="str">
            <v>Netjets</v>
          </cell>
          <cell r="D78" t="str">
            <v>North America</v>
          </cell>
          <cell r="E78" t="str">
            <v>USA</v>
          </cell>
        </row>
        <row r="79">
          <cell r="A79" t="str">
            <v xml:space="preserve">Gulfstream G200 </v>
          </cell>
          <cell r="B79">
            <v>39295</v>
          </cell>
          <cell r="C79" t="str">
            <v>Netjets</v>
          </cell>
          <cell r="D79" t="str">
            <v>North America</v>
          </cell>
          <cell r="E79" t="str">
            <v>USA</v>
          </cell>
        </row>
        <row r="80">
          <cell r="A80" t="str">
            <v>Gulfstream G450</v>
          </cell>
          <cell r="B80">
            <v>39295</v>
          </cell>
          <cell r="C80" t="str">
            <v>Unconfirmed Corporate Operator</v>
          </cell>
          <cell r="D80" t="str">
            <v>Unknown area</v>
          </cell>
          <cell r="E80" t="str">
            <v>Unknown Country</v>
          </cell>
        </row>
        <row r="81">
          <cell r="A81" t="str">
            <v>Gulfstream G450</v>
          </cell>
          <cell r="B81">
            <v>39295</v>
          </cell>
          <cell r="C81" t="str">
            <v>Netjets International</v>
          </cell>
          <cell r="D81" t="str">
            <v>North America</v>
          </cell>
          <cell r="E81" t="str">
            <v>USA</v>
          </cell>
        </row>
        <row r="82">
          <cell r="A82" t="str">
            <v>Gulfstream G550</v>
          </cell>
          <cell r="B82">
            <v>39295</v>
          </cell>
          <cell r="C82" t="str">
            <v>Israel Air and Space Force</v>
          </cell>
          <cell r="D82" t="str">
            <v>Middle East</v>
          </cell>
          <cell r="E82" t="str">
            <v>Israel</v>
          </cell>
        </row>
        <row r="83">
          <cell r="A83" t="str">
            <v>Gulfstream G550</v>
          </cell>
          <cell r="B83">
            <v>39295</v>
          </cell>
          <cell r="C83" t="str">
            <v>Netjets International</v>
          </cell>
          <cell r="D83" t="str">
            <v>North America</v>
          </cell>
          <cell r="E83" t="str">
            <v>USA</v>
          </cell>
        </row>
        <row r="84">
          <cell r="A84" t="str">
            <v>Gulfstream G550</v>
          </cell>
          <cell r="B84">
            <v>39295</v>
          </cell>
          <cell r="C84" t="str">
            <v>The Coca-Cola Co</v>
          </cell>
          <cell r="D84" t="str">
            <v>North America</v>
          </cell>
          <cell r="E84" t="str">
            <v>USA</v>
          </cell>
        </row>
        <row r="85">
          <cell r="A85" t="str">
            <v xml:space="preserve">Gulfstream G200 </v>
          </cell>
          <cell r="B85">
            <v>39326</v>
          </cell>
          <cell r="C85" t="str">
            <v>Netjets</v>
          </cell>
          <cell r="D85" t="str">
            <v>North America</v>
          </cell>
          <cell r="E85" t="str">
            <v>USA</v>
          </cell>
        </row>
        <row r="86">
          <cell r="A86" t="str">
            <v>Gulfstream G450</v>
          </cell>
          <cell r="B86">
            <v>39326</v>
          </cell>
          <cell r="C86" t="str">
            <v>Business Aviation Asia</v>
          </cell>
          <cell r="D86" t="str">
            <v>Asia</v>
          </cell>
          <cell r="E86" t="str">
            <v>Hong Kong</v>
          </cell>
        </row>
        <row r="87">
          <cell r="A87" t="str">
            <v>Gulfstream G450</v>
          </cell>
          <cell r="B87">
            <v>39326</v>
          </cell>
          <cell r="C87" t="str">
            <v>Unconfirmed Corporate Operator</v>
          </cell>
          <cell r="D87" t="str">
            <v>Unknown area</v>
          </cell>
          <cell r="E87" t="str">
            <v>Unknown Country</v>
          </cell>
        </row>
        <row r="88">
          <cell r="A88" t="str">
            <v>Gulfstream G450</v>
          </cell>
          <cell r="B88">
            <v>39326</v>
          </cell>
          <cell r="C88" t="str">
            <v>Unconfirmed Corporate Operator</v>
          </cell>
          <cell r="D88" t="str">
            <v>Unknown area</v>
          </cell>
          <cell r="E88" t="str">
            <v>Unknown Country</v>
          </cell>
        </row>
        <row r="89">
          <cell r="A89" t="str">
            <v>Gulfstream G550</v>
          </cell>
          <cell r="B89">
            <v>39326</v>
          </cell>
          <cell r="C89" t="str">
            <v>Unconfirmed Asian Corporate Operate</v>
          </cell>
          <cell r="D89" t="str">
            <v>Asia</v>
          </cell>
          <cell r="E89" t="str">
            <v>Unknown Asian Country</v>
          </cell>
        </row>
        <row r="90">
          <cell r="A90" t="str">
            <v>Gulfstream G550</v>
          </cell>
          <cell r="B90">
            <v>39326</v>
          </cell>
          <cell r="C90" t="str">
            <v>Unconfirmed Corporate Operator</v>
          </cell>
          <cell r="D90" t="str">
            <v>Unknown area</v>
          </cell>
          <cell r="E90" t="str">
            <v>Unknown Country</v>
          </cell>
        </row>
        <row r="91">
          <cell r="A91" t="str">
            <v>Gulfstream G150</v>
          </cell>
          <cell r="B91">
            <v>39356</v>
          </cell>
          <cell r="C91" t="str">
            <v>Netjets</v>
          </cell>
          <cell r="D91" t="str">
            <v>North America</v>
          </cell>
          <cell r="E91" t="str">
            <v>USA</v>
          </cell>
        </row>
        <row r="92">
          <cell r="A92" t="str">
            <v xml:space="preserve">Gulfstream G200 </v>
          </cell>
          <cell r="B92">
            <v>39356</v>
          </cell>
          <cell r="C92" t="str">
            <v>Netjets</v>
          </cell>
          <cell r="D92" t="str">
            <v>North America</v>
          </cell>
          <cell r="E92" t="str">
            <v>USA</v>
          </cell>
        </row>
        <row r="93">
          <cell r="A93" t="str">
            <v>Gulfstream G450</v>
          </cell>
          <cell r="B93">
            <v>39356</v>
          </cell>
          <cell r="C93" t="str">
            <v>Unconfirmed Corporate Operator</v>
          </cell>
          <cell r="D93" t="str">
            <v>Unknown area</v>
          </cell>
          <cell r="E93" t="str">
            <v>Unknown Country</v>
          </cell>
        </row>
        <row r="94">
          <cell r="A94" t="str">
            <v>Gulfstream G450</v>
          </cell>
          <cell r="B94">
            <v>39356</v>
          </cell>
          <cell r="C94" t="str">
            <v>Unconfirmed Corporate Operator</v>
          </cell>
          <cell r="D94" t="str">
            <v>Unknown area</v>
          </cell>
          <cell r="E94" t="str">
            <v>Unknown Country</v>
          </cell>
        </row>
        <row r="95">
          <cell r="A95" t="str">
            <v>Gulfstream G550</v>
          </cell>
          <cell r="B95">
            <v>39356</v>
          </cell>
          <cell r="C95" t="str">
            <v>Unconfirmed Corporate Operator</v>
          </cell>
          <cell r="D95" t="str">
            <v>Unknown area</v>
          </cell>
          <cell r="E95" t="str">
            <v>Unknown Country</v>
          </cell>
        </row>
        <row r="96">
          <cell r="A96" t="str">
            <v>Gulfstream G550</v>
          </cell>
          <cell r="B96">
            <v>39356</v>
          </cell>
          <cell r="C96" t="str">
            <v>Unconfirmed Corporate Operator</v>
          </cell>
          <cell r="D96" t="str">
            <v>Unknown area</v>
          </cell>
          <cell r="E96" t="str">
            <v>Unknown Country</v>
          </cell>
        </row>
        <row r="97">
          <cell r="A97" t="str">
            <v>Gulfstream G550</v>
          </cell>
          <cell r="B97">
            <v>39356</v>
          </cell>
          <cell r="C97" t="str">
            <v>Netjets International</v>
          </cell>
          <cell r="D97" t="str">
            <v>North America</v>
          </cell>
          <cell r="E97" t="str">
            <v>USA</v>
          </cell>
        </row>
        <row r="98">
          <cell r="A98" t="str">
            <v>Gulfstream G150</v>
          </cell>
          <cell r="B98">
            <v>39387</v>
          </cell>
          <cell r="C98" t="str">
            <v>Netjets</v>
          </cell>
          <cell r="D98" t="str">
            <v>North America</v>
          </cell>
          <cell r="E98" t="str">
            <v>USA</v>
          </cell>
        </row>
        <row r="99">
          <cell r="A99" t="str">
            <v xml:space="preserve">Gulfstream G200 </v>
          </cell>
          <cell r="B99">
            <v>39387</v>
          </cell>
          <cell r="C99" t="str">
            <v>Netjets</v>
          </cell>
          <cell r="D99" t="str">
            <v>North America</v>
          </cell>
          <cell r="E99" t="str">
            <v>USA</v>
          </cell>
        </row>
        <row r="100">
          <cell r="A100" t="str">
            <v>Gulfstream G450</v>
          </cell>
          <cell r="B100">
            <v>39387</v>
          </cell>
          <cell r="C100" t="str">
            <v>Unconfirmed Corporate Operator</v>
          </cell>
          <cell r="D100" t="str">
            <v>Unknown area</v>
          </cell>
          <cell r="E100" t="str">
            <v>Unknown Country</v>
          </cell>
        </row>
        <row r="101">
          <cell r="A101" t="str">
            <v>Gulfstream G450</v>
          </cell>
          <cell r="B101">
            <v>39387</v>
          </cell>
          <cell r="C101" t="str">
            <v>Unconfirmed Corporate Operator</v>
          </cell>
          <cell r="D101" t="str">
            <v>Unknown area</v>
          </cell>
          <cell r="E101" t="str">
            <v>Unknown Country</v>
          </cell>
        </row>
        <row r="102">
          <cell r="A102" t="str">
            <v>Gulfstream G550</v>
          </cell>
          <cell r="B102">
            <v>39387</v>
          </cell>
          <cell r="C102" t="str">
            <v>Unconfirmed Corporate Operator</v>
          </cell>
          <cell r="D102" t="str">
            <v>Unknown area</v>
          </cell>
          <cell r="E102" t="str">
            <v>Unknown Country</v>
          </cell>
        </row>
        <row r="103">
          <cell r="A103" t="str">
            <v>Gulfstream G550</v>
          </cell>
          <cell r="B103">
            <v>39387</v>
          </cell>
          <cell r="C103" t="str">
            <v>Unconfirmed Corporate Operator</v>
          </cell>
          <cell r="D103" t="str">
            <v>Unknown area</v>
          </cell>
          <cell r="E103" t="str">
            <v>Unknown Country</v>
          </cell>
        </row>
        <row r="104">
          <cell r="A104" t="str">
            <v>Gulfstream G150</v>
          </cell>
          <cell r="B104">
            <v>39417</v>
          </cell>
          <cell r="C104" t="str">
            <v>Netjets</v>
          </cell>
          <cell r="D104" t="str">
            <v>North America</v>
          </cell>
          <cell r="E104" t="str">
            <v>USA</v>
          </cell>
        </row>
        <row r="105">
          <cell r="A105" t="str">
            <v>Gulfstream G450</v>
          </cell>
          <cell r="B105">
            <v>39417</v>
          </cell>
          <cell r="C105" t="str">
            <v>Unconfirmed Corporate Operator</v>
          </cell>
          <cell r="D105" t="str">
            <v>Unknown area</v>
          </cell>
          <cell r="E105" t="str">
            <v>Unknown Country</v>
          </cell>
        </row>
        <row r="106">
          <cell r="A106" t="str">
            <v>Gulfstream G450</v>
          </cell>
          <cell r="B106">
            <v>39417</v>
          </cell>
          <cell r="C106" t="str">
            <v>Unconfirmed Corporate Operator</v>
          </cell>
          <cell r="D106" t="str">
            <v>Unknown area</v>
          </cell>
          <cell r="E106" t="str">
            <v>Unknown Country</v>
          </cell>
        </row>
        <row r="107">
          <cell r="A107" t="str">
            <v>Gulfstream G550</v>
          </cell>
          <cell r="B107">
            <v>39417</v>
          </cell>
          <cell r="C107" t="str">
            <v>Unconfirmed Asian Corporate Operate</v>
          </cell>
          <cell r="D107" t="str">
            <v>Asia</v>
          </cell>
          <cell r="E107" t="str">
            <v>Unknown Asian Country</v>
          </cell>
        </row>
        <row r="108">
          <cell r="A108" t="str">
            <v>Gulfstream G550</v>
          </cell>
          <cell r="B108">
            <v>39417</v>
          </cell>
          <cell r="C108" t="str">
            <v>Unconfirmed Corporate Operator</v>
          </cell>
          <cell r="D108" t="str">
            <v>Unknown area</v>
          </cell>
          <cell r="E108" t="str">
            <v>Unknown Country</v>
          </cell>
        </row>
        <row r="109">
          <cell r="A109" t="str">
            <v>Gulfstream G550</v>
          </cell>
          <cell r="B109">
            <v>39417</v>
          </cell>
          <cell r="C109" t="str">
            <v>Unconfirmed Corporate Operator</v>
          </cell>
          <cell r="D109" t="str">
            <v>Unknown area</v>
          </cell>
          <cell r="E109" t="str">
            <v>Unknown Country</v>
          </cell>
        </row>
        <row r="110">
          <cell r="A110" t="str">
            <v xml:space="preserve">Gulfstream G200 </v>
          </cell>
          <cell r="B110">
            <v>39448</v>
          </cell>
          <cell r="C110" t="str">
            <v>Netjets</v>
          </cell>
          <cell r="D110" t="str">
            <v>North America</v>
          </cell>
          <cell r="E110" t="str">
            <v>USA</v>
          </cell>
        </row>
        <row r="111">
          <cell r="A111" t="str">
            <v>Gulfstream G350</v>
          </cell>
          <cell r="B111">
            <v>39448</v>
          </cell>
          <cell r="C111" t="str">
            <v>Unconfirmed Corporate Operator</v>
          </cell>
          <cell r="D111" t="str">
            <v>Unknown area</v>
          </cell>
          <cell r="E111" t="str">
            <v>Unknown Country</v>
          </cell>
        </row>
        <row r="112">
          <cell r="A112" t="str">
            <v>Gulfstream G450</v>
          </cell>
          <cell r="B112">
            <v>39448</v>
          </cell>
          <cell r="C112" t="str">
            <v>Unconfirmed Corporate Operator</v>
          </cell>
          <cell r="D112" t="str">
            <v>Unknown area</v>
          </cell>
          <cell r="E112" t="str">
            <v>Unknown Country</v>
          </cell>
        </row>
        <row r="113">
          <cell r="A113" t="str">
            <v>Gulfstream G550</v>
          </cell>
          <cell r="B113">
            <v>39448</v>
          </cell>
          <cell r="C113" t="str">
            <v>Unconfirmed Corporate Operator</v>
          </cell>
          <cell r="D113" t="str">
            <v>Unknown area</v>
          </cell>
          <cell r="E113" t="str">
            <v>Unknown Country</v>
          </cell>
        </row>
        <row r="114">
          <cell r="A114" t="str">
            <v>Gulfstream G550</v>
          </cell>
          <cell r="B114">
            <v>39448</v>
          </cell>
          <cell r="C114" t="str">
            <v>Unconfirmed Corporate Operator</v>
          </cell>
          <cell r="D114" t="str">
            <v>Unknown area</v>
          </cell>
          <cell r="E114" t="str">
            <v>Unknown Country</v>
          </cell>
        </row>
        <row r="115">
          <cell r="A115" t="str">
            <v>Gulfstream G150</v>
          </cell>
          <cell r="B115">
            <v>39479</v>
          </cell>
          <cell r="C115" t="str">
            <v>Netjets</v>
          </cell>
          <cell r="D115" t="str">
            <v>North America</v>
          </cell>
          <cell r="E115" t="str">
            <v>USA</v>
          </cell>
        </row>
        <row r="116">
          <cell r="A116" t="str">
            <v xml:space="preserve">Gulfstream G200 </v>
          </cell>
          <cell r="B116">
            <v>39479</v>
          </cell>
          <cell r="C116" t="str">
            <v>Netjets</v>
          </cell>
          <cell r="D116" t="str">
            <v>North America</v>
          </cell>
          <cell r="E116" t="str">
            <v>USA</v>
          </cell>
        </row>
        <row r="117">
          <cell r="A117" t="str">
            <v>Gulfstream G350</v>
          </cell>
          <cell r="B117">
            <v>39479</v>
          </cell>
          <cell r="C117" t="str">
            <v>Unconfirmed Corporate Operator</v>
          </cell>
          <cell r="D117" t="str">
            <v>Unknown area</v>
          </cell>
          <cell r="E117" t="str">
            <v>Unknown Country</v>
          </cell>
        </row>
        <row r="118">
          <cell r="A118" t="str">
            <v>Gulfstream G450</v>
          </cell>
          <cell r="B118">
            <v>39479</v>
          </cell>
          <cell r="C118" t="str">
            <v>Unconfirmed Corporate Operator</v>
          </cell>
          <cell r="D118" t="str">
            <v>Unknown area</v>
          </cell>
          <cell r="E118" t="str">
            <v>Unknown Country</v>
          </cell>
        </row>
        <row r="119">
          <cell r="A119" t="str">
            <v>Gulfstream G500</v>
          </cell>
          <cell r="B119">
            <v>39479</v>
          </cell>
          <cell r="C119" t="str">
            <v>Unconfirmed Corporate Operator</v>
          </cell>
          <cell r="D119" t="str">
            <v>Unknown area</v>
          </cell>
          <cell r="E119" t="str">
            <v>Unknown Country</v>
          </cell>
        </row>
        <row r="120">
          <cell r="A120" t="str">
            <v>Gulfstream G550</v>
          </cell>
          <cell r="B120">
            <v>39479</v>
          </cell>
          <cell r="C120" t="str">
            <v>Unconfirmed Corporate Operator</v>
          </cell>
          <cell r="D120" t="str">
            <v>Unknown area</v>
          </cell>
          <cell r="E120" t="str">
            <v>Unknown Country</v>
          </cell>
        </row>
        <row r="121">
          <cell r="A121" t="str">
            <v>Gulfstream G550</v>
          </cell>
          <cell r="B121">
            <v>39479</v>
          </cell>
          <cell r="C121" t="str">
            <v>TWC Aviation LLC</v>
          </cell>
          <cell r="D121" t="str">
            <v>North America</v>
          </cell>
          <cell r="E121" t="str">
            <v>USA</v>
          </cell>
        </row>
        <row r="122">
          <cell r="A122" t="str">
            <v>Gulfstream G150</v>
          </cell>
          <cell r="B122">
            <v>39508</v>
          </cell>
          <cell r="C122" t="str">
            <v>Netjets</v>
          </cell>
          <cell r="D122" t="str">
            <v>North America</v>
          </cell>
          <cell r="E122" t="str">
            <v>USA</v>
          </cell>
        </row>
        <row r="123">
          <cell r="A123" t="str">
            <v xml:space="preserve">Gulfstream G200 </v>
          </cell>
          <cell r="B123">
            <v>39508</v>
          </cell>
          <cell r="C123" t="str">
            <v>Netjets</v>
          </cell>
          <cell r="D123" t="str">
            <v>North America</v>
          </cell>
          <cell r="E123" t="str">
            <v>USA</v>
          </cell>
        </row>
        <row r="124">
          <cell r="A124" t="str">
            <v>Gulfstream G350</v>
          </cell>
          <cell r="B124">
            <v>39508</v>
          </cell>
          <cell r="C124" t="str">
            <v>Unconfirmed Corporate Operator</v>
          </cell>
          <cell r="D124" t="str">
            <v>Unknown area</v>
          </cell>
          <cell r="E124" t="str">
            <v>Unknown Country</v>
          </cell>
        </row>
        <row r="125">
          <cell r="A125" t="str">
            <v>Gulfstream G450</v>
          </cell>
          <cell r="B125">
            <v>39508</v>
          </cell>
          <cell r="C125" t="str">
            <v>Unconfirmed Corporate Operator</v>
          </cell>
          <cell r="D125" t="str">
            <v>Unknown area</v>
          </cell>
          <cell r="E125" t="str">
            <v>Unknown Country</v>
          </cell>
        </row>
        <row r="126">
          <cell r="A126" t="str">
            <v>Gulfstream G550</v>
          </cell>
          <cell r="B126">
            <v>39508</v>
          </cell>
          <cell r="C126" t="str">
            <v>Unconfirmed Corporate Operator</v>
          </cell>
          <cell r="D126" t="str">
            <v>Unknown area</v>
          </cell>
          <cell r="E126" t="str">
            <v>Unknown Country</v>
          </cell>
        </row>
        <row r="127">
          <cell r="A127" t="str">
            <v>Gulfstream G550</v>
          </cell>
          <cell r="B127">
            <v>39508</v>
          </cell>
          <cell r="C127" t="str">
            <v>Unconfirmed Corporate Operator</v>
          </cell>
          <cell r="D127" t="str">
            <v>Unknown area</v>
          </cell>
          <cell r="E127" t="str">
            <v>Unknown Country</v>
          </cell>
        </row>
        <row r="128">
          <cell r="A128" t="str">
            <v>Gulfstream G150</v>
          </cell>
          <cell r="B128">
            <v>39539</v>
          </cell>
          <cell r="C128" t="str">
            <v>Netjets</v>
          </cell>
          <cell r="D128" t="str">
            <v>North America</v>
          </cell>
          <cell r="E128" t="str">
            <v>USA</v>
          </cell>
        </row>
        <row r="129">
          <cell r="A129" t="str">
            <v>Gulfstream G450</v>
          </cell>
          <cell r="B129">
            <v>39539</v>
          </cell>
          <cell r="C129" t="str">
            <v>Unconfirmed Corporate Operator</v>
          </cell>
          <cell r="D129" t="str">
            <v>Unknown area</v>
          </cell>
          <cell r="E129" t="str">
            <v>Unknown Country</v>
          </cell>
        </row>
        <row r="130">
          <cell r="A130" t="str">
            <v>Gulfstream G450</v>
          </cell>
          <cell r="B130">
            <v>39539</v>
          </cell>
          <cell r="C130" t="str">
            <v>Unconfirmed Corporate Operator</v>
          </cell>
          <cell r="D130" t="str">
            <v>Unknown area</v>
          </cell>
          <cell r="E130" t="str">
            <v>Unknown Country</v>
          </cell>
        </row>
        <row r="131">
          <cell r="A131" t="str">
            <v>Gulfstream G500</v>
          </cell>
          <cell r="B131">
            <v>39539</v>
          </cell>
          <cell r="C131" t="str">
            <v>Unconfirmed Corporate Operator</v>
          </cell>
          <cell r="D131" t="str">
            <v>Unknown area</v>
          </cell>
          <cell r="E131" t="str">
            <v>Unknown Country</v>
          </cell>
        </row>
        <row r="132">
          <cell r="A132" t="str">
            <v>Gulfstream G550</v>
          </cell>
          <cell r="B132">
            <v>39539</v>
          </cell>
          <cell r="C132" t="str">
            <v>Unconfirmed Corporate Operator</v>
          </cell>
          <cell r="D132" t="str">
            <v>Unknown area</v>
          </cell>
          <cell r="E132" t="str">
            <v>Unknown Country</v>
          </cell>
        </row>
        <row r="133">
          <cell r="A133" t="str">
            <v>Gulfstream G550</v>
          </cell>
          <cell r="B133">
            <v>39539</v>
          </cell>
          <cell r="C133" t="str">
            <v>Netjets International</v>
          </cell>
          <cell r="D133" t="str">
            <v>North America</v>
          </cell>
          <cell r="E133" t="str">
            <v>USA</v>
          </cell>
        </row>
        <row r="134">
          <cell r="A134" t="str">
            <v xml:space="preserve">Gulfstream G200 </v>
          </cell>
          <cell r="B134">
            <v>39569</v>
          </cell>
          <cell r="C134" t="str">
            <v>Netjets</v>
          </cell>
          <cell r="D134" t="str">
            <v>North America</v>
          </cell>
          <cell r="E134" t="str">
            <v>USA</v>
          </cell>
        </row>
        <row r="135">
          <cell r="A135" t="str">
            <v>Gulfstream G350</v>
          </cell>
          <cell r="B135">
            <v>39569</v>
          </cell>
          <cell r="C135" t="str">
            <v>Unconfirmed Corporate Operator</v>
          </cell>
          <cell r="D135" t="str">
            <v>Unknown area</v>
          </cell>
          <cell r="E135" t="str">
            <v>Unknown Country</v>
          </cell>
        </row>
        <row r="136">
          <cell r="A136" t="str">
            <v>Gulfstream G450</v>
          </cell>
          <cell r="B136">
            <v>39569</v>
          </cell>
          <cell r="C136" t="str">
            <v>Unconfirmed Corporate Operator</v>
          </cell>
          <cell r="D136" t="str">
            <v>Unknown area</v>
          </cell>
          <cell r="E136" t="str">
            <v>Unknown Country</v>
          </cell>
        </row>
        <row r="137">
          <cell r="A137" t="str">
            <v>Gulfstream G550</v>
          </cell>
          <cell r="B137">
            <v>39569</v>
          </cell>
          <cell r="C137" t="str">
            <v>Sonnig SA</v>
          </cell>
          <cell r="D137" t="str">
            <v>Europe</v>
          </cell>
          <cell r="E137" t="str">
            <v>Switzerland</v>
          </cell>
        </row>
        <row r="138">
          <cell r="A138" t="str">
            <v>Gulfstream G550</v>
          </cell>
          <cell r="B138">
            <v>39569</v>
          </cell>
          <cell r="C138" t="str">
            <v>Unconfirmed Corporate Operator</v>
          </cell>
          <cell r="D138" t="str">
            <v>Unknown area</v>
          </cell>
          <cell r="E138" t="str">
            <v>Unknown Country</v>
          </cell>
        </row>
        <row r="139">
          <cell r="A139" t="str">
            <v>Gulfstream G150</v>
          </cell>
          <cell r="B139">
            <v>39600</v>
          </cell>
          <cell r="C139" t="str">
            <v>Netjets</v>
          </cell>
          <cell r="D139" t="str">
            <v>North America</v>
          </cell>
          <cell r="E139" t="str">
            <v>USA</v>
          </cell>
        </row>
        <row r="140">
          <cell r="A140" t="str">
            <v xml:space="preserve">Gulfstream G200 </v>
          </cell>
          <cell r="B140">
            <v>39600</v>
          </cell>
          <cell r="C140" t="str">
            <v>Netjets</v>
          </cell>
          <cell r="D140" t="str">
            <v>North America</v>
          </cell>
          <cell r="E140" t="str">
            <v>USA</v>
          </cell>
        </row>
        <row r="141">
          <cell r="A141" t="str">
            <v>Gulfstream G450</v>
          </cell>
          <cell r="B141">
            <v>39600</v>
          </cell>
          <cell r="C141" t="str">
            <v>Unconfirmed Corporate Operator</v>
          </cell>
          <cell r="D141" t="str">
            <v>Unknown area</v>
          </cell>
          <cell r="E141" t="str">
            <v>Unknown Country</v>
          </cell>
        </row>
        <row r="142">
          <cell r="A142" t="str">
            <v>Gulfstream G450</v>
          </cell>
          <cell r="B142">
            <v>39600</v>
          </cell>
          <cell r="C142" t="str">
            <v>Unconfirmed Corporate Operator</v>
          </cell>
          <cell r="D142" t="str">
            <v>Unknown area</v>
          </cell>
          <cell r="E142" t="str">
            <v>Unknown Country</v>
          </cell>
        </row>
        <row r="143">
          <cell r="A143" t="str">
            <v>Gulfstream G550</v>
          </cell>
          <cell r="B143">
            <v>39600</v>
          </cell>
          <cell r="C143" t="str">
            <v>Unconfirmed Corporate Operator</v>
          </cell>
          <cell r="D143" t="str">
            <v>Unknown area</v>
          </cell>
          <cell r="E143" t="str">
            <v>Unknown Country</v>
          </cell>
        </row>
        <row r="144">
          <cell r="A144" t="str">
            <v>Gulfstream G550</v>
          </cell>
          <cell r="B144">
            <v>39600</v>
          </cell>
          <cell r="C144" t="str">
            <v>Unconfirmed Corporate Operator</v>
          </cell>
          <cell r="D144" t="str">
            <v>Unknown area</v>
          </cell>
          <cell r="E144" t="str">
            <v>Unknown Country</v>
          </cell>
        </row>
        <row r="145">
          <cell r="A145" t="str">
            <v>Gulfstream G550</v>
          </cell>
          <cell r="B145">
            <v>39600</v>
          </cell>
          <cell r="C145" t="str">
            <v>Netjets International</v>
          </cell>
          <cell r="D145" t="str">
            <v>North America</v>
          </cell>
          <cell r="E145" t="str">
            <v>USA</v>
          </cell>
        </row>
        <row r="146">
          <cell r="A146" t="str">
            <v>Gulfstream G150</v>
          </cell>
          <cell r="B146">
            <v>39630</v>
          </cell>
          <cell r="C146" t="str">
            <v>Netjets</v>
          </cell>
          <cell r="D146" t="str">
            <v>North America</v>
          </cell>
          <cell r="E146" t="str">
            <v>USA</v>
          </cell>
        </row>
        <row r="147">
          <cell r="A147" t="str">
            <v xml:space="preserve">Gulfstream G200 </v>
          </cell>
          <cell r="B147">
            <v>39630</v>
          </cell>
          <cell r="C147" t="str">
            <v>Netjets</v>
          </cell>
          <cell r="D147" t="str">
            <v>North America</v>
          </cell>
          <cell r="E147" t="str">
            <v>USA</v>
          </cell>
        </row>
        <row r="148">
          <cell r="A148" t="str">
            <v>Gulfstream G350</v>
          </cell>
          <cell r="B148">
            <v>39630</v>
          </cell>
          <cell r="C148" t="str">
            <v>Unconfirmed Corporate Operator</v>
          </cell>
          <cell r="D148" t="str">
            <v>Unknown area</v>
          </cell>
          <cell r="E148" t="str">
            <v>Unknown Country</v>
          </cell>
        </row>
        <row r="149">
          <cell r="A149" t="str">
            <v>Gulfstream G450</v>
          </cell>
          <cell r="B149">
            <v>39630</v>
          </cell>
          <cell r="C149" t="str">
            <v>Unconfirmed Corporate Operator</v>
          </cell>
          <cell r="D149" t="str">
            <v>Unknown area</v>
          </cell>
          <cell r="E149" t="str">
            <v>Unknown Country</v>
          </cell>
        </row>
        <row r="150">
          <cell r="A150" t="str">
            <v>Gulfstream G550</v>
          </cell>
          <cell r="B150">
            <v>39630</v>
          </cell>
          <cell r="C150" t="str">
            <v>Unconfirmed Corporate Operator</v>
          </cell>
          <cell r="D150" t="str">
            <v>Unknown area</v>
          </cell>
          <cell r="E150" t="str">
            <v>Unknown Country</v>
          </cell>
        </row>
        <row r="151">
          <cell r="A151" t="str">
            <v>Gulfstream G550</v>
          </cell>
          <cell r="B151">
            <v>39630</v>
          </cell>
          <cell r="C151" t="str">
            <v>Unconfirmed Corporate Operator</v>
          </cell>
          <cell r="D151" t="str">
            <v>Unknown area</v>
          </cell>
          <cell r="E151" t="str">
            <v>Unknown Country</v>
          </cell>
        </row>
        <row r="152">
          <cell r="A152" t="str">
            <v>Gulfstream G450</v>
          </cell>
          <cell r="B152">
            <v>39661</v>
          </cell>
          <cell r="C152" t="str">
            <v>Unconfirmed Corporate Operator</v>
          </cell>
          <cell r="D152" t="str">
            <v>Unknown area</v>
          </cell>
          <cell r="E152" t="str">
            <v>Unknown Country</v>
          </cell>
        </row>
        <row r="153">
          <cell r="A153" t="str">
            <v>Gulfstream G450</v>
          </cell>
          <cell r="B153">
            <v>39661</v>
          </cell>
          <cell r="C153" t="str">
            <v>Unconfirmed Corporate Operator</v>
          </cell>
          <cell r="D153" t="str">
            <v>Unknown area</v>
          </cell>
          <cell r="E153" t="str">
            <v>Unknown Country</v>
          </cell>
        </row>
        <row r="154">
          <cell r="A154" t="str">
            <v>Gulfstream G550</v>
          </cell>
          <cell r="B154">
            <v>39661</v>
          </cell>
          <cell r="C154" t="str">
            <v>Unconfirmed Corporate Operator</v>
          </cell>
          <cell r="D154" t="str">
            <v>Unknown area</v>
          </cell>
          <cell r="E154" t="str">
            <v>Unknown Country</v>
          </cell>
        </row>
        <row r="155">
          <cell r="A155" t="str">
            <v>Gulfstream G550</v>
          </cell>
          <cell r="B155">
            <v>39661</v>
          </cell>
          <cell r="C155" t="str">
            <v>Unconfirmed Corporate Operator</v>
          </cell>
          <cell r="D155" t="str">
            <v>Unknown area</v>
          </cell>
          <cell r="E155" t="str">
            <v>Unknown Country</v>
          </cell>
        </row>
        <row r="156">
          <cell r="A156" t="str">
            <v>Gulfstream G550</v>
          </cell>
          <cell r="B156">
            <v>39661</v>
          </cell>
          <cell r="C156" t="str">
            <v>Netjets International</v>
          </cell>
          <cell r="D156" t="str">
            <v>North America</v>
          </cell>
          <cell r="E156" t="str">
            <v>USA</v>
          </cell>
        </row>
        <row r="157">
          <cell r="A157" t="str">
            <v>Gulfstream G150</v>
          </cell>
          <cell r="B157">
            <v>39692</v>
          </cell>
          <cell r="C157" t="str">
            <v>Netjets</v>
          </cell>
          <cell r="D157" t="str">
            <v>North America</v>
          </cell>
          <cell r="E157" t="str">
            <v>USA</v>
          </cell>
        </row>
        <row r="158">
          <cell r="A158" t="str">
            <v xml:space="preserve">Gulfstream G200 </v>
          </cell>
          <cell r="B158">
            <v>39692</v>
          </cell>
          <cell r="C158" t="str">
            <v>Netjets</v>
          </cell>
          <cell r="D158" t="str">
            <v>North America</v>
          </cell>
          <cell r="E158" t="str">
            <v>USA</v>
          </cell>
        </row>
        <row r="159">
          <cell r="A159" t="str">
            <v>Gulfstream G450</v>
          </cell>
          <cell r="B159">
            <v>39692</v>
          </cell>
          <cell r="C159" t="str">
            <v>Unconfirmed Corporate Operator</v>
          </cell>
          <cell r="D159" t="str">
            <v>Unknown area</v>
          </cell>
          <cell r="E159" t="str">
            <v>Unknown Country</v>
          </cell>
        </row>
        <row r="160">
          <cell r="A160" t="str">
            <v>Gulfstream G500</v>
          </cell>
          <cell r="B160">
            <v>39692</v>
          </cell>
          <cell r="C160" t="str">
            <v>Unconfirmed Corporate Operator</v>
          </cell>
          <cell r="D160" t="str">
            <v>Unknown area</v>
          </cell>
          <cell r="E160" t="str">
            <v>Unknown Country</v>
          </cell>
        </row>
        <row r="161">
          <cell r="A161" t="str">
            <v>Gulfstream G550</v>
          </cell>
          <cell r="B161">
            <v>39692</v>
          </cell>
          <cell r="C161" t="str">
            <v>Unconfirmed Corporate Operator</v>
          </cell>
          <cell r="D161" t="str">
            <v>Unknown area</v>
          </cell>
          <cell r="E161" t="str">
            <v>Unknown Country</v>
          </cell>
        </row>
        <row r="162">
          <cell r="A162" t="str">
            <v>Gulfstream G150</v>
          </cell>
          <cell r="B162">
            <v>39722</v>
          </cell>
          <cell r="C162" t="str">
            <v>Netjets</v>
          </cell>
          <cell r="D162" t="str">
            <v>North America</v>
          </cell>
          <cell r="E162" t="str">
            <v>USA</v>
          </cell>
        </row>
        <row r="163">
          <cell r="A163" t="str">
            <v xml:space="preserve">Gulfstream G200 </v>
          </cell>
          <cell r="B163">
            <v>39722</v>
          </cell>
          <cell r="C163" t="str">
            <v>Netjets</v>
          </cell>
          <cell r="D163" t="str">
            <v>North America</v>
          </cell>
          <cell r="E163" t="str">
            <v>USA</v>
          </cell>
        </row>
        <row r="164">
          <cell r="A164" t="str">
            <v>Gulfstream G550</v>
          </cell>
          <cell r="B164">
            <v>39722</v>
          </cell>
          <cell r="C164" t="str">
            <v>Unconfirmed Corporate Operator</v>
          </cell>
          <cell r="D164" t="str">
            <v>Unknown area</v>
          </cell>
          <cell r="E164" t="str">
            <v>Unknown Country</v>
          </cell>
        </row>
        <row r="165">
          <cell r="A165" t="str">
            <v>Gulfstream G550</v>
          </cell>
          <cell r="B165">
            <v>39722</v>
          </cell>
          <cell r="C165" t="str">
            <v>Unconfirmed Corporate Operator</v>
          </cell>
          <cell r="D165" t="str">
            <v>Unknown area</v>
          </cell>
          <cell r="E165" t="str">
            <v>Unknown Country</v>
          </cell>
        </row>
        <row r="166">
          <cell r="A166" t="str">
            <v>Gulfstream G550</v>
          </cell>
          <cell r="B166">
            <v>39722</v>
          </cell>
          <cell r="C166" t="str">
            <v>Netjets International</v>
          </cell>
          <cell r="D166" t="str">
            <v>North America</v>
          </cell>
          <cell r="E166" t="str">
            <v>USA</v>
          </cell>
        </row>
        <row r="167">
          <cell r="A167" t="str">
            <v>Gulfstream G150</v>
          </cell>
          <cell r="B167">
            <v>39753</v>
          </cell>
          <cell r="C167" t="str">
            <v>Netjets</v>
          </cell>
          <cell r="D167" t="str">
            <v>North America</v>
          </cell>
          <cell r="E167" t="str">
            <v>USA</v>
          </cell>
        </row>
        <row r="168">
          <cell r="A168" t="str">
            <v xml:space="preserve">Gulfstream G200 </v>
          </cell>
          <cell r="B168">
            <v>39753</v>
          </cell>
          <cell r="C168" t="str">
            <v>Netjets</v>
          </cell>
          <cell r="D168" t="str">
            <v>North America</v>
          </cell>
          <cell r="E168" t="str">
            <v>USA</v>
          </cell>
        </row>
        <row r="169">
          <cell r="A169" t="str">
            <v>Gulfstream G550</v>
          </cell>
          <cell r="B169">
            <v>39753</v>
          </cell>
          <cell r="C169" t="str">
            <v>Unconfirmed Corporate Operator</v>
          </cell>
          <cell r="D169" t="str">
            <v>Unknown area</v>
          </cell>
          <cell r="E169" t="str">
            <v>Unknown Country</v>
          </cell>
        </row>
        <row r="170">
          <cell r="A170" t="str">
            <v>Gulfstream G550</v>
          </cell>
          <cell r="B170">
            <v>39753</v>
          </cell>
          <cell r="C170" t="str">
            <v>Unconfirmed Corporate Operator</v>
          </cell>
          <cell r="D170" t="str">
            <v>Unknown area</v>
          </cell>
          <cell r="E170" t="str">
            <v>Unknown Country</v>
          </cell>
        </row>
        <row r="171">
          <cell r="A171" t="str">
            <v>Gulfstream G550</v>
          </cell>
          <cell r="B171">
            <v>39753</v>
          </cell>
          <cell r="C171" t="str">
            <v>Netjets International</v>
          </cell>
          <cell r="D171" t="str">
            <v>North America</v>
          </cell>
          <cell r="E171" t="str">
            <v>USA</v>
          </cell>
        </row>
        <row r="172">
          <cell r="A172" t="str">
            <v>Gulfstream G550</v>
          </cell>
          <cell r="B172">
            <v>39783</v>
          </cell>
          <cell r="C172" t="str">
            <v>Israel Air and Space Force</v>
          </cell>
          <cell r="D172" t="str">
            <v>Middle East</v>
          </cell>
          <cell r="E172" t="str">
            <v>Israel</v>
          </cell>
        </row>
        <row r="173">
          <cell r="A173" t="str">
            <v>Gulfstream G550</v>
          </cell>
          <cell r="B173">
            <v>39783</v>
          </cell>
          <cell r="C173" t="str">
            <v>Unconfirmed Corporate Operator</v>
          </cell>
          <cell r="D173" t="str">
            <v>Unknown area</v>
          </cell>
          <cell r="E173" t="str">
            <v>Unknown Country</v>
          </cell>
        </row>
        <row r="174">
          <cell r="A174" t="str">
            <v>Gulfstream G150</v>
          </cell>
          <cell r="B174">
            <v>39814</v>
          </cell>
          <cell r="C174" t="str">
            <v>Netjets</v>
          </cell>
          <cell r="D174" t="str">
            <v>North America</v>
          </cell>
          <cell r="E174" t="str">
            <v>USA</v>
          </cell>
        </row>
        <row r="175">
          <cell r="A175" t="str">
            <v>Gulfstream G550</v>
          </cell>
          <cell r="B175">
            <v>39814</v>
          </cell>
          <cell r="C175" t="str">
            <v>Netjets International</v>
          </cell>
          <cell r="D175" t="str">
            <v>North America</v>
          </cell>
          <cell r="E175" t="str">
            <v>USA</v>
          </cell>
        </row>
        <row r="176">
          <cell r="A176" t="str">
            <v>Gulfstream G150</v>
          </cell>
          <cell r="B176">
            <v>39845</v>
          </cell>
          <cell r="C176" t="str">
            <v>Netjets</v>
          </cell>
          <cell r="D176" t="str">
            <v>North America</v>
          </cell>
          <cell r="E176" t="str">
            <v>USA</v>
          </cell>
        </row>
        <row r="177">
          <cell r="A177" t="str">
            <v>Gulfstream G150</v>
          </cell>
          <cell r="B177">
            <v>39873</v>
          </cell>
          <cell r="C177" t="str">
            <v>Netjets</v>
          </cell>
          <cell r="D177" t="str">
            <v>North America</v>
          </cell>
          <cell r="E177" t="str">
            <v>USA</v>
          </cell>
        </row>
        <row r="178">
          <cell r="A178" t="str">
            <v>Gulfstream G550</v>
          </cell>
          <cell r="B178">
            <v>39904</v>
          </cell>
          <cell r="C178" t="str">
            <v>Netjets International</v>
          </cell>
          <cell r="D178" t="str">
            <v>North America</v>
          </cell>
          <cell r="E178" t="str">
            <v>USA</v>
          </cell>
        </row>
        <row r="179">
          <cell r="A179" t="str">
            <v>Gulfstream G150</v>
          </cell>
          <cell r="B179">
            <v>39934</v>
          </cell>
          <cell r="C179" t="str">
            <v>Netjets</v>
          </cell>
          <cell r="D179" t="str">
            <v>North America</v>
          </cell>
          <cell r="E179" t="str">
            <v>USA</v>
          </cell>
        </row>
        <row r="180">
          <cell r="A180" t="str">
            <v>Gulfstream G150</v>
          </cell>
          <cell r="B180">
            <v>39965</v>
          </cell>
          <cell r="C180" t="str">
            <v>Netjets</v>
          </cell>
          <cell r="D180" t="str">
            <v>North America</v>
          </cell>
          <cell r="E180" t="str">
            <v>USA</v>
          </cell>
        </row>
        <row r="181">
          <cell r="A181" t="str">
            <v>Gulfstream G150</v>
          </cell>
          <cell r="B181">
            <v>39995</v>
          </cell>
          <cell r="C181" t="str">
            <v>Netjets</v>
          </cell>
          <cell r="D181" t="str">
            <v>North America</v>
          </cell>
          <cell r="E181" t="str">
            <v>USA</v>
          </cell>
        </row>
        <row r="182">
          <cell r="A182" t="str">
            <v>Gulfstream G550</v>
          </cell>
          <cell r="B182">
            <v>39995</v>
          </cell>
          <cell r="C182" t="str">
            <v>Netjets International</v>
          </cell>
          <cell r="D182" t="str">
            <v>North America</v>
          </cell>
          <cell r="E182" t="str">
            <v>USA</v>
          </cell>
        </row>
        <row r="183">
          <cell r="A183" t="str">
            <v>Gulfstream G150</v>
          </cell>
          <cell r="B183">
            <v>40057</v>
          </cell>
          <cell r="C183" t="str">
            <v>Netjets</v>
          </cell>
          <cell r="D183" t="str">
            <v>North America</v>
          </cell>
          <cell r="E183" t="str">
            <v>USA</v>
          </cell>
        </row>
        <row r="184">
          <cell r="A184" t="str">
            <v>Gulfstream G150</v>
          </cell>
          <cell r="B184">
            <v>40087</v>
          </cell>
          <cell r="C184" t="str">
            <v>Netjets</v>
          </cell>
          <cell r="D184" t="str">
            <v>North America</v>
          </cell>
          <cell r="E184" t="str">
            <v>USA</v>
          </cell>
        </row>
        <row r="185">
          <cell r="A185" t="str">
            <v>Gulfstream G150</v>
          </cell>
          <cell r="B185">
            <v>40118</v>
          </cell>
          <cell r="C185" t="str">
            <v>Netjets</v>
          </cell>
          <cell r="D185" t="str">
            <v>North America</v>
          </cell>
          <cell r="E185" t="str">
            <v>USA</v>
          </cell>
        </row>
        <row r="186">
          <cell r="A186" t="str">
            <v>Gulfstream G150</v>
          </cell>
          <cell r="B186">
            <v>40179</v>
          </cell>
          <cell r="C186" t="str">
            <v>Netjets</v>
          </cell>
          <cell r="D186" t="str">
            <v>North America</v>
          </cell>
          <cell r="E186" t="str">
            <v>USA</v>
          </cell>
        </row>
        <row r="187">
          <cell r="A187" t="str">
            <v>Gulfstream G150</v>
          </cell>
          <cell r="B187">
            <v>40210</v>
          </cell>
          <cell r="C187" t="str">
            <v>Netjets</v>
          </cell>
          <cell r="D187" t="str">
            <v>North America</v>
          </cell>
          <cell r="E187" t="str">
            <v>USA</v>
          </cell>
        </row>
        <row r="188">
          <cell r="A188" t="str">
            <v>Gulfstream G150</v>
          </cell>
          <cell r="B188">
            <v>40238</v>
          </cell>
          <cell r="C188" t="str">
            <v>Netjets</v>
          </cell>
          <cell r="D188" t="str">
            <v>North America</v>
          </cell>
          <cell r="E188" t="str">
            <v>USA</v>
          </cell>
        </row>
        <row r="189">
          <cell r="A189" t="str">
            <v>Gulfstream G150</v>
          </cell>
          <cell r="B189">
            <v>40299</v>
          </cell>
          <cell r="C189" t="str">
            <v>Netjets</v>
          </cell>
          <cell r="D189" t="str">
            <v>North America</v>
          </cell>
          <cell r="E189" t="str">
            <v>USA</v>
          </cell>
        </row>
        <row r="190">
          <cell r="A190" t="str">
            <v>Gulfstream G150</v>
          </cell>
          <cell r="B190">
            <v>40330</v>
          </cell>
          <cell r="C190" t="str">
            <v>Netjets</v>
          </cell>
          <cell r="D190" t="str">
            <v>North America</v>
          </cell>
          <cell r="E190" t="str">
            <v>USA</v>
          </cell>
        </row>
        <row r="191">
          <cell r="A191" t="str">
            <v>Gulfstream G150</v>
          </cell>
          <cell r="B191">
            <v>40360</v>
          </cell>
          <cell r="C191" t="str">
            <v>Netjets</v>
          </cell>
          <cell r="D191" t="str">
            <v>North America</v>
          </cell>
          <cell r="E191" t="str">
            <v>USA</v>
          </cell>
        </row>
        <row r="192">
          <cell r="A192" t="str">
            <v>Gulfstream G150</v>
          </cell>
          <cell r="B192">
            <v>40422</v>
          </cell>
          <cell r="C192" t="str">
            <v>Netjets</v>
          </cell>
          <cell r="D192" t="str">
            <v>North America</v>
          </cell>
          <cell r="E192" t="str">
            <v>USA</v>
          </cell>
        </row>
        <row r="193">
          <cell r="A193" t="str">
            <v>Gulfstream G150</v>
          </cell>
          <cell r="B193">
            <v>40452</v>
          </cell>
          <cell r="C193" t="str">
            <v>Netjets</v>
          </cell>
          <cell r="D193" t="str">
            <v>North America</v>
          </cell>
          <cell r="E193" t="str">
            <v>USA</v>
          </cell>
        </row>
        <row r="194">
          <cell r="A194" t="str">
            <v>Gulfstream G150</v>
          </cell>
          <cell r="B194">
            <v>40483</v>
          </cell>
          <cell r="C194" t="str">
            <v>Netjets</v>
          </cell>
          <cell r="D194" t="str">
            <v>North America</v>
          </cell>
          <cell r="E194" t="str">
            <v>USA</v>
          </cell>
        </row>
        <row r="195">
          <cell r="A195" t="str">
            <v>Gulfstream G150</v>
          </cell>
          <cell r="B195">
            <v>40544</v>
          </cell>
          <cell r="C195" t="str">
            <v>Netjets</v>
          </cell>
          <cell r="D195" t="str">
            <v>North America</v>
          </cell>
          <cell r="E195" t="str">
            <v>USA</v>
          </cell>
        </row>
        <row r="196">
          <cell r="A196" t="str">
            <v>Gulfstream G150</v>
          </cell>
          <cell r="B196">
            <v>40575</v>
          </cell>
          <cell r="C196" t="str">
            <v>Netjets</v>
          </cell>
          <cell r="D196" t="str">
            <v>North America</v>
          </cell>
          <cell r="E196" t="str">
            <v>USA</v>
          </cell>
        </row>
        <row r="197">
          <cell r="A197" t="str">
            <v>Gulfstream G150</v>
          </cell>
          <cell r="B197">
            <v>40603</v>
          </cell>
          <cell r="C197" t="str">
            <v>Netjets</v>
          </cell>
          <cell r="D197" t="str">
            <v>North America</v>
          </cell>
          <cell r="E197" t="str">
            <v>USA</v>
          </cell>
        </row>
        <row r="198">
          <cell r="A198" t="str">
            <v>Gulfstream G150</v>
          </cell>
          <cell r="B198">
            <v>40634</v>
          </cell>
          <cell r="C198" t="str">
            <v>Netjets</v>
          </cell>
          <cell r="D198" t="str">
            <v>North America</v>
          </cell>
          <cell r="E198" t="str">
            <v>USA</v>
          </cell>
        </row>
        <row r="199">
          <cell r="A199" t="str">
            <v>Gulfstream G150</v>
          </cell>
          <cell r="B199">
            <v>40695</v>
          </cell>
          <cell r="C199" t="str">
            <v>Netjets</v>
          </cell>
          <cell r="D199" t="str">
            <v>North America</v>
          </cell>
          <cell r="E199" t="str">
            <v>USA</v>
          </cell>
        </row>
        <row r="200">
          <cell r="A200" t="str">
            <v>Gulfstream G150</v>
          </cell>
          <cell r="B200">
            <v>40756</v>
          </cell>
          <cell r="C200" t="str">
            <v>Netjets</v>
          </cell>
          <cell r="D200" t="str">
            <v>North America</v>
          </cell>
          <cell r="E200" t="str">
            <v>USA</v>
          </cell>
        </row>
        <row r="201">
          <cell r="A201" t="str">
            <v>Gulfstream G150</v>
          </cell>
          <cell r="B201">
            <v>40787</v>
          </cell>
          <cell r="C201" t="str">
            <v>Netjets</v>
          </cell>
          <cell r="D201" t="str">
            <v>North America</v>
          </cell>
          <cell r="E201" t="str">
            <v>USA</v>
          </cell>
        </row>
        <row r="202">
          <cell r="A202" t="str">
            <v>Gulfstream G150</v>
          </cell>
          <cell r="B202">
            <v>40817</v>
          </cell>
          <cell r="C202" t="str">
            <v>Netjets</v>
          </cell>
          <cell r="D202" t="str">
            <v>North America</v>
          </cell>
          <cell r="E202" t="str">
            <v>USA</v>
          </cell>
        </row>
        <row r="203">
          <cell r="A203" t="str">
            <v>Gulfstream G150</v>
          </cell>
          <cell r="B203">
            <v>40878</v>
          </cell>
          <cell r="C203" t="str">
            <v>Netjets</v>
          </cell>
          <cell r="D203" t="str">
            <v>North America</v>
          </cell>
          <cell r="E203" t="str">
            <v>USA</v>
          </cell>
        </row>
        <row r="204">
          <cell r="A204" t="str">
            <v>Gulfstream G150</v>
          </cell>
          <cell r="B204">
            <v>40909</v>
          </cell>
          <cell r="C204" t="str">
            <v>Netjets</v>
          </cell>
          <cell r="D204" t="str">
            <v>North America</v>
          </cell>
          <cell r="E204" t="str">
            <v>USA</v>
          </cell>
        </row>
        <row r="205">
          <cell r="A205" t="str">
            <v>Gulfstream G150</v>
          </cell>
          <cell r="B205">
            <v>40940</v>
          </cell>
          <cell r="C205" t="str">
            <v>Netjets</v>
          </cell>
          <cell r="D205" t="str">
            <v>North America</v>
          </cell>
          <cell r="E205" t="str">
            <v>USA</v>
          </cell>
        </row>
        <row r="207">
          <cell r="A207" t="str">
            <v>a/o Jan 2006</v>
          </cell>
        </row>
        <row r="208">
          <cell r="A208" t="str">
            <v>Type</v>
          </cell>
          <cell r="B208" t="str">
            <v>DeliveryDate</v>
          </cell>
          <cell r="C208" t="str">
            <v>Operator</v>
          </cell>
          <cell r="D208" t="str">
            <v>OperatorArea</v>
          </cell>
        </row>
        <row r="209">
          <cell r="A209" t="str">
            <v>Gulfstream G550</v>
          </cell>
          <cell r="B209">
            <v>38749</v>
          </cell>
          <cell r="C209" t="str">
            <v>Netjets International</v>
          </cell>
          <cell r="D209" t="str">
            <v>North America</v>
          </cell>
        </row>
        <row r="210">
          <cell r="A210" t="str">
            <v>Gulfstream G550</v>
          </cell>
          <cell r="B210">
            <v>38749</v>
          </cell>
          <cell r="C210" t="str">
            <v>Unconfirmed Corporate Operator</v>
          </cell>
          <cell r="D210" t="str">
            <v>Unknown area</v>
          </cell>
        </row>
        <row r="211">
          <cell r="A211" t="str">
            <v>Gulfstream G550</v>
          </cell>
          <cell r="B211">
            <v>38749</v>
          </cell>
          <cell r="C211" t="str">
            <v>NetJets Europe</v>
          </cell>
          <cell r="D211" t="str">
            <v>Europe</v>
          </cell>
        </row>
        <row r="212">
          <cell r="A212" t="str">
            <v>Gulfstream G550</v>
          </cell>
          <cell r="B212">
            <v>38749</v>
          </cell>
          <cell r="C212" t="str">
            <v>Unconfirmed Corporate Operator</v>
          </cell>
          <cell r="D212" t="str">
            <v>Unknown area</v>
          </cell>
        </row>
        <row r="213">
          <cell r="A213" t="str">
            <v>Gulfstream G450</v>
          </cell>
          <cell r="B213">
            <v>38749</v>
          </cell>
          <cell r="C213" t="str">
            <v>Netjets International</v>
          </cell>
          <cell r="D213" t="str">
            <v>North America</v>
          </cell>
        </row>
        <row r="214">
          <cell r="A214" t="str">
            <v>Gulfstream V</v>
          </cell>
          <cell r="B214">
            <v>38749</v>
          </cell>
          <cell r="C214" t="str">
            <v>Israeli Air Force</v>
          </cell>
          <cell r="D214" t="str">
            <v>Middle East</v>
          </cell>
        </row>
        <row r="215">
          <cell r="A215" t="str">
            <v>Gulfstream V</v>
          </cell>
          <cell r="B215">
            <v>38749</v>
          </cell>
          <cell r="C215" t="str">
            <v>Israeli Air Force</v>
          </cell>
          <cell r="D215" t="str">
            <v>Middle East</v>
          </cell>
        </row>
        <row r="216">
          <cell r="A216" t="str">
            <v>Gulfstream G550</v>
          </cell>
          <cell r="B216">
            <v>38777</v>
          </cell>
          <cell r="C216" t="str">
            <v>Unconfirmed Corporate Operator</v>
          </cell>
          <cell r="D216" t="str">
            <v>Unknown area</v>
          </cell>
        </row>
        <row r="217">
          <cell r="A217" t="str">
            <v>Gulfstream G550</v>
          </cell>
          <cell r="B217">
            <v>38777</v>
          </cell>
          <cell r="C217" t="str">
            <v>Unconfirmed Corporate Operator</v>
          </cell>
          <cell r="D217" t="str">
            <v>Unknown area</v>
          </cell>
        </row>
        <row r="218">
          <cell r="A218" t="str">
            <v>Gulfstream G450</v>
          </cell>
          <cell r="B218">
            <v>38777</v>
          </cell>
          <cell r="C218" t="str">
            <v>Unconfirmed Corporate Operator</v>
          </cell>
          <cell r="D218" t="str">
            <v>Unknown area</v>
          </cell>
        </row>
        <row r="219">
          <cell r="A219" t="str">
            <v>Gulfstream G550</v>
          </cell>
          <cell r="B219">
            <v>38808</v>
          </cell>
          <cell r="C219" t="str">
            <v>North Carolina Air &amp; Travel LLC</v>
          </cell>
          <cell r="D219" t="str">
            <v>North America</v>
          </cell>
        </row>
        <row r="220">
          <cell r="A220" t="str">
            <v>Gulfstream G450</v>
          </cell>
          <cell r="B220">
            <v>38808</v>
          </cell>
          <cell r="C220" t="str">
            <v>Unconfirmed Corporate Operator</v>
          </cell>
          <cell r="D220" t="str">
            <v>Unknown area</v>
          </cell>
        </row>
        <row r="221">
          <cell r="A221" t="str">
            <v>Gulfstream G450</v>
          </cell>
          <cell r="B221">
            <v>38808</v>
          </cell>
          <cell r="C221" t="str">
            <v>Unconfirmed Corporate Operator</v>
          </cell>
          <cell r="D221" t="str">
            <v>Unknown area</v>
          </cell>
        </row>
        <row r="222">
          <cell r="A222" t="str">
            <v>Gulfstream G450</v>
          </cell>
          <cell r="B222">
            <v>38838</v>
          </cell>
          <cell r="C222" t="str">
            <v>Hermes Express LLC</v>
          </cell>
          <cell r="D222" t="str">
            <v>North America</v>
          </cell>
        </row>
        <row r="223">
          <cell r="A223" t="str">
            <v>Gulfstream G550</v>
          </cell>
          <cell r="B223">
            <v>38838</v>
          </cell>
          <cell r="C223" t="str">
            <v>The Proctor &amp; Gamble Co</v>
          </cell>
          <cell r="D223" t="str">
            <v>North America</v>
          </cell>
        </row>
        <row r="224">
          <cell r="A224" t="str">
            <v>Gulfstream G550</v>
          </cell>
          <cell r="B224">
            <v>38838</v>
          </cell>
          <cell r="C224" t="str">
            <v>Israeli Air Force</v>
          </cell>
          <cell r="D224" t="str">
            <v>Middle East</v>
          </cell>
        </row>
        <row r="225">
          <cell r="A225" t="str">
            <v>Gulfstream G450</v>
          </cell>
          <cell r="B225">
            <v>38869</v>
          </cell>
          <cell r="C225" t="str">
            <v>Unconfirmed Corporate Operator</v>
          </cell>
          <cell r="D225" t="str">
            <v>Unknown area</v>
          </cell>
        </row>
        <row r="226">
          <cell r="A226" t="str">
            <v>Gulfstream G450</v>
          </cell>
          <cell r="B226">
            <v>38869</v>
          </cell>
          <cell r="C226" t="str">
            <v>Unconfirmed Corporate Operator</v>
          </cell>
          <cell r="D226" t="str">
            <v>Unknown area</v>
          </cell>
        </row>
        <row r="227">
          <cell r="A227" t="str">
            <v>Gulfstream G350</v>
          </cell>
          <cell r="B227">
            <v>38899</v>
          </cell>
          <cell r="C227" t="str">
            <v>Unconfirmed Corporate Operator</v>
          </cell>
          <cell r="D227" t="str">
            <v>Unknown area</v>
          </cell>
        </row>
        <row r="228">
          <cell r="A228" t="str">
            <v>Gulfstream G550</v>
          </cell>
          <cell r="B228">
            <v>38899</v>
          </cell>
          <cell r="C228" t="str">
            <v>Unconfirmed Corporate Operator</v>
          </cell>
          <cell r="D228" t="str">
            <v>Unknown area</v>
          </cell>
        </row>
        <row r="229">
          <cell r="A229" t="str">
            <v>Gulfstream G550</v>
          </cell>
          <cell r="B229">
            <v>38899</v>
          </cell>
          <cell r="C229" t="str">
            <v>Unconfirmed Corporate Operator</v>
          </cell>
          <cell r="D229" t="str">
            <v>Unknown area</v>
          </cell>
        </row>
        <row r="230">
          <cell r="A230" t="str">
            <v>Gulfstream G450</v>
          </cell>
          <cell r="B230">
            <v>38899</v>
          </cell>
          <cell r="C230" t="str">
            <v>Unconfirmed Corporate Operator</v>
          </cell>
          <cell r="D230" t="str">
            <v>Unknown area</v>
          </cell>
        </row>
        <row r="231">
          <cell r="A231" t="str">
            <v>Gulfstream G450</v>
          </cell>
          <cell r="B231">
            <v>38899</v>
          </cell>
          <cell r="C231" t="str">
            <v>Unconfirmed Corporate Operator</v>
          </cell>
          <cell r="D231" t="str">
            <v>Unknown area</v>
          </cell>
        </row>
        <row r="232">
          <cell r="A232" t="str">
            <v>Gulfstream G450</v>
          </cell>
          <cell r="B232">
            <v>38899</v>
          </cell>
          <cell r="C232" t="str">
            <v>Unconfirmed Corporate Operator</v>
          </cell>
          <cell r="D232" t="str">
            <v>Unknown area</v>
          </cell>
        </row>
        <row r="233">
          <cell r="A233" t="str">
            <v>Gulfstream G450</v>
          </cell>
          <cell r="B233">
            <v>38899</v>
          </cell>
          <cell r="C233" t="str">
            <v>Unconfirmed Corporate Operator</v>
          </cell>
          <cell r="D233" t="str">
            <v>Unknown area</v>
          </cell>
        </row>
        <row r="234">
          <cell r="A234" t="str">
            <v>Gulfstream G350</v>
          </cell>
          <cell r="B234">
            <v>38899</v>
          </cell>
          <cell r="C234" t="str">
            <v>Unconfirmed Corporate Operator</v>
          </cell>
          <cell r="D234" t="str">
            <v>Unknown area</v>
          </cell>
        </row>
        <row r="235">
          <cell r="A235" t="str">
            <v>Gulfstream G550</v>
          </cell>
          <cell r="B235">
            <v>38899</v>
          </cell>
          <cell r="C235" t="str">
            <v>Netjets International</v>
          </cell>
          <cell r="D235" t="str">
            <v>North America</v>
          </cell>
        </row>
        <row r="236">
          <cell r="A236" t="str">
            <v>Gulfstream G450</v>
          </cell>
          <cell r="B236">
            <v>38930</v>
          </cell>
          <cell r="C236" t="str">
            <v>Unconfirmed Corporate Operator</v>
          </cell>
          <cell r="D236" t="str">
            <v>Unknown area</v>
          </cell>
        </row>
        <row r="237">
          <cell r="A237" t="str">
            <v>Gulfstream G450</v>
          </cell>
          <cell r="B237">
            <v>38930</v>
          </cell>
          <cell r="C237" t="str">
            <v>Unconfirmed Corporate Operator</v>
          </cell>
          <cell r="D237" t="str">
            <v>Unknown area</v>
          </cell>
        </row>
        <row r="238">
          <cell r="A238" t="str">
            <v>Gulfstream G550</v>
          </cell>
          <cell r="B238">
            <v>38930</v>
          </cell>
          <cell r="C238" t="str">
            <v>Unconfirmed Corporate Operator</v>
          </cell>
          <cell r="D238" t="str">
            <v>Unknown area</v>
          </cell>
        </row>
        <row r="239">
          <cell r="A239" t="str">
            <v>Gulfstream G550</v>
          </cell>
          <cell r="B239">
            <v>38961</v>
          </cell>
          <cell r="C239" t="str">
            <v>Netjets International</v>
          </cell>
          <cell r="D239" t="str">
            <v>North America</v>
          </cell>
        </row>
        <row r="240">
          <cell r="A240" t="str">
            <v>Gulfstream G500</v>
          </cell>
          <cell r="B240">
            <v>38961</v>
          </cell>
          <cell r="C240" t="str">
            <v>Unconfirmed Corporate Operator</v>
          </cell>
          <cell r="D240" t="str">
            <v>Unknown area</v>
          </cell>
        </row>
        <row r="241">
          <cell r="A241" t="str">
            <v>Gulfstream G550</v>
          </cell>
          <cell r="B241">
            <v>38961</v>
          </cell>
          <cell r="C241" t="str">
            <v>Unconfirmed Corporate Operator</v>
          </cell>
          <cell r="D241" t="str">
            <v>Unknown area</v>
          </cell>
        </row>
        <row r="242">
          <cell r="A242" t="str">
            <v>Gulfstream G550</v>
          </cell>
          <cell r="B242">
            <v>38961</v>
          </cell>
          <cell r="C242" t="str">
            <v>Israeli Air Force</v>
          </cell>
          <cell r="D242" t="str">
            <v>Middle East</v>
          </cell>
        </row>
        <row r="243">
          <cell r="A243" t="str">
            <v>Gulfstream G450</v>
          </cell>
          <cell r="B243">
            <v>38961</v>
          </cell>
          <cell r="C243" t="str">
            <v>Unconfirmed Corporate Operator</v>
          </cell>
          <cell r="D243" t="str">
            <v>Unknown area</v>
          </cell>
        </row>
        <row r="244">
          <cell r="A244" t="str">
            <v>Gulfstream G550</v>
          </cell>
          <cell r="B244">
            <v>38961</v>
          </cell>
          <cell r="C244" t="str">
            <v>Unconfirmed Corporate Operator</v>
          </cell>
          <cell r="D244" t="str">
            <v>Unknown area</v>
          </cell>
        </row>
        <row r="245">
          <cell r="A245" t="str">
            <v>Gulfstream G450</v>
          </cell>
          <cell r="B245">
            <v>38961</v>
          </cell>
          <cell r="C245" t="str">
            <v>Unconfirmed Corporate Operator</v>
          </cell>
          <cell r="D245" t="str">
            <v>Unknown area</v>
          </cell>
        </row>
        <row r="246">
          <cell r="A246" t="str">
            <v>Gulfstream G550</v>
          </cell>
          <cell r="B246">
            <v>38991</v>
          </cell>
          <cell r="C246" t="str">
            <v>Unconfirmed Corporate Operator</v>
          </cell>
          <cell r="D246" t="str">
            <v>Unknown area</v>
          </cell>
        </row>
        <row r="247">
          <cell r="A247" t="str">
            <v>Gulfstream G450</v>
          </cell>
          <cell r="B247">
            <v>38991</v>
          </cell>
          <cell r="C247" t="str">
            <v>Unconfirmed Corporate Operator</v>
          </cell>
          <cell r="D247" t="str">
            <v>Unknown area</v>
          </cell>
        </row>
        <row r="248">
          <cell r="A248" t="str">
            <v>Gulfstream G450</v>
          </cell>
          <cell r="B248">
            <v>38991</v>
          </cell>
          <cell r="C248" t="str">
            <v>Unconfirmed Corporate Operator</v>
          </cell>
          <cell r="D248" t="str">
            <v>Unknown area</v>
          </cell>
        </row>
        <row r="249">
          <cell r="A249" t="str">
            <v>Gulfstream G550</v>
          </cell>
          <cell r="B249">
            <v>38991</v>
          </cell>
          <cell r="C249" t="str">
            <v>Unconfirmed Corporate Operator</v>
          </cell>
          <cell r="D249" t="str">
            <v>Unknown area</v>
          </cell>
        </row>
        <row r="250">
          <cell r="A250" t="str">
            <v>Gulfstream G450</v>
          </cell>
          <cell r="B250">
            <v>39022</v>
          </cell>
          <cell r="C250" t="str">
            <v>Unconfirmed Corporate Operator</v>
          </cell>
          <cell r="D250" t="str">
            <v>Unknown area</v>
          </cell>
        </row>
        <row r="251">
          <cell r="A251" t="str">
            <v>Gulfstream G450</v>
          </cell>
          <cell r="B251">
            <v>39022</v>
          </cell>
          <cell r="C251" t="str">
            <v>Unconfirmed Corporate Operator</v>
          </cell>
          <cell r="D251" t="str">
            <v>Unknown area</v>
          </cell>
        </row>
        <row r="252">
          <cell r="A252" t="str">
            <v>Gulfstream G450</v>
          </cell>
          <cell r="B252">
            <v>39022</v>
          </cell>
          <cell r="C252" t="str">
            <v>Unconfirmed Corporate Operator</v>
          </cell>
          <cell r="D252" t="str">
            <v>Unknown area</v>
          </cell>
        </row>
        <row r="253">
          <cell r="A253" t="str">
            <v>Gulfstream G550</v>
          </cell>
          <cell r="B253">
            <v>39022</v>
          </cell>
          <cell r="C253" t="str">
            <v>Unconfirmed Corporate Operator</v>
          </cell>
          <cell r="D253" t="str">
            <v>Unknown area</v>
          </cell>
        </row>
        <row r="254">
          <cell r="A254" t="str">
            <v>Gulfstream G550</v>
          </cell>
          <cell r="B254">
            <v>39022</v>
          </cell>
          <cell r="C254" t="str">
            <v>Unconfirmed Corporate Operator</v>
          </cell>
          <cell r="D254" t="str">
            <v>Unknown area</v>
          </cell>
        </row>
        <row r="255">
          <cell r="A255" t="str">
            <v>Gulfstream G550</v>
          </cell>
          <cell r="B255">
            <v>39052</v>
          </cell>
          <cell r="C255" t="str">
            <v>Unconfirmed Corporate Operator</v>
          </cell>
          <cell r="D255" t="str">
            <v>Unknown area</v>
          </cell>
        </row>
        <row r="256">
          <cell r="A256" t="str">
            <v>Gulfstream G450</v>
          </cell>
          <cell r="B256">
            <v>39052</v>
          </cell>
          <cell r="C256" t="str">
            <v>Unconfirmed Corporate Operator</v>
          </cell>
          <cell r="D256" t="str">
            <v>Unknown area</v>
          </cell>
        </row>
        <row r="257">
          <cell r="A257" t="str">
            <v>Gulfstream G550</v>
          </cell>
          <cell r="B257">
            <v>39052</v>
          </cell>
          <cell r="C257" t="str">
            <v>EFS European Flight Service</v>
          </cell>
          <cell r="D257" t="str">
            <v>Europe</v>
          </cell>
        </row>
        <row r="258">
          <cell r="A258" t="str">
            <v>Gulfstream G550</v>
          </cell>
          <cell r="B258">
            <v>39083</v>
          </cell>
          <cell r="C258" t="str">
            <v>Unconfirmed Corporate Operator</v>
          </cell>
          <cell r="D258" t="str">
            <v>Unknown area</v>
          </cell>
        </row>
        <row r="259">
          <cell r="A259" t="str">
            <v>Gulfstream G550</v>
          </cell>
          <cell r="B259">
            <v>39083</v>
          </cell>
          <cell r="C259" t="str">
            <v>Unconfirmed Corporate Operator</v>
          </cell>
          <cell r="D259" t="str">
            <v>Unknown area</v>
          </cell>
        </row>
        <row r="260">
          <cell r="A260" t="str">
            <v>Gulfstream G550</v>
          </cell>
          <cell r="B260">
            <v>39083</v>
          </cell>
          <cell r="C260" t="str">
            <v>Unconfirmed Asian Corporate Operate</v>
          </cell>
          <cell r="D260" t="str">
            <v>Asia</v>
          </cell>
        </row>
        <row r="261">
          <cell r="A261" t="str">
            <v>Gulfstream G550</v>
          </cell>
          <cell r="B261">
            <v>39114</v>
          </cell>
          <cell r="C261" t="str">
            <v>Unconfirmed Corporate Operator</v>
          </cell>
          <cell r="D261" t="str">
            <v>Unknown area</v>
          </cell>
        </row>
        <row r="262">
          <cell r="A262" t="str">
            <v>Gulfstream G550</v>
          </cell>
          <cell r="B262">
            <v>39114</v>
          </cell>
          <cell r="C262" t="str">
            <v>Unconfirmed Corporate Operator</v>
          </cell>
          <cell r="D262" t="str">
            <v>Unknown area</v>
          </cell>
        </row>
        <row r="263">
          <cell r="A263" t="str">
            <v>Gulfstream G550</v>
          </cell>
          <cell r="B263">
            <v>39142</v>
          </cell>
          <cell r="C263" t="str">
            <v>Unconfirmed Corporate Operator</v>
          </cell>
          <cell r="D263" t="str">
            <v>Unknown area</v>
          </cell>
        </row>
        <row r="264">
          <cell r="A264" t="str">
            <v>Gulfstream G550</v>
          </cell>
          <cell r="B264">
            <v>39142</v>
          </cell>
          <cell r="C264" t="str">
            <v>Netjets International</v>
          </cell>
          <cell r="D264" t="str">
            <v>North America</v>
          </cell>
        </row>
        <row r="265">
          <cell r="A265" t="str">
            <v>Gulfstream G550</v>
          </cell>
          <cell r="B265">
            <v>39142</v>
          </cell>
          <cell r="C265" t="str">
            <v>Unconfirmed Asian Corporate Operate</v>
          </cell>
          <cell r="D265" t="str">
            <v>Asia</v>
          </cell>
        </row>
        <row r="266">
          <cell r="A266" t="str">
            <v>Gulfstream G550</v>
          </cell>
          <cell r="B266">
            <v>39173</v>
          </cell>
          <cell r="C266" t="str">
            <v>Unconfirmed Corporate Operator</v>
          </cell>
          <cell r="D266" t="str">
            <v>Unknown area</v>
          </cell>
        </row>
        <row r="267">
          <cell r="A267" t="str">
            <v>Gulfstream G550</v>
          </cell>
          <cell r="B267">
            <v>39173</v>
          </cell>
          <cell r="C267" t="str">
            <v>Unconfirmed Corporate Operator</v>
          </cell>
          <cell r="D267" t="str">
            <v>Unknown area</v>
          </cell>
        </row>
        <row r="268">
          <cell r="A268" t="str">
            <v>Gulfstream G550</v>
          </cell>
          <cell r="B268">
            <v>39173</v>
          </cell>
          <cell r="C268" t="str">
            <v>Unconfirmed Corporate Operator</v>
          </cell>
          <cell r="D268" t="str">
            <v>Unknown area</v>
          </cell>
        </row>
        <row r="269">
          <cell r="A269" t="str">
            <v>Gulfstream G550</v>
          </cell>
          <cell r="B269">
            <v>39203</v>
          </cell>
          <cell r="C269" t="str">
            <v>Unconfirmed Corporate Operator</v>
          </cell>
          <cell r="D269" t="str">
            <v>Unknown area</v>
          </cell>
        </row>
        <row r="270">
          <cell r="A270" t="str">
            <v>Gulfstream G550</v>
          </cell>
          <cell r="B270">
            <v>39203</v>
          </cell>
          <cell r="C270" t="str">
            <v>Netjets International</v>
          </cell>
          <cell r="D270" t="str">
            <v>North America</v>
          </cell>
        </row>
        <row r="271">
          <cell r="A271" t="str">
            <v>Gulfstream G550</v>
          </cell>
          <cell r="B271">
            <v>39203</v>
          </cell>
          <cell r="C271" t="str">
            <v>Unconfirmed Corporate Operator</v>
          </cell>
          <cell r="D271" t="str">
            <v>Unknown area</v>
          </cell>
        </row>
        <row r="272">
          <cell r="A272" t="str">
            <v>Gulfstream G550</v>
          </cell>
          <cell r="B272">
            <v>39203</v>
          </cell>
          <cell r="C272" t="str">
            <v>Unconfirmed Corporate Operator</v>
          </cell>
          <cell r="D272" t="str">
            <v>Unknown area</v>
          </cell>
        </row>
        <row r="273">
          <cell r="A273" t="str">
            <v>Gulfstream G550</v>
          </cell>
          <cell r="B273">
            <v>39234</v>
          </cell>
          <cell r="C273" t="str">
            <v>Unconfirmed Corporate Operator</v>
          </cell>
          <cell r="D273" t="str">
            <v>Unknown area</v>
          </cell>
        </row>
        <row r="274">
          <cell r="A274" t="str">
            <v>Gulfstream G350</v>
          </cell>
          <cell r="B274">
            <v>39234</v>
          </cell>
          <cell r="C274" t="str">
            <v>Unconfirmed Asian Corporate Operate</v>
          </cell>
          <cell r="D274" t="str">
            <v>Asia</v>
          </cell>
        </row>
        <row r="275">
          <cell r="A275" t="str">
            <v>Gulfstream G550</v>
          </cell>
          <cell r="B275">
            <v>39264</v>
          </cell>
          <cell r="C275" t="str">
            <v>Unconfirmed Corporate Operator</v>
          </cell>
          <cell r="D275" t="str">
            <v>Unknown area</v>
          </cell>
        </row>
        <row r="276">
          <cell r="A276" t="str">
            <v>Gulfstream G550</v>
          </cell>
          <cell r="B276">
            <v>39264</v>
          </cell>
          <cell r="C276" t="str">
            <v>Unconfirmed Asian Corporate Operate</v>
          </cell>
          <cell r="D276" t="str">
            <v>Asia</v>
          </cell>
        </row>
        <row r="277">
          <cell r="A277" t="str">
            <v>Gulfstream G550</v>
          </cell>
          <cell r="B277">
            <v>39295</v>
          </cell>
          <cell r="C277" t="str">
            <v>Netjets International</v>
          </cell>
          <cell r="D277" t="str">
            <v>North America</v>
          </cell>
        </row>
        <row r="278">
          <cell r="A278" t="str">
            <v>Gulfstream G550</v>
          </cell>
          <cell r="B278">
            <v>39295</v>
          </cell>
          <cell r="C278" t="str">
            <v>Unconfirmed Corporate Operator</v>
          </cell>
          <cell r="D278" t="str">
            <v>Unknown area</v>
          </cell>
        </row>
        <row r="279">
          <cell r="A279" t="str">
            <v>Gulfstream G550</v>
          </cell>
          <cell r="B279">
            <v>39326</v>
          </cell>
          <cell r="C279" t="str">
            <v>Unconfirmed Corporate Operator</v>
          </cell>
          <cell r="D279" t="str">
            <v>Unknown area</v>
          </cell>
        </row>
        <row r="280">
          <cell r="A280" t="str">
            <v>Gulfstream G450</v>
          </cell>
          <cell r="B280">
            <v>39326</v>
          </cell>
          <cell r="C280" t="str">
            <v>Business Aviation Asia</v>
          </cell>
          <cell r="D280" t="str">
            <v>Asia</v>
          </cell>
        </row>
        <row r="281">
          <cell r="A281" t="str">
            <v>Gulfstream G550</v>
          </cell>
          <cell r="B281">
            <v>39326</v>
          </cell>
          <cell r="C281" t="str">
            <v>Unconfirmed Asian Corporate Operate</v>
          </cell>
          <cell r="D281" t="str">
            <v>Asia</v>
          </cell>
        </row>
        <row r="282">
          <cell r="A282" t="str">
            <v>Gulfstream G550</v>
          </cell>
          <cell r="B282">
            <v>39326</v>
          </cell>
          <cell r="C282" t="str">
            <v>Unconfirmed Corporate Operator</v>
          </cell>
          <cell r="D282" t="str">
            <v>Unknown area</v>
          </cell>
        </row>
        <row r="283">
          <cell r="A283" t="str">
            <v>Gulfstream G550</v>
          </cell>
          <cell r="B283">
            <v>39356</v>
          </cell>
          <cell r="C283" t="str">
            <v>Unconfirmed Corporate Operator</v>
          </cell>
          <cell r="D283" t="str">
            <v>Unknown area</v>
          </cell>
        </row>
        <row r="284">
          <cell r="A284" t="str">
            <v>Gulfstream G550</v>
          </cell>
          <cell r="B284">
            <v>39356</v>
          </cell>
          <cell r="C284" t="str">
            <v>Netjets International</v>
          </cell>
          <cell r="D284" t="str">
            <v>North America</v>
          </cell>
        </row>
        <row r="285">
          <cell r="A285" t="str">
            <v>Gulfstream G550</v>
          </cell>
          <cell r="B285">
            <v>39356</v>
          </cell>
          <cell r="C285" t="str">
            <v>Israeli Air Force</v>
          </cell>
          <cell r="D285" t="str">
            <v>Middle East</v>
          </cell>
        </row>
        <row r="286">
          <cell r="A286" t="str">
            <v>Gulfstream G550</v>
          </cell>
          <cell r="B286">
            <v>39387</v>
          </cell>
          <cell r="C286" t="str">
            <v>Unconfirmed Corporate Operator</v>
          </cell>
          <cell r="D286" t="str">
            <v>Unknown area</v>
          </cell>
        </row>
        <row r="287">
          <cell r="A287" t="str">
            <v>Gulfstream G550</v>
          </cell>
          <cell r="B287">
            <v>39387</v>
          </cell>
          <cell r="C287" t="str">
            <v>Unconfirmed Corporate Operator</v>
          </cell>
          <cell r="D287" t="str">
            <v>Unknown area</v>
          </cell>
        </row>
        <row r="288">
          <cell r="A288" t="str">
            <v>Gulfstream G550</v>
          </cell>
          <cell r="B288">
            <v>39417</v>
          </cell>
          <cell r="C288" t="str">
            <v>Unconfirmed Corporate Operator</v>
          </cell>
          <cell r="D288" t="str">
            <v>Unknown area</v>
          </cell>
        </row>
        <row r="289">
          <cell r="A289" t="str">
            <v>Gulfstream G550</v>
          </cell>
          <cell r="B289">
            <v>39417</v>
          </cell>
          <cell r="C289" t="str">
            <v>Unconfirmed Asian Corporate Operate</v>
          </cell>
          <cell r="D289" t="str">
            <v>Asia</v>
          </cell>
        </row>
        <row r="290">
          <cell r="A290" t="str">
            <v>Gulfstream G550</v>
          </cell>
          <cell r="B290">
            <v>39539</v>
          </cell>
          <cell r="C290" t="str">
            <v>Netjets International</v>
          </cell>
          <cell r="D290" t="str">
            <v>North America</v>
          </cell>
        </row>
        <row r="291">
          <cell r="A291" t="str">
            <v>Gulfstream G550</v>
          </cell>
          <cell r="B291">
            <v>39600</v>
          </cell>
          <cell r="C291" t="str">
            <v>Netjets International</v>
          </cell>
          <cell r="D291" t="str">
            <v>North America</v>
          </cell>
        </row>
        <row r="292">
          <cell r="A292" t="str">
            <v>Gulfstream G550</v>
          </cell>
          <cell r="B292">
            <v>39600</v>
          </cell>
          <cell r="C292" t="str">
            <v>DLR Flugbetriebe</v>
          </cell>
          <cell r="D292" t="str">
            <v>Europe</v>
          </cell>
        </row>
        <row r="293">
          <cell r="A293" t="str">
            <v>Gulfstream G550</v>
          </cell>
          <cell r="B293">
            <v>39661</v>
          </cell>
          <cell r="C293" t="str">
            <v>Netjets International</v>
          </cell>
          <cell r="D293" t="str">
            <v>North America</v>
          </cell>
        </row>
        <row r="294">
          <cell r="A294" t="str">
            <v>Gulfstream G550</v>
          </cell>
          <cell r="B294">
            <v>39722</v>
          </cell>
          <cell r="C294" t="str">
            <v>Netjets International</v>
          </cell>
          <cell r="D294" t="str">
            <v>North America</v>
          </cell>
        </row>
        <row r="295">
          <cell r="A295" t="str">
            <v>Gulfstream G550</v>
          </cell>
          <cell r="B295">
            <v>39753</v>
          </cell>
          <cell r="C295" t="str">
            <v>Netjets International</v>
          </cell>
          <cell r="D295" t="str">
            <v>North America</v>
          </cell>
        </row>
        <row r="296">
          <cell r="A296" t="str">
            <v>Gulfstream G550</v>
          </cell>
          <cell r="B296">
            <v>39783</v>
          </cell>
          <cell r="C296" t="str">
            <v>Israeli Air Force</v>
          </cell>
          <cell r="D296" t="str">
            <v>Middle East</v>
          </cell>
        </row>
        <row r="297">
          <cell r="A297" t="str">
            <v>Gulfstream G550</v>
          </cell>
          <cell r="B297">
            <v>39814</v>
          </cell>
          <cell r="C297" t="str">
            <v>Netjets International</v>
          </cell>
          <cell r="D297" t="str">
            <v>North America</v>
          </cell>
        </row>
        <row r="298">
          <cell r="A298" t="str">
            <v>Gulfstream G550</v>
          </cell>
          <cell r="B298">
            <v>39904</v>
          </cell>
          <cell r="C298" t="str">
            <v>Netjets International</v>
          </cell>
          <cell r="D298" t="str">
            <v>North America</v>
          </cell>
        </row>
        <row r="299">
          <cell r="A299" t="str">
            <v>Gulfstream G550</v>
          </cell>
          <cell r="B299">
            <v>39995</v>
          </cell>
          <cell r="C299" t="str">
            <v>Netjets International</v>
          </cell>
          <cell r="D299" t="str">
            <v>North America</v>
          </cell>
        </row>
      </sheetData>
      <sheetData sheetId="18" refreshError="1">
        <row r="1">
          <cell r="G1" t="str">
            <v>last updated 1/06</v>
          </cell>
        </row>
        <row r="2">
          <cell r="G2" t="str">
            <v>Source: Airclaims</v>
          </cell>
        </row>
        <row r="3">
          <cell r="A3" t="str">
            <v>Gulfstream Deliveries by Customer</v>
          </cell>
        </row>
        <row r="5">
          <cell r="A5" t="str">
            <v>2006 Detail</v>
          </cell>
        </row>
        <row r="6">
          <cell r="A6" t="str">
            <v>Type</v>
          </cell>
          <cell r="B6" t="str">
            <v>Variant</v>
          </cell>
          <cell r="C6" t="str">
            <v>Operator</v>
          </cell>
          <cell r="D6" t="str">
            <v>DeliveryDate</v>
          </cell>
          <cell r="E6" t="str">
            <v>OperatorArea</v>
          </cell>
          <cell r="F6" t="str">
            <v>OperatorCountry</v>
          </cell>
          <cell r="G6" t="str">
            <v>Usage</v>
          </cell>
          <cell r="N6" t="str">
            <v xml:space="preserve"> </v>
          </cell>
          <cell r="O6">
            <v>2000</v>
          </cell>
          <cell r="P6">
            <v>2001</v>
          </cell>
          <cell r="Q6">
            <v>2002</v>
          </cell>
          <cell r="R6">
            <v>2003</v>
          </cell>
          <cell r="S6">
            <v>2004</v>
          </cell>
          <cell r="T6">
            <v>2005</v>
          </cell>
          <cell r="U6" t="str">
            <v>2006A</v>
          </cell>
        </row>
        <row r="7">
          <cell r="A7" t="str">
            <v>Astra/G100</v>
          </cell>
          <cell r="B7" t="str">
            <v>G100</v>
          </cell>
          <cell r="C7" t="str">
            <v>Executive Airlines SA</v>
          </cell>
          <cell r="D7">
            <v>38944</v>
          </cell>
          <cell r="E7" t="str">
            <v>Europe</v>
          </cell>
          <cell r="F7" t="str">
            <v>Spain</v>
          </cell>
          <cell r="G7" t="str">
            <v>Business / Corporate / Executive</v>
          </cell>
          <cell r="N7" t="str">
            <v>Corp/High Net Worth</v>
          </cell>
          <cell r="O7">
            <v>63</v>
          </cell>
          <cell r="P7">
            <v>54</v>
          </cell>
          <cell r="Q7">
            <v>56</v>
          </cell>
          <cell r="R7">
            <v>50</v>
          </cell>
          <cell r="S7">
            <v>43</v>
          </cell>
          <cell r="T7">
            <v>68</v>
          </cell>
          <cell r="U7">
            <v>88</v>
          </cell>
        </row>
        <row r="8">
          <cell r="A8" t="str">
            <v>Gulfstream G150</v>
          </cell>
          <cell r="C8" t="str">
            <v>Mary Rose Aviation Inc</v>
          </cell>
          <cell r="D8">
            <v>39008</v>
          </cell>
          <cell r="E8" t="str">
            <v>North America</v>
          </cell>
          <cell r="F8" t="str">
            <v>USA</v>
          </cell>
          <cell r="G8" t="str">
            <v>Business / Corporate / Executive</v>
          </cell>
          <cell r="N8" t="str">
            <v>U.S. Government</v>
          </cell>
          <cell r="O8">
            <v>2</v>
          </cell>
          <cell r="P8">
            <v>3</v>
          </cell>
          <cell r="Q8">
            <v>5</v>
          </cell>
          <cell r="R8">
            <v>1</v>
          </cell>
          <cell r="S8">
            <v>0</v>
          </cell>
          <cell r="T8">
            <v>3</v>
          </cell>
          <cell r="U8">
            <v>1</v>
          </cell>
        </row>
        <row r="9">
          <cell r="A9" t="str">
            <v>Gulfstream G150</v>
          </cell>
          <cell r="C9" t="str">
            <v>La Costa Village Inc</v>
          </cell>
          <cell r="D9">
            <v>39013</v>
          </cell>
          <cell r="E9" t="str">
            <v>North America</v>
          </cell>
          <cell r="F9" t="str">
            <v>USA</v>
          </cell>
          <cell r="G9" t="str">
            <v>Business / Corporate / Executive</v>
          </cell>
          <cell r="N9" t="str">
            <v>Foreign Government</v>
          </cell>
          <cell r="O9">
            <v>5</v>
          </cell>
          <cell r="P9">
            <v>4</v>
          </cell>
          <cell r="Q9">
            <v>2</v>
          </cell>
          <cell r="R9">
            <v>2</v>
          </cell>
          <cell r="S9">
            <v>2</v>
          </cell>
          <cell r="T9">
            <v>1</v>
          </cell>
          <cell r="U9">
            <v>3</v>
          </cell>
        </row>
        <row r="10">
          <cell r="A10" t="str">
            <v>Gulfstream G150</v>
          </cell>
          <cell r="C10" t="str">
            <v>Georgia-Pacific Corp</v>
          </cell>
          <cell r="D10">
            <v>39015</v>
          </cell>
          <cell r="E10" t="str">
            <v>North America</v>
          </cell>
          <cell r="F10" t="str">
            <v>USA</v>
          </cell>
          <cell r="G10" t="str">
            <v>Business / Corporate / Executive</v>
          </cell>
          <cell r="N10" t="str">
            <v>NetJets</v>
          </cell>
          <cell r="O10">
            <v>8</v>
          </cell>
          <cell r="P10">
            <v>9</v>
          </cell>
          <cell r="Q10">
            <v>5</v>
          </cell>
          <cell r="R10">
            <v>1</v>
          </cell>
          <cell r="S10">
            <v>2</v>
          </cell>
          <cell r="T10">
            <v>13</v>
          </cell>
          <cell r="U10">
            <v>12</v>
          </cell>
        </row>
        <row r="11">
          <cell r="A11" t="str">
            <v>Gulfstream G150</v>
          </cell>
          <cell r="C11" t="str">
            <v>Unconfirmed American Operator</v>
          </cell>
          <cell r="D11">
            <v>39021</v>
          </cell>
          <cell r="E11" t="str">
            <v>North America</v>
          </cell>
          <cell r="F11" t="str">
            <v>USA</v>
          </cell>
          <cell r="G11" t="str">
            <v>Business / Corporate / Executive</v>
          </cell>
          <cell r="N11" t="str">
            <v>Total</v>
          </cell>
          <cell r="O11">
            <v>78</v>
          </cell>
          <cell r="P11">
            <v>70</v>
          </cell>
          <cell r="Q11">
            <v>68</v>
          </cell>
          <cell r="R11">
            <v>54</v>
          </cell>
          <cell r="S11">
            <v>47</v>
          </cell>
          <cell r="T11">
            <v>85</v>
          </cell>
          <cell r="U11">
            <v>104</v>
          </cell>
        </row>
        <row r="12">
          <cell r="A12" t="str">
            <v>Gulfstream G150</v>
          </cell>
          <cell r="C12" t="str">
            <v>Aledo Sub LLC</v>
          </cell>
          <cell r="D12">
            <v>39025</v>
          </cell>
          <cell r="E12" t="str">
            <v>North America</v>
          </cell>
          <cell r="F12" t="str">
            <v>USA</v>
          </cell>
          <cell r="G12" t="str">
            <v>Business / Corporate / Executive</v>
          </cell>
        </row>
        <row r="13">
          <cell r="A13" t="str">
            <v>Gulfstream G150</v>
          </cell>
          <cell r="C13" t="str">
            <v>Unconfirmed Corporate Operator</v>
          </cell>
          <cell r="D13">
            <v>39049</v>
          </cell>
          <cell r="E13" t="str">
            <v>Unknown area</v>
          </cell>
          <cell r="F13" t="str">
            <v>Unknown</v>
          </cell>
          <cell r="G13" t="str">
            <v>Business / Corporate / Executive</v>
          </cell>
          <cell r="N13" t="str">
            <v>United States</v>
          </cell>
          <cell r="O13">
            <v>68</v>
          </cell>
          <cell r="P13">
            <v>59</v>
          </cell>
          <cell r="Q13">
            <v>54</v>
          </cell>
          <cell r="R13">
            <v>44</v>
          </cell>
          <cell r="S13">
            <v>36</v>
          </cell>
          <cell r="T13">
            <v>64</v>
          </cell>
          <cell r="U13">
            <v>80</v>
          </cell>
        </row>
        <row r="14">
          <cell r="A14" t="str">
            <v>Gulfstream G150</v>
          </cell>
          <cell r="C14" t="str">
            <v>Penske Jet Inc</v>
          </cell>
          <cell r="D14">
            <v>39049</v>
          </cell>
          <cell r="E14" t="str">
            <v>North America</v>
          </cell>
          <cell r="F14" t="str">
            <v>USA</v>
          </cell>
          <cell r="G14" t="str">
            <v>Business / Corporate / Executive</v>
          </cell>
          <cell r="N14" t="str">
            <v xml:space="preserve">Foreign </v>
          </cell>
          <cell r="O14">
            <v>10</v>
          </cell>
          <cell r="P14">
            <v>11</v>
          </cell>
          <cell r="Q14">
            <v>14</v>
          </cell>
          <cell r="R14">
            <v>10</v>
          </cell>
          <cell r="S14">
            <v>11</v>
          </cell>
          <cell r="T14">
            <v>19</v>
          </cell>
          <cell r="U14">
            <v>23</v>
          </cell>
        </row>
        <row r="15">
          <cell r="A15" t="str">
            <v>Gulfstream G150</v>
          </cell>
          <cell r="C15" t="str">
            <v>Business Aircraft Leasing Inc</v>
          </cell>
          <cell r="D15">
            <v>39070</v>
          </cell>
          <cell r="E15" t="str">
            <v>North America</v>
          </cell>
          <cell r="F15" t="str">
            <v>USA</v>
          </cell>
          <cell r="G15" t="str">
            <v>Business / Corporate / Executive</v>
          </cell>
          <cell r="N15" t="str">
            <v>N/A</v>
          </cell>
          <cell r="O15">
            <v>0</v>
          </cell>
          <cell r="P15">
            <v>0</v>
          </cell>
          <cell r="Q15">
            <v>0</v>
          </cell>
          <cell r="R15">
            <v>0</v>
          </cell>
          <cell r="S15">
            <v>0</v>
          </cell>
          <cell r="T15">
            <v>2</v>
          </cell>
          <cell r="U15">
            <v>1</v>
          </cell>
        </row>
        <row r="16">
          <cell r="A16" t="str">
            <v xml:space="preserve">Gulfstream G200 </v>
          </cell>
          <cell r="B16" t="str">
            <v xml:space="preserve"> </v>
          </cell>
          <cell r="C16" t="str">
            <v>Miami Jet Professionals LLC</v>
          </cell>
          <cell r="D16">
            <v>38742</v>
          </cell>
          <cell r="E16" t="str">
            <v>North America</v>
          </cell>
          <cell r="F16" t="str">
            <v>USA</v>
          </cell>
          <cell r="G16" t="str">
            <v>Business / Corporate / Executive</v>
          </cell>
          <cell r="N16" t="str">
            <v>Total</v>
          </cell>
          <cell r="O16">
            <v>78</v>
          </cell>
          <cell r="P16">
            <v>70</v>
          </cell>
          <cell r="Q16">
            <v>68</v>
          </cell>
          <cell r="R16">
            <v>54</v>
          </cell>
          <cell r="S16">
            <v>47</v>
          </cell>
          <cell r="T16">
            <v>85</v>
          </cell>
          <cell r="U16">
            <v>104</v>
          </cell>
        </row>
        <row r="17">
          <cell r="A17" t="str">
            <v xml:space="preserve">Gulfstream G200 </v>
          </cell>
          <cell r="B17" t="str">
            <v xml:space="preserve"> </v>
          </cell>
          <cell r="C17" t="str">
            <v>Netjets</v>
          </cell>
          <cell r="D17">
            <v>38754</v>
          </cell>
          <cell r="E17" t="str">
            <v>North America</v>
          </cell>
          <cell r="F17" t="str">
            <v>USA</v>
          </cell>
          <cell r="G17" t="str">
            <v>Business / Corporate / Executive</v>
          </cell>
          <cell r="N17" t="str">
            <v>% Ch Y/Y</v>
          </cell>
          <cell r="P17">
            <v>-0.10256410256410253</v>
          </cell>
          <cell r="Q17">
            <v>-2.8571428571428581E-2</v>
          </cell>
          <cell r="R17">
            <v>-0.20588235294117652</v>
          </cell>
          <cell r="S17">
            <v>-0.12962962962962965</v>
          </cell>
          <cell r="T17">
            <v>0.8085106382978724</v>
          </cell>
          <cell r="U17">
            <v>0.22352941176470598</v>
          </cell>
        </row>
        <row r="18">
          <cell r="A18" t="str">
            <v xml:space="preserve">Gulfstream G200 </v>
          </cell>
          <cell r="B18" t="str">
            <v xml:space="preserve"> </v>
          </cell>
          <cell r="C18" t="str">
            <v>Federated Department Stores Inc</v>
          </cell>
          <cell r="D18">
            <v>38769</v>
          </cell>
          <cell r="E18" t="str">
            <v>North America</v>
          </cell>
          <cell r="F18" t="str">
            <v>USA</v>
          </cell>
          <cell r="G18" t="str">
            <v>Business / Corporate / Executive</v>
          </cell>
        </row>
        <row r="19">
          <cell r="A19" t="str">
            <v xml:space="preserve">Gulfstream G200 </v>
          </cell>
          <cell r="B19" t="str">
            <v xml:space="preserve"> </v>
          </cell>
          <cell r="C19" t="str">
            <v>Executive Airlines SA</v>
          </cell>
          <cell r="D19">
            <v>38776</v>
          </cell>
          <cell r="E19" t="str">
            <v>Europe</v>
          </cell>
          <cell r="F19" t="str">
            <v>Spain</v>
          </cell>
          <cell r="G19" t="str">
            <v>Business / Corporate / Executive</v>
          </cell>
        </row>
        <row r="20">
          <cell r="A20" t="str">
            <v xml:space="preserve">Gulfstream G200 </v>
          </cell>
          <cell r="B20" t="str">
            <v xml:space="preserve"> </v>
          </cell>
          <cell r="C20" t="str">
            <v>Green Reed Enterprises Inc</v>
          </cell>
          <cell r="D20">
            <v>38805</v>
          </cell>
          <cell r="E20" t="str">
            <v>North America</v>
          </cell>
          <cell r="F20" t="str">
            <v>USA</v>
          </cell>
          <cell r="G20" t="str">
            <v>Business / Corporate / Executive</v>
          </cell>
        </row>
        <row r="21">
          <cell r="A21" t="str">
            <v xml:space="preserve">Gulfstream G200 </v>
          </cell>
          <cell r="B21" t="str">
            <v xml:space="preserve"> </v>
          </cell>
          <cell r="C21" t="str">
            <v>Netjets</v>
          </cell>
          <cell r="D21">
            <v>38813</v>
          </cell>
          <cell r="E21" t="str">
            <v>North America</v>
          </cell>
          <cell r="F21" t="str">
            <v>USA</v>
          </cell>
          <cell r="G21" t="str">
            <v>Business / Corporate / Executive</v>
          </cell>
        </row>
        <row r="22">
          <cell r="A22" t="str">
            <v xml:space="preserve">Gulfstream G200 </v>
          </cell>
          <cell r="B22" t="str">
            <v xml:space="preserve"> </v>
          </cell>
          <cell r="C22" t="str">
            <v>Netjets</v>
          </cell>
          <cell r="D22">
            <v>38832</v>
          </cell>
          <cell r="E22" t="str">
            <v>North America</v>
          </cell>
          <cell r="F22" t="str">
            <v>USA</v>
          </cell>
          <cell r="G22" t="str">
            <v>Business / Corporate / Executive</v>
          </cell>
        </row>
        <row r="23">
          <cell r="A23" t="str">
            <v xml:space="preserve">Gulfstream G200 </v>
          </cell>
          <cell r="B23" t="str">
            <v xml:space="preserve"> </v>
          </cell>
          <cell r="C23" t="str">
            <v>Sanchez Management Corp &amp; Int'l Bank of Commerce</v>
          </cell>
          <cell r="D23">
            <v>38868</v>
          </cell>
          <cell r="E23" t="str">
            <v>North America</v>
          </cell>
          <cell r="F23" t="str">
            <v>USA</v>
          </cell>
          <cell r="G23" t="str">
            <v>Business / Corporate / Executive</v>
          </cell>
        </row>
        <row r="24">
          <cell r="A24" t="str">
            <v xml:space="preserve">Gulfstream G200 </v>
          </cell>
          <cell r="B24" t="str">
            <v xml:space="preserve"> </v>
          </cell>
          <cell r="C24" t="str">
            <v>Trans Jet Equipment LLC</v>
          </cell>
          <cell r="D24">
            <v>38869</v>
          </cell>
          <cell r="E24" t="str">
            <v>North America</v>
          </cell>
          <cell r="F24" t="str">
            <v>USA</v>
          </cell>
          <cell r="G24" t="str">
            <v>Business / Corporate / Executive</v>
          </cell>
        </row>
        <row r="25">
          <cell r="A25" t="str">
            <v xml:space="preserve">Gulfstream G200 </v>
          </cell>
          <cell r="B25" t="str">
            <v xml:space="preserve"> </v>
          </cell>
          <cell r="C25" t="str">
            <v>Hong Kong Aviation Inc</v>
          </cell>
          <cell r="D25">
            <v>38869</v>
          </cell>
          <cell r="E25" t="str">
            <v>North America</v>
          </cell>
          <cell r="F25" t="str">
            <v>USA</v>
          </cell>
          <cell r="G25" t="str">
            <v>Business / Corporate / Executive</v>
          </cell>
        </row>
        <row r="26">
          <cell r="A26" t="str">
            <v xml:space="preserve">Gulfstream G200 </v>
          </cell>
          <cell r="B26" t="str">
            <v xml:space="preserve"> </v>
          </cell>
          <cell r="C26" t="str">
            <v>Netjets</v>
          </cell>
          <cell r="D26">
            <v>38869</v>
          </cell>
          <cell r="E26" t="str">
            <v>North America</v>
          </cell>
          <cell r="F26" t="str">
            <v>USA</v>
          </cell>
          <cell r="G26" t="str">
            <v>Business / Corporate / Executive</v>
          </cell>
        </row>
        <row r="27">
          <cell r="A27" t="str">
            <v xml:space="preserve">Gulfstream G200 </v>
          </cell>
          <cell r="B27" t="str">
            <v xml:space="preserve"> </v>
          </cell>
          <cell r="C27" t="str">
            <v>Emperor Entertainment Group</v>
          </cell>
          <cell r="D27">
            <v>38917</v>
          </cell>
          <cell r="E27" t="str">
            <v>Asia</v>
          </cell>
          <cell r="F27" t="str">
            <v>Hong Kong</v>
          </cell>
          <cell r="G27" t="str">
            <v>Business / Corporate / Executive</v>
          </cell>
        </row>
        <row r="28">
          <cell r="A28" t="str">
            <v xml:space="preserve">Gulfstream G200 </v>
          </cell>
          <cell r="B28" t="str">
            <v xml:space="preserve"> </v>
          </cell>
          <cell r="C28" t="str">
            <v>Want Want Group</v>
          </cell>
          <cell r="D28">
            <v>38945</v>
          </cell>
          <cell r="E28" t="str">
            <v>Asia</v>
          </cell>
          <cell r="F28" t="str">
            <v>China</v>
          </cell>
          <cell r="G28" t="str">
            <v>Business / Corporate / Executive</v>
          </cell>
        </row>
        <row r="29">
          <cell r="A29" t="str">
            <v xml:space="preserve">Gulfstream G200 </v>
          </cell>
          <cell r="B29" t="str">
            <v xml:space="preserve"> </v>
          </cell>
          <cell r="C29" t="str">
            <v>Netjets</v>
          </cell>
          <cell r="D29">
            <v>38946</v>
          </cell>
          <cell r="E29" t="str">
            <v>North America</v>
          </cell>
          <cell r="F29" t="str">
            <v>USA</v>
          </cell>
          <cell r="G29" t="str">
            <v>Business / Corporate / Executive</v>
          </cell>
        </row>
        <row r="30">
          <cell r="A30" t="str">
            <v xml:space="preserve">Gulfstream G200 </v>
          </cell>
          <cell r="B30" t="str">
            <v xml:space="preserve"> </v>
          </cell>
          <cell r="C30" t="str">
            <v>G137 LLC</v>
          </cell>
          <cell r="D30">
            <v>38947</v>
          </cell>
          <cell r="E30" t="str">
            <v>North America</v>
          </cell>
          <cell r="F30" t="str">
            <v>USA</v>
          </cell>
          <cell r="G30" t="str">
            <v>Business / Corporate / Executive</v>
          </cell>
        </row>
        <row r="31">
          <cell r="A31" t="str">
            <v xml:space="preserve">Gulfstream G200 </v>
          </cell>
          <cell r="B31" t="str">
            <v xml:space="preserve"> </v>
          </cell>
          <cell r="C31" t="str">
            <v>Aviation Management Services Ltd</v>
          </cell>
          <cell r="D31">
            <v>38966</v>
          </cell>
          <cell r="E31" t="str">
            <v>North America</v>
          </cell>
          <cell r="F31" t="str">
            <v>USA</v>
          </cell>
          <cell r="G31" t="str">
            <v>Business / Corporate / Executive</v>
          </cell>
        </row>
        <row r="32">
          <cell r="A32" t="str">
            <v xml:space="preserve">Gulfstream G200 </v>
          </cell>
          <cell r="B32" t="str">
            <v xml:space="preserve"> </v>
          </cell>
          <cell r="C32" t="str">
            <v>Orange Crimson Aviation LLC</v>
          </cell>
          <cell r="D32">
            <v>38974</v>
          </cell>
          <cell r="E32" t="str">
            <v>North America</v>
          </cell>
          <cell r="F32" t="str">
            <v>USA</v>
          </cell>
          <cell r="G32" t="str">
            <v>Business / Corporate / Executive</v>
          </cell>
        </row>
        <row r="33">
          <cell r="A33" t="str">
            <v xml:space="preserve">Gulfstream G200 </v>
          </cell>
          <cell r="B33" t="str">
            <v xml:space="preserve"> </v>
          </cell>
          <cell r="C33" t="str">
            <v>Passaro Azul Taxi Aereo LTDA.</v>
          </cell>
          <cell r="D33">
            <v>39017</v>
          </cell>
          <cell r="E33" t="str">
            <v>Latin America and Caribbean</v>
          </cell>
          <cell r="F33" t="str">
            <v>Brazil</v>
          </cell>
          <cell r="G33" t="str">
            <v>Business / Corporate / Executive</v>
          </cell>
        </row>
        <row r="34">
          <cell r="A34" t="str">
            <v xml:space="preserve">Gulfstream G200 </v>
          </cell>
          <cell r="B34" t="str">
            <v xml:space="preserve"> </v>
          </cell>
          <cell r="C34" t="str">
            <v>Netjets</v>
          </cell>
          <cell r="D34">
            <v>39030</v>
          </cell>
          <cell r="E34" t="str">
            <v>North America</v>
          </cell>
          <cell r="F34" t="str">
            <v>USA</v>
          </cell>
          <cell r="G34" t="str">
            <v>Business / Corporate / Executive</v>
          </cell>
        </row>
        <row r="35">
          <cell r="A35" t="str">
            <v xml:space="preserve">Gulfstream G200 </v>
          </cell>
          <cell r="B35" t="str">
            <v xml:space="preserve"> </v>
          </cell>
          <cell r="C35" t="str">
            <v>HCE Leasing LLC</v>
          </cell>
          <cell r="D35">
            <v>39041</v>
          </cell>
          <cell r="E35" t="str">
            <v>North America</v>
          </cell>
          <cell r="F35" t="str">
            <v>USA</v>
          </cell>
          <cell r="G35" t="str">
            <v>Business / Corporate / Executive</v>
          </cell>
        </row>
        <row r="36">
          <cell r="A36" t="str">
            <v xml:space="preserve">Gulfstream G200 </v>
          </cell>
          <cell r="B36" t="str">
            <v xml:space="preserve"> </v>
          </cell>
          <cell r="C36" t="str">
            <v>Global Aviation LP</v>
          </cell>
          <cell r="D36">
            <v>39051</v>
          </cell>
          <cell r="E36" t="str">
            <v>North America</v>
          </cell>
          <cell r="F36" t="str">
            <v>USA</v>
          </cell>
          <cell r="G36" t="str">
            <v>Business / Corporate / Executive</v>
          </cell>
        </row>
        <row r="37">
          <cell r="A37" t="str">
            <v xml:space="preserve">Gulfstream G200 </v>
          </cell>
          <cell r="B37" t="str">
            <v xml:space="preserve"> </v>
          </cell>
          <cell r="C37" t="str">
            <v>Max Aviation Group Inc</v>
          </cell>
          <cell r="D37">
            <v>39058</v>
          </cell>
          <cell r="E37" t="str">
            <v>North America</v>
          </cell>
          <cell r="F37" t="str">
            <v>USA</v>
          </cell>
          <cell r="G37" t="str">
            <v>Business / Corporate / Executive</v>
          </cell>
        </row>
        <row r="38">
          <cell r="A38" t="str">
            <v>Gulfstream G350</v>
          </cell>
          <cell r="C38" t="str">
            <v>G350 Leasing LLC</v>
          </cell>
          <cell r="D38">
            <v>38791</v>
          </cell>
          <cell r="E38" t="str">
            <v>North America</v>
          </cell>
          <cell r="F38" t="str">
            <v>USA</v>
          </cell>
          <cell r="G38" t="str">
            <v>Business / Corporate / Executive</v>
          </cell>
        </row>
        <row r="39">
          <cell r="A39" t="str">
            <v>Gulfstream G350</v>
          </cell>
          <cell r="C39" t="str">
            <v>EJS-Executive Jet Shares III Inc</v>
          </cell>
          <cell r="D39">
            <v>38918</v>
          </cell>
          <cell r="E39" t="str">
            <v>North America</v>
          </cell>
          <cell r="F39" t="str">
            <v>USA</v>
          </cell>
          <cell r="G39" t="str">
            <v>Business / Corporate / Executive</v>
          </cell>
        </row>
        <row r="40">
          <cell r="A40" t="str">
            <v>Gulfstream G450</v>
          </cell>
          <cell r="C40" t="str">
            <v>Netjets International</v>
          </cell>
          <cell r="D40">
            <v>38762</v>
          </cell>
          <cell r="E40" t="str">
            <v>North America</v>
          </cell>
          <cell r="F40" t="str">
            <v>USA</v>
          </cell>
          <cell r="G40" t="str">
            <v>Business / Corporate / Executive</v>
          </cell>
        </row>
        <row r="41">
          <cell r="A41" t="str">
            <v>Gulfstream G450</v>
          </cell>
          <cell r="C41" t="str">
            <v>Haworth Transportation Services LLC</v>
          </cell>
          <cell r="D41">
            <v>38769</v>
          </cell>
          <cell r="E41" t="str">
            <v>North America</v>
          </cell>
          <cell r="F41" t="str">
            <v>USA</v>
          </cell>
          <cell r="G41" t="str">
            <v>Business / Corporate / Executive</v>
          </cell>
        </row>
        <row r="42">
          <cell r="A42" t="str">
            <v>Gulfstream G450</v>
          </cell>
          <cell r="C42" t="str">
            <v>Starship Enterprise Leasing LLC</v>
          </cell>
          <cell r="D42">
            <v>38791</v>
          </cell>
          <cell r="E42" t="str">
            <v>North America</v>
          </cell>
          <cell r="F42" t="str">
            <v>USA</v>
          </cell>
          <cell r="G42" t="str">
            <v>Business / Corporate / Executive</v>
          </cell>
        </row>
        <row r="43">
          <cell r="A43" t="str">
            <v>Gulfstream G450</v>
          </cell>
          <cell r="C43" t="str">
            <v>G5 Executive</v>
          </cell>
          <cell r="D43">
            <v>38799</v>
          </cell>
          <cell r="E43" t="str">
            <v>Europe</v>
          </cell>
          <cell r="F43" t="str">
            <v>Switzerland</v>
          </cell>
          <cell r="G43" t="str">
            <v>Business / Corporate / Executive</v>
          </cell>
        </row>
        <row r="44">
          <cell r="A44" t="str">
            <v>Gulfstream G450</v>
          </cell>
          <cell r="C44" t="str">
            <v>Easy Flight LLC</v>
          </cell>
          <cell r="D44">
            <v>38806</v>
          </cell>
          <cell r="E44" t="str">
            <v>North America</v>
          </cell>
          <cell r="F44" t="str">
            <v>USA</v>
          </cell>
          <cell r="G44" t="str">
            <v>Business / Corporate / Executive</v>
          </cell>
        </row>
        <row r="45">
          <cell r="A45" t="str">
            <v>Gulfstream G450</v>
          </cell>
          <cell r="C45" t="str">
            <v>Iridium LLC</v>
          </cell>
          <cell r="D45">
            <v>38835</v>
          </cell>
          <cell r="E45" t="str">
            <v>North America</v>
          </cell>
          <cell r="F45" t="str">
            <v>USA</v>
          </cell>
          <cell r="G45" t="str">
            <v>Business / Corporate / Executive</v>
          </cell>
        </row>
        <row r="46">
          <cell r="A46" t="str">
            <v>Gulfstream G450</v>
          </cell>
          <cell r="C46" t="str">
            <v>Hermes Express LLC</v>
          </cell>
          <cell r="D46">
            <v>38848</v>
          </cell>
          <cell r="E46" t="str">
            <v>North America</v>
          </cell>
          <cell r="F46" t="str">
            <v>USA</v>
          </cell>
          <cell r="G46" t="str">
            <v>Business / Corporate / Executive</v>
          </cell>
        </row>
        <row r="47">
          <cell r="A47" t="str">
            <v>Gulfstream G450</v>
          </cell>
          <cell r="C47" t="str">
            <v>MVOC LLC</v>
          </cell>
          <cell r="D47">
            <v>38880</v>
          </cell>
          <cell r="E47" t="str">
            <v>North America</v>
          </cell>
          <cell r="F47" t="str">
            <v>USA</v>
          </cell>
          <cell r="G47" t="str">
            <v>Business / Corporate / Executive</v>
          </cell>
        </row>
        <row r="48">
          <cell r="A48" t="str">
            <v>Gulfstream G450</v>
          </cell>
          <cell r="C48" t="str">
            <v>Netjets International</v>
          </cell>
          <cell r="D48">
            <v>38885</v>
          </cell>
          <cell r="E48" t="str">
            <v>North America</v>
          </cell>
          <cell r="F48" t="str">
            <v>USA</v>
          </cell>
          <cell r="G48" t="str">
            <v>Business / Corporate / Executive</v>
          </cell>
        </row>
        <row r="49">
          <cell r="A49" t="str">
            <v>Gulfstream G450</v>
          </cell>
          <cell r="C49" t="str">
            <v>Warbler I LLC</v>
          </cell>
          <cell r="D49">
            <v>38898</v>
          </cell>
          <cell r="E49" t="str">
            <v>North America</v>
          </cell>
          <cell r="F49" t="str">
            <v>USA</v>
          </cell>
          <cell r="G49" t="str">
            <v>Business / Corporate / Executive</v>
          </cell>
        </row>
        <row r="50">
          <cell r="A50" t="str">
            <v>Gulfstream G450</v>
          </cell>
          <cell r="C50" t="str">
            <v>Wilderness Point Associates LLC</v>
          </cell>
          <cell r="D50">
            <v>38898</v>
          </cell>
          <cell r="E50" t="str">
            <v>North America</v>
          </cell>
          <cell r="F50" t="str">
            <v>USA</v>
          </cell>
          <cell r="G50" t="str">
            <v>Business / Corporate / Executive</v>
          </cell>
        </row>
        <row r="51">
          <cell r="A51" t="str">
            <v>Gulfstream G450</v>
          </cell>
          <cell r="C51" t="str">
            <v>Honeywell International Inc</v>
          </cell>
          <cell r="D51">
            <v>38917</v>
          </cell>
          <cell r="E51" t="str">
            <v>North America</v>
          </cell>
          <cell r="F51" t="str">
            <v>USA</v>
          </cell>
          <cell r="G51" t="str">
            <v>Business / Corporate / Executive</v>
          </cell>
        </row>
        <row r="52">
          <cell r="A52" t="str">
            <v>Gulfstream G450</v>
          </cell>
          <cell r="C52" t="str">
            <v>ConocoPhillips Co</v>
          </cell>
          <cell r="D52">
            <v>38933</v>
          </cell>
          <cell r="E52" t="str">
            <v>North America</v>
          </cell>
          <cell r="F52" t="str">
            <v>USA</v>
          </cell>
          <cell r="G52" t="str">
            <v>Business / Corporate / Executive</v>
          </cell>
        </row>
        <row r="53">
          <cell r="A53" t="str">
            <v>Gulfstream G450</v>
          </cell>
          <cell r="C53" t="str">
            <v>Blue Vista LLC</v>
          </cell>
          <cell r="D53">
            <v>38958</v>
          </cell>
          <cell r="E53" t="str">
            <v>North America</v>
          </cell>
          <cell r="F53" t="str">
            <v>USA</v>
          </cell>
          <cell r="G53" t="str">
            <v>Business / Corporate / Executive</v>
          </cell>
        </row>
        <row r="54">
          <cell r="A54" t="str">
            <v>Gulfstream G450</v>
          </cell>
          <cell r="C54" t="str">
            <v>Netjets International</v>
          </cell>
          <cell r="D54">
            <v>38973</v>
          </cell>
          <cell r="E54" t="str">
            <v>North America</v>
          </cell>
          <cell r="F54" t="str">
            <v>USA</v>
          </cell>
          <cell r="G54" t="str">
            <v>Business / Corporate / Executive</v>
          </cell>
        </row>
        <row r="55">
          <cell r="A55" t="str">
            <v>Gulfstream G450</v>
          </cell>
          <cell r="C55" t="str">
            <v>Brown Flight Properties LLC</v>
          </cell>
          <cell r="D55">
            <v>38973</v>
          </cell>
          <cell r="E55" t="str">
            <v>North America</v>
          </cell>
          <cell r="F55" t="str">
            <v>USA</v>
          </cell>
          <cell r="G55" t="str">
            <v>Business / Corporate / Executive</v>
          </cell>
        </row>
        <row r="56">
          <cell r="A56" t="str">
            <v>Gulfstream G450</v>
          </cell>
          <cell r="C56" t="str">
            <v>Abbott Laboratories Purchasing Co LLC</v>
          </cell>
          <cell r="D56">
            <v>38989</v>
          </cell>
          <cell r="E56" t="str">
            <v>North America</v>
          </cell>
          <cell r="F56" t="str">
            <v>USA</v>
          </cell>
          <cell r="G56" t="str">
            <v>Business / Corporate / Executive</v>
          </cell>
        </row>
        <row r="57">
          <cell r="A57" t="str">
            <v>Gulfstream G450</v>
          </cell>
          <cell r="C57" t="str">
            <v>Brown Flight Properties LLC</v>
          </cell>
          <cell r="D57">
            <v>38989</v>
          </cell>
          <cell r="E57" t="str">
            <v>North America</v>
          </cell>
          <cell r="F57" t="str">
            <v>USA</v>
          </cell>
          <cell r="G57" t="str">
            <v>Business / Corporate / Executive</v>
          </cell>
        </row>
        <row r="58">
          <cell r="A58" t="str">
            <v>Gulfstream G450</v>
          </cell>
          <cell r="C58" t="str">
            <v>Canal Air LLC</v>
          </cell>
          <cell r="D58">
            <v>38994</v>
          </cell>
          <cell r="E58" t="str">
            <v>North America</v>
          </cell>
          <cell r="F58" t="str">
            <v>USA</v>
          </cell>
          <cell r="G58" t="str">
            <v>Business / Corporate / Executive</v>
          </cell>
        </row>
        <row r="59">
          <cell r="A59" t="str">
            <v>Gulfstream G450</v>
          </cell>
          <cell r="C59" t="str">
            <v>Silk Way Airlines</v>
          </cell>
          <cell r="D59">
            <v>38996</v>
          </cell>
          <cell r="E59" t="str">
            <v>Europe</v>
          </cell>
          <cell r="F59" t="str">
            <v>Azerbaijan</v>
          </cell>
          <cell r="G59" t="str">
            <v>Business / Corporate / Executive</v>
          </cell>
        </row>
        <row r="60">
          <cell r="A60" t="str">
            <v>Gulfstream G450</v>
          </cell>
          <cell r="C60" t="str">
            <v>Johnson &amp; Johnson</v>
          </cell>
          <cell r="D60">
            <v>39024</v>
          </cell>
          <cell r="E60" t="str">
            <v>North America</v>
          </cell>
          <cell r="F60" t="str">
            <v>USA</v>
          </cell>
          <cell r="G60" t="str">
            <v>Business / Corporate / Executive</v>
          </cell>
        </row>
        <row r="61">
          <cell r="A61" t="str">
            <v>Gulfstream G450</v>
          </cell>
          <cell r="C61" t="str">
            <v>General Dynamics Corp</v>
          </cell>
          <cell r="D61">
            <v>39028</v>
          </cell>
          <cell r="E61" t="str">
            <v>North America</v>
          </cell>
          <cell r="F61" t="str">
            <v>USA</v>
          </cell>
          <cell r="G61" t="str">
            <v>Business / Corporate / Executive</v>
          </cell>
        </row>
        <row r="62">
          <cell r="A62" t="str">
            <v>Gulfstream G450</v>
          </cell>
          <cell r="C62" t="str">
            <v>Verizon Corporate Services Group Inc</v>
          </cell>
          <cell r="D62">
            <v>39031</v>
          </cell>
          <cell r="E62" t="str">
            <v>North America</v>
          </cell>
          <cell r="F62" t="str">
            <v>USA</v>
          </cell>
          <cell r="G62" t="str">
            <v>Business / Corporate / Executive</v>
          </cell>
        </row>
        <row r="63">
          <cell r="A63" t="str">
            <v>Gulfstream G450</v>
          </cell>
          <cell r="C63" t="str">
            <v>DS Aviation Inc</v>
          </cell>
          <cell r="D63">
            <v>39035</v>
          </cell>
          <cell r="E63" t="str">
            <v>North America</v>
          </cell>
          <cell r="F63" t="str">
            <v>USA</v>
          </cell>
          <cell r="G63" t="str">
            <v>Business / Corporate / Executive</v>
          </cell>
        </row>
        <row r="64">
          <cell r="A64" t="str">
            <v>Gulfstream G450</v>
          </cell>
          <cell r="C64" t="str">
            <v>Sunbird Aviation</v>
          </cell>
          <cell r="D64">
            <v>39058</v>
          </cell>
          <cell r="E64" t="str">
            <v>North America</v>
          </cell>
          <cell r="F64" t="str">
            <v>USA</v>
          </cell>
          <cell r="G64" t="str">
            <v>Business / Corporate / Executive</v>
          </cell>
        </row>
        <row r="65">
          <cell r="A65" t="str">
            <v>Gulfstream G450</v>
          </cell>
          <cell r="C65" t="str">
            <v>Twin Oaks LLC</v>
          </cell>
          <cell r="D65">
            <v>39059</v>
          </cell>
          <cell r="E65" t="str">
            <v>North America</v>
          </cell>
          <cell r="F65" t="str">
            <v>USA</v>
          </cell>
          <cell r="G65" t="str">
            <v>Business / Corporate / Executive</v>
          </cell>
        </row>
        <row r="66">
          <cell r="A66" t="str">
            <v>Gulfstream G450</v>
          </cell>
          <cell r="C66" t="str">
            <v>Netjets International</v>
          </cell>
          <cell r="D66">
            <v>39063</v>
          </cell>
          <cell r="E66" t="str">
            <v>North America</v>
          </cell>
          <cell r="F66" t="str">
            <v>USA</v>
          </cell>
          <cell r="G66" t="str">
            <v>Business / Corporate / Executive</v>
          </cell>
        </row>
        <row r="67">
          <cell r="A67" t="str">
            <v>Gulfstream G450</v>
          </cell>
          <cell r="C67" t="str">
            <v>1226 Enterprises LLC</v>
          </cell>
          <cell r="D67">
            <v>39069</v>
          </cell>
          <cell r="E67" t="str">
            <v>North America</v>
          </cell>
          <cell r="F67" t="str">
            <v>USA</v>
          </cell>
          <cell r="G67" t="str">
            <v>Business / Corporate / Executive</v>
          </cell>
        </row>
        <row r="68">
          <cell r="A68" t="str">
            <v>Gulfstream G450</v>
          </cell>
          <cell r="C68" t="str">
            <v>Triple Two Aviation Inc</v>
          </cell>
          <cell r="D68">
            <v>39072</v>
          </cell>
          <cell r="E68" t="str">
            <v>North America</v>
          </cell>
          <cell r="F68" t="str">
            <v>USA</v>
          </cell>
          <cell r="G68" t="str">
            <v>Business / Corporate / Executive</v>
          </cell>
        </row>
        <row r="69">
          <cell r="A69" t="str">
            <v>Gulfstream G500</v>
          </cell>
          <cell r="C69" t="str">
            <v>Ferrell Schultz Aviation LLC</v>
          </cell>
          <cell r="D69">
            <v>38882</v>
          </cell>
          <cell r="E69" t="str">
            <v>North America</v>
          </cell>
          <cell r="F69" t="str">
            <v>USA</v>
          </cell>
          <cell r="G69" t="str">
            <v>Business / Corporate / Executive</v>
          </cell>
        </row>
        <row r="70">
          <cell r="A70" t="str">
            <v>Gulfstream G500</v>
          </cell>
          <cell r="C70" t="str">
            <v>Oakmont Corp</v>
          </cell>
          <cell r="D70">
            <v>38897</v>
          </cell>
          <cell r="E70" t="str">
            <v>North America</v>
          </cell>
          <cell r="F70" t="str">
            <v>USA</v>
          </cell>
          <cell r="G70" t="str">
            <v>Business / Corporate / Executive</v>
          </cell>
        </row>
        <row r="71">
          <cell r="A71" t="str">
            <v>Gulfstream G550</v>
          </cell>
          <cell r="C71" t="str">
            <v>Falconcrest G550 LLC</v>
          </cell>
          <cell r="D71">
            <v>38741</v>
          </cell>
          <cell r="E71" t="str">
            <v>North America</v>
          </cell>
          <cell r="F71" t="str">
            <v>USA</v>
          </cell>
          <cell r="G71" t="str">
            <v>Business / Corporate / Executive</v>
          </cell>
        </row>
        <row r="72">
          <cell r="A72" t="str">
            <v>Gulfstream G550</v>
          </cell>
          <cell r="C72" t="str">
            <v>Telefonica Internacional SA</v>
          </cell>
          <cell r="D72">
            <v>38743</v>
          </cell>
          <cell r="E72" t="str">
            <v>Europe</v>
          </cell>
          <cell r="F72" t="str">
            <v>Spain</v>
          </cell>
          <cell r="G72" t="str">
            <v>Business / Corporate / Executive</v>
          </cell>
        </row>
        <row r="73">
          <cell r="A73" t="str">
            <v>Gulfstream G550</v>
          </cell>
          <cell r="C73" t="str">
            <v>SeaFlight Aviation Ltd</v>
          </cell>
          <cell r="D73">
            <v>38750</v>
          </cell>
          <cell r="E73" t="str">
            <v>Latin America and Caribbean</v>
          </cell>
          <cell r="F73" t="str">
            <v>Bermuda</v>
          </cell>
          <cell r="G73" t="str">
            <v>Business / Corporate / Executive</v>
          </cell>
        </row>
        <row r="74">
          <cell r="A74" t="str">
            <v>Gulfstream G550</v>
          </cell>
          <cell r="C74" t="str">
            <v>EWS LLC</v>
          </cell>
          <cell r="D74">
            <v>38755</v>
          </cell>
          <cell r="E74" t="str">
            <v>North America</v>
          </cell>
          <cell r="F74" t="str">
            <v>USA</v>
          </cell>
          <cell r="G74" t="str">
            <v>Business / Corporate / Executive</v>
          </cell>
        </row>
        <row r="75">
          <cell r="A75" t="str">
            <v>Gulfstream G550</v>
          </cell>
          <cell r="C75" t="str">
            <v>St Thomas Energy Exports Inc</v>
          </cell>
          <cell r="D75">
            <v>38758</v>
          </cell>
          <cell r="E75" t="str">
            <v>Latin America and Caribbean</v>
          </cell>
          <cell r="F75" t="str">
            <v>Virgin Islands (US)</v>
          </cell>
          <cell r="G75" t="str">
            <v>Business / Corporate / Executive</v>
          </cell>
        </row>
        <row r="76">
          <cell r="A76" t="str">
            <v>Gulfstream G550</v>
          </cell>
          <cell r="C76" t="str">
            <v>N811BP Inc</v>
          </cell>
          <cell r="D76">
            <v>38764</v>
          </cell>
          <cell r="E76" t="str">
            <v>North America</v>
          </cell>
          <cell r="F76" t="str">
            <v>USA</v>
          </cell>
          <cell r="G76" t="str">
            <v>Business / Corporate / Executive</v>
          </cell>
        </row>
        <row r="77">
          <cell r="A77" t="str">
            <v>Gulfstream G550</v>
          </cell>
          <cell r="C77" t="str">
            <v>G F Management Co LLC</v>
          </cell>
          <cell r="D77">
            <v>38793</v>
          </cell>
          <cell r="E77" t="str">
            <v>North America</v>
          </cell>
          <cell r="F77" t="str">
            <v>USA</v>
          </cell>
          <cell r="G77" t="str">
            <v>Business / Corporate / Executive</v>
          </cell>
        </row>
        <row r="78">
          <cell r="A78" t="str">
            <v>Gulfstream G550</v>
          </cell>
          <cell r="C78" t="str">
            <v>Altria Aviation</v>
          </cell>
          <cell r="D78">
            <v>38810</v>
          </cell>
          <cell r="E78" t="str">
            <v>North America</v>
          </cell>
          <cell r="F78" t="str">
            <v>USA</v>
          </cell>
          <cell r="G78" t="str">
            <v>Business / Corporate / Executive</v>
          </cell>
        </row>
        <row r="79">
          <cell r="A79" t="str">
            <v>Gulfstream G550</v>
          </cell>
          <cell r="C79" t="str">
            <v>Jet Aviation Business Jets</v>
          </cell>
          <cell r="D79">
            <v>38812</v>
          </cell>
          <cell r="E79" t="str">
            <v>Europe</v>
          </cell>
          <cell r="F79" t="str">
            <v>Switzerland</v>
          </cell>
          <cell r="G79" t="str">
            <v>Business / Corporate / Executive</v>
          </cell>
        </row>
        <row r="80">
          <cell r="A80" t="str">
            <v>Gulfstream G550</v>
          </cell>
          <cell r="C80" t="str">
            <v>DLR Flugbetriebe</v>
          </cell>
          <cell r="D80">
            <v>38822</v>
          </cell>
          <cell r="E80" t="str">
            <v>Europe</v>
          </cell>
          <cell r="F80" t="str">
            <v>Germany</v>
          </cell>
          <cell r="G80" t="str">
            <v>Weather / Atmospheric / Environmental Research</v>
          </cell>
        </row>
        <row r="81">
          <cell r="A81" t="str">
            <v>Gulfstream G550</v>
          </cell>
          <cell r="C81" t="str">
            <v>The Proctor &amp; Gamble Co</v>
          </cell>
          <cell r="D81">
            <v>38826</v>
          </cell>
          <cell r="E81" t="str">
            <v>North America</v>
          </cell>
          <cell r="F81" t="str">
            <v>USA</v>
          </cell>
          <cell r="G81" t="str">
            <v>Business / Corporate / Executive</v>
          </cell>
        </row>
        <row r="82">
          <cell r="A82" t="str">
            <v>Gulfstream G550</v>
          </cell>
          <cell r="C82" t="str">
            <v>771 JT LLC</v>
          </cell>
          <cell r="D82">
            <v>38835</v>
          </cell>
          <cell r="E82" t="str">
            <v>North America</v>
          </cell>
          <cell r="F82" t="str">
            <v>USA</v>
          </cell>
          <cell r="G82" t="str">
            <v>Business / Corporate / Executive</v>
          </cell>
        </row>
        <row r="83">
          <cell r="A83" t="str">
            <v>Gulfstream G550</v>
          </cell>
          <cell r="C83" t="str">
            <v>NetJets Europe</v>
          </cell>
          <cell r="D83">
            <v>38839</v>
          </cell>
          <cell r="E83" t="str">
            <v>Europe</v>
          </cell>
          <cell r="F83" t="str">
            <v>Portugal</v>
          </cell>
          <cell r="G83" t="str">
            <v>Business / Corporate / Executive</v>
          </cell>
        </row>
        <row r="84">
          <cell r="A84" t="str">
            <v>Gulfstream G550</v>
          </cell>
          <cell r="C84" t="str">
            <v>Kraft Foods Aviation LLC</v>
          </cell>
          <cell r="D84">
            <v>38849</v>
          </cell>
          <cell r="E84" t="str">
            <v>North America</v>
          </cell>
          <cell r="F84" t="str">
            <v>USA</v>
          </cell>
          <cell r="G84" t="str">
            <v>Business / Corporate / Executive</v>
          </cell>
        </row>
        <row r="85">
          <cell r="A85" t="str">
            <v>Gulfstream G550</v>
          </cell>
          <cell r="C85" t="str">
            <v>Casden Aircraft LLC</v>
          </cell>
          <cell r="D85">
            <v>38849</v>
          </cell>
          <cell r="E85" t="str">
            <v>North America</v>
          </cell>
          <cell r="F85" t="str">
            <v>USA</v>
          </cell>
          <cell r="G85" t="str">
            <v>Business / Corporate / Executive</v>
          </cell>
        </row>
        <row r="86">
          <cell r="A86" t="str">
            <v>Gulfstream G550</v>
          </cell>
          <cell r="C86" t="str">
            <v>US Navy</v>
          </cell>
          <cell r="D86">
            <v>38859</v>
          </cell>
          <cell r="E86" t="str">
            <v>North America</v>
          </cell>
          <cell r="F86" t="str">
            <v>USA</v>
          </cell>
          <cell r="G86" t="str">
            <v>Business / Corporate / Executive</v>
          </cell>
        </row>
        <row r="87">
          <cell r="A87" t="str">
            <v>Gulfstream G550</v>
          </cell>
          <cell r="C87" t="str">
            <v>NetJets Europe</v>
          </cell>
          <cell r="D87">
            <v>38873</v>
          </cell>
          <cell r="E87" t="str">
            <v>Europe</v>
          </cell>
          <cell r="F87" t="str">
            <v>Portugal</v>
          </cell>
          <cell r="G87" t="str">
            <v>Business / Corporate / Executive</v>
          </cell>
        </row>
        <row r="88">
          <cell r="A88" t="str">
            <v>Gulfstream G550</v>
          </cell>
          <cell r="C88" t="str">
            <v>Netjets International</v>
          </cell>
          <cell r="D88">
            <v>38881</v>
          </cell>
          <cell r="E88" t="str">
            <v>North America</v>
          </cell>
          <cell r="F88" t="str">
            <v>USA</v>
          </cell>
          <cell r="G88" t="str">
            <v>Business / Corporate / Executive</v>
          </cell>
        </row>
        <row r="89">
          <cell r="A89" t="str">
            <v>Gulfstream G550</v>
          </cell>
          <cell r="C89" t="str">
            <v>Unconfirmed Cayman Islands Operator</v>
          </cell>
          <cell r="D89">
            <v>38890</v>
          </cell>
          <cell r="E89" t="str">
            <v>Latin America and Caribbean</v>
          </cell>
          <cell r="F89" t="str">
            <v>Cayman Islands</v>
          </cell>
          <cell r="G89" t="str">
            <v>Business / Corporate / Executive</v>
          </cell>
        </row>
        <row r="90">
          <cell r="A90" t="str">
            <v>Gulfstream G550</v>
          </cell>
          <cell r="C90" t="str">
            <v>Motorola Inc</v>
          </cell>
          <cell r="D90">
            <v>38895</v>
          </cell>
          <cell r="E90" t="str">
            <v>North America</v>
          </cell>
          <cell r="F90" t="str">
            <v>USA</v>
          </cell>
          <cell r="G90" t="str">
            <v>Business / Corporate / Executive</v>
          </cell>
        </row>
        <row r="91">
          <cell r="A91" t="str">
            <v>Gulfstream G550</v>
          </cell>
          <cell r="C91" t="str">
            <v>ConocoPhillips Co</v>
          </cell>
          <cell r="D91">
            <v>38927</v>
          </cell>
          <cell r="E91" t="str">
            <v>North America</v>
          </cell>
          <cell r="F91" t="str">
            <v>USA</v>
          </cell>
          <cell r="G91" t="str">
            <v>Business / Corporate / Executive</v>
          </cell>
        </row>
        <row r="92">
          <cell r="A92" t="str">
            <v>Gulfstream G550</v>
          </cell>
          <cell r="C92" t="str">
            <v>ConocoPhillips Co</v>
          </cell>
          <cell r="D92">
            <v>38939</v>
          </cell>
          <cell r="E92" t="str">
            <v>North America</v>
          </cell>
          <cell r="F92" t="str">
            <v>USA</v>
          </cell>
          <cell r="G92" t="str">
            <v>Business / Corporate / Executive</v>
          </cell>
        </row>
        <row r="93">
          <cell r="A93" t="str">
            <v>Gulfstream G550</v>
          </cell>
          <cell r="C93" t="str">
            <v>Skybird Aviation</v>
          </cell>
          <cell r="D93">
            <v>38946</v>
          </cell>
          <cell r="E93" t="str">
            <v>North America</v>
          </cell>
          <cell r="F93" t="str">
            <v>USA</v>
          </cell>
          <cell r="G93" t="str">
            <v>Business / Corporate / Executive</v>
          </cell>
        </row>
        <row r="94">
          <cell r="A94" t="str">
            <v>Gulfstream G550</v>
          </cell>
          <cell r="C94" t="str">
            <v>Crimson Aviation Co LLC</v>
          </cell>
          <cell r="D94">
            <v>38969</v>
          </cell>
          <cell r="E94" t="str">
            <v>North America</v>
          </cell>
          <cell r="F94" t="str">
            <v>USA</v>
          </cell>
          <cell r="G94" t="str">
            <v>Business / Corporate / Executive</v>
          </cell>
        </row>
        <row r="95">
          <cell r="A95" t="str">
            <v>Gulfstream G550</v>
          </cell>
          <cell r="C95" t="str">
            <v>Ropa Two Corp</v>
          </cell>
          <cell r="D95">
            <v>38971</v>
          </cell>
          <cell r="E95" t="str">
            <v>North America</v>
          </cell>
          <cell r="F95" t="str">
            <v>USA</v>
          </cell>
          <cell r="G95" t="str">
            <v>Business / Corporate / Executive</v>
          </cell>
        </row>
        <row r="96">
          <cell r="A96" t="str">
            <v>Gulfstream G550</v>
          </cell>
          <cell r="C96" t="str">
            <v>Avenir Worldwide (Bermuda) Ltd</v>
          </cell>
          <cell r="D96">
            <v>38973</v>
          </cell>
          <cell r="E96" t="str">
            <v>Latin America and Caribbean</v>
          </cell>
          <cell r="F96" t="str">
            <v>Bermuda</v>
          </cell>
          <cell r="G96" t="str">
            <v>Business / Corporate / Executive</v>
          </cell>
        </row>
        <row r="97">
          <cell r="A97" t="str">
            <v>Gulfstream G550</v>
          </cell>
          <cell r="C97" t="str">
            <v>Israel Air and Space Force</v>
          </cell>
          <cell r="D97">
            <v>38979</v>
          </cell>
          <cell r="E97" t="str">
            <v>Middle East</v>
          </cell>
          <cell r="F97" t="str">
            <v>Israel</v>
          </cell>
          <cell r="G97" t="str">
            <v>ASW / AEW / AWACS /Surveillance / Recce / Patrol</v>
          </cell>
        </row>
        <row r="98">
          <cell r="A98" t="str">
            <v>Gulfstream G550</v>
          </cell>
          <cell r="C98" t="str">
            <v>Jet Aviation Business Jets</v>
          </cell>
          <cell r="D98">
            <v>38994</v>
          </cell>
          <cell r="E98" t="str">
            <v>Asia</v>
          </cell>
          <cell r="F98" t="str">
            <v>Hong Kong</v>
          </cell>
          <cell r="G98" t="str">
            <v>Business / Corporate / Executive</v>
          </cell>
        </row>
        <row r="99">
          <cell r="A99" t="str">
            <v>Gulfstream G550</v>
          </cell>
          <cell r="C99" t="str">
            <v>Rashid Engineering</v>
          </cell>
          <cell r="D99">
            <v>39009</v>
          </cell>
          <cell r="E99" t="str">
            <v>Middle East</v>
          </cell>
          <cell r="F99" t="str">
            <v>Saudi Arabia</v>
          </cell>
          <cell r="G99" t="str">
            <v>Business / Corporate / Executive</v>
          </cell>
        </row>
        <row r="100">
          <cell r="A100" t="str">
            <v>Gulfstream G550</v>
          </cell>
          <cell r="C100" t="str">
            <v>ARAMCO Associated Co</v>
          </cell>
          <cell r="D100">
            <v>39010</v>
          </cell>
          <cell r="E100" t="str">
            <v>North America</v>
          </cell>
          <cell r="F100" t="str">
            <v>USA</v>
          </cell>
          <cell r="G100" t="str">
            <v>Business / Corporate / Executive</v>
          </cell>
        </row>
        <row r="101">
          <cell r="A101" t="str">
            <v>Gulfstream G550</v>
          </cell>
          <cell r="C101" t="str">
            <v>US Navy</v>
          </cell>
          <cell r="D101">
            <v>39017</v>
          </cell>
          <cell r="E101" t="str">
            <v>North America</v>
          </cell>
          <cell r="F101" t="str">
            <v>USA</v>
          </cell>
          <cell r="G101" t="str">
            <v>VIP / Government operated</v>
          </cell>
        </row>
        <row r="102">
          <cell r="A102" t="str">
            <v>Gulfstream G550</v>
          </cell>
          <cell r="C102" t="str">
            <v>Donizetti International Ltd</v>
          </cell>
          <cell r="D102">
            <v>39025</v>
          </cell>
          <cell r="E102" t="str">
            <v>Asia</v>
          </cell>
          <cell r="F102" t="str">
            <v>Hong Kong</v>
          </cell>
          <cell r="G102" t="str">
            <v>Business / Corporate / Executive</v>
          </cell>
        </row>
        <row r="103">
          <cell r="A103" t="str">
            <v>Gulfstream G550</v>
          </cell>
          <cell r="C103" t="str">
            <v>Executive Airlines SA</v>
          </cell>
          <cell r="D103">
            <v>39027</v>
          </cell>
          <cell r="E103" t="str">
            <v>Europe</v>
          </cell>
          <cell r="F103" t="str">
            <v>Spain</v>
          </cell>
          <cell r="G103" t="str">
            <v>Business / Corporate / Executive</v>
          </cell>
        </row>
        <row r="104">
          <cell r="A104" t="str">
            <v>Gulfstream G550</v>
          </cell>
          <cell r="C104" t="str">
            <v>AA5 LLC</v>
          </cell>
          <cell r="D104">
            <v>39041</v>
          </cell>
          <cell r="E104" t="str">
            <v>North America</v>
          </cell>
          <cell r="F104" t="str">
            <v>USA</v>
          </cell>
          <cell r="G104" t="str">
            <v>Business / Corporate / Executive</v>
          </cell>
        </row>
        <row r="105">
          <cell r="A105" t="str">
            <v>Gulfstream G550</v>
          </cell>
          <cell r="C105" t="str">
            <v>General Dynamics Corp</v>
          </cell>
          <cell r="D105">
            <v>39051</v>
          </cell>
          <cell r="E105" t="str">
            <v>North America</v>
          </cell>
          <cell r="F105" t="str">
            <v>USA</v>
          </cell>
          <cell r="G105" t="str">
            <v>Business / Corporate / Executive</v>
          </cell>
        </row>
        <row r="106">
          <cell r="A106" t="str">
            <v>Gulfstream G550</v>
          </cell>
          <cell r="C106" t="str">
            <v>Surgutneftegas</v>
          </cell>
          <cell r="D106">
            <v>39056</v>
          </cell>
          <cell r="E106" t="str">
            <v>Europe</v>
          </cell>
          <cell r="F106" t="str">
            <v>Russia</v>
          </cell>
          <cell r="G106" t="str">
            <v>Business / Corporate / Executive</v>
          </cell>
        </row>
        <row r="107">
          <cell r="A107" t="str">
            <v>Gulfstream G550</v>
          </cell>
          <cell r="C107" t="str">
            <v>ARAMCO Associated Co</v>
          </cell>
          <cell r="D107">
            <v>39063</v>
          </cell>
          <cell r="E107" t="str">
            <v>North America</v>
          </cell>
          <cell r="F107" t="str">
            <v>USA</v>
          </cell>
          <cell r="G107" t="str">
            <v>Business / Corporate / Executive</v>
          </cell>
        </row>
        <row r="108">
          <cell r="A108" t="str">
            <v>Gulfstream G550</v>
          </cell>
          <cell r="C108" t="str">
            <v>JMI Services Inc</v>
          </cell>
          <cell r="D108">
            <v>39070</v>
          </cell>
          <cell r="E108" t="str">
            <v>North America</v>
          </cell>
          <cell r="F108" t="str">
            <v>USA</v>
          </cell>
          <cell r="G108" t="str">
            <v>Business / Corporate / Executive</v>
          </cell>
        </row>
        <row r="109">
          <cell r="A109" t="str">
            <v>Gulfstream V</v>
          </cell>
          <cell r="B109" t="str">
            <v xml:space="preserve"> </v>
          </cell>
          <cell r="C109" t="str">
            <v>Israel Air and Space Force</v>
          </cell>
          <cell r="D109">
            <v>38764</v>
          </cell>
          <cell r="E109" t="str">
            <v>Middle East</v>
          </cell>
          <cell r="F109" t="str">
            <v>Israel</v>
          </cell>
          <cell r="G109" t="str">
            <v>ELINT / ECM / Electronics</v>
          </cell>
        </row>
        <row r="110">
          <cell r="A110" t="str">
            <v>Gulfstream V</v>
          </cell>
          <cell r="B110" t="str">
            <v xml:space="preserve"> </v>
          </cell>
          <cell r="C110" t="str">
            <v>Israel Air and Space Force</v>
          </cell>
          <cell r="D110">
            <v>38959</v>
          </cell>
          <cell r="E110" t="str">
            <v>Middle East</v>
          </cell>
          <cell r="F110" t="str">
            <v>Israel</v>
          </cell>
          <cell r="G110" t="str">
            <v>ELINT / ECM / Electronics</v>
          </cell>
        </row>
        <row r="112">
          <cell r="A112" t="str">
            <v>2005 Detail</v>
          </cell>
        </row>
        <row r="113">
          <cell r="A113" t="str">
            <v>Type</v>
          </cell>
          <cell r="B113" t="str">
            <v>Variant</v>
          </cell>
          <cell r="C113" t="str">
            <v>Operator</v>
          </cell>
          <cell r="D113" t="str">
            <v>DeliveryDate</v>
          </cell>
          <cell r="E113" t="str">
            <v>OperatorArea</v>
          </cell>
          <cell r="F113" t="str">
            <v>OperatorCountry</v>
          </cell>
          <cell r="G113" t="str">
            <v>Usage</v>
          </cell>
        </row>
        <row r="114">
          <cell r="A114" t="str">
            <v>Gulfstream G100</v>
          </cell>
          <cell r="C114" t="str">
            <v>AK Steel Corp</v>
          </cell>
          <cell r="D114">
            <v>38567</v>
          </cell>
          <cell r="E114" t="str">
            <v>North America</v>
          </cell>
          <cell r="F114" t="str">
            <v>USA</v>
          </cell>
          <cell r="G114" t="str">
            <v>Business / Corporate / Executive</v>
          </cell>
        </row>
        <row r="115">
          <cell r="A115" t="str">
            <v>Gulfstream G100</v>
          </cell>
          <cell r="C115" t="str">
            <v>AML Leasing LLC</v>
          </cell>
          <cell r="D115">
            <v>38583</v>
          </cell>
          <cell r="E115" t="str">
            <v>North America</v>
          </cell>
          <cell r="F115" t="str">
            <v>USA</v>
          </cell>
          <cell r="G115" t="str">
            <v>Business / Corporate / Executive</v>
          </cell>
        </row>
        <row r="116">
          <cell r="A116" t="str">
            <v>Gulfstream G100</v>
          </cell>
          <cell r="C116" t="str">
            <v>LMI LLC</v>
          </cell>
          <cell r="D116">
            <v>38685</v>
          </cell>
          <cell r="E116" t="str">
            <v>North America</v>
          </cell>
          <cell r="F116" t="str">
            <v>USA</v>
          </cell>
          <cell r="G116" t="str">
            <v>Business / Corporate / Executive</v>
          </cell>
        </row>
        <row r="117">
          <cell r="A117" t="str">
            <v>Gulfstream G100</v>
          </cell>
          <cell r="C117" t="str">
            <v>Jetport Inc</v>
          </cell>
          <cell r="D117">
            <v>38694</v>
          </cell>
          <cell r="E117" t="str">
            <v>North America</v>
          </cell>
          <cell r="F117" t="str">
            <v>Canada</v>
          </cell>
          <cell r="G117" t="str">
            <v>Business / Corporate / Executive</v>
          </cell>
        </row>
        <row r="118">
          <cell r="A118" t="str">
            <v>Gulfstream G200</v>
          </cell>
          <cell r="C118" t="str">
            <v>MMD LLC</v>
          </cell>
          <cell r="D118">
            <v>38377</v>
          </cell>
          <cell r="E118" t="str">
            <v>North America</v>
          </cell>
          <cell r="F118" t="str">
            <v>USA</v>
          </cell>
          <cell r="G118" t="str">
            <v>Business / Corporate / Executive</v>
          </cell>
        </row>
        <row r="119">
          <cell r="A119" t="str">
            <v>Gulfstream G200</v>
          </cell>
          <cell r="C119" t="str">
            <v>Pleasant Aircraft Leasing LLC</v>
          </cell>
          <cell r="D119">
            <v>38432</v>
          </cell>
          <cell r="E119" t="str">
            <v>North America</v>
          </cell>
          <cell r="F119" t="str">
            <v>USA</v>
          </cell>
          <cell r="G119" t="str">
            <v>Business / Corporate / Executive</v>
          </cell>
        </row>
        <row r="120">
          <cell r="A120" t="str">
            <v>Gulfstream G200</v>
          </cell>
          <cell r="C120" t="str">
            <v>Gestair</v>
          </cell>
          <cell r="D120">
            <v>38443</v>
          </cell>
          <cell r="E120" t="str">
            <v>Europe</v>
          </cell>
          <cell r="F120" t="str">
            <v>Spain</v>
          </cell>
          <cell r="G120" t="str">
            <v>Business / Corporate / Executive</v>
          </cell>
        </row>
        <row r="121">
          <cell r="A121" t="str">
            <v>Gulfstream G200</v>
          </cell>
          <cell r="C121" t="str">
            <v>Netjets</v>
          </cell>
          <cell r="D121">
            <v>38454</v>
          </cell>
          <cell r="E121" t="str">
            <v>North America</v>
          </cell>
          <cell r="F121" t="str">
            <v>USA</v>
          </cell>
          <cell r="G121" t="str">
            <v>Business / Corporate / Executive</v>
          </cell>
        </row>
        <row r="122">
          <cell r="A122" t="str">
            <v>Gulfstream G200</v>
          </cell>
          <cell r="C122" t="str">
            <v>Del Valle Capital Corp</v>
          </cell>
          <cell r="D122">
            <v>38463</v>
          </cell>
          <cell r="E122" t="str">
            <v>North America</v>
          </cell>
          <cell r="F122" t="str">
            <v>USA</v>
          </cell>
          <cell r="G122" t="str">
            <v>Business / Corporate / Executive</v>
          </cell>
        </row>
        <row r="123">
          <cell r="A123" t="str">
            <v>Gulfstream G200</v>
          </cell>
          <cell r="C123" t="str">
            <v>Westwind Acquisition Co LLC</v>
          </cell>
          <cell r="D123">
            <v>38463</v>
          </cell>
          <cell r="E123" t="str">
            <v>North America</v>
          </cell>
          <cell r="F123" t="str">
            <v>USA</v>
          </cell>
          <cell r="G123" t="str">
            <v>Business / Corporate / Executive</v>
          </cell>
        </row>
        <row r="124">
          <cell r="A124" t="str">
            <v>Gulfstream G200</v>
          </cell>
          <cell r="C124" t="str">
            <v>Netjets</v>
          </cell>
          <cell r="D124">
            <v>38489</v>
          </cell>
          <cell r="E124" t="str">
            <v>North America</v>
          </cell>
          <cell r="F124" t="str">
            <v>USA</v>
          </cell>
          <cell r="G124" t="str">
            <v>Business / Corporate / Executive</v>
          </cell>
        </row>
        <row r="125">
          <cell r="A125" t="str">
            <v>Gulfstream G200</v>
          </cell>
          <cell r="C125" t="str">
            <v>Matadoro Management Investments LLC &amp; Aosky Corp</v>
          </cell>
          <cell r="D125">
            <v>38509</v>
          </cell>
          <cell r="E125" t="str">
            <v>North America</v>
          </cell>
          <cell r="F125" t="str">
            <v>USA</v>
          </cell>
          <cell r="G125" t="str">
            <v>Business / Corporate / Executive</v>
          </cell>
        </row>
        <row r="126">
          <cell r="A126" t="str">
            <v>Gulfstream G200</v>
          </cell>
          <cell r="C126" t="str">
            <v>Volante LLC</v>
          </cell>
          <cell r="D126">
            <v>38530</v>
          </cell>
          <cell r="E126" t="str">
            <v>North America</v>
          </cell>
          <cell r="F126" t="str">
            <v>USA</v>
          </cell>
          <cell r="G126" t="str">
            <v>Business / Corporate / Executive</v>
          </cell>
        </row>
        <row r="127">
          <cell r="A127" t="str">
            <v>Gulfstream G200</v>
          </cell>
          <cell r="C127" t="str">
            <v>Sky King &amp; Co LLC</v>
          </cell>
          <cell r="D127">
            <v>38533</v>
          </cell>
          <cell r="E127" t="str">
            <v>North America</v>
          </cell>
          <cell r="F127" t="str">
            <v>USA</v>
          </cell>
          <cell r="G127" t="str">
            <v>Business / Corporate / Executive</v>
          </cell>
        </row>
        <row r="128">
          <cell r="A128" t="str">
            <v>Gulfstream G200</v>
          </cell>
          <cell r="C128" t="str">
            <v>Partner Jet Inc</v>
          </cell>
          <cell r="D128">
            <v>38583</v>
          </cell>
          <cell r="E128" t="str">
            <v>North America</v>
          </cell>
          <cell r="F128" t="str">
            <v>Canada</v>
          </cell>
          <cell r="G128" t="str">
            <v>Business / Corporate / Executive</v>
          </cell>
        </row>
        <row r="129">
          <cell r="A129" t="str">
            <v>Gulfstream G200</v>
          </cell>
          <cell r="C129" t="str">
            <v>Netjets</v>
          </cell>
          <cell r="D129">
            <v>38621</v>
          </cell>
          <cell r="E129" t="str">
            <v>North America</v>
          </cell>
          <cell r="F129" t="str">
            <v>USA</v>
          </cell>
          <cell r="G129" t="str">
            <v>Business / Corporate / Executive</v>
          </cell>
        </row>
        <row r="130">
          <cell r="A130" t="str">
            <v>Gulfstream G200</v>
          </cell>
          <cell r="C130" t="str">
            <v>Unconfirmed Corporate Operator</v>
          </cell>
          <cell r="D130">
            <v>38624</v>
          </cell>
          <cell r="E130" t="str">
            <v>Unknown area</v>
          </cell>
          <cell r="F130" t="str">
            <v>Unknown Country</v>
          </cell>
          <cell r="G130" t="str">
            <v>Business / Corporate / Executive</v>
          </cell>
        </row>
        <row r="131">
          <cell r="A131" t="str">
            <v>Gulfstream G200</v>
          </cell>
          <cell r="C131" t="str">
            <v>ASNY Aviation LLC</v>
          </cell>
          <cell r="D131">
            <v>38644</v>
          </cell>
          <cell r="E131" t="str">
            <v>North America</v>
          </cell>
          <cell r="F131" t="str">
            <v>USA</v>
          </cell>
          <cell r="G131" t="str">
            <v>Business / Corporate / Executive</v>
          </cell>
        </row>
        <row r="132">
          <cell r="A132" t="str">
            <v>Gulfstream G200</v>
          </cell>
          <cell r="C132" t="str">
            <v>Netjets</v>
          </cell>
          <cell r="D132">
            <v>38644</v>
          </cell>
          <cell r="E132" t="str">
            <v>North America</v>
          </cell>
          <cell r="F132" t="str">
            <v>USA</v>
          </cell>
          <cell r="G132" t="str">
            <v>Business / Corporate / Executive</v>
          </cell>
        </row>
        <row r="133">
          <cell r="A133" t="str">
            <v>Gulfstream G200</v>
          </cell>
          <cell r="C133" t="str">
            <v>Graham Brothers Construction Co Inc</v>
          </cell>
          <cell r="D133">
            <v>38659</v>
          </cell>
          <cell r="E133" t="str">
            <v>North America</v>
          </cell>
          <cell r="F133" t="str">
            <v>USA</v>
          </cell>
          <cell r="G133" t="str">
            <v>Business / Corporate / Executive</v>
          </cell>
        </row>
        <row r="134">
          <cell r="A134" t="str">
            <v>Gulfstream G200</v>
          </cell>
          <cell r="C134" t="str">
            <v>Partner Jet Inc</v>
          </cell>
          <cell r="D134">
            <v>38672</v>
          </cell>
          <cell r="E134" t="str">
            <v>North America</v>
          </cell>
          <cell r="F134" t="str">
            <v>Canada</v>
          </cell>
          <cell r="G134" t="str">
            <v>Business / Corporate / Executive</v>
          </cell>
        </row>
        <row r="135">
          <cell r="A135" t="str">
            <v>Gulfstream G200</v>
          </cell>
          <cell r="C135" t="str">
            <v>Netjets</v>
          </cell>
          <cell r="D135">
            <v>38673</v>
          </cell>
          <cell r="E135" t="str">
            <v>North America</v>
          </cell>
          <cell r="F135" t="str">
            <v>USA</v>
          </cell>
          <cell r="G135" t="str">
            <v>Business / Corporate / Executive</v>
          </cell>
        </row>
        <row r="136">
          <cell r="A136" t="str">
            <v>Gulfstream G200</v>
          </cell>
          <cell r="C136" t="str">
            <v>Jeld-Wen Inc</v>
          </cell>
          <cell r="D136">
            <v>38701</v>
          </cell>
          <cell r="E136" t="str">
            <v>North America</v>
          </cell>
          <cell r="F136" t="str">
            <v>USA</v>
          </cell>
          <cell r="G136" t="str">
            <v>Business / Corporate / Executive</v>
          </cell>
        </row>
        <row r="137">
          <cell r="A137" t="str">
            <v>Gulfstream G200</v>
          </cell>
          <cell r="C137" t="str">
            <v>Netjets</v>
          </cell>
          <cell r="D137">
            <v>38706</v>
          </cell>
          <cell r="E137" t="str">
            <v>North America</v>
          </cell>
          <cell r="F137" t="str">
            <v>USA</v>
          </cell>
          <cell r="G137" t="str">
            <v>Business / Corporate / Executive</v>
          </cell>
        </row>
        <row r="138">
          <cell r="A138" t="str">
            <v>Gulfstream G300</v>
          </cell>
          <cell r="C138" t="str">
            <v>Toyota Industries North America</v>
          </cell>
          <cell r="D138">
            <v>38419</v>
          </cell>
          <cell r="E138" t="str">
            <v>North America</v>
          </cell>
          <cell r="F138" t="str">
            <v>USA</v>
          </cell>
          <cell r="G138" t="str">
            <v>Business / Corporate / Executive</v>
          </cell>
        </row>
        <row r="139">
          <cell r="A139" t="str">
            <v>Gulfstream G300</v>
          </cell>
          <cell r="C139" t="str">
            <v>National Air Service</v>
          </cell>
          <cell r="D139">
            <v>38503</v>
          </cell>
          <cell r="E139" t="str">
            <v>Middle East</v>
          </cell>
          <cell r="F139" t="str">
            <v>Saudi Arabia</v>
          </cell>
          <cell r="G139" t="str">
            <v>Business / Corporate / Executive</v>
          </cell>
        </row>
        <row r="140">
          <cell r="A140" t="str">
            <v>Gulfstream G350</v>
          </cell>
          <cell r="C140" t="str">
            <v>General Motors Corp</v>
          </cell>
          <cell r="D140">
            <v>38533</v>
          </cell>
          <cell r="E140" t="str">
            <v>North America</v>
          </cell>
          <cell r="F140" t="str">
            <v>USA</v>
          </cell>
          <cell r="G140" t="str">
            <v>Business / Corporate / Executive</v>
          </cell>
        </row>
        <row r="141">
          <cell r="A141" t="str">
            <v>Gulfstream G350</v>
          </cell>
          <cell r="C141" t="str">
            <v>General Motors Corp</v>
          </cell>
          <cell r="D141">
            <v>38596</v>
          </cell>
          <cell r="E141" t="str">
            <v>North America</v>
          </cell>
          <cell r="F141" t="str">
            <v>USA</v>
          </cell>
          <cell r="G141" t="str">
            <v>Business / Corporate / Executive</v>
          </cell>
        </row>
        <row r="142">
          <cell r="A142" t="str">
            <v>Gulfstream G350</v>
          </cell>
          <cell r="C142" t="str">
            <v>Whiskey Romeo Owner LLC</v>
          </cell>
          <cell r="D142">
            <v>38617</v>
          </cell>
          <cell r="E142" t="str">
            <v>North America</v>
          </cell>
          <cell r="F142" t="str">
            <v>USA</v>
          </cell>
          <cell r="G142" t="str">
            <v>Business / Corporate / Executive</v>
          </cell>
        </row>
        <row r="143">
          <cell r="A143" t="str">
            <v>Gulfstream G350</v>
          </cell>
          <cell r="C143" t="str">
            <v>General Motors Corp</v>
          </cell>
          <cell r="D143">
            <v>38649</v>
          </cell>
          <cell r="E143" t="str">
            <v>North America</v>
          </cell>
          <cell r="F143" t="str">
            <v>USA</v>
          </cell>
          <cell r="G143" t="str">
            <v>Business / Corporate / Executive</v>
          </cell>
        </row>
        <row r="144">
          <cell r="A144" t="str">
            <v>Gulfstream G350</v>
          </cell>
          <cell r="C144" t="str">
            <v>General Motors Corp</v>
          </cell>
          <cell r="D144">
            <v>38672</v>
          </cell>
          <cell r="E144" t="str">
            <v>North America</v>
          </cell>
          <cell r="F144" t="str">
            <v>USA</v>
          </cell>
          <cell r="G144" t="str">
            <v>Business / Corporate / Executive</v>
          </cell>
        </row>
        <row r="145">
          <cell r="A145" t="str">
            <v>Gulfstream G350</v>
          </cell>
          <cell r="C145" t="str">
            <v>General Motors Corp</v>
          </cell>
          <cell r="D145">
            <v>38705</v>
          </cell>
          <cell r="E145" t="str">
            <v>North America</v>
          </cell>
          <cell r="F145" t="str">
            <v>USA</v>
          </cell>
          <cell r="G145" t="str">
            <v>Business / Corporate / Executive</v>
          </cell>
        </row>
        <row r="146">
          <cell r="A146" t="str">
            <v>Gulfstream G400</v>
          </cell>
          <cell r="C146" t="str">
            <v>Netjets International</v>
          </cell>
          <cell r="D146">
            <v>38385</v>
          </cell>
          <cell r="E146" t="str">
            <v>North America</v>
          </cell>
          <cell r="F146" t="str">
            <v>USA</v>
          </cell>
          <cell r="G146" t="str">
            <v>Business / Corporate / Executive</v>
          </cell>
        </row>
        <row r="147">
          <cell r="A147" t="str">
            <v>Gulfstream G400</v>
          </cell>
          <cell r="C147" t="str">
            <v>AirKraft One LLC</v>
          </cell>
          <cell r="D147">
            <v>38394</v>
          </cell>
          <cell r="E147" t="str">
            <v>North America</v>
          </cell>
          <cell r="F147" t="str">
            <v>USA</v>
          </cell>
          <cell r="G147" t="str">
            <v>Business / Corporate / Executive</v>
          </cell>
        </row>
        <row r="148">
          <cell r="A148" t="str">
            <v>Gulfstream G450</v>
          </cell>
          <cell r="C148" t="str">
            <v>Kilmer Management Limited Partnership</v>
          </cell>
          <cell r="D148">
            <v>38436</v>
          </cell>
          <cell r="E148" t="str">
            <v>North America</v>
          </cell>
          <cell r="F148" t="str">
            <v>Canada</v>
          </cell>
          <cell r="G148" t="str">
            <v>Business / Corporate / Executive</v>
          </cell>
        </row>
        <row r="149">
          <cell r="A149" t="str">
            <v>Gulfstream G450</v>
          </cell>
          <cell r="C149" t="str">
            <v>Delta Jet Ltd</v>
          </cell>
          <cell r="D149">
            <v>38517</v>
          </cell>
          <cell r="E149" t="str">
            <v>North America</v>
          </cell>
          <cell r="F149" t="str">
            <v>USA</v>
          </cell>
          <cell r="G149" t="str">
            <v>Business / Corporate / Executive</v>
          </cell>
        </row>
        <row r="150">
          <cell r="A150" t="str">
            <v>Gulfstream G450</v>
          </cell>
          <cell r="C150" t="str">
            <v>United States Steel Corp</v>
          </cell>
          <cell r="D150">
            <v>38565</v>
          </cell>
          <cell r="E150" t="str">
            <v>North America</v>
          </cell>
          <cell r="F150" t="str">
            <v>USA</v>
          </cell>
          <cell r="G150" t="str">
            <v>Business / Corporate / Executive</v>
          </cell>
        </row>
        <row r="151">
          <cell r="A151" t="str">
            <v>Gulfstream G450</v>
          </cell>
          <cell r="C151" t="str">
            <v>Netjets International</v>
          </cell>
          <cell r="D151">
            <v>38595</v>
          </cell>
          <cell r="E151" t="str">
            <v>North America</v>
          </cell>
          <cell r="F151" t="str">
            <v>USA</v>
          </cell>
          <cell r="G151" t="str">
            <v>Business / Corporate / Executive</v>
          </cell>
        </row>
        <row r="152">
          <cell r="A152" t="str">
            <v>Gulfstream G450</v>
          </cell>
          <cell r="C152" t="str">
            <v>JP Morgan Aircraft Holdings Inc</v>
          </cell>
          <cell r="D152">
            <v>38615</v>
          </cell>
          <cell r="E152" t="str">
            <v>North America</v>
          </cell>
          <cell r="F152" t="str">
            <v>USA</v>
          </cell>
          <cell r="G152" t="str">
            <v>Business / Corporate / Executive</v>
          </cell>
        </row>
        <row r="153">
          <cell r="A153" t="str">
            <v>Gulfstream G450</v>
          </cell>
          <cell r="C153" t="str">
            <v>General Motors Corp</v>
          </cell>
          <cell r="D153">
            <v>38616</v>
          </cell>
          <cell r="E153" t="str">
            <v>North America</v>
          </cell>
          <cell r="F153" t="str">
            <v>USA</v>
          </cell>
          <cell r="G153" t="str">
            <v>Business / Corporate / Executive</v>
          </cell>
        </row>
        <row r="154">
          <cell r="A154" t="str">
            <v>Gulfstream G450</v>
          </cell>
          <cell r="C154" t="str">
            <v>Unconfirmed Corporate Operator</v>
          </cell>
          <cell r="D154">
            <v>38624</v>
          </cell>
          <cell r="E154" t="str">
            <v>Unknown area</v>
          </cell>
          <cell r="F154" t="str">
            <v>Unknown Country</v>
          </cell>
          <cell r="G154" t="str">
            <v>Business / Corporate / Executive</v>
          </cell>
        </row>
        <row r="155">
          <cell r="A155" t="str">
            <v>Gulfstream G450</v>
          </cell>
          <cell r="C155" t="str">
            <v>IMS Health Transportation Services Corp</v>
          </cell>
          <cell r="D155">
            <v>38642</v>
          </cell>
          <cell r="E155" t="str">
            <v>North America</v>
          </cell>
          <cell r="F155" t="str">
            <v>USA</v>
          </cell>
          <cell r="G155" t="str">
            <v>Business / Corporate / Executive</v>
          </cell>
        </row>
        <row r="156">
          <cell r="A156" t="str">
            <v>Gulfstream G450</v>
          </cell>
          <cell r="C156" t="str">
            <v>Netjets International</v>
          </cell>
          <cell r="D156">
            <v>38643</v>
          </cell>
          <cell r="E156" t="str">
            <v>North America</v>
          </cell>
          <cell r="F156" t="str">
            <v>USA</v>
          </cell>
          <cell r="G156" t="str">
            <v>Business / Corporate / Executive</v>
          </cell>
        </row>
        <row r="157">
          <cell r="A157" t="str">
            <v>Gulfstream G450</v>
          </cell>
          <cell r="C157" t="str">
            <v>Pegasus North Inc</v>
          </cell>
          <cell r="D157">
            <v>38653</v>
          </cell>
          <cell r="E157" t="str">
            <v>North America</v>
          </cell>
          <cell r="F157" t="str">
            <v>USA</v>
          </cell>
          <cell r="G157" t="str">
            <v>Business / Corporate / Executive</v>
          </cell>
        </row>
        <row r="158">
          <cell r="A158" t="str">
            <v>Gulfstream G450</v>
          </cell>
          <cell r="C158" t="str">
            <v>Netjets International</v>
          </cell>
          <cell r="D158">
            <v>38664</v>
          </cell>
          <cell r="E158" t="str">
            <v>North America</v>
          </cell>
          <cell r="F158" t="str">
            <v>USA</v>
          </cell>
          <cell r="G158" t="str">
            <v>Business / Corporate / Executive</v>
          </cell>
        </row>
        <row r="159">
          <cell r="A159" t="str">
            <v>Gulfstream G450</v>
          </cell>
          <cell r="C159" t="str">
            <v>Maywind LLC</v>
          </cell>
          <cell r="D159">
            <v>38671</v>
          </cell>
          <cell r="E159" t="str">
            <v>North America</v>
          </cell>
          <cell r="F159" t="str">
            <v>USA</v>
          </cell>
          <cell r="G159" t="str">
            <v>Business / Corporate / Executive</v>
          </cell>
        </row>
        <row r="160">
          <cell r="A160" t="str">
            <v>Gulfstream G450</v>
          </cell>
          <cell r="C160" t="str">
            <v>Willis Stein &amp; Partners Manegement II LLC</v>
          </cell>
          <cell r="D160">
            <v>38672</v>
          </cell>
          <cell r="E160" t="str">
            <v>North America</v>
          </cell>
          <cell r="F160" t="str">
            <v>USA</v>
          </cell>
          <cell r="G160" t="str">
            <v>Business / Corporate / Executive</v>
          </cell>
        </row>
        <row r="161">
          <cell r="A161" t="str">
            <v>Gulfstream G450</v>
          </cell>
          <cell r="C161" t="str">
            <v>L&amp;L Leasing IV LLC et al</v>
          </cell>
          <cell r="D161">
            <v>38677</v>
          </cell>
          <cell r="E161" t="str">
            <v>North America</v>
          </cell>
          <cell r="F161" t="str">
            <v>USA</v>
          </cell>
          <cell r="G161" t="str">
            <v>Business / Corporate / Executive</v>
          </cell>
        </row>
        <row r="162">
          <cell r="A162" t="str">
            <v>Gulfstream G450</v>
          </cell>
          <cell r="C162" t="str">
            <v>TRT Leasing Inc</v>
          </cell>
          <cell r="D162">
            <v>38687</v>
          </cell>
          <cell r="E162" t="str">
            <v>North America</v>
          </cell>
          <cell r="F162" t="str">
            <v>USA</v>
          </cell>
          <cell r="G162" t="str">
            <v>Business / Corporate / Executive</v>
          </cell>
        </row>
        <row r="163">
          <cell r="A163" t="str">
            <v>Gulfstream G450</v>
          </cell>
          <cell r="C163" t="str">
            <v>JM Family Enterprises Inc</v>
          </cell>
          <cell r="D163">
            <v>38694</v>
          </cell>
          <cell r="E163" t="str">
            <v>North America</v>
          </cell>
          <cell r="F163" t="str">
            <v>USA</v>
          </cell>
          <cell r="G163" t="str">
            <v>Business / Corporate / Executive</v>
          </cell>
        </row>
        <row r="164">
          <cell r="A164" t="str">
            <v>Gulfstream G500</v>
          </cell>
          <cell r="C164" t="str">
            <v>Wachovia Bank NA</v>
          </cell>
          <cell r="D164">
            <v>38580</v>
          </cell>
          <cell r="E164" t="str">
            <v>North America</v>
          </cell>
          <cell r="F164" t="str">
            <v>USA</v>
          </cell>
          <cell r="G164" t="str">
            <v>Business / Corporate / Executive</v>
          </cell>
        </row>
        <row r="165">
          <cell r="A165" t="str">
            <v>Gulfstream G550</v>
          </cell>
          <cell r="C165" t="str">
            <v>US Army</v>
          </cell>
          <cell r="D165">
            <v>38376</v>
          </cell>
          <cell r="E165" t="str">
            <v>North America</v>
          </cell>
          <cell r="F165" t="str">
            <v>USA</v>
          </cell>
          <cell r="G165" t="str">
            <v>VIP / Government operated</v>
          </cell>
        </row>
        <row r="166">
          <cell r="A166" t="str">
            <v>Gulfstream G550</v>
          </cell>
          <cell r="C166" t="str">
            <v>The Proctor &amp; Gamble Co</v>
          </cell>
          <cell r="D166">
            <v>38392</v>
          </cell>
          <cell r="E166" t="str">
            <v>North America</v>
          </cell>
          <cell r="F166" t="str">
            <v>USA</v>
          </cell>
          <cell r="G166" t="str">
            <v>Business / Corporate / Executive</v>
          </cell>
        </row>
        <row r="167">
          <cell r="A167" t="str">
            <v>Gulfstream G550</v>
          </cell>
          <cell r="C167" t="str">
            <v>US Navy</v>
          </cell>
          <cell r="D167">
            <v>38401</v>
          </cell>
          <cell r="E167" t="str">
            <v>North America</v>
          </cell>
          <cell r="F167" t="str">
            <v>USA</v>
          </cell>
          <cell r="G167" t="str">
            <v>VIP / Government operated</v>
          </cell>
        </row>
        <row r="168">
          <cell r="A168" t="str">
            <v>Gulfstream G550</v>
          </cell>
          <cell r="C168" t="str">
            <v>TAG Aviation USA</v>
          </cell>
          <cell r="D168">
            <v>38427</v>
          </cell>
          <cell r="E168" t="str">
            <v>North America</v>
          </cell>
          <cell r="F168" t="str">
            <v>USA</v>
          </cell>
          <cell r="G168" t="str">
            <v>Business / Corporate / Executive</v>
          </cell>
        </row>
        <row r="169">
          <cell r="A169" t="str">
            <v>Gulfstream G550</v>
          </cell>
          <cell r="C169" t="str">
            <v>Todd Wagner</v>
          </cell>
          <cell r="D169">
            <v>38427</v>
          </cell>
          <cell r="E169" t="str">
            <v>North America</v>
          </cell>
          <cell r="F169" t="str">
            <v>USA</v>
          </cell>
          <cell r="G169" t="str">
            <v>Business / Corporate / Executive</v>
          </cell>
        </row>
        <row r="170">
          <cell r="A170" t="str">
            <v>Gulfstream G550</v>
          </cell>
          <cell r="C170" t="str">
            <v>Natascha Establishment Ltd</v>
          </cell>
          <cell r="D170">
            <v>38432</v>
          </cell>
          <cell r="E170" t="str">
            <v>Latin America and Caribbean</v>
          </cell>
          <cell r="F170" t="str">
            <v>Bermuda</v>
          </cell>
          <cell r="G170" t="str">
            <v>Business / Corporate / Executive</v>
          </cell>
        </row>
        <row r="171">
          <cell r="A171" t="str">
            <v>Gulfstream G550</v>
          </cell>
          <cell r="C171" t="str">
            <v>Unconfirmed Russian Operator</v>
          </cell>
          <cell r="D171">
            <v>38436</v>
          </cell>
          <cell r="E171" t="str">
            <v>Europe</v>
          </cell>
          <cell r="F171" t="str">
            <v>Russia</v>
          </cell>
          <cell r="G171" t="str">
            <v>Business / Corporate / Executive</v>
          </cell>
        </row>
        <row r="172">
          <cell r="A172" t="str">
            <v>Gulfstream G550</v>
          </cell>
          <cell r="C172" t="str">
            <v>Time Value Property Exchange Inc</v>
          </cell>
          <cell r="D172">
            <v>38467</v>
          </cell>
          <cell r="E172" t="str">
            <v>North America</v>
          </cell>
          <cell r="F172" t="str">
            <v>USA</v>
          </cell>
          <cell r="G172" t="str">
            <v>Business / Corporate / Executive</v>
          </cell>
        </row>
        <row r="173">
          <cell r="A173" t="str">
            <v>Gulfstream G550</v>
          </cell>
          <cell r="C173" t="str">
            <v>Sheridan Aviation LLC</v>
          </cell>
          <cell r="D173">
            <v>38491</v>
          </cell>
          <cell r="E173" t="str">
            <v>North America</v>
          </cell>
          <cell r="F173" t="str">
            <v>USA</v>
          </cell>
          <cell r="G173" t="str">
            <v>Business / Corporate / Executive</v>
          </cell>
        </row>
        <row r="174">
          <cell r="A174" t="str">
            <v>Gulfstream G550</v>
          </cell>
          <cell r="C174" t="str">
            <v>AC Executive G550 Bermuda Ltd</v>
          </cell>
          <cell r="D174">
            <v>38498</v>
          </cell>
          <cell r="E174" t="str">
            <v>Latin America and Caribbean</v>
          </cell>
          <cell r="F174" t="str">
            <v>Bermuda</v>
          </cell>
          <cell r="G174" t="str">
            <v>Business / Corporate / Executive</v>
          </cell>
        </row>
        <row r="175">
          <cell r="A175" t="str">
            <v>Gulfstream G550</v>
          </cell>
          <cell r="C175" t="str">
            <v>Aerofrisco SA de CV</v>
          </cell>
          <cell r="D175">
            <v>38504</v>
          </cell>
          <cell r="E175" t="str">
            <v>North America</v>
          </cell>
          <cell r="F175" t="str">
            <v>USA</v>
          </cell>
          <cell r="G175" t="str">
            <v>Business / Corporate / Executive</v>
          </cell>
        </row>
        <row r="176">
          <cell r="A176" t="str">
            <v>Gulfstream G550</v>
          </cell>
          <cell r="C176" t="str">
            <v>Mark Cuban</v>
          </cell>
          <cell r="D176">
            <v>38504</v>
          </cell>
          <cell r="E176" t="str">
            <v>North America</v>
          </cell>
          <cell r="F176" t="str">
            <v>USA</v>
          </cell>
          <cell r="G176" t="str">
            <v>Business / Corporate / Executive</v>
          </cell>
        </row>
        <row r="177">
          <cell r="A177" t="str">
            <v>Gulfstream G550</v>
          </cell>
          <cell r="C177" t="str">
            <v>ST Aviation LLC</v>
          </cell>
          <cell r="D177">
            <v>38511</v>
          </cell>
          <cell r="E177" t="str">
            <v>North America</v>
          </cell>
          <cell r="F177" t="str">
            <v>USA</v>
          </cell>
          <cell r="G177" t="str">
            <v>Business / Corporate / Executive</v>
          </cell>
        </row>
        <row r="178">
          <cell r="A178" t="str">
            <v>Gulfstream G550</v>
          </cell>
          <cell r="C178" t="str">
            <v>eBay Inc</v>
          </cell>
          <cell r="D178">
            <v>38524</v>
          </cell>
          <cell r="E178" t="str">
            <v>North America</v>
          </cell>
          <cell r="F178" t="str">
            <v>USA</v>
          </cell>
          <cell r="G178" t="str">
            <v>Business / Corporate / Executive</v>
          </cell>
        </row>
        <row r="179">
          <cell r="A179" t="str">
            <v>Gulfstream G550</v>
          </cell>
          <cell r="C179" t="str">
            <v>Consortium of AOL Time Warner Companies</v>
          </cell>
          <cell r="D179">
            <v>38525</v>
          </cell>
          <cell r="E179" t="str">
            <v>North America</v>
          </cell>
          <cell r="F179" t="str">
            <v>USA</v>
          </cell>
          <cell r="G179" t="str">
            <v>Business / Corporate / Executive</v>
          </cell>
        </row>
        <row r="180">
          <cell r="A180" t="str">
            <v>Gulfstream G550</v>
          </cell>
          <cell r="C180" t="str">
            <v>NetJets Europe</v>
          </cell>
          <cell r="D180">
            <v>38527</v>
          </cell>
          <cell r="E180" t="str">
            <v>Europe</v>
          </cell>
          <cell r="F180" t="str">
            <v>Portugal</v>
          </cell>
          <cell r="G180" t="str">
            <v>Business / Corporate / Executive</v>
          </cell>
        </row>
        <row r="181">
          <cell r="A181" t="str">
            <v>Gulfstream G550</v>
          </cell>
          <cell r="C181" t="str">
            <v>Sea Pioneer Shipping Corp</v>
          </cell>
          <cell r="D181">
            <v>38533</v>
          </cell>
          <cell r="E181" t="str">
            <v>Europe</v>
          </cell>
          <cell r="F181" t="str">
            <v>Greece</v>
          </cell>
          <cell r="G181" t="str">
            <v>Business / Corporate / Executive</v>
          </cell>
        </row>
        <row r="182">
          <cell r="A182" t="str">
            <v>Gulfstream G550</v>
          </cell>
          <cell r="C182" t="str">
            <v>JCB Aviation Department</v>
          </cell>
          <cell r="D182">
            <v>38567</v>
          </cell>
          <cell r="E182" t="str">
            <v>Europe</v>
          </cell>
          <cell r="F182" t="str">
            <v>United Kingdom</v>
          </cell>
          <cell r="G182" t="str">
            <v>Business / Corporate / Executive</v>
          </cell>
        </row>
        <row r="183">
          <cell r="A183" t="str">
            <v>Gulfstream G550</v>
          </cell>
          <cell r="C183" t="str">
            <v>Westair Aviation</v>
          </cell>
          <cell r="D183">
            <v>38574</v>
          </cell>
          <cell r="E183" t="str">
            <v>Europe</v>
          </cell>
          <cell r="F183" t="str">
            <v>Ireland</v>
          </cell>
          <cell r="G183" t="str">
            <v>Business / Corporate / Executive</v>
          </cell>
        </row>
        <row r="184">
          <cell r="A184" t="str">
            <v>Gulfstream G550</v>
          </cell>
          <cell r="C184" t="str">
            <v>Inter-Americas Transport Inc</v>
          </cell>
          <cell r="D184">
            <v>38618</v>
          </cell>
          <cell r="E184" t="str">
            <v>North America</v>
          </cell>
          <cell r="F184" t="str">
            <v>USA</v>
          </cell>
          <cell r="G184" t="str">
            <v>Business / Corporate / Executive</v>
          </cell>
        </row>
        <row r="185">
          <cell r="A185" t="str">
            <v>Gulfstream G550</v>
          </cell>
          <cell r="C185" t="str">
            <v>Transworld Oil America</v>
          </cell>
          <cell r="D185">
            <v>38621</v>
          </cell>
          <cell r="E185" t="str">
            <v>North America</v>
          </cell>
          <cell r="F185" t="str">
            <v>USA</v>
          </cell>
          <cell r="G185" t="str">
            <v>Business / Corporate / Executive</v>
          </cell>
        </row>
        <row r="186">
          <cell r="A186" t="str">
            <v>Gulfstream G550</v>
          </cell>
          <cell r="C186" t="str">
            <v>Farner Airwings AG</v>
          </cell>
          <cell r="D186">
            <v>38622</v>
          </cell>
          <cell r="E186" t="str">
            <v>Europe</v>
          </cell>
          <cell r="F186" t="str">
            <v>Switzerland</v>
          </cell>
          <cell r="G186" t="str">
            <v>Business / Corporate / Executive</v>
          </cell>
        </row>
        <row r="187">
          <cell r="A187" t="str">
            <v>Gulfstream G550</v>
          </cell>
          <cell r="C187" t="str">
            <v>RDV Aviation LLC</v>
          </cell>
          <cell r="D187">
            <v>38623</v>
          </cell>
          <cell r="E187" t="str">
            <v>North America</v>
          </cell>
          <cell r="F187" t="str">
            <v>USA</v>
          </cell>
          <cell r="G187" t="str">
            <v>Business / Corporate / Executive</v>
          </cell>
        </row>
        <row r="188">
          <cell r="A188" t="str">
            <v>Gulfstream G550</v>
          </cell>
          <cell r="C188" t="str">
            <v>Luxottica Leasing SpA</v>
          </cell>
          <cell r="D188">
            <v>38624</v>
          </cell>
          <cell r="E188" t="str">
            <v>Europe</v>
          </cell>
          <cell r="F188" t="str">
            <v>Italy</v>
          </cell>
          <cell r="G188" t="str">
            <v>Business / Corporate / Executive</v>
          </cell>
        </row>
        <row r="189">
          <cell r="A189" t="str">
            <v>Gulfstream G550</v>
          </cell>
          <cell r="C189" t="str">
            <v>Time Value Property Exchange Inc</v>
          </cell>
          <cell r="D189">
            <v>38650</v>
          </cell>
          <cell r="E189" t="str">
            <v>North America</v>
          </cell>
          <cell r="F189" t="str">
            <v>USA</v>
          </cell>
          <cell r="G189" t="str">
            <v>Business / Corporate / Executive</v>
          </cell>
        </row>
        <row r="190">
          <cell r="A190" t="str">
            <v>Gulfstream G550</v>
          </cell>
          <cell r="C190" t="str">
            <v>Netjets International</v>
          </cell>
          <cell r="D190">
            <v>38657</v>
          </cell>
          <cell r="E190" t="str">
            <v>North America</v>
          </cell>
          <cell r="F190" t="str">
            <v>USA</v>
          </cell>
          <cell r="G190" t="str">
            <v>Business / Corporate / Executive</v>
          </cell>
        </row>
        <row r="191">
          <cell r="A191" t="str">
            <v>Gulfstream G550</v>
          </cell>
          <cell r="C191" t="str">
            <v>ALA Services LLC</v>
          </cell>
          <cell r="D191">
            <v>38671</v>
          </cell>
          <cell r="E191" t="str">
            <v>North America</v>
          </cell>
          <cell r="F191" t="str">
            <v>USA</v>
          </cell>
          <cell r="G191" t="str">
            <v>Business / Corporate / Executive</v>
          </cell>
        </row>
        <row r="192">
          <cell r="A192" t="str">
            <v>Gulfstream G550</v>
          </cell>
          <cell r="C192" t="str">
            <v>Caremark Aviation LLC</v>
          </cell>
          <cell r="D192">
            <v>38671</v>
          </cell>
          <cell r="E192" t="str">
            <v>North America</v>
          </cell>
          <cell r="F192" t="str">
            <v>USA</v>
          </cell>
          <cell r="G192" t="str">
            <v>Business / Corporate / Executive</v>
          </cell>
        </row>
        <row r="193">
          <cell r="A193" t="str">
            <v>Gulfstream G550</v>
          </cell>
          <cell r="C193" t="str">
            <v>Mawarid Ltd</v>
          </cell>
          <cell r="D193">
            <v>38673</v>
          </cell>
          <cell r="E193" t="str">
            <v>Middle East</v>
          </cell>
          <cell r="F193" t="str">
            <v>Saudi Arabia</v>
          </cell>
          <cell r="G193" t="str">
            <v>Business / Corporate / Executive</v>
          </cell>
        </row>
        <row r="194">
          <cell r="A194" t="str">
            <v>Gulfstream G550</v>
          </cell>
          <cell r="C194" t="str">
            <v>NetJets Europe</v>
          </cell>
          <cell r="D194">
            <v>38693</v>
          </cell>
          <cell r="E194" t="str">
            <v>Europe</v>
          </cell>
          <cell r="F194" t="str">
            <v>Portugal</v>
          </cell>
          <cell r="G194" t="str">
            <v>Business / Corporate / Executive</v>
          </cell>
        </row>
        <row r="195">
          <cell r="A195" t="str">
            <v>Gulfstream G550</v>
          </cell>
          <cell r="C195" t="str">
            <v>EFS European Flight Service</v>
          </cell>
          <cell r="D195">
            <v>38694</v>
          </cell>
          <cell r="E195" t="str">
            <v>Europe</v>
          </cell>
          <cell r="F195" t="str">
            <v>Sweden</v>
          </cell>
          <cell r="G195" t="str">
            <v>Business / Corporate / Executive</v>
          </cell>
        </row>
        <row r="196">
          <cell r="A196" t="str">
            <v>Gulfstream G550</v>
          </cell>
          <cell r="C196" t="str">
            <v>Honeywell International Inc</v>
          </cell>
          <cell r="D196">
            <v>38708</v>
          </cell>
          <cell r="E196" t="str">
            <v>North America</v>
          </cell>
          <cell r="F196" t="str">
            <v>USA</v>
          </cell>
          <cell r="G196" t="str">
            <v>Business / Corporate / Executive</v>
          </cell>
        </row>
        <row r="197">
          <cell r="A197" t="str">
            <v>Gulfstream V</v>
          </cell>
          <cell r="C197" t="str">
            <v>National Science Foundation</v>
          </cell>
          <cell r="D197">
            <v>38422</v>
          </cell>
          <cell r="E197" t="str">
            <v>North America</v>
          </cell>
          <cell r="F197" t="str">
            <v>USA</v>
          </cell>
          <cell r="G197" t="str">
            <v>Weather / Atmospheric / Environmental Research</v>
          </cell>
        </row>
        <row r="198">
          <cell r="A198" t="str">
            <v>Gulfstream V</v>
          </cell>
          <cell r="C198" t="str">
            <v>Israeli Air Force</v>
          </cell>
          <cell r="D198">
            <v>38495</v>
          </cell>
          <cell r="E198" t="str">
            <v>Middle East</v>
          </cell>
          <cell r="F198" t="str">
            <v>Israel</v>
          </cell>
          <cell r="G198" t="str">
            <v>ELINT / ECM / Electronics</v>
          </cell>
        </row>
        <row r="200">
          <cell r="A200" t="str">
            <v>2004 Detail</v>
          </cell>
        </row>
        <row r="201">
          <cell r="A201" t="str">
            <v>Mfr &amp; Type</v>
          </cell>
          <cell r="B201" t="str">
            <v>Variant</v>
          </cell>
          <cell r="C201" t="str">
            <v>Operator</v>
          </cell>
          <cell r="D201" t="str">
            <v>DeliveryDate</v>
          </cell>
          <cell r="E201" t="str">
            <v>OperatorArea</v>
          </cell>
          <cell r="F201" t="str">
            <v>OperatorCountry</v>
          </cell>
          <cell r="G201" t="str">
            <v>Usage</v>
          </cell>
        </row>
        <row r="202">
          <cell r="A202" t="str">
            <v>Gulfstream G300</v>
          </cell>
          <cell r="C202" t="str">
            <v>Medco Health Solutions Inc</v>
          </cell>
          <cell r="D202">
            <v>38065</v>
          </cell>
          <cell r="E202" t="str">
            <v>North America</v>
          </cell>
          <cell r="F202" t="str">
            <v>USA</v>
          </cell>
          <cell r="G202" t="str">
            <v>Business / Corporate / Executive</v>
          </cell>
        </row>
        <row r="203">
          <cell r="A203" t="str">
            <v>Gulfstream G300</v>
          </cell>
          <cell r="C203" t="str">
            <v>TAI Leasing Inc</v>
          </cell>
          <cell r="D203">
            <v>38233</v>
          </cell>
          <cell r="E203" t="str">
            <v>North America</v>
          </cell>
          <cell r="F203" t="str">
            <v>USA</v>
          </cell>
          <cell r="G203" t="str">
            <v>Business / Corporate / Executive</v>
          </cell>
        </row>
        <row r="204">
          <cell r="A204" t="str">
            <v>Gulfstream G300</v>
          </cell>
          <cell r="C204" t="str">
            <v>National Air Service</v>
          </cell>
          <cell r="D204">
            <v>38260</v>
          </cell>
          <cell r="E204" t="str">
            <v>Middle East</v>
          </cell>
          <cell r="F204" t="str">
            <v>Saudi Arabia</v>
          </cell>
          <cell r="G204" t="str">
            <v>Business / Corporate / Executive</v>
          </cell>
        </row>
        <row r="205">
          <cell r="A205" t="str">
            <v>Gulfstream G300</v>
          </cell>
          <cell r="C205" t="str">
            <v>National Air Service</v>
          </cell>
          <cell r="D205">
            <v>38307</v>
          </cell>
          <cell r="E205" t="str">
            <v>Middle East</v>
          </cell>
          <cell r="F205" t="str">
            <v>Saudi Arabia</v>
          </cell>
          <cell r="G205" t="str">
            <v>Business / Corporate / Executive</v>
          </cell>
        </row>
        <row r="206">
          <cell r="A206" t="str">
            <v>Gulfstream G400</v>
          </cell>
          <cell r="C206" t="str">
            <v>Mozart Investments LLC</v>
          </cell>
          <cell r="D206">
            <v>38051</v>
          </cell>
          <cell r="E206" t="str">
            <v>North America</v>
          </cell>
          <cell r="F206" t="str">
            <v>USA</v>
          </cell>
          <cell r="G206" t="str">
            <v>Business / Corporate / Executive</v>
          </cell>
        </row>
        <row r="207">
          <cell r="A207" t="str">
            <v>Gulfstream G400</v>
          </cell>
          <cell r="C207" t="str">
            <v>RDV Properties Inc</v>
          </cell>
          <cell r="D207">
            <v>38069</v>
          </cell>
          <cell r="E207" t="str">
            <v>North America</v>
          </cell>
          <cell r="F207" t="str">
            <v>USA</v>
          </cell>
          <cell r="G207" t="str">
            <v>Business / Corporate / Executive</v>
          </cell>
        </row>
        <row r="208">
          <cell r="A208" t="str">
            <v>Gulfstream G400</v>
          </cell>
          <cell r="C208" t="str">
            <v>CMA Services LLC</v>
          </cell>
          <cell r="D208">
            <v>38161</v>
          </cell>
          <cell r="E208" t="str">
            <v>North America</v>
          </cell>
          <cell r="F208" t="str">
            <v>USA</v>
          </cell>
          <cell r="G208" t="str">
            <v>Business / Corporate / Executive</v>
          </cell>
        </row>
        <row r="209">
          <cell r="A209" t="str">
            <v>Gulfstream G400</v>
          </cell>
          <cell r="C209" t="str">
            <v>Government of Egypt</v>
          </cell>
          <cell r="D209">
            <v>38203</v>
          </cell>
          <cell r="E209" t="str">
            <v>Africa</v>
          </cell>
          <cell r="F209" t="str">
            <v>Egypt</v>
          </cell>
          <cell r="G209" t="str">
            <v>VIP / Government operated</v>
          </cell>
        </row>
        <row r="210">
          <cell r="A210" t="str">
            <v>Gulfstream G400</v>
          </cell>
          <cell r="C210" t="str">
            <v>Netjets International</v>
          </cell>
          <cell r="D210">
            <v>38209</v>
          </cell>
          <cell r="E210" t="str">
            <v>North America</v>
          </cell>
          <cell r="F210" t="str">
            <v>USA</v>
          </cell>
          <cell r="G210" t="str">
            <v>Business / Corporate / Executive</v>
          </cell>
        </row>
        <row r="211">
          <cell r="A211" t="str">
            <v>Gulfstream G400</v>
          </cell>
          <cell r="C211" t="str">
            <v>RDV Aviation LLC</v>
          </cell>
          <cell r="D211">
            <v>38218</v>
          </cell>
          <cell r="E211" t="str">
            <v>North America</v>
          </cell>
          <cell r="F211" t="str">
            <v>USA</v>
          </cell>
          <cell r="G211" t="str">
            <v>Business / Corporate / Executive</v>
          </cell>
        </row>
        <row r="212">
          <cell r="A212" t="str">
            <v>Gulfstream G400</v>
          </cell>
          <cell r="C212" t="str">
            <v>EJS - Executive Jet Shares Inc</v>
          </cell>
          <cell r="D212">
            <v>38259</v>
          </cell>
          <cell r="E212" t="str">
            <v>North America</v>
          </cell>
          <cell r="F212" t="str">
            <v>USA</v>
          </cell>
          <cell r="G212" t="str">
            <v>Business / Corporate / Executive</v>
          </cell>
        </row>
        <row r="213">
          <cell r="A213" t="str">
            <v>Gulfstream G400</v>
          </cell>
          <cell r="C213" t="str">
            <v>Executive Jet Shares II Inc</v>
          </cell>
          <cell r="D213">
            <v>38310</v>
          </cell>
          <cell r="E213" t="str">
            <v>North America</v>
          </cell>
          <cell r="F213" t="str">
            <v>USA</v>
          </cell>
          <cell r="G213" t="str">
            <v>Business / Corporate / Executive</v>
          </cell>
        </row>
        <row r="214">
          <cell r="A214" t="str">
            <v>Gulfstream G400</v>
          </cell>
          <cell r="C214" t="str">
            <v>Pegasus Leasing LLC</v>
          </cell>
          <cell r="D214">
            <v>38310</v>
          </cell>
          <cell r="E214" t="str">
            <v>North America</v>
          </cell>
          <cell r="F214" t="str">
            <v>USA</v>
          </cell>
          <cell r="G214" t="str">
            <v>Business / Corporate / Executive</v>
          </cell>
        </row>
        <row r="215">
          <cell r="A215" t="str">
            <v>Gulfstream G400</v>
          </cell>
          <cell r="C215" t="str">
            <v>United Services Automobile Association</v>
          </cell>
          <cell r="D215">
            <v>38322</v>
          </cell>
          <cell r="E215" t="str">
            <v>North America</v>
          </cell>
          <cell r="F215" t="str">
            <v>USA</v>
          </cell>
          <cell r="G215" t="str">
            <v>Business / Corporate / Executive</v>
          </cell>
        </row>
        <row r="216">
          <cell r="A216" t="str">
            <v>Gulfstream G400</v>
          </cell>
          <cell r="C216" t="str">
            <v>Verizon Corporate Services Group Inc</v>
          </cell>
          <cell r="D216">
            <v>38337</v>
          </cell>
          <cell r="E216" t="str">
            <v>North America</v>
          </cell>
          <cell r="F216" t="str">
            <v>USA</v>
          </cell>
          <cell r="G216" t="str">
            <v>Business / Corporate / Executive</v>
          </cell>
        </row>
        <row r="217">
          <cell r="A217" t="str">
            <v>Gulfstream G400</v>
          </cell>
          <cell r="C217" t="str">
            <v>Bohemian Air 400 LLC</v>
          </cell>
          <cell r="D217">
            <v>38341</v>
          </cell>
          <cell r="E217" t="str">
            <v>North America</v>
          </cell>
          <cell r="F217" t="str">
            <v>USA</v>
          </cell>
          <cell r="G217" t="str">
            <v>Business / Corporate / Executive</v>
          </cell>
        </row>
        <row r="218">
          <cell r="A218" t="str">
            <v>Gulfstream G450</v>
          </cell>
          <cell r="C218" t="str">
            <v>Professional Jet II LLC</v>
          </cell>
          <cell r="D218">
            <v>38301</v>
          </cell>
          <cell r="E218" t="str">
            <v>North America</v>
          </cell>
          <cell r="F218" t="str">
            <v>USA</v>
          </cell>
          <cell r="G218" t="str">
            <v>Business / Corporate / Executive</v>
          </cell>
        </row>
        <row r="219">
          <cell r="A219" t="str">
            <v>Gulfstream G450</v>
          </cell>
          <cell r="C219" t="str">
            <v>Fidelity National Financial inc</v>
          </cell>
          <cell r="D219">
            <v>38336</v>
          </cell>
          <cell r="E219" t="str">
            <v>North America</v>
          </cell>
          <cell r="F219" t="str">
            <v>USA</v>
          </cell>
          <cell r="G219" t="str">
            <v>Business / Corporate / Executive</v>
          </cell>
        </row>
        <row r="220">
          <cell r="A220" t="str">
            <v>Gulfstream G450</v>
          </cell>
          <cell r="C220" t="str">
            <v>Rabbit Run LLC</v>
          </cell>
          <cell r="D220">
            <v>38341</v>
          </cell>
          <cell r="E220" t="str">
            <v>North America</v>
          </cell>
          <cell r="F220" t="str">
            <v>USA</v>
          </cell>
          <cell r="G220" t="str">
            <v>Business / Corporate / Executive</v>
          </cell>
        </row>
        <row r="221">
          <cell r="A221" t="str">
            <v>Gulfstream G500</v>
          </cell>
          <cell r="C221" t="str">
            <v>ALII Aviation LLC</v>
          </cell>
          <cell r="D221">
            <v>38125</v>
          </cell>
          <cell r="E221" t="str">
            <v>North America</v>
          </cell>
          <cell r="F221" t="str">
            <v>USA</v>
          </cell>
          <cell r="G221" t="str">
            <v>Business / Corporate / Executive</v>
          </cell>
        </row>
        <row r="222">
          <cell r="A222" t="str">
            <v>Gulfstream G550</v>
          </cell>
          <cell r="C222" t="str">
            <v>RL Wings LLC</v>
          </cell>
          <cell r="D222">
            <v>38009</v>
          </cell>
          <cell r="E222" t="str">
            <v>North America</v>
          </cell>
          <cell r="F222" t="str">
            <v>USA</v>
          </cell>
          <cell r="G222" t="str">
            <v>Business / Corporate / Executive</v>
          </cell>
        </row>
        <row r="223">
          <cell r="A223" t="str">
            <v>Gulfstream G550</v>
          </cell>
          <cell r="C223" t="str">
            <v>Fayair</v>
          </cell>
          <cell r="D223">
            <v>38042</v>
          </cell>
          <cell r="E223" t="str">
            <v>Europe</v>
          </cell>
          <cell r="F223" t="str">
            <v>United Kingdom</v>
          </cell>
          <cell r="G223" t="str">
            <v>Business / Corporate / Executive</v>
          </cell>
        </row>
        <row r="224">
          <cell r="A224" t="str">
            <v>Gulfstream G550</v>
          </cell>
          <cell r="C224" t="str">
            <v>JM Family Enterprises Inc</v>
          </cell>
          <cell r="D224">
            <v>38072</v>
          </cell>
          <cell r="E224" t="str">
            <v>North America</v>
          </cell>
          <cell r="F224" t="str">
            <v>USA</v>
          </cell>
          <cell r="G224" t="str">
            <v>Business / Corporate / Executive</v>
          </cell>
        </row>
        <row r="225">
          <cell r="A225" t="str">
            <v>Gulfstream G550</v>
          </cell>
          <cell r="C225" t="str">
            <v>The David Geffen Co</v>
          </cell>
          <cell r="D225">
            <v>38106</v>
          </cell>
          <cell r="E225" t="str">
            <v xml:space="preserve"> </v>
          </cell>
          <cell r="F225" t="str">
            <v>USA</v>
          </cell>
          <cell r="G225" t="str">
            <v>Business / Corporate / Executive</v>
          </cell>
        </row>
        <row r="226">
          <cell r="A226" t="str">
            <v>Gulfstream G550</v>
          </cell>
          <cell r="C226" t="str">
            <v>EFS European Flight Service</v>
          </cell>
          <cell r="D226">
            <v>38112</v>
          </cell>
          <cell r="E226" t="str">
            <v>Europe</v>
          </cell>
          <cell r="F226" t="str">
            <v>Sweden</v>
          </cell>
          <cell r="G226" t="str">
            <v>Business / Corporate / Executive</v>
          </cell>
        </row>
        <row r="227">
          <cell r="A227" t="str">
            <v>Gulfstream G550</v>
          </cell>
          <cell r="C227" t="str">
            <v>Honeywell International Inc</v>
          </cell>
          <cell r="D227">
            <v>38113</v>
          </cell>
          <cell r="E227" t="str">
            <v>North America</v>
          </cell>
          <cell r="F227" t="str">
            <v>USA</v>
          </cell>
          <cell r="G227" t="str">
            <v>Business / Corporate / Executive</v>
          </cell>
        </row>
        <row r="228">
          <cell r="A228" t="str">
            <v>Gulfstream G550</v>
          </cell>
          <cell r="C228" t="str">
            <v>Ivanhoe Capital Aviation LLC</v>
          </cell>
          <cell r="D228">
            <v>38133</v>
          </cell>
          <cell r="E228" t="str">
            <v>North America</v>
          </cell>
          <cell r="F228" t="str">
            <v>USA</v>
          </cell>
          <cell r="G228" t="str">
            <v>Business / Corporate / Executive</v>
          </cell>
        </row>
        <row r="229">
          <cell r="A229" t="str">
            <v>Gulfstream G550</v>
          </cell>
          <cell r="C229" t="str">
            <v>Nissan North America Inc</v>
          </cell>
          <cell r="D229">
            <v>38156</v>
          </cell>
          <cell r="E229" t="str">
            <v>North America</v>
          </cell>
          <cell r="F229" t="str">
            <v>USA</v>
          </cell>
          <cell r="G229" t="str">
            <v>Business / Corporate / Executive</v>
          </cell>
        </row>
        <row r="230">
          <cell r="A230" t="str">
            <v>Gulfstream G550</v>
          </cell>
          <cell r="C230" t="str">
            <v>Fly Away Ltd</v>
          </cell>
          <cell r="D230">
            <v>38160</v>
          </cell>
          <cell r="E230" t="str">
            <v>Latin America and Caribbean</v>
          </cell>
          <cell r="F230" t="str">
            <v>Bermuda</v>
          </cell>
          <cell r="G230" t="str">
            <v>Business / Corporate / Executive</v>
          </cell>
        </row>
        <row r="231">
          <cell r="A231" t="str">
            <v>Gulfstream G550</v>
          </cell>
          <cell r="C231" t="str">
            <v>Adam Aviation Acquisition II LLC</v>
          </cell>
          <cell r="D231">
            <v>38167</v>
          </cell>
          <cell r="E231" t="str">
            <v>North America</v>
          </cell>
          <cell r="F231" t="str">
            <v>USA</v>
          </cell>
          <cell r="G231" t="str">
            <v>Business / Corporate / Executive</v>
          </cell>
        </row>
        <row r="232">
          <cell r="A232" t="str">
            <v>Gulfstream G550</v>
          </cell>
          <cell r="C232" t="str">
            <v>United Healthcare Services Inc</v>
          </cell>
          <cell r="D232">
            <v>38168</v>
          </cell>
          <cell r="E232" t="str">
            <v>North America</v>
          </cell>
          <cell r="F232" t="str">
            <v>USA</v>
          </cell>
          <cell r="G232" t="str">
            <v>Business / Corporate / Executive</v>
          </cell>
        </row>
        <row r="233">
          <cell r="A233" t="str">
            <v>Gulfstream G550</v>
          </cell>
          <cell r="C233" t="str">
            <v>Cleopatra Group Inc</v>
          </cell>
          <cell r="D233">
            <v>38201</v>
          </cell>
          <cell r="E233" t="str">
            <v>Africa</v>
          </cell>
          <cell r="F233" t="str">
            <v>Egypt</v>
          </cell>
          <cell r="G233" t="str">
            <v>Business / Corporate / Executive</v>
          </cell>
        </row>
        <row r="234">
          <cell r="A234" t="str">
            <v>Gulfstream G550</v>
          </cell>
          <cell r="C234" t="str">
            <v>Ispat Ltd</v>
          </cell>
          <cell r="D234">
            <v>38208</v>
          </cell>
          <cell r="E234" t="str">
            <v>Europe</v>
          </cell>
          <cell r="F234" t="str">
            <v>United Kingdom</v>
          </cell>
          <cell r="G234" t="str">
            <v>Business / Corporate / Executive</v>
          </cell>
        </row>
        <row r="235">
          <cell r="A235" t="str">
            <v>Gulfstream G550</v>
          </cell>
          <cell r="C235" t="str">
            <v>Iliad Leasing Inc</v>
          </cell>
          <cell r="D235">
            <v>38230</v>
          </cell>
          <cell r="E235" t="str">
            <v>North America</v>
          </cell>
          <cell r="F235" t="str">
            <v>USA</v>
          </cell>
          <cell r="G235" t="str">
            <v>Business / Corporate / Executive</v>
          </cell>
        </row>
        <row r="236">
          <cell r="A236" t="str">
            <v>Gulfstream G550</v>
          </cell>
          <cell r="C236" t="str">
            <v>Government of Tanzania</v>
          </cell>
          <cell r="D236">
            <v>38252</v>
          </cell>
          <cell r="E236" t="str">
            <v>Africa</v>
          </cell>
          <cell r="F236" t="str">
            <v>Tanzania</v>
          </cell>
          <cell r="G236" t="str">
            <v>VIP / Government operated</v>
          </cell>
        </row>
        <row r="237">
          <cell r="A237" t="str">
            <v>Gulfstream G550</v>
          </cell>
          <cell r="C237" t="str">
            <v>GST Test Flight Svs/FCI Test Flight/FAI Test Fligh</v>
          </cell>
          <cell r="D237">
            <v>38254</v>
          </cell>
          <cell r="E237" t="str">
            <v>North America</v>
          </cell>
          <cell r="F237" t="str">
            <v>USA</v>
          </cell>
          <cell r="G237" t="str">
            <v>Business / Corporate / Executive</v>
          </cell>
        </row>
        <row r="238">
          <cell r="A238" t="str">
            <v>Gulfstream G550</v>
          </cell>
          <cell r="C238" t="str">
            <v>Bank of America NA</v>
          </cell>
          <cell r="D238">
            <v>38260</v>
          </cell>
          <cell r="E238" t="str">
            <v>North America</v>
          </cell>
          <cell r="F238" t="str">
            <v>USA</v>
          </cell>
          <cell r="G238" t="str">
            <v>Business / Corporate / Executive</v>
          </cell>
        </row>
        <row r="239">
          <cell r="A239" t="str">
            <v>Gulfstream G550</v>
          </cell>
          <cell r="C239" t="str">
            <v>Aviation 604 AG</v>
          </cell>
          <cell r="D239">
            <v>38261</v>
          </cell>
          <cell r="E239" t="str">
            <v>Europe</v>
          </cell>
          <cell r="F239" t="str">
            <v>Switzerland</v>
          </cell>
          <cell r="G239" t="str">
            <v>Business / Corporate / Executive</v>
          </cell>
        </row>
        <row r="240">
          <cell r="A240" t="str">
            <v>Gulfstream G550</v>
          </cell>
          <cell r="C240" t="str">
            <v>AEC Aircraft Inc</v>
          </cell>
          <cell r="D240">
            <v>38264</v>
          </cell>
          <cell r="E240" t="str">
            <v>North America</v>
          </cell>
          <cell r="F240" t="str">
            <v>USA</v>
          </cell>
          <cell r="G240" t="str">
            <v>Business / Corporate / Executive</v>
          </cell>
        </row>
        <row r="241">
          <cell r="A241" t="str">
            <v>Gulfstream G550</v>
          </cell>
          <cell r="C241" t="str">
            <v>Beehawk Aviation Inc</v>
          </cell>
          <cell r="D241">
            <v>38286</v>
          </cell>
          <cell r="E241" t="str">
            <v>North America</v>
          </cell>
          <cell r="F241" t="str">
            <v>USA</v>
          </cell>
          <cell r="G241" t="str">
            <v>Business / Corporate / Executive</v>
          </cell>
        </row>
        <row r="242">
          <cell r="A242" t="str">
            <v>Gulfstream G550</v>
          </cell>
          <cell r="C242" t="str">
            <v>Indigo Management Co</v>
          </cell>
          <cell r="D242">
            <v>38308</v>
          </cell>
          <cell r="E242" t="str">
            <v>North America</v>
          </cell>
          <cell r="F242" t="str">
            <v>USA</v>
          </cell>
          <cell r="G242" t="str">
            <v>Business / Corporate / Executive</v>
          </cell>
        </row>
        <row r="243">
          <cell r="A243" t="str">
            <v>Gulfstream G550</v>
          </cell>
          <cell r="C243" t="str">
            <v>Contrail Aviation LLC</v>
          </cell>
          <cell r="D243">
            <v>38323</v>
          </cell>
          <cell r="E243" t="str">
            <v>North America</v>
          </cell>
          <cell r="F243" t="str">
            <v>USA</v>
          </cell>
          <cell r="G243" t="str">
            <v>Business / Corporate / Executive</v>
          </cell>
        </row>
        <row r="244">
          <cell r="A244" t="str">
            <v>Gulfstream G550</v>
          </cell>
          <cell r="C244" t="str">
            <v>White Lotus LLC</v>
          </cell>
          <cell r="D244">
            <v>38337</v>
          </cell>
          <cell r="E244" t="str">
            <v>North America</v>
          </cell>
          <cell r="F244" t="str">
            <v>USA</v>
          </cell>
          <cell r="G244" t="str">
            <v>Business / Corporate / Executive</v>
          </cell>
        </row>
        <row r="245">
          <cell r="A245" t="str">
            <v>Gulfstream G550</v>
          </cell>
          <cell r="C245" t="str">
            <v>Black Diamond Aviation Inc</v>
          </cell>
          <cell r="D245">
            <v>38338</v>
          </cell>
          <cell r="E245" t="str">
            <v>North America</v>
          </cell>
          <cell r="F245" t="str">
            <v>USA</v>
          </cell>
          <cell r="G245" t="str">
            <v>Business / Corporate / Executive</v>
          </cell>
        </row>
        <row r="246">
          <cell r="A246" t="str">
            <v>Gulfstream G550</v>
          </cell>
          <cell r="C246" t="str">
            <v>Yellowstone Development LLC</v>
          </cell>
          <cell r="D246">
            <v>38338</v>
          </cell>
          <cell r="E246" t="str">
            <v>North America</v>
          </cell>
          <cell r="F246" t="str">
            <v>USA</v>
          </cell>
          <cell r="G246" t="str">
            <v>Business / Corporate / Executive</v>
          </cell>
        </row>
        <row r="247">
          <cell r="A247" t="str">
            <v>Gulfstream G550</v>
          </cell>
          <cell r="C247" t="str">
            <v>Rashid Engineering</v>
          </cell>
          <cell r="D247">
            <v>38341</v>
          </cell>
          <cell r="E247" t="str">
            <v>Middle East</v>
          </cell>
          <cell r="F247" t="str">
            <v>Saudi Arabia</v>
          </cell>
          <cell r="G247" t="str">
            <v>Business / Corporate / Executive</v>
          </cell>
        </row>
        <row r="248">
          <cell r="A248" t="str">
            <v>Gulfstream G550</v>
          </cell>
          <cell r="C248" t="str">
            <v>Netjets International</v>
          </cell>
          <cell r="D248">
            <v>38342</v>
          </cell>
          <cell r="E248" t="str">
            <v>North America</v>
          </cell>
          <cell r="F248" t="str">
            <v>USA</v>
          </cell>
          <cell r="G248" t="str">
            <v>Business / Corporate / Executive</v>
          </cell>
        </row>
        <row r="250">
          <cell r="A250" t="str">
            <v>2003 Detail</v>
          </cell>
        </row>
        <row r="251">
          <cell r="A251" t="str">
            <v>Mfr &amp; Type</v>
          </cell>
          <cell r="B251" t="str">
            <v>Variant</v>
          </cell>
          <cell r="C251" t="str">
            <v>Operator</v>
          </cell>
          <cell r="D251" t="str">
            <v>DeliveryDate</v>
          </cell>
          <cell r="E251" t="str">
            <v>OperatorArea</v>
          </cell>
          <cell r="F251" t="str">
            <v>OperatorCountry</v>
          </cell>
          <cell r="G251" t="str">
            <v>Usage</v>
          </cell>
        </row>
        <row r="252">
          <cell r="A252" t="str">
            <v>Gulfstream V</v>
          </cell>
          <cell r="B252" t="str">
            <v xml:space="preserve"> </v>
          </cell>
          <cell r="C252" t="str">
            <v>TAI Leasing Inc</v>
          </cell>
          <cell r="D252">
            <v>37624</v>
          </cell>
          <cell r="E252" t="str">
            <v>North America</v>
          </cell>
          <cell r="F252" t="str">
            <v>USA</v>
          </cell>
          <cell r="G252" t="str">
            <v>Business / Corporate / Executive</v>
          </cell>
        </row>
        <row r="253">
          <cell r="A253" t="str">
            <v>Gulfstream V</v>
          </cell>
          <cell r="B253" t="str">
            <v xml:space="preserve"> </v>
          </cell>
          <cell r="C253" t="str">
            <v>US Air Force</v>
          </cell>
          <cell r="D253">
            <v>37636</v>
          </cell>
          <cell r="E253" t="str">
            <v>North America</v>
          </cell>
          <cell r="F253" t="str">
            <v>USA</v>
          </cell>
          <cell r="G253" t="str">
            <v>VIP / Government operated</v>
          </cell>
        </row>
        <row r="254">
          <cell r="A254" t="str">
            <v>Gulfstream IV</v>
          </cell>
          <cell r="B254" t="str">
            <v>SP</v>
          </cell>
          <cell r="C254" t="str">
            <v>Delta Jet Ltd</v>
          </cell>
          <cell r="D254">
            <v>37651</v>
          </cell>
          <cell r="E254" t="str">
            <v>North America</v>
          </cell>
          <cell r="F254" t="str">
            <v>USA</v>
          </cell>
          <cell r="G254" t="str">
            <v>Business / Corporate / Executive</v>
          </cell>
        </row>
        <row r="255">
          <cell r="A255" t="str">
            <v>Gulfstream IV</v>
          </cell>
          <cell r="B255" t="str">
            <v>SP</v>
          </cell>
          <cell r="C255" t="str">
            <v>Eastman Chemical Co</v>
          </cell>
          <cell r="D255">
            <v>37666</v>
          </cell>
          <cell r="E255" t="str">
            <v>North America</v>
          </cell>
          <cell r="F255" t="str">
            <v>USA</v>
          </cell>
          <cell r="G255" t="str">
            <v>Business / Corporate / Executive</v>
          </cell>
        </row>
        <row r="256">
          <cell r="A256" t="str">
            <v>Gulfstream V</v>
          </cell>
          <cell r="B256" t="str">
            <v xml:space="preserve"> </v>
          </cell>
          <cell r="C256" t="str">
            <v>Aventis Pharmaceuticals Inc</v>
          </cell>
          <cell r="D256">
            <v>37671</v>
          </cell>
          <cell r="E256" t="str">
            <v>North America</v>
          </cell>
          <cell r="F256" t="str">
            <v>USA</v>
          </cell>
          <cell r="G256" t="str">
            <v>Business / Corporate / Executive</v>
          </cell>
        </row>
        <row r="257">
          <cell r="A257" t="str">
            <v>Gulfstream V</v>
          </cell>
          <cell r="B257" t="str">
            <v xml:space="preserve"> </v>
          </cell>
          <cell r="C257" t="str">
            <v>Greek Air Force</v>
          </cell>
          <cell r="D257">
            <v>37680</v>
          </cell>
          <cell r="E257" t="str">
            <v>Europe</v>
          </cell>
          <cell r="F257" t="str">
            <v>Greece</v>
          </cell>
          <cell r="G257" t="str">
            <v>VIP / Government operated</v>
          </cell>
        </row>
        <row r="258">
          <cell r="A258" t="str">
            <v>Gulfstream V</v>
          </cell>
          <cell r="B258" t="str">
            <v xml:space="preserve"> </v>
          </cell>
          <cell r="C258" t="str">
            <v>Enterprise Aviation LLC</v>
          </cell>
          <cell r="D258">
            <v>37686</v>
          </cell>
          <cell r="E258" t="str">
            <v>North America</v>
          </cell>
          <cell r="F258" t="str">
            <v>USA</v>
          </cell>
          <cell r="G258" t="str">
            <v>Business / Corporate / Executive</v>
          </cell>
        </row>
        <row r="259">
          <cell r="A259" t="str">
            <v>Gulfstream IV</v>
          </cell>
          <cell r="B259" t="str">
            <v>SP</v>
          </cell>
          <cell r="C259" t="str">
            <v>Fletcher Jones Management Group Inc</v>
          </cell>
          <cell r="D259">
            <v>37694</v>
          </cell>
          <cell r="E259" t="str">
            <v>North America</v>
          </cell>
          <cell r="F259" t="str">
            <v>USA</v>
          </cell>
          <cell r="G259" t="str">
            <v>Business / Corporate / Executive</v>
          </cell>
        </row>
        <row r="260">
          <cell r="A260" t="str">
            <v>Gulfstream IV</v>
          </cell>
          <cell r="B260" t="str">
            <v>SP</v>
          </cell>
          <cell r="C260" t="str">
            <v>Mandalay Resort Group</v>
          </cell>
          <cell r="D260">
            <v>37697</v>
          </cell>
          <cell r="E260" t="str">
            <v>North America</v>
          </cell>
          <cell r="F260" t="str">
            <v>USA</v>
          </cell>
          <cell r="G260" t="str">
            <v>Business / Corporate / Executive</v>
          </cell>
        </row>
        <row r="261">
          <cell r="A261" t="str">
            <v>Gulfstream V</v>
          </cell>
          <cell r="B261" t="str">
            <v xml:space="preserve"> </v>
          </cell>
          <cell r="C261" t="str">
            <v>American Home Products Inc</v>
          </cell>
          <cell r="D261">
            <v>37705</v>
          </cell>
          <cell r="E261" t="str">
            <v>North America</v>
          </cell>
          <cell r="F261" t="str">
            <v>USA</v>
          </cell>
          <cell r="G261" t="str">
            <v>Business / Corporate / Executive</v>
          </cell>
        </row>
        <row r="262">
          <cell r="A262" t="str">
            <v>Gulfstream V</v>
          </cell>
          <cell r="B262" t="str">
            <v xml:space="preserve"> </v>
          </cell>
          <cell r="C262" t="str">
            <v>ITT Industries Inc</v>
          </cell>
          <cell r="D262">
            <v>37706</v>
          </cell>
          <cell r="E262" t="str">
            <v>North America</v>
          </cell>
          <cell r="F262" t="str">
            <v>USA</v>
          </cell>
          <cell r="G262" t="str">
            <v>Business / Corporate / Executive</v>
          </cell>
        </row>
        <row r="263">
          <cell r="A263" t="str">
            <v>Gulfstream IV</v>
          </cell>
          <cell r="B263" t="str">
            <v>SP</v>
          </cell>
          <cell r="C263" t="str">
            <v>Netjets International</v>
          </cell>
          <cell r="D263">
            <v>37707</v>
          </cell>
          <cell r="E263" t="str">
            <v>North America</v>
          </cell>
          <cell r="F263" t="str">
            <v>USA</v>
          </cell>
          <cell r="G263" t="str">
            <v>Business / Corporate / Executive</v>
          </cell>
        </row>
        <row r="264">
          <cell r="A264" t="str">
            <v>Gulfstream IV</v>
          </cell>
          <cell r="B264" t="str">
            <v>SP</v>
          </cell>
          <cell r="C264" t="str">
            <v>Marsico Aviation LLC</v>
          </cell>
          <cell r="D264">
            <v>37708</v>
          </cell>
          <cell r="E264" t="str">
            <v>North America</v>
          </cell>
          <cell r="F264" t="str">
            <v>USA</v>
          </cell>
          <cell r="G264" t="str">
            <v>Business / Corporate / Executive</v>
          </cell>
        </row>
        <row r="265">
          <cell r="A265" t="str">
            <v>Gulfstream IV</v>
          </cell>
          <cell r="B265" t="str">
            <v>SP</v>
          </cell>
          <cell r="C265" t="str">
            <v>Prime Jet LLC</v>
          </cell>
          <cell r="D265">
            <v>37708</v>
          </cell>
          <cell r="E265" t="str">
            <v>North America</v>
          </cell>
          <cell r="F265" t="str">
            <v>USA</v>
          </cell>
          <cell r="G265" t="str">
            <v>Business / Corporate / Executive</v>
          </cell>
        </row>
        <row r="266">
          <cell r="A266" t="str">
            <v>Gulfstream IV</v>
          </cell>
          <cell r="B266" t="str">
            <v>SP</v>
          </cell>
          <cell r="C266" t="str">
            <v>Windsor Locks LLC</v>
          </cell>
          <cell r="D266">
            <v>37734</v>
          </cell>
          <cell r="E266" t="str">
            <v>North America</v>
          </cell>
          <cell r="F266" t="str">
            <v>USA</v>
          </cell>
          <cell r="G266" t="str">
            <v>Business / Corporate / Executive</v>
          </cell>
        </row>
        <row r="267">
          <cell r="A267" t="str">
            <v>Gulfstream G550</v>
          </cell>
          <cell r="C267" t="str">
            <v>Deerport Aviation Corp</v>
          </cell>
          <cell r="D267">
            <v>37754</v>
          </cell>
          <cell r="E267" t="str">
            <v>North America</v>
          </cell>
          <cell r="F267" t="str">
            <v>USA</v>
          </cell>
          <cell r="G267" t="str">
            <v>Business / Corporate / Executive</v>
          </cell>
        </row>
        <row r="268">
          <cell r="A268" t="str">
            <v>Gulfstream V</v>
          </cell>
          <cell r="B268" t="str">
            <v xml:space="preserve"> </v>
          </cell>
          <cell r="C268" t="str">
            <v>RDV Properties Inc</v>
          </cell>
          <cell r="D268">
            <v>37763</v>
          </cell>
          <cell r="E268" t="str">
            <v>North America</v>
          </cell>
          <cell r="F268" t="str">
            <v>USA</v>
          </cell>
          <cell r="G268" t="str">
            <v>Business / Corporate / Executive</v>
          </cell>
        </row>
        <row r="269">
          <cell r="A269" t="str">
            <v>Gulfstream V</v>
          </cell>
          <cell r="B269" t="str">
            <v xml:space="preserve"> </v>
          </cell>
          <cell r="C269" t="str">
            <v>J B Ivley &amp; Co</v>
          </cell>
          <cell r="D269">
            <v>37770</v>
          </cell>
          <cell r="E269" t="str">
            <v>North America</v>
          </cell>
          <cell r="F269" t="str">
            <v>USA</v>
          </cell>
          <cell r="G269" t="str">
            <v>Business / Corporate / Executive</v>
          </cell>
        </row>
        <row r="270">
          <cell r="A270" t="str">
            <v>Gulfstream IV</v>
          </cell>
          <cell r="B270" t="str">
            <v>SP</v>
          </cell>
          <cell r="C270" t="str">
            <v>Northrop Grumman Aviation Inc</v>
          </cell>
          <cell r="D270">
            <v>37770</v>
          </cell>
          <cell r="E270" t="str">
            <v>North America</v>
          </cell>
          <cell r="F270" t="str">
            <v>USA</v>
          </cell>
          <cell r="G270" t="str">
            <v>Business / Corporate / Executive</v>
          </cell>
        </row>
        <row r="271">
          <cell r="A271" t="str">
            <v>Gulfstream IV</v>
          </cell>
          <cell r="B271" t="str">
            <v>SP</v>
          </cell>
          <cell r="C271" t="str">
            <v>Dacion Corp</v>
          </cell>
          <cell r="D271">
            <v>37771</v>
          </cell>
          <cell r="E271" t="str">
            <v>North America</v>
          </cell>
          <cell r="F271" t="str">
            <v>USA</v>
          </cell>
          <cell r="G271" t="str">
            <v>Business / Corporate / Executive</v>
          </cell>
        </row>
        <row r="272">
          <cell r="A272" t="str">
            <v>Gulfstream G550</v>
          </cell>
          <cell r="C272" t="str">
            <v>Air Simon Inc</v>
          </cell>
          <cell r="D272">
            <v>37784</v>
          </cell>
          <cell r="E272" t="str">
            <v>North America</v>
          </cell>
          <cell r="F272" t="str">
            <v>USA</v>
          </cell>
          <cell r="G272" t="str">
            <v>Business / Corporate / Executive</v>
          </cell>
        </row>
        <row r="273">
          <cell r="A273" t="str">
            <v>Gulfstream V</v>
          </cell>
          <cell r="B273" t="str">
            <v xml:space="preserve"> </v>
          </cell>
          <cell r="C273" t="str">
            <v>Hewlett-Packard Co</v>
          </cell>
          <cell r="D273">
            <v>37792</v>
          </cell>
          <cell r="E273" t="str">
            <v>North America</v>
          </cell>
          <cell r="F273" t="str">
            <v>USA</v>
          </cell>
          <cell r="G273" t="str">
            <v>Business / Corporate / Executive</v>
          </cell>
        </row>
        <row r="274">
          <cell r="A274" t="str">
            <v>Gulfstream IV</v>
          </cell>
          <cell r="B274" t="str">
            <v>SP</v>
          </cell>
          <cell r="C274" t="str">
            <v>GEH Air Transportation LLC</v>
          </cell>
          <cell r="D274">
            <v>37797</v>
          </cell>
          <cell r="E274" t="str">
            <v>North America</v>
          </cell>
          <cell r="F274" t="str">
            <v>USA</v>
          </cell>
          <cell r="G274" t="str">
            <v>Business / Corporate / Executive</v>
          </cell>
        </row>
        <row r="275">
          <cell r="A275" t="str">
            <v>Gulfstream V</v>
          </cell>
          <cell r="B275" t="str">
            <v xml:space="preserve"> </v>
          </cell>
          <cell r="C275" t="str">
            <v>Hewlett-Packard Co</v>
          </cell>
          <cell r="D275">
            <v>37799</v>
          </cell>
          <cell r="E275" t="str">
            <v>North America</v>
          </cell>
          <cell r="F275" t="str">
            <v>USA</v>
          </cell>
          <cell r="G275" t="str">
            <v>Business / Corporate / Executive</v>
          </cell>
        </row>
        <row r="276">
          <cell r="A276" t="str">
            <v>Gulfstream G400</v>
          </cell>
          <cell r="C276" t="str">
            <v>Chouest Air Inc</v>
          </cell>
          <cell r="D276">
            <v>37802</v>
          </cell>
          <cell r="E276" t="str">
            <v>North America</v>
          </cell>
          <cell r="F276" t="str">
            <v>USA</v>
          </cell>
          <cell r="G276" t="str">
            <v>Business / Corporate / Executive</v>
          </cell>
        </row>
        <row r="277">
          <cell r="A277" t="str">
            <v>Gulfstream G400</v>
          </cell>
          <cell r="C277" t="str">
            <v>The Upper Deck Co LLC</v>
          </cell>
          <cell r="D277">
            <v>37802</v>
          </cell>
          <cell r="E277" t="str">
            <v>North America</v>
          </cell>
          <cell r="F277" t="str">
            <v>USA</v>
          </cell>
          <cell r="G277" t="str">
            <v>Business / Corporate / Executive</v>
          </cell>
        </row>
        <row r="278">
          <cell r="A278" t="str">
            <v>Gulfstream V</v>
          </cell>
          <cell r="B278" t="str">
            <v xml:space="preserve"> </v>
          </cell>
          <cell r="C278" t="str">
            <v>JCB Aviation Department</v>
          </cell>
          <cell r="D278">
            <v>37818</v>
          </cell>
          <cell r="E278" t="str">
            <v>Europe</v>
          </cell>
          <cell r="F278" t="str">
            <v>United Kingdom</v>
          </cell>
          <cell r="G278" t="str">
            <v>Business / Corporate / Executive</v>
          </cell>
        </row>
        <row r="279">
          <cell r="A279" t="str">
            <v>Gulfstream G300</v>
          </cell>
          <cell r="C279" t="str">
            <v>Royal Jet</v>
          </cell>
          <cell r="D279">
            <v>37838</v>
          </cell>
          <cell r="E279" t="str">
            <v>Middle East</v>
          </cell>
          <cell r="F279" t="str">
            <v>United Arab Emirates</v>
          </cell>
          <cell r="G279" t="str">
            <v>Business / Corporate / Executive</v>
          </cell>
        </row>
        <row r="280">
          <cell r="A280" t="str">
            <v>Gulfstream G550</v>
          </cell>
          <cell r="C280" t="str">
            <v>Simon Aviation Inc</v>
          </cell>
          <cell r="D280">
            <v>37860</v>
          </cell>
          <cell r="E280" t="str">
            <v>North America</v>
          </cell>
          <cell r="F280" t="str">
            <v>USA</v>
          </cell>
          <cell r="G280" t="str">
            <v>Business / Corporate / Executive</v>
          </cell>
        </row>
        <row r="281">
          <cell r="A281" t="str">
            <v>Gulfstream G400</v>
          </cell>
          <cell r="C281" t="str">
            <v>Idaho Associates LLC</v>
          </cell>
          <cell r="D281">
            <v>37862</v>
          </cell>
          <cell r="E281" t="str">
            <v>North America</v>
          </cell>
          <cell r="F281" t="str">
            <v>USA</v>
          </cell>
          <cell r="G281" t="str">
            <v>Business / Corporate / Executive</v>
          </cell>
        </row>
        <row r="282">
          <cell r="A282" t="str">
            <v>Gulfstream G400</v>
          </cell>
          <cell r="C282" t="str">
            <v>Prime Jet LLC</v>
          </cell>
          <cell r="D282">
            <v>37862</v>
          </cell>
          <cell r="E282" t="str">
            <v>North America</v>
          </cell>
          <cell r="F282" t="str">
            <v>USA</v>
          </cell>
          <cell r="G282" t="str">
            <v>Business / Corporate / Executive</v>
          </cell>
        </row>
        <row r="283">
          <cell r="A283" t="str">
            <v>Gulfstream G550</v>
          </cell>
          <cell r="C283" t="str">
            <v>Leucadia Aviation Inc</v>
          </cell>
          <cell r="D283">
            <v>37881</v>
          </cell>
          <cell r="E283" t="str">
            <v>North America</v>
          </cell>
          <cell r="F283" t="str">
            <v>USA</v>
          </cell>
          <cell r="G283" t="str">
            <v>Business / Corporate / Executive</v>
          </cell>
        </row>
        <row r="284">
          <cell r="A284" t="str">
            <v>Gulfstream G300</v>
          </cell>
          <cell r="C284" t="str">
            <v>Royal Jet</v>
          </cell>
          <cell r="D284">
            <v>37881</v>
          </cell>
          <cell r="E284" t="str">
            <v>Middle East</v>
          </cell>
          <cell r="F284" t="str">
            <v>United Arab Emirates</v>
          </cell>
          <cell r="G284" t="str">
            <v>Business / Corporate / Executive</v>
          </cell>
        </row>
        <row r="285">
          <cell r="A285" t="str">
            <v>Gulfstream V</v>
          </cell>
          <cell r="B285" t="str">
            <v xml:space="preserve"> </v>
          </cell>
          <cell r="C285" t="str">
            <v>GM Air Ltd</v>
          </cell>
          <cell r="D285">
            <v>37887</v>
          </cell>
          <cell r="E285" t="str">
            <v>Europe</v>
          </cell>
          <cell r="F285" t="str">
            <v>Gibraltar</v>
          </cell>
          <cell r="G285" t="str">
            <v>Business / Corporate / Executive</v>
          </cell>
        </row>
        <row r="286">
          <cell r="A286" t="str">
            <v>Gulfstream G400</v>
          </cell>
          <cell r="C286" t="str">
            <v>United Aviation Holdings Inc</v>
          </cell>
          <cell r="D286">
            <v>37888</v>
          </cell>
          <cell r="E286" t="str">
            <v>North America</v>
          </cell>
          <cell r="F286" t="str">
            <v>USA</v>
          </cell>
          <cell r="G286" t="str">
            <v>Business / Corporate / Executive</v>
          </cell>
        </row>
        <row r="287">
          <cell r="A287" t="str">
            <v>Gulfstream G300</v>
          </cell>
          <cell r="C287" t="str">
            <v>TAI Leasing Inc</v>
          </cell>
          <cell r="D287">
            <v>37890</v>
          </cell>
          <cell r="E287" t="str">
            <v>North America</v>
          </cell>
          <cell r="F287" t="str">
            <v>USA</v>
          </cell>
          <cell r="G287" t="str">
            <v>Business / Corporate / Executive</v>
          </cell>
        </row>
        <row r="288">
          <cell r="A288" t="str">
            <v>Gulfstream G550</v>
          </cell>
          <cell r="C288" t="str">
            <v>Wotan America Inc</v>
          </cell>
          <cell r="D288">
            <v>37893</v>
          </cell>
          <cell r="E288" t="str">
            <v>North America</v>
          </cell>
          <cell r="F288" t="str">
            <v>USA</v>
          </cell>
          <cell r="G288" t="str">
            <v>Business / Corporate / Executive</v>
          </cell>
        </row>
        <row r="289">
          <cell r="A289" t="str">
            <v>Gulfstream G300</v>
          </cell>
          <cell r="C289" t="str">
            <v>Altria Corporate Services Inc</v>
          </cell>
          <cell r="D289">
            <v>37894</v>
          </cell>
          <cell r="E289" t="str">
            <v>North America</v>
          </cell>
          <cell r="F289" t="str">
            <v>USA</v>
          </cell>
          <cell r="G289" t="str">
            <v>Business / Corporate / Executive</v>
          </cell>
        </row>
        <row r="290">
          <cell r="A290" t="str">
            <v>Gulfstream G550</v>
          </cell>
          <cell r="C290" t="str">
            <v>Pfizer Inc</v>
          </cell>
          <cell r="D290">
            <v>37894</v>
          </cell>
          <cell r="E290" t="str">
            <v>North America</v>
          </cell>
          <cell r="F290" t="str">
            <v>USA</v>
          </cell>
          <cell r="G290" t="str">
            <v>Business / Corporate / Executive</v>
          </cell>
        </row>
        <row r="291">
          <cell r="A291" t="str">
            <v>Gulfstream G550</v>
          </cell>
          <cell r="C291" t="str">
            <v>Grand Warehouse Inc</v>
          </cell>
          <cell r="D291">
            <v>37917</v>
          </cell>
          <cell r="E291" t="str">
            <v>Asia</v>
          </cell>
          <cell r="F291" t="str">
            <v>Japan</v>
          </cell>
          <cell r="G291" t="str">
            <v>Business / Corporate / Executive</v>
          </cell>
        </row>
        <row r="292">
          <cell r="A292" t="str">
            <v>Gulfstream G550</v>
          </cell>
          <cell r="C292" t="str">
            <v>Bank of America NA</v>
          </cell>
          <cell r="D292">
            <v>37937</v>
          </cell>
          <cell r="E292" t="str">
            <v>North America</v>
          </cell>
          <cell r="F292" t="str">
            <v>USA</v>
          </cell>
          <cell r="G292" t="str">
            <v>Business / Corporate / Executive</v>
          </cell>
        </row>
        <row r="293">
          <cell r="A293" t="str">
            <v>Gulfstream G550</v>
          </cell>
          <cell r="C293" t="str">
            <v>Jets Ejecutivos</v>
          </cell>
          <cell r="D293">
            <v>37942</v>
          </cell>
          <cell r="E293" t="str">
            <v>Latin America and Caribbean</v>
          </cell>
          <cell r="F293" t="str">
            <v>Mexico</v>
          </cell>
          <cell r="G293" t="str">
            <v>Business / Corporate / Executive</v>
          </cell>
        </row>
        <row r="294">
          <cell r="A294" t="str">
            <v>Gulfstream G300</v>
          </cell>
          <cell r="C294" t="str">
            <v>L&amp;L Manufacturing Co</v>
          </cell>
          <cell r="D294">
            <v>37944</v>
          </cell>
          <cell r="E294" t="str">
            <v>North America</v>
          </cell>
          <cell r="F294" t="str">
            <v>USA</v>
          </cell>
          <cell r="G294" t="str">
            <v>Business / Corporate / Executive</v>
          </cell>
        </row>
        <row r="295">
          <cell r="A295" t="str">
            <v>Gulfstream G400</v>
          </cell>
          <cell r="C295" t="str">
            <v>Government of Egypt</v>
          </cell>
          <cell r="D295">
            <v>37947</v>
          </cell>
          <cell r="E295" t="str">
            <v>Africa</v>
          </cell>
          <cell r="F295" t="str">
            <v>Egypt</v>
          </cell>
          <cell r="G295" t="str">
            <v>VIP / Government operated</v>
          </cell>
        </row>
        <row r="296">
          <cell r="A296" t="str">
            <v>Gulfstream G550</v>
          </cell>
          <cell r="C296" t="str">
            <v>Leucadia Aviation Inc</v>
          </cell>
          <cell r="D296">
            <v>37958</v>
          </cell>
          <cell r="E296" t="str">
            <v>North America</v>
          </cell>
          <cell r="F296" t="str">
            <v>USA</v>
          </cell>
          <cell r="G296" t="str">
            <v>Business / Corporate / Executive</v>
          </cell>
        </row>
        <row r="297">
          <cell r="A297" t="str">
            <v>Gulfstream G400</v>
          </cell>
          <cell r="C297" t="str">
            <v>Pleasant Aircraft Leasing LLC</v>
          </cell>
          <cell r="D297">
            <v>37959</v>
          </cell>
          <cell r="E297" t="str">
            <v>North America</v>
          </cell>
          <cell r="F297" t="str">
            <v>USA</v>
          </cell>
          <cell r="G297" t="str">
            <v>Business / Corporate / Executive</v>
          </cell>
        </row>
        <row r="298">
          <cell r="A298" t="str">
            <v>Gulfstream G550</v>
          </cell>
          <cell r="C298" t="str">
            <v>United States Aviation Co</v>
          </cell>
          <cell r="D298">
            <v>37959</v>
          </cell>
          <cell r="E298" t="str">
            <v>North America</v>
          </cell>
          <cell r="F298" t="str">
            <v>USA</v>
          </cell>
          <cell r="G298" t="str">
            <v>Business / Corporate / Executive</v>
          </cell>
        </row>
        <row r="299">
          <cell r="A299" t="str">
            <v>Gulfstream G550</v>
          </cell>
          <cell r="C299" t="str">
            <v>G5 Executive</v>
          </cell>
          <cell r="D299">
            <v>37970</v>
          </cell>
          <cell r="E299" t="str">
            <v>Europe</v>
          </cell>
          <cell r="F299" t="str">
            <v>Switzerland</v>
          </cell>
          <cell r="G299" t="str">
            <v>Business / Corporate / Executive</v>
          </cell>
        </row>
        <row r="300">
          <cell r="A300" t="str">
            <v>Gulfstream G300</v>
          </cell>
          <cell r="C300" t="str">
            <v>Altria Corporate Services Inc</v>
          </cell>
          <cell r="D300">
            <v>37974</v>
          </cell>
          <cell r="E300" t="str">
            <v>North America</v>
          </cell>
          <cell r="F300" t="str">
            <v>USA</v>
          </cell>
          <cell r="G300" t="str">
            <v>Business / Corporate / Executive</v>
          </cell>
        </row>
        <row r="301">
          <cell r="A301" t="str">
            <v>Gulfstream G300</v>
          </cell>
          <cell r="C301" t="str">
            <v>Altria Corporate Services Inc</v>
          </cell>
          <cell r="D301">
            <v>37977</v>
          </cell>
          <cell r="E301" t="str">
            <v>North America</v>
          </cell>
          <cell r="F301" t="str">
            <v>USA</v>
          </cell>
          <cell r="G301" t="str">
            <v>Business / Corporate / Executive</v>
          </cell>
        </row>
        <row r="302">
          <cell r="A302" t="str">
            <v>Gulfstream G400</v>
          </cell>
          <cell r="C302" t="str">
            <v>Gibbs International Inc</v>
          </cell>
          <cell r="D302">
            <v>37977</v>
          </cell>
          <cell r="E302" t="str">
            <v>North America</v>
          </cell>
          <cell r="F302" t="str">
            <v>USA</v>
          </cell>
          <cell r="G302" t="str">
            <v>Business / Corporate / Executive</v>
          </cell>
        </row>
        <row r="303">
          <cell r="A303" t="str">
            <v>Gulfstream G550</v>
          </cell>
          <cell r="C303" t="str">
            <v>Norman Aircraft Leasing Inc</v>
          </cell>
          <cell r="D303">
            <v>37978</v>
          </cell>
          <cell r="E303" t="str">
            <v>North America</v>
          </cell>
          <cell r="F303" t="str">
            <v>USA</v>
          </cell>
          <cell r="G303" t="str">
            <v>Business / Corporate / Executive</v>
          </cell>
        </row>
        <row r="304">
          <cell r="A304" t="str">
            <v>Gulfstream G550</v>
          </cell>
          <cell r="C304" t="str">
            <v>Rockfield Holdings Ltd</v>
          </cell>
          <cell r="D304">
            <v>37978</v>
          </cell>
          <cell r="E304" t="str">
            <v>Latin America and Caribbean</v>
          </cell>
          <cell r="F304" t="str">
            <v>Bermuda</v>
          </cell>
          <cell r="G304" t="str">
            <v>Business / Corporate / Executive</v>
          </cell>
        </row>
        <row r="305">
          <cell r="A305" t="str">
            <v>Gulfstream G400</v>
          </cell>
          <cell r="C305" t="str">
            <v>Aircraft Properties LLC</v>
          </cell>
          <cell r="D305">
            <v>37984</v>
          </cell>
          <cell r="E305" t="str">
            <v>North America</v>
          </cell>
          <cell r="F305" t="str">
            <v>USA</v>
          </cell>
          <cell r="G305" t="str">
            <v>Business / Corporate / Executive</v>
          </cell>
        </row>
        <row r="307">
          <cell r="A307" t="str">
            <v>2002 Detail</v>
          </cell>
        </row>
        <row r="308">
          <cell r="A308" t="str">
            <v>Mfr &amp; Type</v>
          </cell>
          <cell r="B308" t="str">
            <v>Variant</v>
          </cell>
          <cell r="C308" t="str">
            <v>Operator</v>
          </cell>
          <cell r="D308" t="str">
            <v>DeliveryDate</v>
          </cell>
          <cell r="E308" t="str">
            <v>OperatorArea</v>
          </cell>
          <cell r="F308" t="str">
            <v>OperatorCountry</v>
          </cell>
          <cell r="G308" t="str">
            <v>Usage</v>
          </cell>
        </row>
        <row r="309">
          <cell r="A309" t="str">
            <v>Gulfstream IV</v>
          </cell>
          <cell r="B309" t="str">
            <v>SP</v>
          </cell>
          <cell r="C309" t="str">
            <v>AMFM Air Services Inc</v>
          </cell>
          <cell r="D309">
            <v>37258</v>
          </cell>
          <cell r="E309" t="str">
            <v>North America</v>
          </cell>
          <cell r="F309" t="str">
            <v>USA</v>
          </cell>
          <cell r="G309" t="str">
            <v>Hospital / Ambulance / Medevac</v>
          </cell>
        </row>
        <row r="310">
          <cell r="A310" t="str">
            <v>Gulfstream V</v>
          </cell>
          <cell r="B310" t="str">
            <v xml:space="preserve"> </v>
          </cell>
          <cell r="C310" t="str">
            <v>Calpoint Funding LLC</v>
          </cell>
          <cell r="D310">
            <v>37258</v>
          </cell>
          <cell r="E310" t="str">
            <v>North America</v>
          </cell>
          <cell r="F310" t="str">
            <v>USA</v>
          </cell>
          <cell r="G310" t="str">
            <v>Business / Corporate / Executive</v>
          </cell>
        </row>
        <row r="311">
          <cell r="A311" t="str">
            <v>Gulfstream V</v>
          </cell>
          <cell r="B311" t="str">
            <v xml:space="preserve"> </v>
          </cell>
          <cell r="C311" t="str">
            <v>Federal Government of Nigeria</v>
          </cell>
          <cell r="D311">
            <v>37266</v>
          </cell>
          <cell r="E311" t="str">
            <v>Africa</v>
          </cell>
          <cell r="F311" t="str">
            <v>Nigeria</v>
          </cell>
          <cell r="G311" t="str">
            <v>Business / Corporate / Executive</v>
          </cell>
        </row>
        <row r="312">
          <cell r="A312" t="str">
            <v>Gulfstream IV</v>
          </cell>
          <cell r="B312" t="str">
            <v>SP</v>
          </cell>
          <cell r="C312" t="str">
            <v>Netjets International</v>
          </cell>
          <cell r="D312">
            <v>37271</v>
          </cell>
          <cell r="E312" t="str">
            <v>North America</v>
          </cell>
          <cell r="F312" t="str">
            <v>USA</v>
          </cell>
          <cell r="G312" t="str">
            <v>Business / Corporate / Executive</v>
          </cell>
        </row>
        <row r="313">
          <cell r="A313" t="str">
            <v>Gulfstream V</v>
          </cell>
          <cell r="B313" t="str">
            <v xml:space="preserve"> </v>
          </cell>
          <cell r="C313" t="str">
            <v>US Air Force</v>
          </cell>
          <cell r="D313">
            <v>37286</v>
          </cell>
          <cell r="E313" t="str">
            <v>North America</v>
          </cell>
          <cell r="F313" t="str">
            <v>USA</v>
          </cell>
          <cell r="G313" t="str">
            <v>Business / Corporate / Executive</v>
          </cell>
        </row>
        <row r="314">
          <cell r="A314" t="str">
            <v>Gulfstream IV</v>
          </cell>
          <cell r="B314" t="str">
            <v>SP</v>
          </cell>
          <cell r="C314" t="str">
            <v>Philip Morris Management Corp &amp; CDEC 717051 LLC</v>
          </cell>
          <cell r="D314">
            <v>37287</v>
          </cell>
          <cell r="E314" t="str">
            <v>North America</v>
          </cell>
          <cell r="F314" t="str">
            <v>USA</v>
          </cell>
          <cell r="G314" t="str">
            <v>Business / Corporate / Executive</v>
          </cell>
        </row>
        <row r="315">
          <cell r="A315" t="str">
            <v>Gulfstream V</v>
          </cell>
          <cell r="B315" t="str">
            <v xml:space="preserve"> </v>
          </cell>
          <cell r="C315" t="str">
            <v>Aviation G5 Ltd</v>
          </cell>
          <cell r="D315">
            <v>37298</v>
          </cell>
          <cell r="E315" t="str">
            <v>Europe</v>
          </cell>
          <cell r="F315" t="str">
            <v>Switzerland</v>
          </cell>
          <cell r="G315" t="str">
            <v>Business / Corporate / Executive</v>
          </cell>
        </row>
        <row r="316">
          <cell r="A316" t="str">
            <v>Gulfstream V</v>
          </cell>
          <cell r="B316" t="str">
            <v xml:space="preserve"> </v>
          </cell>
          <cell r="C316" t="str">
            <v>Netjets International</v>
          </cell>
          <cell r="D316">
            <v>37302</v>
          </cell>
          <cell r="E316" t="str">
            <v>North America</v>
          </cell>
          <cell r="F316" t="str">
            <v>USA</v>
          </cell>
          <cell r="G316" t="str">
            <v>Business / Corporate / Executive</v>
          </cell>
        </row>
        <row r="317">
          <cell r="A317" t="str">
            <v>Gulfstream IV</v>
          </cell>
          <cell r="B317" t="str">
            <v>SP</v>
          </cell>
          <cell r="C317" t="str">
            <v>Kirchman Aviation Inc</v>
          </cell>
          <cell r="D317">
            <v>37314</v>
          </cell>
          <cell r="E317" t="str">
            <v>North America</v>
          </cell>
          <cell r="F317" t="str">
            <v>USA</v>
          </cell>
          <cell r="G317" t="str">
            <v>Demonstrator</v>
          </cell>
        </row>
        <row r="318">
          <cell r="A318" t="str">
            <v>Gulfstream IV</v>
          </cell>
          <cell r="B318" t="str">
            <v>SP</v>
          </cell>
          <cell r="C318" t="str">
            <v>Limited Service Corp</v>
          </cell>
          <cell r="D318">
            <v>37315</v>
          </cell>
          <cell r="E318" t="str">
            <v>North America</v>
          </cell>
          <cell r="F318" t="str">
            <v>USA</v>
          </cell>
          <cell r="G318" t="str">
            <v>Business / Corporate / Executive</v>
          </cell>
        </row>
        <row r="319">
          <cell r="A319" t="str">
            <v>Gulfstream IV</v>
          </cell>
          <cell r="B319" t="str">
            <v>SP</v>
          </cell>
          <cell r="C319" t="str">
            <v>Madison Leasing Corp</v>
          </cell>
          <cell r="D319">
            <v>37335</v>
          </cell>
          <cell r="E319" t="str">
            <v>North America</v>
          </cell>
          <cell r="F319" t="str">
            <v>USA</v>
          </cell>
          <cell r="G319" t="str">
            <v>Business / Corporate / Executive</v>
          </cell>
        </row>
        <row r="320">
          <cell r="A320" t="str">
            <v>Gulfstream V</v>
          </cell>
          <cell r="B320" t="str">
            <v xml:space="preserve"> </v>
          </cell>
          <cell r="C320" t="str">
            <v>Gulfstream GATX Leasing Co LLC</v>
          </cell>
          <cell r="D320">
            <v>37344</v>
          </cell>
          <cell r="E320" t="str">
            <v>North America</v>
          </cell>
          <cell r="F320" t="str">
            <v>USA</v>
          </cell>
          <cell r="G320" t="str">
            <v>Business / Corporate / Executive</v>
          </cell>
        </row>
        <row r="321">
          <cell r="A321" t="str">
            <v>Gulfstream IV</v>
          </cell>
          <cell r="B321" t="str">
            <v>SP</v>
          </cell>
          <cell r="C321" t="str">
            <v>Skybird Aviation</v>
          </cell>
          <cell r="D321">
            <v>37344</v>
          </cell>
          <cell r="E321" t="str">
            <v>North America</v>
          </cell>
          <cell r="F321" t="str">
            <v>USA</v>
          </cell>
          <cell r="G321" t="str">
            <v>Business / Corporate / Executive</v>
          </cell>
        </row>
        <row r="322">
          <cell r="A322" t="str">
            <v>Gulfstream IV</v>
          </cell>
          <cell r="B322" t="str">
            <v>SP</v>
          </cell>
          <cell r="C322" t="str">
            <v>Jet Aviation Business Jets</v>
          </cell>
          <cell r="D322">
            <v>37345</v>
          </cell>
          <cell r="E322" t="str">
            <v>Europe</v>
          </cell>
          <cell r="F322" t="str">
            <v>Switzerland</v>
          </cell>
          <cell r="G322" t="str">
            <v>Business / Corporate / Executive</v>
          </cell>
        </row>
        <row r="323">
          <cell r="A323" t="str">
            <v>Gulfstream V</v>
          </cell>
          <cell r="B323" t="str">
            <v xml:space="preserve"> </v>
          </cell>
          <cell r="C323" t="str">
            <v>Bank of America NA</v>
          </cell>
          <cell r="D323">
            <v>37348</v>
          </cell>
          <cell r="E323" t="str">
            <v>North America</v>
          </cell>
          <cell r="F323" t="str">
            <v>USA</v>
          </cell>
          <cell r="G323" t="str">
            <v>VIP / Government operated</v>
          </cell>
        </row>
        <row r="324">
          <cell r="A324" t="str">
            <v>Gulfstream V</v>
          </cell>
          <cell r="B324" t="str">
            <v xml:space="preserve"> </v>
          </cell>
          <cell r="C324" t="str">
            <v>US Air Force</v>
          </cell>
          <cell r="D324">
            <v>37361</v>
          </cell>
          <cell r="E324" t="str">
            <v>North America</v>
          </cell>
          <cell r="F324" t="str">
            <v>USA</v>
          </cell>
          <cell r="G324" t="str">
            <v>VIP / Government operated</v>
          </cell>
        </row>
        <row r="325">
          <cell r="A325" t="str">
            <v>Gulfstream IV</v>
          </cell>
          <cell r="B325" t="str">
            <v>SP</v>
          </cell>
          <cell r="C325" t="str">
            <v>Executive Services Inc</v>
          </cell>
          <cell r="D325">
            <v>37376</v>
          </cell>
          <cell r="E325" t="str">
            <v>North America</v>
          </cell>
          <cell r="F325" t="str">
            <v>USA</v>
          </cell>
          <cell r="G325" t="str">
            <v>VIP / Government operated</v>
          </cell>
        </row>
        <row r="326">
          <cell r="A326" t="str">
            <v>Gulfstream V</v>
          </cell>
          <cell r="B326" t="str">
            <v xml:space="preserve"> </v>
          </cell>
          <cell r="C326" t="str">
            <v>US Air Force</v>
          </cell>
          <cell r="D326">
            <v>37391</v>
          </cell>
          <cell r="E326" t="str">
            <v>North America</v>
          </cell>
          <cell r="F326" t="str">
            <v>USA</v>
          </cell>
          <cell r="G326" t="str">
            <v>Business / Corporate / Executive</v>
          </cell>
        </row>
        <row r="327">
          <cell r="A327" t="str">
            <v>Gulfstream V</v>
          </cell>
          <cell r="B327" t="str">
            <v xml:space="preserve"> </v>
          </cell>
          <cell r="C327" t="str">
            <v>Aviation 604 AG</v>
          </cell>
          <cell r="D327">
            <v>37393</v>
          </cell>
          <cell r="E327" t="str">
            <v>Europe</v>
          </cell>
          <cell r="F327" t="str">
            <v>Switzerland</v>
          </cell>
          <cell r="G327" t="str">
            <v>Business / Corporate / Executive</v>
          </cell>
        </row>
        <row r="328">
          <cell r="A328" t="str">
            <v>Gulfstream V</v>
          </cell>
          <cell r="B328" t="str">
            <v xml:space="preserve"> </v>
          </cell>
          <cell r="C328" t="str">
            <v>Penobscot Properties LLC</v>
          </cell>
          <cell r="D328">
            <v>37397</v>
          </cell>
          <cell r="E328" t="str">
            <v>North America</v>
          </cell>
          <cell r="F328" t="str">
            <v>USA</v>
          </cell>
          <cell r="G328" t="str">
            <v>Business / Corporate / Executive</v>
          </cell>
        </row>
        <row r="329">
          <cell r="A329" t="str">
            <v>Gulfstream IV</v>
          </cell>
          <cell r="B329" t="str">
            <v>SP</v>
          </cell>
          <cell r="C329" t="str">
            <v>Windrose Air Jetcharter</v>
          </cell>
          <cell r="D329">
            <v>37407</v>
          </cell>
          <cell r="E329" t="str">
            <v>Europe</v>
          </cell>
          <cell r="F329" t="str">
            <v>Germany</v>
          </cell>
          <cell r="G329" t="str">
            <v>Business / Corporate / Executive</v>
          </cell>
        </row>
        <row r="330">
          <cell r="A330" t="str">
            <v>Gulfstream IV</v>
          </cell>
          <cell r="B330" t="str">
            <v>SP</v>
          </cell>
          <cell r="C330" t="str">
            <v xml:space="preserve">M &amp; P Co </v>
          </cell>
          <cell r="D330">
            <v>37421</v>
          </cell>
          <cell r="E330" t="str">
            <v>North America</v>
          </cell>
          <cell r="F330" t="str">
            <v>USA</v>
          </cell>
          <cell r="G330" t="str">
            <v>Business / Corporate / Executive</v>
          </cell>
        </row>
        <row r="331">
          <cell r="A331" t="str">
            <v>Gulfstream V</v>
          </cell>
          <cell r="B331" t="str">
            <v xml:space="preserve"> </v>
          </cell>
          <cell r="C331" t="str">
            <v>US Coast Guard</v>
          </cell>
          <cell r="D331">
            <v>37422</v>
          </cell>
          <cell r="E331" t="str">
            <v>North America</v>
          </cell>
          <cell r="F331" t="str">
            <v>USA</v>
          </cell>
          <cell r="G331" t="str">
            <v>Business / Corporate / Executive</v>
          </cell>
        </row>
        <row r="332">
          <cell r="A332" t="str">
            <v>Gulfstream V</v>
          </cell>
          <cell r="B332" t="str">
            <v xml:space="preserve"> </v>
          </cell>
          <cell r="C332" t="str">
            <v>US Navy</v>
          </cell>
          <cell r="D332">
            <v>37422</v>
          </cell>
          <cell r="E332" t="str">
            <v>North America</v>
          </cell>
          <cell r="F332" t="str">
            <v>USA</v>
          </cell>
          <cell r="G332" t="str">
            <v>Business / Corporate / Executive</v>
          </cell>
        </row>
        <row r="333">
          <cell r="A333" t="str">
            <v>Gulfstream V</v>
          </cell>
          <cell r="B333" t="str">
            <v xml:space="preserve"> </v>
          </cell>
          <cell r="C333" t="str">
            <v>Air Tiger I LLC</v>
          </cell>
          <cell r="D333">
            <v>37428</v>
          </cell>
          <cell r="E333" t="str">
            <v>North America</v>
          </cell>
          <cell r="F333" t="str">
            <v>USA</v>
          </cell>
          <cell r="G333" t="str">
            <v>Business / Corporate / Executive</v>
          </cell>
        </row>
        <row r="334">
          <cell r="A334" t="str">
            <v>Gulfstream V</v>
          </cell>
          <cell r="B334" t="str">
            <v xml:space="preserve"> </v>
          </cell>
          <cell r="C334" t="str">
            <v>Cox Communications Inc</v>
          </cell>
          <cell r="D334">
            <v>37432</v>
          </cell>
          <cell r="E334" t="str">
            <v>North America</v>
          </cell>
          <cell r="F334" t="str">
            <v>USA</v>
          </cell>
          <cell r="G334" t="str">
            <v>Business / Corporate / Executive</v>
          </cell>
        </row>
        <row r="335">
          <cell r="A335" t="str">
            <v>Gulfstream V</v>
          </cell>
          <cell r="B335" t="str">
            <v xml:space="preserve"> </v>
          </cell>
          <cell r="C335" t="str">
            <v>Jetvette LLC</v>
          </cell>
          <cell r="D335">
            <v>37433</v>
          </cell>
          <cell r="E335" t="str">
            <v>North America</v>
          </cell>
          <cell r="F335" t="str">
            <v>USA</v>
          </cell>
          <cell r="G335" t="str">
            <v>Business / Corporate / Executive</v>
          </cell>
        </row>
        <row r="336">
          <cell r="A336" t="str">
            <v>Gulfstream V</v>
          </cell>
          <cell r="B336" t="str">
            <v xml:space="preserve"> </v>
          </cell>
          <cell r="C336" t="str">
            <v>Netjets International</v>
          </cell>
          <cell r="D336">
            <v>37433</v>
          </cell>
          <cell r="E336" t="str">
            <v>North America</v>
          </cell>
          <cell r="F336" t="str">
            <v>USA</v>
          </cell>
          <cell r="G336" t="str">
            <v>Business / Corporate / Executive</v>
          </cell>
        </row>
        <row r="337">
          <cell r="A337" t="str">
            <v>Gulfstream IV</v>
          </cell>
          <cell r="B337" t="str">
            <v>SP</v>
          </cell>
          <cell r="C337" t="str">
            <v>Adam Aviation Acquisitions LLC</v>
          </cell>
          <cell r="D337">
            <v>37434</v>
          </cell>
          <cell r="E337" t="str">
            <v>North America</v>
          </cell>
          <cell r="F337" t="str">
            <v>USA</v>
          </cell>
          <cell r="G337" t="str">
            <v>Business / Corporate / Executive</v>
          </cell>
        </row>
        <row r="338">
          <cell r="A338" t="str">
            <v>Gulfstream IV</v>
          </cell>
          <cell r="B338" t="str">
            <v>SP</v>
          </cell>
          <cell r="C338" t="str">
            <v>Netjets International</v>
          </cell>
          <cell r="D338">
            <v>37434</v>
          </cell>
          <cell r="E338" t="str">
            <v>North America</v>
          </cell>
          <cell r="F338" t="str">
            <v>USA</v>
          </cell>
          <cell r="G338" t="str">
            <v>Business / Corporate / Executive</v>
          </cell>
        </row>
        <row r="339">
          <cell r="A339" t="str">
            <v>Gulfstream V</v>
          </cell>
          <cell r="B339" t="str">
            <v xml:space="preserve"> </v>
          </cell>
          <cell r="C339" t="str">
            <v>Gulfstream GATX Leasing Co LLC</v>
          </cell>
          <cell r="D339">
            <v>37435</v>
          </cell>
          <cell r="E339" t="str">
            <v>North America</v>
          </cell>
          <cell r="F339" t="str">
            <v>USA</v>
          </cell>
          <cell r="G339" t="str">
            <v>Business / Corporate / Executive</v>
          </cell>
        </row>
        <row r="340">
          <cell r="A340" t="str">
            <v>Gulfstream IV</v>
          </cell>
          <cell r="B340" t="str">
            <v>SP</v>
          </cell>
          <cell r="C340" t="str">
            <v>Sandler Management Group LLC</v>
          </cell>
          <cell r="D340">
            <v>37435</v>
          </cell>
          <cell r="E340" t="str">
            <v>North America</v>
          </cell>
          <cell r="F340" t="str">
            <v>USA</v>
          </cell>
          <cell r="G340" t="str">
            <v>Business / Corporate / Executive</v>
          </cell>
        </row>
        <row r="341">
          <cell r="A341" t="str">
            <v>Gulfstream V</v>
          </cell>
          <cell r="B341" t="str">
            <v xml:space="preserve"> </v>
          </cell>
          <cell r="C341" t="str">
            <v>Toyota Motor Sales USA Inc</v>
          </cell>
          <cell r="D341">
            <v>37435</v>
          </cell>
          <cell r="E341" t="str">
            <v>North America</v>
          </cell>
          <cell r="F341" t="str">
            <v>USA</v>
          </cell>
          <cell r="G341" t="str">
            <v>Business / Corporate / Executive</v>
          </cell>
        </row>
        <row r="342">
          <cell r="A342" t="str">
            <v>Gulfstream V</v>
          </cell>
          <cell r="B342" t="str">
            <v xml:space="preserve"> </v>
          </cell>
          <cell r="C342" t="str">
            <v>Beachwood Aircraft Leasing LLC</v>
          </cell>
          <cell r="D342">
            <v>37436</v>
          </cell>
          <cell r="E342" t="str">
            <v>North America</v>
          </cell>
          <cell r="F342" t="str">
            <v>USA</v>
          </cell>
          <cell r="G342" t="str">
            <v>Business / Corporate / Executive</v>
          </cell>
        </row>
        <row r="343">
          <cell r="A343" t="str">
            <v>Gulfstream V</v>
          </cell>
          <cell r="B343" t="str">
            <v xml:space="preserve"> </v>
          </cell>
          <cell r="C343" t="str">
            <v>Saudi Aeromedical Evacuation</v>
          </cell>
          <cell r="D343">
            <v>37442</v>
          </cell>
          <cell r="E343" t="str">
            <v>Middle East</v>
          </cell>
          <cell r="F343" t="str">
            <v>Saudi Arabia</v>
          </cell>
          <cell r="G343" t="str">
            <v>Business / Corporate / Executive</v>
          </cell>
        </row>
        <row r="344">
          <cell r="A344" t="str">
            <v>Gulfstream V</v>
          </cell>
          <cell r="B344" t="str">
            <v xml:space="preserve"> </v>
          </cell>
          <cell r="C344" t="str">
            <v>Ispat Ltd</v>
          </cell>
          <cell r="D344">
            <v>37452</v>
          </cell>
          <cell r="E344" t="str">
            <v>Europe</v>
          </cell>
          <cell r="F344" t="str">
            <v>United Kingdom</v>
          </cell>
          <cell r="G344" t="str">
            <v>Business / Corporate / Executive</v>
          </cell>
        </row>
        <row r="345">
          <cell r="A345" t="str">
            <v>Gulfstream IV</v>
          </cell>
          <cell r="B345" t="str">
            <v>SP</v>
          </cell>
          <cell r="C345" t="str">
            <v>Shell Aircraft Ltd</v>
          </cell>
          <cell r="D345">
            <v>37461</v>
          </cell>
          <cell r="E345" t="str">
            <v>Europe</v>
          </cell>
          <cell r="F345" t="str">
            <v>United Kingdom</v>
          </cell>
          <cell r="G345" t="str">
            <v>Business / Corporate / Executive</v>
          </cell>
        </row>
        <row r="346">
          <cell r="A346" t="str">
            <v>Gulfstream IV</v>
          </cell>
          <cell r="B346" t="str">
            <v>SP</v>
          </cell>
          <cell r="C346" t="str">
            <v>Prime Jet LLC</v>
          </cell>
          <cell r="D346">
            <v>37463</v>
          </cell>
          <cell r="E346" t="str">
            <v>North America</v>
          </cell>
          <cell r="F346" t="str">
            <v>USA</v>
          </cell>
          <cell r="G346" t="str">
            <v>Business / Corporate / Executive</v>
          </cell>
        </row>
        <row r="347">
          <cell r="A347" t="str">
            <v>Gulfstream IV</v>
          </cell>
          <cell r="B347" t="str">
            <v>SP</v>
          </cell>
          <cell r="C347" t="str">
            <v>Educap Inc</v>
          </cell>
          <cell r="D347">
            <v>37468</v>
          </cell>
          <cell r="E347" t="str">
            <v>North America</v>
          </cell>
          <cell r="F347" t="str">
            <v>USA</v>
          </cell>
          <cell r="G347" t="str">
            <v>Business / Corporate / Executive</v>
          </cell>
        </row>
        <row r="348">
          <cell r="A348" t="str">
            <v>Gulfstream IV</v>
          </cell>
          <cell r="B348" t="str">
            <v>SP</v>
          </cell>
          <cell r="C348" t="str">
            <v>Computer Sciences Corp</v>
          </cell>
          <cell r="D348">
            <v>37471</v>
          </cell>
          <cell r="E348" t="str">
            <v>North America</v>
          </cell>
          <cell r="F348" t="str">
            <v>USA</v>
          </cell>
          <cell r="G348" t="str">
            <v>Business / Corporate / Executive</v>
          </cell>
        </row>
        <row r="349">
          <cell r="A349" t="str">
            <v>Gulfstream V</v>
          </cell>
          <cell r="B349" t="str">
            <v xml:space="preserve"> </v>
          </cell>
          <cell r="C349" t="str">
            <v>Servicios Aeronauticos Z SA de CV</v>
          </cell>
          <cell r="D349">
            <v>37488</v>
          </cell>
          <cell r="E349" t="str">
            <v>Latin America and Caribbean</v>
          </cell>
          <cell r="F349" t="str">
            <v>Mexico</v>
          </cell>
          <cell r="G349" t="str">
            <v>Business / Corporate / Executive</v>
          </cell>
        </row>
        <row r="350">
          <cell r="A350" t="str">
            <v>Gulfstream IV</v>
          </cell>
          <cell r="B350" t="str">
            <v>SP</v>
          </cell>
          <cell r="C350" t="str">
            <v>DS Aviation Inc</v>
          </cell>
          <cell r="D350">
            <v>37498</v>
          </cell>
          <cell r="E350" t="str">
            <v>North America</v>
          </cell>
          <cell r="F350" t="str">
            <v>USA</v>
          </cell>
          <cell r="G350" t="str">
            <v>VIP / Government operated</v>
          </cell>
        </row>
        <row r="351">
          <cell r="A351" t="str">
            <v>Gulfstream IV</v>
          </cell>
          <cell r="B351" t="str">
            <v>SP</v>
          </cell>
          <cell r="C351" t="str">
            <v>Kaisen LLC</v>
          </cell>
          <cell r="D351">
            <v>37502</v>
          </cell>
          <cell r="E351" t="str">
            <v>North America</v>
          </cell>
          <cell r="F351" t="str">
            <v>USA</v>
          </cell>
          <cell r="G351" t="str">
            <v>Business / Corporate / Executive</v>
          </cell>
        </row>
        <row r="352">
          <cell r="A352" t="str">
            <v>Gulfstream IV</v>
          </cell>
          <cell r="B352" t="str">
            <v>SP</v>
          </cell>
          <cell r="C352" t="str">
            <v>UTair Aviation</v>
          </cell>
          <cell r="D352">
            <v>37514</v>
          </cell>
          <cell r="E352" t="str">
            <v>Europe</v>
          </cell>
          <cell r="F352" t="str">
            <v>Russia</v>
          </cell>
          <cell r="G352" t="str">
            <v>VIP / Government operated</v>
          </cell>
        </row>
        <row r="353">
          <cell r="A353" t="str">
            <v>Gulfstream V</v>
          </cell>
          <cell r="B353" t="str">
            <v xml:space="preserve"> </v>
          </cell>
          <cell r="C353" t="str">
            <v>Transworld Oil America</v>
          </cell>
          <cell r="D353">
            <v>37516</v>
          </cell>
          <cell r="E353" t="str">
            <v>North America</v>
          </cell>
          <cell r="F353" t="str">
            <v>USA</v>
          </cell>
          <cell r="G353" t="str">
            <v>Business / Corporate / Executive</v>
          </cell>
        </row>
        <row r="354">
          <cell r="A354" t="str">
            <v>Gulfstream IV</v>
          </cell>
          <cell r="B354" t="str">
            <v>SP</v>
          </cell>
          <cell r="C354" t="str">
            <v>Braxton Management Services LLC</v>
          </cell>
          <cell r="D354">
            <v>37519</v>
          </cell>
          <cell r="E354" t="str">
            <v>North America</v>
          </cell>
          <cell r="F354" t="str">
            <v>USA</v>
          </cell>
          <cell r="G354" t="str">
            <v>Business / Corporate / Executive</v>
          </cell>
        </row>
        <row r="355">
          <cell r="A355" t="str">
            <v>Gulfstream V</v>
          </cell>
          <cell r="B355" t="str">
            <v xml:space="preserve"> </v>
          </cell>
          <cell r="C355" t="str">
            <v>Sheridan Aviation LLC</v>
          </cell>
          <cell r="D355">
            <v>37519</v>
          </cell>
          <cell r="E355" t="str">
            <v>North America</v>
          </cell>
          <cell r="F355" t="str">
            <v>USA</v>
          </cell>
          <cell r="G355" t="str">
            <v>Business / Corporate / Executive</v>
          </cell>
        </row>
        <row r="356">
          <cell r="A356" t="str">
            <v>Gulfstream IV</v>
          </cell>
          <cell r="B356" t="str">
            <v>SP</v>
          </cell>
          <cell r="C356" t="str">
            <v>Veridian Aviation Services</v>
          </cell>
          <cell r="D356">
            <v>37523</v>
          </cell>
          <cell r="E356" t="str">
            <v>North America</v>
          </cell>
          <cell r="F356" t="str">
            <v>USA</v>
          </cell>
          <cell r="G356" t="str">
            <v>Business / Corporate / Executive</v>
          </cell>
        </row>
        <row r="357">
          <cell r="A357" t="str">
            <v>Gulfstream V</v>
          </cell>
          <cell r="B357" t="str">
            <v xml:space="preserve"> </v>
          </cell>
          <cell r="C357" t="str">
            <v>BG Aviation LLC</v>
          </cell>
          <cell r="D357">
            <v>37524</v>
          </cell>
          <cell r="E357" t="str">
            <v>North America</v>
          </cell>
          <cell r="F357" t="str">
            <v>USA</v>
          </cell>
          <cell r="G357" t="str">
            <v>Business / Corporate / Executive</v>
          </cell>
        </row>
        <row r="358">
          <cell r="A358" t="str">
            <v>Gulfstream V</v>
          </cell>
          <cell r="B358" t="str">
            <v xml:space="preserve"> </v>
          </cell>
          <cell r="C358" t="str">
            <v>Japan Coast Guard</v>
          </cell>
          <cell r="D358">
            <v>37524</v>
          </cell>
          <cell r="E358" t="str">
            <v>Asia</v>
          </cell>
          <cell r="F358" t="str">
            <v>Japan</v>
          </cell>
          <cell r="G358" t="str">
            <v>Business / Corporate / Executive</v>
          </cell>
        </row>
        <row r="359">
          <cell r="A359" t="str">
            <v>Gulfstream V</v>
          </cell>
          <cell r="B359" t="str">
            <v xml:space="preserve"> </v>
          </cell>
          <cell r="C359" t="str">
            <v>Alcoa Aircraft Operations</v>
          </cell>
          <cell r="D359">
            <v>37526</v>
          </cell>
          <cell r="E359" t="str">
            <v>North America</v>
          </cell>
          <cell r="F359" t="str">
            <v>USA</v>
          </cell>
          <cell r="G359" t="str">
            <v>Business / Corporate / Executive</v>
          </cell>
        </row>
        <row r="360">
          <cell r="A360" t="str">
            <v>Gulfstream IV</v>
          </cell>
          <cell r="B360" t="str">
            <v>SP</v>
          </cell>
          <cell r="C360" t="str">
            <v>Chelsea Holdings LLC</v>
          </cell>
          <cell r="D360">
            <v>37526</v>
          </cell>
          <cell r="E360" t="str">
            <v>North America</v>
          </cell>
          <cell r="F360" t="str">
            <v>USA</v>
          </cell>
          <cell r="G360" t="str">
            <v>Business / Corporate / Executive</v>
          </cell>
        </row>
        <row r="361">
          <cell r="A361" t="str">
            <v>Gulfstream V</v>
          </cell>
          <cell r="B361" t="str">
            <v xml:space="preserve"> </v>
          </cell>
          <cell r="C361" t="str">
            <v>Healthsouth Leasing Co LLC</v>
          </cell>
          <cell r="D361">
            <v>37526</v>
          </cell>
          <cell r="E361" t="str">
            <v>North America</v>
          </cell>
          <cell r="F361" t="str">
            <v>USA</v>
          </cell>
          <cell r="G361" t="str">
            <v>Business / Corporate / Executive</v>
          </cell>
        </row>
        <row r="362">
          <cell r="A362" t="str">
            <v>Gulfstream IV</v>
          </cell>
          <cell r="B362" t="str">
            <v>SP</v>
          </cell>
          <cell r="C362" t="str">
            <v>Netjets International</v>
          </cell>
          <cell r="D362">
            <v>37541</v>
          </cell>
          <cell r="E362" t="str">
            <v>North America</v>
          </cell>
          <cell r="F362" t="str">
            <v>USA</v>
          </cell>
          <cell r="G362" t="str">
            <v>Business / Corporate / Executive</v>
          </cell>
        </row>
        <row r="363">
          <cell r="A363" t="str">
            <v>Gulfstream IV</v>
          </cell>
          <cell r="B363" t="str">
            <v>SP</v>
          </cell>
          <cell r="C363" t="str">
            <v>Jets Ejecutivos</v>
          </cell>
          <cell r="D363">
            <v>37550</v>
          </cell>
          <cell r="E363" t="str">
            <v>Latin America and Caribbean</v>
          </cell>
          <cell r="F363" t="str">
            <v>Mexico</v>
          </cell>
          <cell r="G363" t="str">
            <v>Business / Corporate / Executive</v>
          </cell>
        </row>
        <row r="364">
          <cell r="A364" t="str">
            <v>Gulfstream V</v>
          </cell>
          <cell r="B364" t="str">
            <v xml:space="preserve"> </v>
          </cell>
          <cell r="C364" t="str">
            <v>Odyssey Aviation Inc</v>
          </cell>
          <cell r="D364">
            <v>37554</v>
          </cell>
          <cell r="E364" t="str">
            <v>North America</v>
          </cell>
          <cell r="F364" t="str">
            <v>USA</v>
          </cell>
          <cell r="G364" t="str">
            <v>VIP / Government operated</v>
          </cell>
        </row>
        <row r="365">
          <cell r="A365" t="str">
            <v>Gulfstream V</v>
          </cell>
          <cell r="B365" t="str">
            <v xml:space="preserve"> </v>
          </cell>
          <cell r="C365" t="str">
            <v>Starbucks Capital Asset Leasing Co LLC</v>
          </cell>
          <cell r="D365">
            <v>37557</v>
          </cell>
          <cell r="E365" t="str">
            <v>North America</v>
          </cell>
          <cell r="F365" t="str">
            <v>USA</v>
          </cell>
          <cell r="G365" t="str">
            <v>Business / Corporate / Executive</v>
          </cell>
        </row>
        <row r="366">
          <cell r="A366" t="str">
            <v>Gulfstream IV</v>
          </cell>
          <cell r="B366" t="str">
            <v>SP</v>
          </cell>
          <cell r="C366" t="str">
            <v>TAI Leasing Inc</v>
          </cell>
          <cell r="D366">
            <v>37561</v>
          </cell>
          <cell r="E366" t="str">
            <v>North America</v>
          </cell>
          <cell r="F366" t="str">
            <v>USA</v>
          </cell>
          <cell r="G366" t="str">
            <v>Business / Corporate / Executive</v>
          </cell>
        </row>
        <row r="367">
          <cell r="A367" t="str">
            <v>Gulfstream V</v>
          </cell>
          <cell r="B367" t="str">
            <v xml:space="preserve"> </v>
          </cell>
          <cell r="C367" t="str">
            <v>MTVRN LLC</v>
          </cell>
          <cell r="D367">
            <v>37566</v>
          </cell>
          <cell r="E367" t="str">
            <v>North America</v>
          </cell>
          <cell r="F367" t="str">
            <v>USA</v>
          </cell>
          <cell r="G367" t="str">
            <v>Business / Corporate / Executive</v>
          </cell>
        </row>
        <row r="368">
          <cell r="A368" t="str">
            <v>Gulfstream V</v>
          </cell>
          <cell r="B368" t="str">
            <v xml:space="preserve"> </v>
          </cell>
          <cell r="C368" t="str">
            <v>East Coast Aviation II LLC</v>
          </cell>
          <cell r="D368">
            <v>37575</v>
          </cell>
          <cell r="E368" t="str">
            <v>North America</v>
          </cell>
          <cell r="F368" t="str">
            <v>USA</v>
          </cell>
          <cell r="G368" t="str">
            <v>Business / Corporate / Executive</v>
          </cell>
        </row>
        <row r="369">
          <cell r="A369" t="str">
            <v>Gulfstream V</v>
          </cell>
          <cell r="B369" t="str">
            <v xml:space="preserve"> </v>
          </cell>
          <cell r="C369" t="str">
            <v>North Carolina Air &amp; Travel LLC</v>
          </cell>
          <cell r="D369">
            <v>37585</v>
          </cell>
          <cell r="E369" t="str">
            <v>North America</v>
          </cell>
          <cell r="F369" t="str">
            <v>USA</v>
          </cell>
          <cell r="G369" t="str">
            <v>Business / Corporate / Executive</v>
          </cell>
        </row>
        <row r="370">
          <cell r="A370" t="str">
            <v>Gulfstream IV</v>
          </cell>
          <cell r="B370" t="str">
            <v>SP</v>
          </cell>
          <cell r="C370" t="str">
            <v>HG Wells Aviation II LLC</v>
          </cell>
          <cell r="D370">
            <v>37601</v>
          </cell>
          <cell r="E370" t="str">
            <v>North America</v>
          </cell>
          <cell r="F370" t="str">
            <v>USA</v>
          </cell>
          <cell r="G370" t="str">
            <v>Business / Corporate / Executive</v>
          </cell>
        </row>
        <row r="371">
          <cell r="A371" t="str">
            <v>Gulfstream IV</v>
          </cell>
          <cell r="B371" t="str">
            <v>SP</v>
          </cell>
          <cell r="C371" t="str">
            <v>SCS Services LLC</v>
          </cell>
          <cell r="D371">
            <v>37607</v>
          </cell>
          <cell r="E371" t="str">
            <v>North America</v>
          </cell>
          <cell r="F371" t="str">
            <v>USA</v>
          </cell>
          <cell r="G371" t="str">
            <v>Business / Corporate / Executive</v>
          </cell>
        </row>
        <row r="372">
          <cell r="A372" t="str">
            <v>Gulfstream IV</v>
          </cell>
          <cell r="B372" t="str">
            <v>SP</v>
          </cell>
          <cell r="C372" t="str">
            <v>Philip Morris Management/CDED 713504 LLC</v>
          </cell>
          <cell r="D372">
            <v>37609</v>
          </cell>
          <cell r="E372" t="str">
            <v>North America</v>
          </cell>
          <cell r="F372" t="str">
            <v>USA</v>
          </cell>
          <cell r="G372" t="str">
            <v>Business / Corporate / Executive</v>
          </cell>
        </row>
        <row r="373">
          <cell r="A373" t="str">
            <v>Gulfstream V</v>
          </cell>
          <cell r="B373" t="str">
            <v xml:space="preserve"> </v>
          </cell>
          <cell r="C373" t="str">
            <v>Encledon Enterprises Ltd</v>
          </cell>
          <cell r="D373">
            <v>37610</v>
          </cell>
          <cell r="E373" t="str">
            <v>Europe</v>
          </cell>
          <cell r="F373" t="str">
            <v>Cyprus</v>
          </cell>
          <cell r="G373" t="str">
            <v>Business / Corporate / Executive</v>
          </cell>
        </row>
        <row r="374">
          <cell r="A374" t="str">
            <v>Gulfstream V</v>
          </cell>
          <cell r="B374" t="str">
            <v xml:space="preserve"> </v>
          </cell>
          <cell r="C374" t="str">
            <v>Japan Coast Guard</v>
          </cell>
          <cell r="D374">
            <v>37610</v>
          </cell>
          <cell r="E374" t="str">
            <v>Asia</v>
          </cell>
          <cell r="F374" t="str">
            <v>Japan</v>
          </cell>
          <cell r="G374" t="str">
            <v>Business / Corporate / Executive</v>
          </cell>
        </row>
        <row r="375">
          <cell r="A375" t="str">
            <v>Gulfstream IV</v>
          </cell>
          <cell r="B375" t="str">
            <v>SP</v>
          </cell>
          <cell r="C375" t="str">
            <v>Fertitta Enterprises</v>
          </cell>
          <cell r="D375">
            <v>37613</v>
          </cell>
          <cell r="E375" t="str">
            <v>North America</v>
          </cell>
          <cell r="F375" t="str">
            <v>USA</v>
          </cell>
          <cell r="G375" t="str">
            <v>Business / Corporate / Executive</v>
          </cell>
        </row>
        <row r="376">
          <cell r="A376" t="str">
            <v>Gulfstream IV</v>
          </cell>
          <cell r="B376" t="str">
            <v>SP</v>
          </cell>
          <cell r="C376" t="str">
            <v>Dick's Sporting Goods Inc</v>
          </cell>
          <cell r="D376">
            <v>37621</v>
          </cell>
          <cell r="E376" t="str">
            <v>North America</v>
          </cell>
          <cell r="F376" t="str">
            <v>USA</v>
          </cell>
          <cell r="G376" t="str">
            <v>Business / Corporate / Executive</v>
          </cell>
        </row>
        <row r="378">
          <cell r="A378" t="str">
            <v>2001 Detail</v>
          </cell>
        </row>
        <row r="379">
          <cell r="A379" t="str">
            <v>Mfr &amp; Type</v>
          </cell>
          <cell r="B379" t="str">
            <v>Variant</v>
          </cell>
          <cell r="C379" t="str">
            <v>Operator</v>
          </cell>
          <cell r="D379" t="str">
            <v>DeliveryDate</v>
          </cell>
          <cell r="E379" t="str">
            <v>OperatorArea</v>
          </cell>
          <cell r="F379" t="str">
            <v>OperatorCountry</v>
          </cell>
          <cell r="G379" t="str">
            <v>Usage</v>
          </cell>
        </row>
        <row r="380">
          <cell r="A380" t="str">
            <v>Gulfstream V</v>
          </cell>
          <cell r="B380" t="str">
            <v xml:space="preserve"> </v>
          </cell>
          <cell r="C380" t="str">
            <v>Ivanhoe Capital Aviation LLC</v>
          </cell>
          <cell r="D380">
            <v>36907</v>
          </cell>
          <cell r="E380" t="str">
            <v>North America &amp; Caribbean</v>
          </cell>
          <cell r="F380" t="str">
            <v>USA</v>
          </cell>
          <cell r="G380" t="str">
            <v>Business / Corporate / Executive</v>
          </cell>
        </row>
        <row r="381">
          <cell r="A381" t="str">
            <v>Gulfstream IV</v>
          </cell>
          <cell r="B381" t="str">
            <v>SP</v>
          </cell>
          <cell r="C381" t="str">
            <v>Limited Service Corp</v>
          </cell>
          <cell r="D381">
            <v>36914</v>
          </cell>
          <cell r="E381" t="str">
            <v>North America &amp; Caribbean</v>
          </cell>
          <cell r="F381" t="str">
            <v>USA</v>
          </cell>
          <cell r="G381" t="str">
            <v>Business / Corporate / Executive</v>
          </cell>
        </row>
        <row r="382">
          <cell r="A382" t="str">
            <v>Gulfstream V</v>
          </cell>
          <cell r="B382" t="str">
            <v xml:space="preserve"> </v>
          </cell>
          <cell r="C382" t="str">
            <v>MESH II LLC</v>
          </cell>
          <cell r="D382">
            <v>36920</v>
          </cell>
          <cell r="E382" t="str">
            <v>North America &amp; Caribbean</v>
          </cell>
          <cell r="F382" t="str">
            <v>USA</v>
          </cell>
          <cell r="G382" t="str">
            <v>Business / Corporate / Executive</v>
          </cell>
        </row>
        <row r="383">
          <cell r="A383" t="str">
            <v>Gulfstream IV</v>
          </cell>
          <cell r="B383" t="str">
            <v>SP</v>
          </cell>
          <cell r="C383" t="str">
            <v>W A Reaud</v>
          </cell>
          <cell r="D383">
            <v>36922</v>
          </cell>
          <cell r="E383" t="str">
            <v>North America &amp; Caribbean</v>
          </cell>
          <cell r="F383" t="str">
            <v>USA</v>
          </cell>
          <cell r="G383" t="str">
            <v>Business / Corporate / Executive</v>
          </cell>
        </row>
        <row r="384">
          <cell r="A384" t="str">
            <v>Gulfstream IV</v>
          </cell>
          <cell r="B384" t="str">
            <v>SP</v>
          </cell>
          <cell r="C384" t="str">
            <v>Cape Clear LLC</v>
          </cell>
          <cell r="D384">
            <v>36931</v>
          </cell>
          <cell r="E384" t="str">
            <v>North America &amp; Caribbean</v>
          </cell>
          <cell r="F384" t="str">
            <v>USA</v>
          </cell>
          <cell r="G384" t="str">
            <v>Business / Corporate / Executive</v>
          </cell>
        </row>
        <row r="385">
          <cell r="A385" t="str">
            <v>Gulfstream V</v>
          </cell>
          <cell r="B385" t="str">
            <v xml:space="preserve"> </v>
          </cell>
          <cell r="C385" t="str">
            <v>Rikio Co Ltd</v>
          </cell>
          <cell r="D385">
            <v>36962</v>
          </cell>
          <cell r="E385" t="str">
            <v>Asia</v>
          </cell>
          <cell r="F385" t="str">
            <v>Japan</v>
          </cell>
          <cell r="G385" t="str">
            <v>Business / Corporate / Executive</v>
          </cell>
        </row>
        <row r="386">
          <cell r="A386" t="str">
            <v>Gulfstream IV</v>
          </cell>
          <cell r="B386" t="str">
            <v>SP</v>
          </cell>
          <cell r="C386" t="str">
            <v>N811BP Inc</v>
          </cell>
          <cell r="D386">
            <v>36962</v>
          </cell>
          <cell r="E386" t="str">
            <v>North America &amp; Caribbean</v>
          </cell>
          <cell r="F386" t="str">
            <v>USA</v>
          </cell>
          <cell r="G386" t="str">
            <v>Business / Corporate / Executive</v>
          </cell>
        </row>
        <row r="387">
          <cell r="A387" t="str">
            <v>Gulfstream V</v>
          </cell>
          <cell r="B387" t="str">
            <v xml:space="preserve"> </v>
          </cell>
          <cell r="C387" t="str">
            <v>Netjets International</v>
          </cell>
          <cell r="D387">
            <v>36973</v>
          </cell>
          <cell r="E387" t="str">
            <v>North America &amp; Caribbean</v>
          </cell>
          <cell r="F387" t="str">
            <v>USA</v>
          </cell>
          <cell r="G387" t="str">
            <v>Business / Corporate / Executive</v>
          </cell>
        </row>
        <row r="388">
          <cell r="A388" t="str">
            <v>Gulfstream V</v>
          </cell>
          <cell r="B388" t="str">
            <v xml:space="preserve"> </v>
          </cell>
          <cell r="C388" t="str">
            <v>Enron Corp</v>
          </cell>
          <cell r="D388">
            <v>36977</v>
          </cell>
          <cell r="E388" t="str">
            <v>North America &amp; Caribbean</v>
          </cell>
          <cell r="F388" t="str">
            <v>USA</v>
          </cell>
          <cell r="G388" t="str">
            <v>Business / Corporate / Executive</v>
          </cell>
        </row>
        <row r="389">
          <cell r="A389" t="str">
            <v>Gulfstream IV</v>
          </cell>
          <cell r="B389" t="str">
            <v>SP</v>
          </cell>
          <cell r="C389" t="str">
            <v>Netjets International</v>
          </cell>
          <cell r="D389">
            <v>36980</v>
          </cell>
          <cell r="E389" t="str">
            <v>North America &amp; Caribbean</v>
          </cell>
          <cell r="F389" t="str">
            <v>USA</v>
          </cell>
          <cell r="G389" t="str">
            <v>Business / Corporate / Executive</v>
          </cell>
        </row>
        <row r="390">
          <cell r="A390" t="str">
            <v>Gulfstream V</v>
          </cell>
          <cell r="B390" t="str">
            <v xml:space="preserve"> </v>
          </cell>
          <cell r="C390" t="str">
            <v>General Electric Capital Corp</v>
          </cell>
          <cell r="D390">
            <v>36987</v>
          </cell>
          <cell r="E390" t="str">
            <v>North America &amp; Caribbean</v>
          </cell>
          <cell r="F390" t="str">
            <v>USA</v>
          </cell>
          <cell r="G390" t="str">
            <v>Business / Corporate / Executive</v>
          </cell>
        </row>
        <row r="391">
          <cell r="A391" t="str">
            <v>Gulfstream IV</v>
          </cell>
          <cell r="B391" t="str">
            <v>SP</v>
          </cell>
          <cell r="C391" t="str">
            <v>AC Executive Aircraft Leasing Ltd</v>
          </cell>
          <cell r="D391">
            <v>36987</v>
          </cell>
          <cell r="E391" t="str">
            <v>Europe</v>
          </cell>
          <cell r="F391" t="str">
            <v>United Kingdom</v>
          </cell>
          <cell r="G391" t="str">
            <v>Business / Corporate / Executive</v>
          </cell>
        </row>
        <row r="392">
          <cell r="A392" t="str">
            <v>Gulfstream V</v>
          </cell>
          <cell r="B392" t="str">
            <v xml:space="preserve"> </v>
          </cell>
          <cell r="C392" t="str">
            <v>Macair Jet SA</v>
          </cell>
          <cell r="D392">
            <v>36996</v>
          </cell>
          <cell r="E392" t="str">
            <v>South &amp; Central America</v>
          </cell>
          <cell r="F392" t="str">
            <v>Argentina</v>
          </cell>
          <cell r="G392" t="str">
            <v>Business / Corporate / Executive</v>
          </cell>
        </row>
        <row r="393">
          <cell r="A393" t="str">
            <v>Gulfstream IV</v>
          </cell>
          <cell r="B393" t="str">
            <v>SP</v>
          </cell>
          <cell r="C393" t="str">
            <v>Government of Algeria</v>
          </cell>
          <cell r="D393">
            <v>37001</v>
          </cell>
          <cell r="E393" t="str">
            <v>Africa</v>
          </cell>
          <cell r="F393" t="str">
            <v>Algeria</v>
          </cell>
          <cell r="G393" t="str">
            <v>VIP / Government operated</v>
          </cell>
        </row>
        <row r="394">
          <cell r="A394" t="str">
            <v>Gulfstream IV</v>
          </cell>
          <cell r="B394" t="str">
            <v>SP</v>
          </cell>
          <cell r="C394" t="str">
            <v>GEP I LLC</v>
          </cell>
          <cell r="D394">
            <v>37021</v>
          </cell>
          <cell r="E394" t="str">
            <v>North America &amp; Caribbean</v>
          </cell>
          <cell r="F394" t="str">
            <v>USA</v>
          </cell>
          <cell r="G394" t="str">
            <v>Business / Corporate / Executive</v>
          </cell>
        </row>
        <row r="395">
          <cell r="A395" t="str">
            <v>Gulfstream IV</v>
          </cell>
          <cell r="B395" t="str">
            <v>SP</v>
          </cell>
          <cell r="C395" t="str">
            <v>Phillips Petroleum Co</v>
          </cell>
          <cell r="D395">
            <v>37022</v>
          </cell>
          <cell r="E395" t="str">
            <v>North America &amp; Caribbean</v>
          </cell>
          <cell r="F395" t="str">
            <v>USA</v>
          </cell>
          <cell r="G395" t="str">
            <v>Business / Corporate / Executive</v>
          </cell>
        </row>
        <row r="396">
          <cell r="A396" t="str">
            <v>Gulfstream V</v>
          </cell>
          <cell r="B396" t="str">
            <v xml:space="preserve"> </v>
          </cell>
          <cell r="C396" t="str">
            <v>Steven Jobs</v>
          </cell>
          <cell r="D396">
            <v>37036</v>
          </cell>
          <cell r="E396" t="str">
            <v>North America &amp; Caribbean</v>
          </cell>
          <cell r="F396" t="str">
            <v>USA</v>
          </cell>
          <cell r="G396" t="str">
            <v>Business / Corporate / Executive</v>
          </cell>
        </row>
        <row r="397">
          <cell r="A397" t="str">
            <v>Gulfstream V</v>
          </cell>
          <cell r="B397" t="str">
            <v xml:space="preserve"> </v>
          </cell>
          <cell r="C397" t="str">
            <v>Netjets International</v>
          </cell>
          <cell r="D397">
            <v>37042</v>
          </cell>
          <cell r="E397" t="str">
            <v>North America &amp; Caribbean</v>
          </cell>
          <cell r="F397" t="str">
            <v>USA</v>
          </cell>
          <cell r="G397" t="str">
            <v>Business / Corporate / Executive</v>
          </cell>
        </row>
        <row r="398">
          <cell r="A398" t="str">
            <v>Gulfstream IV</v>
          </cell>
          <cell r="B398" t="str">
            <v>SP</v>
          </cell>
          <cell r="C398" t="str">
            <v>ConocoPhillips Co</v>
          </cell>
          <cell r="D398">
            <v>37046</v>
          </cell>
          <cell r="E398" t="str">
            <v>North America &amp; Caribbean</v>
          </cell>
          <cell r="F398" t="str">
            <v>USA</v>
          </cell>
          <cell r="G398" t="str">
            <v>Business / Corporate / Executive</v>
          </cell>
        </row>
        <row r="399">
          <cell r="A399" t="str">
            <v>Gulfstream V</v>
          </cell>
          <cell r="B399" t="str">
            <v xml:space="preserve"> </v>
          </cell>
          <cell r="C399" t="str">
            <v>Meadowlark Acquisitions Inc</v>
          </cell>
          <cell r="D399">
            <v>37046</v>
          </cell>
          <cell r="E399" t="str">
            <v>North America &amp; Caribbean</v>
          </cell>
          <cell r="F399" t="str">
            <v>USA</v>
          </cell>
          <cell r="G399" t="str">
            <v>Business / Corporate / Executive</v>
          </cell>
        </row>
        <row r="400">
          <cell r="A400" t="str">
            <v>Gulfstream IV</v>
          </cell>
          <cell r="B400" t="str">
            <v>SP</v>
          </cell>
          <cell r="C400" t="str">
            <v>Aeromundo Ejecutivo SA de CV</v>
          </cell>
          <cell r="D400">
            <v>37061</v>
          </cell>
          <cell r="E400" t="str">
            <v>South &amp; Central America</v>
          </cell>
          <cell r="F400" t="str">
            <v>Mexico</v>
          </cell>
          <cell r="G400" t="str">
            <v>Business / Corporate / Executive</v>
          </cell>
        </row>
        <row r="401">
          <cell r="A401" t="str">
            <v>Gulfstream V</v>
          </cell>
          <cell r="B401" t="str">
            <v xml:space="preserve"> </v>
          </cell>
          <cell r="C401" t="str">
            <v>CYMI Investments Sub Inc</v>
          </cell>
          <cell r="D401">
            <v>37063</v>
          </cell>
          <cell r="E401" t="str">
            <v>North America &amp; Caribbean</v>
          </cell>
          <cell r="F401" t="str">
            <v>USA</v>
          </cell>
          <cell r="G401" t="str">
            <v>Business / Corporate / Executive</v>
          </cell>
        </row>
        <row r="402">
          <cell r="A402" t="str">
            <v>Gulfstream IV</v>
          </cell>
          <cell r="B402" t="str">
            <v>SP</v>
          </cell>
          <cell r="C402" t="str">
            <v>Kohler &amp; Co</v>
          </cell>
          <cell r="D402">
            <v>37067</v>
          </cell>
          <cell r="E402" t="str">
            <v>North America &amp; Caribbean</v>
          </cell>
          <cell r="F402" t="str">
            <v>USA</v>
          </cell>
          <cell r="G402" t="str">
            <v>Business / Corporate / Executive</v>
          </cell>
        </row>
        <row r="403">
          <cell r="A403" t="str">
            <v>Gulfstream V</v>
          </cell>
          <cell r="B403" t="str">
            <v xml:space="preserve"> </v>
          </cell>
          <cell r="C403" t="str">
            <v>Netjets International</v>
          </cell>
          <cell r="D403">
            <v>37069</v>
          </cell>
          <cell r="E403" t="str">
            <v>North America &amp; Caribbean</v>
          </cell>
          <cell r="F403" t="str">
            <v>USA</v>
          </cell>
          <cell r="G403" t="str">
            <v>Business / Corporate / Executive</v>
          </cell>
        </row>
        <row r="404">
          <cell r="A404" t="str">
            <v>Gulfstream IV</v>
          </cell>
          <cell r="B404" t="str">
            <v>SP</v>
          </cell>
          <cell r="C404" t="str">
            <v>Netjets International</v>
          </cell>
          <cell r="D404">
            <v>37069</v>
          </cell>
          <cell r="E404" t="str">
            <v>North America &amp; Caribbean</v>
          </cell>
          <cell r="F404" t="str">
            <v>USA</v>
          </cell>
          <cell r="G404" t="str">
            <v>Business / Corporate / Executive</v>
          </cell>
        </row>
        <row r="405">
          <cell r="A405" t="str">
            <v>Gulfstream V</v>
          </cell>
          <cell r="B405" t="str">
            <v xml:space="preserve"> </v>
          </cell>
          <cell r="C405" t="str">
            <v>Metromedia Aircraft Co</v>
          </cell>
          <cell r="D405">
            <v>37070</v>
          </cell>
          <cell r="E405" t="str">
            <v>North America &amp; Caribbean</v>
          </cell>
          <cell r="F405" t="str">
            <v>USA</v>
          </cell>
          <cell r="G405" t="str">
            <v>Business / Corporate / Executive</v>
          </cell>
        </row>
        <row r="406">
          <cell r="A406" t="str">
            <v>Gulfstream V</v>
          </cell>
          <cell r="B406" t="str">
            <v xml:space="preserve"> </v>
          </cell>
          <cell r="C406" t="str">
            <v>United States Aviation Co</v>
          </cell>
          <cell r="D406">
            <v>37071</v>
          </cell>
          <cell r="E406" t="str">
            <v>North America &amp; Caribbean</v>
          </cell>
          <cell r="F406" t="str">
            <v>USA</v>
          </cell>
          <cell r="G406" t="str">
            <v>Business / Corporate / Executive</v>
          </cell>
        </row>
        <row r="407">
          <cell r="A407" t="str">
            <v>Gulfstream IV</v>
          </cell>
          <cell r="B407" t="str">
            <v>SP</v>
          </cell>
          <cell r="C407" t="str">
            <v>Bandwidth LLC</v>
          </cell>
          <cell r="D407">
            <v>37071</v>
          </cell>
          <cell r="E407" t="str">
            <v>North America &amp; Caribbean</v>
          </cell>
          <cell r="F407" t="str">
            <v>USA</v>
          </cell>
          <cell r="G407" t="str">
            <v>Business / Corporate / Executive</v>
          </cell>
        </row>
        <row r="408">
          <cell r="A408" t="str">
            <v>Gulfstream V</v>
          </cell>
          <cell r="B408" t="str">
            <v xml:space="preserve"> </v>
          </cell>
          <cell r="C408" t="str">
            <v>Government of Algeria</v>
          </cell>
          <cell r="D408">
            <v>37071</v>
          </cell>
          <cell r="E408" t="str">
            <v>Africa</v>
          </cell>
          <cell r="F408" t="str">
            <v>Algeria</v>
          </cell>
          <cell r="G408" t="str">
            <v>VIP / Government operated</v>
          </cell>
        </row>
        <row r="409">
          <cell r="A409" t="str">
            <v>Gulfstream IV</v>
          </cell>
          <cell r="B409" t="str">
            <v>SP</v>
          </cell>
          <cell r="C409" t="str">
            <v>Government of Egypt</v>
          </cell>
          <cell r="D409">
            <v>37081</v>
          </cell>
          <cell r="E409" t="str">
            <v>Africa</v>
          </cell>
          <cell r="F409" t="str">
            <v>Egypt</v>
          </cell>
          <cell r="G409" t="str">
            <v>VIP / Government operated</v>
          </cell>
        </row>
        <row r="410">
          <cell r="A410" t="str">
            <v>Gulfstream V</v>
          </cell>
          <cell r="B410" t="str">
            <v xml:space="preserve"> </v>
          </cell>
          <cell r="C410" t="str">
            <v>Ford Motor Co</v>
          </cell>
          <cell r="D410">
            <v>37091</v>
          </cell>
          <cell r="E410" t="str">
            <v>North America &amp; Caribbean</v>
          </cell>
          <cell r="F410" t="str">
            <v>USA</v>
          </cell>
          <cell r="G410" t="str">
            <v>Business / Corporate / Executive</v>
          </cell>
        </row>
        <row r="411">
          <cell r="A411" t="str">
            <v>Gulfstream V</v>
          </cell>
          <cell r="B411" t="str">
            <v xml:space="preserve"> </v>
          </cell>
          <cell r="C411" t="str">
            <v>US Air Force</v>
          </cell>
          <cell r="D411">
            <v>37097</v>
          </cell>
          <cell r="E411" t="str">
            <v>North America &amp; Caribbean</v>
          </cell>
          <cell r="F411" t="str">
            <v>USA</v>
          </cell>
          <cell r="G411" t="str">
            <v>VIP / Government operated</v>
          </cell>
        </row>
        <row r="412">
          <cell r="A412" t="str">
            <v>Gulfstream IV</v>
          </cell>
          <cell r="B412" t="str">
            <v>SP</v>
          </cell>
          <cell r="C412" t="str">
            <v>Hagadone Aviation LLC</v>
          </cell>
          <cell r="D412">
            <v>37098</v>
          </cell>
          <cell r="E412" t="str">
            <v>North America &amp; Caribbean</v>
          </cell>
          <cell r="F412" t="str">
            <v>USA</v>
          </cell>
          <cell r="G412" t="str">
            <v>Business / Corporate / Executive</v>
          </cell>
        </row>
        <row r="413">
          <cell r="A413" t="str">
            <v>Gulfstream V</v>
          </cell>
          <cell r="B413" t="str">
            <v xml:space="preserve"> </v>
          </cell>
          <cell r="C413" t="str">
            <v>AEC Aircraft Inc</v>
          </cell>
          <cell r="D413">
            <v>37104</v>
          </cell>
          <cell r="E413" t="str">
            <v>North America &amp; Caribbean</v>
          </cell>
          <cell r="F413" t="str">
            <v>USA</v>
          </cell>
          <cell r="G413" t="str">
            <v>Business / Corporate / Executive</v>
          </cell>
        </row>
        <row r="414">
          <cell r="A414" t="str">
            <v>Gulfstream IV</v>
          </cell>
          <cell r="B414" t="str">
            <v>SP</v>
          </cell>
          <cell r="C414" t="str">
            <v>Government of Algeria</v>
          </cell>
          <cell r="D414">
            <v>37132</v>
          </cell>
          <cell r="E414" t="str">
            <v>Africa</v>
          </cell>
          <cell r="F414" t="str">
            <v>Algeria</v>
          </cell>
          <cell r="G414" t="str">
            <v>VIP / Government operated</v>
          </cell>
        </row>
        <row r="415">
          <cell r="A415" t="str">
            <v>Gulfstream V</v>
          </cell>
          <cell r="B415" t="str">
            <v xml:space="preserve"> </v>
          </cell>
          <cell r="C415" t="str">
            <v>US Department of Justice - US Marshals Service</v>
          </cell>
          <cell r="D415">
            <v>37146</v>
          </cell>
          <cell r="E415" t="str">
            <v>North America &amp; Caribbean</v>
          </cell>
          <cell r="F415" t="str">
            <v>USA</v>
          </cell>
          <cell r="G415" t="str">
            <v>Business / Corporate / Executive</v>
          </cell>
        </row>
        <row r="416">
          <cell r="A416" t="str">
            <v>Gulfstream V</v>
          </cell>
          <cell r="B416" t="str">
            <v xml:space="preserve"> </v>
          </cell>
          <cell r="C416" t="str">
            <v>EDS Information Services LLC</v>
          </cell>
          <cell r="D416">
            <v>37161</v>
          </cell>
          <cell r="E416" t="str">
            <v>North America &amp; Caribbean</v>
          </cell>
          <cell r="F416" t="str">
            <v>USA</v>
          </cell>
          <cell r="G416" t="str">
            <v>Business / Corporate / Executive</v>
          </cell>
        </row>
        <row r="417">
          <cell r="A417" t="str">
            <v>Gulfstream IV</v>
          </cell>
          <cell r="B417" t="str">
            <v>SP</v>
          </cell>
          <cell r="C417" t="str">
            <v>Knickerbocker Corp</v>
          </cell>
          <cell r="D417">
            <v>37162</v>
          </cell>
          <cell r="E417" t="str">
            <v>North America &amp; Caribbean</v>
          </cell>
          <cell r="F417" t="str">
            <v>USA</v>
          </cell>
          <cell r="G417" t="str">
            <v>Business / Corporate / Executive</v>
          </cell>
        </row>
        <row r="418">
          <cell r="A418" t="str">
            <v>Gulfstream IV</v>
          </cell>
          <cell r="B418" t="str">
            <v>SP</v>
          </cell>
          <cell r="C418" t="str">
            <v>Netjets International</v>
          </cell>
          <cell r="D418">
            <v>37162</v>
          </cell>
          <cell r="E418" t="str">
            <v>North America &amp; Caribbean</v>
          </cell>
          <cell r="F418" t="str">
            <v>USA</v>
          </cell>
          <cell r="G418" t="str">
            <v>Business / Corporate / Executive</v>
          </cell>
        </row>
        <row r="419">
          <cell r="A419" t="str">
            <v>Gulfstream V</v>
          </cell>
          <cell r="B419" t="str">
            <v xml:space="preserve"> </v>
          </cell>
          <cell r="C419" t="str">
            <v>Netjets International</v>
          </cell>
          <cell r="D419">
            <v>37162</v>
          </cell>
          <cell r="E419" t="str">
            <v>North America &amp; Caribbean</v>
          </cell>
          <cell r="F419" t="str">
            <v>USA</v>
          </cell>
          <cell r="G419" t="str">
            <v>Business / Corporate / Executive</v>
          </cell>
        </row>
        <row r="420">
          <cell r="A420" t="str">
            <v>Gulfstream IV</v>
          </cell>
          <cell r="B420" t="str">
            <v>SP</v>
          </cell>
          <cell r="C420" t="str">
            <v>Sky Night LLC</v>
          </cell>
          <cell r="D420">
            <v>37168</v>
          </cell>
          <cell r="E420" t="str">
            <v>North America &amp; Caribbean</v>
          </cell>
          <cell r="F420" t="str">
            <v>USA</v>
          </cell>
          <cell r="G420" t="str">
            <v>Business / Corporate / Executive</v>
          </cell>
        </row>
        <row r="421">
          <cell r="A421" t="str">
            <v>Gulfstream V</v>
          </cell>
          <cell r="B421" t="str">
            <v xml:space="preserve"> </v>
          </cell>
          <cell r="C421" t="str">
            <v>Amerada Hess Corp</v>
          </cell>
          <cell r="D421">
            <v>37169</v>
          </cell>
          <cell r="E421" t="str">
            <v>North America &amp; Caribbean</v>
          </cell>
          <cell r="F421" t="str">
            <v>USA</v>
          </cell>
          <cell r="G421" t="str">
            <v>Business / Corporate / Executive</v>
          </cell>
        </row>
        <row r="422">
          <cell r="A422" t="str">
            <v>Gulfstream V</v>
          </cell>
          <cell r="B422" t="str">
            <v xml:space="preserve"> </v>
          </cell>
          <cell r="C422" t="str">
            <v>US Air Force</v>
          </cell>
          <cell r="D422">
            <v>37179</v>
          </cell>
          <cell r="E422" t="str">
            <v>North America &amp; Caribbean</v>
          </cell>
          <cell r="F422" t="str">
            <v>USA</v>
          </cell>
          <cell r="G422" t="str">
            <v>VIP / Government operated</v>
          </cell>
        </row>
        <row r="423">
          <cell r="A423" t="str">
            <v>Gulfstream IV</v>
          </cell>
          <cell r="B423" t="str">
            <v>SP</v>
          </cell>
          <cell r="C423" t="str">
            <v>SNS Aviation LLC</v>
          </cell>
          <cell r="D423">
            <v>37183</v>
          </cell>
          <cell r="E423" t="str">
            <v>North America &amp; Caribbean</v>
          </cell>
          <cell r="F423" t="str">
            <v>USA</v>
          </cell>
          <cell r="G423" t="str">
            <v>Business / Corporate / Executive</v>
          </cell>
        </row>
        <row r="424">
          <cell r="A424" t="str">
            <v>Gulfstream IV</v>
          </cell>
          <cell r="B424" t="str">
            <v>SP</v>
          </cell>
          <cell r="C424" t="str">
            <v>HGA LLC</v>
          </cell>
          <cell r="D424">
            <v>37183</v>
          </cell>
          <cell r="E424" t="str">
            <v>North America &amp; Caribbean</v>
          </cell>
          <cell r="F424" t="str">
            <v>USA</v>
          </cell>
          <cell r="G424" t="str">
            <v>Business / Corporate / Executive</v>
          </cell>
        </row>
        <row r="425">
          <cell r="A425" t="str">
            <v>Gulfstream V</v>
          </cell>
          <cell r="B425" t="str">
            <v xml:space="preserve"> </v>
          </cell>
          <cell r="C425" t="str">
            <v>Netjets International</v>
          </cell>
          <cell r="D425">
            <v>37196</v>
          </cell>
          <cell r="E425" t="str">
            <v>North America &amp; Caribbean</v>
          </cell>
          <cell r="F425" t="str">
            <v>USA</v>
          </cell>
          <cell r="G425" t="str">
            <v>Business / Corporate / Executive</v>
          </cell>
        </row>
        <row r="426">
          <cell r="A426" t="str">
            <v>Gulfstream V</v>
          </cell>
          <cell r="B426" t="str">
            <v xml:space="preserve"> </v>
          </cell>
          <cell r="C426" t="str">
            <v>CSC Transport IV Inc</v>
          </cell>
          <cell r="D426">
            <v>37197</v>
          </cell>
          <cell r="E426" t="str">
            <v>North America &amp; Caribbean</v>
          </cell>
          <cell r="F426" t="str">
            <v>USA</v>
          </cell>
          <cell r="G426" t="str">
            <v>Business / Corporate / Executive</v>
          </cell>
        </row>
        <row r="427">
          <cell r="A427" t="str">
            <v>Gulfstream IV</v>
          </cell>
          <cell r="B427" t="str">
            <v>SP</v>
          </cell>
          <cell r="C427" t="str">
            <v>Government of Egypt</v>
          </cell>
          <cell r="D427">
            <v>37198</v>
          </cell>
          <cell r="E427" t="str">
            <v>Africa</v>
          </cell>
          <cell r="F427" t="str">
            <v>Egypt</v>
          </cell>
          <cell r="G427" t="str">
            <v>VIP / Government operated</v>
          </cell>
        </row>
        <row r="428">
          <cell r="A428" t="str">
            <v>Gulfstream IV</v>
          </cell>
          <cell r="B428" t="str">
            <v>SP</v>
          </cell>
          <cell r="C428" t="str">
            <v>Gulfstream GATX Leasing Co LLC</v>
          </cell>
          <cell r="D428">
            <v>37203</v>
          </cell>
          <cell r="E428" t="str">
            <v>North America &amp; Caribbean</v>
          </cell>
          <cell r="F428" t="str">
            <v>USA</v>
          </cell>
          <cell r="G428" t="str">
            <v>Business / Corporate / Executive</v>
          </cell>
        </row>
        <row r="429">
          <cell r="A429" t="str">
            <v>Gulfstream IV</v>
          </cell>
          <cell r="B429" t="str">
            <v>SP</v>
          </cell>
          <cell r="C429" t="str">
            <v>E I DuPont de Nemours &amp; Co</v>
          </cell>
          <cell r="D429">
            <v>37204</v>
          </cell>
          <cell r="E429" t="str">
            <v>North America &amp; Caribbean</v>
          </cell>
          <cell r="F429" t="str">
            <v>USA</v>
          </cell>
          <cell r="G429" t="str">
            <v>Business / Corporate / Executive</v>
          </cell>
        </row>
        <row r="430">
          <cell r="A430" t="str">
            <v>Gulfstream V</v>
          </cell>
          <cell r="B430" t="str">
            <v xml:space="preserve"> </v>
          </cell>
          <cell r="C430" t="str">
            <v>Teratorn LLC</v>
          </cell>
          <cell r="D430">
            <v>37204</v>
          </cell>
          <cell r="E430" t="str">
            <v>North America &amp; Caribbean</v>
          </cell>
          <cell r="F430" t="str">
            <v>USA</v>
          </cell>
          <cell r="G430" t="str">
            <v>Business / Corporate / Executive</v>
          </cell>
        </row>
        <row r="431">
          <cell r="A431" t="str">
            <v>Gulfstream IV</v>
          </cell>
          <cell r="B431" t="str">
            <v>SP</v>
          </cell>
          <cell r="C431" t="str">
            <v>CXAir Holdings Inc</v>
          </cell>
          <cell r="D431">
            <v>37211</v>
          </cell>
          <cell r="E431" t="str">
            <v>North America &amp; Caribbean</v>
          </cell>
          <cell r="F431" t="str">
            <v>USA</v>
          </cell>
          <cell r="G431" t="str">
            <v>Business / Corporate / Executive</v>
          </cell>
        </row>
        <row r="432">
          <cell r="A432" t="str">
            <v>Gulfstream IV</v>
          </cell>
          <cell r="B432" t="str">
            <v>SP</v>
          </cell>
          <cell r="C432" t="str">
            <v>Central Management Services LLC</v>
          </cell>
          <cell r="D432">
            <v>37224</v>
          </cell>
          <cell r="E432" t="str">
            <v>North America &amp; Caribbean</v>
          </cell>
          <cell r="F432" t="str">
            <v>USA</v>
          </cell>
          <cell r="G432" t="str">
            <v>Business / Corporate / Executive</v>
          </cell>
        </row>
        <row r="433">
          <cell r="A433" t="str">
            <v>Gulfstream V</v>
          </cell>
          <cell r="B433" t="str">
            <v xml:space="preserve"> </v>
          </cell>
          <cell r="C433" t="str">
            <v>SunTrust Leasing Corp</v>
          </cell>
          <cell r="D433">
            <v>37236</v>
          </cell>
          <cell r="E433" t="str">
            <v>North America &amp; Caribbean</v>
          </cell>
          <cell r="F433" t="str">
            <v>USA</v>
          </cell>
          <cell r="G433" t="str">
            <v>Business / Corporate / Executive</v>
          </cell>
        </row>
        <row r="434">
          <cell r="A434" t="str">
            <v>Gulfstream V</v>
          </cell>
          <cell r="B434" t="str">
            <v xml:space="preserve"> </v>
          </cell>
          <cell r="C434" t="str">
            <v>Netjets International</v>
          </cell>
          <cell r="D434">
            <v>37237</v>
          </cell>
          <cell r="E434" t="str">
            <v>North America &amp; Caribbean</v>
          </cell>
          <cell r="F434" t="str">
            <v>USA</v>
          </cell>
          <cell r="G434" t="str">
            <v>Business / Corporate / Executive</v>
          </cell>
        </row>
        <row r="435">
          <cell r="A435" t="str">
            <v>Gulfstream IV</v>
          </cell>
          <cell r="B435" t="str">
            <v>SP</v>
          </cell>
          <cell r="C435" t="str">
            <v>United Healthcare Corp</v>
          </cell>
          <cell r="D435">
            <v>37239</v>
          </cell>
          <cell r="E435" t="str">
            <v>North America &amp; Caribbean</v>
          </cell>
          <cell r="F435" t="str">
            <v>USA</v>
          </cell>
          <cell r="G435" t="str">
            <v>Business / Corporate / Executive</v>
          </cell>
        </row>
        <row r="436">
          <cell r="A436" t="str">
            <v>Gulfstream IV</v>
          </cell>
          <cell r="B436" t="str">
            <v>SP</v>
          </cell>
          <cell r="C436" t="str">
            <v>MBNA America Bank NA</v>
          </cell>
          <cell r="D436">
            <v>37245</v>
          </cell>
          <cell r="E436" t="str">
            <v>North America &amp; Caribbean</v>
          </cell>
          <cell r="F436" t="str">
            <v>USA</v>
          </cell>
          <cell r="G436" t="str">
            <v>Business / Corporate / Executive</v>
          </cell>
        </row>
        <row r="437">
          <cell r="A437" t="str">
            <v>Gulfstream V</v>
          </cell>
          <cell r="B437" t="str">
            <v xml:space="preserve"> </v>
          </cell>
          <cell r="C437" t="str">
            <v>Star Aircraft Leasing SA</v>
          </cell>
          <cell r="D437">
            <v>37245</v>
          </cell>
          <cell r="E437" t="str">
            <v>Europe</v>
          </cell>
          <cell r="F437" t="str">
            <v>Luxembourg</v>
          </cell>
          <cell r="G437" t="str">
            <v>Business / Corporate / Executive</v>
          </cell>
        </row>
        <row r="438">
          <cell r="A438" t="str">
            <v>Gulfstream IV</v>
          </cell>
          <cell r="B438" t="str">
            <v>SP</v>
          </cell>
          <cell r="C438" t="str">
            <v>Peregrine Systems Inc</v>
          </cell>
          <cell r="D438">
            <v>37246</v>
          </cell>
          <cell r="E438" t="str">
            <v>North America &amp; Caribbean</v>
          </cell>
          <cell r="F438" t="str">
            <v>USA</v>
          </cell>
          <cell r="G438" t="str">
            <v>Business / Corporate / Executive</v>
          </cell>
        </row>
        <row r="439">
          <cell r="A439" t="str">
            <v>Gulfstream IV</v>
          </cell>
          <cell r="B439" t="str">
            <v>SP</v>
          </cell>
          <cell r="C439" t="str">
            <v>Quad/Air Inc</v>
          </cell>
          <cell r="D439">
            <v>37246</v>
          </cell>
          <cell r="E439" t="str">
            <v>North America &amp; Caribbean</v>
          </cell>
          <cell r="F439" t="str">
            <v>USA</v>
          </cell>
          <cell r="G439" t="str">
            <v>Business / Corporate / Executive</v>
          </cell>
        </row>
        <row r="440">
          <cell r="A440" t="str">
            <v>Gulfstream V</v>
          </cell>
          <cell r="B440" t="str">
            <v xml:space="preserve"> </v>
          </cell>
          <cell r="C440" t="str">
            <v>Miranda International Aviation Inc</v>
          </cell>
          <cell r="D440">
            <v>37246</v>
          </cell>
          <cell r="E440" t="str">
            <v>North America &amp; Caribbean</v>
          </cell>
          <cell r="F440" t="str">
            <v>USA</v>
          </cell>
          <cell r="G440" t="str">
            <v>Business / Corporate / Executive</v>
          </cell>
        </row>
        <row r="441">
          <cell r="A441" t="str">
            <v>Gulfstream IV</v>
          </cell>
          <cell r="B441" t="str">
            <v>SP</v>
          </cell>
          <cell r="C441" t="str">
            <v>NAS Financial Corp</v>
          </cell>
          <cell r="D441">
            <v>37246</v>
          </cell>
          <cell r="E441" t="str">
            <v>North America &amp; Caribbean</v>
          </cell>
          <cell r="F441" t="str">
            <v>USA</v>
          </cell>
          <cell r="G441" t="str">
            <v>Business / Corporate / Executive</v>
          </cell>
        </row>
        <row r="442">
          <cell r="A442" t="str">
            <v>Gulfstream V</v>
          </cell>
          <cell r="B442" t="str">
            <v xml:space="preserve"> </v>
          </cell>
          <cell r="C442" t="str">
            <v>Anglo American Corp of South Africa</v>
          </cell>
          <cell r="D442">
            <v>37247</v>
          </cell>
          <cell r="E442" t="str">
            <v>Africa</v>
          </cell>
          <cell r="F442" t="str">
            <v>South Africa</v>
          </cell>
          <cell r="G442" t="str">
            <v>Business / Corporate / Executive</v>
          </cell>
        </row>
        <row r="443">
          <cell r="A443" t="str">
            <v>Gulfstream IV</v>
          </cell>
          <cell r="B443" t="str">
            <v>SP</v>
          </cell>
          <cell r="C443" t="str">
            <v>Cordelia Scaife May</v>
          </cell>
          <cell r="D443">
            <v>37253</v>
          </cell>
          <cell r="E443" t="str">
            <v>North America &amp; Caribbean</v>
          </cell>
          <cell r="F443" t="str">
            <v>USA</v>
          </cell>
          <cell r="G443" t="str">
            <v>Business / Corporate / Executive</v>
          </cell>
        </row>
        <row r="444">
          <cell r="A444" t="str">
            <v>Gulfstream IV</v>
          </cell>
          <cell r="B444" t="str">
            <v>SP</v>
          </cell>
          <cell r="C444" t="str">
            <v>CES  Aviation II LLC</v>
          </cell>
          <cell r="D444">
            <v>37253</v>
          </cell>
          <cell r="E444" t="str">
            <v>North America &amp; Caribbean</v>
          </cell>
          <cell r="F444" t="str">
            <v>USA</v>
          </cell>
          <cell r="G444" t="str">
            <v>Business / Corporate / Executive</v>
          </cell>
        </row>
        <row r="445">
          <cell r="A445" t="str">
            <v>Gulfstream V</v>
          </cell>
          <cell r="B445" t="str">
            <v xml:space="preserve"> </v>
          </cell>
          <cell r="C445" t="str">
            <v>Gulfstream GATX Leasing Co LLC</v>
          </cell>
          <cell r="D445">
            <v>37253</v>
          </cell>
          <cell r="E445" t="str">
            <v>North America &amp; Caribbean</v>
          </cell>
          <cell r="F445" t="str">
            <v>USA</v>
          </cell>
          <cell r="G445" t="str">
            <v>Business / Corporate / Executive</v>
          </cell>
        </row>
        <row r="446">
          <cell r="A446" t="str">
            <v>Gulfstream IV</v>
          </cell>
          <cell r="B446" t="str">
            <v>SP</v>
          </cell>
          <cell r="C446" t="str">
            <v>AMB Group LLC</v>
          </cell>
          <cell r="D446">
            <v>37253</v>
          </cell>
          <cell r="E446" t="str">
            <v>North America &amp; Caribbean</v>
          </cell>
          <cell r="F446" t="str">
            <v>USA</v>
          </cell>
          <cell r="G446" t="str">
            <v>Business / Corporate / Executive</v>
          </cell>
        </row>
        <row r="447">
          <cell r="A447" t="str">
            <v>Gulfstream IV</v>
          </cell>
          <cell r="B447" t="str">
            <v>SP</v>
          </cell>
          <cell r="C447" t="str">
            <v>APC Aviation Inc</v>
          </cell>
          <cell r="D447">
            <v>37253</v>
          </cell>
          <cell r="E447" t="str">
            <v>North America &amp; Caribbean</v>
          </cell>
          <cell r="F447" t="str">
            <v>USA</v>
          </cell>
          <cell r="G447" t="str">
            <v>Business / Corporate / Executive</v>
          </cell>
        </row>
        <row r="448">
          <cell r="A448" t="str">
            <v>Gulfstream IV</v>
          </cell>
          <cell r="B448" t="str">
            <v>SP</v>
          </cell>
          <cell r="C448" t="str">
            <v>Oakmont Holdings LLC</v>
          </cell>
          <cell r="D448">
            <v>37253</v>
          </cell>
          <cell r="E448" t="str">
            <v>North America &amp; Caribbean</v>
          </cell>
          <cell r="F448" t="str">
            <v>USA</v>
          </cell>
          <cell r="G448" t="str">
            <v>Business / Corporate / Executive</v>
          </cell>
        </row>
        <row r="449">
          <cell r="A449" t="str">
            <v>Gulfstream V</v>
          </cell>
          <cell r="B449" t="str">
            <v>SP</v>
          </cell>
          <cell r="C449" t="str">
            <v>Pfizer Inc</v>
          </cell>
          <cell r="D449">
            <v>37256</v>
          </cell>
          <cell r="E449" t="str">
            <v>North America &amp; Caribbean</v>
          </cell>
          <cell r="F449" t="str">
            <v>USA</v>
          </cell>
          <cell r="G449" t="str">
            <v>Business / Corporate / Executive</v>
          </cell>
        </row>
        <row r="451">
          <cell r="A451" t="str">
            <v>2000 Detail</v>
          </cell>
        </row>
        <row r="452">
          <cell r="A452" t="str">
            <v>Mfr &amp; Type</v>
          </cell>
          <cell r="B452" t="str">
            <v>Variant</v>
          </cell>
          <cell r="C452" t="str">
            <v>Operator</v>
          </cell>
          <cell r="D452" t="str">
            <v>DeliveryDate</v>
          </cell>
          <cell r="E452" t="str">
            <v>OperatorArea</v>
          </cell>
          <cell r="F452" t="str">
            <v>OperatorCountry</v>
          </cell>
          <cell r="G452" t="str">
            <v>Usage</v>
          </cell>
        </row>
        <row r="453">
          <cell r="A453" t="str">
            <v>Gulfstream V</v>
          </cell>
          <cell r="B453" t="str">
            <v xml:space="preserve"> </v>
          </cell>
          <cell r="C453" t="str">
            <v>Norman Aircraft Leasing Inc</v>
          </cell>
          <cell r="D453">
            <v>36529</v>
          </cell>
          <cell r="E453" t="str">
            <v>North America &amp; Caribbean</v>
          </cell>
          <cell r="F453" t="str">
            <v>USA</v>
          </cell>
          <cell r="G453" t="str">
            <v>Business / Corporate / Executive</v>
          </cell>
        </row>
        <row r="454">
          <cell r="A454" t="str">
            <v>Gulfstream V</v>
          </cell>
          <cell r="B454" t="str">
            <v xml:space="preserve"> </v>
          </cell>
          <cell r="C454" t="str">
            <v>Bristol-Myers Squibb Company</v>
          </cell>
          <cell r="D454">
            <v>36530</v>
          </cell>
          <cell r="E454" t="str">
            <v>North America &amp; Caribbean</v>
          </cell>
          <cell r="F454" t="str">
            <v>USA</v>
          </cell>
          <cell r="G454" t="str">
            <v>Business / Corporate / Executive</v>
          </cell>
        </row>
        <row r="455">
          <cell r="A455" t="str">
            <v>Gulfstream V</v>
          </cell>
          <cell r="B455" t="str">
            <v xml:space="preserve"> </v>
          </cell>
          <cell r="C455" t="str">
            <v>NIKE Inc</v>
          </cell>
          <cell r="D455">
            <v>36560</v>
          </cell>
          <cell r="E455" t="str">
            <v>North America &amp; Caribbean</v>
          </cell>
          <cell r="F455" t="str">
            <v>USA</v>
          </cell>
          <cell r="G455" t="str">
            <v>Business / Corporate / Executive</v>
          </cell>
        </row>
        <row r="456">
          <cell r="A456" t="str">
            <v>Gulfstream V</v>
          </cell>
          <cell r="B456" t="str">
            <v xml:space="preserve"> </v>
          </cell>
          <cell r="C456" t="str">
            <v>Government of Kuwait</v>
          </cell>
          <cell r="D456">
            <v>36567</v>
          </cell>
          <cell r="E456" t="str">
            <v>Asia</v>
          </cell>
          <cell r="F456" t="str">
            <v>Kuwait</v>
          </cell>
          <cell r="G456" t="str">
            <v>VIP / Government operated</v>
          </cell>
        </row>
        <row r="457">
          <cell r="A457" t="str">
            <v>Gulfstream IV</v>
          </cell>
          <cell r="B457" t="str">
            <v>SP</v>
          </cell>
          <cell r="C457" t="str">
            <v>Avioneta LLC</v>
          </cell>
          <cell r="D457">
            <v>36572</v>
          </cell>
          <cell r="E457" t="str">
            <v>North America &amp; Caribbean</v>
          </cell>
          <cell r="F457" t="str">
            <v>USA</v>
          </cell>
          <cell r="G457" t="str">
            <v>Business / Corporate / Executive</v>
          </cell>
        </row>
        <row r="458">
          <cell r="A458" t="str">
            <v>Gulfstream V</v>
          </cell>
          <cell r="B458" t="str">
            <v xml:space="preserve"> </v>
          </cell>
          <cell r="C458" t="str">
            <v>Daimler Chrysler AG</v>
          </cell>
          <cell r="D458">
            <v>36573</v>
          </cell>
          <cell r="E458" t="str">
            <v>Europe</v>
          </cell>
          <cell r="F458" t="str">
            <v>Germany</v>
          </cell>
          <cell r="G458" t="str">
            <v>Business / Corporate / Executive</v>
          </cell>
        </row>
        <row r="459">
          <cell r="A459" t="str">
            <v>Gulfstream V</v>
          </cell>
          <cell r="B459" t="str">
            <v xml:space="preserve"> </v>
          </cell>
          <cell r="C459" t="str">
            <v>Neet Air AG</v>
          </cell>
          <cell r="D459">
            <v>36574</v>
          </cell>
          <cell r="E459" t="str">
            <v>Europe</v>
          </cell>
          <cell r="F459" t="str">
            <v>Switzerland</v>
          </cell>
          <cell r="G459" t="str">
            <v>Business / Corporate / Executive</v>
          </cell>
        </row>
        <row r="460">
          <cell r="A460" t="str">
            <v>Gulfstream V</v>
          </cell>
          <cell r="B460" t="str">
            <v xml:space="preserve"> </v>
          </cell>
          <cell r="C460" t="str">
            <v>US Air Force</v>
          </cell>
          <cell r="D460">
            <v>36579</v>
          </cell>
          <cell r="E460" t="str">
            <v>North America &amp; Caribbean</v>
          </cell>
          <cell r="F460" t="str">
            <v>USA</v>
          </cell>
          <cell r="G460" t="str">
            <v>VIP / Government operated</v>
          </cell>
        </row>
        <row r="461">
          <cell r="A461" t="str">
            <v>Gulfstream IV</v>
          </cell>
          <cell r="B461" t="str">
            <v>SP</v>
          </cell>
          <cell r="C461" t="str">
            <v>Netjets International</v>
          </cell>
          <cell r="D461">
            <v>36580</v>
          </cell>
          <cell r="E461" t="str">
            <v>North America &amp; Caribbean</v>
          </cell>
          <cell r="F461" t="str">
            <v>USA</v>
          </cell>
          <cell r="G461" t="str">
            <v>Business / Corporate / Executive</v>
          </cell>
        </row>
        <row r="462">
          <cell r="A462" t="str">
            <v>Gulfstream IV</v>
          </cell>
          <cell r="B462" t="str">
            <v>U-4</v>
          </cell>
          <cell r="C462" t="str">
            <v>Japanese Air Self Defence Force</v>
          </cell>
          <cell r="D462">
            <v>36586</v>
          </cell>
          <cell r="E462" t="str">
            <v>Asia</v>
          </cell>
          <cell r="F462" t="str">
            <v>Japan</v>
          </cell>
          <cell r="G462" t="str">
            <v>Utility Transport (Military Multi-Role)</v>
          </cell>
        </row>
        <row r="463">
          <cell r="A463" t="str">
            <v>Gulfstream IV</v>
          </cell>
          <cell r="B463" t="str">
            <v>SP</v>
          </cell>
          <cell r="C463" t="str">
            <v>Honeywell Inc</v>
          </cell>
          <cell r="D463">
            <v>36594</v>
          </cell>
          <cell r="E463" t="str">
            <v>North America &amp; Caribbean</v>
          </cell>
          <cell r="F463" t="str">
            <v>USA</v>
          </cell>
          <cell r="G463" t="str">
            <v>Business / Corporate / Executive</v>
          </cell>
        </row>
        <row r="464">
          <cell r="A464" t="str">
            <v>Gulfstream V</v>
          </cell>
          <cell r="B464" t="str">
            <v xml:space="preserve"> </v>
          </cell>
          <cell r="C464" t="str">
            <v>Dominion Aircraft Inc</v>
          </cell>
          <cell r="D464">
            <v>36601</v>
          </cell>
          <cell r="E464" t="str">
            <v>North America &amp; Caribbean</v>
          </cell>
          <cell r="F464" t="str">
            <v>USA</v>
          </cell>
          <cell r="G464" t="str">
            <v>Business / Corporate / Executive</v>
          </cell>
        </row>
        <row r="465">
          <cell r="A465" t="str">
            <v>Gulfstream V</v>
          </cell>
          <cell r="B465" t="str">
            <v xml:space="preserve"> </v>
          </cell>
          <cell r="C465" t="str">
            <v>Atlantic Financial Managers Inc</v>
          </cell>
          <cell r="D465">
            <v>36602</v>
          </cell>
          <cell r="E465" t="str">
            <v>North America &amp; Caribbean</v>
          </cell>
          <cell r="F465" t="str">
            <v>USA</v>
          </cell>
          <cell r="G465" t="str">
            <v>Business / Corporate / Executive</v>
          </cell>
        </row>
        <row r="466">
          <cell r="A466" t="str">
            <v>Gulfstream IV</v>
          </cell>
          <cell r="B466" t="str">
            <v>SP</v>
          </cell>
          <cell r="C466" t="str">
            <v>Netjets International</v>
          </cell>
          <cell r="D466">
            <v>36613</v>
          </cell>
          <cell r="E466" t="str">
            <v>North America &amp; Caribbean</v>
          </cell>
          <cell r="F466" t="str">
            <v>USA</v>
          </cell>
          <cell r="G466" t="str">
            <v>Business / Corporate / Executive</v>
          </cell>
        </row>
        <row r="467">
          <cell r="A467" t="str">
            <v>Gulfstream IV</v>
          </cell>
          <cell r="B467" t="str">
            <v>SP</v>
          </cell>
          <cell r="C467" t="str">
            <v>Swift Air</v>
          </cell>
          <cell r="D467">
            <v>36615</v>
          </cell>
          <cell r="E467" t="str">
            <v>North America &amp; Caribbean</v>
          </cell>
          <cell r="F467" t="str">
            <v>USA</v>
          </cell>
          <cell r="G467" t="str">
            <v>Business / Corporate / Executive</v>
          </cell>
        </row>
        <row r="468">
          <cell r="A468" t="str">
            <v>Gulfstream IV</v>
          </cell>
          <cell r="B468" t="str">
            <v>SP</v>
          </cell>
          <cell r="C468" t="str">
            <v>Dominion Aircraft Inc</v>
          </cell>
          <cell r="D468">
            <v>36630</v>
          </cell>
          <cell r="E468" t="str">
            <v>North America &amp; Caribbean</v>
          </cell>
          <cell r="F468" t="str">
            <v>USA</v>
          </cell>
          <cell r="G468" t="str">
            <v>Business / Corporate / Executive</v>
          </cell>
        </row>
        <row r="469">
          <cell r="A469" t="str">
            <v>Gulfstream IV</v>
          </cell>
          <cell r="B469" t="str">
            <v>SP</v>
          </cell>
          <cell r="C469" t="str">
            <v>TAG Aviation USA</v>
          </cell>
          <cell r="D469">
            <v>36631</v>
          </cell>
          <cell r="E469" t="str">
            <v>North America &amp; Caribbean</v>
          </cell>
          <cell r="F469" t="str">
            <v>USA</v>
          </cell>
          <cell r="G469" t="str">
            <v>Business / Corporate / Executive</v>
          </cell>
        </row>
        <row r="470">
          <cell r="A470" t="str">
            <v>Gulfstream IV</v>
          </cell>
          <cell r="B470" t="str">
            <v>SP</v>
          </cell>
          <cell r="C470" t="str">
            <v>Deerport Aviation Corp</v>
          </cell>
          <cell r="D470">
            <v>36643</v>
          </cell>
          <cell r="E470" t="str">
            <v>North America &amp; Caribbean</v>
          </cell>
          <cell r="F470" t="str">
            <v>USA</v>
          </cell>
          <cell r="G470" t="str">
            <v>Business / Corporate / Executive</v>
          </cell>
        </row>
        <row r="471">
          <cell r="A471" t="str">
            <v>Gulfstream V</v>
          </cell>
          <cell r="B471" t="str">
            <v xml:space="preserve"> </v>
          </cell>
          <cell r="C471" t="str">
            <v>Electronic Data Systems Corp</v>
          </cell>
          <cell r="D471">
            <v>36644</v>
          </cell>
          <cell r="E471" t="str">
            <v>North America &amp; Caribbean</v>
          </cell>
          <cell r="F471" t="str">
            <v>USA</v>
          </cell>
          <cell r="G471" t="str">
            <v>Business / Corporate / Executive</v>
          </cell>
        </row>
        <row r="472">
          <cell r="A472" t="str">
            <v>Gulfstream IV</v>
          </cell>
          <cell r="B472" t="str">
            <v>SP</v>
          </cell>
          <cell r="C472" t="str">
            <v>Netjets International</v>
          </cell>
          <cell r="D472">
            <v>36644</v>
          </cell>
          <cell r="E472" t="str">
            <v>North America &amp; Caribbean</v>
          </cell>
          <cell r="F472" t="str">
            <v>USA</v>
          </cell>
          <cell r="G472" t="str">
            <v>Business / Corporate / Executive</v>
          </cell>
        </row>
        <row r="473">
          <cell r="A473" t="str">
            <v>Gulfstream IV</v>
          </cell>
          <cell r="B473" t="str">
            <v>SP</v>
          </cell>
          <cell r="C473" t="str">
            <v>The Proctor &amp; Gamble Co</v>
          </cell>
          <cell r="D473">
            <v>36648</v>
          </cell>
          <cell r="E473" t="str">
            <v>North America &amp; Caribbean</v>
          </cell>
          <cell r="F473" t="str">
            <v>USA</v>
          </cell>
          <cell r="G473" t="str">
            <v>Business / Corporate / Executive</v>
          </cell>
        </row>
        <row r="474">
          <cell r="A474" t="str">
            <v>Gulfstream IV</v>
          </cell>
          <cell r="B474" t="str">
            <v>SP</v>
          </cell>
          <cell r="C474" t="str">
            <v>JMI Services Inc</v>
          </cell>
          <cell r="D474">
            <v>36649</v>
          </cell>
          <cell r="E474" t="str">
            <v>North America &amp; Caribbean</v>
          </cell>
          <cell r="F474" t="str">
            <v>USA</v>
          </cell>
          <cell r="G474" t="str">
            <v>Business / Corporate / Executive</v>
          </cell>
        </row>
        <row r="475">
          <cell r="A475" t="str">
            <v>Gulfstream V</v>
          </cell>
          <cell r="B475" t="str">
            <v xml:space="preserve"> </v>
          </cell>
          <cell r="C475" t="str">
            <v>National Express Co</v>
          </cell>
          <cell r="D475">
            <v>36649</v>
          </cell>
          <cell r="E475" t="str">
            <v>North America &amp; Caribbean</v>
          </cell>
          <cell r="F475" t="str">
            <v>USA</v>
          </cell>
          <cell r="G475" t="str">
            <v>Business / Corporate / Executive</v>
          </cell>
        </row>
        <row r="476">
          <cell r="A476" t="str">
            <v>Gulfstream IV</v>
          </cell>
          <cell r="B476" t="str">
            <v>SP</v>
          </cell>
          <cell r="C476" t="str">
            <v>Armed Forces Medical Services</v>
          </cell>
          <cell r="D476">
            <v>36666</v>
          </cell>
          <cell r="E476" t="str">
            <v>Asia</v>
          </cell>
          <cell r="F476" t="str">
            <v>Saudi Arabia</v>
          </cell>
          <cell r="G476" t="str">
            <v>Business / Corporate / Executive</v>
          </cell>
        </row>
        <row r="477">
          <cell r="A477" t="str">
            <v>Gulfstream IV</v>
          </cell>
          <cell r="B477" t="str">
            <v>SP</v>
          </cell>
          <cell r="C477" t="str">
            <v>The Proctor &amp; Gamble Co</v>
          </cell>
          <cell r="D477">
            <v>36668</v>
          </cell>
          <cell r="E477" t="str">
            <v>North America &amp; Caribbean</v>
          </cell>
          <cell r="F477" t="str">
            <v>USA</v>
          </cell>
          <cell r="G477" t="str">
            <v>Business / Corporate / Executive</v>
          </cell>
        </row>
        <row r="478">
          <cell r="A478" t="str">
            <v>Gulfstream IV</v>
          </cell>
          <cell r="B478" t="str">
            <v>SP</v>
          </cell>
          <cell r="C478" t="str">
            <v>Snowbird Aviation LLC</v>
          </cell>
          <cell r="D478">
            <v>36669</v>
          </cell>
          <cell r="E478" t="str">
            <v>North America &amp; Caribbean</v>
          </cell>
          <cell r="F478" t="str">
            <v>USA</v>
          </cell>
          <cell r="G478" t="str">
            <v>Business / Corporate / Executive</v>
          </cell>
        </row>
        <row r="479">
          <cell r="A479" t="str">
            <v>Gulfstream V</v>
          </cell>
          <cell r="B479" t="str">
            <v xml:space="preserve"> </v>
          </cell>
          <cell r="C479" t="str">
            <v>Simon Aviation Inc</v>
          </cell>
          <cell r="D479">
            <v>36682</v>
          </cell>
          <cell r="E479" t="str">
            <v>North America &amp; Caribbean</v>
          </cell>
          <cell r="F479" t="str">
            <v>USA</v>
          </cell>
          <cell r="G479" t="str">
            <v>Business / Corporate / Executive</v>
          </cell>
        </row>
        <row r="480">
          <cell r="A480" t="str">
            <v>Gulfstream IV</v>
          </cell>
          <cell r="B480" t="str">
            <v>SP</v>
          </cell>
          <cell r="C480" t="str">
            <v>McDonalds Corp</v>
          </cell>
          <cell r="D480">
            <v>36685</v>
          </cell>
          <cell r="E480" t="str">
            <v>North America &amp; Caribbean</v>
          </cell>
          <cell r="F480" t="str">
            <v>USA</v>
          </cell>
          <cell r="G480" t="str">
            <v>Business / Corporate / Executive</v>
          </cell>
        </row>
        <row r="481">
          <cell r="A481" t="str">
            <v>Gulfstream V</v>
          </cell>
          <cell r="B481" t="str">
            <v xml:space="preserve"> </v>
          </cell>
          <cell r="C481" t="str">
            <v>Simon Aviation Inc</v>
          </cell>
          <cell r="D481">
            <v>36693</v>
          </cell>
          <cell r="E481" t="str">
            <v>North America &amp; Caribbean</v>
          </cell>
          <cell r="F481" t="str">
            <v>USA</v>
          </cell>
          <cell r="G481" t="str">
            <v>Business / Corporate / Executive</v>
          </cell>
        </row>
        <row r="482">
          <cell r="A482" t="str">
            <v>Gulfstream V</v>
          </cell>
          <cell r="B482" t="str">
            <v xml:space="preserve"> </v>
          </cell>
          <cell r="C482" t="str">
            <v>Ford Motor Co</v>
          </cell>
          <cell r="D482">
            <v>36696</v>
          </cell>
          <cell r="E482" t="str">
            <v>North America &amp; Caribbean</v>
          </cell>
          <cell r="F482" t="str">
            <v>USA</v>
          </cell>
          <cell r="G482" t="str">
            <v>Business / Corporate / Executive</v>
          </cell>
        </row>
        <row r="483">
          <cell r="A483" t="str">
            <v>Gulfstream V</v>
          </cell>
          <cell r="B483" t="str">
            <v xml:space="preserve"> </v>
          </cell>
          <cell r="C483" t="str">
            <v>Johnson Controls Inc</v>
          </cell>
          <cell r="D483">
            <v>36699</v>
          </cell>
          <cell r="E483" t="str">
            <v>North America &amp; Caribbean</v>
          </cell>
          <cell r="F483" t="str">
            <v>USA</v>
          </cell>
          <cell r="G483" t="str">
            <v>Business / Corporate / Executive</v>
          </cell>
        </row>
        <row r="484">
          <cell r="A484" t="str">
            <v>Gulfstream IV</v>
          </cell>
          <cell r="B484" t="str">
            <v>SP</v>
          </cell>
          <cell r="C484" t="str">
            <v>Netjets International</v>
          </cell>
          <cell r="D484">
            <v>36699</v>
          </cell>
          <cell r="E484" t="str">
            <v>North America &amp; Caribbean</v>
          </cell>
          <cell r="F484" t="str">
            <v>USA</v>
          </cell>
          <cell r="G484" t="str">
            <v>Business / Corporate / Executive</v>
          </cell>
        </row>
        <row r="485">
          <cell r="A485" t="str">
            <v>Gulfstream V</v>
          </cell>
          <cell r="B485" t="str">
            <v xml:space="preserve"> </v>
          </cell>
          <cell r="C485" t="str">
            <v>Telefonica Internacional SA</v>
          </cell>
          <cell r="D485">
            <v>36703</v>
          </cell>
          <cell r="E485" t="str">
            <v>Europe</v>
          </cell>
          <cell r="F485" t="str">
            <v>Spain</v>
          </cell>
          <cell r="G485" t="str">
            <v>Business / Corporate / Executive</v>
          </cell>
        </row>
        <row r="486">
          <cell r="A486" t="str">
            <v>Gulfstream IV</v>
          </cell>
          <cell r="B486" t="str">
            <v>SP</v>
          </cell>
          <cell r="C486" t="str">
            <v>William T Gross</v>
          </cell>
          <cell r="D486">
            <v>36705</v>
          </cell>
          <cell r="E486" t="str">
            <v>North America &amp; Caribbean</v>
          </cell>
          <cell r="F486" t="str">
            <v>USA</v>
          </cell>
          <cell r="G486" t="str">
            <v>Business / Corporate / Executive</v>
          </cell>
        </row>
        <row r="487">
          <cell r="A487" t="str">
            <v>Gulfstream IV</v>
          </cell>
          <cell r="B487" t="str">
            <v>SP</v>
          </cell>
          <cell r="C487" t="str">
            <v>Unconfirmed Corporate Operator</v>
          </cell>
          <cell r="D487">
            <v>36706</v>
          </cell>
          <cell r="E487" t="str">
            <v>Unknown area</v>
          </cell>
          <cell r="F487" t="str">
            <v>Unknown Country</v>
          </cell>
          <cell r="G487" t="str">
            <v>Business / Corporate / Executive</v>
          </cell>
        </row>
        <row r="488">
          <cell r="A488" t="str">
            <v>Gulfstream IV</v>
          </cell>
          <cell r="B488" t="str">
            <v>SP</v>
          </cell>
          <cell r="C488" t="str">
            <v>PPG Industries Properties LLC</v>
          </cell>
          <cell r="D488">
            <v>36706</v>
          </cell>
          <cell r="E488" t="str">
            <v>North America &amp; Caribbean</v>
          </cell>
          <cell r="F488" t="str">
            <v>USA</v>
          </cell>
          <cell r="G488" t="str">
            <v>Business / Corporate / Executive</v>
          </cell>
        </row>
        <row r="489">
          <cell r="A489" t="str">
            <v>Gulfstream IV</v>
          </cell>
          <cell r="B489" t="str">
            <v>SP</v>
          </cell>
          <cell r="C489" t="str">
            <v>NAS Financial Corp</v>
          </cell>
          <cell r="D489">
            <v>36707</v>
          </cell>
          <cell r="E489" t="str">
            <v>North America &amp; Caribbean</v>
          </cell>
          <cell r="F489" t="str">
            <v>USA</v>
          </cell>
          <cell r="G489" t="str">
            <v>Business / Corporate / Executive</v>
          </cell>
        </row>
        <row r="490">
          <cell r="A490" t="str">
            <v>Gulfstream V</v>
          </cell>
          <cell r="B490" t="str">
            <v xml:space="preserve"> </v>
          </cell>
          <cell r="C490" t="str">
            <v>United Coal Co</v>
          </cell>
          <cell r="D490">
            <v>36707</v>
          </cell>
          <cell r="E490" t="str">
            <v>North America &amp; Caribbean</v>
          </cell>
          <cell r="F490" t="str">
            <v>USA</v>
          </cell>
          <cell r="G490" t="str">
            <v>Business / Corporate / Executive</v>
          </cell>
        </row>
        <row r="491">
          <cell r="A491" t="str">
            <v>Gulfstream V</v>
          </cell>
          <cell r="B491" t="str">
            <v xml:space="preserve"> </v>
          </cell>
          <cell r="C491" t="str">
            <v>Armed Forces Medical Services</v>
          </cell>
          <cell r="D491">
            <v>36722</v>
          </cell>
          <cell r="E491" t="str">
            <v>Asia</v>
          </cell>
          <cell r="F491" t="str">
            <v>Saudi Arabia</v>
          </cell>
          <cell r="G491" t="str">
            <v>Hospital / Ambulance / Medevac</v>
          </cell>
        </row>
        <row r="492">
          <cell r="A492" t="str">
            <v>Gulfstream IV</v>
          </cell>
          <cell r="B492" t="str">
            <v>SP</v>
          </cell>
          <cell r="C492" t="str">
            <v>Hutching Automotive Products Inc</v>
          </cell>
          <cell r="D492">
            <v>36725</v>
          </cell>
          <cell r="E492" t="str">
            <v>North America &amp; Caribbean</v>
          </cell>
          <cell r="F492" t="str">
            <v>USA</v>
          </cell>
          <cell r="G492" t="str">
            <v>Business / Corporate / Executive</v>
          </cell>
        </row>
        <row r="493">
          <cell r="A493" t="str">
            <v>Gulfstream IV</v>
          </cell>
          <cell r="B493" t="str">
            <v>SP</v>
          </cell>
          <cell r="C493" t="str">
            <v>Chiricahua Properties LLC</v>
          </cell>
          <cell r="D493">
            <v>36732</v>
          </cell>
          <cell r="E493" t="str">
            <v>North America &amp; Caribbean</v>
          </cell>
          <cell r="F493" t="str">
            <v>USA</v>
          </cell>
          <cell r="G493" t="str">
            <v>Business / Corporate / Executive</v>
          </cell>
        </row>
        <row r="494">
          <cell r="A494" t="str">
            <v>Gulfstream IV</v>
          </cell>
          <cell r="B494" t="str">
            <v>SP</v>
          </cell>
          <cell r="C494" t="str">
            <v>Netjets International</v>
          </cell>
          <cell r="D494">
            <v>36733</v>
          </cell>
          <cell r="E494" t="str">
            <v>North America &amp; Caribbean</v>
          </cell>
          <cell r="F494" t="str">
            <v>USA</v>
          </cell>
          <cell r="G494" t="str">
            <v>Business / Corporate / Executive</v>
          </cell>
        </row>
        <row r="495">
          <cell r="A495" t="str">
            <v>Gulfstream V</v>
          </cell>
          <cell r="B495" t="str">
            <v xml:space="preserve"> </v>
          </cell>
          <cell r="C495" t="str">
            <v>Ford Motor Co</v>
          </cell>
          <cell r="D495">
            <v>36739</v>
          </cell>
          <cell r="E495" t="str">
            <v>North America &amp; Caribbean</v>
          </cell>
          <cell r="F495" t="str">
            <v>USA</v>
          </cell>
          <cell r="G495" t="str">
            <v>Business / Corporate / Executive</v>
          </cell>
        </row>
        <row r="496">
          <cell r="A496" t="str">
            <v>Gulfstream V</v>
          </cell>
          <cell r="B496" t="str">
            <v xml:space="preserve"> </v>
          </cell>
          <cell r="C496" t="str">
            <v>Lockheed Martin Corp</v>
          </cell>
          <cell r="D496">
            <v>36760</v>
          </cell>
          <cell r="E496" t="str">
            <v>North America &amp; Caribbean</v>
          </cell>
          <cell r="F496" t="str">
            <v>USA</v>
          </cell>
          <cell r="G496" t="str">
            <v>Business / Corporate / Executive</v>
          </cell>
        </row>
        <row r="497">
          <cell r="A497" t="str">
            <v>Gulfstream IV</v>
          </cell>
          <cell r="B497" t="str">
            <v>SP</v>
          </cell>
          <cell r="C497" t="str">
            <v>JJSA Aviation LLC</v>
          </cell>
          <cell r="D497">
            <v>36763</v>
          </cell>
          <cell r="E497" t="str">
            <v>North America &amp; Caribbean</v>
          </cell>
          <cell r="F497" t="str">
            <v>USA</v>
          </cell>
          <cell r="G497" t="str">
            <v>Business / Corporate / Executive</v>
          </cell>
        </row>
        <row r="498">
          <cell r="A498" t="str">
            <v>Gulfstream IV</v>
          </cell>
          <cell r="B498" t="str">
            <v>SP</v>
          </cell>
          <cell r="C498" t="str">
            <v>Harmony Management Inc</v>
          </cell>
          <cell r="D498">
            <v>36768</v>
          </cell>
          <cell r="E498" t="str">
            <v>North America &amp; Caribbean</v>
          </cell>
          <cell r="F498" t="str">
            <v>USA</v>
          </cell>
          <cell r="G498" t="str">
            <v>Business / Corporate / Executive</v>
          </cell>
        </row>
        <row r="499">
          <cell r="A499" t="str">
            <v>Gulfstream IV</v>
          </cell>
          <cell r="B499" t="str">
            <v>SP</v>
          </cell>
          <cell r="C499" t="str">
            <v>Alcoa Inc</v>
          </cell>
          <cell r="D499">
            <v>36769</v>
          </cell>
          <cell r="E499" t="str">
            <v>North America &amp; Caribbean</v>
          </cell>
          <cell r="F499" t="str">
            <v>USA</v>
          </cell>
          <cell r="G499" t="str">
            <v>Business / Corporate / Executive</v>
          </cell>
        </row>
        <row r="500">
          <cell r="A500" t="str">
            <v>Gulfstream V</v>
          </cell>
          <cell r="B500" t="str">
            <v xml:space="preserve"> </v>
          </cell>
          <cell r="C500" t="str">
            <v>Jack Prewitt &amp; Associates Inc</v>
          </cell>
          <cell r="D500">
            <v>36777</v>
          </cell>
          <cell r="E500" t="str">
            <v>North America &amp; Caribbean</v>
          </cell>
          <cell r="F500" t="str">
            <v>USA</v>
          </cell>
          <cell r="G500" t="str">
            <v>Business / Corporate / Executive</v>
          </cell>
        </row>
        <row r="501">
          <cell r="A501" t="str">
            <v>Gulfstream IV</v>
          </cell>
          <cell r="B501" t="str">
            <v>SP</v>
          </cell>
          <cell r="C501" t="str">
            <v>Netjets International</v>
          </cell>
          <cell r="D501">
            <v>36780</v>
          </cell>
          <cell r="E501" t="str">
            <v>North America &amp; Caribbean</v>
          </cell>
          <cell r="F501" t="str">
            <v>USA</v>
          </cell>
          <cell r="G501" t="str">
            <v>Business / Corporate / Executive</v>
          </cell>
        </row>
        <row r="502">
          <cell r="A502" t="str">
            <v>Gulfstream IV</v>
          </cell>
          <cell r="B502" t="str">
            <v>SP</v>
          </cell>
          <cell r="C502" t="str">
            <v>Palmarina Investments</v>
          </cell>
          <cell r="D502">
            <v>36784</v>
          </cell>
          <cell r="E502" t="str">
            <v>North America &amp; Caribbean</v>
          </cell>
          <cell r="F502" t="str">
            <v>Bermuda</v>
          </cell>
          <cell r="G502" t="str">
            <v>Business / Corporate / Executive</v>
          </cell>
        </row>
        <row r="503">
          <cell r="A503" t="str">
            <v>Gulfstream IV</v>
          </cell>
          <cell r="B503" t="str">
            <v>SP</v>
          </cell>
          <cell r="C503" t="str">
            <v>Altria Corporate Services Inc</v>
          </cell>
          <cell r="D503">
            <v>36790</v>
          </cell>
          <cell r="E503" t="str">
            <v>North America &amp; Caribbean</v>
          </cell>
          <cell r="F503" t="str">
            <v>USA</v>
          </cell>
          <cell r="G503" t="str">
            <v>Business / Corporate / Executive</v>
          </cell>
        </row>
        <row r="504">
          <cell r="A504" t="str">
            <v>Gulfstream IV</v>
          </cell>
          <cell r="B504" t="str">
            <v>SP</v>
          </cell>
          <cell r="C504" t="str">
            <v>Masanori Honjo &amp; Teruko Honjo</v>
          </cell>
          <cell r="D504">
            <v>36797</v>
          </cell>
          <cell r="E504" t="str">
            <v>North America &amp; Caribbean</v>
          </cell>
          <cell r="F504" t="str">
            <v>USA</v>
          </cell>
          <cell r="G504" t="str">
            <v>Business / Corporate / Executive</v>
          </cell>
        </row>
        <row r="505">
          <cell r="A505" t="str">
            <v>Gulfstream V</v>
          </cell>
          <cell r="B505" t="str">
            <v xml:space="preserve"> </v>
          </cell>
          <cell r="C505" t="str">
            <v>3M Co</v>
          </cell>
          <cell r="D505">
            <v>36797</v>
          </cell>
          <cell r="E505" t="str">
            <v>North America &amp; Caribbean</v>
          </cell>
          <cell r="F505" t="str">
            <v>USA</v>
          </cell>
          <cell r="G505" t="str">
            <v>Business / Corporate / Executive</v>
          </cell>
        </row>
        <row r="506">
          <cell r="A506" t="str">
            <v>Gulfstream IV</v>
          </cell>
          <cell r="B506" t="str">
            <v>SP</v>
          </cell>
          <cell r="C506" t="str">
            <v>Airstar Corp</v>
          </cell>
          <cell r="D506">
            <v>36798</v>
          </cell>
          <cell r="E506" t="str">
            <v>North America &amp; Caribbean</v>
          </cell>
          <cell r="F506" t="str">
            <v>USA</v>
          </cell>
          <cell r="G506" t="str">
            <v>Business / Corporate / Executive</v>
          </cell>
        </row>
        <row r="507">
          <cell r="A507" t="str">
            <v>Gulfstream V</v>
          </cell>
          <cell r="B507" t="str">
            <v xml:space="preserve"> </v>
          </cell>
          <cell r="C507" t="str">
            <v>Ford Motor Co</v>
          </cell>
          <cell r="D507">
            <v>36798</v>
          </cell>
          <cell r="E507" t="str">
            <v>North America &amp; Caribbean</v>
          </cell>
          <cell r="F507" t="str">
            <v>USA</v>
          </cell>
          <cell r="G507" t="str">
            <v>Business / Corporate / Executive</v>
          </cell>
        </row>
        <row r="508">
          <cell r="A508" t="str">
            <v>Gulfstream IV</v>
          </cell>
          <cell r="B508" t="str">
            <v>SP</v>
          </cell>
          <cell r="C508" t="str">
            <v>High Tech Aircraft Corp</v>
          </cell>
          <cell r="D508">
            <v>36825</v>
          </cell>
          <cell r="E508" t="str">
            <v>North America &amp; Caribbean</v>
          </cell>
          <cell r="F508" t="str">
            <v>USA</v>
          </cell>
          <cell r="G508" t="str">
            <v>Business / Corporate / Executive</v>
          </cell>
        </row>
        <row r="509">
          <cell r="A509" t="str">
            <v>Gulfstream IV</v>
          </cell>
          <cell r="B509" t="str">
            <v>SP</v>
          </cell>
          <cell r="C509" t="str">
            <v>Bright Flight Inc</v>
          </cell>
          <cell r="D509">
            <v>36829</v>
          </cell>
          <cell r="E509" t="str">
            <v>North America &amp; Caribbean</v>
          </cell>
          <cell r="F509" t="str">
            <v>USA</v>
          </cell>
          <cell r="G509" t="str">
            <v>Business / Corporate / Executive</v>
          </cell>
        </row>
        <row r="510">
          <cell r="A510" t="str">
            <v>Gulfstream IV</v>
          </cell>
          <cell r="B510" t="str">
            <v>SP</v>
          </cell>
          <cell r="C510" t="str">
            <v>EMC Corp</v>
          </cell>
          <cell r="D510">
            <v>36838</v>
          </cell>
          <cell r="E510" t="str">
            <v>North America &amp; Caribbean</v>
          </cell>
          <cell r="F510" t="str">
            <v>USA</v>
          </cell>
          <cell r="G510" t="str">
            <v>Business / Corporate / Executive</v>
          </cell>
        </row>
        <row r="511">
          <cell r="A511" t="str">
            <v>Gulfstream IV</v>
          </cell>
          <cell r="B511" t="str">
            <v>SP</v>
          </cell>
          <cell r="C511" t="str">
            <v>Netjets International</v>
          </cell>
          <cell r="D511">
            <v>36839</v>
          </cell>
          <cell r="E511" t="str">
            <v>North America &amp; Caribbean</v>
          </cell>
          <cell r="F511" t="str">
            <v>USA</v>
          </cell>
          <cell r="G511" t="str">
            <v>Business / Corporate / Executive</v>
          </cell>
        </row>
        <row r="512">
          <cell r="A512" t="str">
            <v>Gulfstream IV</v>
          </cell>
          <cell r="B512" t="str">
            <v>SP</v>
          </cell>
          <cell r="C512" t="str">
            <v>Dennis Vanguard (Switchgear) Ltd</v>
          </cell>
          <cell r="D512">
            <v>36840</v>
          </cell>
          <cell r="E512" t="str">
            <v>Europe</v>
          </cell>
          <cell r="F512" t="str">
            <v>United Kingdom</v>
          </cell>
          <cell r="G512" t="str">
            <v>Business / Corporate / Executive</v>
          </cell>
        </row>
        <row r="513">
          <cell r="A513" t="str">
            <v>Gulfstream IV</v>
          </cell>
          <cell r="B513" t="str">
            <v>SP</v>
          </cell>
          <cell r="C513" t="str">
            <v>Rim Air LLC</v>
          </cell>
          <cell r="D513">
            <v>36843</v>
          </cell>
          <cell r="E513" t="str">
            <v>North America &amp; Caribbean</v>
          </cell>
          <cell r="F513" t="str">
            <v>USA</v>
          </cell>
          <cell r="G513" t="str">
            <v>Business / Corporate / Executive</v>
          </cell>
        </row>
        <row r="514">
          <cell r="A514" t="str">
            <v>Gulfstream V</v>
          </cell>
          <cell r="B514" t="str">
            <v xml:space="preserve"> </v>
          </cell>
          <cell r="C514" t="str">
            <v>Ford Motor Co</v>
          </cell>
          <cell r="D514">
            <v>36846</v>
          </cell>
          <cell r="E514" t="str">
            <v>North America &amp; Caribbean</v>
          </cell>
          <cell r="F514" t="str">
            <v>USA</v>
          </cell>
          <cell r="G514" t="str">
            <v>Business / Corporate / Executive</v>
          </cell>
        </row>
        <row r="515">
          <cell r="A515" t="str">
            <v>Gulfstream V</v>
          </cell>
          <cell r="B515" t="str">
            <v xml:space="preserve"> </v>
          </cell>
          <cell r="C515" t="str">
            <v>GFSC Aircraft Acquisition Financing Corp</v>
          </cell>
          <cell r="D515">
            <v>36850</v>
          </cell>
          <cell r="E515" t="str">
            <v>North America &amp; Caribbean</v>
          </cell>
          <cell r="F515" t="str">
            <v>USA</v>
          </cell>
          <cell r="G515" t="str">
            <v>Business / Corporate / Executive</v>
          </cell>
        </row>
        <row r="516">
          <cell r="A516" t="str">
            <v>Gulfstream V</v>
          </cell>
          <cell r="B516" t="str">
            <v xml:space="preserve"> </v>
          </cell>
          <cell r="C516" t="str">
            <v>St Thomas Energy Exports Inc</v>
          </cell>
          <cell r="D516">
            <v>36859</v>
          </cell>
          <cell r="E516" t="str">
            <v>North America &amp; Caribbean</v>
          </cell>
          <cell r="F516" t="str">
            <v>Virgin Islands (US)</v>
          </cell>
          <cell r="G516" t="str">
            <v>Business / Corporate / Executive</v>
          </cell>
        </row>
        <row r="517">
          <cell r="A517" t="str">
            <v>Gulfstream IV</v>
          </cell>
          <cell r="B517" t="str">
            <v>SP</v>
          </cell>
          <cell r="C517" t="str">
            <v>ConocoPhillips Co</v>
          </cell>
          <cell r="D517">
            <v>36860</v>
          </cell>
          <cell r="E517" t="str">
            <v>North America &amp; Caribbean</v>
          </cell>
          <cell r="F517" t="str">
            <v>USA</v>
          </cell>
          <cell r="G517" t="str">
            <v>Business / Corporate / Executive</v>
          </cell>
        </row>
        <row r="518">
          <cell r="A518" t="str">
            <v>Gulfstream V</v>
          </cell>
          <cell r="B518" t="str">
            <v xml:space="preserve"> </v>
          </cell>
          <cell r="C518" t="str">
            <v>Gulfstream GATX Leasing Co LLC</v>
          </cell>
          <cell r="D518">
            <v>36860</v>
          </cell>
          <cell r="E518" t="str">
            <v>North America &amp; Caribbean</v>
          </cell>
          <cell r="F518" t="str">
            <v>USA</v>
          </cell>
          <cell r="G518" t="str">
            <v>Business / Corporate / Executive</v>
          </cell>
        </row>
        <row r="519">
          <cell r="A519" t="str">
            <v>Gulfstream V</v>
          </cell>
          <cell r="B519" t="str">
            <v xml:space="preserve"> </v>
          </cell>
          <cell r="C519" t="str">
            <v>US Air Force</v>
          </cell>
          <cell r="D519">
            <v>36862</v>
          </cell>
          <cell r="E519" t="str">
            <v>North America &amp; Caribbean</v>
          </cell>
          <cell r="F519" t="str">
            <v>USA</v>
          </cell>
          <cell r="G519" t="str">
            <v>VIP / Government operated</v>
          </cell>
        </row>
        <row r="520">
          <cell r="A520" t="str">
            <v>Gulfstream IV</v>
          </cell>
          <cell r="B520" t="str">
            <v>SP</v>
          </cell>
          <cell r="C520" t="str">
            <v>Taubman Enterprises Inc</v>
          </cell>
          <cell r="D520">
            <v>36864</v>
          </cell>
          <cell r="E520" t="str">
            <v>North America &amp; Caribbean</v>
          </cell>
          <cell r="F520" t="str">
            <v>USA</v>
          </cell>
          <cell r="G520" t="str">
            <v>Business / Corporate / Executive</v>
          </cell>
        </row>
        <row r="521">
          <cell r="A521" t="str">
            <v>Gulfstream IV</v>
          </cell>
          <cell r="B521" t="str">
            <v>SP</v>
          </cell>
          <cell r="C521" t="str">
            <v>Cape Clear LLC</v>
          </cell>
          <cell r="D521">
            <v>36867</v>
          </cell>
          <cell r="E521" t="str">
            <v>North America &amp; Caribbean</v>
          </cell>
          <cell r="F521" t="str">
            <v>USA</v>
          </cell>
          <cell r="G521" t="str">
            <v>Business / Corporate / Executive</v>
          </cell>
        </row>
        <row r="522">
          <cell r="A522" t="str">
            <v>Gulfstream IV</v>
          </cell>
          <cell r="B522" t="str">
            <v>SP</v>
          </cell>
          <cell r="C522" t="str">
            <v>Government of Uganda</v>
          </cell>
          <cell r="D522">
            <v>36878</v>
          </cell>
          <cell r="E522" t="str">
            <v>Africa</v>
          </cell>
          <cell r="F522" t="str">
            <v>Uganda</v>
          </cell>
          <cell r="G522" t="str">
            <v>VIP / Government operated</v>
          </cell>
        </row>
        <row r="523">
          <cell r="A523" t="str">
            <v>Gulfstream V</v>
          </cell>
          <cell r="B523" t="str">
            <v xml:space="preserve"> </v>
          </cell>
          <cell r="C523" t="str">
            <v>Fightertown Inc</v>
          </cell>
          <cell r="D523">
            <v>36878</v>
          </cell>
          <cell r="E523" t="str">
            <v>North America &amp; Caribbean</v>
          </cell>
          <cell r="F523" t="str">
            <v>USA</v>
          </cell>
          <cell r="G523" t="str">
            <v>Business / Corporate / Executive</v>
          </cell>
        </row>
        <row r="524">
          <cell r="A524" t="str">
            <v>Gulfstream IV</v>
          </cell>
          <cell r="B524" t="str">
            <v>SP</v>
          </cell>
          <cell r="C524" t="str">
            <v>H &amp; S Ventures LLC</v>
          </cell>
          <cell r="D524">
            <v>36880</v>
          </cell>
          <cell r="E524" t="str">
            <v>North America &amp; Caribbean</v>
          </cell>
          <cell r="F524" t="str">
            <v>USA</v>
          </cell>
          <cell r="G524" t="str">
            <v>Business / Corporate / Executive</v>
          </cell>
        </row>
        <row r="525">
          <cell r="A525" t="str">
            <v>Gulfstream IV</v>
          </cell>
          <cell r="B525" t="str">
            <v>SP</v>
          </cell>
          <cell r="C525" t="str">
            <v>General Electric Credit Corp of Tennessee</v>
          </cell>
          <cell r="D525">
            <v>36881</v>
          </cell>
          <cell r="E525" t="str">
            <v>North America &amp; Caribbean</v>
          </cell>
          <cell r="F525" t="str">
            <v>USA</v>
          </cell>
          <cell r="G525" t="str">
            <v>Business / Corporate / Executive</v>
          </cell>
        </row>
        <row r="526">
          <cell r="A526" t="str">
            <v>Gulfstream V</v>
          </cell>
          <cell r="B526" t="str">
            <v xml:space="preserve"> </v>
          </cell>
          <cell r="C526" t="str">
            <v>Netjets International</v>
          </cell>
          <cell r="D526">
            <v>36882</v>
          </cell>
          <cell r="E526" t="str">
            <v>North America &amp; Caribbean</v>
          </cell>
          <cell r="F526" t="str">
            <v>USA</v>
          </cell>
          <cell r="G526" t="str">
            <v>Business / Corporate / Executive</v>
          </cell>
        </row>
        <row r="527">
          <cell r="A527" t="str">
            <v>Gulfstream IV</v>
          </cell>
          <cell r="B527" t="str">
            <v>SP</v>
          </cell>
          <cell r="C527" t="str">
            <v>Phillips Petroleum Co</v>
          </cell>
          <cell r="D527">
            <v>36887</v>
          </cell>
          <cell r="E527" t="str">
            <v>North America &amp; Caribbean</v>
          </cell>
          <cell r="F527" t="str">
            <v>USA</v>
          </cell>
          <cell r="G527" t="str">
            <v>Business / Corporate / Executive</v>
          </cell>
        </row>
        <row r="528">
          <cell r="A528" t="str">
            <v>Gulfstream V</v>
          </cell>
          <cell r="B528" t="str">
            <v xml:space="preserve"> </v>
          </cell>
          <cell r="C528" t="str">
            <v>Lexair II Ltd</v>
          </cell>
          <cell r="D528">
            <v>36889</v>
          </cell>
          <cell r="E528" t="str">
            <v>North America &amp; Caribbean</v>
          </cell>
          <cell r="F528" t="str">
            <v>USA</v>
          </cell>
          <cell r="G528" t="str">
            <v>Business / Corporate / Executive</v>
          </cell>
        </row>
        <row r="529">
          <cell r="A529" t="str">
            <v>Gulfstream IV</v>
          </cell>
          <cell r="B529" t="str">
            <v>SP</v>
          </cell>
          <cell r="C529" t="str">
            <v>Limited Service Corp</v>
          </cell>
          <cell r="D529">
            <v>36889</v>
          </cell>
          <cell r="E529" t="str">
            <v>North America &amp; Caribbean</v>
          </cell>
          <cell r="F529" t="str">
            <v>USA</v>
          </cell>
          <cell r="G529" t="str">
            <v>Business / Corporate / Executive</v>
          </cell>
        </row>
        <row r="530">
          <cell r="A530" t="str">
            <v>Gulfstream V</v>
          </cell>
          <cell r="B530" t="str">
            <v xml:space="preserve"> </v>
          </cell>
          <cell r="C530" t="str">
            <v>Schering Plough Corp</v>
          </cell>
          <cell r="D530">
            <v>36889</v>
          </cell>
          <cell r="E530" t="str">
            <v>North America &amp; Caribbean</v>
          </cell>
          <cell r="F530" t="str">
            <v>USA</v>
          </cell>
          <cell r="G530" t="str">
            <v>Business / Corporate / Executive</v>
          </cell>
        </row>
      </sheetData>
      <sheetData sheetId="19" refreshError="1">
        <row r="1">
          <cell r="A1" t="str">
            <v>Discounted Cash Flow Analysis</v>
          </cell>
          <cell r="C1" t="str">
            <v>2003E</v>
          </cell>
          <cell r="D1" t="str">
            <v>2004E</v>
          </cell>
          <cell r="E1" t="str">
            <v>2005E</v>
          </cell>
          <cell r="G1" t="str">
            <v>2006E</v>
          </cell>
          <cell r="I1" t="str">
            <v>2007E</v>
          </cell>
          <cell r="K1" t="str">
            <v>2008E</v>
          </cell>
          <cell r="O1" t="str">
            <v>Discounted Cash Flows and Shareholder Value</v>
          </cell>
          <cell r="V1" t="str">
            <v>TERMINAL VALUE ANALYSIS</v>
          </cell>
        </row>
        <row r="3">
          <cell r="A3" t="str">
            <v>Operating Income</v>
          </cell>
          <cell r="C3">
            <v>1442</v>
          </cell>
          <cell r="D3">
            <v>1931</v>
          </cell>
          <cell r="E3">
            <v>2179</v>
          </cell>
          <cell r="F3">
            <v>0</v>
          </cell>
          <cell r="G3">
            <v>2331.5300000000002</v>
          </cell>
          <cell r="H3">
            <v>7</v>
          </cell>
          <cell r="I3">
            <v>2448.1065000000003</v>
          </cell>
          <cell r="J3">
            <v>5</v>
          </cell>
          <cell r="K3">
            <v>2570.5118250000005</v>
          </cell>
          <cell r="L3">
            <v>5</v>
          </cell>
          <cell r="O3" t="str">
            <v xml:space="preserve">                   Discount Rate =</v>
          </cell>
          <cell r="Q3">
            <v>8.8609085258901668E-2</v>
          </cell>
          <cell r="S3" t="str">
            <v xml:space="preserve"> </v>
          </cell>
        </row>
        <row r="4">
          <cell r="A4" t="str">
            <v>Less Unallocated Corporate Expenses</v>
          </cell>
          <cell r="C4">
            <v>0</v>
          </cell>
          <cell r="D4">
            <v>0</v>
          </cell>
          <cell r="E4">
            <v>0</v>
          </cell>
          <cell r="F4">
            <v>0</v>
          </cell>
          <cell r="G4">
            <v>0</v>
          </cell>
          <cell r="H4">
            <v>0</v>
          </cell>
          <cell r="I4">
            <v>0</v>
          </cell>
          <cell r="J4">
            <v>0</v>
          </cell>
          <cell r="K4">
            <v>0</v>
          </cell>
          <cell r="L4">
            <v>0</v>
          </cell>
          <cell r="V4" t="str">
            <v>Capitalization of Cash Flow Approach</v>
          </cell>
        </row>
        <row r="5">
          <cell r="A5" t="str">
            <v>Less Cash Taxes</v>
          </cell>
          <cell r="C5">
            <v>490.28000000000003</v>
          </cell>
          <cell r="D5">
            <v>656.54000000000008</v>
          </cell>
          <cell r="E5">
            <v>740.86</v>
          </cell>
          <cell r="F5">
            <v>12.843086483687195</v>
          </cell>
          <cell r="G5">
            <v>792.72020000000009</v>
          </cell>
          <cell r="H5">
            <v>7.0000000000000062</v>
          </cell>
          <cell r="I5">
            <v>832.35621000000015</v>
          </cell>
          <cell r="J5">
            <v>5.0000000000000044</v>
          </cell>
          <cell r="K5">
            <v>873.97402050000028</v>
          </cell>
          <cell r="L5">
            <v>5.0000000000000044</v>
          </cell>
        </row>
        <row r="6">
          <cell r="A6" t="str">
            <v>NOPAT</v>
          </cell>
          <cell r="C6">
            <v>951.72</v>
          </cell>
          <cell r="D6">
            <v>1274.46</v>
          </cell>
          <cell r="E6">
            <v>1438.1399999999999</v>
          </cell>
          <cell r="F6">
            <v>12.843086483687195</v>
          </cell>
          <cell r="G6">
            <v>1538.8098</v>
          </cell>
          <cell r="H6">
            <v>7.0000000000000062</v>
          </cell>
          <cell r="I6">
            <v>1615.7502900000002</v>
          </cell>
          <cell r="J6">
            <v>5.0000000000000044</v>
          </cell>
          <cell r="K6">
            <v>1696.5378045000002</v>
          </cell>
          <cell r="L6">
            <v>5.0000000000000044</v>
          </cell>
          <cell r="Q6" t="str">
            <v>Present</v>
          </cell>
          <cell r="R6" t="str">
            <v>Cum. Present</v>
          </cell>
          <cell r="V6" t="str">
            <v>Discount Rate</v>
          </cell>
          <cell r="W6">
            <v>8.8609085258901668E-2</v>
          </cell>
        </row>
        <row r="7">
          <cell r="A7" t="str">
            <v>Plus Depreciation</v>
          </cell>
          <cell r="C7">
            <v>204</v>
          </cell>
          <cell r="D7">
            <v>213</v>
          </cell>
          <cell r="E7">
            <v>226</v>
          </cell>
          <cell r="F7">
            <v>0</v>
          </cell>
          <cell r="G7">
            <v>237.3</v>
          </cell>
          <cell r="H7">
            <v>5</v>
          </cell>
          <cell r="I7">
            <v>249.16500000000002</v>
          </cell>
          <cell r="J7">
            <v>5</v>
          </cell>
          <cell r="K7">
            <v>261.62325000000004</v>
          </cell>
          <cell r="L7">
            <v>5</v>
          </cell>
          <cell r="P7" t="str">
            <v>After Tax</v>
          </cell>
          <cell r="Q7" t="str">
            <v>Value of</v>
          </cell>
          <cell r="R7" t="str">
            <v>Value of Cash</v>
          </cell>
          <cell r="V7" t="str">
            <v>Less: Growth Rate</v>
          </cell>
          <cell r="W7">
            <v>0.03</v>
          </cell>
        </row>
        <row r="8">
          <cell r="A8" t="str">
            <v>Gross Cash Flow</v>
          </cell>
          <cell r="C8">
            <v>1155.72</v>
          </cell>
          <cell r="D8">
            <v>1487.46</v>
          </cell>
          <cell r="E8">
            <v>1664.1399999999999</v>
          </cell>
          <cell r="F8">
            <v>11.87796646632513</v>
          </cell>
          <cell r="G8">
            <v>1776.1098</v>
          </cell>
          <cell r="H8">
            <v>6.7283882365666292</v>
          </cell>
          <cell r="I8">
            <v>1864.9152900000001</v>
          </cell>
          <cell r="J8">
            <v>5.0000000000000044</v>
          </cell>
          <cell r="K8">
            <v>1958.1610545000003</v>
          </cell>
          <cell r="L8">
            <v>5.0000000000000044</v>
          </cell>
          <cell r="O8" t="str">
            <v>Year</v>
          </cell>
          <cell r="P8" t="str">
            <v>Cash Flow</v>
          </cell>
          <cell r="Q8" t="str">
            <v>Cash Flow</v>
          </cell>
          <cell r="R8" t="str">
            <v>Flows</v>
          </cell>
        </row>
        <row r="9">
          <cell r="V9" t="str">
            <v>Capitalization Rate</v>
          </cell>
          <cell r="W9">
            <v>5.8609085258901669E-2</v>
          </cell>
        </row>
        <row r="10">
          <cell r="A10" t="str">
            <v>Less Capex</v>
          </cell>
          <cell r="C10">
            <v>220</v>
          </cell>
          <cell r="D10">
            <v>253</v>
          </cell>
          <cell r="E10">
            <v>262</v>
          </cell>
          <cell r="F10">
            <v>0</v>
          </cell>
          <cell r="G10">
            <v>275.10000000000002</v>
          </cell>
          <cell r="H10">
            <v>5</v>
          </cell>
          <cell r="I10">
            <v>288.85500000000002</v>
          </cell>
          <cell r="J10">
            <v>5</v>
          </cell>
          <cell r="K10">
            <v>303.29775000000001</v>
          </cell>
          <cell r="L10">
            <v>5</v>
          </cell>
          <cell r="O10">
            <v>2003</v>
          </cell>
          <cell r="P10">
            <v>835.72</v>
          </cell>
          <cell r="Q10">
            <v>767.69522808202771</v>
          </cell>
          <cell r="R10">
            <v>767.69522808202771</v>
          </cell>
        </row>
        <row r="11">
          <cell r="A11" t="str">
            <v>Less Working Capital Investment(Op Reqs)</v>
          </cell>
          <cell r="C11">
            <v>100</v>
          </cell>
          <cell r="D11">
            <v>108</v>
          </cell>
          <cell r="E11">
            <v>115.56</v>
          </cell>
          <cell r="F11">
            <v>0</v>
          </cell>
          <cell r="G11">
            <v>121.33800000000001</v>
          </cell>
          <cell r="H11">
            <v>5</v>
          </cell>
          <cell r="I11">
            <v>121.33800000000001</v>
          </cell>
          <cell r="J11">
            <v>0</v>
          </cell>
          <cell r="K11">
            <v>121.33800000000001</v>
          </cell>
          <cell r="L11">
            <v>0</v>
          </cell>
          <cell r="O11">
            <v>2004</v>
          </cell>
          <cell r="P11">
            <v>1126.46</v>
          </cell>
          <cell r="Q11">
            <v>950.54321403642666</v>
          </cell>
          <cell r="R11">
            <v>1718.2384421184543</v>
          </cell>
          <cell r="V11" t="str">
            <v>Terminal Value (Year X Cash Flow Capitalized)</v>
          </cell>
          <cell r="W11">
            <v>27473.583022359828</v>
          </cell>
        </row>
        <row r="12">
          <cell r="A12" t="str">
            <v>Less Increase in Net Other Assets</v>
          </cell>
          <cell r="C12">
            <v>0</v>
          </cell>
          <cell r="D12">
            <v>0</v>
          </cell>
          <cell r="E12">
            <v>0</v>
          </cell>
          <cell r="F12">
            <v>0</v>
          </cell>
          <cell r="G12">
            <v>0</v>
          </cell>
          <cell r="H12">
            <v>0</v>
          </cell>
          <cell r="I12">
            <v>0</v>
          </cell>
          <cell r="J12">
            <v>0</v>
          </cell>
          <cell r="K12">
            <v>0</v>
          </cell>
          <cell r="L12">
            <v>0</v>
          </cell>
          <cell r="O12">
            <v>2005</v>
          </cell>
          <cell r="P12">
            <v>1286.58</v>
          </cell>
          <cell r="Q12">
            <v>997.28877863703701</v>
          </cell>
          <cell r="R12">
            <v>2715.5272207554913</v>
          </cell>
        </row>
        <row r="13">
          <cell r="O13">
            <v>2006</v>
          </cell>
          <cell r="P13">
            <v>1379.6717999999998</v>
          </cell>
          <cell r="Q13">
            <v>1379.6717999999998</v>
          </cell>
          <cell r="R13">
            <v>4095.1990207554909</v>
          </cell>
        </row>
        <row r="14">
          <cell r="A14" t="str">
            <v>Operating Free Cash Flow</v>
          </cell>
          <cell r="C14">
            <v>835.72</v>
          </cell>
          <cell r="D14">
            <v>1126.46</v>
          </cell>
          <cell r="E14">
            <v>1286.58</v>
          </cell>
          <cell r="F14">
            <v>14.214441702324088</v>
          </cell>
          <cell r="G14">
            <v>1379.6717999999998</v>
          </cell>
          <cell r="H14">
            <v>7.2356013617497439</v>
          </cell>
          <cell r="I14">
            <v>1454.7222900000002</v>
          </cell>
          <cell r="J14">
            <v>5.4397350152405988</v>
          </cell>
          <cell r="K14">
            <v>1533.5253045000004</v>
          </cell>
          <cell r="L14">
            <v>5.4170486725683142</v>
          </cell>
          <cell r="O14">
            <v>2007</v>
          </cell>
          <cell r="P14">
            <v>1454.7222900000002</v>
          </cell>
          <cell r="Q14">
            <v>1454.7222900000002</v>
          </cell>
          <cell r="R14">
            <v>5549.9213107554915</v>
          </cell>
        </row>
        <row r="15">
          <cell r="V15" t="str">
            <v>Convergence Approach</v>
          </cell>
        </row>
        <row r="16">
          <cell r="V16" t="str">
            <v xml:space="preserve"> </v>
          </cell>
        </row>
        <row r="17">
          <cell r="V17" t="str">
            <v>Year 6 NOPAT</v>
          </cell>
          <cell r="W17">
            <v>1438.1399999999999</v>
          </cell>
        </row>
        <row r="18">
          <cell r="O18" t="str">
            <v>Cum. Present Value of Cash Flows</v>
          </cell>
          <cell r="R18">
            <v>5549.9213107554915</v>
          </cell>
          <cell r="V18" t="str">
            <v>WACC</v>
          </cell>
          <cell r="W18">
            <v>8.8609085258901668E-2</v>
          </cell>
        </row>
        <row r="20">
          <cell r="A20" t="str">
            <v>Weighted Average Cost of Capital</v>
          </cell>
          <cell r="O20" t="str">
            <v>Plus: Pres. Value of Terminal Value</v>
          </cell>
          <cell r="R20">
            <v>16507.586263698602</v>
          </cell>
          <cell r="V20" t="str">
            <v>Terminal Value</v>
          </cell>
          <cell r="W20">
            <v>16230.164162038049</v>
          </cell>
        </row>
        <row r="21">
          <cell r="O21" t="str">
            <v xml:space="preserve"> </v>
          </cell>
        </row>
        <row r="22">
          <cell r="A22" t="str">
            <v>Shares Outstanding (millions)</v>
          </cell>
          <cell r="B22">
            <v>198.6</v>
          </cell>
          <cell r="O22" t="str">
            <v>CORPORATE VALUE</v>
          </cell>
          <cell r="R22">
            <v>22057.507574454095</v>
          </cell>
          <cell r="S22" t="str">
            <v xml:space="preserve"> </v>
          </cell>
        </row>
        <row r="23">
          <cell r="A23" t="str">
            <v>Current Price</v>
          </cell>
          <cell r="B23">
            <v>82.62</v>
          </cell>
          <cell r="V23" t="str">
            <v>Average Terminal Value</v>
          </cell>
          <cell r="W23">
            <v>21851.873592198939</v>
          </cell>
        </row>
        <row r="24">
          <cell r="A24" t="str">
            <v>Market Value of Equity ($mm)</v>
          </cell>
          <cell r="B24">
            <v>16408.332000000002</v>
          </cell>
          <cell r="O24" t="str">
            <v>Less: Book Value of Debt</v>
          </cell>
          <cell r="R24">
            <v>3073</v>
          </cell>
        </row>
        <row r="25">
          <cell r="A25" t="str">
            <v>Book Value of Debt ($mm)</v>
          </cell>
          <cell r="B25">
            <v>2262</v>
          </cell>
        </row>
        <row r="26">
          <cell r="A26" t="str">
            <v>Total Capital</v>
          </cell>
          <cell r="B26">
            <v>18670.332000000002</v>
          </cell>
          <cell r="O26" t="str">
            <v>Plus: Cash &amp; Marketable Securities</v>
          </cell>
          <cell r="R26">
            <v>811</v>
          </cell>
        </row>
        <row r="27">
          <cell r="A27" t="str">
            <v>Risk Free Rate</v>
          </cell>
          <cell r="B27">
            <v>5</v>
          </cell>
        </row>
        <row r="28">
          <cell r="A28" t="str">
            <v>Market Risk Premium</v>
          </cell>
          <cell r="B28">
            <v>5</v>
          </cell>
          <cell r="O28" t="str">
            <v>Shareholder Value</v>
          </cell>
          <cell r="R28">
            <v>19795.507574454095</v>
          </cell>
        </row>
        <row r="29">
          <cell r="A29" t="str">
            <v>Beta</v>
          </cell>
          <cell r="B29">
            <v>0.9</v>
          </cell>
        </row>
        <row r="30">
          <cell r="A30" t="str">
            <v>Cost of Debt</v>
          </cell>
          <cell r="B30">
            <v>6.5</v>
          </cell>
          <cell r="O30" t="str">
            <v>Calculated Share Price</v>
          </cell>
          <cell r="R30">
            <v>97.514815637704899</v>
          </cell>
        </row>
        <row r="32">
          <cell r="O32" t="str">
            <v>Current Share Price</v>
          </cell>
          <cell r="R32">
            <v>82.62</v>
          </cell>
        </row>
        <row r="34">
          <cell r="A34" t="str">
            <v xml:space="preserve">DISCOUNT RATE ANALYSIS </v>
          </cell>
        </row>
        <row r="36">
          <cell r="C36" t="str">
            <v xml:space="preserve"> </v>
          </cell>
          <cell r="E36" t="str">
            <v>% Total Cap</v>
          </cell>
          <cell r="F36" t="str">
            <v>WACC</v>
          </cell>
        </row>
        <row r="37">
          <cell r="A37" t="str">
            <v>Equity</v>
          </cell>
        </row>
        <row r="38">
          <cell r="A38" t="str">
            <v xml:space="preserve">     Est. Cost of Leveraged Equity</v>
          </cell>
          <cell r="D38">
            <v>9.5000000000000001E-2</v>
          </cell>
          <cell r="E38">
            <v>0.87884521817823058</v>
          </cell>
          <cell r="F38">
            <v>8.349029572693191E-2</v>
          </cell>
        </row>
        <row r="39">
          <cell r="A39" t="str">
            <v xml:space="preserve">     Est. Cost of Preferred Stock</v>
          </cell>
          <cell r="D39">
            <v>0</v>
          </cell>
          <cell r="E39">
            <v>0</v>
          </cell>
          <cell r="F39">
            <v>0</v>
          </cell>
        </row>
        <row r="41">
          <cell r="A41" t="str">
            <v>Debt</v>
          </cell>
        </row>
        <row r="42">
          <cell r="A42" t="str">
            <v xml:space="preserve">     Est. After-Tax Cost of Senior Debt (Rate*(1-Tax))</v>
          </cell>
          <cell r="D42">
            <v>4.2250000000000003E-2</v>
          </cell>
          <cell r="E42">
            <v>0.12115478182176941</v>
          </cell>
          <cell r="F42">
            <v>5.1187895319697576E-3</v>
          </cell>
        </row>
        <row r="43">
          <cell r="A43" t="str">
            <v xml:space="preserve">     Est. After-Tax Cost of Subordinated Debt (Including Warrants)</v>
          </cell>
          <cell r="D43">
            <v>0</v>
          </cell>
          <cell r="E43">
            <v>0</v>
          </cell>
          <cell r="F43">
            <v>0</v>
          </cell>
        </row>
        <row r="44">
          <cell r="A44" t="str">
            <v xml:space="preserve"> </v>
          </cell>
          <cell r="D44" t="str">
            <v xml:space="preserve"> </v>
          </cell>
        </row>
        <row r="45">
          <cell r="A45" t="str">
            <v xml:space="preserve"> </v>
          </cell>
          <cell r="B45" t="str">
            <v xml:space="preserve"> </v>
          </cell>
          <cell r="D45" t="str">
            <v xml:space="preserve"> </v>
          </cell>
          <cell r="E45">
            <v>1</v>
          </cell>
        </row>
        <row r="46">
          <cell r="D46" t="str">
            <v xml:space="preserve"> </v>
          </cell>
        </row>
        <row r="47">
          <cell r="A47" t="str">
            <v xml:space="preserve"> </v>
          </cell>
        </row>
        <row r="48">
          <cell r="D48" t="str">
            <v xml:space="preserve">            Discount Rate =</v>
          </cell>
          <cell r="F48">
            <v>8.8609085258901668E-2</v>
          </cell>
        </row>
      </sheetData>
      <sheetData sheetId="20" refreshError="1">
        <row r="1">
          <cell r="A1" t="str">
            <v>Gulfstream Aircraft in Operation</v>
          </cell>
        </row>
        <row r="2">
          <cell r="A2" t="str">
            <v>Source: Airclaims</v>
          </cell>
        </row>
        <row r="4">
          <cell r="A4">
            <v>2004</v>
          </cell>
        </row>
        <row r="5">
          <cell r="N5" t="str">
            <v>Gulfstream Active Fleet</v>
          </cell>
        </row>
        <row r="6">
          <cell r="A6" t="str">
            <v>Status</v>
          </cell>
          <cell r="B6" t="str">
            <v>Mfr &amp; Type</v>
          </cell>
          <cell r="C6" t="str">
            <v>Variant</v>
          </cell>
          <cell r="D6" t="str">
            <v>BuildYear</v>
          </cell>
          <cell r="E6" t="str">
            <v>Operator</v>
          </cell>
          <cell r="F6" t="str">
            <v>Age</v>
          </cell>
          <cell r="G6" t="str">
            <v>Delivered</v>
          </cell>
          <cell r="H6" t="str">
            <v>MinorVariant</v>
          </cell>
          <cell r="I6" t="str">
            <v>OperatorArea</v>
          </cell>
          <cell r="J6" t="str">
            <v>OperatorCountry</v>
          </cell>
          <cell r="K6" t="str">
            <v>Ordered</v>
          </cell>
          <cell r="O6">
            <v>2007</v>
          </cell>
          <cell r="P6">
            <v>2006</v>
          </cell>
          <cell r="Q6">
            <v>2004</v>
          </cell>
          <cell r="R6">
            <v>2002</v>
          </cell>
          <cell r="S6">
            <v>2000</v>
          </cell>
          <cell r="V6">
            <v>2006</v>
          </cell>
          <cell r="W6">
            <v>2004</v>
          </cell>
          <cell r="X6">
            <v>2002</v>
          </cell>
          <cell r="Y6">
            <v>2000</v>
          </cell>
        </row>
        <row r="7">
          <cell r="A7" t="str">
            <v>In service</v>
          </cell>
          <cell r="B7" t="str">
            <v>Gulfstream Aerospace Gulfstream G300</v>
          </cell>
          <cell r="D7">
            <v>2003</v>
          </cell>
          <cell r="E7" t="str">
            <v>Royal Jet</v>
          </cell>
          <cell r="F7">
            <v>1</v>
          </cell>
          <cell r="G7">
            <v>37838</v>
          </cell>
          <cell r="I7" t="str">
            <v>Middle East</v>
          </cell>
          <cell r="J7" t="str">
            <v>United Arab Emirates</v>
          </cell>
          <cell r="K7">
            <v>37746</v>
          </cell>
          <cell r="N7" t="str">
            <v>GI</v>
          </cell>
          <cell r="O7">
            <v>46</v>
          </cell>
          <cell r="P7">
            <v>47</v>
          </cell>
          <cell r="Q7">
            <v>72</v>
          </cell>
          <cell r="R7">
            <v>72</v>
          </cell>
          <cell r="S7">
            <v>84</v>
          </cell>
          <cell r="U7" t="str">
            <v>GI</v>
          </cell>
          <cell r="V7">
            <v>47</v>
          </cell>
          <cell r="W7">
            <v>72</v>
          </cell>
          <cell r="X7">
            <v>55</v>
          </cell>
          <cell r="Y7">
            <v>65</v>
          </cell>
        </row>
        <row r="8">
          <cell r="A8" t="str">
            <v>In service</v>
          </cell>
          <cell r="B8" t="str">
            <v>Gulfstream Aerospace Gulfstream G300</v>
          </cell>
          <cell r="D8">
            <v>2003</v>
          </cell>
          <cell r="E8" t="str">
            <v>Royal Jet</v>
          </cell>
          <cell r="F8">
            <v>1</v>
          </cell>
          <cell r="G8">
            <v>37881</v>
          </cell>
          <cell r="I8" t="str">
            <v>Middle East</v>
          </cell>
          <cell r="J8" t="str">
            <v>United Arab Emirates</v>
          </cell>
          <cell r="K8">
            <v>37746</v>
          </cell>
          <cell r="N8" t="str">
            <v>GII</v>
          </cell>
          <cell r="O8">
            <v>202</v>
          </cell>
          <cell r="P8">
            <v>211</v>
          </cell>
          <cell r="Q8">
            <v>218</v>
          </cell>
          <cell r="R8">
            <v>235</v>
          </cell>
          <cell r="S8">
            <v>239</v>
          </cell>
          <cell r="U8" t="str">
            <v>GI-Other</v>
          </cell>
          <cell r="V8">
            <v>0</v>
          </cell>
          <cell r="W8">
            <v>0</v>
          </cell>
          <cell r="X8">
            <v>17</v>
          </cell>
          <cell r="Y8">
            <v>19</v>
          </cell>
        </row>
        <row r="9">
          <cell r="A9" t="str">
            <v>In service</v>
          </cell>
          <cell r="B9" t="str">
            <v>Gulfstream Aerospace Gulfstream G300</v>
          </cell>
          <cell r="D9">
            <v>2003</v>
          </cell>
          <cell r="E9" t="str">
            <v>L&amp;L Manufacturing Co</v>
          </cell>
          <cell r="F9">
            <v>1</v>
          </cell>
          <cell r="G9">
            <v>37944</v>
          </cell>
          <cell r="I9" t="str">
            <v>North America</v>
          </cell>
          <cell r="J9" t="str">
            <v>USA</v>
          </cell>
          <cell r="K9">
            <v>37437</v>
          </cell>
          <cell r="N9" t="str">
            <v>GIII</v>
          </cell>
          <cell r="O9">
            <v>193</v>
          </cell>
          <cell r="P9">
            <v>194</v>
          </cell>
          <cell r="Q9">
            <v>193</v>
          </cell>
          <cell r="R9">
            <v>192</v>
          </cell>
          <cell r="S9">
            <v>197</v>
          </cell>
          <cell r="U9" t="str">
            <v>GII</v>
          </cell>
          <cell r="V9">
            <v>58</v>
          </cell>
          <cell r="W9">
            <v>69</v>
          </cell>
          <cell r="X9">
            <v>80</v>
          </cell>
          <cell r="Y9">
            <v>94</v>
          </cell>
        </row>
        <row r="10">
          <cell r="A10" t="str">
            <v>In service</v>
          </cell>
          <cell r="B10" t="str">
            <v>Gulfstream Aerospace Gulfstream G300</v>
          </cell>
          <cell r="D10">
            <v>2003</v>
          </cell>
          <cell r="E10" t="str">
            <v>AirFlite</v>
          </cell>
          <cell r="F10">
            <v>1</v>
          </cell>
          <cell r="G10">
            <v>37890</v>
          </cell>
          <cell r="I10" t="str">
            <v>North America</v>
          </cell>
          <cell r="J10" t="str">
            <v>USA</v>
          </cell>
          <cell r="K10">
            <v>37437</v>
          </cell>
          <cell r="N10" t="str">
            <v>GIV</v>
          </cell>
          <cell r="O10">
            <v>497</v>
          </cell>
          <cell r="P10">
            <v>496</v>
          </cell>
          <cell r="Q10">
            <v>496</v>
          </cell>
          <cell r="R10">
            <v>482</v>
          </cell>
          <cell r="S10">
            <v>410</v>
          </cell>
          <cell r="U10" t="str">
            <v>GII-B</v>
          </cell>
          <cell r="V10">
            <v>40</v>
          </cell>
          <cell r="W10">
            <v>43</v>
          </cell>
          <cell r="X10">
            <v>44</v>
          </cell>
          <cell r="Y10">
            <v>43</v>
          </cell>
        </row>
        <row r="11">
          <cell r="A11" t="str">
            <v>In service</v>
          </cell>
          <cell r="B11" t="str">
            <v>Gulfstream Aerospace Gulfstream G300</v>
          </cell>
          <cell r="D11">
            <v>2003</v>
          </cell>
          <cell r="E11" t="str">
            <v>Kraft Foods Aviation LLC</v>
          </cell>
          <cell r="F11">
            <v>1</v>
          </cell>
          <cell r="G11">
            <v>37894</v>
          </cell>
          <cell r="I11" t="str">
            <v>North America</v>
          </cell>
          <cell r="J11" t="str">
            <v>USA</v>
          </cell>
          <cell r="K11">
            <v>37509</v>
          </cell>
          <cell r="N11" t="str">
            <v>GV</v>
          </cell>
          <cell r="O11">
            <v>192</v>
          </cell>
          <cell r="P11">
            <v>190</v>
          </cell>
          <cell r="Q11">
            <v>186</v>
          </cell>
          <cell r="R11">
            <v>171</v>
          </cell>
          <cell r="S11">
            <v>99</v>
          </cell>
          <cell r="U11" t="str">
            <v>GII-SP</v>
          </cell>
          <cell r="V11">
            <v>89</v>
          </cell>
          <cell r="W11">
            <v>88</v>
          </cell>
          <cell r="X11">
            <v>94</v>
          </cell>
          <cell r="Y11">
            <v>85</v>
          </cell>
        </row>
        <row r="12">
          <cell r="A12" t="str">
            <v>In service</v>
          </cell>
          <cell r="B12" t="str">
            <v>Gulfstream Aerospace Gulfstream G300</v>
          </cell>
          <cell r="D12">
            <v>2003</v>
          </cell>
          <cell r="E12" t="str">
            <v>Altria Corporate Services Inc</v>
          </cell>
          <cell r="F12">
            <v>1</v>
          </cell>
          <cell r="G12">
            <v>37977</v>
          </cell>
          <cell r="I12" t="str">
            <v>North America</v>
          </cell>
          <cell r="J12" t="str">
            <v>USA</v>
          </cell>
          <cell r="K12">
            <v>37509</v>
          </cell>
          <cell r="N12" t="str">
            <v>G300</v>
          </cell>
          <cell r="O12">
            <v>13</v>
          </cell>
          <cell r="P12">
            <v>13</v>
          </cell>
          <cell r="Q12">
            <v>11</v>
          </cell>
          <cell r="R12">
            <v>0</v>
          </cell>
          <cell r="S12">
            <v>0</v>
          </cell>
          <cell r="U12" t="str">
            <v>GII-Other</v>
          </cell>
          <cell r="V12">
            <v>24</v>
          </cell>
          <cell r="W12">
            <v>18</v>
          </cell>
          <cell r="X12">
            <v>17</v>
          </cell>
          <cell r="Y12">
            <v>17</v>
          </cell>
        </row>
        <row r="13">
          <cell r="A13" t="str">
            <v>In service</v>
          </cell>
          <cell r="B13" t="str">
            <v>Gulfstream Aerospace Gulfstream G300</v>
          </cell>
          <cell r="D13">
            <v>2003</v>
          </cell>
          <cell r="E13" t="str">
            <v>Altria Corporate Services Inc</v>
          </cell>
          <cell r="F13">
            <v>1</v>
          </cell>
          <cell r="G13">
            <v>37974</v>
          </cell>
          <cell r="I13" t="str">
            <v>North America</v>
          </cell>
          <cell r="J13" t="str">
            <v>USA</v>
          </cell>
          <cell r="K13">
            <v>37509</v>
          </cell>
          <cell r="N13" t="str">
            <v>G350</v>
          </cell>
          <cell r="O13">
            <v>10</v>
          </cell>
          <cell r="P13">
            <v>0</v>
          </cell>
          <cell r="Q13">
            <v>0</v>
          </cell>
          <cell r="R13">
            <v>0</v>
          </cell>
          <cell r="S13">
            <v>0</v>
          </cell>
          <cell r="U13" t="str">
            <v>GIII</v>
          </cell>
          <cell r="V13">
            <v>151</v>
          </cell>
          <cell r="W13">
            <v>165</v>
          </cell>
          <cell r="X13">
            <v>171</v>
          </cell>
          <cell r="Y13">
            <v>176</v>
          </cell>
        </row>
        <row r="14">
          <cell r="A14" t="str">
            <v>In service</v>
          </cell>
          <cell r="B14" t="str">
            <v>Gulfstream Aerospace Gulfstream G300</v>
          </cell>
          <cell r="D14">
            <v>2003</v>
          </cell>
          <cell r="E14" t="str">
            <v>Medco Health Solutions Inc</v>
          </cell>
          <cell r="F14">
            <v>1</v>
          </cell>
          <cell r="G14">
            <v>38065</v>
          </cell>
          <cell r="I14" t="str">
            <v>North America</v>
          </cell>
          <cell r="J14" t="str">
            <v>USA</v>
          </cell>
          <cell r="K14">
            <v>37437</v>
          </cell>
          <cell r="N14" t="str">
            <v>G400</v>
          </cell>
          <cell r="O14">
            <v>23</v>
          </cell>
          <cell r="P14">
            <v>23</v>
          </cell>
          <cell r="Q14">
            <v>21</v>
          </cell>
          <cell r="R14">
            <v>0</v>
          </cell>
          <cell r="S14">
            <v>0</v>
          </cell>
          <cell r="U14" t="str">
            <v>GIII-Other</v>
          </cell>
          <cell r="V14">
            <v>43</v>
          </cell>
          <cell r="W14">
            <v>28</v>
          </cell>
          <cell r="X14">
            <v>21</v>
          </cell>
          <cell r="Y14">
            <v>21</v>
          </cell>
        </row>
        <row r="15">
          <cell r="A15" t="str">
            <v>In service</v>
          </cell>
          <cell r="B15" t="str">
            <v>Gulfstream Aerospace Gulfstream G300</v>
          </cell>
          <cell r="D15">
            <v>2004</v>
          </cell>
          <cell r="E15" t="str">
            <v>Saudi Ministry of Finance &amp; Economy</v>
          </cell>
          <cell r="F15">
            <v>0</v>
          </cell>
          <cell r="G15">
            <v>38260</v>
          </cell>
          <cell r="I15" t="str">
            <v>Middle East</v>
          </cell>
          <cell r="J15" t="str">
            <v>Saudi Arabia</v>
          </cell>
          <cell r="K15">
            <v>37963</v>
          </cell>
          <cell r="N15" t="str">
            <v>G450</v>
          </cell>
          <cell r="O15">
            <v>93</v>
          </cell>
          <cell r="P15">
            <v>19</v>
          </cell>
          <cell r="Q15">
            <v>2</v>
          </cell>
          <cell r="R15">
            <v>0</v>
          </cell>
          <cell r="S15">
            <v>0</v>
          </cell>
          <cell r="U15" t="str">
            <v>GIV</v>
          </cell>
          <cell r="V15">
            <v>211</v>
          </cell>
          <cell r="W15">
            <v>211</v>
          </cell>
          <cell r="X15">
            <v>210</v>
          </cell>
          <cell r="Y15">
            <v>213</v>
          </cell>
        </row>
        <row r="16">
          <cell r="A16" t="str">
            <v>In service</v>
          </cell>
          <cell r="B16" t="str">
            <v>Gulfstream Aerospace Gulfstream G300</v>
          </cell>
          <cell r="D16">
            <v>2004</v>
          </cell>
          <cell r="E16" t="str">
            <v>Saudi Ministry of Finance &amp; Economy</v>
          </cell>
          <cell r="F16">
            <v>0</v>
          </cell>
          <cell r="G16">
            <v>38307</v>
          </cell>
          <cell r="I16" t="str">
            <v>Middle East</v>
          </cell>
          <cell r="J16" t="str">
            <v>Saudi Arabia</v>
          </cell>
          <cell r="K16">
            <v>37963</v>
          </cell>
          <cell r="N16" t="str">
            <v>G500</v>
          </cell>
          <cell r="O16">
            <v>6</v>
          </cell>
          <cell r="P16">
            <v>2</v>
          </cell>
          <cell r="Q16">
            <v>1</v>
          </cell>
          <cell r="R16">
            <v>0</v>
          </cell>
          <cell r="S16">
            <v>0</v>
          </cell>
          <cell r="U16" t="str">
            <v>GIV-SP</v>
          </cell>
          <cell r="V16">
            <v>270</v>
          </cell>
          <cell r="W16">
            <v>270</v>
          </cell>
          <cell r="X16">
            <v>257</v>
          </cell>
          <cell r="Y16">
            <v>183</v>
          </cell>
        </row>
        <row r="17">
          <cell r="A17" t="str">
            <v>In service</v>
          </cell>
          <cell r="B17" t="str">
            <v>Gulfstream Aerospace Gulfstream G300</v>
          </cell>
          <cell r="D17">
            <v>2004</v>
          </cell>
          <cell r="E17" t="str">
            <v>AirFlite</v>
          </cell>
          <cell r="F17">
            <v>0</v>
          </cell>
          <cell r="G17">
            <v>38233</v>
          </cell>
          <cell r="I17" t="str">
            <v>North America</v>
          </cell>
          <cell r="J17" t="str">
            <v>USA</v>
          </cell>
          <cell r="K17">
            <v>37437</v>
          </cell>
          <cell r="N17" t="str">
            <v>G550</v>
          </cell>
          <cell r="O17">
            <v>161</v>
          </cell>
          <cell r="P17">
            <v>73</v>
          </cell>
          <cell r="Q17">
            <v>40</v>
          </cell>
          <cell r="R17">
            <v>1</v>
          </cell>
          <cell r="S17">
            <v>0</v>
          </cell>
          <cell r="U17" t="str">
            <v>GIV-Other</v>
          </cell>
          <cell r="V17">
            <v>15</v>
          </cell>
          <cell r="W17">
            <v>15</v>
          </cell>
          <cell r="X17">
            <v>15</v>
          </cell>
          <cell r="Y17">
            <v>14</v>
          </cell>
        </row>
        <row r="18">
          <cell r="A18" t="str">
            <v>In service</v>
          </cell>
          <cell r="B18" t="str">
            <v>Gulfstream Aerospace Gulfstream G400</v>
          </cell>
          <cell r="D18">
            <v>2003</v>
          </cell>
          <cell r="E18" t="str">
            <v>Idaho Associates LLC</v>
          </cell>
          <cell r="F18">
            <v>1</v>
          </cell>
          <cell r="G18">
            <v>37862</v>
          </cell>
          <cell r="I18" t="str">
            <v>North America</v>
          </cell>
          <cell r="J18" t="str">
            <v>USA</v>
          </cell>
          <cell r="N18" t="str">
            <v>TOTAL</v>
          </cell>
          <cell r="O18">
            <v>1436</v>
          </cell>
          <cell r="P18">
            <v>1268</v>
          </cell>
          <cell r="Q18">
            <v>1240</v>
          </cell>
          <cell r="R18">
            <v>1153</v>
          </cell>
          <cell r="S18">
            <v>1029</v>
          </cell>
          <cell r="U18" t="str">
            <v>GV</v>
          </cell>
          <cell r="V18">
            <v>190</v>
          </cell>
          <cell r="W18">
            <v>186</v>
          </cell>
          <cell r="X18">
            <v>171</v>
          </cell>
          <cell r="Y18">
            <v>99</v>
          </cell>
        </row>
        <row r="19">
          <cell r="A19" t="str">
            <v>In service</v>
          </cell>
          <cell r="B19" t="str">
            <v>Gulfstream Aerospace Gulfstream G400</v>
          </cell>
          <cell r="D19">
            <v>2003</v>
          </cell>
          <cell r="E19" t="str">
            <v>Prime Jet LLC</v>
          </cell>
          <cell r="F19">
            <v>1</v>
          </cell>
          <cell r="G19">
            <v>37862</v>
          </cell>
          <cell r="I19" t="str">
            <v>North America</v>
          </cell>
          <cell r="J19" t="str">
            <v>USA</v>
          </cell>
          <cell r="K19">
            <v>37437</v>
          </cell>
          <cell r="N19" t="str">
            <v>Int'l</v>
          </cell>
          <cell r="O19">
            <v>0.2263231197771588</v>
          </cell>
          <cell r="P19">
            <v>0.22</v>
          </cell>
          <cell r="Q19">
            <v>0.19838709677419353</v>
          </cell>
          <cell r="R19">
            <v>0.19167389418907199</v>
          </cell>
          <cell r="S19">
            <v>0.20310981535471329</v>
          </cell>
          <cell r="U19" t="str">
            <v>GV-SP</v>
          </cell>
          <cell r="V19">
            <v>0</v>
          </cell>
          <cell r="W19">
            <v>0</v>
          </cell>
          <cell r="X19">
            <v>0</v>
          </cell>
          <cell r="Y19">
            <v>0</v>
          </cell>
        </row>
        <row r="20">
          <cell r="A20" t="str">
            <v>In service</v>
          </cell>
          <cell r="B20" t="str">
            <v>Gulfstream Aerospace Gulfstream G400</v>
          </cell>
          <cell r="D20">
            <v>2003</v>
          </cell>
          <cell r="E20" t="str">
            <v>Chouest Air Inc</v>
          </cell>
          <cell r="F20">
            <v>1</v>
          </cell>
          <cell r="G20">
            <v>37802</v>
          </cell>
          <cell r="I20" t="str">
            <v>North America</v>
          </cell>
          <cell r="J20" t="str">
            <v>USA</v>
          </cell>
          <cell r="K20">
            <v>37437</v>
          </cell>
          <cell r="N20" t="str">
            <v>N. Am.</v>
          </cell>
          <cell r="O20">
            <v>0.7736768802228412</v>
          </cell>
          <cell r="P20">
            <v>0.78</v>
          </cell>
          <cell r="Q20">
            <v>0.80161290322580647</v>
          </cell>
          <cell r="R20">
            <v>0.80832610581092801</v>
          </cell>
          <cell r="S20">
            <v>0.79689018464528671</v>
          </cell>
          <cell r="U20" t="str">
            <v>G300</v>
          </cell>
          <cell r="V20">
            <v>13</v>
          </cell>
          <cell r="W20">
            <v>11</v>
          </cell>
          <cell r="X20">
            <v>0</v>
          </cell>
          <cell r="Y20">
            <v>0</v>
          </cell>
        </row>
        <row r="21">
          <cell r="A21" t="str">
            <v>In service</v>
          </cell>
          <cell r="B21" t="str">
            <v>Gulfstream Aerospace Gulfstream G400</v>
          </cell>
          <cell r="D21">
            <v>2003</v>
          </cell>
          <cell r="E21" t="str">
            <v>Pinehurst Timber LLC</v>
          </cell>
          <cell r="F21">
            <v>1</v>
          </cell>
          <cell r="G21">
            <v>37802</v>
          </cell>
          <cell r="I21" t="str">
            <v>North America</v>
          </cell>
          <cell r="J21" t="str">
            <v>USA</v>
          </cell>
          <cell r="K21">
            <v>37437</v>
          </cell>
          <cell r="U21" t="str">
            <v>G400</v>
          </cell>
          <cell r="V21">
            <v>23</v>
          </cell>
          <cell r="W21">
            <v>21</v>
          </cell>
          <cell r="X21">
            <v>0</v>
          </cell>
          <cell r="Y21">
            <v>0</v>
          </cell>
        </row>
        <row r="22">
          <cell r="A22" t="str">
            <v>In service</v>
          </cell>
          <cell r="B22" t="str">
            <v>Gulfstream Aerospace Gulfstream G400</v>
          </cell>
          <cell r="D22">
            <v>2003</v>
          </cell>
          <cell r="E22" t="str">
            <v>Government of Egypt</v>
          </cell>
          <cell r="F22">
            <v>1</v>
          </cell>
          <cell r="G22">
            <v>37947</v>
          </cell>
          <cell r="I22" t="str">
            <v>Africa</v>
          </cell>
          <cell r="J22" t="str">
            <v>Egypt</v>
          </cell>
          <cell r="K22">
            <v>37575</v>
          </cell>
          <cell r="N22" t="str">
            <v>Instructions for updates</v>
          </cell>
          <cell r="U22" t="str">
            <v>G450</v>
          </cell>
          <cell r="V22">
            <v>19</v>
          </cell>
          <cell r="W22">
            <v>2</v>
          </cell>
          <cell r="X22">
            <v>0</v>
          </cell>
          <cell r="Y22">
            <v>0</v>
          </cell>
        </row>
        <row r="23">
          <cell r="A23" t="str">
            <v>In service</v>
          </cell>
          <cell r="B23" t="str">
            <v>Gulfstream Aerospace Gulfstream G400</v>
          </cell>
          <cell r="D23">
            <v>2003</v>
          </cell>
          <cell r="E23" t="str">
            <v>New World Jet Corp</v>
          </cell>
          <cell r="F23">
            <v>1</v>
          </cell>
          <cell r="G23">
            <v>37984</v>
          </cell>
          <cell r="I23" t="str">
            <v>North America</v>
          </cell>
          <cell r="J23" t="str">
            <v>USA</v>
          </cell>
          <cell r="K23">
            <v>37437</v>
          </cell>
          <cell r="U23" t="str">
            <v>G500</v>
          </cell>
          <cell r="V23">
            <v>2</v>
          </cell>
          <cell r="W23">
            <v>1</v>
          </cell>
          <cell r="X23">
            <v>0</v>
          </cell>
          <cell r="Y23">
            <v>0</v>
          </cell>
        </row>
        <row r="24">
          <cell r="A24" t="str">
            <v>In service</v>
          </cell>
          <cell r="B24" t="str">
            <v>Gulfstream Aerospace Gulfstream G400</v>
          </cell>
          <cell r="D24">
            <v>2003</v>
          </cell>
          <cell r="E24" t="str">
            <v>United Aviation Holdings Inc</v>
          </cell>
          <cell r="F24">
            <v>1</v>
          </cell>
          <cell r="G24">
            <v>37888</v>
          </cell>
          <cell r="I24" t="str">
            <v>North America</v>
          </cell>
          <cell r="J24" t="str">
            <v>USA</v>
          </cell>
          <cell r="K24">
            <v>37437</v>
          </cell>
          <cell r="U24" t="str">
            <v>G550</v>
          </cell>
          <cell r="V24">
            <v>73</v>
          </cell>
          <cell r="W24">
            <v>40</v>
          </cell>
          <cell r="X24">
            <v>1</v>
          </cell>
          <cell r="Y24">
            <v>0</v>
          </cell>
        </row>
        <row r="25">
          <cell r="A25" t="str">
            <v>In service</v>
          </cell>
          <cell r="B25" t="str">
            <v>Gulfstream Aerospace Gulfstream G400</v>
          </cell>
          <cell r="D25">
            <v>2003</v>
          </cell>
          <cell r="E25" t="str">
            <v>Mozart Investments LLC</v>
          </cell>
          <cell r="F25">
            <v>1</v>
          </cell>
          <cell r="G25">
            <v>38051</v>
          </cell>
          <cell r="I25" t="str">
            <v>North America</v>
          </cell>
          <cell r="J25" t="str">
            <v>USA</v>
          </cell>
          <cell r="K25">
            <v>37437</v>
          </cell>
          <cell r="U25" t="str">
            <v>TOTAL</v>
          </cell>
          <cell r="V25">
            <v>1268</v>
          </cell>
          <cell r="W25">
            <v>1240</v>
          </cell>
          <cell r="X25">
            <v>1153</v>
          </cell>
          <cell r="Y25">
            <v>1029</v>
          </cell>
        </row>
        <row r="26">
          <cell r="A26" t="str">
            <v>In service</v>
          </cell>
          <cell r="B26" t="str">
            <v>Gulfstream Aerospace Gulfstream G400</v>
          </cell>
          <cell r="D26">
            <v>2003</v>
          </cell>
          <cell r="E26" t="str">
            <v>Pleasant Aircraft Leasing LLC</v>
          </cell>
          <cell r="F26">
            <v>1</v>
          </cell>
          <cell r="G26">
            <v>37959</v>
          </cell>
          <cell r="I26" t="str">
            <v>North America</v>
          </cell>
          <cell r="J26" t="str">
            <v>USA</v>
          </cell>
          <cell r="K26">
            <v>37437</v>
          </cell>
          <cell r="U26" t="str">
            <v>GIV-Vs</v>
          </cell>
          <cell r="V26">
            <v>686</v>
          </cell>
          <cell r="W26">
            <v>682</v>
          </cell>
          <cell r="X26">
            <v>653</v>
          </cell>
          <cell r="Y26">
            <v>509</v>
          </cell>
        </row>
        <row r="27">
          <cell r="A27" t="str">
            <v>In service</v>
          </cell>
          <cell r="B27" t="str">
            <v>Gulfstream Aerospace Gulfstream G400</v>
          </cell>
          <cell r="D27">
            <v>2003</v>
          </cell>
          <cell r="E27" t="str">
            <v>CMA Services LLC</v>
          </cell>
          <cell r="F27">
            <v>1</v>
          </cell>
          <cell r="G27">
            <v>38161</v>
          </cell>
          <cell r="I27" t="str">
            <v>North America</v>
          </cell>
          <cell r="J27" t="str">
            <v>USA</v>
          </cell>
          <cell r="U27" t="str">
            <v>Int'l</v>
          </cell>
          <cell r="V27">
            <v>1</v>
          </cell>
          <cell r="W27">
            <v>1</v>
          </cell>
          <cell r="X27">
            <v>1</v>
          </cell>
          <cell r="Y27">
            <v>1</v>
          </cell>
        </row>
        <row r="28">
          <cell r="A28" t="str">
            <v>In service</v>
          </cell>
          <cell r="B28" t="str">
            <v>Gulfstream Aerospace Gulfstream G400</v>
          </cell>
          <cell r="D28">
            <v>2004</v>
          </cell>
          <cell r="E28" t="str">
            <v>Government of Egypt</v>
          </cell>
          <cell r="F28">
            <v>0</v>
          </cell>
          <cell r="G28">
            <v>38203</v>
          </cell>
          <cell r="I28" t="str">
            <v>Africa</v>
          </cell>
          <cell r="J28" t="str">
            <v>Egypt</v>
          </cell>
          <cell r="K28">
            <v>37575</v>
          </cell>
          <cell r="N28" t="str">
            <v>Check:</v>
          </cell>
          <cell r="U28" t="str">
            <v>U.S.</v>
          </cell>
          <cell r="V28">
            <v>0</v>
          </cell>
          <cell r="W28">
            <v>0</v>
          </cell>
          <cell r="X28">
            <v>0</v>
          </cell>
          <cell r="Y28">
            <v>0</v>
          </cell>
        </row>
        <row r="29">
          <cell r="A29" t="str">
            <v>In service</v>
          </cell>
          <cell r="B29" t="str">
            <v>Gulfstream Aerospace Gulfstream G400</v>
          </cell>
          <cell r="D29">
            <v>2003</v>
          </cell>
          <cell r="E29" t="str">
            <v>Gibbs International Inc</v>
          </cell>
          <cell r="F29">
            <v>1</v>
          </cell>
          <cell r="G29">
            <v>37977</v>
          </cell>
          <cell r="I29" t="str">
            <v>North America</v>
          </cell>
          <cell r="J29" t="str">
            <v>USA</v>
          </cell>
          <cell r="K29">
            <v>37437</v>
          </cell>
          <cell r="N29" t="str">
            <v>Total</v>
          </cell>
          <cell r="Q29">
            <v>1240</v>
          </cell>
          <cell r="R29">
            <v>1153</v>
          </cell>
          <cell r="S29">
            <v>1029</v>
          </cell>
        </row>
        <row r="30">
          <cell r="A30" t="str">
            <v>In service</v>
          </cell>
          <cell r="B30" t="str">
            <v>Gulfstream Aerospace Gulfstream G400</v>
          </cell>
          <cell r="D30">
            <v>2004</v>
          </cell>
          <cell r="E30" t="str">
            <v>Netjets International</v>
          </cell>
          <cell r="F30">
            <v>0</v>
          </cell>
          <cell r="G30">
            <v>38209</v>
          </cell>
          <cell r="I30" t="str">
            <v>North America</v>
          </cell>
          <cell r="J30" t="str">
            <v>USA</v>
          </cell>
          <cell r="K30">
            <v>37509</v>
          </cell>
          <cell r="U30" t="str">
            <v>Check:</v>
          </cell>
        </row>
        <row r="31">
          <cell r="A31" t="str">
            <v>In service</v>
          </cell>
          <cell r="B31" t="str">
            <v>Gulfstream Aerospace Gulfstream G400</v>
          </cell>
          <cell r="D31">
            <v>2004</v>
          </cell>
          <cell r="E31" t="str">
            <v>RDV Aviation LLC</v>
          </cell>
          <cell r="F31">
            <v>0</v>
          </cell>
          <cell r="G31">
            <v>38218</v>
          </cell>
          <cell r="I31" t="str">
            <v>North America</v>
          </cell>
          <cell r="J31" t="str">
            <v>USA</v>
          </cell>
          <cell r="K31">
            <v>37437</v>
          </cell>
          <cell r="U31" t="str">
            <v>Total</v>
          </cell>
          <cell r="W31">
            <v>1240</v>
          </cell>
          <cell r="X31">
            <v>1153</v>
          </cell>
          <cell r="Y31">
            <v>1029</v>
          </cell>
        </row>
        <row r="32">
          <cell r="A32" t="str">
            <v>In service</v>
          </cell>
          <cell r="B32" t="str">
            <v>Gulfstream Aerospace Gulfstream G400</v>
          </cell>
          <cell r="D32">
            <v>2004</v>
          </cell>
          <cell r="E32" t="str">
            <v>EJS - Executive Jet Shares Inc</v>
          </cell>
          <cell r="F32">
            <v>0</v>
          </cell>
          <cell r="G32">
            <v>38259</v>
          </cell>
          <cell r="I32" t="str">
            <v>North America</v>
          </cell>
          <cell r="J32" t="str">
            <v>USA</v>
          </cell>
          <cell r="K32">
            <v>37509</v>
          </cell>
        </row>
        <row r="33">
          <cell r="A33" t="str">
            <v>In service</v>
          </cell>
          <cell r="B33" t="str">
            <v>Gulfstream Aerospace Gulfstream G400</v>
          </cell>
          <cell r="D33">
            <v>2003</v>
          </cell>
          <cell r="E33" t="str">
            <v>RDV Properties Inc</v>
          </cell>
          <cell r="F33">
            <v>1</v>
          </cell>
          <cell r="G33">
            <v>38069</v>
          </cell>
          <cell r="I33" t="str">
            <v>North America</v>
          </cell>
          <cell r="J33" t="str">
            <v>USA</v>
          </cell>
          <cell r="K33">
            <v>37437</v>
          </cell>
        </row>
        <row r="34">
          <cell r="A34" t="str">
            <v>In service</v>
          </cell>
          <cell r="B34" t="str">
            <v>Gulfstream Aerospace Gulfstream G400</v>
          </cell>
          <cell r="D34">
            <v>2004</v>
          </cell>
          <cell r="E34" t="str">
            <v>Executive Jet Shares II Inc</v>
          </cell>
          <cell r="F34">
            <v>0</v>
          </cell>
          <cell r="G34">
            <v>38310</v>
          </cell>
          <cell r="I34" t="str">
            <v>North America</v>
          </cell>
          <cell r="J34" t="str">
            <v>USA</v>
          </cell>
          <cell r="K34">
            <v>37437</v>
          </cell>
        </row>
        <row r="35">
          <cell r="A35" t="str">
            <v>In service</v>
          </cell>
          <cell r="B35" t="str">
            <v>Gulfstream Aerospace Gulfstream G400</v>
          </cell>
          <cell r="D35">
            <v>2004</v>
          </cell>
          <cell r="E35" t="str">
            <v>Pegasus Leasing LLC</v>
          </cell>
          <cell r="F35">
            <v>0</v>
          </cell>
          <cell r="G35">
            <v>38310</v>
          </cell>
          <cell r="I35" t="str">
            <v>North America</v>
          </cell>
          <cell r="J35" t="str">
            <v>USA</v>
          </cell>
          <cell r="K35">
            <v>37437</v>
          </cell>
        </row>
        <row r="36">
          <cell r="A36" t="str">
            <v>In service</v>
          </cell>
          <cell r="B36" t="str">
            <v>Gulfstream Aerospace Gulfstream G400</v>
          </cell>
          <cell r="D36">
            <v>2004</v>
          </cell>
          <cell r="E36" t="str">
            <v>United Services Automobile Association</v>
          </cell>
          <cell r="F36">
            <v>0</v>
          </cell>
          <cell r="G36">
            <v>38322</v>
          </cell>
          <cell r="I36" t="str">
            <v>North America</v>
          </cell>
          <cell r="J36" t="str">
            <v>USA</v>
          </cell>
          <cell r="K36">
            <v>37437</v>
          </cell>
        </row>
        <row r="37">
          <cell r="A37" t="str">
            <v>In service</v>
          </cell>
          <cell r="B37" t="str">
            <v>Gulfstream Aerospace Gulfstream G400</v>
          </cell>
          <cell r="D37">
            <v>2004</v>
          </cell>
          <cell r="E37" t="str">
            <v>Bohemian Air 400 LLC</v>
          </cell>
          <cell r="F37">
            <v>0</v>
          </cell>
          <cell r="G37">
            <v>38341</v>
          </cell>
          <cell r="I37" t="str">
            <v>North America</v>
          </cell>
          <cell r="J37" t="str">
            <v>USA</v>
          </cell>
          <cell r="K37">
            <v>37437</v>
          </cell>
        </row>
        <row r="38">
          <cell r="A38" t="str">
            <v>In service</v>
          </cell>
          <cell r="B38" t="str">
            <v>Gulfstream Aerospace Gulfstream G400</v>
          </cell>
          <cell r="D38">
            <v>2004</v>
          </cell>
          <cell r="E38" t="str">
            <v>Verizon Corporate Services Group Inc</v>
          </cell>
          <cell r="F38">
            <v>0</v>
          </cell>
          <cell r="G38">
            <v>38337</v>
          </cell>
          <cell r="I38" t="str">
            <v>North America</v>
          </cell>
          <cell r="J38" t="str">
            <v>USA</v>
          </cell>
          <cell r="K38">
            <v>37437</v>
          </cell>
        </row>
        <row r="39">
          <cell r="A39" t="str">
            <v>In service</v>
          </cell>
          <cell r="B39" t="str">
            <v>Gulfstream Aerospace Gulfstream G450</v>
          </cell>
          <cell r="D39">
            <v>2003</v>
          </cell>
          <cell r="E39" t="str">
            <v>Gulfstream Aerospace Corp</v>
          </cell>
          <cell r="F39">
            <v>1</v>
          </cell>
          <cell r="I39" t="str">
            <v>North America</v>
          </cell>
          <cell r="J39" t="str">
            <v>USA</v>
          </cell>
        </row>
        <row r="40">
          <cell r="A40" t="str">
            <v>In service</v>
          </cell>
          <cell r="B40" t="str">
            <v>Gulfstream Aerospace Gulfstream G450</v>
          </cell>
          <cell r="D40">
            <v>2003</v>
          </cell>
          <cell r="E40" t="str">
            <v>Gulfstream Aerospace Corp</v>
          </cell>
          <cell r="F40">
            <v>1</v>
          </cell>
          <cell r="I40" t="str">
            <v>North America</v>
          </cell>
          <cell r="J40" t="str">
            <v>USA</v>
          </cell>
        </row>
        <row r="41">
          <cell r="A41" t="str">
            <v>In service</v>
          </cell>
          <cell r="B41" t="str">
            <v>Gulfstream Aerospace Gulfstream G500</v>
          </cell>
          <cell r="D41">
            <v>2002</v>
          </cell>
          <cell r="E41" t="str">
            <v>ALII Aviation LLC</v>
          </cell>
          <cell r="F41">
            <v>2</v>
          </cell>
          <cell r="G41">
            <v>38125</v>
          </cell>
          <cell r="I41" t="str">
            <v>North America</v>
          </cell>
          <cell r="J41" t="str">
            <v>USA</v>
          </cell>
        </row>
        <row r="42">
          <cell r="A42" t="str">
            <v>In service</v>
          </cell>
          <cell r="B42" t="str">
            <v>Gulfstream Aerospace Gulfstream G550</v>
          </cell>
          <cell r="D42">
            <v>2003</v>
          </cell>
          <cell r="E42" t="str">
            <v>Leucadia Aviation Inc</v>
          </cell>
          <cell r="F42">
            <v>1</v>
          </cell>
          <cell r="G42">
            <v>37881</v>
          </cell>
          <cell r="I42" t="str">
            <v>North America</v>
          </cell>
          <cell r="J42" t="str">
            <v>USA</v>
          </cell>
          <cell r="K42">
            <v>37072</v>
          </cell>
        </row>
        <row r="43">
          <cell r="A43" t="str">
            <v>In service</v>
          </cell>
          <cell r="B43" t="str">
            <v>Gulfstream Aerospace Gulfstream G550</v>
          </cell>
          <cell r="D43">
            <v>2003</v>
          </cell>
          <cell r="E43" t="str">
            <v>Wotan America Inc</v>
          </cell>
          <cell r="F43">
            <v>1</v>
          </cell>
          <cell r="G43">
            <v>37893</v>
          </cell>
          <cell r="I43" t="str">
            <v>North America</v>
          </cell>
          <cell r="J43" t="str">
            <v>USA</v>
          </cell>
          <cell r="K43">
            <v>37072</v>
          </cell>
        </row>
        <row r="44">
          <cell r="A44" t="str">
            <v>In service</v>
          </cell>
          <cell r="B44" t="str">
            <v>Gulfstream Aerospace Gulfstream G550</v>
          </cell>
          <cell r="D44">
            <v>2003</v>
          </cell>
          <cell r="E44" t="str">
            <v>G5 Executive</v>
          </cell>
          <cell r="F44">
            <v>1</v>
          </cell>
          <cell r="G44">
            <v>37970</v>
          </cell>
          <cell r="I44" t="str">
            <v>Europe</v>
          </cell>
          <cell r="J44" t="str">
            <v>Switzerland</v>
          </cell>
          <cell r="K44">
            <v>37072</v>
          </cell>
        </row>
        <row r="45">
          <cell r="A45" t="str">
            <v>In service</v>
          </cell>
          <cell r="B45" t="str">
            <v>Gulfstream Aerospace Gulfstream G550</v>
          </cell>
          <cell r="D45">
            <v>2003</v>
          </cell>
          <cell r="E45" t="str">
            <v>Pfizer Inc</v>
          </cell>
          <cell r="F45">
            <v>1</v>
          </cell>
          <cell r="G45">
            <v>37894</v>
          </cell>
          <cell r="I45" t="str">
            <v>North America</v>
          </cell>
          <cell r="J45" t="str">
            <v>USA</v>
          </cell>
          <cell r="K45">
            <v>37072</v>
          </cell>
        </row>
        <row r="46">
          <cell r="A46" t="str">
            <v>In service</v>
          </cell>
          <cell r="B46" t="str">
            <v>Gulfstream Aerospace Gulfstream G550</v>
          </cell>
          <cell r="D46">
            <v>2003</v>
          </cell>
          <cell r="E46" t="str">
            <v>Grand Warehouse Inc</v>
          </cell>
          <cell r="F46">
            <v>1</v>
          </cell>
          <cell r="G46">
            <v>37917</v>
          </cell>
          <cell r="I46" t="str">
            <v>Asia</v>
          </cell>
          <cell r="J46" t="str">
            <v>Japan</v>
          </cell>
          <cell r="K46">
            <v>37072</v>
          </cell>
        </row>
        <row r="47">
          <cell r="A47" t="str">
            <v>In service</v>
          </cell>
          <cell r="B47" t="str">
            <v>Gulfstream Aerospace Gulfstream G550</v>
          </cell>
          <cell r="D47">
            <v>2003</v>
          </cell>
          <cell r="E47" t="str">
            <v>Bank of America NA</v>
          </cell>
          <cell r="F47">
            <v>1</v>
          </cell>
          <cell r="G47">
            <v>37937</v>
          </cell>
          <cell r="I47" t="str">
            <v>North America</v>
          </cell>
          <cell r="J47" t="str">
            <v>USA</v>
          </cell>
          <cell r="K47">
            <v>37072</v>
          </cell>
        </row>
        <row r="48">
          <cell r="A48" t="str">
            <v>In service</v>
          </cell>
          <cell r="B48" t="str">
            <v>Gulfstream Aerospace Gulfstream G550</v>
          </cell>
          <cell r="D48">
            <v>2003</v>
          </cell>
          <cell r="E48" t="str">
            <v>Jets Ejecutivos</v>
          </cell>
          <cell r="F48">
            <v>1</v>
          </cell>
          <cell r="G48">
            <v>37942</v>
          </cell>
          <cell r="I48" t="str">
            <v>Latin America and Caribbean</v>
          </cell>
          <cell r="J48" t="str">
            <v>Mexico</v>
          </cell>
          <cell r="K48">
            <v>37072</v>
          </cell>
        </row>
        <row r="49">
          <cell r="A49" t="str">
            <v>In service</v>
          </cell>
          <cell r="B49" t="str">
            <v>Gulfstream Aerospace Gulfstream G550</v>
          </cell>
          <cell r="D49">
            <v>2003</v>
          </cell>
          <cell r="E49" t="str">
            <v>United States Aviation Co</v>
          </cell>
          <cell r="F49">
            <v>1</v>
          </cell>
          <cell r="G49">
            <v>37959</v>
          </cell>
          <cell r="I49" t="str">
            <v>North America</v>
          </cell>
          <cell r="J49" t="str">
            <v>USA</v>
          </cell>
          <cell r="K49">
            <v>37072</v>
          </cell>
        </row>
        <row r="50">
          <cell r="A50" t="str">
            <v>In service</v>
          </cell>
          <cell r="B50" t="str">
            <v>Gulfstream Aerospace Gulfstream G550</v>
          </cell>
          <cell r="D50">
            <v>2003</v>
          </cell>
          <cell r="E50" t="str">
            <v>Ralph Lauren &amp; Ricky Lauren</v>
          </cell>
          <cell r="F50">
            <v>1</v>
          </cell>
          <cell r="G50">
            <v>38009</v>
          </cell>
          <cell r="I50" t="str">
            <v>North America</v>
          </cell>
          <cell r="J50" t="str">
            <v>USA</v>
          </cell>
          <cell r="K50">
            <v>37072</v>
          </cell>
        </row>
        <row r="51">
          <cell r="A51" t="str">
            <v>In service</v>
          </cell>
          <cell r="B51" t="str">
            <v>Gulfstream Aerospace Gulfstream G550</v>
          </cell>
          <cell r="D51">
            <v>2003</v>
          </cell>
          <cell r="E51" t="str">
            <v>Jetclub AG</v>
          </cell>
          <cell r="F51">
            <v>1</v>
          </cell>
          <cell r="G51">
            <v>37978</v>
          </cell>
          <cell r="I51" t="str">
            <v>Europe</v>
          </cell>
          <cell r="J51" t="str">
            <v>Switzerland</v>
          </cell>
          <cell r="K51">
            <v>37072</v>
          </cell>
        </row>
        <row r="52">
          <cell r="A52" t="str">
            <v>In service</v>
          </cell>
          <cell r="B52" t="str">
            <v>Gulfstream Aerospace Gulfstream G550</v>
          </cell>
          <cell r="D52">
            <v>2003</v>
          </cell>
          <cell r="E52" t="str">
            <v>Deerport Aviation Corp</v>
          </cell>
          <cell r="F52">
            <v>1</v>
          </cell>
          <cell r="G52">
            <v>37754</v>
          </cell>
          <cell r="I52" t="str">
            <v>North America</v>
          </cell>
          <cell r="J52" t="str">
            <v>USA</v>
          </cell>
          <cell r="K52">
            <v>37072</v>
          </cell>
        </row>
        <row r="53">
          <cell r="A53" t="str">
            <v>In service</v>
          </cell>
          <cell r="B53" t="str">
            <v>Gulfstream Aerospace Gulfstream G550</v>
          </cell>
          <cell r="D53">
            <v>2003</v>
          </cell>
          <cell r="E53" t="str">
            <v>Air Simon Inc</v>
          </cell>
          <cell r="F53">
            <v>1</v>
          </cell>
          <cell r="G53">
            <v>37784</v>
          </cell>
          <cell r="I53" t="str">
            <v>North America</v>
          </cell>
          <cell r="J53" t="str">
            <v>USA</v>
          </cell>
          <cell r="K53">
            <v>37072</v>
          </cell>
        </row>
        <row r="54">
          <cell r="A54" t="str">
            <v>In service</v>
          </cell>
          <cell r="B54" t="str">
            <v>Gulfstream Aerospace Gulfstream G550</v>
          </cell>
          <cell r="D54">
            <v>2003</v>
          </cell>
          <cell r="E54" t="str">
            <v>JM Family Enterprises Inc</v>
          </cell>
          <cell r="F54">
            <v>1</v>
          </cell>
          <cell r="G54">
            <v>38072</v>
          </cell>
          <cell r="I54" t="str">
            <v>North America</v>
          </cell>
          <cell r="J54" t="str">
            <v>USA</v>
          </cell>
          <cell r="K54">
            <v>37437</v>
          </cell>
        </row>
        <row r="55">
          <cell r="A55" t="str">
            <v>In service</v>
          </cell>
          <cell r="B55" t="str">
            <v>Gulfstream Aerospace Gulfstream G550</v>
          </cell>
          <cell r="D55">
            <v>2003</v>
          </cell>
          <cell r="E55" t="str">
            <v>Gulfstream Aerospace Corp</v>
          </cell>
          <cell r="F55">
            <v>1</v>
          </cell>
          <cell r="G55">
            <v>38113</v>
          </cell>
          <cell r="I55" t="str">
            <v>North America</v>
          </cell>
          <cell r="J55" t="str">
            <v>USA</v>
          </cell>
          <cell r="K55">
            <v>37072</v>
          </cell>
        </row>
        <row r="56">
          <cell r="A56" t="str">
            <v>In service</v>
          </cell>
          <cell r="B56" t="str">
            <v>Gulfstream Aerospace Gulfstream G550</v>
          </cell>
          <cell r="D56">
            <v>2003</v>
          </cell>
          <cell r="E56" t="str">
            <v>Simon Aviation Inc</v>
          </cell>
          <cell r="F56">
            <v>1</v>
          </cell>
          <cell r="G56">
            <v>37860</v>
          </cell>
          <cell r="I56" t="str">
            <v>North America</v>
          </cell>
          <cell r="J56" t="str">
            <v>USA</v>
          </cell>
          <cell r="K56">
            <v>37437</v>
          </cell>
        </row>
        <row r="57">
          <cell r="A57" t="str">
            <v>In service</v>
          </cell>
          <cell r="B57" t="str">
            <v>Gulfstream Aerospace Gulfstream G550</v>
          </cell>
          <cell r="D57">
            <v>2003</v>
          </cell>
          <cell r="E57" t="str">
            <v>Aircraft Overseas (Cayman ) Ltd</v>
          </cell>
          <cell r="F57">
            <v>1</v>
          </cell>
          <cell r="G57">
            <v>38133</v>
          </cell>
          <cell r="I57" t="str">
            <v>Latin America and Caribbean</v>
          </cell>
          <cell r="J57" t="str">
            <v>Cayman Islands</v>
          </cell>
          <cell r="K57">
            <v>37072</v>
          </cell>
        </row>
        <row r="58">
          <cell r="A58" t="str">
            <v>In service</v>
          </cell>
          <cell r="B58" t="str">
            <v>Gulfstream Aerospace Gulfstream G550</v>
          </cell>
          <cell r="D58">
            <v>2003</v>
          </cell>
          <cell r="E58" t="str">
            <v>EFS European Flight Service</v>
          </cell>
          <cell r="F58">
            <v>1</v>
          </cell>
          <cell r="G58">
            <v>38112</v>
          </cell>
          <cell r="I58" t="str">
            <v>Europe</v>
          </cell>
          <cell r="J58" t="str">
            <v>Sweden</v>
          </cell>
          <cell r="K58">
            <v>37802</v>
          </cell>
        </row>
        <row r="59">
          <cell r="A59" t="str">
            <v>In service</v>
          </cell>
          <cell r="B59" t="str">
            <v>Gulfstream Aerospace Gulfstream G550</v>
          </cell>
          <cell r="D59">
            <v>2003</v>
          </cell>
          <cell r="E59" t="str">
            <v>The David Geffen Co</v>
          </cell>
          <cell r="F59">
            <v>1</v>
          </cell>
          <cell r="G59">
            <v>38106</v>
          </cell>
          <cell r="I59" t="str">
            <v>North America</v>
          </cell>
          <cell r="J59" t="str">
            <v>USA</v>
          </cell>
          <cell r="K59">
            <v>37072</v>
          </cell>
        </row>
        <row r="60">
          <cell r="A60" t="str">
            <v>In service</v>
          </cell>
          <cell r="B60" t="str">
            <v>Gulfstream Aerospace Gulfstream G550</v>
          </cell>
          <cell r="D60">
            <v>2003</v>
          </cell>
          <cell r="E60" t="str">
            <v>Delta AirElite Business Jets</v>
          </cell>
          <cell r="F60">
            <v>1</v>
          </cell>
          <cell r="G60">
            <v>38167</v>
          </cell>
          <cell r="I60" t="str">
            <v>North America</v>
          </cell>
          <cell r="J60" t="str">
            <v>USA</v>
          </cell>
          <cell r="K60">
            <v>37072</v>
          </cell>
        </row>
        <row r="61">
          <cell r="A61" t="str">
            <v>In service</v>
          </cell>
          <cell r="B61" t="str">
            <v>Gulfstream Aerospace Gulfstream G550</v>
          </cell>
          <cell r="D61">
            <v>2003</v>
          </cell>
          <cell r="E61" t="str">
            <v>Fly Away Ltd</v>
          </cell>
          <cell r="F61">
            <v>1</v>
          </cell>
          <cell r="G61">
            <v>38160</v>
          </cell>
          <cell r="I61" t="str">
            <v>Latin America and Caribbean</v>
          </cell>
          <cell r="J61" t="str">
            <v>Bermuda</v>
          </cell>
          <cell r="K61">
            <v>37072</v>
          </cell>
        </row>
        <row r="62">
          <cell r="A62" t="str">
            <v>In service</v>
          </cell>
          <cell r="B62" t="str">
            <v>Gulfstream Aerospace Gulfstream G550</v>
          </cell>
          <cell r="D62">
            <v>2003</v>
          </cell>
          <cell r="E62" t="str">
            <v>Norman Aircraft Leasing Inc</v>
          </cell>
          <cell r="F62">
            <v>1</v>
          </cell>
          <cell r="G62">
            <v>37978</v>
          </cell>
          <cell r="I62" t="str">
            <v>North America</v>
          </cell>
          <cell r="J62" t="str">
            <v>USA</v>
          </cell>
          <cell r="K62">
            <v>37072</v>
          </cell>
        </row>
        <row r="63">
          <cell r="A63" t="str">
            <v>In service</v>
          </cell>
          <cell r="B63" t="str">
            <v>Gulfstream Aerospace Gulfstream G550</v>
          </cell>
          <cell r="D63">
            <v>2004</v>
          </cell>
          <cell r="E63" t="str">
            <v>Ispat Ltd</v>
          </cell>
          <cell r="F63">
            <v>0</v>
          </cell>
          <cell r="G63">
            <v>38208</v>
          </cell>
          <cell r="I63" t="str">
            <v>Europe</v>
          </cell>
          <cell r="J63" t="str">
            <v>United Kingdom</v>
          </cell>
          <cell r="K63">
            <v>37072</v>
          </cell>
        </row>
        <row r="64">
          <cell r="A64" t="str">
            <v>In service</v>
          </cell>
          <cell r="B64" t="str">
            <v>Gulfstream Aerospace Gulfstream G550</v>
          </cell>
          <cell r="D64">
            <v>2004</v>
          </cell>
          <cell r="E64" t="str">
            <v>Aviation 604 AG</v>
          </cell>
          <cell r="F64">
            <v>0</v>
          </cell>
          <cell r="G64">
            <v>38261</v>
          </cell>
          <cell r="I64" t="str">
            <v>Europe</v>
          </cell>
          <cell r="J64" t="str">
            <v>Switzerland</v>
          </cell>
          <cell r="K64">
            <v>37072</v>
          </cell>
        </row>
        <row r="65">
          <cell r="A65" t="str">
            <v>In service</v>
          </cell>
          <cell r="B65" t="str">
            <v>Gulfstream Aerospace Gulfstream G550</v>
          </cell>
          <cell r="D65">
            <v>2004</v>
          </cell>
          <cell r="E65" t="str">
            <v>Cleopatra Group Inc</v>
          </cell>
          <cell r="F65">
            <v>0</v>
          </cell>
          <cell r="G65">
            <v>38201</v>
          </cell>
          <cell r="I65" t="str">
            <v>Africa</v>
          </cell>
          <cell r="J65" t="str">
            <v>Egypt</v>
          </cell>
          <cell r="K65">
            <v>37072</v>
          </cell>
        </row>
        <row r="66">
          <cell r="A66" t="str">
            <v>In service</v>
          </cell>
          <cell r="B66" t="str">
            <v>Gulfstream Aerospace Gulfstream G550</v>
          </cell>
          <cell r="D66">
            <v>2003</v>
          </cell>
          <cell r="E66" t="str">
            <v>Leucadia Aviation Inc</v>
          </cell>
          <cell r="F66">
            <v>1</v>
          </cell>
          <cell r="G66">
            <v>37958</v>
          </cell>
          <cell r="I66" t="str">
            <v>North America</v>
          </cell>
          <cell r="J66" t="str">
            <v>USA</v>
          </cell>
          <cell r="K66">
            <v>37072</v>
          </cell>
        </row>
        <row r="67">
          <cell r="A67" t="str">
            <v>In service</v>
          </cell>
          <cell r="B67" t="str">
            <v>Gulfstream Aerospace Gulfstream G550</v>
          </cell>
          <cell r="D67">
            <v>2003</v>
          </cell>
          <cell r="E67" t="str">
            <v>United Healthcare Services Inc</v>
          </cell>
          <cell r="F67">
            <v>1</v>
          </cell>
          <cell r="G67">
            <v>38168</v>
          </cell>
          <cell r="I67" t="str">
            <v>North America</v>
          </cell>
          <cell r="J67" t="str">
            <v>USA</v>
          </cell>
          <cell r="K67">
            <v>37072</v>
          </cell>
        </row>
        <row r="68">
          <cell r="A68" t="str">
            <v>In service</v>
          </cell>
          <cell r="B68" t="str">
            <v>Gulfstream Aerospace Gulfstream G550</v>
          </cell>
          <cell r="D68">
            <v>2004</v>
          </cell>
          <cell r="E68" t="str">
            <v>Nissan North America Inc</v>
          </cell>
          <cell r="F68">
            <v>0</v>
          </cell>
          <cell r="G68">
            <v>38156</v>
          </cell>
          <cell r="I68" t="str">
            <v>North America</v>
          </cell>
          <cell r="J68" t="str">
            <v>USA</v>
          </cell>
          <cell r="K68">
            <v>37072</v>
          </cell>
        </row>
        <row r="69">
          <cell r="A69" t="str">
            <v>In service</v>
          </cell>
          <cell r="B69" t="str">
            <v>Gulfstream Aerospace Gulfstream G550</v>
          </cell>
          <cell r="D69">
            <v>2003</v>
          </cell>
          <cell r="E69" t="str">
            <v>Government of Tanzania</v>
          </cell>
          <cell r="F69">
            <v>1</v>
          </cell>
          <cell r="G69">
            <v>38252</v>
          </cell>
          <cell r="I69" t="str">
            <v>Africa</v>
          </cell>
          <cell r="J69" t="str">
            <v>Tanzania</v>
          </cell>
          <cell r="K69">
            <v>37802</v>
          </cell>
        </row>
        <row r="70">
          <cell r="A70" t="str">
            <v>In service</v>
          </cell>
          <cell r="B70" t="str">
            <v>Gulfstream Aerospace Gulfstream G550</v>
          </cell>
          <cell r="D70">
            <v>2004</v>
          </cell>
          <cell r="E70" t="str">
            <v>Bank of America NA</v>
          </cell>
          <cell r="F70">
            <v>0</v>
          </cell>
          <cell r="G70">
            <v>38260</v>
          </cell>
          <cell r="I70" t="str">
            <v>North America</v>
          </cell>
          <cell r="J70" t="str">
            <v>USA</v>
          </cell>
          <cell r="K70">
            <v>37802</v>
          </cell>
        </row>
        <row r="71">
          <cell r="A71" t="str">
            <v>In service</v>
          </cell>
          <cell r="B71" t="str">
            <v>Gulfstream Aerospace Gulfstream G550</v>
          </cell>
          <cell r="D71">
            <v>2004</v>
          </cell>
          <cell r="E71" t="str">
            <v>Fayair</v>
          </cell>
          <cell r="F71">
            <v>0</v>
          </cell>
          <cell r="G71">
            <v>38042</v>
          </cell>
          <cell r="I71" t="str">
            <v>Europe</v>
          </cell>
          <cell r="J71" t="str">
            <v>United Kingdom</v>
          </cell>
          <cell r="K71">
            <v>37072</v>
          </cell>
        </row>
        <row r="72">
          <cell r="A72" t="str">
            <v>In service</v>
          </cell>
          <cell r="B72" t="str">
            <v>Gulfstream Aerospace Gulfstream G550</v>
          </cell>
          <cell r="D72">
            <v>2004</v>
          </cell>
          <cell r="E72" t="str">
            <v>Rashid Engineering</v>
          </cell>
          <cell r="F72">
            <v>0</v>
          </cell>
          <cell r="G72">
            <v>38341</v>
          </cell>
          <cell r="I72" t="str">
            <v>Middle East</v>
          </cell>
          <cell r="J72" t="str">
            <v>Saudi Arabia</v>
          </cell>
          <cell r="K72">
            <v>37802</v>
          </cell>
        </row>
        <row r="73">
          <cell r="A73" t="str">
            <v>In service</v>
          </cell>
          <cell r="B73" t="str">
            <v>Gulfstream Aerospace Gulfstream G550</v>
          </cell>
          <cell r="D73">
            <v>2004</v>
          </cell>
          <cell r="E73" t="str">
            <v>Friedkin Aviation/Gulf States Toyota/Friedkin Co</v>
          </cell>
          <cell r="F73">
            <v>0</v>
          </cell>
          <cell r="G73">
            <v>38254</v>
          </cell>
          <cell r="I73" t="str">
            <v>North America</v>
          </cell>
          <cell r="J73" t="str">
            <v>USA</v>
          </cell>
          <cell r="K73">
            <v>37072</v>
          </cell>
        </row>
        <row r="74">
          <cell r="A74" t="str">
            <v>In service</v>
          </cell>
          <cell r="B74" t="str">
            <v>Gulfstream Aerospace Gulfstream G550</v>
          </cell>
          <cell r="D74">
            <v>2004</v>
          </cell>
          <cell r="E74" t="str">
            <v>Odyssey Aviation Inc</v>
          </cell>
          <cell r="F74">
            <v>0</v>
          </cell>
          <cell r="G74">
            <v>38230</v>
          </cell>
          <cell r="I74" t="str">
            <v>North America</v>
          </cell>
          <cell r="J74" t="str">
            <v>USA</v>
          </cell>
          <cell r="K74">
            <v>37072</v>
          </cell>
        </row>
        <row r="75">
          <cell r="A75" t="str">
            <v>In service</v>
          </cell>
          <cell r="B75" t="str">
            <v>Gulfstream Aerospace Gulfstream G550</v>
          </cell>
          <cell r="D75">
            <v>2004</v>
          </cell>
          <cell r="E75" t="str">
            <v>Berwind Corp</v>
          </cell>
          <cell r="F75">
            <v>0</v>
          </cell>
          <cell r="G75">
            <v>38323</v>
          </cell>
          <cell r="I75" t="str">
            <v>North America</v>
          </cell>
          <cell r="J75" t="str">
            <v>USA</v>
          </cell>
          <cell r="K75">
            <v>37802</v>
          </cell>
        </row>
        <row r="76">
          <cell r="A76" t="str">
            <v>In service</v>
          </cell>
          <cell r="B76" t="str">
            <v>Gulfstream Aerospace Gulfstream G550</v>
          </cell>
          <cell r="D76">
            <v>2004</v>
          </cell>
          <cell r="E76" t="str">
            <v>Central Management Services LLC</v>
          </cell>
          <cell r="F76">
            <v>0</v>
          </cell>
          <cell r="G76">
            <v>38264</v>
          </cell>
          <cell r="I76" t="str">
            <v>North America</v>
          </cell>
          <cell r="J76" t="str">
            <v>USA</v>
          </cell>
          <cell r="K76">
            <v>37802</v>
          </cell>
        </row>
        <row r="77">
          <cell r="A77" t="str">
            <v>In service</v>
          </cell>
          <cell r="B77" t="str">
            <v>Gulfstream Aerospace Gulfstream G550</v>
          </cell>
          <cell r="D77">
            <v>2004</v>
          </cell>
          <cell r="E77" t="str">
            <v>Indigo Management Co</v>
          </cell>
          <cell r="F77">
            <v>0</v>
          </cell>
          <cell r="G77">
            <v>38308</v>
          </cell>
          <cell r="I77" t="str">
            <v>North America</v>
          </cell>
          <cell r="J77" t="str">
            <v>USA</v>
          </cell>
          <cell r="K77">
            <v>37802</v>
          </cell>
        </row>
        <row r="78">
          <cell r="A78" t="str">
            <v>In service</v>
          </cell>
          <cell r="B78" t="str">
            <v>Gulfstream Aerospace Gulfstream G550</v>
          </cell>
          <cell r="D78">
            <v>2004</v>
          </cell>
          <cell r="E78" t="str">
            <v>Netjets International</v>
          </cell>
          <cell r="F78">
            <v>0</v>
          </cell>
          <cell r="G78">
            <v>38342</v>
          </cell>
          <cell r="I78" t="str">
            <v>North America</v>
          </cell>
          <cell r="J78" t="str">
            <v>USA</v>
          </cell>
          <cell r="K78">
            <v>36810</v>
          </cell>
        </row>
        <row r="79">
          <cell r="A79" t="str">
            <v>In service</v>
          </cell>
          <cell r="B79" t="str">
            <v>Gulfstream Aerospace Gulfstream G550</v>
          </cell>
          <cell r="D79">
            <v>2004</v>
          </cell>
          <cell r="E79" t="str">
            <v>Yellowstone Development LLC</v>
          </cell>
          <cell r="F79">
            <v>0</v>
          </cell>
          <cell r="G79">
            <v>38338</v>
          </cell>
          <cell r="I79" t="str">
            <v>North America</v>
          </cell>
          <cell r="J79" t="str">
            <v>USA</v>
          </cell>
          <cell r="K79">
            <v>37802</v>
          </cell>
        </row>
        <row r="80">
          <cell r="A80" t="str">
            <v>In service</v>
          </cell>
          <cell r="B80" t="str">
            <v>Gulfstream Aerospace Gulfstream G550</v>
          </cell>
          <cell r="D80">
            <v>2004</v>
          </cell>
          <cell r="E80" t="str">
            <v>Black Diamond Aviation Inc</v>
          </cell>
          <cell r="F80">
            <v>0</v>
          </cell>
          <cell r="G80">
            <v>38338</v>
          </cell>
          <cell r="I80" t="str">
            <v>North America</v>
          </cell>
          <cell r="J80" t="str">
            <v>USA</v>
          </cell>
          <cell r="K80">
            <v>37802</v>
          </cell>
        </row>
        <row r="81">
          <cell r="A81" t="str">
            <v>In service</v>
          </cell>
          <cell r="B81" t="str">
            <v>Gulfstream Aerospace Gulfstream G550</v>
          </cell>
          <cell r="D81">
            <v>2004</v>
          </cell>
          <cell r="E81" t="str">
            <v>White Lotus LLC</v>
          </cell>
          <cell r="F81">
            <v>0</v>
          </cell>
          <cell r="G81">
            <v>38337</v>
          </cell>
          <cell r="I81" t="str">
            <v>North America</v>
          </cell>
          <cell r="J81" t="str">
            <v>USA</v>
          </cell>
          <cell r="K81">
            <v>37802</v>
          </cell>
        </row>
        <row r="82">
          <cell r="A82" t="str">
            <v>In service</v>
          </cell>
          <cell r="B82" t="str">
            <v>Gulfstream Aerospace Gulfstream I</v>
          </cell>
          <cell r="C82" t="str">
            <v xml:space="preserve"> </v>
          </cell>
          <cell r="D82">
            <v>1963</v>
          </cell>
          <cell r="E82" t="str">
            <v>Plane One Leasing Inc</v>
          </cell>
          <cell r="F82">
            <v>41</v>
          </cell>
          <cell r="G82">
            <v>23074</v>
          </cell>
          <cell r="I82" t="str">
            <v>North America</v>
          </cell>
          <cell r="J82" t="str">
            <v>USA</v>
          </cell>
          <cell r="K82">
            <v>23026</v>
          </cell>
        </row>
        <row r="83">
          <cell r="A83" t="str">
            <v>In service</v>
          </cell>
          <cell r="B83" t="str">
            <v>Gulfstream Aerospace Gulfstream I</v>
          </cell>
          <cell r="C83" t="str">
            <v xml:space="preserve"> </v>
          </cell>
          <cell r="D83">
            <v>1963</v>
          </cell>
          <cell r="E83" t="str">
            <v>Procuraduria General de la Republica Nacional</v>
          </cell>
          <cell r="F83">
            <v>41</v>
          </cell>
          <cell r="G83">
            <v>23092</v>
          </cell>
          <cell r="I83" t="str">
            <v>Latin America and Caribbean</v>
          </cell>
          <cell r="J83" t="str">
            <v>Mexico</v>
          </cell>
          <cell r="K83">
            <v>23026</v>
          </cell>
        </row>
        <row r="84">
          <cell r="A84" t="str">
            <v>In service</v>
          </cell>
          <cell r="B84" t="str">
            <v>Gulfstream Aerospace Gulfstream I</v>
          </cell>
          <cell r="C84" t="str">
            <v xml:space="preserve"> </v>
          </cell>
          <cell r="D84">
            <v>1963</v>
          </cell>
          <cell r="E84" t="str">
            <v>Petro-Canada Explorations</v>
          </cell>
          <cell r="F84">
            <v>41</v>
          </cell>
          <cell r="G84">
            <v>23109</v>
          </cell>
          <cell r="I84" t="str">
            <v>North America</v>
          </cell>
          <cell r="J84" t="str">
            <v>Canada</v>
          </cell>
          <cell r="K84">
            <v>23026</v>
          </cell>
        </row>
        <row r="85">
          <cell r="A85" t="str">
            <v>In service</v>
          </cell>
          <cell r="B85" t="str">
            <v>Gulfstream Aerospace Gulfstream I</v>
          </cell>
          <cell r="C85" t="str">
            <v xml:space="preserve"> </v>
          </cell>
          <cell r="D85">
            <v>1963</v>
          </cell>
          <cell r="E85" t="str">
            <v>Unconfirmed Venezuelan Operator</v>
          </cell>
          <cell r="F85">
            <v>41</v>
          </cell>
          <cell r="G85">
            <v>23144</v>
          </cell>
          <cell r="I85" t="str">
            <v>Latin America and Caribbean</v>
          </cell>
          <cell r="J85" t="str">
            <v>Venezuela</v>
          </cell>
          <cell r="K85">
            <v>23057</v>
          </cell>
        </row>
        <row r="86">
          <cell r="A86" t="str">
            <v>In service</v>
          </cell>
          <cell r="B86" t="str">
            <v>Gulfstream Aerospace Gulfstream I</v>
          </cell>
          <cell r="C86" t="str">
            <v xml:space="preserve"> </v>
          </cell>
          <cell r="D86">
            <v>1959</v>
          </cell>
          <cell r="E86" t="str">
            <v>Sanders Lead Co Inc</v>
          </cell>
          <cell r="F86">
            <v>45</v>
          </cell>
          <cell r="G86">
            <v>21790</v>
          </cell>
          <cell r="I86" t="str">
            <v>North America</v>
          </cell>
          <cell r="J86" t="str">
            <v>USA</v>
          </cell>
          <cell r="K86">
            <v>21001</v>
          </cell>
        </row>
        <row r="87">
          <cell r="A87" t="str">
            <v>In service</v>
          </cell>
          <cell r="B87" t="str">
            <v>Gulfstream Aerospace Gulfstream I</v>
          </cell>
          <cell r="C87" t="str">
            <v xml:space="preserve"> </v>
          </cell>
          <cell r="D87">
            <v>1963</v>
          </cell>
          <cell r="E87" t="str">
            <v>Phoenix Air</v>
          </cell>
          <cell r="F87">
            <v>41</v>
          </cell>
          <cell r="G87">
            <v>23328</v>
          </cell>
          <cell r="I87" t="str">
            <v>North America</v>
          </cell>
          <cell r="J87" t="str">
            <v>USA</v>
          </cell>
          <cell r="K87">
            <v>23177</v>
          </cell>
        </row>
        <row r="88">
          <cell r="A88" t="str">
            <v>In service</v>
          </cell>
          <cell r="B88" t="str">
            <v>Gulfstream Aerospace Gulfstream I</v>
          </cell>
          <cell r="C88" t="str">
            <v xml:space="preserve"> </v>
          </cell>
          <cell r="D88">
            <v>1964</v>
          </cell>
          <cell r="E88" t="str">
            <v>Intertransit</v>
          </cell>
          <cell r="F88">
            <v>40</v>
          </cell>
          <cell r="G88">
            <v>23424</v>
          </cell>
          <cell r="I88" t="str">
            <v>Africa</v>
          </cell>
          <cell r="J88" t="str">
            <v>Angola</v>
          </cell>
          <cell r="K88">
            <v>23192</v>
          </cell>
        </row>
        <row r="89">
          <cell r="A89" t="str">
            <v>In service</v>
          </cell>
          <cell r="B89" t="str">
            <v>Gulfstream Aerospace Gulfstream I</v>
          </cell>
          <cell r="C89" t="str">
            <v xml:space="preserve"> </v>
          </cell>
          <cell r="D89">
            <v>1964</v>
          </cell>
          <cell r="E89" t="str">
            <v>Intermediaries International Inc</v>
          </cell>
          <cell r="F89">
            <v>40</v>
          </cell>
          <cell r="G89">
            <v>23446</v>
          </cell>
          <cell r="I89" t="str">
            <v>North America</v>
          </cell>
          <cell r="J89" t="str">
            <v>USA</v>
          </cell>
          <cell r="K89">
            <v>23192</v>
          </cell>
        </row>
        <row r="90">
          <cell r="A90" t="str">
            <v>In service</v>
          </cell>
          <cell r="B90" t="str">
            <v>Gulfstream Aerospace Gulfstream I</v>
          </cell>
          <cell r="C90" t="str">
            <v xml:space="preserve"> </v>
          </cell>
          <cell r="D90">
            <v>1964</v>
          </cell>
          <cell r="E90" t="str">
            <v>Aerial Films Inc</v>
          </cell>
          <cell r="F90">
            <v>40</v>
          </cell>
          <cell r="G90">
            <v>23508</v>
          </cell>
          <cell r="I90" t="str">
            <v>North America</v>
          </cell>
          <cell r="J90" t="str">
            <v>USA</v>
          </cell>
          <cell r="K90">
            <v>23391</v>
          </cell>
        </row>
        <row r="91">
          <cell r="A91" t="str">
            <v>In service</v>
          </cell>
          <cell r="B91" t="str">
            <v>Gulfstream Aerospace Gulfstream I</v>
          </cell>
          <cell r="C91" t="str">
            <v xml:space="preserve"> </v>
          </cell>
          <cell r="D91">
            <v>1964</v>
          </cell>
          <cell r="E91" t="str">
            <v>Indonesia Air Transport</v>
          </cell>
          <cell r="F91">
            <v>40</v>
          </cell>
          <cell r="G91">
            <v>23498</v>
          </cell>
          <cell r="I91" t="str">
            <v>Asia</v>
          </cell>
          <cell r="J91" t="str">
            <v>Indonesia</v>
          </cell>
          <cell r="K91">
            <v>23422</v>
          </cell>
        </row>
        <row r="92">
          <cell r="A92" t="str">
            <v>In service</v>
          </cell>
          <cell r="B92" t="str">
            <v>Gulfstream Aerospace Gulfstream I</v>
          </cell>
          <cell r="C92" t="str">
            <v xml:space="preserve"> </v>
          </cell>
          <cell r="D92">
            <v>1964</v>
          </cell>
          <cell r="E92" t="str">
            <v>Aero Minerales SA</v>
          </cell>
          <cell r="F92">
            <v>40</v>
          </cell>
          <cell r="G92">
            <v>23594</v>
          </cell>
          <cell r="I92" t="str">
            <v>Latin America and Caribbean</v>
          </cell>
          <cell r="J92" t="str">
            <v>Mexico</v>
          </cell>
          <cell r="K92">
            <v>23558</v>
          </cell>
        </row>
        <row r="93">
          <cell r="A93" t="str">
            <v>In service</v>
          </cell>
          <cell r="B93" t="str">
            <v>Gulfstream Aerospace Gulfstream I</v>
          </cell>
          <cell r="C93" t="str">
            <v xml:space="preserve"> </v>
          </cell>
          <cell r="D93">
            <v>1964</v>
          </cell>
          <cell r="E93" t="str">
            <v>Phoenix Air</v>
          </cell>
          <cell r="F93">
            <v>40</v>
          </cell>
          <cell r="G93">
            <v>23629</v>
          </cell>
          <cell r="I93" t="str">
            <v>North America</v>
          </cell>
          <cell r="J93" t="str">
            <v>USA</v>
          </cell>
          <cell r="K93">
            <v>23558</v>
          </cell>
        </row>
        <row r="94">
          <cell r="A94" t="str">
            <v>In service</v>
          </cell>
          <cell r="B94" t="str">
            <v>Gulfstream Aerospace Gulfstream I</v>
          </cell>
          <cell r="C94" t="str">
            <v xml:space="preserve"> </v>
          </cell>
          <cell r="D94">
            <v>1964</v>
          </cell>
          <cell r="E94" t="str">
            <v>Compania Rural de Occidente Ltda</v>
          </cell>
          <cell r="F94">
            <v>40</v>
          </cell>
          <cell r="G94">
            <v>23722</v>
          </cell>
          <cell r="I94" t="str">
            <v>Latin America and Caribbean</v>
          </cell>
          <cell r="J94" t="str">
            <v>Colombia</v>
          </cell>
          <cell r="K94">
            <v>23635</v>
          </cell>
        </row>
        <row r="95">
          <cell r="A95" t="str">
            <v>In service</v>
          </cell>
          <cell r="B95" t="str">
            <v>Gulfstream Aerospace Gulfstream I</v>
          </cell>
          <cell r="C95" t="str">
            <v xml:space="preserve"> </v>
          </cell>
          <cell r="D95">
            <v>1964</v>
          </cell>
          <cell r="E95" t="str">
            <v>Procuraduria General de la Republica Nacional</v>
          </cell>
          <cell r="F95">
            <v>40</v>
          </cell>
          <cell r="G95">
            <v>23746</v>
          </cell>
          <cell r="I95" t="str">
            <v>Latin America and Caribbean</v>
          </cell>
          <cell r="J95" t="str">
            <v>Mexico</v>
          </cell>
          <cell r="K95">
            <v>23558</v>
          </cell>
        </row>
        <row r="96">
          <cell r="A96" t="str">
            <v>In service</v>
          </cell>
          <cell r="B96" t="str">
            <v>Gulfstream Aerospace Gulfstream I</v>
          </cell>
          <cell r="C96" t="str">
            <v xml:space="preserve"> </v>
          </cell>
          <cell r="D96">
            <v>1965</v>
          </cell>
          <cell r="E96" t="str">
            <v>Phoenix Air</v>
          </cell>
          <cell r="F96">
            <v>39</v>
          </cell>
          <cell r="G96">
            <v>23925</v>
          </cell>
          <cell r="I96" t="str">
            <v>North America</v>
          </cell>
          <cell r="J96" t="str">
            <v>USA</v>
          </cell>
          <cell r="K96">
            <v>23665</v>
          </cell>
        </row>
        <row r="97">
          <cell r="A97" t="str">
            <v>In service</v>
          </cell>
          <cell r="B97" t="str">
            <v>Gulfstream Aerospace Gulfstream I</v>
          </cell>
          <cell r="C97" t="str">
            <v xml:space="preserve"> </v>
          </cell>
          <cell r="D97">
            <v>1965</v>
          </cell>
          <cell r="E97" t="str">
            <v>Aerial Films Inc</v>
          </cell>
          <cell r="F97">
            <v>39</v>
          </cell>
          <cell r="G97">
            <v>24226</v>
          </cell>
          <cell r="I97" t="str">
            <v>North America</v>
          </cell>
          <cell r="J97" t="str">
            <v>USA</v>
          </cell>
          <cell r="K97">
            <v>24084</v>
          </cell>
        </row>
        <row r="98">
          <cell r="A98" t="str">
            <v>In service</v>
          </cell>
          <cell r="B98" t="str">
            <v>Gulfstream Aerospace Gulfstream I</v>
          </cell>
          <cell r="C98" t="str">
            <v xml:space="preserve"> </v>
          </cell>
          <cell r="D98">
            <v>1965</v>
          </cell>
          <cell r="E98" t="str">
            <v>Unconfirmed Mexican Operator</v>
          </cell>
          <cell r="F98">
            <v>39</v>
          </cell>
          <cell r="G98">
            <v>24124</v>
          </cell>
          <cell r="I98" t="str">
            <v>Latin America and Caribbean</v>
          </cell>
          <cell r="J98" t="str">
            <v>Mexico</v>
          </cell>
          <cell r="K98">
            <v>23877</v>
          </cell>
        </row>
        <row r="99">
          <cell r="A99" t="str">
            <v>In service</v>
          </cell>
          <cell r="B99" t="str">
            <v>Gulfstream Aerospace Gulfstream I</v>
          </cell>
          <cell r="C99" t="str">
            <v xml:space="preserve"> </v>
          </cell>
          <cell r="D99">
            <v>1965</v>
          </cell>
          <cell r="E99" t="str">
            <v>Asas de Mocambique</v>
          </cell>
          <cell r="F99">
            <v>39</v>
          </cell>
          <cell r="G99">
            <v>24082</v>
          </cell>
          <cell r="I99" t="str">
            <v>Africa</v>
          </cell>
          <cell r="J99" t="str">
            <v>Mozambique</v>
          </cell>
          <cell r="K99">
            <v>24061</v>
          </cell>
        </row>
        <row r="100">
          <cell r="A100" t="str">
            <v>In service</v>
          </cell>
          <cell r="B100" t="str">
            <v>Gulfstream Aerospace Gulfstream I</v>
          </cell>
          <cell r="C100" t="str">
            <v xml:space="preserve"> </v>
          </cell>
          <cell r="D100">
            <v>1965</v>
          </cell>
          <cell r="E100" t="str">
            <v>Erin Miel Inc</v>
          </cell>
          <cell r="F100">
            <v>39</v>
          </cell>
          <cell r="G100">
            <v>24268</v>
          </cell>
          <cell r="I100" t="str">
            <v>North America</v>
          </cell>
          <cell r="J100" t="str">
            <v>USA</v>
          </cell>
          <cell r="K100">
            <v>24091</v>
          </cell>
        </row>
        <row r="101">
          <cell r="A101" t="str">
            <v>In service</v>
          </cell>
          <cell r="B101" t="str">
            <v>Gulfstream Aerospace Gulfstream I</v>
          </cell>
          <cell r="C101" t="str">
            <v xml:space="preserve"> </v>
          </cell>
          <cell r="D101">
            <v>1965</v>
          </cell>
          <cell r="E101" t="str">
            <v>Riverside International Airlines</v>
          </cell>
          <cell r="F101">
            <v>39</v>
          </cell>
          <cell r="G101">
            <v>24227</v>
          </cell>
          <cell r="I101" t="str">
            <v>North America</v>
          </cell>
          <cell r="J101" t="str">
            <v>USA</v>
          </cell>
          <cell r="K101">
            <v>24122</v>
          </cell>
        </row>
        <row r="102">
          <cell r="A102" t="str">
            <v>In service</v>
          </cell>
          <cell r="B102" t="str">
            <v>Gulfstream Aerospace Gulfstream I</v>
          </cell>
          <cell r="C102" t="str">
            <v xml:space="preserve"> </v>
          </cell>
          <cell r="D102">
            <v>1966</v>
          </cell>
          <cell r="E102" t="str">
            <v>Termnet Merchant Services Inc</v>
          </cell>
          <cell r="F102">
            <v>38</v>
          </cell>
          <cell r="G102">
            <v>24208</v>
          </cell>
          <cell r="I102" t="str">
            <v>North America</v>
          </cell>
          <cell r="J102" t="str">
            <v>USA</v>
          </cell>
          <cell r="K102">
            <v>24153</v>
          </cell>
        </row>
        <row r="103">
          <cell r="A103" t="str">
            <v>In service</v>
          </cell>
          <cell r="B103" t="str">
            <v>Gulfstream Aerospace Gulfstream I</v>
          </cell>
          <cell r="C103" t="str">
            <v xml:space="preserve"> </v>
          </cell>
          <cell r="D103">
            <v>1966</v>
          </cell>
          <cell r="E103" t="str">
            <v>Maria de Jesus Moreno</v>
          </cell>
          <cell r="F103">
            <v>38</v>
          </cell>
          <cell r="G103">
            <v>24352</v>
          </cell>
          <cell r="I103" t="str">
            <v>Latin America and Caribbean</v>
          </cell>
          <cell r="J103" t="str">
            <v>Venezuela</v>
          </cell>
          <cell r="K103">
            <v>24303</v>
          </cell>
        </row>
        <row r="104">
          <cell r="A104" t="str">
            <v>In service</v>
          </cell>
          <cell r="B104" t="str">
            <v>Gulfstream Aerospace Gulfstream I</v>
          </cell>
          <cell r="C104" t="str">
            <v xml:space="preserve"> </v>
          </cell>
          <cell r="D104">
            <v>1959</v>
          </cell>
          <cell r="E104" t="str">
            <v>Scott Aviation Inc</v>
          </cell>
          <cell r="F104">
            <v>45</v>
          </cell>
          <cell r="G104">
            <v>21849</v>
          </cell>
          <cell r="I104" t="str">
            <v>North America</v>
          </cell>
          <cell r="J104" t="str">
            <v>USA</v>
          </cell>
          <cell r="K104">
            <v>21001</v>
          </cell>
        </row>
        <row r="105">
          <cell r="A105" t="str">
            <v>In service</v>
          </cell>
          <cell r="B105" t="str">
            <v>Gulfstream Aerospace Gulfstream I</v>
          </cell>
          <cell r="C105" t="str">
            <v xml:space="preserve"> </v>
          </cell>
          <cell r="D105">
            <v>1968</v>
          </cell>
          <cell r="E105" t="str">
            <v>Propair</v>
          </cell>
          <cell r="F105">
            <v>36</v>
          </cell>
          <cell r="G105">
            <v>24891</v>
          </cell>
          <cell r="I105" t="str">
            <v>North America</v>
          </cell>
          <cell r="J105" t="str">
            <v>Canada</v>
          </cell>
          <cell r="K105">
            <v>24852</v>
          </cell>
        </row>
        <row r="106">
          <cell r="A106" t="str">
            <v>In service</v>
          </cell>
          <cell r="B106" t="str">
            <v>Gulfstream Aerospace Gulfstream I</v>
          </cell>
          <cell r="C106" t="str">
            <v xml:space="preserve"> </v>
          </cell>
          <cell r="D106">
            <v>1968</v>
          </cell>
          <cell r="E106" t="str">
            <v>Post Ekspres Prima</v>
          </cell>
          <cell r="F106">
            <v>36</v>
          </cell>
          <cell r="G106">
            <v>25038</v>
          </cell>
          <cell r="I106" t="str">
            <v>Asia</v>
          </cell>
          <cell r="J106" t="str">
            <v>Indonesia</v>
          </cell>
          <cell r="K106">
            <v>24973</v>
          </cell>
        </row>
        <row r="107">
          <cell r="A107" t="str">
            <v>In service</v>
          </cell>
          <cell r="B107" t="str">
            <v>Gulfstream Aerospace Gulfstream I</v>
          </cell>
          <cell r="C107" t="str">
            <v xml:space="preserve"> </v>
          </cell>
          <cell r="D107">
            <v>1968</v>
          </cell>
          <cell r="E107" t="str">
            <v>Phoenix Air</v>
          </cell>
          <cell r="F107">
            <v>36</v>
          </cell>
          <cell r="G107">
            <v>25034</v>
          </cell>
          <cell r="I107" t="str">
            <v>North America</v>
          </cell>
          <cell r="J107" t="str">
            <v>USA</v>
          </cell>
          <cell r="K107">
            <v>25004</v>
          </cell>
        </row>
        <row r="108">
          <cell r="A108" t="str">
            <v>In service</v>
          </cell>
          <cell r="B108" t="str">
            <v>Gulfstream Aerospace Gulfstream I</v>
          </cell>
          <cell r="C108" t="str">
            <v xml:space="preserve"> </v>
          </cell>
          <cell r="D108">
            <v>1968</v>
          </cell>
          <cell r="E108" t="str">
            <v>Tramon Air</v>
          </cell>
          <cell r="F108">
            <v>36</v>
          </cell>
          <cell r="G108">
            <v>32794</v>
          </cell>
          <cell r="I108" t="str">
            <v>Africa</v>
          </cell>
          <cell r="J108" t="str">
            <v>South Africa</v>
          </cell>
        </row>
        <row r="109">
          <cell r="A109" t="str">
            <v>In service</v>
          </cell>
          <cell r="B109" t="str">
            <v>Gulfstream Aerospace Gulfstream I</v>
          </cell>
          <cell r="C109" t="str">
            <v xml:space="preserve"> </v>
          </cell>
          <cell r="D109">
            <v>1969</v>
          </cell>
          <cell r="E109" t="str">
            <v>Conquest Air LLC</v>
          </cell>
          <cell r="F109">
            <v>35</v>
          </cell>
          <cell r="G109">
            <v>25269</v>
          </cell>
          <cell r="I109" t="str">
            <v>North America</v>
          </cell>
          <cell r="J109" t="str">
            <v>USA</v>
          </cell>
          <cell r="K109">
            <v>25249</v>
          </cell>
        </row>
        <row r="110">
          <cell r="A110" t="str">
            <v>In service</v>
          </cell>
          <cell r="B110" t="str">
            <v>Gulfstream Aerospace Gulfstream I</v>
          </cell>
          <cell r="C110" t="str">
            <v xml:space="preserve"> </v>
          </cell>
          <cell r="D110">
            <v>1969</v>
          </cell>
          <cell r="E110" t="str">
            <v>Phoenix Air</v>
          </cell>
          <cell r="F110">
            <v>35</v>
          </cell>
          <cell r="G110">
            <v>25268</v>
          </cell>
          <cell r="I110" t="str">
            <v>North America</v>
          </cell>
          <cell r="J110" t="str">
            <v>USA</v>
          </cell>
          <cell r="K110">
            <v>25249</v>
          </cell>
        </row>
        <row r="111">
          <cell r="A111" t="str">
            <v>In service</v>
          </cell>
          <cell r="B111" t="str">
            <v>Gulfstream Aerospace Gulfstream I</v>
          </cell>
          <cell r="C111" t="str">
            <v xml:space="preserve"> </v>
          </cell>
          <cell r="D111">
            <v>1969</v>
          </cell>
          <cell r="E111" t="str">
            <v>Gyrocam G1 Inc</v>
          </cell>
          <cell r="F111">
            <v>35</v>
          </cell>
          <cell r="G111">
            <v>25357</v>
          </cell>
          <cell r="I111" t="str">
            <v>North America</v>
          </cell>
          <cell r="J111" t="str">
            <v>USA</v>
          </cell>
          <cell r="K111">
            <v>25249</v>
          </cell>
        </row>
        <row r="112">
          <cell r="A112" t="str">
            <v>In service</v>
          </cell>
          <cell r="B112" t="str">
            <v>Gulfstream Aerospace Gulfstream I</v>
          </cell>
          <cell r="C112" t="str">
            <v xml:space="preserve"> </v>
          </cell>
          <cell r="D112">
            <v>1959</v>
          </cell>
          <cell r="E112" t="str">
            <v>Phoenix Air</v>
          </cell>
          <cell r="F112">
            <v>45</v>
          </cell>
          <cell r="G112">
            <v>21892</v>
          </cell>
          <cell r="I112" t="str">
            <v>North America</v>
          </cell>
          <cell r="J112" t="str">
            <v>USA</v>
          </cell>
          <cell r="K112">
            <v>21200</v>
          </cell>
        </row>
        <row r="113">
          <cell r="A113" t="str">
            <v>In service</v>
          </cell>
          <cell r="B113" t="str">
            <v>Gulfstream Aerospace Gulfstream I</v>
          </cell>
          <cell r="C113" t="str">
            <v xml:space="preserve"> </v>
          </cell>
          <cell r="D113">
            <v>1959</v>
          </cell>
          <cell r="E113" t="str">
            <v>Pelican Air Services</v>
          </cell>
          <cell r="F113">
            <v>45</v>
          </cell>
          <cell r="G113">
            <v>21907</v>
          </cell>
          <cell r="I113" t="str">
            <v>Africa</v>
          </cell>
          <cell r="J113" t="str">
            <v>South Africa</v>
          </cell>
          <cell r="K113">
            <v>21290</v>
          </cell>
        </row>
        <row r="114">
          <cell r="A114" t="str">
            <v>In service</v>
          </cell>
          <cell r="B114" t="str">
            <v>Gulfstream Aerospace Gulfstream I</v>
          </cell>
          <cell r="C114" t="str">
            <v xml:space="preserve"> </v>
          </cell>
          <cell r="D114">
            <v>1959</v>
          </cell>
          <cell r="E114" t="str">
            <v>Phoenix Air</v>
          </cell>
          <cell r="F114">
            <v>45</v>
          </cell>
          <cell r="G114">
            <v>21912</v>
          </cell>
          <cell r="I114" t="str">
            <v>North America</v>
          </cell>
          <cell r="J114" t="str">
            <v>USA</v>
          </cell>
          <cell r="K114">
            <v>21320</v>
          </cell>
        </row>
        <row r="115">
          <cell r="A115" t="str">
            <v>In service</v>
          </cell>
          <cell r="B115" t="str">
            <v>Gulfstream Aerospace Gulfstream I</v>
          </cell>
          <cell r="C115" t="str">
            <v xml:space="preserve"> </v>
          </cell>
          <cell r="D115">
            <v>1963</v>
          </cell>
          <cell r="E115" t="str">
            <v>Saicam Air (US) Inc</v>
          </cell>
          <cell r="F115">
            <v>41</v>
          </cell>
          <cell r="I115" t="str">
            <v>North America</v>
          </cell>
          <cell r="J115" t="str">
            <v>USA</v>
          </cell>
        </row>
        <row r="116">
          <cell r="A116" t="str">
            <v>In service</v>
          </cell>
          <cell r="B116" t="str">
            <v>Gulfstream Aerospace Gulfstream I</v>
          </cell>
          <cell r="C116" t="str">
            <v xml:space="preserve"> </v>
          </cell>
          <cell r="D116">
            <v>1964</v>
          </cell>
          <cell r="E116" t="str">
            <v>SAP</v>
          </cell>
          <cell r="F116">
            <v>40</v>
          </cell>
          <cell r="G116">
            <v>23405</v>
          </cell>
          <cell r="I116" t="str">
            <v>Latin America and Caribbean</v>
          </cell>
          <cell r="J116" t="str">
            <v>Dominican Republic</v>
          </cell>
          <cell r="K116">
            <v>23330</v>
          </cell>
        </row>
        <row r="117">
          <cell r="A117" t="str">
            <v>In service</v>
          </cell>
          <cell r="B117" t="str">
            <v>Gulfstream Aerospace Gulfstream I</v>
          </cell>
          <cell r="C117" t="str">
            <v xml:space="preserve"> </v>
          </cell>
          <cell r="D117">
            <v>1960</v>
          </cell>
          <cell r="E117" t="str">
            <v>CAA - Compagnie Africaine d'Aviation</v>
          </cell>
          <cell r="F117">
            <v>44</v>
          </cell>
          <cell r="G117">
            <v>21996</v>
          </cell>
          <cell r="I117" t="str">
            <v>Africa</v>
          </cell>
          <cell r="J117" t="str">
            <v>Congo (Democratic Republic)</v>
          </cell>
          <cell r="K117">
            <v>21777</v>
          </cell>
        </row>
        <row r="118">
          <cell r="A118" t="str">
            <v>In service</v>
          </cell>
          <cell r="B118" t="str">
            <v>Gulfstream Aerospace Gulfstream I</v>
          </cell>
          <cell r="C118" t="str">
            <v xml:space="preserve"> </v>
          </cell>
          <cell r="D118">
            <v>1960</v>
          </cell>
          <cell r="E118" t="str">
            <v>Riverside International Airlines</v>
          </cell>
          <cell r="F118">
            <v>44</v>
          </cell>
          <cell r="G118">
            <v>22018</v>
          </cell>
          <cell r="I118" t="str">
            <v>North America</v>
          </cell>
          <cell r="J118" t="str">
            <v>USA</v>
          </cell>
          <cell r="K118">
            <v>21990</v>
          </cell>
        </row>
        <row r="119">
          <cell r="A119" t="str">
            <v>In service</v>
          </cell>
          <cell r="B119" t="str">
            <v>Gulfstream Aerospace Gulfstream I</v>
          </cell>
          <cell r="C119" t="str">
            <v xml:space="preserve"> </v>
          </cell>
          <cell r="D119">
            <v>1960</v>
          </cell>
          <cell r="E119" t="str">
            <v>Gabon Express</v>
          </cell>
          <cell r="F119">
            <v>44</v>
          </cell>
          <cell r="G119">
            <v>22059</v>
          </cell>
          <cell r="I119" t="str">
            <v>Africa</v>
          </cell>
          <cell r="J119" t="str">
            <v>Gabon</v>
          </cell>
          <cell r="K119">
            <v>21930</v>
          </cell>
        </row>
        <row r="120">
          <cell r="A120" t="str">
            <v>In service</v>
          </cell>
          <cell r="B120" t="str">
            <v>Gulfstream Aerospace Gulfstream I</v>
          </cell>
          <cell r="C120" t="str">
            <v xml:space="preserve"> </v>
          </cell>
          <cell r="D120">
            <v>1960</v>
          </cell>
          <cell r="E120" t="str">
            <v>Mission Air Services LLC</v>
          </cell>
          <cell r="F120">
            <v>44</v>
          </cell>
          <cell r="G120">
            <v>22289</v>
          </cell>
          <cell r="I120" t="str">
            <v>North America</v>
          </cell>
          <cell r="J120" t="str">
            <v>USA</v>
          </cell>
          <cell r="K120">
            <v>22082</v>
          </cell>
        </row>
        <row r="121">
          <cell r="A121" t="str">
            <v>In service</v>
          </cell>
          <cell r="B121" t="str">
            <v>Gulfstream Aerospace Gulfstream I</v>
          </cell>
          <cell r="C121" t="str">
            <v xml:space="preserve"> </v>
          </cell>
          <cell r="D121">
            <v>1960</v>
          </cell>
          <cell r="E121" t="str">
            <v>Celanese Mexicana SA</v>
          </cell>
          <cell r="F121">
            <v>44</v>
          </cell>
          <cell r="G121">
            <v>22269</v>
          </cell>
          <cell r="I121" t="str">
            <v>Latin America and Caribbean</v>
          </cell>
          <cell r="J121" t="str">
            <v>Mexico</v>
          </cell>
          <cell r="K121">
            <v>22174</v>
          </cell>
        </row>
        <row r="122">
          <cell r="A122" t="str">
            <v>In service</v>
          </cell>
          <cell r="B122" t="str">
            <v>Gulfstream Aerospace Gulfstream I</v>
          </cell>
          <cell r="C122" t="str">
            <v xml:space="preserve"> </v>
          </cell>
          <cell r="D122">
            <v>1961</v>
          </cell>
          <cell r="E122" t="str">
            <v>US Immigration &amp; Naturalization Service</v>
          </cell>
          <cell r="F122">
            <v>43</v>
          </cell>
          <cell r="G122">
            <v>22406</v>
          </cell>
          <cell r="I122" t="str">
            <v>North America</v>
          </cell>
          <cell r="J122" t="str">
            <v>USA</v>
          </cell>
          <cell r="K122">
            <v>22327</v>
          </cell>
        </row>
        <row r="123">
          <cell r="A123" t="str">
            <v>In service</v>
          </cell>
          <cell r="B123" t="str">
            <v>Gulfstream Aerospace Gulfstream I</v>
          </cell>
          <cell r="C123" t="str">
            <v xml:space="preserve"> </v>
          </cell>
          <cell r="D123">
            <v>1959</v>
          </cell>
          <cell r="E123" t="str">
            <v>Missionair Inc</v>
          </cell>
          <cell r="F123">
            <v>45</v>
          </cell>
          <cell r="G123">
            <v>21761</v>
          </cell>
          <cell r="I123" t="str">
            <v>North America</v>
          </cell>
          <cell r="J123" t="str">
            <v>USA</v>
          </cell>
          <cell r="K123">
            <v>21001</v>
          </cell>
        </row>
        <row r="124">
          <cell r="A124" t="str">
            <v>In service</v>
          </cell>
          <cell r="B124" t="str">
            <v>Gulfstream Aerospace Gulfstream I</v>
          </cell>
          <cell r="C124" t="str">
            <v xml:space="preserve"> </v>
          </cell>
          <cell r="D124">
            <v>1961</v>
          </cell>
          <cell r="E124" t="str">
            <v>Battelle Pacific Northwest Laboratories</v>
          </cell>
          <cell r="F124">
            <v>43</v>
          </cell>
          <cell r="G124">
            <v>22599</v>
          </cell>
          <cell r="I124" t="str">
            <v>North America</v>
          </cell>
          <cell r="J124" t="str">
            <v>USA</v>
          </cell>
          <cell r="K124">
            <v>22462</v>
          </cell>
        </row>
        <row r="125">
          <cell r="A125" t="str">
            <v>In service</v>
          </cell>
          <cell r="B125" t="str">
            <v>Gulfstream Aerospace Gulfstream I</v>
          </cell>
          <cell r="C125" t="str">
            <v xml:space="preserve"> </v>
          </cell>
          <cell r="D125">
            <v>1961</v>
          </cell>
          <cell r="E125" t="str">
            <v>Jet Sul Taxi Aereo</v>
          </cell>
          <cell r="F125">
            <v>43</v>
          </cell>
          <cell r="G125">
            <v>22629</v>
          </cell>
          <cell r="I125" t="str">
            <v>Latin America and Caribbean</v>
          </cell>
          <cell r="J125" t="str">
            <v>Brazil</v>
          </cell>
          <cell r="K125">
            <v>22462</v>
          </cell>
        </row>
        <row r="126">
          <cell r="A126" t="str">
            <v>In service</v>
          </cell>
          <cell r="B126" t="str">
            <v>Gulfstream Aerospace Gulfstream I</v>
          </cell>
          <cell r="C126" t="str">
            <v xml:space="preserve"> </v>
          </cell>
          <cell r="D126">
            <v>1961</v>
          </cell>
          <cell r="E126" t="str">
            <v>TAC Air Services</v>
          </cell>
          <cell r="F126">
            <v>43</v>
          </cell>
          <cell r="G126">
            <v>22669</v>
          </cell>
          <cell r="I126" t="str">
            <v>Africa</v>
          </cell>
          <cell r="J126" t="str">
            <v>South Africa</v>
          </cell>
          <cell r="K126">
            <v>22462</v>
          </cell>
        </row>
        <row r="127">
          <cell r="A127" t="str">
            <v>In service</v>
          </cell>
          <cell r="B127" t="str">
            <v>Gulfstream Aerospace Gulfstream I</v>
          </cell>
          <cell r="C127" t="str">
            <v xml:space="preserve"> </v>
          </cell>
          <cell r="D127">
            <v>1961</v>
          </cell>
          <cell r="E127" t="str">
            <v>Aerotaxi de Valledupar</v>
          </cell>
          <cell r="F127">
            <v>43</v>
          </cell>
          <cell r="G127">
            <v>22601</v>
          </cell>
          <cell r="I127" t="str">
            <v>Latin America and Caribbean</v>
          </cell>
          <cell r="J127" t="str">
            <v>Colombia</v>
          </cell>
          <cell r="K127">
            <v>22462</v>
          </cell>
        </row>
        <row r="128">
          <cell r="A128" t="str">
            <v>In service</v>
          </cell>
          <cell r="B128" t="str">
            <v>Gulfstream Aerospace Gulfstream I</v>
          </cell>
          <cell r="C128" t="str">
            <v xml:space="preserve"> </v>
          </cell>
          <cell r="D128">
            <v>1962</v>
          </cell>
          <cell r="E128" t="str">
            <v>William C Ray &amp; David M Ray</v>
          </cell>
          <cell r="F128">
            <v>42</v>
          </cell>
          <cell r="G128">
            <v>22733</v>
          </cell>
          <cell r="I128" t="str">
            <v>North America</v>
          </cell>
          <cell r="J128" t="str">
            <v>USA</v>
          </cell>
          <cell r="K128">
            <v>22462</v>
          </cell>
        </row>
        <row r="129">
          <cell r="A129" t="str">
            <v>In service</v>
          </cell>
          <cell r="B129" t="str">
            <v>Gulfstream Aerospace Gulfstream I</v>
          </cell>
          <cell r="C129" t="str">
            <v xml:space="preserve"> </v>
          </cell>
          <cell r="D129">
            <v>1962</v>
          </cell>
          <cell r="E129" t="str">
            <v>Tramon Air</v>
          </cell>
          <cell r="F129">
            <v>42</v>
          </cell>
          <cell r="G129">
            <v>22734</v>
          </cell>
          <cell r="I129" t="str">
            <v>Africa</v>
          </cell>
          <cell r="J129" t="str">
            <v>South Africa</v>
          </cell>
          <cell r="K129">
            <v>22661</v>
          </cell>
        </row>
        <row r="130">
          <cell r="A130" t="str">
            <v>In service</v>
          </cell>
          <cell r="B130" t="str">
            <v>Gulfstream Aerospace Gulfstream I</v>
          </cell>
          <cell r="C130" t="str">
            <v xml:space="preserve"> </v>
          </cell>
          <cell r="D130">
            <v>1962</v>
          </cell>
          <cell r="E130" t="str">
            <v>Yellow Tail G-1 LLC</v>
          </cell>
          <cell r="F130">
            <v>42</v>
          </cell>
          <cell r="G130">
            <v>22817</v>
          </cell>
          <cell r="I130" t="str">
            <v>North America</v>
          </cell>
          <cell r="J130" t="str">
            <v>USA</v>
          </cell>
          <cell r="K130">
            <v>22720</v>
          </cell>
        </row>
        <row r="131">
          <cell r="A131" t="str">
            <v>In service</v>
          </cell>
          <cell r="B131" t="str">
            <v>Gulfstream Aerospace Gulfstream I</v>
          </cell>
          <cell r="C131" t="str">
            <v xml:space="preserve"> </v>
          </cell>
          <cell r="D131">
            <v>1962</v>
          </cell>
          <cell r="E131" t="str">
            <v>US Coast Guard</v>
          </cell>
          <cell r="F131">
            <v>42</v>
          </cell>
          <cell r="G131">
            <v>23076</v>
          </cell>
          <cell r="H131" t="str">
            <v>VC-4A</v>
          </cell>
          <cell r="I131" t="str">
            <v>North America</v>
          </cell>
          <cell r="J131" t="str">
            <v>USA</v>
          </cell>
          <cell r="K131">
            <v>22827</v>
          </cell>
        </row>
        <row r="132">
          <cell r="A132" t="str">
            <v>In service</v>
          </cell>
          <cell r="B132" t="str">
            <v>Gulfstream Aerospace Gulfstream I</v>
          </cell>
          <cell r="C132" t="str">
            <v xml:space="preserve"> </v>
          </cell>
          <cell r="D132">
            <v>1962</v>
          </cell>
          <cell r="E132" t="str">
            <v>N8E LLC</v>
          </cell>
          <cell r="F132">
            <v>42</v>
          </cell>
          <cell r="G132">
            <v>22962</v>
          </cell>
          <cell r="I132" t="str">
            <v>North America</v>
          </cell>
          <cell r="J132" t="str">
            <v>USA</v>
          </cell>
          <cell r="K132">
            <v>22827</v>
          </cell>
        </row>
        <row r="133">
          <cell r="A133" t="str">
            <v>In service</v>
          </cell>
          <cell r="B133" t="str">
            <v>Gulfstream Aerospace Gulfstream I</v>
          </cell>
          <cell r="C133" t="str">
            <v xml:space="preserve"> </v>
          </cell>
          <cell r="D133">
            <v>1962</v>
          </cell>
          <cell r="E133" t="str">
            <v>NASA</v>
          </cell>
          <cell r="F133">
            <v>42</v>
          </cell>
          <cell r="G133">
            <v>23085</v>
          </cell>
          <cell r="I133" t="str">
            <v>North America</v>
          </cell>
          <cell r="J133" t="str">
            <v>USA</v>
          </cell>
          <cell r="K133">
            <v>22827</v>
          </cell>
        </row>
        <row r="134">
          <cell r="A134" t="str">
            <v>In service</v>
          </cell>
          <cell r="B134" t="str">
            <v>Gulfstream Aerospace Gulfstream I</v>
          </cell>
          <cell r="C134" t="str">
            <v xml:space="preserve"> </v>
          </cell>
          <cell r="D134">
            <v>1962</v>
          </cell>
          <cell r="E134" t="str">
            <v>Phoenix Air</v>
          </cell>
          <cell r="F134">
            <v>42</v>
          </cell>
          <cell r="G134">
            <v>23000</v>
          </cell>
          <cell r="I134" t="str">
            <v>North America</v>
          </cell>
          <cell r="J134" t="str">
            <v>USA</v>
          </cell>
          <cell r="K134">
            <v>22827</v>
          </cell>
        </row>
        <row r="135">
          <cell r="A135" t="str">
            <v>In service</v>
          </cell>
          <cell r="B135" t="str">
            <v>Gulfstream Aerospace Gulfstream I</v>
          </cell>
          <cell r="C135" t="str">
            <v>1C Commuter</v>
          </cell>
          <cell r="D135">
            <v>1959</v>
          </cell>
          <cell r="E135" t="str">
            <v>Phoenix Air</v>
          </cell>
          <cell r="F135">
            <v>45</v>
          </cell>
          <cell r="G135">
            <v>21919</v>
          </cell>
          <cell r="H135" t="str">
            <v>1C</v>
          </cell>
          <cell r="I135" t="str">
            <v>North America</v>
          </cell>
          <cell r="J135" t="str">
            <v>USA</v>
          </cell>
          <cell r="K135">
            <v>21412</v>
          </cell>
        </row>
        <row r="136">
          <cell r="A136" t="str">
            <v>In service</v>
          </cell>
          <cell r="B136" t="str">
            <v>Gulfstream Aerospace Gulfstream I</v>
          </cell>
          <cell r="C136" t="str">
            <v>Commuter</v>
          </cell>
          <cell r="D136">
            <v>1963</v>
          </cell>
          <cell r="E136" t="str">
            <v>Diwan Airservice</v>
          </cell>
          <cell r="F136">
            <v>41</v>
          </cell>
          <cell r="G136">
            <v>23357</v>
          </cell>
          <cell r="H136" t="str">
            <v>Commuter</v>
          </cell>
          <cell r="I136" t="str">
            <v>Europe</v>
          </cell>
          <cell r="J136" t="str">
            <v>France</v>
          </cell>
          <cell r="K136">
            <v>23269</v>
          </cell>
        </row>
        <row r="137">
          <cell r="A137" t="str">
            <v>In service</v>
          </cell>
          <cell r="B137" t="str">
            <v>Gulfstream Aerospace Gulfstream I</v>
          </cell>
          <cell r="C137" t="str">
            <v>Commuter</v>
          </cell>
          <cell r="D137">
            <v>1964</v>
          </cell>
          <cell r="E137" t="str">
            <v>Pelican Air Services</v>
          </cell>
          <cell r="F137">
            <v>40</v>
          </cell>
          <cell r="G137">
            <v>23585</v>
          </cell>
          <cell r="H137" t="str">
            <v>Commuter</v>
          </cell>
          <cell r="I137" t="str">
            <v>Africa</v>
          </cell>
          <cell r="J137" t="str">
            <v>South Africa</v>
          </cell>
          <cell r="K137">
            <v>23192</v>
          </cell>
        </row>
        <row r="138">
          <cell r="A138" t="str">
            <v>In service</v>
          </cell>
          <cell r="B138" t="str">
            <v>Gulfstream Aerospace Gulfstream I</v>
          </cell>
          <cell r="C138" t="str">
            <v>Commuter</v>
          </cell>
          <cell r="D138">
            <v>1965</v>
          </cell>
          <cell r="E138" t="str">
            <v>CAA - Compagnie Africaine d'Aviation</v>
          </cell>
          <cell r="F138">
            <v>39</v>
          </cell>
          <cell r="G138">
            <v>23881</v>
          </cell>
          <cell r="H138" t="str">
            <v>Commuter</v>
          </cell>
          <cell r="I138" t="str">
            <v>Africa</v>
          </cell>
          <cell r="J138" t="str">
            <v>Congo (Democratic Republic)</v>
          </cell>
          <cell r="K138">
            <v>23788</v>
          </cell>
        </row>
        <row r="139">
          <cell r="A139" t="str">
            <v>In service</v>
          </cell>
          <cell r="B139" t="str">
            <v>Gulfstream Aerospace Gulfstream I</v>
          </cell>
          <cell r="C139" t="str">
            <v>Commuter</v>
          </cell>
          <cell r="D139">
            <v>1965</v>
          </cell>
          <cell r="E139" t="str">
            <v>Global Air de Mexico</v>
          </cell>
          <cell r="F139">
            <v>39</v>
          </cell>
          <cell r="G139">
            <v>23984</v>
          </cell>
          <cell r="H139" t="str">
            <v>Commuter</v>
          </cell>
          <cell r="I139" t="str">
            <v>Latin America and Caribbean</v>
          </cell>
          <cell r="J139" t="str">
            <v>Mexico</v>
          </cell>
          <cell r="K139">
            <v>23908</v>
          </cell>
        </row>
        <row r="140">
          <cell r="A140" t="str">
            <v>In service</v>
          </cell>
          <cell r="B140" t="str">
            <v>Gulfstream Aerospace Gulfstream I</v>
          </cell>
          <cell r="C140" t="str">
            <v>Commuter</v>
          </cell>
          <cell r="D140">
            <v>1965</v>
          </cell>
          <cell r="E140" t="str">
            <v>Intertransit</v>
          </cell>
          <cell r="F140">
            <v>39</v>
          </cell>
          <cell r="G140">
            <v>24131</v>
          </cell>
          <cell r="H140" t="str">
            <v>Commuter</v>
          </cell>
          <cell r="I140" t="str">
            <v>Africa</v>
          </cell>
          <cell r="J140" t="str">
            <v>Angola</v>
          </cell>
          <cell r="K140">
            <v>24091</v>
          </cell>
        </row>
        <row r="141">
          <cell r="A141" t="str">
            <v>In service</v>
          </cell>
          <cell r="B141" t="str">
            <v>Gulfstream Aerospace Gulfstream I</v>
          </cell>
          <cell r="C141" t="str">
            <v>Commuter</v>
          </cell>
          <cell r="D141">
            <v>1967</v>
          </cell>
          <cell r="E141" t="str">
            <v>Citra Aviation</v>
          </cell>
          <cell r="F141">
            <v>37</v>
          </cell>
          <cell r="G141">
            <v>24539</v>
          </cell>
          <cell r="H141" t="str">
            <v>Commuter</v>
          </cell>
          <cell r="I141" t="str">
            <v>Asia</v>
          </cell>
          <cell r="J141" t="str">
            <v>Indonesia</v>
          </cell>
          <cell r="K141">
            <v>24456</v>
          </cell>
        </row>
        <row r="142">
          <cell r="A142" t="str">
            <v>In service</v>
          </cell>
          <cell r="B142" t="str">
            <v>Gulfstream Aerospace Gulfstream I</v>
          </cell>
          <cell r="C142" t="str">
            <v>Commuter</v>
          </cell>
          <cell r="D142">
            <v>1968</v>
          </cell>
          <cell r="E142" t="str">
            <v>Aero Aar</v>
          </cell>
          <cell r="F142">
            <v>36</v>
          </cell>
          <cell r="G142">
            <v>25148</v>
          </cell>
          <cell r="H142" t="str">
            <v>Commuter</v>
          </cell>
          <cell r="I142" t="str">
            <v>Latin America and Caribbean</v>
          </cell>
          <cell r="J142" t="str">
            <v>Venezuela</v>
          </cell>
          <cell r="K142">
            <v>25126</v>
          </cell>
        </row>
        <row r="143">
          <cell r="A143" t="str">
            <v>In service</v>
          </cell>
          <cell r="B143" t="str">
            <v>Gulfstream Aerospace Gulfstream I</v>
          </cell>
          <cell r="C143" t="str">
            <v>Commuter</v>
          </cell>
          <cell r="D143">
            <v>1959</v>
          </cell>
          <cell r="E143" t="str">
            <v>Air Inter Ivoire</v>
          </cell>
          <cell r="F143">
            <v>45</v>
          </cell>
          <cell r="G143">
            <v>21860</v>
          </cell>
          <cell r="H143" t="str">
            <v>Commuter</v>
          </cell>
          <cell r="I143" t="str">
            <v>Africa</v>
          </cell>
          <cell r="J143" t="str">
            <v>Ivory Coast</v>
          </cell>
          <cell r="K143">
            <v>21001</v>
          </cell>
        </row>
        <row r="144">
          <cell r="A144" t="str">
            <v>In service</v>
          </cell>
          <cell r="B144" t="str">
            <v>Gulfstream Aerospace Gulfstream I</v>
          </cell>
          <cell r="C144" t="str">
            <v>Commuter</v>
          </cell>
          <cell r="D144">
            <v>1959</v>
          </cell>
          <cell r="E144" t="str">
            <v>Merafe Aviation (Pty) Ltd</v>
          </cell>
          <cell r="F144">
            <v>45</v>
          </cell>
          <cell r="G144">
            <v>21732</v>
          </cell>
          <cell r="H144" t="str">
            <v>Commuter</v>
          </cell>
          <cell r="I144" t="str">
            <v>Africa</v>
          </cell>
          <cell r="J144" t="str">
            <v>South Africa</v>
          </cell>
          <cell r="K144">
            <v>21108</v>
          </cell>
        </row>
        <row r="145">
          <cell r="A145" t="str">
            <v>In service</v>
          </cell>
          <cell r="B145" t="str">
            <v>Gulfstream Aerospace Gulfstream I</v>
          </cell>
          <cell r="C145" t="str">
            <v>Commuter</v>
          </cell>
          <cell r="D145">
            <v>1961</v>
          </cell>
          <cell r="E145" t="str">
            <v>Alternanive Air Sa de CV</v>
          </cell>
          <cell r="F145">
            <v>43</v>
          </cell>
          <cell r="G145">
            <v>22469</v>
          </cell>
          <cell r="H145" t="str">
            <v>Commuter</v>
          </cell>
          <cell r="I145" t="str">
            <v>Latin America and Caribbean</v>
          </cell>
          <cell r="J145" t="str">
            <v>Mexico</v>
          </cell>
          <cell r="K145">
            <v>22386</v>
          </cell>
        </row>
        <row r="146">
          <cell r="A146" t="str">
            <v>In service</v>
          </cell>
          <cell r="B146" t="str">
            <v>Gulfstream Aerospace Gulfstream I</v>
          </cell>
          <cell r="C146" t="str">
            <v>Commuter</v>
          </cell>
          <cell r="D146">
            <v>1961</v>
          </cell>
          <cell r="E146" t="str">
            <v>Intertransit</v>
          </cell>
          <cell r="F146">
            <v>43</v>
          </cell>
          <cell r="G146">
            <v>22662</v>
          </cell>
          <cell r="H146" t="str">
            <v>Commuter</v>
          </cell>
          <cell r="I146" t="str">
            <v>Africa</v>
          </cell>
          <cell r="J146" t="str">
            <v>Angola</v>
          </cell>
          <cell r="K146">
            <v>22462</v>
          </cell>
        </row>
        <row r="147">
          <cell r="A147" t="str">
            <v>In service</v>
          </cell>
          <cell r="B147" t="str">
            <v>Gulfstream Aerospace Gulfstream I</v>
          </cell>
          <cell r="C147" t="str">
            <v>Freighter</v>
          </cell>
          <cell r="D147">
            <v>1958</v>
          </cell>
          <cell r="E147" t="str">
            <v>East African Safari Express</v>
          </cell>
          <cell r="F147">
            <v>46</v>
          </cell>
          <cell r="G147">
            <v>26724</v>
          </cell>
          <cell r="H147" t="str">
            <v>Freighter</v>
          </cell>
          <cell r="I147" t="str">
            <v>Africa</v>
          </cell>
          <cell r="J147" t="str">
            <v>Kenya</v>
          </cell>
        </row>
        <row r="148">
          <cell r="A148" t="str">
            <v>In service</v>
          </cell>
          <cell r="B148" t="str">
            <v>Gulfstream Aerospace Gulfstream I</v>
          </cell>
          <cell r="C148" t="str">
            <v>Freighter</v>
          </cell>
          <cell r="D148">
            <v>1964</v>
          </cell>
          <cell r="E148" t="str">
            <v>King Air Services Partnership</v>
          </cell>
          <cell r="F148">
            <v>40</v>
          </cell>
          <cell r="G148">
            <v>23658</v>
          </cell>
          <cell r="H148" t="str">
            <v>Freighter</v>
          </cell>
          <cell r="I148" t="str">
            <v>Africa</v>
          </cell>
          <cell r="J148" t="str">
            <v>South Africa</v>
          </cell>
          <cell r="K148">
            <v>23573</v>
          </cell>
        </row>
        <row r="149">
          <cell r="A149" t="str">
            <v>In service</v>
          </cell>
          <cell r="B149" t="str">
            <v>Gulfstream Aerospace Gulfstream I</v>
          </cell>
          <cell r="C149" t="str">
            <v>Freighter</v>
          </cell>
          <cell r="D149">
            <v>1965</v>
          </cell>
          <cell r="E149" t="str">
            <v>Stellair</v>
          </cell>
          <cell r="F149">
            <v>39</v>
          </cell>
          <cell r="G149">
            <v>23966</v>
          </cell>
          <cell r="H149" t="str">
            <v>Freighter</v>
          </cell>
          <cell r="I149" t="str">
            <v>Europe</v>
          </cell>
          <cell r="J149" t="str">
            <v>Spain</v>
          </cell>
          <cell r="K149">
            <v>23757</v>
          </cell>
        </row>
        <row r="150">
          <cell r="A150" t="str">
            <v>In service</v>
          </cell>
          <cell r="B150" t="str">
            <v>Gulfstream Aerospace Gulfstream I</v>
          </cell>
          <cell r="C150" t="str">
            <v>Freighter</v>
          </cell>
          <cell r="D150">
            <v>1969</v>
          </cell>
          <cell r="E150" t="str">
            <v>Phoenix Air</v>
          </cell>
          <cell r="F150">
            <v>35</v>
          </cell>
          <cell r="G150">
            <v>25218</v>
          </cell>
          <cell r="H150" t="str">
            <v>Freighter</v>
          </cell>
          <cell r="I150" t="str">
            <v>North America</v>
          </cell>
          <cell r="J150" t="str">
            <v>USA</v>
          </cell>
          <cell r="K150">
            <v>24912</v>
          </cell>
        </row>
        <row r="151">
          <cell r="A151" t="str">
            <v>In service</v>
          </cell>
          <cell r="B151" t="str">
            <v>Gulfstream Aerospace Gulfstream I</v>
          </cell>
          <cell r="C151" t="str">
            <v>Freighter</v>
          </cell>
          <cell r="D151">
            <v>1960</v>
          </cell>
          <cell r="E151" t="str">
            <v>Stellair</v>
          </cell>
          <cell r="F151">
            <v>44</v>
          </cell>
          <cell r="G151">
            <v>22027</v>
          </cell>
          <cell r="H151" t="str">
            <v>Freighter</v>
          </cell>
          <cell r="I151" t="str">
            <v>Europe</v>
          </cell>
          <cell r="J151" t="str">
            <v>Spain</v>
          </cell>
          <cell r="K151">
            <v>21838</v>
          </cell>
        </row>
        <row r="152">
          <cell r="A152" t="str">
            <v>In service</v>
          </cell>
          <cell r="B152" t="str">
            <v>Gulfstream Aerospace Gulfstream I</v>
          </cell>
          <cell r="C152" t="str">
            <v>Freighter</v>
          </cell>
          <cell r="D152">
            <v>1960</v>
          </cell>
          <cell r="E152" t="str">
            <v>Stellair</v>
          </cell>
          <cell r="F152">
            <v>44</v>
          </cell>
          <cell r="G152">
            <v>22038</v>
          </cell>
          <cell r="H152" t="str">
            <v>Freighter</v>
          </cell>
          <cell r="I152" t="str">
            <v>Europe</v>
          </cell>
          <cell r="J152" t="str">
            <v>Spain</v>
          </cell>
          <cell r="K152">
            <v>21869</v>
          </cell>
        </row>
        <row r="153">
          <cell r="A153" t="str">
            <v>In service</v>
          </cell>
          <cell r="B153" t="str">
            <v>Gulfstream Aerospace Gulfstream I</v>
          </cell>
          <cell r="C153" t="str">
            <v>Freighter</v>
          </cell>
          <cell r="D153">
            <v>1962</v>
          </cell>
          <cell r="E153" t="str">
            <v>Phoenix Air</v>
          </cell>
          <cell r="F153">
            <v>42</v>
          </cell>
          <cell r="G153">
            <v>23008</v>
          </cell>
          <cell r="H153" t="str">
            <v>Freighter</v>
          </cell>
          <cell r="I153" t="str">
            <v>North America</v>
          </cell>
          <cell r="J153" t="str">
            <v>USA</v>
          </cell>
          <cell r="K153">
            <v>22827</v>
          </cell>
        </row>
        <row r="154">
          <cell r="A154" t="str">
            <v>In service</v>
          </cell>
          <cell r="B154" t="str">
            <v>Gulfstream Aerospace Gulfstream II</v>
          </cell>
          <cell r="C154" t="str">
            <v xml:space="preserve"> </v>
          </cell>
          <cell r="D154">
            <v>1971</v>
          </cell>
          <cell r="E154" t="str">
            <v>Aero Falcons LLC</v>
          </cell>
          <cell r="F154">
            <v>33</v>
          </cell>
          <cell r="G154">
            <v>26276</v>
          </cell>
          <cell r="I154" t="str">
            <v>North America</v>
          </cell>
          <cell r="J154" t="str">
            <v>USA</v>
          </cell>
          <cell r="K154">
            <v>25384</v>
          </cell>
        </row>
        <row r="155">
          <cell r="A155" t="str">
            <v>In service</v>
          </cell>
          <cell r="B155" t="str">
            <v>Gulfstream Aerospace Gulfstream II</v>
          </cell>
          <cell r="C155" t="str">
            <v xml:space="preserve"> </v>
          </cell>
          <cell r="D155">
            <v>1971</v>
          </cell>
          <cell r="E155" t="str">
            <v>Geosar LLC</v>
          </cell>
          <cell r="F155">
            <v>33</v>
          </cell>
          <cell r="G155">
            <v>26301</v>
          </cell>
          <cell r="I155" t="str">
            <v>North America</v>
          </cell>
          <cell r="J155" t="str">
            <v>USA</v>
          </cell>
          <cell r="K155">
            <v>26114</v>
          </cell>
        </row>
        <row r="156">
          <cell r="A156" t="str">
            <v>In service</v>
          </cell>
          <cell r="B156" t="str">
            <v>Gulfstream Aerospace Gulfstream II</v>
          </cell>
          <cell r="C156" t="str">
            <v xml:space="preserve"> </v>
          </cell>
          <cell r="D156">
            <v>1968</v>
          </cell>
          <cell r="E156" t="str">
            <v>Fairway Enterprises Inc</v>
          </cell>
          <cell r="F156">
            <v>36</v>
          </cell>
          <cell r="G156">
            <v>24873</v>
          </cell>
          <cell r="I156" t="str">
            <v>North America</v>
          </cell>
          <cell r="J156" t="str">
            <v>USA</v>
          </cell>
          <cell r="K156">
            <v>24653</v>
          </cell>
        </row>
        <row r="157">
          <cell r="A157" t="str">
            <v>In service</v>
          </cell>
          <cell r="B157" t="str">
            <v>Gulfstream Aerospace Gulfstream II</v>
          </cell>
          <cell r="C157" t="str">
            <v xml:space="preserve"> </v>
          </cell>
          <cell r="D157">
            <v>1972</v>
          </cell>
          <cell r="E157" t="str">
            <v>Business Jet Enterprises LP</v>
          </cell>
          <cell r="F157">
            <v>32</v>
          </cell>
          <cell r="G157">
            <v>26413</v>
          </cell>
          <cell r="I157" t="str">
            <v>North America</v>
          </cell>
          <cell r="J157" t="str">
            <v>USA</v>
          </cell>
          <cell r="K157">
            <v>25749</v>
          </cell>
        </row>
        <row r="158">
          <cell r="A158" t="str">
            <v>In service</v>
          </cell>
          <cell r="B158" t="str">
            <v>Gulfstream Aerospace Gulfstream II</v>
          </cell>
          <cell r="C158" t="str">
            <v xml:space="preserve"> </v>
          </cell>
          <cell r="D158">
            <v>1972</v>
          </cell>
          <cell r="E158" t="str">
            <v>Omnitrition de Mexico SA</v>
          </cell>
          <cell r="F158">
            <v>32</v>
          </cell>
          <cell r="G158">
            <v>26480</v>
          </cell>
          <cell r="I158" t="str">
            <v>Latin America and Caribbean</v>
          </cell>
          <cell r="J158" t="str">
            <v>Mexico</v>
          </cell>
          <cell r="K158">
            <v>26114</v>
          </cell>
        </row>
        <row r="159">
          <cell r="A159" t="str">
            <v>In service</v>
          </cell>
          <cell r="B159" t="str">
            <v>Gulfstream Aerospace Gulfstream II</v>
          </cell>
          <cell r="C159" t="str">
            <v xml:space="preserve"> </v>
          </cell>
          <cell r="D159">
            <v>1972</v>
          </cell>
          <cell r="E159" t="str">
            <v>Trans Exec Air Service</v>
          </cell>
          <cell r="F159">
            <v>32</v>
          </cell>
          <cell r="G159">
            <v>26536</v>
          </cell>
          <cell r="I159" t="str">
            <v>North America</v>
          </cell>
          <cell r="J159" t="str">
            <v>USA</v>
          </cell>
          <cell r="K159">
            <v>25749</v>
          </cell>
        </row>
        <row r="160">
          <cell r="A160" t="str">
            <v>In service</v>
          </cell>
          <cell r="B160" t="str">
            <v>Gulfstream Aerospace Gulfstream II</v>
          </cell>
          <cell r="C160" t="str">
            <v xml:space="preserve"> </v>
          </cell>
          <cell r="D160">
            <v>1972</v>
          </cell>
          <cell r="E160" t="str">
            <v>NASA</v>
          </cell>
          <cell r="F160">
            <v>32</v>
          </cell>
          <cell r="G160">
            <v>26576</v>
          </cell>
          <cell r="I160" t="str">
            <v>North America</v>
          </cell>
          <cell r="J160" t="str">
            <v>USA</v>
          </cell>
          <cell r="K160">
            <v>26114</v>
          </cell>
        </row>
        <row r="161">
          <cell r="A161" t="str">
            <v>In service</v>
          </cell>
          <cell r="B161" t="str">
            <v>Gulfstream Aerospace Gulfstream II</v>
          </cell>
          <cell r="C161" t="str">
            <v xml:space="preserve"> </v>
          </cell>
          <cell r="D161">
            <v>1972</v>
          </cell>
          <cell r="E161" t="str">
            <v>R Lacy Inc</v>
          </cell>
          <cell r="F161">
            <v>32</v>
          </cell>
          <cell r="G161">
            <v>26669</v>
          </cell>
          <cell r="I161" t="str">
            <v>North America</v>
          </cell>
          <cell r="J161" t="str">
            <v>USA</v>
          </cell>
          <cell r="K161">
            <v>26114</v>
          </cell>
        </row>
        <row r="162">
          <cell r="A162" t="str">
            <v>In service</v>
          </cell>
          <cell r="B162" t="str">
            <v>Gulfstream Aerospace Gulfstream II</v>
          </cell>
          <cell r="C162" t="str">
            <v xml:space="preserve"> </v>
          </cell>
          <cell r="D162">
            <v>1973</v>
          </cell>
          <cell r="E162" t="str">
            <v xml:space="preserve">New Light Church World Outreach &amp; Worship Centers </v>
          </cell>
          <cell r="F162">
            <v>31</v>
          </cell>
          <cell r="G162">
            <v>26801</v>
          </cell>
          <cell r="I162" t="str">
            <v>North America</v>
          </cell>
          <cell r="J162" t="str">
            <v>USA</v>
          </cell>
          <cell r="K162">
            <v>26114</v>
          </cell>
        </row>
        <row r="163">
          <cell r="A163" t="str">
            <v>In service</v>
          </cell>
          <cell r="B163" t="str">
            <v>Gulfstream Aerospace Gulfstream II</v>
          </cell>
          <cell r="C163" t="str">
            <v xml:space="preserve"> </v>
          </cell>
          <cell r="D163">
            <v>1968</v>
          </cell>
          <cell r="E163" t="str">
            <v>LFP Inc</v>
          </cell>
          <cell r="F163">
            <v>36</v>
          </cell>
          <cell r="G163">
            <v>24960</v>
          </cell>
          <cell r="I163" t="str">
            <v>North America</v>
          </cell>
          <cell r="J163" t="str">
            <v>USA</v>
          </cell>
          <cell r="K163">
            <v>23923</v>
          </cell>
        </row>
        <row r="164">
          <cell r="A164" t="str">
            <v>In service</v>
          </cell>
          <cell r="B164" t="str">
            <v>Gulfstream Aerospace Gulfstream II</v>
          </cell>
          <cell r="C164" t="str">
            <v xml:space="preserve"> </v>
          </cell>
          <cell r="D164">
            <v>1973</v>
          </cell>
          <cell r="E164" t="str">
            <v>John Wing Aviation Inc</v>
          </cell>
          <cell r="F164">
            <v>31</v>
          </cell>
          <cell r="G164">
            <v>26896</v>
          </cell>
          <cell r="I164" t="str">
            <v>North America</v>
          </cell>
          <cell r="J164" t="str">
            <v>USA</v>
          </cell>
          <cell r="K164">
            <v>26480</v>
          </cell>
        </row>
        <row r="165">
          <cell r="A165" t="str">
            <v>In service</v>
          </cell>
          <cell r="B165" t="str">
            <v>Gulfstream Aerospace Gulfstream II</v>
          </cell>
          <cell r="C165" t="str">
            <v xml:space="preserve"> </v>
          </cell>
          <cell r="D165">
            <v>1973</v>
          </cell>
          <cell r="E165" t="str">
            <v>EICO II Corp</v>
          </cell>
          <cell r="F165">
            <v>31</v>
          </cell>
          <cell r="G165">
            <v>26907</v>
          </cell>
          <cell r="I165" t="str">
            <v>North America</v>
          </cell>
          <cell r="J165" t="str">
            <v>USA</v>
          </cell>
          <cell r="K165">
            <v>26114</v>
          </cell>
        </row>
        <row r="166">
          <cell r="A166" t="str">
            <v>In service</v>
          </cell>
          <cell r="B166" t="str">
            <v>Gulfstream Aerospace Gulfstream II</v>
          </cell>
          <cell r="C166" t="str">
            <v xml:space="preserve"> </v>
          </cell>
          <cell r="D166">
            <v>1973</v>
          </cell>
          <cell r="E166" t="str">
            <v>RMQ Ltd</v>
          </cell>
          <cell r="F166">
            <v>31</v>
          </cell>
          <cell r="G166">
            <v>26974</v>
          </cell>
          <cell r="I166" t="str">
            <v>North America</v>
          </cell>
          <cell r="J166" t="str">
            <v>USA</v>
          </cell>
          <cell r="K166">
            <v>26480</v>
          </cell>
        </row>
        <row r="167">
          <cell r="A167" t="str">
            <v>In service</v>
          </cell>
          <cell r="B167" t="str">
            <v>Gulfstream Aerospace Gulfstream II</v>
          </cell>
          <cell r="C167" t="str">
            <v xml:space="preserve"> </v>
          </cell>
          <cell r="D167">
            <v>1973</v>
          </cell>
          <cell r="E167" t="str">
            <v>Walter Industries Inc</v>
          </cell>
          <cell r="F167">
            <v>31</v>
          </cell>
          <cell r="G167">
            <v>27008</v>
          </cell>
          <cell r="I167" t="str">
            <v>North America</v>
          </cell>
          <cell r="J167" t="str">
            <v>USA</v>
          </cell>
          <cell r="K167">
            <v>26480</v>
          </cell>
        </row>
        <row r="168">
          <cell r="A168" t="str">
            <v>In service</v>
          </cell>
          <cell r="B168" t="str">
            <v>Gulfstream Aerospace Gulfstream II</v>
          </cell>
          <cell r="C168" t="str">
            <v xml:space="preserve"> </v>
          </cell>
          <cell r="D168">
            <v>1974</v>
          </cell>
          <cell r="E168" t="str">
            <v>Diamond Air Service</v>
          </cell>
          <cell r="F168">
            <v>30</v>
          </cell>
          <cell r="G168">
            <v>27196</v>
          </cell>
          <cell r="I168" t="str">
            <v>Asia</v>
          </cell>
          <cell r="J168" t="str">
            <v>Japan</v>
          </cell>
          <cell r="K168">
            <v>26480</v>
          </cell>
        </row>
        <row r="169">
          <cell r="A169" t="str">
            <v>In service</v>
          </cell>
          <cell r="B169" t="str">
            <v>Gulfstream Aerospace Gulfstream II</v>
          </cell>
          <cell r="C169" t="str">
            <v xml:space="preserve"> </v>
          </cell>
          <cell r="D169">
            <v>1974</v>
          </cell>
          <cell r="E169" t="str">
            <v>RDC Marine Inc</v>
          </cell>
          <cell r="F169">
            <v>30</v>
          </cell>
          <cell r="G169">
            <v>27335</v>
          </cell>
          <cell r="I169" t="str">
            <v>North America</v>
          </cell>
          <cell r="J169" t="str">
            <v>USA</v>
          </cell>
          <cell r="K169">
            <v>26845</v>
          </cell>
        </row>
        <row r="170">
          <cell r="A170" t="str">
            <v>In service</v>
          </cell>
          <cell r="B170" t="str">
            <v>Gulfstream Aerospace Gulfstream II</v>
          </cell>
          <cell r="C170" t="str">
            <v xml:space="preserve"> </v>
          </cell>
          <cell r="D170">
            <v>1974</v>
          </cell>
          <cell r="E170" t="str">
            <v>NASA</v>
          </cell>
          <cell r="F170">
            <v>30</v>
          </cell>
          <cell r="G170">
            <v>27269</v>
          </cell>
          <cell r="I170" t="str">
            <v>North America</v>
          </cell>
          <cell r="J170" t="str">
            <v>USA</v>
          </cell>
          <cell r="K170">
            <v>26845</v>
          </cell>
        </row>
        <row r="171">
          <cell r="A171" t="str">
            <v>In service</v>
          </cell>
          <cell r="B171" t="str">
            <v>Gulfstream Aerospace Gulfstream II</v>
          </cell>
          <cell r="C171" t="str">
            <v xml:space="preserve"> </v>
          </cell>
          <cell r="D171">
            <v>1974</v>
          </cell>
          <cell r="E171" t="str">
            <v>Aviation Associates LLC</v>
          </cell>
          <cell r="F171">
            <v>30</v>
          </cell>
          <cell r="G171">
            <v>27156</v>
          </cell>
          <cell r="I171" t="str">
            <v>North America</v>
          </cell>
          <cell r="J171" t="str">
            <v>USA</v>
          </cell>
          <cell r="K171">
            <v>26480</v>
          </cell>
        </row>
        <row r="172">
          <cell r="A172" t="str">
            <v>In service</v>
          </cell>
          <cell r="B172" t="str">
            <v>Gulfstream Aerospace Gulfstream II</v>
          </cell>
          <cell r="C172" t="str">
            <v xml:space="preserve"> </v>
          </cell>
          <cell r="D172">
            <v>1974</v>
          </cell>
          <cell r="E172" t="str">
            <v>NASA</v>
          </cell>
          <cell r="F172">
            <v>30</v>
          </cell>
          <cell r="G172">
            <v>27169</v>
          </cell>
          <cell r="I172" t="str">
            <v>North America</v>
          </cell>
          <cell r="J172" t="str">
            <v>USA</v>
          </cell>
          <cell r="K172">
            <v>26845</v>
          </cell>
        </row>
        <row r="173">
          <cell r="A173" t="str">
            <v>In service</v>
          </cell>
          <cell r="B173" t="str">
            <v>Gulfstream Aerospace Gulfstream II</v>
          </cell>
          <cell r="C173" t="str">
            <v xml:space="preserve"> </v>
          </cell>
          <cell r="D173">
            <v>1968</v>
          </cell>
          <cell r="E173" t="str">
            <v>JT Aviation Corp</v>
          </cell>
          <cell r="F173">
            <v>36</v>
          </cell>
          <cell r="G173">
            <v>25034</v>
          </cell>
          <cell r="I173" t="str">
            <v>North America</v>
          </cell>
          <cell r="J173" t="str">
            <v>USA</v>
          </cell>
          <cell r="K173">
            <v>24653</v>
          </cell>
        </row>
        <row r="174">
          <cell r="A174" t="str">
            <v>In service</v>
          </cell>
          <cell r="B174" t="str">
            <v>Gulfstream Aerospace Gulfstream II</v>
          </cell>
          <cell r="C174" t="str">
            <v xml:space="preserve"> </v>
          </cell>
          <cell r="D174">
            <v>1974</v>
          </cell>
          <cell r="E174" t="str">
            <v>Little Caesar Enterprises Inc</v>
          </cell>
          <cell r="F174">
            <v>30</v>
          </cell>
          <cell r="G174">
            <v>27306</v>
          </cell>
          <cell r="I174" t="str">
            <v>North America</v>
          </cell>
          <cell r="J174" t="str">
            <v>USA</v>
          </cell>
        </row>
        <row r="175">
          <cell r="A175" t="str">
            <v>In service</v>
          </cell>
          <cell r="B175" t="str">
            <v>Gulfstream Aerospace Gulfstream II</v>
          </cell>
          <cell r="C175" t="str">
            <v xml:space="preserve"> </v>
          </cell>
          <cell r="D175">
            <v>1974</v>
          </cell>
          <cell r="E175" t="str">
            <v>Crenshaw Christian Center Church of Los Angeles</v>
          </cell>
          <cell r="F175">
            <v>30</v>
          </cell>
          <cell r="G175">
            <v>27339</v>
          </cell>
          <cell r="I175" t="str">
            <v>North America</v>
          </cell>
          <cell r="J175" t="str">
            <v>USA</v>
          </cell>
          <cell r="K175">
            <v>26480</v>
          </cell>
        </row>
        <row r="176">
          <cell r="A176" t="str">
            <v>In service</v>
          </cell>
          <cell r="B176" t="str">
            <v>Gulfstream Aerospace Gulfstream II</v>
          </cell>
          <cell r="C176" t="str">
            <v xml:space="preserve"> </v>
          </cell>
          <cell r="D176">
            <v>1974</v>
          </cell>
          <cell r="E176" t="str">
            <v xml:space="preserve">Crown Aviation LLC </v>
          </cell>
          <cell r="F176">
            <v>30</v>
          </cell>
          <cell r="G176">
            <v>27210</v>
          </cell>
          <cell r="I176" t="str">
            <v>North America</v>
          </cell>
          <cell r="J176" t="str">
            <v>USA</v>
          </cell>
          <cell r="K176">
            <v>26845</v>
          </cell>
        </row>
        <row r="177">
          <cell r="A177" t="str">
            <v>In service</v>
          </cell>
          <cell r="B177" t="str">
            <v>Gulfstream Aerospace Gulfstream II</v>
          </cell>
          <cell r="C177" t="str">
            <v xml:space="preserve"> </v>
          </cell>
          <cell r="D177">
            <v>1975</v>
          </cell>
          <cell r="E177" t="str">
            <v>Plan 15 Aviation LLC</v>
          </cell>
          <cell r="F177">
            <v>29</v>
          </cell>
          <cell r="G177">
            <v>27774</v>
          </cell>
          <cell r="I177" t="str">
            <v>North America</v>
          </cell>
          <cell r="J177" t="str">
            <v>USA</v>
          </cell>
          <cell r="K177">
            <v>27210</v>
          </cell>
        </row>
        <row r="178">
          <cell r="A178" t="str">
            <v>In service</v>
          </cell>
          <cell r="B178" t="str">
            <v>Gulfstream Aerospace Gulfstream II</v>
          </cell>
          <cell r="C178" t="str">
            <v xml:space="preserve"> </v>
          </cell>
          <cell r="D178">
            <v>1975</v>
          </cell>
          <cell r="E178" t="str">
            <v>XTO Energy Inc</v>
          </cell>
          <cell r="F178">
            <v>29</v>
          </cell>
          <cell r="G178">
            <v>27699</v>
          </cell>
          <cell r="I178" t="str">
            <v>North America</v>
          </cell>
          <cell r="J178" t="str">
            <v>USA</v>
          </cell>
        </row>
        <row r="179">
          <cell r="A179" t="str">
            <v>In service</v>
          </cell>
          <cell r="B179" t="str">
            <v>Gulfstream Aerospace Gulfstream II</v>
          </cell>
          <cell r="C179" t="str">
            <v xml:space="preserve"> </v>
          </cell>
          <cell r="D179">
            <v>1975</v>
          </cell>
          <cell r="E179" t="str">
            <v>Saudi Arabian Airlines</v>
          </cell>
          <cell r="F179">
            <v>29</v>
          </cell>
          <cell r="G179">
            <v>27900</v>
          </cell>
          <cell r="I179" t="str">
            <v>Middle East</v>
          </cell>
          <cell r="J179" t="str">
            <v>Saudi Arabia</v>
          </cell>
          <cell r="K179">
            <v>27210</v>
          </cell>
        </row>
        <row r="180">
          <cell r="A180" t="str">
            <v>In service</v>
          </cell>
          <cell r="B180" t="str">
            <v>Gulfstream Aerospace Gulfstream II</v>
          </cell>
          <cell r="C180" t="str">
            <v xml:space="preserve"> </v>
          </cell>
          <cell r="D180">
            <v>1976</v>
          </cell>
          <cell r="E180" t="str">
            <v>Federal Government of Nigeria</v>
          </cell>
          <cell r="F180">
            <v>28</v>
          </cell>
          <cell r="G180">
            <v>28074</v>
          </cell>
          <cell r="I180" t="str">
            <v>Africa</v>
          </cell>
          <cell r="J180" t="str">
            <v>Nigeria</v>
          </cell>
          <cell r="K180">
            <v>27210</v>
          </cell>
        </row>
        <row r="181">
          <cell r="A181" t="str">
            <v>In service</v>
          </cell>
          <cell r="B181" t="str">
            <v>Gulfstream Aerospace Gulfstream II</v>
          </cell>
          <cell r="C181" t="str">
            <v xml:space="preserve"> </v>
          </cell>
          <cell r="D181">
            <v>1976</v>
          </cell>
          <cell r="E181" t="str">
            <v>Saudi CAA</v>
          </cell>
          <cell r="F181">
            <v>28</v>
          </cell>
          <cell r="G181">
            <v>28103</v>
          </cell>
          <cell r="I181" t="str">
            <v>Middle East</v>
          </cell>
          <cell r="J181" t="str">
            <v>Saudi Arabia</v>
          </cell>
        </row>
        <row r="182">
          <cell r="A182" t="str">
            <v>In service</v>
          </cell>
          <cell r="B182" t="str">
            <v>Gulfstream Aerospace Gulfstream II</v>
          </cell>
          <cell r="C182" t="str">
            <v xml:space="preserve"> </v>
          </cell>
          <cell r="D182">
            <v>1968</v>
          </cell>
          <cell r="E182" t="str">
            <v>Procuraduria General de la Republica Nacional</v>
          </cell>
          <cell r="F182">
            <v>36</v>
          </cell>
          <cell r="G182">
            <v>24981</v>
          </cell>
          <cell r="I182" t="str">
            <v>Latin America and Caribbean</v>
          </cell>
          <cell r="J182" t="str">
            <v>Mexico</v>
          </cell>
          <cell r="K182">
            <v>23923</v>
          </cell>
        </row>
        <row r="183">
          <cell r="A183" t="str">
            <v>In service</v>
          </cell>
          <cell r="B183" t="str">
            <v>Gulfstream Aerospace Gulfstream II</v>
          </cell>
          <cell r="C183" t="str">
            <v xml:space="preserve"> </v>
          </cell>
          <cell r="D183">
            <v>1976</v>
          </cell>
          <cell r="E183" t="str">
            <v>Kingsway Aviation inc</v>
          </cell>
          <cell r="F183">
            <v>28</v>
          </cell>
          <cell r="G183">
            <v>27858</v>
          </cell>
          <cell r="I183" t="str">
            <v>North America</v>
          </cell>
          <cell r="J183" t="str">
            <v>USA</v>
          </cell>
          <cell r="K183">
            <v>27210</v>
          </cell>
        </row>
        <row r="184">
          <cell r="A184" t="str">
            <v>In service</v>
          </cell>
          <cell r="B184" t="str">
            <v>Gulfstream Aerospace Gulfstream II</v>
          </cell>
          <cell r="C184" t="str">
            <v xml:space="preserve"> </v>
          </cell>
          <cell r="D184">
            <v>1976</v>
          </cell>
          <cell r="E184" t="str">
            <v>Richard &amp; David Jacobs Group</v>
          </cell>
          <cell r="F184">
            <v>28</v>
          </cell>
          <cell r="G184">
            <v>28111</v>
          </cell>
          <cell r="I184" t="str">
            <v>North America</v>
          </cell>
          <cell r="J184" t="str">
            <v>USA</v>
          </cell>
        </row>
        <row r="185">
          <cell r="A185" t="str">
            <v>In service</v>
          </cell>
          <cell r="B185" t="str">
            <v>Gulfstream Aerospace Gulfstream II</v>
          </cell>
          <cell r="C185" t="str">
            <v xml:space="preserve"> </v>
          </cell>
          <cell r="D185">
            <v>1976</v>
          </cell>
          <cell r="E185" t="str">
            <v>Avstar Jet Charter &amp; Management Services Inc</v>
          </cell>
          <cell r="F185">
            <v>28</v>
          </cell>
          <cell r="G185">
            <v>28397</v>
          </cell>
          <cell r="I185" t="str">
            <v>North America</v>
          </cell>
          <cell r="J185" t="str">
            <v>USA</v>
          </cell>
        </row>
        <row r="186">
          <cell r="A186" t="str">
            <v>In service</v>
          </cell>
          <cell r="B186" t="str">
            <v>Gulfstream Aerospace Gulfstream II</v>
          </cell>
          <cell r="C186" t="str">
            <v xml:space="preserve"> </v>
          </cell>
          <cell r="D186">
            <v>1976</v>
          </cell>
          <cell r="E186" t="str">
            <v>Avion LLC</v>
          </cell>
          <cell r="F186">
            <v>28</v>
          </cell>
          <cell r="G186">
            <v>28020</v>
          </cell>
          <cell r="I186" t="str">
            <v>North America</v>
          </cell>
          <cell r="J186" t="str">
            <v>USA</v>
          </cell>
        </row>
        <row r="187">
          <cell r="A187" t="str">
            <v>In service</v>
          </cell>
          <cell r="B187" t="str">
            <v>Gulfstream Aerospace Gulfstream II</v>
          </cell>
          <cell r="C187" t="str">
            <v xml:space="preserve"> </v>
          </cell>
          <cell r="D187">
            <v>1976</v>
          </cell>
          <cell r="E187" t="str">
            <v>American Aircraft Leasing Inc</v>
          </cell>
          <cell r="F187">
            <v>28</v>
          </cell>
          <cell r="G187">
            <v>28083</v>
          </cell>
          <cell r="I187" t="str">
            <v>North America</v>
          </cell>
          <cell r="J187" t="str">
            <v>USA</v>
          </cell>
          <cell r="K187">
            <v>27575</v>
          </cell>
        </row>
        <row r="188">
          <cell r="A188" t="str">
            <v>In service</v>
          </cell>
          <cell r="B188" t="str">
            <v>Gulfstream Aerospace Gulfstream II</v>
          </cell>
          <cell r="C188" t="str">
            <v xml:space="preserve"> </v>
          </cell>
          <cell r="D188">
            <v>1976</v>
          </cell>
          <cell r="E188" t="str">
            <v>GFS Manassas Air Services Inc</v>
          </cell>
          <cell r="F188">
            <v>28</v>
          </cell>
          <cell r="G188">
            <v>28098</v>
          </cell>
          <cell r="I188" t="str">
            <v>North America</v>
          </cell>
          <cell r="J188" t="str">
            <v>USA</v>
          </cell>
          <cell r="K188">
            <v>27575</v>
          </cell>
        </row>
        <row r="189">
          <cell r="A189" t="str">
            <v>In service</v>
          </cell>
          <cell r="B189" t="str">
            <v>Gulfstream Aerospace Gulfstream II</v>
          </cell>
          <cell r="C189" t="str">
            <v xml:space="preserve"> </v>
          </cell>
          <cell r="D189">
            <v>1976</v>
          </cell>
          <cell r="E189" t="str">
            <v>Transpais Aereo SA de CV</v>
          </cell>
          <cell r="F189">
            <v>28</v>
          </cell>
          <cell r="G189">
            <v>28105</v>
          </cell>
          <cell r="I189" t="str">
            <v>Latin America and Caribbean</v>
          </cell>
          <cell r="J189" t="str">
            <v>Mexico</v>
          </cell>
          <cell r="K189">
            <v>27575</v>
          </cell>
        </row>
        <row r="190">
          <cell r="A190" t="str">
            <v>In service</v>
          </cell>
          <cell r="B190" t="str">
            <v>Gulfstream Aerospace Gulfstream II</v>
          </cell>
          <cell r="C190" t="str">
            <v xml:space="preserve"> </v>
          </cell>
          <cell r="D190">
            <v>1976</v>
          </cell>
          <cell r="E190" t="str">
            <v>May Department Stores Co</v>
          </cell>
          <cell r="F190">
            <v>28</v>
          </cell>
          <cell r="G190">
            <v>28132</v>
          </cell>
          <cell r="I190" t="str">
            <v>North America</v>
          </cell>
          <cell r="J190" t="str">
            <v>USA</v>
          </cell>
          <cell r="K190">
            <v>27575</v>
          </cell>
        </row>
        <row r="191">
          <cell r="A191" t="str">
            <v>In service</v>
          </cell>
          <cell r="B191" t="str">
            <v>Gulfstream Aerospace Gulfstream II</v>
          </cell>
          <cell r="C191" t="str">
            <v xml:space="preserve"> </v>
          </cell>
          <cell r="D191">
            <v>1977</v>
          </cell>
          <cell r="E191" t="str">
            <v>Senterra Consulting LLC</v>
          </cell>
          <cell r="F191">
            <v>27</v>
          </cell>
          <cell r="G191">
            <v>28150</v>
          </cell>
          <cell r="I191" t="str">
            <v>North America</v>
          </cell>
          <cell r="J191" t="str">
            <v>USA</v>
          </cell>
          <cell r="K191">
            <v>27210</v>
          </cell>
        </row>
        <row r="192">
          <cell r="A192" t="str">
            <v>In service</v>
          </cell>
          <cell r="B192" t="str">
            <v>Gulfstream Aerospace Gulfstream II</v>
          </cell>
          <cell r="C192" t="str">
            <v xml:space="preserve"> </v>
          </cell>
          <cell r="D192">
            <v>1968</v>
          </cell>
          <cell r="E192" t="str">
            <v>Eddie L Long</v>
          </cell>
          <cell r="F192">
            <v>36</v>
          </cell>
          <cell r="G192">
            <v>25009</v>
          </cell>
          <cell r="I192" t="str">
            <v>North America</v>
          </cell>
          <cell r="J192" t="str">
            <v>USA</v>
          </cell>
          <cell r="K192">
            <v>24288</v>
          </cell>
        </row>
        <row r="193">
          <cell r="A193" t="str">
            <v>In service</v>
          </cell>
          <cell r="B193" t="str">
            <v>Gulfstream Aerospace Gulfstream II</v>
          </cell>
          <cell r="C193" t="str">
            <v xml:space="preserve"> </v>
          </cell>
          <cell r="D193">
            <v>1977</v>
          </cell>
          <cell r="E193" t="str">
            <v>Bill Mullis Enterprises Inc</v>
          </cell>
          <cell r="F193">
            <v>27</v>
          </cell>
          <cell r="G193">
            <v>28352</v>
          </cell>
          <cell r="I193" t="str">
            <v>North America</v>
          </cell>
          <cell r="J193" t="str">
            <v>USA</v>
          </cell>
          <cell r="K193">
            <v>27941</v>
          </cell>
        </row>
        <row r="194">
          <cell r="A194" t="str">
            <v>In service</v>
          </cell>
          <cell r="B194" t="str">
            <v>Gulfstream Aerospace Gulfstream II</v>
          </cell>
          <cell r="C194" t="str">
            <v xml:space="preserve"> </v>
          </cell>
          <cell r="D194">
            <v>1978</v>
          </cell>
          <cell r="E194" t="str">
            <v>HBJ Leasing LLC</v>
          </cell>
          <cell r="F194">
            <v>26</v>
          </cell>
          <cell r="G194">
            <v>28510</v>
          </cell>
          <cell r="I194" t="str">
            <v>North America</v>
          </cell>
          <cell r="J194" t="str">
            <v>USA</v>
          </cell>
          <cell r="K194">
            <v>27941</v>
          </cell>
        </row>
        <row r="195">
          <cell r="A195" t="str">
            <v>In service</v>
          </cell>
          <cell r="B195" t="str">
            <v>Gulfstream Aerospace Gulfstream II</v>
          </cell>
          <cell r="C195" t="str">
            <v xml:space="preserve"> </v>
          </cell>
          <cell r="D195">
            <v>1978</v>
          </cell>
          <cell r="E195" t="str">
            <v>RS Aircraft</v>
          </cell>
          <cell r="F195">
            <v>26</v>
          </cell>
          <cell r="G195">
            <v>28722</v>
          </cell>
          <cell r="I195" t="str">
            <v>North America</v>
          </cell>
          <cell r="J195" t="str">
            <v>USA</v>
          </cell>
          <cell r="K195">
            <v>28671</v>
          </cell>
        </row>
        <row r="196">
          <cell r="A196" t="str">
            <v>In service</v>
          </cell>
          <cell r="B196" t="str">
            <v>Gulfstream Aerospace Gulfstream II</v>
          </cell>
          <cell r="C196" t="str">
            <v xml:space="preserve"> </v>
          </cell>
          <cell r="D196">
            <v>1978</v>
          </cell>
          <cell r="E196" t="str">
            <v>G &amp; L Aviation</v>
          </cell>
          <cell r="F196">
            <v>26</v>
          </cell>
          <cell r="G196">
            <v>28961</v>
          </cell>
          <cell r="I196" t="str">
            <v>North America</v>
          </cell>
          <cell r="J196" t="str">
            <v>USA</v>
          </cell>
        </row>
        <row r="197">
          <cell r="A197" t="str">
            <v>In service</v>
          </cell>
          <cell r="B197" t="str">
            <v>Gulfstream Aerospace Gulfstream II</v>
          </cell>
          <cell r="C197" t="str">
            <v xml:space="preserve"> </v>
          </cell>
          <cell r="D197">
            <v>1978</v>
          </cell>
          <cell r="E197" t="str">
            <v>NASA</v>
          </cell>
          <cell r="F197">
            <v>26</v>
          </cell>
          <cell r="G197">
            <v>28640</v>
          </cell>
          <cell r="I197" t="str">
            <v>North America</v>
          </cell>
          <cell r="J197" t="str">
            <v>USA</v>
          </cell>
        </row>
        <row r="198">
          <cell r="A198" t="str">
            <v>In service</v>
          </cell>
          <cell r="B198" t="str">
            <v>Gulfstream Aerospace Gulfstream II</v>
          </cell>
          <cell r="C198" t="str">
            <v xml:space="preserve"> </v>
          </cell>
          <cell r="D198">
            <v>1968</v>
          </cell>
          <cell r="E198" t="str">
            <v>Bizjet International Sales &amp; Support</v>
          </cell>
          <cell r="F198">
            <v>36</v>
          </cell>
          <cell r="G198">
            <v>25238</v>
          </cell>
          <cell r="H198" t="str">
            <v>VC-11A</v>
          </cell>
          <cell r="I198" t="str">
            <v>North America</v>
          </cell>
          <cell r="J198" t="str">
            <v>USA</v>
          </cell>
          <cell r="K198">
            <v>24653</v>
          </cell>
        </row>
        <row r="199">
          <cell r="A199" t="str">
            <v>In service</v>
          </cell>
          <cell r="B199" t="str">
            <v>Gulfstream Aerospace Gulfstream II</v>
          </cell>
          <cell r="C199" t="str">
            <v xml:space="preserve"> </v>
          </cell>
          <cell r="D199">
            <v>1978</v>
          </cell>
          <cell r="E199" t="str">
            <v>LCH Co LLC</v>
          </cell>
          <cell r="F199">
            <v>26</v>
          </cell>
          <cell r="G199">
            <v>28814</v>
          </cell>
          <cell r="I199" t="str">
            <v>North America</v>
          </cell>
          <cell r="J199" t="str">
            <v>USA</v>
          </cell>
        </row>
        <row r="200">
          <cell r="A200" t="str">
            <v>In service</v>
          </cell>
          <cell r="B200" t="str">
            <v>Gulfstream Aerospace Gulfstream II</v>
          </cell>
          <cell r="C200" t="str">
            <v xml:space="preserve"> </v>
          </cell>
          <cell r="D200">
            <v>1968</v>
          </cell>
          <cell r="E200" t="str">
            <v>Cedar Enterprises LLC</v>
          </cell>
          <cell r="F200">
            <v>36</v>
          </cell>
          <cell r="G200">
            <v>25069</v>
          </cell>
          <cell r="I200" t="str">
            <v>North America</v>
          </cell>
          <cell r="J200" t="str">
            <v>USA</v>
          </cell>
          <cell r="K200">
            <v>24288</v>
          </cell>
        </row>
        <row r="201">
          <cell r="A201" t="str">
            <v>In service</v>
          </cell>
          <cell r="B201" t="str">
            <v>Gulfstream Aerospace Gulfstream II</v>
          </cell>
          <cell r="C201" t="str">
            <v xml:space="preserve"> </v>
          </cell>
          <cell r="D201">
            <v>1979</v>
          </cell>
          <cell r="E201" t="str">
            <v>Government of Chad</v>
          </cell>
          <cell r="F201">
            <v>25</v>
          </cell>
          <cell r="G201">
            <v>29218</v>
          </cell>
          <cell r="I201" t="str">
            <v>Africa</v>
          </cell>
          <cell r="J201" t="str">
            <v>Chad</v>
          </cell>
        </row>
        <row r="202">
          <cell r="A202" t="str">
            <v>In service</v>
          </cell>
          <cell r="B202" t="str">
            <v>Gulfstream Aerospace Gulfstream II</v>
          </cell>
          <cell r="C202" t="str">
            <v xml:space="preserve"> </v>
          </cell>
          <cell r="D202">
            <v>1979</v>
          </cell>
          <cell r="E202" t="str">
            <v>Government of Libya</v>
          </cell>
          <cell r="F202">
            <v>25</v>
          </cell>
          <cell r="G202">
            <v>29249</v>
          </cell>
          <cell r="I202" t="str">
            <v>Africa</v>
          </cell>
          <cell r="J202" t="str">
            <v>Libya</v>
          </cell>
        </row>
        <row r="203">
          <cell r="A203" t="str">
            <v>In service</v>
          </cell>
          <cell r="B203" t="str">
            <v>Gulfstream Aerospace Gulfstream II</v>
          </cell>
          <cell r="C203" t="str">
            <v xml:space="preserve"> </v>
          </cell>
          <cell r="D203">
            <v>1968</v>
          </cell>
          <cell r="E203" t="str">
            <v>Heritage Jets Inc</v>
          </cell>
          <cell r="F203">
            <v>36</v>
          </cell>
          <cell r="G203">
            <v>25070</v>
          </cell>
          <cell r="I203" t="str">
            <v>North America</v>
          </cell>
          <cell r="J203" t="str">
            <v>USA</v>
          </cell>
          <cell r="K203">
            <v>24288</v>
          </cell>
        </row>
        <row r="204">
          <cell r="A204" t="str">
            <v>In service</v>
          </cell>
          <cell r="B204" t="str">
            <v>Gulfstream Aerospace Gulfstream II</v>
          </cell>
          <cell r="C204" t="str">
            <v xml:space="preserve"> </v>
          </cell>
          <cell r="D204">
            <v>1979</v>
          </cell>
          <cell r="E204" t="str">
            <v>Rubloff 251 JS LLC</v>
          </cell>
          <cell r="F204">
            <v>25</v>
          </cell>
          <cell r="G204">
            <v>29143</v>
          </cell>
          <cell r="I204" t="str">
            <v>North America</v>
          </cell>
          <cell r="J204" t="str">
            <v>USA</v>
          </cell>
          <cell r="K204">
            <v>28671</v>
          </cell>
        </row>
        <row r="205">
          <cell r="A205" t="str">
            <v>In service</v>
          </cell>
          <cell r="B205" t="str">
            <v>Gulfstream Aerospace Gulfstream II</v>
          </cell>
          <cell r="C205" t="str">
            <v xml:space="preserve"> </v>
          </cell>
          <cell r="D205">
            <v>1980</v>
          </cell>
          <cell r="E205" t="str">
            <v>Shinn Enterprises Inc</v>
          </cell>
          <cell r="F205">
            <v>24</v>
          </cell>
          <cell r="G205">
            <v>29235</v>
          </cell>
          <cell r="I205" t="str">
            <v>North America</v>
          </cell>
          <cell r="J205" t="str">
            <v>USA</v>
          </cell>
          <cell r="K205">
            <v>29036</v>
          </cell>
        </row>
        <row r="206">
          <cell r="A206" t="str">
            <v>In service</v>
          </cell>
          <cell r="B206" t="str">
            <v>Gulfstream Aerospace Gulfstream II</v>
          </cell>
          <cell r="C206" t="str">
            <v xml:space="preserve"> </v>
          </cell>
          <cell r="D206">
            <v>1968</v>
          </cell>
          <cell r="E206" t="str">
            <v>KW Plastics Recycling Division Trust</v>
          </cell>
          <cell r="F206">
            <v>36</v>
          </cell>
          <cell r="G206">
            <v>25100</v>
          </cell>
          <cell r="I206" t="str">
            <v>North America</v>
          </cell>
          <cell r="J206" t="str">
            <v>USA</v>
          </cell>
          <cell r="K206">
            <v>24653</v>
          </cell>
        </row>
        <row r="207">
          <cell r="A207" t="str">
            <v>In service</v>
          </cell>
          <cell r="B207" t="str">
            <v>Gulfstream Aerospace Gulfstream II</v>
          </cell>
          <cell r="C207" t="str">
            <v xml:space="preserve"> </v>
          </cell>
          <cell r="D207">
            <v>1968</v>
          </cell>
          <cell r="E207" t="str">
            <v>Air Force Material Command</v>
          </cell>
          <cell r="F207">
            <v>36</v>
          </cell>
          <cell r="G207">
            <v>25125</v>
          </cell>
          <cell r="I207" t="str">
            <v>North America</v>
          </cell>
          <cell r="J207" t="str">
            <v>USA</v>
          </cell>
          <cell r="K207">
            <v>24288</v>
          </cell>
        </row>
        <row r="208">
          <cell r="A208" t="str">
            <v>In service</v>
          </cell>
          <cell r="B208" t="str">
            <v>Gulfstream Aerospace Gulfstream II</v>
          </cell>
          <cell r="C208" t="str">
            <v xml:space="preserve"> </v>
          </cell>
          <cell r="D208">
            <v>1968</v>
          </cell>
          <cell r="E208" t="str">
            <v>Rutherford Moran Oil Corp</v>
          </cell>
          <cell r="F208">
            <v>36</v>
          </cell>
          <cell r="G208">
            <v>25177</v>
          </cell>
          <cell r="I208" t="str">
            <v>North America</v>
          </cell>
          <cell r="J208" t="str">
            <v>USA</v>
          </cell>
          <cell r="K208">
            <v>24288</v>
          </cell>
        </row>
        <row r="209">
          <cell r="A209" t="str">
            <v>In service</v>
          </cell>
          <cell r="B209" t="str">
            <v>Gulfstream Aerospace Gulfstream II</v>
          </cell>
          <cell r="C209" t="str">
            <v xml:space="preserve"> </v>
          </cell>
          <cell r="D209">
            <v>1969</v>
          </cell>
          <cell r="E209" t="str">
            <v>Helicopter Systems Inc</v>
          </cell>
          <cell r="F209">
            <v>35</v>
          </cell>
          <cell r="G209">
            <v>25234</v>
          </cell>
          <cell r="I209" t="str">
            <v>North America</v>
          </cell>
          <cell r="J209" t="str">
            <v>USA</v>
          </cell>
          <cell r="K209">
            <v>24653</v>
          </cell>
        </row>
        <row r="210">
          <cell r="A210" t="str">
            <v>In service</v>
          </cell>
          <cell r="B210" t="str">
            <v>Gulfstream Aerospace Gulfstream II</v>
          </cell>
          <cell r="C210" t="str">
            <v xml:space="preserve"> </v>
          </cell>
          <cell r="D210">
            <v>1969</v>
          </cell>
          <cell r="E210" t="str">
            <v>Okun Air LLC</v>
          </cell>
          <cell r="F210">
            <v>35</v>
          </cell>
          <cell r="G210">
            <v>25515</v>
          </cell>
          <cell r="I210" t="str">
            <v>North America</v>
          </cell>
          <cell r="J210" t="str">
            <v>USA</v>
          </cell>
          <cell r="K210">
            <v>25019</v>
          </cell>
        </row>
        <row r="211">
          <cell r="A211" t="str">
            <v>In service</v>
          </cell>
          <cell r="B211" t="str">
            <v>Gulfstream Aerospace Gulfstream II</v>
          </cell>
          <cell r="C211" t="str">
            <v xml:space="preserve"> </v>
          </cell>
          <cell r="D211">
            <v>1967</v>
          </cell>
          <cell r="E211" t="str">
            <v>Ozark Aviation Inc</v>
          </cell>
          <cell r="F211">
            <v>37</v>
          </cell>
          <cell r="G211">
            <v>24812</v>
          </cell>
          <cell r="I211" t="str">
            <v>North America</v>
          </cell>
          <cell r="J211" t="str">
            <v>USA</v>
          </cell>
          <cell r="K211">
            <v>23923</v>
          </cell>
        </row>
        <row r="212">
          <cell r="A212" t="str">
            <v>In service</v>
          </cell>
          <cell r="B212" t="str">
            <v>Gulfstream Aerospace Gulfstream II</v>
          </cell>
          <cell r="C212" t="str">
            <v xml:space="preserve"> </v>
          </cell>
          <cell r="D212">
            <v>1969</v>
          </cell>
          <cell r="E212" t="str">
            <v>Air Tiger Inc</v>
          </cell>
          <cell r="F212">
            <v>35</v>
          </cell>
          <cell r="G212">
            <v>25293</v>
          </cell>
          <cell r="I212" t="str">
            <v>North America</v>
          </cell>
          <cell r="J212" t="str">
            <v>USA</v>
          </cell>
          <cell r="K212">
            <v>24653</v>
          </cell>
        </row>
        <row r="213">
          <cell r="A213" t="str">
            <v>In service</v>
          </cell>
          <cell r="B213" t="str">
            <v>Gulfstream Aerospace Gulfstream II</v>
          </cell>
          <cell r="C213" t="str">
            <v xml:space="preserve"> </v>
          </cell>
          <cell r="D213">
            <v>1969</v>
          </cell>
          <cell r="E213" t="str">
            <v>Drummond Co Inc</v>
          </cell>
          <cell r="F213">
            <v>35</v>
          </cell>
          <cell r="G213">
            <v>25335</v>
          </cell>
          <cell r="I213" t="str">
            <v>North America</v>
          </cell>
          <cell r="J213" t="str">
            <v>USA</v>
          </cell>
          <cell r="K213">
            <v>24653</v>
          </cell>
        </row>
        <row r="214">
          <cell r="A214" t="str">
            <v>In service</v>
          </cell>
          <cell r="B214" t="str">
            <v>Gulfstream Aerospace Gulfstream II</v>
          </cell>
          <cell r="C214" t="str">
            <v xml:space="preserve"> </v>
          </cell>
          <cell r="D214">
            <v>1969</v>
          </cell>
          <cell r="E214" t="str">
            <v>Kipp Ginsberg Trust</v>
          </cell>
          <cell r="F214">
            <v>35</v>
          </cell>
          <cell r="G214">
            <v>25409</v>
          </cell>
          <cell r="I214" t="str">
            <v>North America</v>
          </cell>
          <cell r="J214" t="str">
            <v>USA</v>
          </cell>
          <cell r="K214">
            <v>24653</v>
          </cell>
        </row>
        <row r="215">
          <cell r="A215" t="str">
            <v>In service</v>
          </cell>
          <cell r="B215" t="str">
            <v>Gulfstream Aerospace Gulfstream II</v>
          </cell>
          <cell r="C215" t="str">
            <v xml:space="preserve"> </v>
          </cell>
          <cell r="D215">
            <v>1969</v>
          </cell>
          <cell r="E215" t="str">
            <v>Government of the Democratic Republic of the Congo</v>
          </cell>
          <cell r="F215">
            <v>35</v>
          </cell>
          <cell r="G215">
            <v>25433</v>
          </cell>
          <cell r="I215" t="str">
            <v>Africa</v>
          </cell>
          <cell r="J215" t="str">
            <v>Congo (Democratic Republic)</v>
          </cell>
          <cell r="K215">
            <v>24653</v>
          </cell>
        </row>
        <row r="216">
          <cell r="A216" t="str">
            <v>In service</v>
          </cell>
          <cell r="B216" t="str">
            <v>Gulfstream Aerospace Gulfstream II</v>
          </cell>
          <cell r="C216" t="str">
            <v xml:space="preserve"> </v>
          </cell>
          <cell r="D216">
            <v>1969</v>
          </cell>
          <cell r="E216" t="str">
            <v>JHS Leasing of Tampa Inc</v>
          </cell>
          <cell r="F216">
            <v>35</v>
          </cell>
          <cell r="G216">
            <v>25441</v>
          </cell>
          <cell r="I216" t="str">
            <v>North America</v>
          </cell>
          <cell r="J216" t="str">
            <v>USA</v>
          </cell>
          <cell r="K216">
            <v>24653</v>
          </cell>
        </row>
        <row r="217">
          <cell r="A217" t="str">
            <v>In service</v>
          </cell>
          <cell r="B217" t="str">
            <v>Gulfstream Aerospace Gulfstream II</v>
          </cell>
          <cell r="C217" t="str">
            <v xml:space="preserve"> </v>
          </cell>
          <cell r="D217">
            <v>1969</v>
          </cell>
          <cell r="E217" t="str">
            <v>Scott Aviation Inc</v>
          </cell>
          <cell r="F217">
            <v>35</v>
          </cell>
          <cell r="G217">
            <v>25458</v>
          </cell>
          <cell r="I217" t="str">
            <v>North America</v>
          </cell>
          <cell r="J217" t="str">
            <v>USA</v>
          </cell>
          <cell r="K217">
            <v>24653</v>
          </cell>
        </row>
        <row r="218">
          <cell r="A218" t="str">
            <v>In service</v>
          </cell>
          <cell r="B218" t="str">
            <v>Gulfstream Aerospace Gulfstream II</v>
          </cell>
          <cell r="C218" t="str">
            <v xml:space="preserve"> </v>
          </cell>
          <cell r="D218">
            <v>1969</v>
          </cell>
          <cell r="E218" t="str">
            <v>7-N Aircorp</v>
          </cell>
          <cell r="F218">
            <v>35</v>
          </cell>
          <cell r="G218">
            <v>25489</v>
          </cell>
          <cell r="I218" t="str">
            <v>North America</v>
          </cell>
          <cell r="J218" t="str">
            <v>USA</v>
          </cell>
          <cell r="K218">
            <v>24653</v>
          </cell>
        </row>
        <row r="219">
          <cell r="A219" t="str">
            <v>In service</v>
          </cell>
          <cell r="B219" t="str">
            <v>Gulfstream Aerospace Gulfstream II</v>
          </cell>
          <cell r="C219" t="str">
            <v xml:space="preserve"> </v>
          </cell>
          <cell r="D219">
            <v>1969</v>
          </cell>
          <cell r="E219" t="str">
            <v>J &amp; M Plane LLC</v>
          </cell>
          <cell r="F219">
            <v>35</v>
          </cell>
          <cell r="G219">
            <v>25559</v>
          </cell>
          <cell r="I219" t="str">
            <v>North America</v>
          </cell>
          <cell r="J219" t="str">
            <v>USA</v>
          </cell>
          <cell r="K219">
            <v>24653</v>
          </cell>
        </row>
        <row r="220">
          <cell r="A220" t="str">
            <v>In service</v>
          </cell>
          <cell r="B220" t="str">
            <v>Gulfstream Aerospace Gulfstream II</v>
          </cell>
          <cell r="C220" t="str">
            <v xml:space="preserve"> </v>
          </cell>
          <cell r="D220">
            <v>1970</v>
          </cell>
          <cell r="E220" t="str">
            <v>Hendrick Motorsports Inc</v>
          </cell>
          <cell r="F220">
            <v>34</v>
          </cell>
          <cell r="G220">
            <v>25703</v>
          </cell>
          <cell r="I220" t="str">
            <v>North America</v>
          </cell>
          <cell r="J220" t="str">
            <v>USA</v>
          </cell>
          <cell r="K220">
            <v>25019</v>
          </cell>
        </row>
        <row r="221">
          <cell r="A221" t="str">
            <v>In service</v>
          </cell>
          <cell r="B221" t="str">
            <v>Gulfstream Aerospace Gulfstream II</v>
          </cell>
          <cell r="C221" t="str">
            <v xml:space="preserve"> </v>
          </cell>
          <cell r="D221">
            <v>1970</v>
          </cell>
          <cell r="E221" t="str">
            <v>Southern Leasing LLC</v>
          </cell>
          <cell r="F221">
            <v>34</v>
          </cell>
          <cell r="G221">
            <v>25630</v>
          </cell>
          <cell r="I221" t="str">
            <v>North America</v>
          </cell>
          <cell r="J221" t="str">
            <v>USA</v>
          </cell>
          <cell r="K221">
            <v>25019</v>
          </cell>
        </row>
        <row r="222">
          <cell r="A222" t="str">
            <v>In service</v>
          </cell>
          <cell r="B222" t="str">
            <v>Gulfstream Aerospace Gulfstream II</v>
          </cell>
          <cell r="C222" t="str">
            <v xml:space="preserve"> </v>
          </cell>
          <cell r="D222">
            <v>1970</v>
          </cell>
          <cell r="E222" t="str">
            <v>Scott Aviation Inc</v>
          </cell>
          <cell r="F222">
            <v>34</v>
          </cell>
          <cell r="G222">
            <v>25703</v>
          </cell>
          <cell r="I222" t="str">
            <v>North America</v>
          </cell>
          <cell r="J222" t="str">
            <v>USA</v>
          </cell>
          <cell r="K222">
            <v>25019</v>
          </cell>
        </row>
        <row r="223">
          <cell r="A223" t="str">
            <v>In service</v>
          </cell>
          <cell r="B223" t="str">
            <v>Gulfstream Aerospace Gulfstream II</v>
          </cell>
          <cell r="C223" t="str">
            <v>B</v>
          </cell>
          <cell r="D223">
            <v>1971</v>
          </cell>
          <cell r="E223" t="str">
            <v>The Clorox Co</v>
          </cell>
          <cell r="F223">
            <v>33</v>
          </cell>
          <cell r="G223">
            <v>26213</v>
          </cell>
          <cell r="H223" t="str">
            <v>IIB</v>
          </cell>
          <cell r="I223" t="str">
            <v>North America</v>
          </cell>
          <cell r="J223" t="str">
            <v>USA</v>
          </cell>
          <cell r="K223">
            <v>25384</v>
          </cell>
        </row>
        <row r="224">
          <cell r="A224" t="str">
            <v>In service</v>
          </cell>
          <cell r="B224" t="str">
            <v>Gulfstream Aerospace Gulfstream II</v>
          </cell>
          <cell r="C224" t="str">
            <v>B</v>
          </cell>
          <cell r="D224">
            <v>1972</v>
          </cell>
          <cell r="E224" t="str">
            <v>MA 500 Inc/New World Aircraft GIIB-119LLC</v>
          </cell>
          <cell r="F224">
            <v>32</v>
          </cell>
          <cell r="G224">
            <v>26606</v>
          </cell>
          <cell r="H224" t="str">
            <v>IIB</v>
          </cell>
          <cell r="I224" t="str">
            <v>North America</v>
          </cell>
          <cell r="J224" t="str">
            <v>USA</v>
          </cell>
          <cell r="K224">
            <v>25749</v>
          </cell>
        </row>
        <row r="225">
          <cell r="A225" t="str">
            <v>In service</v>
          </cell>
          <cell r="B225" t="str">
            <v>Gulfstream Aerospace Gulfstream II</v>
          </cell>
          <cell r="C225" t="str">
            <v>B</v>
          </cell>
          <cell r="D225">
            <v>1973</v>
          </cell>
          <cell r="E225" t="str">
            <v>Scruggs Law Firm PA</v>
          </cell>
          <cell r="F225">
            <v>31</v>
          </cell>
          <cell r="G225">
            <v>26693</v>
          </cell>
          <cell r="H225" t="str">
            <v>IIB</v>
          </cell>
          <cell r="I225" t="str">
            <v>North America</v>
          </cell>
          <cell r="J225" t="str">
            <v>USA</v>
          </cell>
          <cell r="K225">
            <v>26480</v>
          </cell>
        </row>
        <row r="226">
          <cell r="A226" t="str">
            <v>In service</v>
          </cell>
          <cell r="B226" t="str">
            <v>Gulfstream Aerospace Gulfstream II</v>
          </cell>
          <cell r="C226" t="str">
            <v>B</v>
          </cell>
          <cell r="D226">
            <v>1973</v>
          </cell>
          <cell r="E226" t="str">
            <v>Missile Defence Agency Department of Defence</v>
          </cell>
          <cell r="F226">
            <v>31</v>
          </cell>
          <cell r="G226">
            <v>26743</v>
          </cell>
          <cell r="H226" t="str">
            <v>HALO II</v>
          </cell>
          <cell r="I226" t="str">
            <v>North America</v>
          </cell>
          <cell r="J226" t="str">
            <v>USA</v>
          </cell>
          <cell r="K226">
            <v>26114</v>
          </cell>
        </row>
        <row r="227">
          <cell r="A227" t="str">
            <v>In service</v>
          </cell>
          <cell r="B227" t="str">
            <v>Gulfstream Aerospace Gulfstream II</v>
          </cell>
          <cell r="C227" t="str">
            <v>B</v>
          </cell>
          <cell r="D227">
            <v>1973</v>
          </cell>
          <cell r="E227" t="str">
            <v>C.A.R. LLC</v>
          </cell>
          <cell r="F227">
            <v>31</v>
          </cell>
          <cell r="G227">
            <v>27054</v>
          </cell>
          <cell r="H227" t="str">
            <v>IIB</v>
          </cell>
          <cell r="I227" t="str">
            <v>North America</v>
          </cell>
          <cell r="J227" t="str">
            <v>USA</v>
          </cell>
          <cell r="K227">
            <v>26480</v>
          </cell>
        </row>
        <row r="228">
          <cell r="A228" t="str">
            <v>In service</v>
          </cell>
          <cell r="B228" t="str">
            <v>Gulfstream Aerospace Gulfstream II</v>
          </cell>
          <cell r="C228" t="str">
            <v>B</v>
          </cell>
          <cell r="D228">
            <v>1974</v>
          </cell>
          <cell r="E228" t="str">
            <v>Tikchik LLC</v>
          </cell>
          <cell r="F228">
            <v>30</v>
          </cell>
          <cell r="G228">
            <v>27173</v>
          </cell>
          <cell r="H228" t="str">
            <v>IIB</v>
          </cell>
          <cell r="I228" t="str">
            <v>North America</v>
          </cell>
          <cell r="J228" t="str">
            <v>USA</v>
          </cell>
          <cell r="K228">
            <v>26480</v>
          </cell>
        </row>
        <row r="229">
          <cell r="A229" t="str">
            <v>In service</v>
          </cell>
          <cell r="B229" t="str">
            <v>Gulfstream Aerospace Gulfstream II</v>
          </cell>
          <cell r="C229" t="str">
            <v>B</v>
          </cell>
          <cell r="D229">
            <v>1974</v>
          </cell>
          <cell r="E229" t="str">
            <v>Yellow Tail G-1 LLC</v>
          </cell>
          <cell r="F229">
            <v>30</v>
          </cell>
          <cell r="G229">
            <v>27224</v>
          </cell>
          <cell r="H229" t="str">
            <v>IIB</v>
          </cell>
          <cell r="I229" t="str">
            <v>North America</v>
          </cell>
          <cell r="J229" t="str">
            <v>USA</v>
          </cell>
          <cell r="K229">
            <v>27210</v>
          </cell>
        </row>
        <row r="230">
          <cell r="A230" t="str">
            <v>In service</v>
          </cell>
          <cell r="B230" t="str">
            <v>Gulfstream Aerospace Gulfstream II</v>
          </cell>
          <cell r="C230" t="str">
            <v>B</v>
          </cell>
          <cell r="D230">
            <v>1974</v>
          </cell>
          <cell r="E230" t="str">
            <v>Hyperion Air Inc</v>
          </cell>
          <cell r="F230">
            <v>30</v>
          </cell>
          <cell r="G230">
            <v>27320</v>
          </cell>
          <cell r="H230" t="str">
            <v>IIB</v>
          </cell>
          <cell r="I230" t="str">
            <v>North America</v>
          </cell>
          <cell r="J230" t="str">
            <v>USA</v>
          </cell>
        </row>
        <row r="231">
          <cell r="A231" t="str">
            <v>In service</v>
          </cell>
          <cell r="B231" t="str">
            <v>Gulfstream Aerospace Gulfstream II</v>
          </cell>
          <cell r="C231" t="str">
            <v>B</v>
          </cell>
          <cell r="D231">
            <v>1974</v>
          </cell>
          <cell r="E231" t="str">
            <v>SA Holding LLC</v>
          </cell>
          <cell r="F231">
            <v>30</v>
          </cell>
          <cell r="G231">
            <v>27369</v>
          </cell>
          <cell r="H231" t="str">
            <v>IIB</v>
          </cell>
          <cell r="I231" t="str">
            <v>North America</v>
          </cell>
          <cell r="J231" t="str">
            <v>USA</v>
          </cell>
          <cell r="K231">
            <v>26480</v>
          </cell>
        </row>
        <row r="232">
          <cell r="A232" t="str">
            <v>In service</v>
          </cell>
          <cell r="B232" t="str">
            <v>Gulfstream Aerospace Gulfstream II</v>
          </cell>
          <cell r="C232" t="str">
            <v>B</v>
          </cell>
          <cell r="D232">
            <v>1974</v>
          </cell>
          <cell r="E232" t="str">
            <v>477 Aviation LLC</v>
          </cell>
          <cell r="F232">
            <v>30</v>
          </cell>
          <cell r="G232">
            <v>27378</v>
          </cell>
          <cell r="H232" t="str">
            <v>IIB</v>
          </cell>
          <cell r="I232" t="str">
            <v>North America</v>
          </cell>
          <cell r="J232" t="str">
            <v>USA</v>
          </cell>
          <cell r="K232">
            <v>26480</v>
          </cell>
        </row>
        <row r="233">
          <cell r="A233" t="str">
            <v>In service</v>
          </cell>
          <cell r="B233" t="str">
            <v>Gulfstream Aerospace Gulfstream II</v>
          </cell>
          <cell r="C233" t="str">
            <v>B</v>
          </cell>
          <cell r="D233">
            <v>1974</v>
          </cell>
          <cell r="E233" t="str">
            <v>Yellowstone Aviation &amp; Marine LLC</v>
          </cell>
          <cell r="F233">
            <v>30</v>
          </cell>
          <cell r="G233">
            <v>27417</v>
          </cell>
          <cell r="H233" t="str">
            <v>IIB</v>
          </cell>
          <cell r="I233" t="str">
            <v>North America</v>
          </cell>
          <cell r="J233" t="str">
            <v>USA</v>
          </cell>
          <cell r="K233">
            <v>26845</v>
          </cell>
        </row>
        <row r="234">
          <cell r="A234" t="str">
            <v>In service</v>
          </cell>
          <cell r="B234" t="str">
            <v>Gulfstream Aerospace Gulfstream II</v>
          </cell>
          <cell r="C234" t="str">
            <v>B</v>
          </cell>
          <cell r="D234">
            <v>1968</v>
          </cell>
          <cell r="E234" t="str">
            <v>Charles Fry Electronics Inc</v>
          </cell>
          <cell r="F234">
            <v>36</v>
          </cell>
          <cell r="G234">
            <v>24975</v>
          </cell>
          <cell r="H234" t="str">
            <v>IIB</v>
          </cell>
          <cell r="I234" t="str">
            <v>North America</v>
          </cell>
          <cell r="J234" t="str">
            <v>USA</v>
          </cell>
          <cell r="K234">
            <v>24288</v>
          </cell>
        </row>
        <row r="235">
          <cell r="A235" t="str">
            <v>In service</v>
          </cell>
          <cell r="B235" t="str">
            <v>Gulfstream Aerospace Gulfstream II</v>
          </cell>
          <cell r="C235" t="str">
            <v>B</v>
          </cell>
          <cell r="D235">
            <v>1975</v>
          </cell>
          <cell r="E235" t="str">
            <v>A.P. Enterprises LLC</v>
          </cell>
          <cell r="F235">
            <v>29</v>
          </cell>
          <cell r="G235">
            <v>27589</v>
          </cell>
          <cell r="H235" t="str">
            <v>IIB</v>
          </cell>
          <cell r="I235" t="str">
            <v>North America</v>
          </cell>
          <cell r="J235" t="str">
            <v>USA</v>
          </cell>
        </row>
        <row r="236">
          <cell r="A236" t="str">
            <v>In service</v>
          </cell>
          <cell r="B236" t="str">
            <v>Gulfstream Aerospace Gulfstream II</v>
          </cell>
          <cell r="C236" t="str">
            <v>B</v>
          </cell>
          <cell r="D236">
            <v>1975</v>
          </cell>
          <cell r="E236" t="str">
            <v>Deniston Enterprises Inc</v>
          </cell>
          <cell r="F236">
            <v>29</v>
          </cell>
          <cell r="G236">
            <v>27603</v>
          </cell>
          <cell r="H236" t="str">
            <v>IIB</v>
          </cell>
          <cell r="I236" t="str">
            <v>North America</v>
          </cell>
          <cell r="J236" t="str">
            <v>USA</v>
          </cell>
          <cell r="K236">
            <v>27210</v>
          </cell>
        </row>
        <row r="237">
          <cell r="A237" t="str">
            <v>In service</v>
          </cell>
          <cell r="B237" t="str">
            <v>Gulfstream Aerospace Gulfstream II</v>
          </cell>
          <cell r="C237" t="str">
            <v>B</v>
          </cell>
          <cell r="D237">
            <v>1977</v>
          </cell>
          <cell r="E237" t="str">
            <v>Bopper Airways LLC</v>
          </cell>
          <cell r="F237">
            <v>27</v>
          </cell>
          <cell r="G237">
            <v>28177</v>
          </cell>
          <cell r="H237" t="str">
            <v>IIB</v>
          </cell>
          <cell r="I237" t="str">
            <v>North America</v>
          </cell>
          <cell r="J237" t="str">
            <v>USA</v>
          </cell>
          <cell r="K237">
            <v>27941</v>
          </cell>
        </row>
        <row r="238">
          <cell r="A238" t="str">
            <v>In service</v>
          </cell>
          <cell r="B238" t="str">
            <v>Gulfstream Aerospace Gulfstream II</v>
          </cell>
          <cell r="C238" t="str">
            <v>B</v>
          </cell>
          <cell r="D238">
            <v>1977</v>
          </cell>
          <cell r="E238" t="str">
            <v>C &amp; L Aviation LLC</v>
          </cell>
          <cell r="F238">
            <v>27</v>
          </cell>
          <cell r="G238">
            <v>28199</v>
          </cell>
          <cell r="H238" t="str">
            <v>IIB</v>
          </cell>
          <cell r="I238" t="str">
            <v>North America</v>
          </cell>
          <cell r="J238" t="str">
            <v>USA</v>
          </cell>
          <cell r="K238">
            <v>27941</v>
          </cell>
        </row>
        <row r="239">
          <cell r="A239" t="str">
            <v>In service</v>
          </cell>
          <cell r="B239" t="str">
            <v>Gulfstream Aerospace Gulfstream II</v>
          </cell>
          <cell r="C239" t="str">
            <v>B</v>
          </cell>
          <cell r="D239">
            <v>1977</v>
          </cell>
          <cell r="E239" t="str">
            <v>United Breweries</v>
          </cell>
          <cell r="F239">
            <v>27</v>
          </cell>
          <cell r="G239">
            <v>28383</v>
          </cell>
          <cell r="H239" t="str">
            <v>IIB</v>
          </cell>
          <cell r="I239" t="str">
            <v>Asia</v>
          </cell>
          <cell r="J239" t="str">
            <v>India</v>
          </cell>
          <cell r="K239">
            <v>27575</v>
          </cell>
        </row>
        <row r="240">
          <cell r="A240" t="str">
            <v>In service</v>
          </cell>
          <cell r="B240" t="str">
            <v>Gulfstream Aerospace Gulfstream II</v>
          </cell>
          <cell r="C240" t="str">
            <v>B</v>
          </cell>
          <cell r="D240">
            <v>1968</v>
          </cell>
          <cell r="E240" t="str">
            <v>Anthony C Aiello &amp; Geoffrey J Hodgson</v>
          </cell>
          <cell r="F240">
            <v>36</v>
          </cell>
          <cell r="G240">
            <v>25058</v>
          </cell>
          <cell r="H240" t="str">
            <v>IIB</v>
          </cell>
          <cell r="I240" t="str">
            <v>North America</v>
          </cell>
          <cell r="J240" t="str">
            <v>USA</v>
          </cell>
          <cell r="K240">
            <v>24288</v>
          </cell>
        </row>
        <row r="241">
          <cell r="A241" t="str">
            <v>In service</v>
          </cell>
          <cell r="B241" t="str">
            <v>Gulfstream Aerospace Gulfstream II</v>
          </cell>
          <cell r="C241" t="str">
            <v>B</v>
          </cell>
          <cell r="D241">
            <v>1978</v>
          </cell>
          <cell r="E241" t="str">
            <v>CHI Aviation Inc</v>
          </cell>
          <cell r="F241">
            <v>26</v>
          </cell>
          <cell r="G241">
            <v>28574</v>
          </cell>
          <cell r="H241" t="str">
            <v>IIB</v>
          </cell>
          <cell r="I241" t="str">
            <v>North America</v>
          </cell>
          <cell r="J241" t="str">
            <v>USA</v>
          </cell>
          <cell r="K241">
            <v>27941</v>
          </cell>
        </row>
        <row r="242">
          <cell r="A242" t="str">
            <v>In service</v>
          </cell>
          <cell r="B242" t="str">
            <v>Gulfstream Aerospace Gulfstream II</v>
          </cell>
          <cell r="C242" t="str">
            <v>B</v>
          </cell>
          <cell r="D242">
            <v>1978</v>
          </cell>
          <cell r="E242" t="str">
            <v>KDF Corp</v>
          </cell>
          <cell r="F242">
            <v>26</v>
          </cell>
          <cell r="G242">
            <v>28804</v>
          </cell>
          <cell r="H242" t="str">
            <v>IIB</v>
          </cell>
          <cell r="I242" t="str">
            <v>North America</v>
          </cell>
          <cell r="J242" t="str">
            <v>USA</v>
          </cell>
          <cell r="K242">
            <v>28306</v>
          </cell>
        </row>
        <row r="243">
          <cell r="A243" t="str">
            <v>In service</v>
          </cell>
          <cell r="B243" t="str">
            <v>Gulfstream Aerospace Gulfstream II</v>
          </cell>
          <cell r="C243" t="str">
            <v>B</v>
          </cell>
          <cell r="D243">
            <v>1979</v>
          </cell>
          <cell r="E243" t="str">
            <v>Gestair</v>
          </cell>
          <cell r="F243">
            <v>25</v>
          </cell>
          <cell r="G243">
            <v>28870</v>
          </cell>
          <cell r="H243" t="str">
            <v>IIB</v>
          </cell>
          <cell r="I243" t="str">
            <v>Europe</v>
          </cell>
          <cell r="J243" t="str">
            <v>Spain</v>
          </cell>
          <cell r="K243">
            <v>28306</v>
          </cell>
        </row>
        <row r="244">
          <cell r="A244" t="str">
            <v>In service</v>
          </cell>
          <cell r="B244" t="str">
            <v>Gulfstream Aerospace Gulfstream II</v>
          </cell>
          <cell r="C244" t="str">
            <v>B</v>
          </cell>
          <cell r="D244">
            <v>1979</v>
          </cell>
          <cell r="E244" t="str">
            <v>222 Aviation LLC</v>
          </cell>
          <cell r="F244">
            <v>25</v>
          </cell>
          <cell r="G244">
            <v>29042</v>
          </cell>
          <cell r="H244" t="str">
            <v>IIB</v>
          </cell>
          <cell r="I244" t="str">
            <v>North America</v>
          </cell>
          <cell r="J244" t="str">
            <v>USA</v>
          </cell>
        </row>
        <row r="245">
          <cell r="A245" t="str">
            <v>In service</v>
          </cell>
          <cell r="B245" t="str">
            <v>Gulfstream Aerospace Gulfstream II</v>
          </cell>
          <cell r="C245" t="str">
            <v>B</v>
          </cell>
          <cell r="D245">
            <v>1979</v>
          </cell>
          <cell r="E245" t="str">
            <v>Tricycle Aviation LLC</v>
          </cell>
          <cell r="F245">
            <v>25</v>
          </cell>
          <cell r="G245">
            <v>29174</v>
          </cell>
          <cell r="H245" t="str">
            <v>IIB</v>
          </cell>
          <cell r="I245" t="str">
            <v>North America</v>
          </cell>
          <cell r="J245" t="str">
            <v>USA</v>
          </cell>
          <cell r="K245">
            <v>28306</v>
          </cell>
        </row>
        <row r="246">
          <cell r="A246" t="str">
            <v>In service</v>
          </cell>
          <cell r="B246" t="str">
            <v>Gulfstream Aerospace Gulfstream II</v>
          </cell>
          <cell r="C246" t="str">
            <v>B</v>
          </cell>
          <cell r="D246">
            <v>1979</v>
          </cell>
          <cell r="E246" t="str">
            <v>Wilmington Aero Ventures IV Inc</v>
          </cell>
          <cell r="F246">
            <v>25</v>
          </cell>
          <cell r="G246">
            <v>29235</v>
          </cell>
          <cell r="H246" t="str">
            <v>IIB</v>
          </cell>
          <cell r="I246" t="str">
            <v>North America</v>
          </cell>
          <cell r="J246" t="str">
            <v>USA</v>
          </cell>
          <cell r="K246">
            <v>28671</v>
          </cell>
        </row>
        <row r="247">
          <cell r="A247" t="str">
            <v>In service</v>
          </cell>
          <cell r="B247" t="str">
            <v>Gulfstream Aerospace Gulfstream II</v>
          </cell>
          <cell r="C247" t="str">
            <v>B</v>
          </cell>
          <cell r="D247">
            <v>1980</v>
          </cell>
          <cell r="E247" t="str">
            <v>North American Financial Corp</v>
          </cell>
          <cell r="F247">
            <v>24</v>
          </cell>
          <cell r="G247">
            <v>29479</v>
          </cell>
          <cell r="H247" t="str">
            <v>IIB</v>
          </cell>
          <cell r="I247" t="str">
            <v>North America</v>
          </cell>
          <cell r="J247" t="str">
            <v>USA</v>
          </cell>
          <cell r="K247">
            <v>28671</v>
          </cell>
        </row>
        <row r="248">
          <cell r="A248" t="str">
            <v>In service</v>
          </cell>
          <cell r="B248" t="str">
            <v>Gulfstream Aerospace Gulfstream II</v>
          </cell>
          <cell r="C248" t="str">
            <v>B</v>
          </cell>
          <cell r="D248">
            <v>1968</v>
          </cell>
          <cell r="E248" t="str">
            <v>C Hank Rhon</v>
          </cell>
          <cell r="F248">
            <v>36</v>
          </cell>
          <cell r="G248">
            <v>25142</v>
          </cell>
          <cell r="H248" t="str">
            <v>IIB</v>
          </cell>
          <cell r="I248" t="str">
            <v>Latin America and Caribbean</v>
          </cell>
          <cell r="J248" t="str">
            <v>Mexico</v>
          </cell>
          <cell r="K248">
            <v>24288</v>
          </cell>
        </row>
        <row r="249">
          <cell r="A249" t="str">
            <v>In service</v>
          </cell>
          <cell r="B249" t="str">
            <v>Gulfstream Aerospace Gulfstream II</v>
          </cell>
          <cell r="C249" t="str">
            <v>B</v>
          </cell>
          <cell r="D249">
            <v>1968</v>
          </cell>
          <cell r="E249" t="str">
            <v>N97EC LLC</v>
          </cell>
          <cell r="F249">
            <v>36</v>
          </cell>
          <cell r="G249">
            <v>25151</v>
          </cell>
          <cell r="H249" t="str">
            <v>IIB</v>
          </cell>
          <cell r="I249" t="str">
            <v>North America</v>
          </cell>
          <cell r="J249" t="str">
            <v>USA</v>
          </cell>
          <cell r="K249">
            <v>24653</v>
          </cell>
        </row>
        <row r="250">
          <cell r="A250" t="str">
            <v>In service</v>
          </cell>
          <cell r="B250" t="str">
            <v>Gulfstream Aerospace Gulfstream II</v>
          </cell>
          <cell r="C250" t="str">
            <v>B</v>
          </cell>
          <cell r="D250">
            <v>1968</v>
          </cell>
          <cell r="E250" t="str">
            <v>Missile Defence Agency Department of Defence</v>
          </cell>
          <cell r="F250">
            <v>36</v>
          </cell>
          <cell r="G250">
            <v>25163</v>
          </cell>
          <cell r="H250" t="str">
            <v>HALO I</v>
          </cell>
          <cell r="I250" t="str">
            <v>North America</v>
          </cell>
          <cell r="J250" t="str">
            <v>USA</v>
          </cell>
          <cell r="K250">
            <v>25019</v>
          </cell>
        </row>
        <row r="251">
          <cell r="A251" t="str">
            <v>In service</v>
          </cell>
          <cell r="B251" t="str">
            <v>Gulfstream Aerospace Gulfstream II</v>
          </cell>
          <cell r="C251" t="str">
            <v>B</v>
          </cell>
          <cell r="D251">
            <v>1967</v>
          </cell>
          <cell r="E251" t="str">
            <v>RGR Technologies Inc</v>
          </cell>
          <cell r="F251">
            <v>37</v>
          </cell>
          <cell r="G251">
            <v>24850</v>
          </cell>
          <cell r="H251" t="str">
            <v>IIB</v>
          </cell>
          <cell r="I251" t="str">
            <v>North America</v>
          </cell>
          <cell r="J251" t="str">
            <v>USA</v>
          </cell>
          <cell r="K251">
            <v>23923</v>
          </cell>
        </row>
        <row r="252">
          <cell r="A252" t="str">
            <v>In service</v>
          </cell>
          <cell r="B252" t="str">
            <v>Gulfstream Aerospace Gulfstream II</v>
          </cell>
          <cell r="C252" t="str">
            <v>B</v>
          </cell>
          <cell r="D252">
            <v>1968</v>
          </cell>
          <cell r="E252" t="str">
            <v>B&amp;G Leasing LLC</v>
          </cell>
          <cell r="F252">
            <v>36</v>
          </cell>
          <cell r="G252">
            <v>25205</v>
          </cell>
          <cell r="H252" t="str">
            <v>IIB</v>
          </cell>
          <cell r="I252" t="str">
            <v>North America</v>
          </cell>
          <cell r="J252" t="str">
            <v>USA</v>
          </cell>
          <cell r="K252">
            <v>24653</v>
          </cell>
        </row>
        <row r="253">
          <cell r="A253" t="str">
            <v>In service</v>
          </cell>
          <cell r="B253" t="str">
            <v>Gulfstream Aerospace Gulfstream II</v>
          </cell>
          <cell r="C253" t="str">
            <v>B</v>
          </cell>
          <cell r="D253">
            <v>1969</v>
          </cell>
          <cell r="E253" t="str">
            <v>Hudson Capital Group Inc</v>
          </cell>
          <cell r="F253">
            <v>35</v>
          </cell>
          <cell r="G253">
            <v>25274</v>
          </cell>
          <cell r="H253" t="str">
            <v>IIB</v>
          </cell>
          <cell r="I253" t="str">
            <v>North America</v>
          </cell>
          <cell r="J253" t="str">
            <v>USA</v>
          </cell>
          <cell r="K253">
            <v>24653</v>
          </cell>
        </row>
        <row r="254">
          <cell r="A254" t="str">
            <v>In service</v>
          </cell>
          <cell r="B254" t="str">
            <v>Gulfstream Aerospace Gulfstream II</v>
          </cell>
          <cell r="C254" t="str">
            <v>B</v>
          </cell>
          <cell r="D254">
            <v>1969</v>
          </cell>
          <cell r="E254" t="str">
            <v>Castle Creek Holdings Company</v>
          </cell>
          <cell r="F254">
            <v>35</v>
          </cell>
          <cell r="G254">
            <v>25328</v>
          </cell>
          <cell r="H254" t="str">
            <v>IIB</v>
          </cell>
          <cell r="I254" t="str">
            <v>North America</v>
          </cell>
          <cell r="J254" t="str">
            <v>USA</v>
          </cell>
          <cell r="K254">
            <v>24653</v>
          </cell>
        </row>
        <row r="255">
          <cell r="A255" t="str">
            <v>In service</v>
          </cell>
          <cell r="B255" t="str">
            <v>Gulfstream Aerospace Gulfstream II</v>
          </cell>
          <cell r="C255" t="str">
            <v>B</v>
          </cell>
          <cell r="D255">
            <v>1969</v>
          </cell>
          <cell r="E255" t="str">
            <v>New World Aviation Inc</v>
          </cell>
          <cell r="F255">
            <v>35</v>
          </cell>
          <cell r="G255">
            <v>25421</v>
          </cell>
          <cell r="H255" t="str">
            <v>IIB</v>
          </cell>
          <cell r="I255" t="str">
            <v>North America</v>
          </cell>
          <cell r="J255" t="str">
            <v>USA</v>
          </cell>
          <cell r="K255">
            <v>25019</v>
          </cell>
        </row>
        <row r="256">
          <cell r="A256" t="str">
            <v>In service</v>
          </cell>
          <cell r="B256" t="str">
            <v>Gulfstream Aerospace Gulfstream II</v>
          </cell>
          <cell r="C256" t="str">
            <v>B</v>
          </cell>
          <cell r="D256">
            <v>1969</v>
          </cell>
          <cell r="E256" t="str">
            <v>Related Services Co Inc</v>
          </cell>
          <cell r="F256">
            <v>35</v>
          </cell>
          <cell r="G256">
            <v>25492</v>
          </cell>
          <cell r="H256" t="str">
            <v>IIB</v>
          </cell>
          <cell r="I256" t="str">
            <v>North America</v>
          </cell>
          <cell r="J256" t="str">
            <v>USA</v>
          </cell>
          <cell r="K256">
            <v>25019</v>
          </cell>
        </row>
        <row r="257">
          <cell r="A257" t="str">
            <v>In service</v>
          </cell>
          <cell r="B257" t="str">
            <v>Gulfstream Aerospace Gulfstream II</v>
          </cell>
          <cell r="C257" t="str">
            <v>B</v>
          </cell>
          <cell r="D257">
            <v>1969</v>
          </cell>
          <cell r="E257" t="str">
            <v>Aviation Consultants</v>
          </cell>
          <cell r="F257">
            <v>35</v>
          </cell>
          <cell r="G257">
            <v>25514</v>
          </cell>
          <cell r="H257" t="str">
            <v>IIB</v>
          </cell>
          <cell r="I257" t="str">
            <v>North America</v>
          </cell>
          <cell r="J257" t="str">
            <v>USA</v>
          </cell>
          <cell r="K257">
            <v>25019</v>
          </cell>
        </row>
        <row r="258">
          <cell r="A258" t="str">
            <v>In service</v>
          </cell>
          <cell r="B258" t="str">
            <v>Gulfstream Aerospace Gulfstream II</v>
          </cell>
          <cell r="C258" t="str">
            <v>B</v>
          </cell>
          <cell r="D258">
            <v>1969</v>
          </cell>
          <cell r="E258" t="str">
            <v>New World Aircraft GIIB-075 LLC</v>
          </cell>
          <cell r="F258">
            <v>35</v>
          </cell>
          <cell r="G258">
            <v>25541</v>
          </cell>
          <cell r="H258" t="str">
            <v>IIB</v>
          </cell>
          <cell r="I258" t="str">
            <v>North America</v>
          </cell>
          <cell r="J258" t="str">
            <v>USA</v>
          </cell>
          <cell r="K258">
            <v>25019</v>
          </cell>
        </row>
        <row r="259">
          <cell r="A259" t="str">
            <v>In service</v>
          </cell>
          <cell r="B259" t="str">
            <v>Gulfstream Aerospace Gulfstream II</v>
          </cell>
          <cell r="C259" t="str">
            <v>B</v>
          </cell>
          <cell r="D259">
            <v>1969</v>
          </cell>
          <cell r="E259" t="str">
            <v>Motor Air LLC</v>
          </cell>
          <cell r="F259">
            <v>35</v>
          </cell>
          <cell r="G259">
            <v>26360</v>
          </cell>
          <cell r="H259" t="str">
            <v>IIB</v>
          </cell>
          <cell r="I259" t="str">
            <v>North America</v>
          </cell>
          <cell r="J259" t="str">
            <v>USA</v>
          </cell>
          <cell r="K259">
            <v>25749</v>
          </cell>
        </row>
        <row r="260">
          <cell r="A260" t="str">
            <v>In service</v>
          </cell>
          <cell r="B260" t="str">
            <v>Gulfstream Aerospace Gulfstream II</v>
          </cell>
          <cell r="C260" t="str">
            <v>B</v>
          </cell>
          <cell r="D260">
            <v>1970</v>
          </cell>
          <cell r="E260" t="str">
            <v>NMP Enterprises LLC</v>
          </cell>
          <cell r="F260">
            <v>34</v>
          </cell>
          <cell r="G260">
            <v>25660</v>
          </cell>
          <cell r="H260" t="str">
            <v>IIB</v>
          </cell>
          <cell r="I260" t="str">
            <v>North America</v>
          </cell>
          <cell r="J260" t="str">
            <v>USA</v>
          </cell>
          <cell r="K260">
            <v>25019</v>
          </cell>
        </row>
        <row r="261">
          <cell r="A261" t="str">
            <v>In service</v>
          </cell>
          <cell r="B261" t="str">
            <v>Gulfstream Aerospace Gulfstream II</v>
          </cell>
          <cell r="C261" t="str">
            <v>B</v>
          </cell>
          <cell r="D261">
            <v>1970</v>
          </cell>
          <cell r="E261" t="str">
            <v>Letica Corp</v>
          </cell>
          <cell r="F261">
            <v>34</v>
          </cell>
          <cell r="G261">
            <v>25679</v>
          </cell>
          <cell r="H261" t="str">
            <v>IIB</v>
          </cell>
          <cell r="I261" t="str">
            <v>North America</v>
          </cell>
          <cell r="J261" t="str">
            <v>USA</v>
          </cell>
          <cell r="K261">
            <v>25384</v>
          </cell>
        </row>
        <row r="262">
          <cell r="A262" t="str">
            <v>In service</v>
          </cell>
          <cell r="B262" t="str">
            <v>Gulfstream Aerospace Gulfstream II</v>
          </cell>
          <cell r="C262" t="str">
            <v>B</v>
          </cell>
          <cell r="D262">
            <v>1968</v>
          </cell>
          <cell r="E262" t="str">
            <v>Kona Special Air Inc &amp; John Wing Aviation Inc</v>
          </cell>
          <cell r="F262">
            <v>36</v>
          </cell>
          <cell r="G262">
            <v>24862</v>
          </cell>
          <cell r="H262" t="str">
            <v>IIB</v>
          </cell>
          <cell r="I262" t="str">
            <v>North America</v>
          </cell>
          <cell r="J262" t="str">
            <v>USA</v>
          </cell>
          <cell r="K262">
            <v>23923</v>
          </cell>
        </row>
        <row r="263">
          <cell r="A263" t="str">
            <v>In service</v>
          </cell>
          <cell r="B263" t="str">
            <v>Gulfstream Aerospace Gulfstream II</v>
          </cell>
          <cell r="C263" t="str">
            <v>B</v>
          </cell>
          <cell r="D263">
            <v>1970</v>
          </cell>
          <cell r="E263" t="str">
            <v>Suburban Properties 3 LLC</v>
          </cell>
          <cell r="F263">
            <v>34</v>
          </cell>
          <cell r="G263">
            <v>26038</v>
          </cell>
          <cell r="H263" t="str">
            <v>IIB</v>
          </cell>
          <cell r="I263" t="str">
            <v>North America</v>
          </cell>
          <cell r="J263" t="str">
            <v>USA</v>
          </cell>
          <cell r="K263">
            <v>25384</v>
          </cell>
        </row>
        <row r="264">
          <cell r="A264" t="str">
            <v>In service</v>
          </cell>
          <cell r="B264" t="str">
            <v>Gulfstream Aerospace Gulfstream II</v>
          </cell>
          <cell r="C264" t="str">
            <v>B</v>
          </cell>
          <cell r="D264">
            <v>1970</v>
          </cell>
          <cell r="E264" t="str">
            <v>Ninety-Eight Aviation LLC</v>
          </cell>
          <cell r="F264">
            <v>34</v>
          </cell>
          <cell r="G264">
            <v>25983</v>
          </cell>
          <cell r="H264" t="str">
            <v>IIB</v>
          </cell>
          <cell r="I264" t="str">
            <v>North America</v>
          </cell>
          <cell r="J264" t="str">
            <v>USA</v>
          </cell>
          <cell r="K264">
            <v>25384</v>
          </cell>
        </row>
        <row r="265">
          <cell r="A265" t="str">
            <v>In service</v>
          </cell>
          <cell r="B265" t="str">
            <v>Gulfstream Aerospace Gulfstream II</v>
          </cell>
          <cell r="C265" t="str">
            <v>B Stage III Hushkit</v>
          </cell>
          <cell r="D265">
            <v>1976</v>
          </cell>
          <cell r="E265" t="str">
            <v>El Paso CGP ABCO Aviation Co</v>
          </cell>
          <cell r="F265">
            <v>28</v>
          </cell>
          <cell r="G265">
            <v>28026</v>
          </cell>
          <cell r="H265" t="str">
            <v>IIB</v>
          </cell>
          <cell r="I265" t="str">
            <v>North America</v>
          </cell>
          <cell r="J265" t="str">
            <v>USA</v>
          </cell>
          <cell r="K265">
            <v>27575</v>
          </cell>
        </row>
        <row r="266">
          <cell r="A266" t="str">
            <v>In service</v>
          </cell>
          <cell r="B266" t="str">
            <v>Gulfstream Aerospace Gulfstream II</v>
          </cell>
          <cell r="C266" t="str">
            <v>SP</v>
          </cell>
          <cell r="D266">
            <v>1966</v>
          </cell>
          <cell r="E266" t="str">
            <v>Motorola Inc</v>
          </cell>
          <cell r="F266">
            <v>38</v>
          </cell>
          <cell r="G266">
            <v>25839</v>
          </cell>
          <cell r="H266" t="str">
            <v>IISP</v>
          </cell>
          <cell r="I266" t="str">
            <v>North America</v>
          </cell>
          <cell r="J266" t="str">
            <v>USA</v>
          </cell>
        </row>
        <row r="267">
          <cell r="A267" t="str">
            <v>In service</v>
          </cell>
          <cell r="B267" t="str">
            <v>Gulfstream Aerospace Gulfstream II</v>
          </cell>
          <cell r="C267" t="str">
            <v>SP</v>
          </cell>
          <cell r="D267">
            <v>1968</v>
          </cell>
          <cell r="E267" t="str">
            <v>Oslo Express Inc</v>
          </cell>
          <cell r="F267">
            <v>36</v>
          </cell>
          <cell r="G267">
            <v>24876</v>
          </cell>
          <cell r="H267" t="str">
            <v>IISP</v>
          </cell>
          <cell r="I267" t="str">
            <v>North America</v>
          </cell>
          <cell r="J267" t="str">
            <v>USA</v>
          </cell>
          <cell r="K267">
            <v>24288</v>
          </cell>
        </row>
        <row r="268">
          <cell r="A268" t="str">
            <v>In service</v>
          </cell>
          <cell r="B268" t="str">
            <v>Gulfstream Aerospace Gulfstream II</v>
          </cell>
          <cell r="C268" t="str">
            <v>SP</v>
          </cell>
          <cell r="D268">
            <v>1970</v>
          </cell>
          <cell r="E268" t="str">
            <v>KFLP Air LLC</v>
          </cell>
          <cell r="F268">
            <v>34</v>
          </cell>
          <cell r="G268">
            <v>26151</v>
          </cell>
          <cell r="H268" t="str">
            <v>IISP</v>
          </cell>
          <cell r="I268" t="str">
            <v>North America</v>
          </cell>
          <cell r="J268" t="str">
            <v>USA</v>
          </cell>
          <cell r="K268">
            <v>25384</v>
          </cell>
        </row>
        <row r="269">
          <cell r="A269" t="str">
            <v>In service</v>
          </cell>
          <cell r="B269" t="str">
            <v>Gulfstream Aerospace Gulfstream II</v>
          </cell>
          <cell r="C269" t="str">
            <v>SP</v>
          </cell>
          <cell r="D269">
            <v>1970</v>
          </cell>
          <cell r="E269" t="str">
            <v>Jetex International Inc</v>
          </cell>
          <cell r="F269">
            <v>34</v>
          </cell>
          <cell r="G269">
            <v>25930</v>
          </cell>
          <cell r="H269" t="str">
            <v>IISP</v>
          </cell>
          <cell r="I269" t="str">
            <v>North America</v>
          </cell>
          <cell r="J269" t="str">
            <v>USA</v>
          </cell>
          <cell r="K269">
            <v>25019</v>
          </cell>
        </row>
        <row r="270">
          <cell r="A270" t="str">
            <v>In service</v>
          </cell>
          <cell r="B270" t="str">
            <v>Gulfstream Aerospace Gulfstream II</v>
          </cell>
          <cell r="C270" t="str">
            <v>SP</v>
          </cell>
          <cell r="D270">
            <v>1971</v>
          </cell>
          <cell r="E270" t="str">
            <v>Newport/Signal Air Inc</v>
          </cell>
          <cell r="F270">
            <v>33</v>
          </cell>
          <cell r="G270">
            <v>26282</v>
          </cell>
          <cell r="H270" t="str">
            <v>IISP</v>
          </cell>
          <cell r="I270" t="str">
            <v>North America</v>
          </cell>
          <cell r="J270" t="str">
            <v>USA</v>
          </cell>
          <cell r="K270">
            <v>25384</v>
          </cell>
        </row>
        <row r="271">
          <cell r="A271" t="str">
            <v>In service</v>
          </cell>
          <cell r="B271" t="str">
            <v>Gulfstream Aerospace Gulfstream II</v>
          </cell>
          <cell r="C271" t="str">
            <v>SP</v>
          </cell>
          <cell r="D271">
            <v>1972</v>
          </cell>
          <cell r="E271" t="str">
            <v>Private Jet Inc</v>
          </cell>
          <cell r="F271">
            <v>32</v>
          </cell>
          <cell r="G271">
            <v>26333</v>
          </cell>
          <cell r="H271" t="str">
            <v>IISP</v>
          </cell>
          <cell r="I271" t="str">
            <v>North America</v>
          </cell>
          <cell r="J271" t="str">
            <v>USA</v>
          </cell>
          <cell r="K271">
            <v>25749</v>
          </cell>
        </row>
        <row r="272">
          <cell r="A272" t="str">
            <v>In service</v>
          </cell>
          <cell r="B272" t="str">
            <v>Gulfstream Aerospace Gulfstream II</v>
          </cell>
          <cell r="C272" t="str">
            <v>SP</v>
          </cell>
          <cell r="D272">
            <v>1972</v>
          </cell>
          <cell r="E272" t="str">
            <v>Marquez Brothers Aviation LLC</v>
          </cell>
          <cell r="F272">
            <v>32</v>
          </cell>
          <cell r="G272">
            <v>26353</v>
          </cell>
          <cell r="H272" t="str">
            <v>IISP</v>
          </cell>
          <cell r="I272" t="str">
            <v>North America</v>
          </cell>
          <cell r="J272" t="str">
            <v>USA</v>
          </cell>
          <cell r="K272">
            <v>25749</v>
          </cell>
        </row>
        <row r="273">
          <cell r="A273" t="str">
            <v>In service</v>
          </cell>
          <cell r="B273" t="str">
            <v>Gulfstream Aerospace Gulfstream II</v>
          </cell>
          <cell r="C273" t="str">
            <v>SP</v>
          </cell>
          <cell r="D273">
            <v>1972</v>
          </cell>
          <cell r="E273" t="str">
            <v>Starflite Management Group Inc</v>
          </cell>
          <cell r="F273">
            <v>32</v>
          </cell>
          <cell r="G273">
            <v>26381</v>
          </cell>
          <cell r="H273" t="str">
            <v>IISP</v>
          </cell>
          <cell r="I273" t="str">
            <v>North America</v>
          </cell>
          <cell r="J273" t="str">
            <v>USA</v>
          </cell>
          <cell r="K273">
            <v>26114</v>
          </cell>
        </row>
        <row r="274">
          <cell r="A274" t="str">
            <v>In service</v>
          </cell>
          <cell r="B274" t="str">
            <v>Gulfstream Aerospace Gulfstream II</v>
          </cell>
          <cell r="C274" t="str">
            <v>SP</v>
          </cell>
          <cell r="D274">
            <v>1972</v>
          </cell>
          <cell r="E274" t="str">
            <v>Flightworks</v>
          </cell>
          <cell r="F274">
            <v>32</v>
          </cell>
          <cell r="G274">
            <v>26473</v>
          </cell>
          <cell r="H274" t="str">
            <v>IISP</v>
          </cell>
          <cell r="I274" t="str">
            <v>North America</v>
          </cell>
          <cell r="J274" t="str">
            <v>USA</v>
          </cell>
          <cell r="K274">
            <v>25749</v>
          </cell>
        </row>
        <row r="275">
          <cell r="A275" t="str">
            <v>In service</v>
          </cell>
          <cell r="B275" t="str">
            <v>Gulfstream Aerospace Gulfstream II</v>
          </cell>
          <cell r="C275" t="str">
            <v>SP</v>
          </cell>
          <cell r="D275">
            <v>1972</v>
          </cell>
          <cell r="E275" t="str">
            <v>FG Aviation Inc</v>
          </cell>
          <cell r="F275">
            <v>32</v>
          </cell>
          <cell r="G275">
            <v>26461</v>
          </cell>
          <cell r="H275" t="str">
            <v>IISP</v>
          </cell>
          <cell r="I275" t="str">
            <v>North America</v>
          </cell>
          <cell r="J275" t="str">
            <v>USA</v>
          </cell>
          <cell r="K275">
            <v>25749</v>
          </cell>
        </row>
        <row r="276">
          <cell r="A276" t="str">
            <v>In service</v>
          </cell>
          <cell r="B276" t="str">
            <v>Gulfstream Aerospace Gulfstream II</v>
          </cell>
          <cell r="C276" t="str">
            <v>SP</v>
          </cell>
          <cell r="D276">
            <v>1972</v>
          </cell>
          <cell r="E276" t="str">
            <v>Bluegrass Gulfstream Investments</v>
          </cell>
          <cell r="F276">
            <v>32</v>
          </cell>
          <cell r="G276">
            <v>26505</v>
          </cell>
          <cell r="H276" t="str">
            <v>IISP</v>
          </cell>
          <cell r="I276" t="str">
            <v>North America</v>
          </cell>
          <cell r="J276" t="str">
            <v>USA</v>
          </cell>
          <cell r="K276">
            <v>26114</v>
          </cell>
        </row>
        <row r="277">
          <cell r="A277" t="str">
            <v>In service</v>
          </cell>
          <cell r="B277" t="str">
            <v>Gulfstream Aerospace Gulfstream II</v>
          </cell>
          <cell r="C277" t="str">
            <v>SP</v>
          </cell>
          <cell r="D277">
            <v>1972</v>
          </cell>
          <cell r="E277" t="str">
            <v>Reliance Aviation Management LLC</v>
          </cell>
          <cell r="F277">
            <v>32</v>
          </cell>
          <cell r="G277">
            <v>26564</v>
          </cell>
          <cell r="H277" t="str">
            <v>IISP</v>
          </cell>
          <cell r="I277" t="str">
            <v>North America</v>
          </cell>
          <cell r="J277" t="str">
            <v>USA</v>
          </cell>
          <cell r="K277">
            <v>25749</v>
          </cell>
        </row>
        <row r="278">
          <cell r="A278" t="str">
            <v>In service</v>
          </cell>
          <cell r="B278" t="str">
            <v>Gulfstream Aerospace Gulfstream II</v>
          </cell>
          <cell r="C278" t="str">
            <v>SP</v>
          </cell>
          <cell r="D278">
            <v>1968</v>
          </cell>
          <cell r="E278" t="str">
            <v>R Squared LLC</v>
          </cell>
          <cell r="F278">
            <v>36</v>
          </cell>
          <cell r="G278">
            <v>24932</v>
          </cell>
          <cell r="H278" t="str">
            <v>IISP</v>
          </cell>
          <cell r="I278" t="str">
            <v>North America</v>
          </cell>
          <cell r="J278" t="str">
            <v>USA</v>
          </cell>
          <cell r="K278">
            <v>24288</v>
          </cell>
        </row>
        <row r="279">
          <cell r="A279" t="str">
            <v>In service</v>
          </cell>
          <cell r="B279" t="str">
            <v>Gulfstream Aerospace Gulfstream II</v>
          </cell>
          <cell r="C279" t="str">
            <v>SP</v>
          </cell>
          <cell r="D279">
            <v>1972</v>
          </cell>
          <cell r="E279" t="str">
            <v>Macon County Greyhound Park Inc</v>
          </cell>
          <cell r="F279">
            <v>32</v>
          </cell>
          <cell r="G279">
            <v>26632</v>
          </cell>
          <cell r="H279" t="str">
            <v>IISP</v>
          </cell>
          <cell r="I279" t="str">
            <v>North America</v>
          </cell>
          <cell r="J279" t="str">
            <v>USA</v>
          </cell>
          <cell r="K279">
            <v>25749</v>
          </cell>
        </row>
        <row r="280">
          <cell r="A280" t="str">
            <v>In service</v>
          </cell>
          <cell r="B280" t="str">
            <v>Gulfstream Aerospace Gulfstream II</v>
          </cell>
          <cell r="C280" t="str">
            <v>SP</v>
          </cell>
          <cell r="D280">
            <v>1972</v>
          </cell>
          <cell r="E280" t="str">
            <v>Trayton Aviation LLC</v>
          </cell>
          <cell r="F280">
            <v>32</v>
          </cell>
          <cell r="G280">
            <v>26650</v>
          </cell>
          <cell r="H280" t="str">
            <v>IISP</v>
          </cell>
          <cell r="I280" t="str">
            <v>North America</v>
          </cell>
          <cell r="J280" t="str">
            <v>USA</v>
          </cell>
          <cell r="K280">
            <v>26114</v>
          </cell>
        </row>
        <row r="281">
          <cell r="A281" t="str">
            <v>In service</v>
          </cell>
          <cell r="B281" t="str">
            <v>Gulfstream Aerospace Gulfstream II</v>
          </cell>
          <cell r="C281" t="str">
            <v>SP</v>
          </cell>
          <cell r="D281">
            <v>1973</v>
          </cell>
          <cell r="E281" t="str">
            <v>Lorien Aviation Inc</v>
          </cell>
          <cell r="F281">
            <v>31</v>
          </cell>
          <cell r="G281">
            <v>26873</v>
          </cell>
          <cell r="H281" t="str">
            <v>SP</v>
          </cell>
          <cell r="I281" t="str">
            <v>North America</v>
          </cell>
          <cell r="J281" t="str">
            <v>USA</v>
          </cell>
          <cell r="K281">
            <v>26480</v>
          </cell>
        </row>
        <row r="282">
          <cell r="A282" t="str">
            <v>In service</v>
          </cell>
          <cell r="B282" t="str">
            <v>Gulfstream Aerospace Gulfstream II</v>
          </cell>
          <cell r="C282" t="str">
            <v>SP</v>
          </cell>
          <cell r="D282">
            <v>1973</v>
          </cell>
          <cell r="E282" t="str">
            <v>JT Aviation Corp</v>
          </cell>
          <cell r="F282">
            <v>31</v>
          </cell>
          <cell r="G282">
            <v>26938</v>
          </cell>
          <cell r="H282" t="str">
            <v>IISP</v>
          </cell>
          <cell r="I282" t="str">
            <v>North America</v>
          </cell>
          <cell r="J282" t="str">
            <v>USA</v>
          </cell>
          <cell r="K282">
            <v>26114</v>
          </cell>
        </row>
        <row r="283">
          <cell r="A283" t="str">
            <v>In service</v>
          </cell>
          <cell r="B283" t="str">
            <v>Gulfstream Aerospace Gulfstream II</v>
          </cell>
          <cell r="C283" t="str">
            <v>SP</v>
          </cell>
          <cell r="D283">
            <v>1973</v>
          </cell>
          <cell r="E283" t="str">
            <v>Aeromundo Ejecutivo SA de CV</v>
          </cell>
          <cell r="F283">
            <v>31</v>
          </cell>
          <cell r="G283">
            <v>26960</v>
          </cell>
          <cell r="H283" t="str">
            <v>IISP</v>
          </cell>
          <cell r="I283" t="str">
            <v>Latin America and Caribbean</v>
          </cell>
          <cell r="J283" t="str">
            <v>Mexico</v>
          </cell>
          <cell r="K283">
            <v>26480</v>
          </cell>
        </row>
        <row r="284">
          <cell r="A284" t="str">
            <v>In service</v>
          </cell>
          <cell r="B284" t="str">
            <v>Gulfstream Aerospace Gulfstream II</v>
          </cell>
          <cell r="C284" t="str">
            <v>SP</v>
          </cell>
          <cell r="D284">
            <v>1975</v>
          </cell>
          <cell r="E284" t="str">
            <v>Amador LLC</v>
          </cell>
          <cell r="F284">
            <v>29</v>
          </cell>
          <cell r="G284">
            <v>27451</v>
          </cell>
          <cell r="H284" t="str">
            <v>IISP</v>
          </cell>
          <cell r="I284" t="str">
            <v>North America</v>
          </cell>
          <cell r="J284" t="str">
            <v>USA</v>
          </cell>
          <cell r="K284">
            <v>26845</v>
          </cell>
        </row>
        <row r="285">
          <cell r="A285" t="str">
            <v>In service</v>
          </cell>
          <cell r="B285" t="str">
            <v>Gulfstream Aerospace Gulfstream II</v>
          </cell>
          <cell r="C285" t="str">
            <v>SP</v>
          </cell>
          <cell r="D285">
            <v>1975</v>
          </cell>
          <cell r="E285" t="str">
            <v>Bentley AutoJet LLC</v>
          </cell>
          <cell r="F285">
            <v>29</v>
          </cell>
          <cell r="G285">
            <v>27733</v>
          </cell>
          <cell r="H285" t="str">
            <v>IISP</v>
          </cell>
          <cell r="I285" t="str">
            <v>North America</v>
          </cell>
          <cell r="J285" t="str">
            <v>USA</v>
          </cell>
        </row>
        <row r="286">
          <cell r="A286" t="str">
            <v>In service</v>
          </cell>
          <cell r="B286" t="str">
            <v>Gulfstream Aerospace Gulfstream II</v>
          </cell>
          <cell r="C286" t="str">
            <v>SP</v>
          </cell>
          <cell r="D286">
            <v>1975</v>
          </cell>
          <cell r="E286" t="str">
            <v>Leonard Green &amp; Partners LP</v>
          </cell>
          <cell r="F286">
            <v>29</v>
          </cell>
          <cell r="G286">
            <v>27500</v>
          </cell>
          <cell r="H286" t="str">
            <v>IISP</v>
          </cell>
          <cell r="I286" t="str">
            <v>North America</v>
          </cell>
          <cell r="J286" t="str">
            <v>USA</v>
          </cell>
          <cell r="K286">
            <v>26845</v>
          </cell>
        </row>
        <row r="287">
          <cell r="A287" t="str">
            <v>In service</v>
          </cell>
          <cell r="B287" t="str">
            <v>Gulfstream Aerospace Gulfstream II</v>
          </cell>
          <cell r="C287" t="str">
            <v>SP</v>
          </cell>
          <cell r="D287">
            <v>1975</v>
          </cell>
          <cell r="E287" t="str">
            <v>Gavilan Corp</v>
          </cell>
          <cell r="F287">
            <v>29</v>
          </cell>
          <cell r="G287">
            <v>27888</v>
          </cell>
          <cell r="H287" t="str">
            <v>IISP</v>
          </cell>
          <cell r="I287" t="str">
            <v>North America</v>
          </cell>
          <cell r="J287" t="str">
            <v>USA</v>
          </cell>
        </row>
        <row r="288">
          <cell r="A288" t="str">
            <v>In service</v>
          </cell>
          <cell r="B288" t="str">
            <v>Gulfstream Aerospace Gulfstream II</v>
          </cell>
          <cell r="C288" t="str">
            <v>SP</v>
          </cell>
          <cell r="D288">
            <v>1975</v>
          </cell>
          <cell r="E288" t="str">
            <v>Viajes Ejecutivos Mexicanos SA de CV</v>
          </cell>
          <cell r="F288">
            <v>29</v>
          </cell>
          <cell r="G288">
            <v>27755</v>
          </cell>
          <cell r="H288" t="str">
            <v>IISP</v>
          </cell>
          <cell r="I288" t="str">
            <v>Latin America and Caribbean</v>
          </cell>
          <cell r="J288" t="str">
            <v>Mexico</v>
          </cell>
          <cell r="K288">
            <v>27210</v>
          </cell>
        </row>
        <row r="289">
          <cell r="A289" t="str">
            <v>In service</v>
          </cell>
          <cell r="B289" t="str">
            <v>Gulfstream Aerospace Gulfstream II</v>
          </cell>
          <cell r="C289" t="str">
            <v>SP</v>
          </cell>
          <cell r="D289">
            <v>1975</v>
          </cell>
          <cell r="E289" t="str">
            <v>Blue Sky Group Inc</v>
          </cell>
          <cell r="F289">
            <v>29</v>
          </cell>
          <cell r="G289">
            <v>27786</v>
          </cell>
          <cell r="H289" t="str">
            <v>IISP</v>
          </cell>
          <cell r="I289" t="str">
            <v>North America</v>
          </cell>
          <cell r="J289" t="str">
            <v>USA</v>
          </cell>
        </row>
        <row r="290">
          <cell r="A290" t="str">
            <v>In service</v>
          </cell>
          <cell r="B290" t="str">
            <v>Gulfstream Aerospace Gulfstream II</v>
          </cell>
          <cell r="C290" t="str">
            <v>SP</v>
          </cell>
          <cell r="D290">
            <v>1975</v>
          </cell>
          <cell r="E290" t="str">
            <v>Bank of America NA</v>
          </cell>
          <cell r="F290">
            <v>29</v>
          </cell>
          <cell r="G290">
            <v>27823</v>
          </cell>
          <cell r="H290" t="str">
            <v>IISP</v>
          </cell>
          <cell r="I290" t="str">
            <v>North America</v>
          </cell>
          <cell r="J290" t="str">
            <v>USA</v>
          </cell>
          <cell r="K290">
            <v>27210</v>
          </cell>
        </row>
        <row r="291">
          <cell r="A291" t="str">
            <v>In service</v>
          </cell>
          <cell r="B291" t="str">
            <v>Gulfstream Aerospace Gulfstream II</v>
          </cell>
          <cell r="C291" t="str">
            <v>SP</v>
          </cell>
          <cell r="D291">
            <v>1968</v>
          </cell>
          <cell r="E291" t="str">
            <v>Plains Exploration &amp; Production Co</v>
          </cell>
          <cell r="F291">
            <v>36</v>
          </cell>
          <cell r="G291">
            <v>24968</v>
          </cell>
          <cell r="H291" t="str">
            <v>IISP</v>
          </cell>
          <cell r="I291" t="str">
            <v>North America</v>
          </cell>
          <cell r="J291" t="str">
            <v>USA</v>
          </cell>
          <cell r="K291">
            <v>24288</v>
          </cell>
        </row>
        <row r="292">
          <cell r="A292" t="str">
            <v>In service</v>
          </cell>
          <cell r="B292" t="str">
            <v>Gulfstream Aerospace Gulfstream II</v>
          </cell>
          <cell r="C292" t="str">
            <v>SP</v>
          </cell>
          <cell r="D292">
            <v>1975</v>
          </cell>
          <cell r="E292" t="str">
            <v>S/A Holdings LLC</v>
          </cell>
          <cell r="F292">
            <v>29</v>
          </cell>
          <cell r="G292">
            <v>27711</v>
          </cell>
          <cell r="H292" t="str">
            <v>IISP</v>
          </cell>
          <cell r="I292" t="str">
            <v>North America</v>
          </cell>
          <cell r="J292" t="str">
            <v>USA</v>
          </cell>
          <cell r="K292">
            <v>26845</v>
          </cell>
        </row>
        <row r="293">
          <cell r="A293" t="str">
            <v>In service</v>
          </cell>
          <cell r="B293" t="str">
            <v>Gulfstream Aerospace Gulfstream II</v>
          </cell>
          <cell r="C293" t="str">
            <v>SP</v>
          </cell>
          <cell r="D293">
            <v>1975</v>
          </cell>
          <cell r="E293" t="str">
            <v>Jetmark Aviation LLC</v>
          </cell>
          <cell r="F293">
            <v>29</v>
          </cell>
          <cell r="G293">
            <v>27751</v>
          </cell>
          <cell r="H293" t="str">
            <v>IISP</v>
          </cell>
          <cell r="I293" t="str">
            <v>North America</v>
          </cell>
          <cell r="J293" t="str">
            <v>USA</v>
          </cell>
          <cell r="K293">
            <v>27210</v>
          </cell>
        </row>
        <row r="294">
          <cell r="A294" t="str">
            <v>In service</v>
          </cell>
          <cell r="B294" t="str">
            <v>Gulfstream Aerospace Gulfstream II</v>
          </cell>
          <cell r="C294" t="str">
            <v>SP</v>
          </cell>
          <cell r="D294">
            <v>1975</v>
          </cell>
          <cell r="E294" t="str">
            <v>Policia Federal Preventiva de Mexico</v>
          </cell>
          <cell r="F294">
            <v>29</v>
          </cell>
          <cell r="G294">
            <v>27973</v>
          </cell>
          <cell r="H294" t="str">
            <v>IISP</v>
          </cell>
          <cell r="I294" t="str">
            <v>Latin America and Caribbean</v>
          </cell>
          <cell r="J294" t="str">
            <v>Mexico</v>
          </cell>
          <cell r="K294">
            <v>27575</v>
          </cell>
        </row>
        <row r="295">
          <cell r="A295" t="str">
            <v>In service</v>
          </cell>
          <cell r="B295" t="str">
            <v>Gulfstream Aerospace Gulfstream II</v>
          </cell>
          <cell r="C295" t="str">
            <v>SP</v>
          </cell>
          <cell r="D295">
            <v>1976</v>
          </cell>
          <cell r="E295" t="str">
            <v>Frank Group LLC &amp; Capital Aircraft Group LLC</v>
          </cell>
          <cell r="F295">
            <v>28</v>
          </cell>
          <cell r="G295">
            <v>27789</v>
          </cell>
          <cell r="H295" t="str">
            <v>IISP</v>
          </cell>
          <cell r="I295" t="str">
            <v>North America</v>
          </cell>
          <cell r="J295" t="str">
            <v>USA</v>
          </cell>
          <cell r="K295">
            <v>27210</v>
          </cell>
        </row>
        <row r="296">
          <cell r="A296" t="str">
            <v>In service</v>
          </cell>
          <cell r="B296" t="str">
            <v>Gulfstream Aerospace Gulfstream II</v>
          </cell>
          <cell r="C296" t="str">
            <v>SP</v>
          </cell>
          <cell r="D296">
            <v>1976</v>
          </cell>
          <cell r="E296" t="str">
            <v>Wings Aviation International Inc</v>
          </cell>
          <cell r="F296">
            <v>28</v>
          </cell>
          <cell r="G296">
            <v>27852</v>
          </cell>
          <cell r="H296" t="str">
            <v>IISP</v>
          </cell>
          <cell r="I296" t="str">
            <v>North America</v>
          </cell>
          <cell r="J296" t="str">
            <v>USA</v>
          </cell>
          <cell r="K296">
            <v>27210</v>
          </cell>
        </row>
        <row r="297">
          <cell r="A297" t="str">
            <v>In service</v>
          </cell>
          <cell r="B297" t="str">
            <v>Gulfstream Aerospace Gulfstream II</v>
          </cell>
          <cell r="C297" t="str">
            <v>SP</v>
          </cell>
          <cell r="D297">
            <v>1976</v>
          </cell>
          <cell r="E297" t="str">
            <v>G II Jet Partners LLC</v>
          </cell>
          <cell r="F297">
            <v>28</v>
          </cell>
          <cell r="G297">
            <v>28074</v>
          </cell>
          <cell r="H297" t="str">
            <v>IISP</v>
          </cell>
          <cell r="I297" t="str">
            <v>North America</v>
          </cell>
          <cell r="J297" t="str">
            <v>USA</v>
          </cell>
          <cell r="K297">
            <v>27575</v>
          </cell>
        </row>
        <row r="298">
          <cell r="A298" t="str">
            <v>In service</v>
          </cell>
          <cell r="B298" t="str">
            <v>Gulfstream Aerospace Gulfstream II</v>
          </cell>
          <cell r="C298" t="str">
            <v>SP</v>
          </cell>
          <cell r="D298">
            <v>1976</v>
          </cell>
          <cell r="E298" t="str">
            <v>NASA</v>
          </cell>
          <cell r="F298">
            <v>28</v>
          </cell>
          <cell r="G298">
            <v>27947</v>
          </cell>
          <cell r="H298" t="str">
            <v>IISP</v>
          </cell>
          <cell r="I298" t="str">
            <v>North America</v>
          </cell>
          <cell r="J298" t="str">
            <v>USA</v>
          </cell>
        </row>
        <row r="299">
          <cell r="A299" t="str">
            <v>In service</v>
          </cell>
          <cell r="B299" t="str">
            <v>Gulfstream Aerospace Gulfstream II</v>
          </cell>
          <cell r="C299" t="str">
            <v>SP</v>
          </cell>
          <cell r="D299">
            <v>1976</v>
          </cell>
          <cell r="E299" t="str">
            <v>Shukra Ltd</v>
          </cell>
          <cell r="F299">
            <v>28</v>
          </cell>
          <cell r="G299">
            <v>28260</v>
          </cell>
          <cell r="H299" t="str">
            <v>IISP</v>
          </cell>
          <cell r="I299" t="str">
            <v>Latin America and Caribbean</v>
          </cell>
          <cell r="J299" t="str">
            <v>Bermuda</v>
          </cell>
          <cell r="K299">
            <v>27575</v>
          </cell>
        </row>
        <row r="300">
          <cell r="A300" t="str">
            <v>In service</v>
          </cell>
          <cell r="B300" t="str">
            <v>Gulfstream Aerospace Gulfstream II</v>
          </cell>
          <cell r="C300" t="str">
            <v>SP</v>
          </cell>
          <cell r="D300">
            <v>1976</v>
          </cell>
          <cell r="E300" t="str">
            <v>Kenair Inc</v>
          </cell>
          <cell r="F300">
            <v>28</v>
          </cell>
          <cell r="G300">
            <v>28048</v>
          </cell>
          <cell r="H300" t="str">
            <v>IISP</v>
          </cell>
          <cell r="I300" t="str">
            <v>North America</v>
          </cell>
          <cell r="J300" t="str">
            <v>USA</v>
          </cell>
          <cell r="K300">
            <v>27575</v>
          </cell>
        </row>
        <row r="301">
          <cell r="A301" t="str">
            <v>In service</v>
          </cell>
          <cell r="B301" t="str">
            <v>Gulfstream Aerospace Gulfstream II</v>
          </cell>
          <cell r="C301" t="str">
            <v>SP</v>
          </cell>
          <cell r="D301">
            <v>1976</v>
          </cell>
          <cell r="E301" t="str">
            <v>Stockwood Inc</v>
          </cell>
          <cell r="F301">
            <v>28</v>
          </cell>
          <cell r="G301">
            <v>28069</v>
          </cell>
          <cell r="H301" t="str">
            <v>IISP</v>
          </cell>
          <cell r="I301" t="str">
            <v>North America</v>
          </cell>
          <cell r="J301" t="str">
            <v>USA</v>
          </cell>
          <cell r="K301">
            <v>27210</v>
          </cell>
        </row>
        <row r="302">
          <cell r="A302" t="str">
            <v>In service</v>
          </cell>
          <cell r="B302" t="str">
            <v>Gulfstream Aerospace Gulfstream II</v>
          </cell>
          <cell r="C302" t="str">
            <v>SP</v>
          </cell>
          <cell r="D302">
            <v>1977</v>
          </cell>
          <cell r="E302" t="str">
            <v>Not Yours LLC</v>
          </cell>
          <cell r="F302">
            <v>27</v>
          </cell>
          <cell r="G302">
            <v>28430</v>
          </cell>
          <cell r="H302" t="str">
            <v>IISP</v>
          </cell>
          <cell r="I302" t="str">
            <v>North America</v>
          </cell>
          <cell r="J302" t="str">
            <v>USA</v>
          </cell>
          <cell r="K302">
            <v>27575</v>
          </cell>
        </row>
        <row r="303">
          <cell r="A303" t="str">
            <v>In service</v>
          </cell>
          <cell r="B303" t="str">
            <v>Gulfstream Aerospace Gulfstream II</v>
          </cell>
          <cell r="C303" t="str">
            <v>SP</v>
          </cell>
          <cell r="D303">
            <v>1977</v>
          </cell>
          <cell r="E303" t="str">
            <v>J W Connolly &amp; Shirley B Connolly</v>
          </cell>
          <cell r="F303">
            <v>27</v>
          </cell>
          <cell r="G303">
            <v>28706</v>
          </cell>
          <cell r="H303" t="str">
            <v>IISP</v>
          </cell>
          <cell r="I303" t="str">
            <v>North America</v>
          </cell>
          <cell r="J303" t="str">
            <v>USA</v>
          </cell>
          <cell r="K303">
            <v>28306</v>
          </cell>
        </row>
        <row r="304">
          <cell r="A304" t="str">
            <v>In service</v>
          </cell>
          <cell r="B304" t="str">
            <v>Gulfstream Aerospace Gulfstream II</v>
          </cell>
          <cell r="C304" t="str">
            <v>SP</v>
          </cell>
          <cell r="D304">
            <v>1977</v>
          </cell>
          <cell r="E304" t="str">
            <v>Apex Oil Co Inc</v>
          </cell>
          <cell r="F304">
            <v>27</v>
          </cell>
          <cell r="G304">
            <v>28600</v>
          </cell>
          <cell r="H304" t="str">
            <v>IISP</v>
          </cell>
          <cell r="I304" t="str">
            <v>North America</v>
          </cell>
          <cell r="J304" t="str">
            <v>USA</v>
          </cell>
          <cell r="K304">
            <v>28306</v>
          </cell>
        </row>
        <row r="305">
          <cell r="A305" t="str">
            <v>In service</v>
          </cell>
          <cell r="B305" t="str">
            <v>Gulfstream Aerospace Gulfstream II</v>
          </cell>
          <cell r="C305" t="str">
            <v>SP</v>
          </cell>
          <cell r="D305">
            <v>1977</v>
          </cell>
          <cell r="E305" t="str">
            <v>Aspen I LLC</v>
          </cell>
          <cell r="F305">
            <v>27</v>
          </cell>
          <cell r="G305">
            <v>28377</v>
          </cell>
          <cell r="H305" t="str">
            <v>IISP</v>
          </cell>
          <cell r="I305" t="str">
            <v>North America</v>
          </cell>
          <cell r="J305" t="str">
            <v>USA</v>
          </cell>
          <cell r="K305">
            <v>27575</v>
          </cell>
        </row>
        <row r="306">
          <cell r="A306" t="str">
            <v>In service</v>
          </cell>
          <cell r="B306" t="str">
            <v>Gulfstream Aerospace Gulfstream II</v>
          </cell>
          <cell r="C306" t="str">
            <v>SP</v>
          </cell>
          <cell r="D306">
            <v>1977</v>
          </cell>
          <cell r="E306" t="str">
            <v>ER Aviation LLC</v>
          </cell>
          <cell r="F306">
            <v>27</v>
          </cell>
          <cell r="G306">
            <v>28360</v>
          </cell>
          <cell r="H306" t="str">
            <v>IISP</v>
          </cell>
          <cell r="I306" t="str">
            <v>North America</v>
          </cell>
          <cell r="J306" t="str">
            <v>USA</v>
          </cell>
          <cell r="K306">
            <v>27941</v>
          </cell>
        </row>
        <row r="307">
          <cell r="A307" t="str">
            <v>In service</v>
          </cell>
          <cell r="B307" t="str">
            <v>Gulfstream Aerospace Gulfstream II</v>
          </cell>
          <cell r="C307" t="str">
            <v>SP</v>
          </cell>
          <cell r="D307">
            <v>1977</v>
          </cell>
          <cell r="E307" t="str">
            <v>PF Air LLC</v>
          </cell>
          <cell r="F307">
            <v>27</v>
          </cell>
          <cell r="G307">
            <v>28618</v>
          </cell>
          <cell r="H307" t="str">
            <v>IISP</v>
          </cell>
          <cell r="I307" t="str">
            <v>North America</v>
          </cell>
          <cell r="J307" t="str">
            <v>USA</v>
          </cell>
          <cell r="K307">
            <v>27941</v>
          </cell>
        </row>
        <row r="308">
          <cell r="A308" t="str">
            <v>In service</v>
          </cell>
          <cell r="B308" t="str">
            <v>Gulfstream Aerospace Gulfstream II</v>
          </cell>
          <cell r="C308" t="str">
            <v>SP</v>
          </cell>
          <cell r="D308">
            <v>1977</v>
          </cell>
          <cell r="E308" t="str">
            <v>Naveira Mexicana</v>
          </cell>
          <cell r="F308">
            <v>27</v>
          </cell>
          <cell r="G308">
            <v>28622</v>
          </cell>
          <cell r="H308" t="str">
            <v>IISP</v>
          </cell>
          <cell r="I308" t="str">
            <v>Latin America and Caribbean</v>
          </cell>
          <cell r="J308" t="str">
            <v>Mexico</v>
          </cell>
          <cell r="K308">
            <v>28306</v>
          </cell>
        </row>
        <row r="309">
          <cell r="A309" t="str">
            <v>In service</v>
          </cell>
          <cell r="B309" t="str">
            <v>Gulfstream Aerospace Gulfstream II</v>
          </cell>
          <cell r="C309" t="str">
            <v>SP</v>
          </cell>
          <cell r="D309">
            <v>1977</v>
          </cell>
          <cell r="E309" t="str">
            <v>JI Aviation Inc</v>
          </cell>
          <cell r="F309">
            <v>27</v>
          </cell>
          <cell r="G309">
            <v>28454</v>
          </cell>
          <cell r="H309" t="str">
            <v>IISP</v>
          </cell>
          <cell r="I309" t="str">
            <v>North America</v>
          </cell>
          <cell r="J309" t="str">
            <v>USA</v>
          </cell>
          <cell r="K309">
            <v>27941</v>
          </cell>
        </row>
        <row r="310">
          <cell r="A310" t="str">
            <v>In service</v>
          </cell>
          <cell r="B310" t="str">
            <v>Gulfstream Aerospace Gulfstream II</v>
          </cell>
          <cell r="C310" t="str">
            <v>SP</v>
          </cell>
          <cell r="D310">
            <v>1977</v>
          </cell>
          <cell r="E310" t="str">
            <v>Krystal Air LLC</v>
          </cell>
          <cell r="F310">
            <v>27</v>
          </cell>
          <cell r="G310">
            <v>28692</v>
          </cell>
          <cell r="H310" t="str">
            <v>IISP</v>
          </cell>
          <cell r="I310" t="str">
            <v>North America</v>
          </cell>
          <cell r="J310" t="str">
            <v>USA</v>
          </cell>
          <cell r="K310">
            <v>27941</v>
          </cell>
        </row>
        <row r="311">
          <cell r="A311" t="str">
            <v>In service</v>
          </cell>
          <cell r="B311" t="str">
            <v>Gulfstream Aerospace Gulfstream II</v>
          </cell>
          <cell r="C311" t="str">
            <v>SP</v>
          </cell>
          <cell r="D311">
            <v>1977</v>
          </cell>
          <cell r="E311" t="str">
            <v>Merle Norman Cosmetics Inc</v>
          </cell>
          <cell r="F311">
            <v>27</v>
          </cell>
          <cell r="G311">
            <v>28485</v>
          </cell>
          <cell r="H311" t="str">
            <v>IISP</v>
          </cell>
          <cell r="I311" t="str">
            <v>North America</v>
          </cell>
          <cell r="J311" t="str">
            <v>USA</v>
          </cell>
          <cell r="K311">
            <v>27941</v>
          </cell>
        </row>
        <row r="312">
          <cell r="A312" t="str">
            <v>In service</v>
          </cell>
          <cell r="B312" t="str">
            <v>Gulfstream Aerospace Gulfstream II</v>
          </cell>
          <cell r="C312" t="str">
            <v>SP</v>
          </cell>
          <cell r="D312">
            <v>1968</v>
          </cell>
          <cell r="E312" t="str">
            <v>Rutter Aviation LLC</v>
          </cell>
          <cell r="F312">
            <v>36</v>
          </cell>
          <cell r="G312">
            <v>25009</v>
          </cell>
          <cell r="H312" t="str">
            <v>IISP</v>
          </cell>
          <cell r="I312" t="str">
            <v>North America</v>
          </cell>
          <cell r="J312" t="str">
            <v>USA</v>
          </cell>
          <cell r="K312">
            <v>24288</v>
          </cell>
        </row>
        <row r="313">
          <cell r="A313" t="str">
            <v>In service</v>
          </cell>
          <cell r="B313" t="str">
            <v>Gulfstream Aerospace Gulfstream II</v>
          </cell>
          <cell r="C313" t="str">
            <v>SP</v>
          </cell>
          <cell r="D313">
            <v>1978</v>
          </cell>
          <cell r="E313" t="str">
            <v>NASA</v>
          </cell>
          <cell r="F313">
            <v>26</v>
          </cell>
          <cell r="G313">
            <v>28608</v>
          </cell>
          <cell r="H313" t="str">
            <v>IISP</v>
          </cell>
          <cell r="I313" t="str">
            <v>North America</v>
          </cell>
          <cell r="J313" t="str">
            <v>USA</v>
          </cell>
          <cell r="K313">
            <v>27941</v>
          </cell>
        </row>
        <row r="314">
          <cell r="A314" t="str">
            <v>In service</v>
          </cell>
          <cell r="B314" t="str">
            <v>Gulfstream Aerospace Gulfstream II</v>
          </cell>
          <cell r="C314" t="str">
            <v>SP</v>
          </cell>
          <cell r="D314">
            <v>1978</v>
          </cell>
          <cell r="E314" t="str">
            <v>Adams Investment Enterprises LLC</v>
          </cell>
          <cell r="F314">
            <v>26</v>
          </cell>
          <cell r="G314">
            <v>28630</v>
          </cell>
          <cell r="H314" t="str">
            <v>IISP</v>
          </cell>
          <cell r="I314" t="str">
            <v>North America</v>
          </cell>
          <cell r="J314" t="str">
            <v>USA</v>
          </cell>
          <cell r="K314">
            <v>27941</v>
          </cell>
        </row>
        <row r="315">
          <cell r="A315" t="str">
            <v>In service</v>
          </cell>
          <cell r="B315" t="str">
            <v>Gulfstream Aerospace Gulfstream II</v>
          </cell>
          <cell r="C315" t="str">
            <v>SP</v>
          </cell>
          <cell r="D315">
            <v>1978</v>
          </cell>
          <cell r="E315" t="str">
            <v>Frontier Oil Corp</v>
          </cell>
          <cell r="F315">
            <v>26</v>
          </cell>
          <cell r="G315">
            <v>29060</v>
          </cell>
          <cell r="H315" t="str">
            <v>IISP</v>
          </cell>
          <cell r="I315" t="str">
            <v>North America</v>
          </cell>
          <cell r="J315" t="str">
            <v>USA</v>
          </cell>
          <cell r="K315">
            <v>28671</v>
          </cell>
        </row>
        <row r="316">
          <cell r="A316" t="str">
            <v>In service</v>
          </cell>
          <cell r="B316" t="str">
            <v>Gulfstream Aerospace Gulfstream II</v>
          </cell>
          <cell r="C316" t="str">
            <v>SP</v>
          </cell>
          <cell r="D316">
            <v>1978</v>
          </cell>
          <cell r="E316" t="str">
            <v>Rich-Air/American Money Management/et al</v>
          </cell>
          <cell r="F316">
            <v>26</v>
          </cell>
          <cell r="G316">
            <v>28717</v>
          </cell>
          <cell r="H316" t="str">
            <v>IISP</v>
          </cell>
          <cell r="I316" t="str">
            <v>North America</v>
          </cell>
          <cell r="J316" t="str">
            <v>USA</v>
          </cell>
          <cell r="K316">
            <v>27941</v>
          </cell>
        </row>
        <row r="317">
          <cell r="A317" t="str">
            <v>In service</v>
          </cell>
          <cell r="B317" t="str">
            <v>Gulfstream Aerospace Gulfstream II</v>
          </cell>
          <cell r="C317" t="str">
            <v>SP</v>
          </cell>
          <cell r="D317">
            <v>1978</v>
          </cell>
          <cell r="E317" t="str">
            <v>Clay Lacy Aviation</v>
          </cell>
          <cell r="F317">
            <v>26</v>
          </cell>
          <cell r="G317">
            <v>28722</v>
          </cell>
          <cell r="H317" t="str">
            <v>IISP</v>
          </cell>
          <cell r="I317" t="str">
            <v>North America</v>
          </cell>
          <cell r="J317" t="str">
            <v>USA</v>
          </cell>
          <cell r="K317">
            <v>27941</v>
          </cell>
        </row>
        <row r="318">
          <cell r="A318" t="str">
            <v>In service</v>
          </cell>
          <cell r="B318" t="str">
            <v>Gulfstream Aerospace Gulfstream II</v>
          </cell>
          <cell r="C318" t="str">
            <v>SP</v>
          </cell>
          <cell r="D318">
            <v>1978</v>
          </cell>
          <cell r="E318" t="str">
            <v>IT &amp; Associates Inc</v>
          </cell>
          <cell r="F318">
            <v>26</v>
          </cell>
          <cell r="G318">
            <v>28958</v>
          </cell>
          <cell r="H318" t="str">
            <v>IISP</v>
          </cell>
          <cell r="I318" t="str">
            <v>North America</v>
          </cell>
          <cell r="J318" t="str">
            <v>USA</v>
          </cell>
          <cell r="K318">
            <v>28306</v>
          </cell>
        </row>
        <row r="319">
          <cell r="A319" t="str">
            <v>In service</v>
          </cell>
          <cell r="B319" t="str">
            <v>Gulfstream Aerospace Gulfstream II</v>
          </cell>
          <cell r="C319" t="str">
            <v>SP</v>
          </cell>
          <cell r="D319">
            <v>1979</v>
          </cell>
          <cell r="E319" t="str">
            <v>MK Aviation LLC</v>
          </cell>
          <cell r="F319">
            <v>25</v>
          </cell>
          <cell r="G319">
            <v>28901</v>
          </cell>
          <cell r="H319" t="str">
            <v>IISP</v>
          </cell>
          <cell r="I319" t="str">
            <v>North America</v>
          </cell>
          <cell r="J319" t="str">
            <v>USA</v>
          </cell>
        </row>
        <row r="320">
          <cell r="A320" t="str">
            <v>In service</v>
          </cell>
          <cell r="B320" t="str">
            <v>Gulfstream Aerospace Gulfstream II</v>
          </cell>
          <cell r="C320" t="str">
            <v>SP</v>
          </cell>
          <cell r="D320">
            <v>1979</v>
          </cell>
          <cell r="E320" t="str">
            <v>Flynn Financial Corp</v>
          </cell>
          <cell r="F320">
            <v>25</v>
          </cell>
          <cell r="G320">
            <v>29245</v>
          </cell>
          <cell r="H320" t="str">
            <v>IISP</v>
          </cell>
          <cell r="I320" t="str">
            <v>North America</v>
          </cell>
          <cell r="J320" t="str">
            <v>USA</v>
          </cell>
          <cell r="K320">
            <v>28671</v>
          </cell>
        </row>
        <row r="321">
          <cell r="A321" t="str">
            <v>In service</v>
          </cell>
          <cell r="B321" t="str">
            <v>Gulfstream Aerospace Gulfstream II</v>
          </cell>
          <cell r="C321" t="str">
            <v>SP</v>
          </cell>
          <cell r="D321">
            <v>1979</v>
          </cell>
          <cell r="E321" t="str">
            <v>MG-75 Inc</v>
          </cell>
          <cell r="F321">
            <v>25</v>
          </cell>
          <cell r="G321">
            <v>29082</v>
          </cell>
          <cell r="H321" t="str">
            <v>IISP</v>
          </cell>
          <cell r="I321" t="str">
            <v>North America</v>
          </cell>
          <cell r="J321" t="str">
            <v>USA</v>
          </cell>
          <cell r="K321">
            <v>28306</v>
          </cell>
        </row>
        <row r="322">
          <cell r="A322" t="str">
            <v>In service</v>
          </cell>
          <cell r="B322" t="str">
            <v>Gulfstream Aerospace Gulfstream II</v>
          </cell>
          <cell r="C322" t="str">
            <v>SP</v>
          </cell>
          <cell r="D322">
            <v>1979</v>
          </cell>
          <cell r="E322" t="str">
            <v>Hawker Air LP</v>
          </cell>
          <cell r="F322">
            <v>25</v>
          </cell>
          <cell r="G322">
            <v>29306</v>
          </cell>
          <cell r="H322" t="str">
            <v>IISP</v>
          </cell>
          <cell r="I322" t="str">
            <v>North America</v>
          </cell>
          <cell r="J322" t="str">
            <v>USA</v>
          </cell>
          <cell r="K322">
            <v>28671</v>
          </cell>
        </row>
        <row r="323">
          <cell r="A323" t="str">
            <v>In service</v>
          </cell>
          <cell r="B323" t="str">
            <v>Gulfstream Aerospace Gulfstream II</v>
          </cell>
          <cell r="C323" t="str">
            <v>SP</v>
          </cell>
          <cell r="D323">
            <v>1979</v>
          </cell>
          <cell r="E323" t="str">
            <v>Consolidated Oil &amp; Gas</v>
          </cell>
          <cell r="F323">
            <v>25</v>
          </cell>
          <cell r="G323">
            <v>29174</v>
          </cell>
          <cell r="H323" t="str">
            <v>IISP</v>
          </cell>
          <cell r="I323" t="str">
            <v>North America</v>
          </cell>
          <cell r="J323" t="str">
            <v>USA</v>
          </cell>
          <cell r="K323">
            <v>29036</v>
          </cell>
        </row>
        <row r="324">
          <cell r="A324" t="str">
            <v>In service</v>
          </cell>
          <cell r="B324" t="str">
            <v>Gulfstream Aerospace Gulfstream II</v>
          </cell>
          <cell r="C324" t="str">
            <v>SP</v>
          </cell>
          <cell r="D324">
            <v>1968</v>
          </cell>
          <cell r="E324" t="str">
            <v>Hazben Inc</v>
          </cell>
          <cell r="F324">
            <v>36</v>
          </cell>
          <cell r="G324">
            <v>25084</v>
          </cell>
          <cell r="H324" t="str">
            <v>IISP</v>
          </cell>
          <cell r="I324" t="str">
            <v>North America</v>
          </cell>
          <cell r="J324" t="str">
            <v>USA</v>
          </cell>
          <cell r="K324">
            <v>24288</v>
          </cell>
        </row>
        <row r="325">
          <cell r="A325" t="str">
            <v>In service</v>
          </cell>
          <cell r="B325" t="str">
            <v>Gulfstream Aerospace Gulfstream II</v>
          </cell>
          <cell r="C325" t="str">
            <v>SP</v>
          </cell>
          <cell r="D325">
            <v>1968</v>
          </cell>
          <cell r="E325" t="str">
            <v>Aero Air LLC</v>
          </cell>
          <cell r="F325">
            <v>36</v>
          </cell>
          <cell r="G325">
            <v>25084</v>
          </cell>
          <cell r="H325" t="str">
            <v>IISP</v>
          </cell>
          <cell r="I325" t="str">
            <v>North America</v>
          </cell>
          <cell r="J325" t="str">
            <v>USA</v>
          </cell>
          <cell r="K325">
            <v>24653</v>
          </cell>
        </row>
        <row r="326">
          <cell r="A326" t="str">
            <v>In service</v>
          </cell>
          <cell r="B326" t="str">
            <v>Gulfstream Aerospace Gulfstream II</v>
          </cell>
          <cell r="C326" t="str">
            <v>SP</v>
          </cell>
          <cell r="D326">
            <v>1968</v>
          </cell>
          <cell r="E326" t="str">
            <v>Bondstone Corp</v>
          </cell>
          <cell r="F326">
            <v>36</v>
          </cell>
          <cell r="G326">
            <v>25113</v>
          </cell>
          <cell r="H326" t="str">
            <v>IISP</v>
          </cell>
          <cell r="I326" t="str">
            <v>North America</v>
          </cell>
          <cell r="J326" t="str">
            <v>USA</v>
          </cell>
          <cell r="K326">
            <v>24288</v>
          </cell>
        </row>
        <row r="327">
          <cell r="A327" t="str">
            <v>In service</v>
          </cell>
          <cell r="B327" t="str">
            <v>Gulfstream Aerospace Gulfstream II</v>
          </cell>
          <cell r="C327" t="str">
            <v>SP</v>
          </cell>
          <cell r="D327">
            <v>1968</v>
          </cell>
          <cell r="E327" t="str">
            <v>FTO Co Inc</v>
          </cell>
          <cell r="F327">
            <v>36</v>
          </cell>
          <cell r="G327">
            <v>25153</v>
          </cell>
          <cell r="H327" t="str">
            <v>IISP</v>
          </cell>
          <cell r="I327" t="str">
            <v>North America</v>
          </cell>
          <cell r="J327" t="str">
            <v>USA</v>
          </cell>
          <cell r="K327">
            <v>24288</v>
          </cell>
        </row>
        <row r="328">
          <cell r="A328" t="str">
            <v>In service</v>
          </cell>
          <cell r="B328" t="str">
            <v>Gulfstream Aerospace Gulfstream II</v>
          </cell>
          <cell r="C328" t="str">
            <v>SP</v>
          </cell>
          <cell r="D328">
            <v>1968</v>
          </cell>
          <cell r="E328" t="str">
            <v>Pavair Inc</v>
          </cell>
          <cell r="F328">
            <v>36</v>
          </cell>
          <cell r="G328">
            <v>25190</v>
          </cell>
          <cell r="H328" t="str">
            <v>IISP</v>
          </cell>
          <cell r="I328" t="str">
            <v>North America</v>
          </cell>
          <cell r="J328" t="str">
            <v>USA</v>
          </cell>
          <cell r="K328">
            <v>24288</v>
          </cell>
        </row>
        <row r="329">
          <cell r="A329" t="str">
            <v>In service</v>
          </cell>
          <cell r="B329" t="str">
            <v>Gulfstream Aerospace Gulfstream II</v>
          </cell>
          <cell r="C329" t="str">
            <v>SP</v>
          </cell>
          <cell r="D329">
            <v>1968</v>
          </cell>
          <cell r="E329" t="str">
            <v>Trans Continental Jet Shares LLC</v>
          </cell>
          <cell r="F329">
            <v>36</v>
          </cell>
          <cell r="G329">
            <v>25192</v>
          </cell>
          <cell r="H329" t="str">
            <v>IISP</v>
          </cell>
          <cell r="I329" t="str">
            <v>North America</v>
          </cell>
          <cell r="J329" t="str">
            <v>USA</v>
          </cell>
          <cell r="K329">
            <v>24288</v>
          </cell>
        </row>
        <row r="330">
          <cell r="A330" t="str">
            <v>In service</v>
          </cell>
          <cell r="B330" t="str">
            <v>Gulfstream Aerospace Gulfstream II</v>
          </cell>
          <cell r="C330" t="str">
            <v>SP</v>
          </cell>
          <cell r="D330">
            <v>1969</v>
          </cell>
          <cell r="E330" t="str">
            <v>Martin Sprocket &amp; Gear Inc</v>
          </cell>
          <cell r="F330">
            <v>35</v>
          </cell>
          <cell r="G330">
            <v>25247</v>
          </cell>
          <cell r="H330" t="str">
            <v>IISP</v>
          </cell>
          <cell r="I330" t="str">
            <v>North America</v>
          </cell>
          <cell r="J330" t="str">
            <v>USA</v>
          </cell>
          <cell r="K330">
            <v>24653</v>
          </cell>
        </row>
        <row r="331">
          <cell r="A331" t="str">
            <v>In service</v>
          </cell>
          <cell r="B331" t="str">
            <v>Gulfstream Aerospace Gulfstream II</v>
          </cell>
          <cell r="C331" t="str">
            <v>SP</v>
          </cell>
          <cell r="D331">
            <v>1969</v>
          </cell>
          <cell r="E331" t="str">
            <v>Robert E Torray &amp; Co</v>
          </cell>
          <cell r="F331">
            <v>35</v>
          </cell>
          <cell r="G331">
            <v>25956</v>
          </cell>
          <cell r="H331" t="str">
            <v>IISP</v>
          </cell>
          <cell r="I331" t="str">
            <v>North America</v>
          </cell>
          <cell r="J331" t="str">
            <v>USA</v>
          </cell>
        </row>
        <row r="332">
          <cell r="A332" t="str">
            <v>In service</v>
          </cell>
          <cell r="B332" t="str">
            <v>Gulfstream Aerospace Gulfstream II</v>
          </cell>
          <cell r="C332" t="str">
            <v>SP</v>
          </cell>
          <cell r="D332">
            <v>1969</v>
          </cell>
          <cell r="E332" t="str">
            <v>Hubbard Broadcasting Inc</v>
          </cell>
          <cell r="F332">
            <v>35</v>
          </cell>
          <cell r="G332">
            <v>25308</v>
          </cell>
          <cell r="H332" t="str">
            <v>IISP</v>
          </cell>
          <cell r="I332" t="str">
            <v>North America</v>
          </cell>
          <cell r="J332" t="str">
            <v>USA</v>
          </cell>
          <cell r="K332">
            <v>24653</v>
          </cell>
        </row>
        <row r="333">
          <cell r="A333" t="str">
            <v>In service</v>
          </cell>
          <cell r="B333" t="str">
            <v>Gulfstream Aerospace Gulfstream II</v>
          </cell>
          <cell r="C333" t="str">
            <v>SP</v>
          </cell>
          <cell r="D333">
            <v>1969</v>
          </cell>
          <cell r="E333" t="str">
            <v>Eagle Mountain International Church</v>
          </cell>
          <cell r="F333">
            <v>35</v>
          </cell>
          <cell r="G333">
            <v>25321</v>
          </cell>
          <cell r="H333" t="str">
            <v>IISP</v>
          </cell>
          <cell r="I333" t="str">
            <v>North America</v>
          </cell>
          <cell r="J333" t="str">
            <v>USA</v>
          </cell>
          <cell r="K333">
            <v>24653</v>
          </cell>
        </row>
        <row r="334">
          <cell r="A334" t="str">
            <v>In service</v>
          </cell>
          <cell r="B334" t="str">
            <v>Gulfstream Aerospace Gulfstream II</v>
          </cell>
          <cell r="C334" t="str">
            <v>SP</v>
          </cell>
          <cell r="D334">
            <v>1969</v>
          </cell>
          <cell r="E334" t="str">
            <v>Model Transportation LLC</v>
          </cell>
          <cell r="F334">
            <v>35</v>
          </cell>
          <cell r="G334">
            <v>25343</v>
          </cell>
          <cell r="H334" t="str">
            <v>IISP</v>
          </cell>
          <cell r="I334" t="str">
            <v>North America</v>
          </cell>
          <cell r="J334" t="str">
            <v>USA</v>
          </cell>
          <cell r="K334">
            <v>24653</v>
          </cell>
        </row>
        <row r="335">
          <cell r="A335" t="str">
            <v>In service</v>
          </cell>
          <cell r="B335" t="str">
            <v>Gulfstream Aerospace Gulfstream II</v>
          </cell>
          <cell r="C335" t="str">
            <v>SP</v>
          </cell>
          <cell r="D335">
            <v>1969</v>
          </cell>
          <cell r="E335" t="str">
            <v>Bellevue Jet Partners LLC</v>
          </cell>
          <cell r="F335">
            <v>35</v>
          </cell>
          <cell r="G335">
            <v>25357</v>
          </cell>
          <cell r="H335" t="str">
            <v>IISP</v>
          </cell>
          <cell r="I335" t="str">
            <v>North America</v>
          </cell>
          <cell r="J335" t="str">
            <v>USA</v>
          </cell>
          <cell r="K335">
            <v>24653</v>
          </cell>
        </row>
        <row r="336">
          <cell r="A336" t="str">
            <v>In service</v>
          </cell>
          <cell r="B336" t="str">
            <v>Gulfstream Aerospace Gulfstream II</v>
          </cell>
          <cell r="C336" t="str">
            <v>SP</v>
          </cell>
          <cell r="D336">
            <v>1969</v>
          </cell>
          <cell r="E336" t="str">
            <v>The Air Group Inc</v>
          </cell>
          <cell r="F336">
            <v>35</v>
          </cell>
          <cell r="G336">
            <v>25381</v>
          </cell>
          <cell r="H336" t="str">
            <v>IISP</v>
          </cell>
          <cell r="I336" t="str">
            <v>North America</v>
          </cell>
          <cell r="J336" t="str">
            <v>USA</v>
          </cell>
          <cell r="K336">
            <v>24653</v>
          </cell>
        </row>
        <row r="337">
          <cell r="A337" t="str">
            <v>In service</v>
          </cell>
          <cell r="B337" t="str">
            <v>Gulfstream Aerospace Gulfstream II</v>
          </cell>
          <cell r="C337" t="str">
            <v>SP</v>
          </cell>
          <cell r="D337">
            <v>1969</v>
          </cell>
          <cell r="E337" t="str">
            <v>Flightworks</v>
          </cell>
          <cell r="F337">
            <v>35</v>
          </cell>
          <cell r="G337">
            <v>25392</v>
          </cell>
          <cell r="H337" t="str">
            <v>IISP</v>
          </cell>
          <cell r="I337" t="str">
            <v>North America</v>
          </cell>
          <cell r="J337" t="str">
            <v>USA</v>
          </cell>
          <cell r="K337">
            <v>24653</v>
          </cell>
        </row>
        <row r="338">
          <cell r="A338" t="str">
            <v>In service</v>
          </cell>
          <cell r="B338" t="str">
            <v>Gulfstream Aerospace Gulfstream II</v>
          </cell>
          <cell r="C338" t="str">
            <v>SP</v>
          </cell>
          <cell r="D338">
            <v>1969</v>
          </cell>
          <cell r="E338" t="str">
            <v>VOZ LLC</v>
          </cell>
          <cell r="F338">
            <v>35</v>
          </cell>
          <cell r="G338">
            <v>25441</v>
          </cell>
          <cell r="H338" t="str">
            <v>IISP</v>
          </cell>
          <cell r="I338" t="str">
            <v>North America</v>
          </cell>
          <cell r="J338" t="str">
            <v>USA</v>
          </cell>
          <cell r="K338">
            <v>24653</v>
          </cell>
        </row>
        <row r="339">
          <cell r="A339" t="str">
            <v>In service</v>
          </cell>
          <cell r="B339" t="str">
            <v>Gulfstream Aerospace Gulfstream II</v>
          </cell>
          <cell r="C339" t="str">
            <v>SP</v>
          </cell>
          <cell r="D339">
            <v>1969</v>
          </cell>
          <cell r="E339" t="str">
            <v>Gulfway Air Inc</v>
          </cell>
          <cell r="F339">
            <v>35</v>
          </cell>
          <cell r="G339">
            <v>25474</v>
          </cell>
          <cell r="H339" t="str">
            <v>IISP</v>
          </cell>
          <cell r="I339" t="str">
            <v>North America</v>
          </cell>
          <cell r="J339" t="str">
            <v>USA</v>
          </cell>
          <cell r="K339">
            <v>25019</v>
          </cell>
        </row>
        <row r="340">
          <cell r="A340" t="str">
            <v>In service</v>
          </cell>
          <cell r="B340" t="str">
            <v>Gulfstream Aerospace Gulfstream II</v>
          </cell>
          <cell r="C340" t="str">
            <v>SP</v>
          </cell>
          <cell r="D340">
            <v>1969</v>
          </cell>
          <cell r="E340" t="str">
            <v>C &amp; A Aircraft LLC</v>
          </cell>
          <cell r="F340">
            <v>35</v>
          </cell>
          <cell r="G340">
            <v>25531</v>
          </cell>
          <cell r="H340" t="str">
            <v>IISP</v>
          </cell>
          <cell r="I340" t="str">
            <v>North America</v>
          </cell>
          <cell r="J340" t="str">
            <v>USA</v>
          </cell>
          <cell r="K340">
            <v>25019</v>
          </cell>
        </row>
        <row r="341">
          <cell r="A341" t="str">
            <v>In service</v>
          </cell>
          <cell r="B341" t="str">
            <v>Gulfstream Aerospace Gulfstream II</v>
          </cell>
          <cell r="C341" t="str">
            <v>SP</v>
          </cell>
          <cell r="D341">
            <v>1969</v>
          </cell>
          <cell r="E341" t="str">
            <v>Aviation Company Inc</v>
          </cell>
          <cell r="F341">
            <v>35</v>
          </cell>
          <cell r="G341">
            <v>25599</v>
          </cell>
          <cell r="H341" t="str">
            <v>IISP</v>
          </cell>
          <cell r="I341" t="str">
            <v>North America</v>
          </cell>
          <cell r="J341" t="str">
            <v>USA</v>
          </cell>
          <cell r="K341">
            <v>25019</v>
          </cell>
        </row>
        <row r="342">
          <cell r="A342" t="str">
            <v>In service</v>
          </cell>
          <cell r="B342" t="str">
            <v>Gulfstream Aerospace Gulfstream II</v>
          </cell>
          <cell r="C342" t="str">
            <v>SP</v>
          </cell>
          <cell r="D342">
            <v>1967</v>
          </cell>
          <cell r="E342" t="str">
            <v>MidSouth Services Inc</v>
          </cell>
          <cell r="F342">
            <v>37</v>
          </cell>
          <cell r="G342">
            <v>24824</v>
          </cell>
          <cell r="H342" t="str">
            <v>IISP</v>
          </cell>
          <cell r="I342" t="str">
            <v>North America</v>
          </cell>
          <cell r="J342" t="str">
            <v>USA</v>
          </cell>
          <cell r="K342">
            <v>23923</v>
          </cell>
        </row>
        <row r="343">
          <cell r="A343" t="str">
            <v>In service</v>
          </cell>
          <cell r="B343" t="str">
            <v>Gulfstream Aerospace Gulfstream II</v>
          </cell>
          <cell r="C343" t="str">
            <v>SP</v>
          </cell>
          <cell r="D343">
            <v>1970</v>
          </cell>
          <cell r="E343" t="str">
            <v>Rubin Consulting Group Inc</v>
          </cell>
          <cell r="F343">
            <v>34</v>
          </cell>
          <cell r="G343">
            <v>25609</v>
          </cell>
          <cell r="H343" t="str">
            <v>IISP</v>
          </cell>
          <cell r="I343" t="str">
            <v>North America</v>
          </cell>
          <cell r="J343" t="str">
            <v>USA</v>
          </cell>
          <cell r="K343">
            <v>25019</v>
          </cell>
        </row>
        <row r="344">
          <cell r="A344" t="str">
            <v>In service</v>
          </cell>
          <cell r="B344" t="str">
            <v>Gulfstream Aerospace Gulfstream II</v>
          </cell>
          <cell r="C344" t="str">
            <v>SP</v>
          </cell>
          <cell r="D344">
            <v>1970</v>
          </cell>
          <cell r="E344" t="str">
            <v>Constellation Products Inc</v>
          </cell>
          <cell r="F344">
            <v>34</v>
          </cell>
          <cell r="G344">
            <v>25616</v>
          </cell>
          <cell r="H344" t="str">
            <v>IISP</v>
          </cell>
          <cell r="I344" t="str">
            <v>North America</v>
          </cell>
          <cell r="J344" t="str">
            <v>USA</v>
          </cell>
          <cell r="K344">
            <v>25019</v>
          </cell>
        </row>
        <row r="345">
          <cell r="A345" t="str">
            <v>In service</v>
          </cell>
          <cell r="B345" t="str">
            <v>Gulfstream Aerospace Gulfstream II</v>
          </cell>
          <cell r="C345" t="str">
            <v>SP</v>
          </cell>
          <cell r="D345">
            <v>1970</v>
          </cell>
          <cell r="E345" t="str">
            <v>Centralize Leasing Corp</v>
          </cell>
          <cell r="F345">
            <v>34</v>
          </cell>
          <cell r="G345">
            <v>25640</v>
          </cell>
          <cell r="H345" t="str">
            <v>IISP</v>
          </cell>
          <cell r="I345" t="str">
            <v>North America</v>
          </cell>
          <cell r="J345" t="str">
            <v>USA</v>
          </cell>
          <cell r="K345">
            <v>25019</v>
          </cell>
        </row>
        <row r="346">
          <cell r="A346" t="str">
            <v>In service</v>
          </cell>
          <cell r="B346" t="str">
            <v>Gulfstream Aerospace Gulfstream II</v>
          </cell>
          <cell r="C346" t="str">
            <v>SP</v>
          </cell>
          <cell r="D346">
            <v>1970</v>
          </cell>
          <cell r="E346" t="str">
            <v>Jet Place Inc</v>
          </cell>
          <cell r="F346">
            <v>34</v>
          </cell>
          <cell r="G346">
            <v>25688</v>
          </cell>
          <cell r="H346" t="str">
            <v>IISP</v>
          </cell>
          <cell r="I346" t="str">
            <v>North America</v>
          </cell>
          <cell r="J346" t="str">
            <v>USA</v>
          </cell>
          <cell r="K346">
            <v>25019</v>
          </cell>
        </row>
        <row r="347">
          <cell r="A347" t="str">
            <v>In service</v>
          </cell>
          <cell r="B347" t="str">
            <v>Gulfstream Aerospace Gulfstream II</v>
          </cell>
          <cell r="C347" t="str">
            <v>SP</v>
          </cell>
          <cell r="D347">
            <v>1970</v>
          </cell>
          <cell r="E347" t="str">
            <v>Aero Air LLC</v>
          </cell>
          <cell r="F347">
            <v>34</v>
          </cell>
          <cell r="G347">
            <v>25941</v>
          </cell>
          <cell r="H347" t="str">
            <v>IISP</v>
          </cell>
          <cell r="I347" t="str">
            <v>North America</v>
          </cell>
          <cell r="J347" t="str">
            <v>USA</v>
          </cell>
          <cell r="K347">
            <v>25384</v>
          </cell>
        </row>
        <row r="348">
          <cell r="A348" t="str">
            <v>In service</v>
          </cell>
          <cell r="B348" t="str">
            <v>Gulfstream Aerospace Gulfstream II</v>
          </cell>
          <cell r="C348" t="str">
            <v>SP</v>
          </cell>
          <cell r="D348">
            <v>1970</v>
          </cell>
          <cell r="E348" t="str">
            <v>Triple Diamond Gulfstream LLC</v>
          </cell>
          <cell r="F348">
            <v>34</v>
          </cell>
          <cell r="G348">
            <v>25742</v>
          </cell>
          <cell r="H348" t="str">
            <v>IISP</v>
          </cell>
          <cell r="I348" t="str">
            <v>North America</v>
          </cell>
          <cell r="J348" t="str">
            <v>USA</v>
          </cell>
          <cell r="K348">
            <v>25019</v>
          </cell>
        </row>
        <row r="349">
          <cell r="A349" t="str">
            <v>In service</v>
          </cell>
          <cell r="B349" t="str">
            <v>Gulfstream Aerospace Gulfstream II</v>
          </cell>
          <cell r="C349" t="str">
            <v>SP</v>
          </cell>
          <cell r="D349">
            <v>1970</v>
          </cell>
          <cell r="E349" t="str">
            <v>Avjet Corp</v>
          </cell>
          <cell r="F349">
            <v>34</v>
          </cell>
          <cell r="G349">
            <v>26039</v>
          </cell>
          <cell r="H349" t="str">
            <v>IISP</v>
          </cell>
          <cell r="I349" t="str">
            <v>North America</v>
          </cell>
          <cell r="J349" t="str">
            <v>USA</v>
          </cell>
          <cell r="K349">
            <v>25384</v>
          </cell>
        </row>
        <row r="350">
          <cell r="A350" t="str">
            <v>In service</v>
          </cell>
          <cell r="B350" t="str">
            <v>Gulfstream Aerospace Gulfstream II</v>
          </cell>
          <cell r="C350" t="str">
            <v>SP</v>
          </cell>
          <cell r="D350">
            <v>1970</v>
          </cell>
          <cell r="E350" t="str">
            <v>Spirit of Faith Christian Center</v>
          </cell>
          <cell r="F350">
            <v>34</v>
          </cell>
          <cell r="G350">
            <v>25773</v>
          </cell>
          <cell r="H350" t="str">
            <v>SP</v>
          </cell>
          <cell r="I350" t="str">
            <v>North America</v>
          </cell>
          <cell r="J350" t="str">
            <v>USA</v>
          </cell>
          <cell r="K350">
            <v>25019</v>
          </cell>
        </row>
        <row r="351">
          <cell r="A351" t="str">
            <v>In service</v>
          </cell>
          <cell r="B351" t="str">
            <v>Gulfstream Aerospace Gulfstream II</v>
          </cell>
          <cell r="C351" t="str">
            <v>SP</v>
          </cell>
          <cell r="D351">
            <v>1970</v>
          </cell>
          <cell r="E351" t="str">
            <v>Hollywood Aviation Inc</v>
          </cell>
          <cell r="F351">
            <v>34</v>
          </cell>
          <cell r="G351">
            <v>26088</v>
          </cell>
          <cell r="H351" t="str">
            <v>IISP</v>
          </cell>
          <cell r="I351" t="str">
            <v>North America</v>
          </cell>
          <cell r="J351" t="str">
            <v>USA</v>
          </cell>
          <cell r="K351">
            <v>25749</v>
          </cell>
        </row>
        <row r="352">
          <cell r="A352" t="str">
            <v>In service</v>
          </cell>
          <cell r="B352" t="str">
            <v>Gulfstream Aerospace Gulfstream II</v>
          </cell>
          <cell r="C352" t="str">
            <v>SP</v>
          </cell>
          <cell r="D352">
            <v>1970</v>
          </cell>
          <cell r="E352" t="str">
            <v>Global Jet Shares Inc</v>
          </cell>
          <cell r="F352">
            <v>34</v>
          </cell>
          <cell r="G352">
            <v>26214</v>
          </cell>
          <cell r="H352" t="str">
            <v>IISP</v>
          </cell>
          <cell r="I352" t="str">
            <v>North America</v>
          </cell>
          <cell r="J352" t="str">
            <v>USA</v>
          </cell>
          <cell r="K352">
            <v>25749</v>
          </cell>
        </row>
        <row r="353">
          <cell r="A353" t="str">
            <v>In service</v>
          </cell>
          <cell r="B353" t="str">
            <v>Gulfstream Aerospace Gulfstream II</v>
          </cell>
          <cell r="C353" t="str">
            <v>SP</v>
          </cell>
          <cell r="D353">
            <v>1971</v>
          </cell>
          <cell r="E353" t="str">
            <v>Flightworks</v>
          </cell>
          <cell r="F353">
            <v>33</v>
          </cell>
          <cell r="G353">
            <v>26108</v>
          </cell>
          <cell r="H353" t="str">
            <v>IISP</v>
          </cell>
          <cell r="I353" t="str">
            <v>North America</v>
          </cell>
          <cell r="J353" t="str">
            <v>USA</v>
          </cell>
          <cell r="K353">
            <v>25749</v>
          </cell>
        </row>
        <row r="354">
          <cell r="A354" t="str">
            <v>In service</v>
          </cell>
          <cell r="B354" t="str">
            <v>Gulfstream Aerospace Gulfstream II</v>
          </cell>
          <cell r="C354" t="str">
            <v>Stage III Hushkit</v>
          </cell>
          <cell r="D354">
            <v>1971</v>
          </cell>
          <cell r="E354" t="str">
            <v>Quiet Technology Aerospace Inc</v>
          </cell>
          <cell r="F354">
            <v>33</v>
          </cell>
          <cell r="G354">
            <v>26282</v>
          </cell>
          <cell r="I354" t="str">
            <v>North America</v>
          </cell>
          <cell r="J354" t="str">
            <v>USA</v>
          </cell>
          <cell r="K354">
            <v>25749</v>
          </cell>
        </row>
        <row r="355">
          <cell r="A355" t="str">
            <v>In service</v>
          </cell>
          <cell r="B355" t="str">
            <v>Gulfstream Aerospace Gulfstream II</v>
          </cell>
          <cell r="C355" t="str">
            <v>Stage III Hushkit</v>
          </cell>
          <cell r="D355">
            <v>1975</v>
          </cell>
          <cell r="E355" t="str">
            <v>Antair SA de CV</v>
          </cell>
          <cell r="F355">
            <v>29</v>
          </cell>
          <cell r="G355">
            <v>27505</v>
          </cell>
          <cell r="I355" t="str">
            <v>Latin America and Caribbean</v>
          </cell>
          <cell r="J355" t="str">
            <v>Mexico</v>
          </cell>
          <cell r="K355">
            <v>26845</v>
          </cell>
        </row>
        <row r="356">
          <cell r="A356" t="str">
            <v>In service</v>
          </cell>
          <cell r="B356" t="str">
            <v>Gulfstream Aerospace Gulfstream II</v>
          </cell>
          <cell r="C356" t="str">
            <v>Stage III Hushkit</v>
          </cell>
          <cell r="D356">
            <v>1967</v>
          </cell>
          <cell r="E356" t="str">
            <v>Avstar Jet Charter &amp; Management Services Inc</v>
          </cell>
          <cell r="F356">
            <v>37</v>
          </cell>
          <cell r="G356">
            <v>24866</v>
          </cell>
          <cell r="I356" t="str">
            <v>North America</v>
          </cell>
          <cell r="J356" t="str">
            <v>USA</v>
          </cell>
          <cell r="K356">
            <v>24288</v>
          </cell>
        </row>
        <row r="357">
          <cell r="A357" t="str">
            <v>In service</v>
          </cell>
          <cell r="B357" t="str">
            <v>Gulfstream Aerospace Gulfstream II</v>
          </cell>
          <cell r="C357" t="str">
            <v>Stage III Hushkit</v>
          </cell>
          <cell r="D357">
            <v>1969</v>
          </cell>
          <cell r="E357" t="str">
            <v>AZ3 Inc</v>
          </cell>
          <cell r="F357">
            <v>35</v>
          </cell>
          <cell r="G357">
            <v>25422</v>
          </cell>
          <cell r="I357" t="str">
            <v>North America</v>
          </cell>
          <cell r="J357" t="str">
            <v>USA</v>
          </cell>
          <cell r="K357">
            <v>25019</v>
          </cell>
        </row>
        <row r="358">
          <cell r="A358" t="str">
            <v>In service</v>
          </cell>
          <cell r="B358" t="str">
            <v>Gulfstream Aerospace Gulfstream II</v>
          </cell>
          <cell r="C358" t="str">
            <v>TT</v>
          </cell>
          <cell r="D358">
            <v>1976</v>
          </cell>
          <cell r="E358" t="str">
            <v>Moroccan Ministry of Defence</v>
          </cell>
          <cell r="F358">
            <v>28</v>
          </cell>
          <cell r="G358">
            <v>28228</v>
          </cell>
          <cell r="H358" t="str">
            <v>IITT</v>
          </cell>
          <cell r="I358" t="str">
            <v>Africa</v>
          </cell>
          <cell r="J358" t="str">
            <v>Morocco</v>
          </cell>
        </row>
        <row r="359">
          <cell r="A359" t="str">
            <v>In service</v>
          </cell>
          <cell r="B359" t="str">
            <v>Gulfstream Aerospace Gulfstream II</v>
          </cell>
          <cell r="C359" t="str">
            <v>TT</v>
          </cell>
          <cell r="D359">
            <v>1977</v>
          </cell>
          <cell r="E359" t="str">
            <v>Saudi Arabian Airlines</v>
          </cell>
          <cell r="F359">
            <v>27</v>
          </cell>
          <cell r="G359">
            <v>28477</v>
          </cell>
          <cell r="H359" t="str">
            <v>IITT</v>
          </cell>
          <cell r="I359" t="str">
            <v>Middle East</v>
          </cell>
          <cell r="J359" t="str">
            <v>Saudi Arabia</v>
          </cell>
          <cell r="K359">
            <v>27941</v>
          </cell>
        </row>
        <row r="360">
          <cell r="A360" t="str">
            <v>In service</v>
          </cell>
          <cell r="B360" t="str">
            <v>Gulfstream Aerospace Gulfstream II</v>
          </cell>
          <cell r="C360" t="str">
            <v>TT</v>
          </cell>
          <cell r="D360">
            <v>1977</v>
          </cell>
          <cell r="E360" t="str">
            <v>Government of Bahrain</v>
          </cell>
          <cell r="F360">
            <v>27</v>
          </cell>
          <cell r="G360">
            <v>28529</v>
          </cell>
          <cell r="H360" t="str">
            <v>IITT</v>
          </cell>
          <cell r="I360" t="str">
            <v>Middle East</v>
          </cell>
          <cell r="J360" t="str">
            <v>Bahrain</v>
          </cell>
          <cell r="K360">
            <v>27941</v>
          </cell>
        </row>
        <row r="361">
          <cell r="A361" t="str">
            <v>In service</v>
          </cell>
          <cell r="B361" t="str">
            <v>Gulfstream Aerospace Gulfstream II</v>
          </cell>
          <cell r="C361" t="str">
            <v>TT</v>
          </cell>
          <cell r="D361">
            <v>1977</v>
          </cell>
          <cell r="E361" t="str">
            <v>Saudi Arabian Airlines</v>
          </cell>
          <cell r="F361">
            <v>27</v>
          </cell>
          <cell r="G361">
            <v>28487</v>
          </cell>
          <cell r="H361" t="str">
            <v>IITT</v>
          </cell>
          <cell r="I361" t="str">
            <v>Middle East</v>
          </cell>
          <cell r="J361" t="str">
            <v>Saudi Arabia</v>
          </cell>
          <cell r="K361">
            <v>27941</v>
          </cell>
        </row>
        <row r="362">
          <cell r="A362" t="str">
            <v>In service</v>
          </cell>
          <cell r="B362" t="str">
            <v>Gulfstream Aerospace Gulfstream II</v>
          </cell>
          <cell r="C362" t="str">
            <v>TT</v>
          </cell>
          <cell r="D362">
            <v>1977</v>
          </cell>
          <cell r="E362" t="str">
            <v>Lear 35 LLC</v>
          </cell>
          <cell r="F362">
            <v>27</v>
          </cell>
          <cell r="G362">
            <v>28625</v>
          </cell>
          <cell r="H362" t="str">
            <v>IITT</v>
          </cell>
          <cell r="I362" t="str">
            <v>North America</v>
          </cell>
          <cell r="J362" t="str">
            <v>USA</v>
          </cell>
          <cell r="K362">
            <v>27941</v>
          </cell>
        </row>
        <row r="363">
          <cell r="A363" t="str">
            <v>In service</v>
          </cell>
          <cell r="B363" t="str">
            <v>Gulfstream Aerospace Gulfstream II</v>
          </cell>
          <cell r="C363" t="str">
            <v>TT</v>
          </cell>
          <cell r="D363">
            <v>1978</v>
          </cell>
          <cell r="E363" t="str">
            <v>Harth Trading Establishment</v>
          </cell>
          <cell r="F363">
            <v>26</v>
          </cell>
          <cell r="G363">
            <v>28536</v>
          </cell>
          <cell r="H363" t="str">
            <v>IITT</v>
          </cell>
          <cell r="I363" t="str">
            <v>Middle East</v>
          </cell>
          <cell r="J363" t="str">
            <v>Saudi Arabia</v>
          </cell>
          <cell r="K363">
            <v>28306</v>
          </cell>
        </row>
        <row r="364">
          <cell r="A364" t="str">
            <v>In service</v>
          </cell>
          <cell r="B364" t="str">
            <v>Gulfstream Aerospace Gulfstream II</v>
          </cell>
          <cell r="C364" t="str">
            <v>TT</v>
          </cell>
          <cell r="D364">
            <v>1978</v>
          </cell>
          <cell r="E364" t="str">
            <v>PAM Aviation LLC</v>
          </cell>
          <cell r="F364">
            <v>26</v>
          </cell>
          <cell r="G364">
            <v>28778</v>
          </cell>
          <cell r="H364" t="str">
            <v>IITT</v>
          </cell>
          <cell r="I364" t="str">
            <v>North America</v>
          </cell>
          <cell r="J364" t="str">
            <v>USA</v>
          </cell>
          <cell r="K364">
            <v>27941</v>
          </cell>
        </row>
        <row r="365">
          <cell r="A365" t="str">
            <v>In service</v>
          </cell>
          <cell r="B365" t="str">
            <v>Gulfstream Aerospace Gulfstream II</v>
          </cell>
          <cell r="C365" t="str">
            <v>TT</v>
          </cell>
          <cell r="D365">
            <v>1978</v>
          </cell>
          <cell r="E365" t="str">
            <v>Jet-A-Way Charter LLC</v>
          </cell>
          <cell r="F365">
            <v>26</v>
          </cell>
          <cell r="G365">
            <v>28829</v>
          </cell>
          <cell r="H365" t="str">
            <v>IITT</v>
          </cell>
          <cell r="I365" t="str">
            <v>North America</v>
          </cell>
          <cell r="J365" t="str">
            <v>USA</v>
          </cell>
          <cell r="K365">
            <v>27941</v>
          </cell>
        </row>
        <row r="366">
          <cell r="A366" t="str">
            <v>In service</v>
          </cell>
          <cell r="B366" t="str">
            <v>Gulfstream Aerospace Gulfstream II</v>
          </cell>
          <cell r="C366" t="str">
            <v>TT</v>
          </cell>
          <cell r="D366">
            <v>1978</v>
          </cell>
          <cell r="E366" t="str">
            <v>R&amp;G Aviation LLC</v>
          </cell>
          <cell r="F366">
            <v>26</v>
          </cell>
          <cell r="G366">
            <v>29105</v>
          </cell>
          <cell r="H366" t="str">
            <v>IITT</v>
          </cell>
          <cell r="I366" t="str">
            <v>North America</v>
          </cell>
          <cell r="J366" t="str">
            <v>USA</v>
          </cell>
          <cell r="K366">
            <v>28671</v>
          </cell>
        </row>
        <row r="367">
          <cell r="A367" t="str">
            <v>In service</v>
          </cell>
          <cell r="B367" t="str">
            <v>Gulfstream Aerospace Gulfstream II</v>
          </cell>
          <cell r="C367" t="str">
            <v>TT</v>
          </cell>
          <cell r="D367">
            <v>1978</v>
          </cell>
          <cell r="E367" t="str">
            <v>Newcastle Corp</v>
          </cell>
          <cell r="F367">
            <v>26</v>
          </cell>
          <cell r="G367">
            <v>28843</v>
          </cell>
          <cell r="H367" t="str">
            <v>IITT</v>
          </cell>
          <cell r="I367" t="str">
            <v>North America</v>
          </cell>
          <cell r="J367" t="str">
            <v>USA</v>
          </cell>
          <cell r="K367">
            <v>28306</v>
          </cell>
        </row>
        <row r="368">
          <cell r="A368" t="str">
            <v>In service</v>
          </cell>
          <cell r="B368" t="str">
            <v>Gulfstream Aerospace Gulfstream II</v>
          </cell>
          <cell r="C368" t="str">
            <v>TT</v>
          </cell>
          <cell r="D368">
            <v>1979</v>
          </cell>
          <cell r="E368" t="str">
            <v>Charles Robert Palmer</v>
          </cell>
          <cell r="F368">
            <v>25</v>
          </cell>
          <cell r="G368">
            <v>28901</v>
          </cell>
          <cell r="H368" t="str">
            <v>IITT</v>
          </cell>
          <cell r="I368" t="str">
            <v>North America</v>
          </cell>
          <cell r="J368" t="str">
            <v>USA</v>
          </cell>
          <cell r="K368">
            <v>28306</v>
          </cell>
        </row>
        <row r="369">
          <cell r="A369" t="str">
            <v>In service</v>
          </cell>
          <cell r="B369" t="str">
            <v>Gulfstream Aerospace Gulfstream II</v>
          </cell>
          <cell r="C369" t="str">
            <v>TT</v>
          </cell>
          <cell r="D369">
            <v>1979</v>
          </cell>
          <cell r="E369" t="str">
            <v>Saudi Arabian Airlines</v>
          </cell>
          <cell r="F369">
            <v>25</v>
          </cell>
          <cell r="G369">
            <v>29246</v>
          </cell>
          <cell r="H369" t="str">
            <v>IITT</v>
          </cell>
          <cell r="I369" t="str">
            <v>Middle East</v>
          </cell>
          <cell r="J369" t="str">
            <v>Saudi Arabia</v>
          </cell>
          <cell r="K369">
            <v>29036</v>
          </cell>
        </row>
        <row r="370">
          <cell r="A370" t="str">
            <v>In service</v>
          </cell>
          <cell r="B370" t="str">
            <v>Gulfstream Aerospace Gulfstream II</v>
          </cell>
          <cell r="C370" t="str">
            <v>TT</v>
          </cell>
          <cell r="D370">
            <v>1979</v>
          </cell>
          <cell r="E370" t="str">
            <v>Geneva International Ltd</v>
          </cell>
          <cell r="F370">
            <v>25</v>
          </cell>
          <cell r="G370">
            <v>29181</v>
          </cell>
          <cell r="H370" t="str">
            <v>IITT</v>
          </cell>
          <cell r="I370" t="str">
            <v>North America</v>
          </cell>
          <cell r="J370" t="str">
            <v>USA</v>
          </cell>
          <cell r="K370">
            <v>28671</v>
          </cell>
        </row>
        <row r="371">
          <cell r="A371" t="str">
            <v>In service</v>
          </cell>
          <cell r="B371" t="str">
            <v>Gulfstream Aerospace Gulfstream II</v>
          </cell>
          <cell r="C371" t="str">
            <v>TT</v>
          </cell>
          <cell r="D371">
            <v>1979</v>
          </cell>
          <cell r="E371" t="str">
            <v>Share Force Two LLC</v>
          </cell>
          <cell r="F371">
            <v>25</v>
          </cell>
          <cell r="G371">
            <v>29174</v>
          </cell>
          <cell r="H371" t="str">
            <v>IITT</v>
          </cell>
          <cell r="I371" t="str">
            <v>North America</v>
          </cell>
          <cell r="J371" t="str">
            <v>USA</v>
          </cell>
          <cell r="K371">
            <v>28306</v>
          </cell>
        </row>
        <row r="372">
          <cell r="A372" t="str">
            <v>In service</v>
          </cell>
          <cell r="B372" t="str">
            <v>Gulfstream Aerospace Gulfstream III</v>
          </cell>
          <cell r="C372" t="str">
            <v xml:space="preserve"> </v>
          </cell>
          <cell r="D372">
            <v>1979</v>
          </cell>
          <cell r="E372" t="str">
            <v>247LG LLC</v>
          </cell>
          <cell r="F372">
            <v>25</v>
          </cell>
          <cell r="G372">
            <v>29216</v>
          </cell>
          <cell r="I372" t="str">
            <v>North America</v>
          </cell>
          <cell r="J372" t="str">
            <v>USA</v>
          </cell>
          <cell r="K372">
            <v>28671</v>
          </cell>
        </row>
        <row r="373">
          <cell r="A373" t="str">
            <v>In service</v>
          </cell>
          <cell r="B373" t="str">
            <v>Gulfstream Aerospace Gulfstream III</v>
          </cell>
          <cell r="C373" t="str">
            <v xml:space="preserve"> </v>
          </cell>
          <cell r="D373">
            <v>1980</v>
          </cell>
          <cell r="E373" t="str">
            <v>B H G Flights LLC</v>
          </cell>
          <cell r="F373">
            <v>24</v>
          </cell>
          <cell r="G373">
            <v>29591</v>
          </cell>
          <cell r="I373" t="str">
            <v>North America</v>
          </cell>
          <cell r="J373" t="str">
            <v>USA</v>
          </cell>
          <cell r="K373">
            <v>29036</v>
          </cell>
        </row>
        <row r="374">
          <cell r="A374" t="str">
            <v>In service</v>
          </cell>
          <cell r="B374" t="str">
            <v>Gulfstream Aerospace Gulfstream III</v>
          </cell>
          <cell r="C374" t="str">
            <v xml:space="preserve"> </v>
          </cell>
          <cell r="D374">
            <v>1980</v>
          </cell>
          <cell r="E374" t="str">
            <v>Regal Aviation LLC</v>
          </cell>
          <cell r="F374">
            <v>24</v>
          </cell>
          <cell r="G374">
            <v>29462</v>
          </cell>
          <cell r="I374" t="str">
            <v>North America</v>
          </cell>
          <cell r="J374" t="str">
            <v>USA</v>
          </cell>
          <cell r="K374">
            <v>29036</v>
          </cell>
        </row>
        <row r="375">
          <cell r="A375" t="str">
            <v>In service</v>
          </cell>
          <cell r="B375" t="str">
            <v>Gulfstream Aerospace Gulfstream III</v>
          </cell>
          <cell r="C375" t="str">
            <v xml:space="preserve"> </v>
          </cell>
          <cell r="D375">
            <v>1980</v>
          </cell>
          <cell r="E375" t="str">
            <v>S T Aviation LLC</v>
          </cell>
          <cell r="F375">
            <v>24</v>
          </cell>
          <cell r="G375">
            <v>29361</v>
          </cell>
          <cell r="I375" t="str">
            <v>North America</v>
          </cell>
          <cell r="J375" t="str">
            <v>USA</v>
          </cell>
          <cell r="K375">
            <v>29036</v>
          </cell>
        </row>
        <row r="376">
          <cell r="A376" t="str">
            <v>In service</v>
          </cell>
          <cell r="B376" t="str">
            <v>Gulfstream Aerospace Gulfstream III</v>
          </cell>
          <cell r="C376" t="str">
            <v xml:space="preserve"> </v>
          </cell>
          <cell r="D376">
            <v>1980</v>
          </cell>
          <cell r="E376" t="str">
            <v>Nomad Transportation LLC</v>
          </cell>
          <cell r="F376">
            <v>24</v>
          </cell>
          <cell r="G376">
            <v>29395</v>
          </cell>
          <cell r="I376" t="str">
            <v>North America</v>
          </cell>
          <cell r="J376" t="str">
            <v>USA</v>
          </cell>
          <cell r="K376">
            <v>28671</v>
          </cell>
        </row>
        <row r="377">
          <cell r="A377" t="str">
            <v>In service</v>
          </cell>
          <cell r="B377" t="str">
            <v>Gulfstream Aerospace Gulfstream III</v>
          </cell>
          <cell r="C377" t="str">
            <v xml:space="preserve"> </v>
          </cell>
          <cell r="D377">
            <v>1980</v>
          </cell>
          <cell r="E377" t="str">
            <v>Homedics Inc</v>
          </cell>
          <cell r="F377">
            <v>24</v>
          </cell>
          <cell r="G377">
            <v>29438</v>
          </cell>
          <cell r="I377" t="str">
            <v>North America</v>
          </cell>
          <cell r="J377" t="str">
            <v>USA</v>
          </cell>
          <cell r="K377">
            <v>28671</v>
          </cell>
        </row>
        <row r="378">
          <cell r="A378" t="str">
            <v>In service</v>
          </cell>
          <cell r="B378" t="str">
            <v>Gulfstream Aerospace Gulfstream III</v>
          </cell>
          <cell r="C378" t="str">
            <v xml:space="preserve"> </v>
          </cell>
          <cell r="D378">
            <v>1980</v>
          </cell>
          <cell r="E378" t="str">
            <v>Falconcrest Aviation LLC</v>
          </cell>
          <cell r="F378">
            <v>24</v>
          </cell>
          <cell r="G378">
            <v>29451</v>
          </cell>
          <cell r="I378" t="str">
            <v>North America</v>
          </cell>
          <cell r="J378" t="str">
            <v>USA</v>
          </cell>
          <cell r="K378">
            <v>28671</v>
          </cell>
        </row>
        <row r="379">
          <cell r="A379" t="str">
            <v>In service</v>
          </cell>
          <cell r="B379" t="str">
            <v>Gulfstream Aerospace Gulfstream III</v>
          </cell>
          <cell r="C379" t="str">
            <v xml:space="preserve"> </v>
          </cell>
          <cell r="D379">
            <v>1980</v>
          </cell>
          <cell r="E379" t="str">
            <v>Corporate Flight Inc</v>
          </cell>
          <cell r="F379">
            <v>24</v>
          </cell>
          <cell r="G379">
            <v>29437</v>
          </cell>
          <cell r="I379" t="str">
            <v>North America</v>
          </cell>
          <cell r="J379" t="str">
            <v>USA</v>
          </cell>
          <cell r="K379">
            <v>28671</v>
          </cell>
        </row>
        <row r="380">
          <cell r="A380" t="str">
            <v>In service</v>
          </cell>
          <cell r="B380" t="str">
            <v>Gulfstream Aerospace Gulfstream III</v>
          </cell>
          <cell r="C380" t="str">
            <v xml:space="preserve"> </v>
          </cell>
          <cell r="D380">
            <v>1980</v>
          </cell>
          <cell r="E380" t="str">
            <v>NASA</v>
          </cell>
          <cell r="F380">
            <v>24</v>
          </cell>
          <cell r="G380">
            <v>29481</v>
          </cell>
          <cell r="I380" t="str">
            <v>North America</v>
          </cell>
          <cell r="J380" t="str">
            <v>USA</v>
          </cell>
          <cell r="K380">
            <v>28671</v>
          </cell>
        </row>
        <row r="381">
          <cell r="A381" t="str">
            <v>In service</v>
          </cell>
          <cell r="B381" t="str">
            <v>Gulfstream Aerospace Gulfstream III</v>
          </cell>
          <cell r="C381" t="str">
            <v xml:space="preserve"> </v>
          </cell>
          <cell r="D381">
            <v>1980</v>
          </cell>
          <cell r="E381" t="str">
            <v>Water Over Mountains Holdings LLC</v>
          </cell>
          <cell r="F381">
            <v>24</v>
          </cell>
          <cell r="G381">
            <v>29459</v>
          </cell>
          <cell r="I381" t="str">
            <v>North America</v>
          </cell>
          <cell r="J381" t="str">
            <v>USA</v>
          </cell>
          <cell r="K381">
            <v>28671</v>
          </cell>
        </row>
        <row r="382">
          <cell r="A382" t="str">
            <v>In service</v>
          </cell>
          <cell r="B382" t="str">
            <v>Gulfstream Aerospace Gulfstream III</v>
          </cell>
          <cell r="C382" t="str">
            <v xml:space="preserve"> </v>
          </cell>
          <cell r="D382">
            <v>1980</v>
          </cell>
          <cell r="E382" t="str">
            <v>DAZ LLC &amp; Cove Partners LLC</v>
          </cell>
          <cell r="F382">
            <v>24</v>
          </cell>
          <cell r="G382">
            <v>29497</v>
          </cell>
          <cell r="I382" t="str">
            <v>North America</v>
          </cell>
          <cell r="J382" t="str">
            <v>USA</v>
          </cell>
          <cell r="K382">
            <v>28306</v>
          </cell>
        </row>
        <row r="383">
          <cell r="A383" t="str">
            <v>In service</v>
          </cell>
          <cell r="B383" t="str">
            <v>Gulfstream Aerospace Gulfstream III</v>
          </cell>
          <cell r="C383" t="str">
            <v xml:space="preserve"> </v>
          </cell>
          <cell r="D383">
            <v>1980</v>
          </cell>
          <cell r="E383" t="str">
            <v>Unconfirmed Mexican Operator</v>
          </cell>
          <cell r="F383">
            <v>24</v>
          </cell>
          <cell r="G383">
            <v>29514</v>
          </cell>
          <cell r="I383" t="str">
            <v>Latin America and Caribbean</v>
          </cell>
          <cell r="J383" t="str">
            <v>Mexico</v>
          </cell>
          <cell r="K383">
            <v>28306</v>
          </cell>
        </row>
        <row r="384">
          <cell r="A384" t="str">
            <v>In service</v>
          </cell>
          <cell r="B384" t="str">
            <v>Gulfstream Aerospace Gulfstream III</v>
          </cell>
          <cell r="C384" t="str">
            <v xml:space="preserve"> </v>
          </cell>
          <cell r="D384">
            <v>1980</v>
          </cell>
          <cell r="E384" t="str">
            <v>Hambrick Corp</v>
          </cell>
          <cell r="F384">
            <v>24</v>
          </cell>
          <cell r="G384">
            <v>29570</v>
          </cell>
          <cell r="I384" t="str">
            <v>North America</v>
          </cell>
          <cell r="J384" t="str">
            <v>USA</v>
          </cell>
          <cell r="K384">
            <v>29036</v>
          </cell>
        </row>
        <row r="385">
          <cell r="A385" t="str">
            <v>In service</v>
          </cell>
          <cell r="B385" t="str">
            <v>Gulfstream Aerospace Gulfstream III</v>
          </cell>
          <cell r="C385" t="str">
            <v xml:space="preserve"> </v>
          </cell>
          <cell r="D385">
            <v>1980</v>
          </cell>
          <cell r="E385" t="str">
            <v>Flight Stream LLC</v>
          </cell>
          <cell r="F385">
            <v>24</v>
          </cell>
          <cell r="G385">
            <v>29571</v>
          </cell>
          <cell r="I385" t="str">
            <v>North America</v>
          </cell>
          <cell r="J385" t="str">
            <v>USA</v>
          </cell>
          <cell r="K385">
            <v>28671</v>
          </cell>
        </row>
        <row r="386">
          <cell r="A386" t="str">
            <v>In service</v>
          </cell>
          <cell r="B386" t="str">
            <v>Gulfstream Aerospace Gulfstream III</v>
          </cell>
          <cell r="C386" t="str">
            <v xml:space="preserve"> </v>
          </cell>
          <cell r="D386">
            <v>1980</v>
          </cell>
          <cell r="E386" t="str">
            <v>Universal Jet Aviation</v>
          </cell>
          <cell r="F386">
            <v>24</v>
          </cell>
          <cell r="G386">
            <v>29573</v>
          </cell>
          <cell r="I386" t="str">
            <v>North America</v>
          </cell>
          <cell r="J386" t="str">
            <v>USA</v>
          </cell>
          <cell r="K386">
            <v>28671</v>
          </cell>
        </row>
        <row r="387">
          <cell r="A387" t="str">
            <v>In service</v>
          </cell>
          <cell r="B387" t="str">
            <v>Gulfstream Aerospace Gulfstream III</v>
          </cell>
          <cell r="C387" t="str">
            <v xml:space="preserve"> </v>
          </cell>
          <cell r="D387">
            <v>1980</v>
          </cell>
          <cell r="E387" t="str">
            <v>Dallah Avco</v>
          </cell>
          <cell r="F387">
            <v>24</v>
          </cell>
          <cell r="G387">
            <v>29578</v>
          </cell>
          <cell r="I387" t="str">
            <v>Middle East</v>
          </cell>
          <cell r="J387" t="str">
            <v>Saudi Arabia</v>
          </cell>
          <cell r="K387">
            <v>28671</v>
          </cell>
        </row>
        <row r="388">
          <cell r="A388" t="str">
            <v>In service</v>
          </cell>
          <cell r="B388" t="str">
            <v>Gulfstream Aerospace Gulfstream III</v>
          </cell>
          <cell r="C388" t="str">
            <v xml:space="preserve"> </v>
          </cell>
          <cell r="D388">
            <v>1980</v>
          </cell>
          <cell r="E388" t="str">
            <v>Avjet Corp</v>
          </cell>
          <cell r="F388">
            <v>24</v>
          </cell>
          <cell r="G388">
            <v>29578</v>
          </cell>
          <cell r="I388" t="str">
            <v>North America</v>
          </cell>
          <cell r="J388" t="str">
            <v>USA</v>
          </cell>
          <cell r="K388">
            <v>28671</v>
          </cell>
        </row>
        <row r="389">
          <cell r="A389" t="str">
            <v>In service</v>
          </cell>
          <cell r="B389" t="str">
            <v>Gulfstream Aerospace Gulfstream III</v>
          </cell>
          <cell r="C389" t="str">
            <v xml:space="preserve"> </v>
          </cell>
          <cell r="D389">
            <v>1981</v>
          </cell>
          <cell r="E389" t="str">
            <v>SK Travel LLC</v>
          </cell>
          <cell r="F389">
            <v>23</v>
          </cell>
          <cell r="G389">
            <v>29620</v>
          </cell>
          <cell r="I389" t="str">
            <v>North America</v>
          </cell>
          <cell r="J389" t="str">
            <v>USA</v>
          </cell>
          <cell r="K389">
            <v>29402</v>
          </cell>
        </row>
        <row r="390">
          <cell r="A390" t="str">
            <v>In service</v>
          </cell>
          <cell r="B390" t="str">
            <v>Gulfstream Aerospace Gulfstream III</v>
          </cell>
          <cell r="C390" t="str">
            <v xml:space="preserve"> </v>
          </cell>
          <cell r="D390">
            <v>1981</v>
          </cell>
          <cell r="E390" t="str">
            <v>Blue Skies Aircraft Holdings LLC</v>
          </cell>
          <cell r="F390">
            <v>23</v>
          </cell>
          <cell r="G390">
            <v>29649</v>
          </cell>
          <cell r="I390" t="str">
            <v>North America</v>
          </cell>
          <cell r="J390" t="str">
            <v>USA</v>
          </cell>
          <cell r="K390">
            <v>29036</v>
          </cell>
        </row>
        <row r="391">
          <cell r="A391" t="str">
            <v>In service</v>
          </cell>
          <cell r="B391" t="str">
            <v>Gulfstream Aerospace Gulfstream III</v>
          </cell>
          <cell r="C391" t="str">
            <v xml:space="preserve"> </v>
          </cell>
          <cell r="D391">
            <v>1981</v>
          </cell>
          <cell r="E391" t="str">
            <v>SPW LLC</v>
          </cell>
          <cell r="F391">
            <v>23</v>
          </cell>
          <cell r="G391">
            <v>29668</v>
          </cell>
          <cell r="I391" t="str">
            <v>North America</v>
          </cell>
          <cell r="J391" t="str">
            <v>USA</v>
          </cell>
          <cell r="K391">
            <v>29036</v>
          </cell>
        </row>
        <row r="392">
          <cell r="A392" t="str">
            <v>In service</v>
          </cell>
          <cell r="B392" t="str">
            <v>Gulfstream Aerospace Gulfstream III</v>
          </cell>
          <cell r="C392" t="str">
            <v xml:space="preserve"> </v>
          </cell>
          <cell r="D392">
            <v>1981</v>
          </cell>
          <cell r="E392" t="str">
            <v>Tropical Development LLC</v>
          </cell>
          <cell r="F392">
            <v>23</v>
          </cell>
          <cell r="G392">
            <v>29685</v>
          </cell>
          <cell r="I392" t="str">
            <v>North America</v>
          </cell>
          <cell r="J392" t="str">
            <v>USA</v>
          </cell>
          <cell r="K392">
            <v>29402</v>
          </cell>
        </row>
        <row r="393">
          <cell r="A393" t="str">
            <v>In service</v>
          </cell>
          <cell r="B393" t="str">
            <v>Gulfstream Aerospace Gulfstream III</v>
          </cell>
          <cell r="C393" t="str">
            <v xml:space="preserve"> </v>
          </cell>
          <cell r="D393">
            <v>1981</v>
          </cell>
          <cell r="E393" t="str">
            <v>Servair SA de CV</v>
          </cell>
          <cell r="F393">
            <v>23</v>
          </cell>
          <cell r="G393">
            <v>29710</v>
          </cell>
          <cell r="I393" t="str">
            <v>Latin America and Caribbean</v>
          </cell>
          <cell r="J393" t="str">
            <v>Mexico</v>
          </cell>
          <cell r="K393">
            <v>29036</v>
          </cell>
        </row>
        <row r="394">
          <cell r="A394" t="str">
            <v>In service</v>
          </cell>
          <cell r="B394" t="str">
            <v>Gulfstream Aerospace Gulfstream III</v>
          </cell>
          <cell r="C394" t="str">
            <v xml:space="preserve"> </v>
          </cell>
          <cell r="D394">
            <v>1981</v>
          </cell>
          <cell r="E394" t="str">
            <v>Cityair LLC</v>
          </cell>
          <cell r="F394">
            <v>23</v>
          </cell>
          <cell r="G394">
            <v>29730</v>
          </cell>
          <cell r="I394" t="str">
            <v>North America</v>
          </cell>
          <cell r="J394" t="str">
            <v>USA</v>
          </cell>
          <cell r="K394">
            <v>28306</v>
          </cell>
        </row>
        <row r="395">
          <cell r="A395" t="str">
            <v>In service</v>
          </cell>
          <cell r="B395" t="str">
            <v>Gulfstream Aerospace Gulfstream III</v>
          </cell>
          <cell r="C395" t="str">
            <v xml:space="preserve"> </v>
          </cell>
          <cell r="D395">
            <v>1981</v>
          </cell>
          <cell r="E395" t="str">
            <v>Northeastern Aviation Corp</v>
          </cell>
          <cell r="F395">
            <v>23</v>
          </cell>
          <cell r="G395">
            <v>29715</v>
          </cell>
          <cell r="I395" t="str">
            <v>North America</v>
          </cell>
          <cell r="J395" t="str">
            <v>USA</v>
          </cell>
          <cell r="K395">
            <v>29036</v>
          </cell>
        </row>
        <row r="396">
          <cell r="A396" t="str">
            <v>In service</v>
          </cell>
          <cell r="B396" t="str">
            <v>Gulfstream Aerospace Gulfstream III</v>
          </cell>
          <cell r="C396" t="str">
            <v xml:space="preserve"> </v>
          </cell>
          <cell r="D396">
            <v>1981</v>
          </cell>
          <cell r="E396" t="str">
            <v>James A McMahan</v>
          </cell>
          <cell r="F396">
            <v>23</v>
          </cell>
          <cell r="G396">
            <v>29724</v>
          </cell>
          <cell r="I396" t="str">
            <v>North America</v>
          </cell>
          <cell r="J396" t="str">
            <v>USA</v>
          </cell>
          <cell r="K396">
            <v>29036</v>
          </cell>
        </row>
        <row r="397">
          <cell r="A397" t="str">
            <v>In service</v>
          </cell>
          <cell r="B397" t="str">
            <v>Gulfstream Aerospace Gulfstream III</v>
          </cell>
          <cell r="C397" t="str">
            <v xml:space="preserve"> </v>
          </cell>
          <cell r="D397">
            <v>1981</v>
          </cell>
          <cell r="E397" t="str">
            <v>S&amp;K Aviation LLC</v>
          </cell>
          <cell r="F397">
            <v>23</v>
          </cell>
          <cell r="G397">
            <v>29769</v>
          </cell>
          <cell r="I397" t="str">
            <v>North America</v>
          </cell>
          <cell r="J397" t="str">
            <v>USA</v>
          </cell>
          <cell r="K397">
            <v>29036</v>
          </cell>
        </row>
        <row r="398">
          <cell r="A398" t="str">
            <v>In service</v>
          </cell>
          <cell r="B398" t="str">
            <v>Gulfstream Aerospace Gulfstream III</v>
          </cell>
          <cell r="C398" t="str">
            <v xml:space="preserve"> </v>
          </cell>
          <cell r="D398">
            <v>1981</v>
          </cell>
          <cell r="E398" t="str">
            <v>Martin Aviation</v>
          </cell>
          <cell r="F398">
            <v>23</v>
          </cell>
          <cell r="G398">
            <v>29781</v>
          </cell>
          <cell r="I398" t="str">
            <v>North America</v>
          </cell>
          <cell r="J398" t="str">
            <v>USA</v>
          </cell>
          <cell r="K398">
            <v>29036</v>
          </cell>
        </row>
        <row r="399">
          <cell r="A399" t="str">
            <v>In service</v>
          </cell>
          <cell r="B399" t="str">
            <v>Gulfstream Aerospace Gulfstream III</v>
          </cell>
          <cell r="C399" t="str">
            <v xml:space="preserve"> </v>
          </cell>
          <cell r="D399">
            <v>1981</v>
          </cell>
          <cell r="E399" t="str">
            <v>CFW LLC</v>
          </cell>
          <cell r="F399">
            <v>23</v>
          </cell>
          <cell r="G399">
            <v>29773</v>
          </cell>
          <cell r="I399" t="str">
            <v>North America</v>
          </cell>
          <cell r="J399" t="str">
            <v>USA</v>
          </cell>
          <cell r="K399">
            <v>29036</v>
          </cell>
        </row>
        <row r="400">
          <cell r="A400" t="str">
            <v>In service</v>
          </cell>
          <cell r="B400" t="str">
            <v>Gulfstream Aerospace Gulfstream III</v>
          </cell>
          <cell r="C400" t="str">
            <v xml:space="preserve"> </v>
          </cell>
          <cell r="D400">
            <v>1981</v>
          </cell>
          <cell r="E400" t="str">
            <v>Royal Commission for Jubail &amp; Yanbu</v>
          </cell>
          <cell r="F400">
            <v>23</v>
          </cell>
          <cell r="G400">
            <v>29826</v>
          </cell>
          <cell r="I400" t="str">
            <v>Middle East</v>
          </cell>
          <cell r="J400" t="str">
            <v>Saudi Arabia</v>
          </cell>
          <cell r="K400">
            <v>29036</v>
          </cell>
        </row>
        <row r="401">
          <cell r="A401" t="str">
            <v>In service</v>
          </cell>
          <cell r="B401" t="str">
            <v>Gulfstream Aerospace Gulfstream III</v>
          </cell>
          <cell r="C401" t="str">
            <v xml:space="preserve"> </v>
          </cell>
          <cell r="D401">
            <v>1981</v>
          </cell>
          <cell r="E401" t="str">
            <v>Ramsey Asset Management LLC</v>
          </cell>
          <cell r="F401">
            <v>23</v>
          </cell>
          <cell r="G401">
            <v>29837</v>
          </cell>
          <cell r="I401" t="str">
            <v>North America</v>
          </cell>
          <cell r="J401" t="str">
            <v>USA</v>
          </cell>
          <cell r="K401">
            <v>29036</v>
          </cell>
        </row>
        <row r="402">
          <cell r="A402" t="str">
            <v>In service</v>
          </cell>
          <cell r="B402" t="str">
            <v>Gulfstream Aerospace Gulfstream III</v>
          </cell>
          <cell r="C402" t="str">
            <v xml:space="preserve"> </v>
          </cell>
          <cell r="D402">
            <v>1981</v>
          </cell>
          <cell r="E402" t="str">
            <v>CCBCC Operations LLC</v>
          </cell>
          <cell r="F402">
            <v>23</v>
          </cell>
          <cell r="G402">
            <v>29859</v>
          </cell>
          <cell r="I402" t="str">
            <v>North America</v>
          </cell>
          <cell r="J402" t="str">
            <v>USA</v>
          </cell>
          <cell r="K402">
            <v>29036</v>
          </cell>
        </row>
        <row r="403">
          <cell r="A403" t="str">
            <v>In service</v>
          </cell>
          <cell r="B403" t="str">
            <v>Gulfstream Aerospace Gulfstream III</v>
          </cell>
          <cell r="C403" t="str">
            <v xml:space="preserve"> </v>
          </cell>
          <cell r="D403">
            <v>1981</v>
          </cell>
          <cell r="E403" t="str">
            <v>The Air Group Inc</v>
          </cell>
          <cell r="F403">
            <v>23</v>
          </cell>
          <cell r="G403">
            <v>29868</v>
          </cell>
          <cell r="I403" t="str">
            <v>North America</v>
          </cell>
          <cell r="J403" t="str">
            <v>USA</v>
          </cell>
          <cell r="K403">
            <v>29402</v>
          </cell>
        </row>
        <row r="404">
          <cell r="A404" t="str">
            <v>In service</v>
          </cell>
          <cell r="B404" t="str">
            <v>Gulfstream Aerospace Gulfstream III</v>
          </cell>
          <cell r="C404" t="str">
            <v xml:space="preserve"> </v>
          </cell>
          <cell r="D404">
            <v>1981</v>
          </cell>
          <cell r="E404" t="str">
            <v>ITT Flight Operations Inc</v>
          </cell>
          <cell r="F404">
            <v>23</v>
          </cell>
          <cell r="G404">
            <v>29896</v>
          </cell>
          <cell r="I404" t="str">
            <v>North America</v>
          </cell>
          <cell r="J404" t="str">
            <v>USA</v>
          </cell>
          <cell r="K404">
            <v>29036</v>
          </cell>
        </row>
        <row r="405">
          <cell r="A405" t="str">
            <v>In service</v>
          </cell>
          <cell r="B405" t="str">
            <v>Gulfstream Aerospace Gulfstream III</v>
          </cell>
          <cell r="C405" t="str">
            <v xml:space="preserve"> </v>
          </cell>
          <cell r="D405">
            <v>1981</v>
          </cell>
          <cell r="E405" t="str">
            <v>DX Service Co Inc &amp; DX Aviation Inc</v>
          </cell>
          <cell r="F405">
            <v>23</v>
          </cell>
          <cell r="G405">
            <v>29889</v>
          </cell>
          <cell r="I405" t="str">
            <v>North America</v>
          </cell>
          <cell r="J405" t="str">
            <v>USA</v>
          </cell>
          <cell r="K405">
            <v>29036</v>
          </cell>
        </row>
        <row r="406">
          <cell r="A406" t="str">
            <v>In service</v>
          </cell>
          <cell r="B406" t="str">
            <v>Gulfstream Aerospace Gulfstream III</v>
          </cell>
          <cell r="C406" t="str">
            <v xml:space="preserve"> </v>
          </cell>
          <cell r="D406">
            <v>1981</v>
          </cell>
          <cell r="E406" t="str">
            <v>Orkin Inc</v>
          </cell>
          <cell r="F406">
            <v>23</v>
          </cell>
          <cell r="G406">
            <v>29902</v>
          </cell>
          <cell r="I406" t="str">
            <v>North America</v>
          </cell>
          <cell r="J406" t="str">
            <v>USA</v>
          </cell>
          <cell r="K406">
            <v>29036</v>
          </cell>
        </row>
        <row r="407">
          <cell r="A407" t="str">
            <v>In service</v>
          </cell>
          <cell r="B407" t="str">
            <v>Gulfstream Aerospace Gulfstream III</v>
          </cell>
          <cell r="C407" t="str">
            <v xml:space="preserve"> </v>
          </cell>
          <cell r="D407">
            <v>1981</v>
          </cell>
          <cell r="E407" t="str">
            <v>Safeway Inc</v>
          </cell>
          <cell r="F407">
            <v>23</v>
          </cell>
          <cell r="G407">
            <v>29929</v>
          </cell>
          <cell r="I407" t="str">
            <v>North America</v>
          </cell>
          <cell r="J407" t="str">
            <v>USA</v>
          </cell>
          <cell r="K407">
            <v>29036</v>
          </cell>
        </row>
        <row r="408">
          <cell r="A408" t="str">
            <v>In service</v>
          </cell>
          <cell r="B408" t="str">
            <v>Gulfstream Aerospace Gulfstream III</v>
          </cell>
          <cell r="C408" t="str">
            <v xml:space="preserve"> </v>
          </cell>
          <cell r="D408">
            <v>1981</v>
          </cell>
          <cell r="E408" t="str">
            <v>Mill Creek Systems LLC &amp; 901 investments LLC</v>
          </cell>
          <cell r="F408">
            <v>23</v>
          </cell>
          <cell r="G408">
            <v>29933</v>
          </cell>
          <cell r="I408" t="str">
            <v>North America</v>
          </cell>
          <cell r="J408" t="str">
            <v>USA</v>
          </cell>
          <cell r="K408">
            <v>29402</v>
          </cell>
        </row>
        <row r="409">
          <cell r="A409" t="str">
            <v>In service</v>
          </cell>
          <cell r="B409" t="str">
            <v>Gulfstream Aerospace Gulfstream III</v>
          </cell>
          <cell r="C409" t="str">
            <v xml:space="preserve"> </v>
          </cell>
          <cell r="D409">
            <v>1981</v>
          </cell>
          <cell r="E409" t="str">
            <v>Bumi Aviation LLC</v>
          </cell>
          <cell r="F409">
            <v>23</v>
          </cell>
          <cell r="G409">
            <v>29950</v>
          </cell>
          <cell r="I409" t="str">
            <v>North America</v>
          </cell>
          <cell r="J409" t="str">
            <v>USA</v>
          </cell>
          <cell r="K409">
            <v>29036</v>
          </cell>
        </row>
        <row r="410">
          <cell r="A410" t="str">
            <v>In service</v>
          </cell>
          <cell r="B410" t="str">
            <v>Gulfstream Aerospace Gulfstream III</v>
          </cell>
          <cell r="C410" t="str">
            <v xml:space="preserve"> </v>
          </cell>
          <cell r="D410">
            <v>1981</v>
          </cell>
          <cell r="E410" t="str">
            <v>Paragon Leasing LLC</v>
          </cell>
          <cell r="F410">
            <v>23</v>
          </cell>
          <cell r="G410">
            <v>29943</v>
          </cell>
          <cell r="I410" t="str">
            <v>North America</v>
          </cell>
          <cell r="J410" t="str">
            <v>USA</v>
          </cell>
          <cell r="K410">
            <v>29943</v>
          </cell>
        </row>
        <row r="411">
          <cell r="A411" t="str">
            <v>In service</v>
          </cell>
          <cell r="B411" t="str">
            <v>Gulfstream Aerospace Gulfstream III</v>
          </cell>
          <cell r="C411" t="str">
            <v xml:space="preserve"> </v>
          </cell>
          <cell r="D411">
            <v>1981</v>
          </cell>
          <cell r="E411" t="str">
            <v>Pegasus North Inc</v>
          </cell>
          <cell r="F411">
            <v>23</v>
          </cell>
          <cell r="G411">
            <v>29950</v>
          </cell>
          <cell r="I411" t="str">
            <v>North America</v>
          </cell>
          <cell r="J411" t="str">
            <v>USA</v>
          </cell>
          <cell r="K411">
            <v>29036</v>
          </cell>
        </row>
        <row r="412">
          <cell r="A412" t="str">
            <v>In service</v>
          </cell>
          <cell r="B412" t="str">
            <v>Gulfstream Aerospace Gulfstream III</v>
          </cell>
          <cell r="C412" t="str">
            <v xml:space="preserve"> </v>
          </cell>
          <cell r="D412">
            <v>1982</v>
          </cell>
          <cell r="E412" t="str">
            <v>Trans-Exec Air Services Inc</v>
          </cell>
          <cell r="F412">
            <v>22</v>
          </cell>
          <cell r="G412">
            <v>29987</v>
          </cell>
          <cell r="I412" t="str">
            <v>North America</v>
          </cell>
          <cell r="J412" t="str">
            <v>USA</v>
          </cell>
          <cell r="K412">
            <v>29402</v>
          </cell>
        </row>
        <row r="413">
          <cell r="A413" t="str">
            <v>In service</v>
          </cell>
          <cell r="B413" t="str">
            <v>Gulfstream Aerospace Gulfstream III</v>
          </cell>
          <cell r="C413" t="str">
            <v xml:space="preserve"> </v>
          </cell>
          <cell r="D413">
            <v>1982</v>
          </cell>
          <cell r="E413" t="str">
            <v>Department of Energy Albuquerque operations Office</v>
          </cell>
          <cell r="F413">
            <v>22</v>
          </cell>
          <cell r="G413">
            <v>30002</v>
          </cell>
          <cell r="I413" t="str">
            <v>North America</v>
          </cell>
          <cell r="J413" t="str">
            <v>USA</v>
          </cell>
          <cell r="K413">
            <v>29402</v>
          </cell>
        </row>
        <row r="414">
          <cell r="A414" t="str">
            <v>In service</v>
          </cell>
          <cell r="B414" t="str">
            <v>Gulfstream Aerospace Gulfstream III</v>
          </cell>
          <cell r="C414" t="str">
            <v xml:space="preserve"> </v>
          </cell>
          <cell r="D414">
            <v>1982</v>
          </cell>
          <cell r="E414" t="str">
            <v>Shaw Managed Services Inc</v>
          </cell>
          <cell r="F414">
            <v>22</v>
          </cell>
          <cell r="G414">
            <v>30130</v>
          </cell>
          <cell r="I414" t="str">
            <v>North America</v>
          </cell>
          <cell r="J414" t="str">
            <v>USA</v>
          </cell>
          <cell r="K414">
            <v>29767</v>
          </cell>
        </row>
        <row r="415">
          <cell r="A415" t="str">
            <v>In service</v>
          </cell>
          <cell r="B415" t="str">
            <v>Gulfstream Aerospace Gulfstream III</v>
          </cell>
          <cell r="C415" t="str">
            <v xml:space="preserve"> </v>
          </cell>
          <cell r="D415">
            <v>1982</v>
          </cell>
          <cell r="E415" t="str">
            <v>Saudi Oger</v>
          </cell>
          <cell r="F415">
            <v>22</v>
          </cell>
          <cell r="G415">
            <v>30035</v>
          </cell>
          <cell r="I415" t="str">
            <v>Middle East</v>
          </cell>
          <cell r="J415" t="str">
            <v>Saudi Arabia</v>
          </cell>
          <cell r="K415">
            <v>29402</v>
          </cell>
        </row>
        <row r="416">
          <cell r="A416" t="str">
            <v>In service</v>
          </cell>
          <cell r="B416" t="str">
            <v>Gulfstream Aerospace Gulfstream III</v>
          </cell>
          <cell r="C416" t="str">
            <v xml:space="preserve"> </v>
          </cell>
          <cell r="D416">
            <v>1982</v>
          </cell>
          <cell r="E416" t="str">
            <v>GC Asset Management LLC</v>
          </cell>
          <cell r="F416">
            <v>22</v>
          </cell>
          <cell r="G416">
            <v>30050</v>
          </cell>
          <cell r="I416" t="str">
            <v>North America</v>
          </cell>
          <cell r="J416" t="str">
            <v>USA</v>
          </cell>
          <cell r="K416">
            <v>29402</v>
          </cell>
        </row>
        <row r="417">
          <cell r="A417" t="str">
            <v>In service</v>
          </cell>
          <cell r="B417" t="str">
            <v>Gulfstream Aerospace Gulfstream III</v>
          </cell>
          <cell r="C417" t="str">
            <v xml:space="preserve"> </v>
          </cell>
          <cell r="D417">
            <v>1982</v>
          </cell>
          <cell r="E417" t="str">
            <v>From the Heart Church Ministries</v>
          </cell>
          <cell r="F417">
            <v>22</v>
          </cell>
          <cell r="G417">
            <v>30050</v>
          </cell>
          <cell r="I417" t="str">
            <v>North America</v>
          </cell>
          <cell r="J417" t="str">
            <v>USA</v>
          </cell>
          <cell r="K417">
            <v>29402</v>
          </cell>
        </row>
        <row r="418">
          <cell r="A418" t="str">
            <v>In service</v>
          </cell>
          <cell r="B418" t="str">
            <v>Gulfstream Aerospace Gulfstream III</v>
          </cell>
          <cell r="C418" t="str">
            <v xml:space="preserve"> </v>
          </cell>
          <cell r="D418">
            <v>1982</v>
          </cell>
          <cell r="E418" t="str">
            <v>Entepreneurial Asset Management LLC</v>
          </cell>
          <cell r="F418">
            <v>22</v>
          </cell>
          <cell r="G418">
            <v>30062</v>
          </cell>
          <cell r="I418" t="str">
            <v>North America</v>
          </cell>
          <cell r="J418" t="str">
            <v>USA</v>
          </cell>
          <cell r="K418">
            <v>29402</v>
          </cell>
        </row>
        <row r="419">
          <cell r="A419" t="str">
            <v>In service</v>
          </cell>
          <cell r="B419" t="str">
            <v>Gulfstream Aerospace Gulfstream III</v>
          </cell>
          <cell r="C419" t="str">
            <v xml:space="preserve"> </v>
          </cell>
          <cell r="D419">
            <v>1982</v>
          </cell>
          <cell r="E419" t="str">
            <v>Guardian Gulfstream III-A LLC</v>
          </cell>
          <cell r="F419">
            <v>22</v>
          </cell>
          <cell r="G419">
            <v>30072</v>
          </cell>
          <cell r="I419" t="str">
            <v>North America</v>
          </cell>
          <cell r="J419" t="str">
            <v>USA</v>
          </cell>
          <cell r="K419">
            <v>29402</v>
          </cell>
        </row>
        <row r="420">
          <cell r="A420" t="str">
            <v>In service</v>
          </cell>
          <cell r="B420" t="str">
            <v>Gulfstream Aerospace Gulfstream III</v>
          </cell>
          <cell r="C420" t="str">
            <v xml:space="preserve"> </v>
          </cell>
          <cell r="D420">
            <v>1982</v>
          </cell>
          <cell r="E420" t="str">
            <v>YONA Aviation Corp</v>
          </cell>
          <cell r="F420">
            <v>22</v>
          </cell>
          <cell r="G420">
            <v>30082</v>
          </cell>
          <cell r="I420" t="str">
            <v>North America</v>
          </cell>
          <cell r="J420" t="str">
            <v>USA</v>
          </cell>
          <cell r="K420">
            <v>29402</v>
          </cell>
        </row>
        <row r="421">
          <cell r="A421" t="str">
            <v>In service</v>
          </cell>
          <cell r="B421" t="str">
            <v>Gulfstream Aerospace Gulfstream III</v>
          </cell>
          <cell r="C421" t="str">
            <v xml:space="preserve"> </v>
          </cell>
          <cell r="D421">
            <v>1982</v>
          </cell>
          <cell r="E421" t="str">
            <v>Mexican Air Force</v>
          </cell>
          <cell r="F421">
            <v>22</v>
          </cell>
          <cell r="G421">
            <v>30089</v>
          </cell>
          <cell r="I421" t="str">
            <v>Latin America and Caribbean</v>
          </cell>
          <cell r="J421" t="str">
            <v>Mexico</v>
          </cell>
          <cell r="K421">
            <v>29402</v>
          </cell>
        </row>
        <row r="422">
          <cell r="A422" t="str">
            <v>In service</v>
          </cell>
          <cell r="B422" t="str">
            <v>Gulfstream Aerospace Gulfstream III</v>
          </cell>
          <cell r="C422" t="str">
            <v xml:space="preserve"> </v>
          </cell>
          <cell r="D422">
            <v>1982</v>
          </cell>
          <cell r="E422" t="str">
            <v>Newshelf 696 (Pty) Ltd</v>
          </cell>
          <cell r="F422">
            <v>22</v>
          </cell>
          <cell r="G422">
            <v>30117</v>
          </cell>
          <cell r="I422" t="str">
            <v>Africa</v>
          </cell>
          <cell r="J422" t="str">
            <v>South Africa</v>
          </cell>
          <cell r="K422">
            <v>29402</v>
          </cell>
        </row>
        <row r="423">
          <cell r="A423" t="str">
            <v>In service</v>
          </cell>
          <cell r="B423" t="str">
            <v>Gulfstream Aerospace Gulfstream III</v>
          </cell>
          <cell r="C423" t="str">
            <v xml:space="preserve"> </v>
          </cell>
          <cell r="D423">
            <v>1982</v>
          </cell>
          <cell r="E423" t="str">
            <v>Academy of Art College</v>
          </cell>
          <cell r="F423">
            <v>22</v>
          </cell>
          <cell r="G423">
            <v>30148</v>
          </cell>
          <cell r="I423" t="str">
            <v>North America</v>
          </cell>
          <cell r="J423" t="str">
            <v>USA</v>
          </cell>
          <cell r="K423">
            <v>29402</v>
          </cell>
        </row>
        <row r="424">
          <cell r="A424" t="str">
            <v>In service</v>
          </cell>
          <cell r="B424" t="str">
            <v>Gulfstream Aerospace Gulfstream III</v>
          </cell>
          <cell r="C424" t="str">
            <v xml:space="preserve"> </v>
          </cell>
          <cell r="D424">
            <v>1982</v>
          </cell>
          <cell r="E424" t="str">
            <v>MGM Mirage</v>
          </cell>
          <cell r="F424">
            <v>22</v>
          </cell>
          <cell r="G424">
            <v>30818</v>
          </cell>
          <cell r="I424" t="str">
            <v>North America</v>
          </cell>
          <cell r="J424" t="str">
            <v>USA</v>
          </cell>
        </row>
        <row r="425">
          <cell r="A425" t="str">
            <v>In service</v>
          </cell>
          <cell r="B425" t="str">
            <v>Gulfstream Aerospace Gulfstream III</v>
          </cell>
          <cell r="C425" t="str">
            <v xml:space="preserve"> </v>
          </cell>
          <cell r="D425">
            <v>1982</v>
          </cell>
          <cell r="E425" t="str">
            <v>Crystal Jet Aviation Inc</v>
          </cell>
          <cell r="F425">
            <v>22</v>
          </cell>
          <cell r="G425">
            <v>30159</v>
          </cell>
          <cell r="I425" t="str">
            <v>North America</v>
          </cell>
          <cell r="J425" t="str">
            <v>USA</v>
          </cell>
          <cell r="K425">
            <v>29767</v>
          </cell>
        </row>
        <row r="426">
          <cell r="A426" t="str">
            <v>In service</v>
          </cell>
          <cell r="B426" t="str">
            <v>Gulfstream Aerospace Gulfstream III</v>
          </cell>
          <cell r="C426" t="str">
            <v xml:space="preserve"> </v>
          </cell>
          <cell r="D426">
            <v>1982</v>
          </cell>
          <cell r="E426" t="str">
            <v>Jet Aviation Private Fleet LLC</v>
          </cell>
          <cell r="F426">
            <v>22</v>
          </cell>
          <cell r="G426">
            <v>30307</v>
          </cell>
          <cell r="I426" t="str">
            <v>North America</v>
          </cell>
          <cell r="J426" t="str">
            <v>USA</v>
          </cell>
          <cell r="K426">
            <v>29402</v>
          </cell>
        </row>
        <row r="427">
          <cell r="A427" t="str">
            <v>In service</v>
          </cell>
          <cell r="B427" t="str">
            <v>Gulfstream Aerospace Gulfstream III</v>
          </cell>
          <cell r="C427" t="str">
            <v xml:space="preserve"> </v>
          </cell>
          <cell r="D427">
            <v>1982</v>
          </cell>
          <cell r="E427" t="str">
            <v>Thundervolt LLC</v>
          </cell>
          <cell r="F427">
            <v>22</v>
          </cell>
          <cell r="G427">
            <v>30181</v>
          </cell>
          <cell r="I427" t="str">
            <v>North America</v>
          </cell>
          <cell r="J427" t="str">
            <v>USA</v>
          </cell>
          <cell r="K427">
            <v>29767</v>
          </cell>
        </row>
        <row r="428">
          <cell r="A428" t="str">
            <v>In service</v>
          </cell>
          <cell r="B428" t="str">
            <v>Gulfstream Aerospace Gulfstream III</v>
          </cell>
          <cell r="C428" t="str">
            <v xml:space="preserve"> </v>
          </cell>
          <cell r="D428">
            <v>1982</v>
          </cell>
          <cell r="E428" t="str">
            <v>Lazy Lane Farms Inc &amp; Perpetual Corp</v>
          </cell>
          <cell r="F428">
            <v>22</v>
          </cell>
          <cell r="G428">
            <v>30189</v>
          </cell>
          <cell r="I428" t="str">
            <v>North America</v>
          </cell>
          <cell r="J428" t="str">
            <v>USA</v>
          </cell>
          <cell r="K428">
            <v>29767</v>
          </cell>
        </row>
        <row r="429">
          <cell r="A429" t="str">
            <v>In service</v>
          </cell>
          <cell r="B429" t="str">
            <v>Gulfstream Aerospace Gulfstream III</v>
          </cell>
          <cell r="C429" t="str">
            <v xml:space="preserve"> </v>
          </cell>
          <cell r="D429">
            <v>1982</v>
          </cell>
          <cell r="E429" t="str">
            <v>Atsinger Aviation LLC</v>
          </cell>
          <cell r="F429">
            <v>22</v>
          </cell>
          <cell r="G429">
            <v>30203</v>
          </cell>
          <cell r="I429" t="str">
            <v>North America</v>
          </cell>
          <cell r="J429" t="str">
            <v>USA</v>
          </cell>
          <cell r="K429">
            <v>29402</v>
          </cell>
        </row>
        <row r="430">
          <cell r="A430" t="str">
            <v>In service</v>
          </cell>
          <cell r="B430" t="str">
            <v>Gulfstream Aerospace Gulfstream III</v>
          </cell>
          <cell r="C430" t="str">
            <v xml:space="preserve"> </v>
          </cell>
          <cell r="D430">
            <v>1982</v>
          </cell>
          <cell r="E430" t="str">
            <v>Saudi Arabian Airlines</v>
          </cell>
          <cell r="F430">
            <v>22</v>
          </cell>
          <cell r="G430">
            <v>30215</v>
          </cell>
          <cell r="I430" t="str">
            <v>Middle East</v>
          </cell>
          <cell r="J430" t="str">
            <v>Saudi Arabia</v>
          </cell>
          <cell r="K430">
            <v>28306</v>
          </cell>
        </row>
        <row r="431">
          <cell r="A431" t="str">
            <v>In service</v>
          </cell>
          <cell r="B431" t="str">
            <v>Gulfstream Aerospace Gulfstream III</v>
          </cell>
          <cell r="C431" t="str">
            <v xml:space="preserve"> </v>
          </cell>
          <cell r="D431">
            <v>1982</v>
          </cell>
          <cell r="E431" t="str">
            <v>Government of Morocco</v>
          </cell>
          <cell r="F431">
            <v>22</v>
          </cell>
          <cell r="G431">
            <v>30227</v>
          </cell>
          <cell r="I431" t="str">
            <v>Africa</v>
          </cell>
          <cell r="J431" t="str">
            <v>Morocco</v>
          </cell>
          <cell r="K431">
            <v>28306</v>
          </cell>
        </row>
        <row r="432">
          <cell r="A432" t="str">
            <v>In service</v>
          </cell>
          <cell r="B432" t="str">
            <v>Gulfstream Aerospace Gulfstream III</v>
          </cell>
          <cell r="C432" t="str">
            <v xml:space="preserve"> </v>
          </cell>
          <cell r="D432">
            <v>1982</v>
          </cell>
          <cell r="E432" t="str">
            <v>JetAlliance</v>
          </cell>
          <cell r="F432">
            <v>22</v>
          </cell>
          <cell r="G432">
            <v>30224</v>
          </cell>
          <cell r="I432" t="str">
            <v>North America</v>
          </cell>
          <cell r="J432" t="str">
            <v>USA</v>
          </cell>
          <cell r="K432">
            <v>29402</v>
          </cell>
        </row>
        <row r="433">
          <cell r="A433" t="str">
            <v>In service</v>
          </cell>
          <cell r="B433" t="str">
            <v>Gulfstream Aerospace Gulfstream III</v>
          </cell>
          <cell r="C433" t="str">
            <v xml:space="preserve"> </v>
          </cell>
          <cell r="D433">
            <v>1982</v>
          </cell>
          <cell r="E433" t="str">
            <v>Aircraft Leasing Group LLC</v>
          </cell>
          <cell r="F433">
            <v>22</v>
          </cell>
          <cell r="G433">
            <v>30237</v>
          </cell>
          <cell r="I433" t="str">
            <v>North America</v>
          </cell>
          <cell r="J433" t="str">
            <v>USA</v>
          </cell>
          <cell r="K433">
            <v>29402</v>
          </cell>
        </row>
        <row r="434">
          <cell r="A434" t="str">
            <v>In service</v>
          </cell>
          <cell r="B434" t="str">
            <v>Gulfstream Aerospace Gulfstream III</v>
          </cell>
          <cell r="C434" t="str">
            <v xml:space="preserve"> </v>
          </cell>
          <cell r="D434">
            <v>1982</v>
          </cell>
          <cell r="E434" t="str">
            <v>Chartright Air</v>
          </cell>
          <cell r="F434">
            <v>22</v>
          </cell>
          <cell r="G434">
            <v>30242</v>
          </cell>
          <cell r="I434" t="str">
            <v>North America</v>
          </cell>
          <cell r="J434" t="str">
            <v>Canada</v>
          </cell>
          <cell r="K434">
            <v>29767</v>
          </cell>
        </row>
        <row r="435">
          <cell r="A435" t="str">
            <v>In service</v>
          </cell>
          <cell r="B435" t="str">
            <v>Gulfstream Aerospace Gulfstream III</v>
          </cell>
          <cell r="C435" t="str">
            <v xml:space="preserve"> </v>
          </cell>
          <cell r="D435">
            <v>1982</v>
          </cell>
          <cell r="E435" t="str">
            <v>Jetaway Air Service LLC</v>
          </cell>
          <cell r="F435">
            <v>22</v>
          </cell>
          <cell r="G435">
            <v>30245</v>
          </cell>
          <cell r="I435" t="str">
            <v>North America</v>
          </cell>
          <cell r="J435" t="str">
            <v>USA</v>
          </cell>
          <cell r="K435">
            <v>29402</v>
          </cell>
        </row>
        <row r="436">
          <cell r="A436" t="str">
            <v>In service</v>
          </cell>
          <cell r="B436" t="str">
            <v>Gulfstream Aerospace Gulfstream III</v>
          </cell>
          <cell r="C436" t="str">
            <v xml:space="preserve"> </v>
          </cell>
          <cell r="D436">
            <v>1982</v>
          </cell>
          <cell r="E436" t="str">
            <v>Kaizen Aviation Inc</v>
          </cell>
          <cell r="F436">
            <v>22</v>
          </cell>
          <cell r="G436">
            <v>30257</v>
          </cell>
          <cell r="I436" t="str">
            <v>North America</v>
          </cell>
          <cell r="J436" t="str">
            <v>USA</v>
          </cell>
          <cell r="K436">
            <v>29767</v>
          </cell>
        </row>
        <row r="437">
          <cell r="A437" t="str">
            <v>In service</v>
          </cell>
          <cell r="B437" t="str">
            <v>Gulfstream Aerospace Gulfstream III</v>
          </cell>
          <cell r="C437" t="str">
            <v xml:space="preserve"> </v>
          </cell>
          <cell r="D437">
            <v>1982</v>
          </cell>
          <cell r="E437" t="str">
            <v>Avjet Corp</v>
          </cell>
          <cell r="F437">
            <v>22</v>
          </cell>
          <cell r="G437">
            <v>30298</v>
          </cell>
          <cell r="I437" t="str">
            <v>North America</v>
          </cell>
          <cell r="J437" t="str">
            <v>USA</v>
          </cell>
          <cell r="K437">
            <v>29767</v>
          </cell>
        </row>
        <row r="438">
          <cell r="A438" t="str">
            <v>In service</v>
          </cell>
          <cell r="B438" t="str">
            <v>Gulfstream Aerospace Gulfstream III</v>
          </cell>
          <cell r="C438" t="str">
            <v xml:space="preserve"> </v>
          </cell>
          <cell r="D438">
            <v>1982</v>
          </cell>
          <cell r="E438" t="str">
            <v>N724DB LLC</v>
          </cell>
          <cell r="F438">
            <v>22</v>
          </cell>
          <cell r="G438">
            <v>30275</v>
          </cell>
          <cell r="I438" t="str">
            <v>North America</v>
          </cell>
          <cell r="J438" t="str">
            <v>USA</v>
          </cell>
          <cell r="K438">
            <v>29767</v>
          </cell>
        </row>
        <row r="439">
          <cell r="A439" t="str">
            <v>In service</v>
          </cell>
          <cell r="B439" t="str">
            <v>Gulfstream Aerospace Gulfstream III</v>
          </cell>
          <cell r="C439" t="str">
            <v xml:space="preserve"> </v>
          </cell>
          <cell r="D439">
            <v>1982</v>
          </cell>
          <cell r="E439" t="str">
            <v>Roberts Aviation LLC</v>
          </cell>
          <cell r="F439">
            <v>22</v>
          </cell>
          <cell r="G439">
            <v>30288</v>
          </cell>
          <cell r="I439" t="str">
            <v>North America</v>
          </cell>
          <cell r="J439" t="str">
            <v>USA</v>
          </cell>
          <cell r="K439">
            <v>29767</v>
          </cell>
        </row>
        <row r="440">
          <cell r="A440" t="str">
            <v>In service</v>
          </cell>
          <cell r="B440" t="str">
            <v>Gulfstream Aerospace Gulfstream III</v>
          </cell>
          <cell r="C440" t="str">
            <v xml:space="preserve"> </v>
          </cell>
          <cell r="D440">
            <v>1982</v>
          </cell>
          <cell r="E440" t="str">
            <v>Parke Aviation Corp</v>
          </cell>
          <cell r="F440">
            <v>22</v>
          </cell>
          <cell r="G440">
            <v>30288</v>
          </cell>
          <cell r="I440" t="str">
            <v>North America</v>
          </cell>
          <cell r="J440" t="str">
            <v>USA</v>
          </cell>
          <cell r="K440">
            <v>29767</v>
          </cell>
        </row>
        <row r="441">
          <cell r="A441" t="str">
            <v>In service</v>
          </cell>
          <cell r="B441" t="str">
            <v>Gulfstream Aerospace Gulfstream III</v>
          </cell>
          <cell r="C441" t="str">
            <v xml:space="preserve"> </v>
          </cell>
          <cell r="D441">
            <v>1982</v>
          </cell>
          <cell r="E441" t="str">
            <v>EHR Aviation Inc</v>
          </cell>
          <cell r="F441">
            <v>22</v>
          </cell>
          <cell r="G441">
            <v>30295</v>
          </cell>
          <cell r="I441" t="str">
            <v>North America</v>
          </cell>
          <cell r="J441" t="str">
            <v>USA</v>
          </cell>
          <cell r="K441">
            <v>29402</v>
          </cell>
        </row>
        <row r="442">
          <cell r="A442" t="str">
            <v>In service</v>
          </cell>
          <cell r="B442" t="str">
            <v>Gulfstream Aerospace Gulfstream III</v>
          </cell>
          <cell r="C442" t="str">
            <v xml:space="preserve"> </v>
          </cell>
          <cell r="D442">
            <v>1982</v>
          </cell>
          <cell r="E442" t="str">
            <v>Hansen Prero Aviation LLC</v>
          </cell>
          <cell r="F442">
            <v>22</v>
          </cell>
          <cell r="G442">
            <v>30315</v>
          </cell>
          <cell r="I442" t="str">
            <v>North America</v>
          </cell>
          <cell r="J442" t="str">
            <v>USA</v>
          </cell>
          <cell r="K442">
            <v>29402</v>
          </cell>
        </row>
        <row r="443">
          <cell r="A443" t="str">
            <v>In service</v>
          </cell>
          <cell r="B443" t="str">
            <v>Gulfstream Aerospace Gulfstream III</v>
          </cell>
          <cell r="C443" t="str">
            <v xml:space="preserve"> </v>
          </cell>
          <cell r="D443">
            <v>1982</v>
          </cell>
          <cell r="E443" t="str">
            <v>Aero Air LLC</v>
          </cell>
          <cell r="F443">
            <v>22</v>
          </cell>
          <cell r="G443">
            <v>30313</v>
          </cell>
          <cell r="I443" t="str">
            <v>North America</v>
          </cell>
          <cell r="J443" t="str">
            <v>USA</v>
          </cell>
          <cell r="K443">
            <v>29402</v>
          </cell>
        </row>
        <row r="444">
          <cell r="A444" t="str">
            <v>In service</v>
          </cell>
          <cell r="B444" t="str">
            <v>Gulfstream Aerospace Gulfstream III</v>
          </cell>
          <cell r="C444" t="str">
            <v xml:space="preserve"> </v>
          </cell>
          <cell r="D444">
            <v>1982</v>
          </cell>
          <cell r="E444" t="str">
            <v>Cinema Aircraft Executive Transportation LLC</v>
          </cell>
          <cell r="F444">
            <v>22</v>
          </cell>
          <cell r="G444">
            <v>30313</v>
          </cell>
          <cell r="I444" t="str">
            <v>North America</v>
          </cell>
          <cell r="J444" t="str">
            <v>USA</v>
          </cell>
          <cell r="K444">
            <v>29767</v>
          </cell>
        </row>
        <row r="445">
          <cell r="A445" t="str">
            <v>In service</v>
          </cell>
          <cell r="B445" t="str">
            <v>Gulfstream Aerospace Gulfstream III</v>
          </cell>
          <cell r="C445" t="str">
            <v xml:space="preserve"> </v>
          </cell>
          <cell r="D445">
            <v>1982</v>
          </cell>
          <cell r="E445" t="str">
            <v>Sonoram Charters LLC</v>
          </cell>
          <cell r="F445">
            <v>22</v>
          </cell>
          <cell r="G445">
            <v>30337</v>
          </cell>
          <cell r="I445" t="str">
            <v>North America</v>
          </cell>
          <cell r="J445" t="str">
            <v>USA</v>
          </cell>
          <cell r="K445">
            <v>29767</v>
          </cell>
        </row>
        <row r="446">
          <cell r="A446" t="str">
            <v>In service</v>
          </cell>
          <cell r="B446" t="str">
            <v>Gulfstream Aerospace Gulfstream III</v>
          </cell>
          <cell r="C446" t="str">
            <v xml:space="preserve"> </v>
          </cell>
          <cell r="D446">
            <v>1983</v>
          </cell>
          <cell r="E446" t="str">
            <v>LOR Inc</v>
          </cell>
          <cell r="F446">
            <v>21</v>
          </cell>
          <cell r="G446">
            <v>30347</v>
          </cell>
          <cell r="I446" t="str">
            <v>North America</v>
          </cell>
          <cell r="J446" t="str">
            <v>USA</v>
          </cell>
          <cell r="K446">
            <v>29767</v>
          </cell>
        </row>
        <row r="447">
          <cell r="A447" t="str">
            <v>In service</v>
          </cell>
          <cell r="B447" t="str">
            <v>Gulfstream Aerospace Gulfstream III</v>
          </cell>
          <cell r="C447" t="str">
            <v xml:space="preserve"> </v>
          </cell>
          <cell r="D447">
            <v>1983</v>
          </cell>
          <cell r="E447" t="str">
            <v>Westgate Aviation LLC</v>
          </cell>
          <cell r="F447">
            <v>21</v>
          </cell>
          <cell r="G447">
            <v>30369</v>
          </cell>
          <cell r="I447" t="str">
            <v>North America</v>
          </cell>
          <cell r="J447" t="str">
            <v>USA</v>
          </cell>
          <cell r="K447">
            <v>29767</v>
          </cell>
        </row>
        <row r="448">
          <cell r="A448" t="str">
            <v>In service</v>
          </cell>
          <cell r="B448" t="str">
            <v>Gulfstream Aerospace Gulfstream III</v>
          </cell>
          <cell r="C448" t="str">
            <v xml:space="preserve"> </v>
          </cell>
          <cell r="D448">
            <v>1983</v>
          </cell>
          <cell r="E448" t="str">
            <v>GKW United Holdings &amp; Twin Star LLC</v>
          </cell>
          <cell r="F448">
            <v>21</v>
          </cell>
          <cell r="G448">
            <v>30391</v>
          </cell>
          <cell r="I448" t="str">
            <v>North America</v>
          </cell>
          <cell r="J448" t="str">
            <v>USA</v>
          </cell>
          <cell r="K448">
            <v>29767</v>
          </cell>
        </row>
        <row r="449">
          <cell r="A449" t="str">
            <v>In service</v>
          </cell>
          <cell r="B449" t="str">
            <v>Gulfstream Aerospace Gulfstream III</v>
          </cell>
          <cell r="C449" t="str">
            <v xml:space="preserve"> </v>
          </cell>
          <cell r="D449">
            <v>1983</v>
          </cell>
          <cell r="E449" t="str">
            <v>Saudi Aeromedical Evacuation</v>
          </cell>
          <cell r="F449">
            <v>21</v>
          </cell>
          <cell r="G449">
            <v>30431</v>
          </cell>
          <cell r="I449" t="str">
            <v>Middle East</v>
          </cell>
          <cell r="J449" t="str">
            <v>Saudi Arabia</v>
          </cell>
          <cell r="K449">
            <v>29767</v>
          </cell>
        </row>
        <row r="450">
          <cell r="A450" t="str">
            <v>In service</v>
          </cell>
          <cell r="B450" t="str">
            <v>Gulfstream Aerospace Gulfstream III</v>
          </cell>
          <cell r="C450" t="str">
            <v xml:space="preserve"> </v>
          </cell>
          <cell r="D450">
            <v>1983</v>
          </cell>
          <cell r="E450" t="str">
            <v>Mexican Air Force</v>
          </cell>
          <cell r="F450">
            <v>21</v>
          </cell>
          <cell r="G450">
            <v>30406</v>
          </cell>
          <cell r="I450" t="str">
            <v>Latin America and Caribbean</v>
          </cell>
          <cell r="J450" t="str">
            <v>Mexico</v>
          </cell>
          <cell r="K450">
            <v>30132</v>
          </cell>
        </row>
        <row r="451">
          <cell r="A451" t="str">
            <v>In service</v>
          </cell>
          <cell r="B451" t="str">
            <v>Gulfstream Aerospace Gulfstream III</v>
          </cell>
          <cell r="C451" t="str">
            <v xml:space="preserve"> </v>
          </cell>
          <cell r="D451">
            <v>1983</v>
          </cell>
          <cell r="E451" t="str">
            <v>RMQ Ltd</v>
          </cell>
          <cell r="F451">
            <v>21</v>
          </cell>
          <cell r="G451">
            <v>30381</v>
          </cell>
          <cell r="I451" t="str">
            <v>North America</v>
          </cell>
          <cell r="J451" t="str">
            <v>USA</v>
          </cell>
          <cell r="K451">
            <v>29767</v>
          </cell>
        </row>
        <row r="452">
          <cell r="A452" t="str">
            <v>In service</v>
          </cell>
          <cell r="B452" t="str">
            <v>Gulfstream Aerospace Gulfstream III</v>
          </cell>
          <cell r="C452" t="str">
            <v xml:space="preserve"> </v>
          </cell>
          <cell r="D452">
            <v>1983</v>
          </cell>
          <cell r="E452" t="str">
            <v>Continental Aviation Services Inc</v>
          </cell>
          <cell r="F452">
            <v>21</v>
          </cell>
          <cell r="G452">
            <v>30418</v>
          </cell>
          <cell r="I452" t="str">
            <v>North America</v>
          </cell>
          <cell r="J452" t="str">
            <v>USA</v>
          </cell>
          <cell r="K452">
            <v>30132</v>
          </cell>
        </row>
        <row r="453">
          <cell r="A453" t="str">
            <v>In service</v>
          </cell>
          <cell r="B453" t="str">
            <v>Gulfstream Aerospace Gulfstream III</v>
          </cell>
          <cell r="C453" t="str">
            <v xml:space="preserve"> </v>
          </cell>
          <cell r="D453">
            <v>1983</v>
          </cell>
          <cell r="E453" t="str">
            <v>Air Troxel LLC</v>
          </cell>
          <cell r="F453">
            <v>21</v>
          </cell>
          <cell r="G453">
            <v>30409</v>
          </cell>
          <cell r="I453" t="str">
            <v>North America</v>
          </cell>
          <cell r="J453" t="str">
            <v>USA</v>
          </cell>
          <cell r="K453">
            <v>29767</v>
          </cell>
        </row>
        <row r="454">
          <cell r="A454" t="str">
            <v>In service</v>
          </cell>
          <cell r="B454" t="str">
            <v>Gulfstream Aerospace Gulfstream III</v>
          </cell>
          <cell r="C454" t="str">
            <v xml:space="preserve"> </v>
          </cell>
          <cell r="D454">
            <v>1983</v>
          </cell>
          <cell r="E454" t="str">
            <v>JetAlliance</v>
          </cell>
          <cell r="F454">
            <v>21</v>
          </cell>
          <cell r="G454">
            <v>30467</v>
          </cell>
          <cell r="I454" t="str">
            <v>North America</v>
          </cell>
          <cell r="J454" t="str">
            <v>USA</v>
          </cell>
          <cell r="K454">
            <v>29767</v>
          </cell>
        </row>
        <row r="455">
          <cell r="A455" t="str">
            <v>In service</v>
          </cell>
          <cell r="B455" t="str">
            <v>Gulfstream Aerospace Gulfstream III</v>
          </cell>
          <cell r="C455" t="str">
            <v xml:space="preserve"> </v>
          </cell>
          <cell r="D455">
            <v>1983</v>
          </cell>
          <cell r="E455" t="str">
            <v>Aircraft Network LLC</v>
          </cell>
          <cell r="F455">
            <v>21</v>
          </cell>
          <cell r="G455">
            <v>30467</v>
          </cell>
          <cell r="I455" t="str">
            <v>North America</v>
          </cell>
          <cell r="J455" t="str">
            <v>USA</v>
          </cell>
          <cell r="K455">
            <v>29767</v>
          </cell>
        </row>
        <row r="456">
          <cell r="A456" t="str">
            <v>In service</v>
          </cell>
          <cell r="B456" t="str">
            <v>Gulfstream Aerospace Gulfstream III</v>
          </cell>
          <cell r="C456" t="str">
            <v xml:space="preserve"> </v>
          </cell>
          <cell r="D456">
            <v>1983</v>
          </cell>
          <cell r="E456" t="str">
            <v>Nexxus Products</v>
          </cell>
          <cell r="F456">
            <v>21</v>
          </cell>
          <cell r="G456">
            <v>30589</v>
          </cell>
          <cell r="I456" t="str">
            <v>North America</v>
          </cell>
          <cell r="J456" t="str">
            <v>USA</v>
          </cell>
          <cell r="K456">
            <v>29767</v>
          </cell>
        </row>
        <row r="457">
          <cell r="A457" t="str">
            <v>In service</v>
          </cell>
          <cell r="B457" t="str">
            <v>Gulfstream Aerospace Gulfstream III</v>
          </cell>
          <cell r="C457" t="str">
            <v xml:space="preserve"> </v>
          </cell>
          <cell r="D457">
            <v>1983</v>
          </cell>
          <cell r="E457" t="str">
            <v>T-Bird Aviation Inc</v>
          </cell>
          <cell r="F457">
            <v>21</v>
          </cell>
          <cell r="G457">
            <v>30497</v>
          </cell>
          <cell r="I457" t="str">
            <v>North America</v>
          </cell>
          <cell r="J457" t="str">
            <v>USA</v>
          </cell>
          <cell r="K457">
            <v>29767</v>
          </cell>
        </row>
        <row r="458">
          <cell r="A458" t="str">
            <v>In service</v>
          </cell>
          <cell r="B458" t="str">
            <v>Gulfstream Aerospace Gulfstream III</v>
          </cell>
          <cell r="C458" t="str">
            <v xml:space="preserve"> </v>
          </cell>
          <cell r="D458">
            <v>1983</v>
          </cell>
          <cell r="E458" t="str">
            <v>Bentley Aviation LLC</v>
          </cell>
          <cell r="F458">
            <v>21</v>
          </cell>
          <cell r="G458">
            <v>30497</v>
          </cell>
          <cell r="I458" t="str">
            <v>North America</v>
          </cell>
          <cell r="J458" t="str">
            <v>USA</v>
          </cell>
          <cell r="K458">
            <v>29767</v>
          </cell>
        </row>
        <row r="459">
          <cell r="A459" t="str">
            <v>In service</v>
          </cell>
          <cell r="B459" t="str">
            <v>Gulfstream Aerospace Gulfstream III</v>
          </cell>
          <cell r="C459" t="str">
            <v xml:space="preserve"> </v>
          </cell>
          <cell r="D459">
            <v>1983</v>
          </cell>
          <cell r="E459" t="str">
            <v>Westwood One Inc</v>
          </cell>
          <cell r="F459">
            <v>21</v>
          </cell>
          <cell r="G459">
            <v>30528</v>
          </cell>
          <cell r="I459" t="str">
            <v>North America</v>
          </cell>
          <cell r="J459" t="str">
            <v>USA</v>
          </cell>
          <cell r="K459">
            <v>30132</v>
          </cell>
        </row>
        <row r="460">
          <cell r="A460" t="str">
            <v>In service</v>
          </cell>
          <cell r="B460" t="str">
            <v>Gulfstream Aerospace Gulfstream III</v>
          </cell>
          <cell r="C460" t="str">
            <v xml:space="preserve"> </v>
          </cell>
          <cell r="D460">
            <v>1983</v>
          </cell>
          <cell r="E460" t="str">
            <v>Air Lake Lines II Inc</v>
          </cell>
          <cell r="F460">
            <v>21</v>
          </cell>
          <cell r="G460">
            <v>30528</v>
          </cell>
          <cell r="I460" t="str">
            <v>North America</v>
          </cell>
          <cell r="J460" t="str">
            <v>USA</v>
          </cell>
          <cell r="K460">
            <v>30132</v>
          </cell>
        </row>
        <row r="461">
          <cell r="A461" t="str">
            <v>In service</v>
          </cell>
          <cell r="B461" t="str">
            <v>Gulfstream Aerospace Gulfstream III</v>
          </cell>
          <cell r="C461" t="str">
            <v xml:space="preserve"> </v>
          </cell>
          <cell r="D461">
            <v>1983</v>
          </cell>
          <cell r="E461" t="str">
            <v>Emerson Fitipaldi</v>
          </cell>
          <cell r="F461">
            <v>21</v>
          </cell>
          <cell r="G461">
            <v>30559</v>
          </cell>
          <cell r="I461" t="str">
            <v>North America</v>
          </cell>
          <cell r="J461" t="str">
            <v>USA</v>
          </cell>
          <cell r="K461">
            <v>29767</v>
          </cell>
        </row>
        <row r="462">
          <cell r="A462" t="str">
            <v>In service</v>
          </cell>
          <cell r="B462" t="str">
            <v>Gulfstream Aerospace Gulfstream III</v>
          </cell>
          <cell r="C462" t="str">
            <v xml:space="preserve"> </v>
          </cell>
          <cell r="D462">
            <v>1983</v>
          </cell>
          <cell r="E462" t="str">
            <v>JGL Aviation LLC</v>
          </cell>
          <cell r="F462">
            <v>21</v>
          </cell>
          <cell r="G462">
            <v>30559</v>
          </cell>
          <cell r="I462" t="str">
            <v>North America</v>
          </cell>
          <cell r="J462" t="str">
            <v>USA</v>
          </cell>
          <cell r="K462">
            <v>30132</v>
          </cell>
        </row>
        <row r="463">
          <cell r="A463" t="str">
            <v>In service</v>
          </cell>
          <cell r="B463" t="str">
            <v>Gulfstream Aerospace Gulfstream III</v>
          </cell>
          <cell r="C463" t="str">
            <v xml:space="preserve"> </v>
          </cell>
          <cell r="D463">
            <v>1983</v>
          </cell>
          <cell r="E463" t="str">
            <v>GSL Aviation Inc</v>
          </cell>
          <cell r="F463">
            <v>21</v>
          </cell>
          <cell r="G463">
            <v>30589</v>
          </cell>
          <cell r="I463" t="str">
            <v>North America</v>
          </cell>
          <cell r="J463" t="str">
            <v>USA</v>
          </cell>
          <cell r="K463">
            <v>29767</v>
          </cell>
        </row>
        <row r="464">
          <cell r="A464" t="str">
            <v>In service</v>
          </cell>
          <cell r="B464" t="str">
            <v>Gulfstream Aerospace Gulfstream III</v>
          </cell>
          <cell r="C464" t="str">
            <v xml:space="preserve"> </v>
          </cell>
          <cell r="D464">
            <v>1983</v>
          </cell>
          <cell r="E464" t="str">
            <v>Safari Aero Inc</v>
          </cell>
          <cell r="F464">
            <v>21</v>
          </cell>
          <cell r="G464">
            <v>30589</v>
          </cell>
          <cell r="I464" t="str">
            <v>North America</v>
          </cell>
          <cell r="J464" t="str">
            <v>USA</v>
          </cell>
          <cell r="K464">
            <v>30132</v>
          </cell>
        </row>
        <row r="465">
          <cell r="A465" t="str">
            <v>In service</v>
          </cell>
          <cell r="B465" t="str">
            <v>Gulfstream Aerospace Gulfstream III</v>
          </cell>
          <cell r="C465" t="str">
            <v xml:space="preserve"> </v>
          </cell>
          <cell r="D465">
            <v>1983</v>
          </cell>
          <cell r="E465" t="str">
            <v>Regal Aviation LLC</v>
          </cell>
          <cell r="F465">
            <v>21</v>
          </cell>
          <cell r="G465">
            <v>30589</v>
          </cell>
          <cell r="I465" t="str">
            <v>North America</v>
          </cell>
          <cell r="J465" t="str">
            <v>USA</v>
          </cell>
          <cell r="K465">
            <v>29767</v>
          </cell>
        </row>
        <row r="466">
          <cell r="A466" t="str">
            <v>In service</v>
          </cell>
          <cell r="B466" t="str">
            <v>Gulfstream Aerospace Gulfstream III</v>
          </cell>
          <cell r="C466" t="str">
            <v xml:space="preserve"> </v>
          </cell>
          <cell r="D466">
            <v>1983</v>
          </cell>
          <cell r="E466" t="str">
            <v>United States Steel Corp</v>
          </cell>
          <cell r="F466">
            <v>21</v>
          </cell>
          <cell r="G466">
            <v>30620</v>
          </cell>
          <cell r="I466" t="str">
            <v>North America</v>
          </cell>
          <cell r="J466" t="str">
            <v>USA</v>
          </cell>
          <cell r="K466">
            <v>29767</v>
          </cell>
        </row>
        <row r="467">
          <cell r="A467" t="str">
            <v>In service</v>
          </cell>
          <cell r="B467" t="str">
            <v>Gulfstream Aerospace Gulfstream III</v>
          </cell>
          <cell r="C467" t="str">
            <v xml:space="preserve"> </v>
          </cell>
          <cell r="D467">
            <v>1983</v>
          </cell>
          <cell r="E467" t="str">
            <v>Mary Kay Inc</v>
          </cell>
          <cell r="F467">
            <v>21</v>
          </cell>
          <cell r="G467">
            <v>30620</v>
          </cell>
          <cell r="I467" t="str">
            <v>North America</v>
          </cell>
          <cell r="J467" t="str">
            <v>USA</v>
          </cell>
          <cell r="K467">
            <v>30132</v>
          </cell>
        </row>
        <row r="468">
          <cell r="A468" t="str">
            <v>In service</v>
          </cell>
          <cell r="B468" t="str">
            <v>Gulfstream Aerospace Gulfstream III</v>
          </cell>
          <cell r="C468" t="str">
            <v xml:space="preserve"> </v>
          </cell>
          <cell r="D468">
            <v>1983</v>
          </cell>
          <cell r="E468" t="str">
            <v>Raleigh Holdings LLC</v>
          </cell>
          <cell r="F468">
            <v>21</v>
          </cell>
          <cell r="G468">
            <v>30650</v>
          </cell>
          <cell r="I468" t="str">
            <v>North America</v>
          </cell>
          <cell r="J468" t="str">
            <v>USA</v>
          </cell>
          <cell r="K468">
            <v>30132</v>
          </cell>
        </row>
        <row r="469">
          <cell r="A469" t="str">
            <v>In service</v>
          </cell>
          <cell r="B469" t="str">
            <v>Gulfstream Aerospace Gulfstream III</v>
          </cell>
          <cell r="C469" t="str">
            <v xml:space="preserve"> </v>
          </cell>
          <cell r="D469">
            <v>1983</v>
          </cell>
          <cell r="E469" t="str">
            <v>Saudi Arabian Airlines</v>
          </cell>
          <cell r="F469">
            <v>21</v>
          </cell>
          <cell r="G469">
            <v>30650</v>
          </cell>
          <cell r="I469" t="str">
            <v>Middle East</v>
          </cell>
          <cell r="J469" t="str">
            <v>Saudi Arabia</v>
          </cell>
          <cell r="K469">
            <v>29767</v>
          </cell>
        </row>
        <row r="470">
          <cell r="A470" t="str">
            <v>In service</v>
          </cell>
          <cell r="B470" t="str">
            <v>Gulfstream Aerospace Gulfstream III</v>
          </cell>
          <cell r="C470" t="str">
            <v xml:space="preserve"> </v>
          </cell>
          <cell r="D470">
            <v>1983</v>
          </cell>
          <cell r="E470" t="str">
            <v>Deeside Trading Co Ltd</v>
          </cell>
          <cell r="F470">
            <v>21</v>
          </cell>
          <cell r="G470">
            <v>30650</v>
          </cell>
          <cell r="I470" t="str">
            <v>North America</v>
          </cell>
          <cell r="J470" t="str">
            <v>USA</v>
          </cell>
          <cell r="K470">
            <v>29767</v>
          </cell>
        </row>
        <row r="471">
          <cell r="A471" t="str">
            <v>In service</v>
          </cell>
          <cell r="B471" t="str">
            <v>Gulfstream Aerospace Gulfstream III</v>
          </cell>
          <cell r="C471" t="str">
            <v xml:space="preserve"> </v>
          </cell>
          <cell r="D471">
            <v>1983</v>
          </cell>
          <cell r="E471" t="str">
            <v>Oxy Petroleum Inc</v>
          </cell>
          <cell r="F471">
            <v>21</v>
          </cell>
          <cell r="G471">
            <v>30650</v>
          </cell>
          <cell r="I471" t="str">
            <v>North America</v>
          </cell>
          <cell r="J471" t="str">
            <v>USA</v>
          </cell>
          <cell r="K471">
            <v>30132</v>
          </cell>
        </row>
        <row r="472">
          <cell r="A472" t="str">
            <v>In service</v>
          </cell>
          <cell r="B472" t="str">
            <v>Gulfstream Aerospace Gulfstream III</v>
          </cell>
          <cell r="C472" t="str">
            <v xml:space="preserve"> </v>
          </cell>
          <cell r="D472">
            <v>1983</v>
          </cell>
          <cell r="E472" t="str">
            <v>ACG3 LLC</v>
          </cell>
          <cell r="F472">
            <v>21</v>
          </cell>
          <cell r="G472">
            <v>30681</v>
          </cell>
          <cell r="I472" t="str">
            <v>North America</v>
          </cell>
          <cell r="J472" t="str">
            <v>USA</v>
          </cell>
          <cell r="K472">
            <v>29767</v>
          </cell>
        </row>
        <row r="473">
          <cell r="A473" t="str">
            <v>In service</v>
          </cell>
          <cell r="B473" t="str">
            <v>Gulfstream Aerospace Gulfstream III</v>
          </cell>
          <cell r="C473" t="str">
            <v xml:space="preserve"> </v>
          </cell>
          <cell r="D473">
            <v>1983</v>
          </cell>
          <cell r="E473" t="str">
            <v>Harwinton Aviation LLC</v>
          </cell>
          <cell r="F473">
            <v>21</v>
          </cell>
          <cell r="G473">
            <v>30681</v>
          </cell>
          <cell r="I473" t="str">
            <v>North America</v>
          </cell>
          <cell r="J473" t="str">
            <v>USA</v>
          </cell>
          <cell r="K473">
            <v>29767</v>
          </cell>
        </row>
        <row r="474">
          <cell r="A474" t="str">
            <v>In service</v>
          </cell>
          <cell r="B474" t="str">
            <v>Gulfstream Aerospace Gulfstream III</v>
          </cell>
          <cell r="C474" t="str">
            <v xml:space="preserve"> </v>
          </cell>
          <cell r="D474">
            <v>1983</v>
          </cell>
          <cell r="E474" t="str">
            <v>Nadir Industries Ltd</v>
          </cell>
          <cell r="F474">
            <v>21</v>
          </cell>
          <cell r="G474">
            <v>30712</v>
          </cell>
          <cell r="I474" t="str">
            <v>Unknown area</v>
          </cell>
          <cell r="J474" t="str">
            <v>Unknown Country</v>
          </cell>
          <cell r="K474">
            <v>30132</v>
          </cell>
        </row>
        <row r="475">
          <cell r="A475" t="str">
            <v>In service</v>
          </cell>
          <cell r="B475" t="str">
            <v>Gulfstream Aerospace Gulfstream III</v>
          </cell>
          <cell r="C475" t="str">
            <v xml:space="preserve"> </v>
          </cell>
          <cell r="D475">
            <v>1983</v>
          </cell>
          <cell r="E475" t="str">
            <v>Platinum Dunes Productions</v>
          </cell>
          <cell r="F475">
            <v>21</v>
          </cell>
          <cell r="G475">
            <v>30712</v>
          </cell>
          <cell r="I475" t="str">
            <v>North America</v>
          </cell>
          <cell r="J475" t="str">
            <v>USA</v>
          </cell>
          <cell r="K475">
            <v>30132</v>
          </cell>
        </row>
        <row r="476">
          <cell r="A476" t="str">
            <v>In service</v>
          </cell>
          <cell r="B476" t="str">
            <v>Gulfstream Aerospace Gulfstream III</v>
          </cell>
          <cell r="C476" t="str">
            <v xml:space="preserve"> </v>
          </cell>
          <cell r="D476">
            <v>1983</v>
          </cell>
          <cell r="E476" t="str">
            <v>JT Aviation Corp</v>
          </cell>
          <cell r="F476">
            <v>21</v>
          </cell>
          <cell r="G476">
            <v>30712</v>
          </cell>
          <cell r="I476" t="str">
            <v>North America</v>
          </cell>
          <cell r="J476" t="str">
            <v>USA</v>
          </cell>
          <cell r="K476">
            <v>30132</v>
          </cell>
        </row>
        <row r="477">
          <cell r="A477" t="str">
            <v>In service</v>
          </cell>
          <cell r="B477" t="str">
            <v>Gulfstream Aerospace Gulfstream III</v>
          </cell>
          <cell r="C477" t="str">
            <v xml:space="preserve"> </v>
          </cell>
          <cell r="D477">
            <v>1983</v>
          </cell>
          <cell r="E477" t="str">
            <v>World Heir Inc</v>
          </cell>
          <cell r="F477">
            <v>21</v>
          </cell>
          <cell r="G477">
            <v>30741</v>
          </cell>
          <cell r="I477" t="str">
            <v>North America</v>
          </cell>
          <cell r="J477" t="str">
            <v>USA</v>
          </cell>
          <cell r="K477">
            <v>30132</v>
          </cell>
        </row>
        <row r="478">
          <cell r="A478" t="str">
            <v>In service</v>
          </cell>
          <cell r="B478" t="str">
            <v>Gulfstream Aerospace Gulfstream III</v>
          </cell>
          <cell r="C478" t="str">
            <v xml:space="preserve"> </v>
          </cell>
          <cell r="D478">
            <v>1984</v>
          </cell>
          <cell r="E478" t="str">
            <v>Indian Air Force</v>
          </cell>
          <cell r="F478">
            <v>20</v>
          </cell>
          <cell r="G478">
            <v>31928</v>
          </cell>
          <cell r="H478" t="str">
            <v>SRA-1</v>
          </cell>
          <cell r="I478" t="str">
            <v>Asia</v>
          </cell>
          <cell r="J478" t="str">
            <v>India</v>
          </cell>
        </row>
        <row r="479">
          <cell r="A479" t="str">
            <v>In service</v>
          </cell>
          <cell r="B479" t="str">
            <v>Gulfstream Aerospace Gulfstream III</v>
          </cell>
          <cell r="C479" t="str">
            <v xml:space="preserve"> </v>
          </cell>
          <cell r="D479">
            <v>1984</v>
          </cell>
          <cell r="E479" t="str">
            <v>Zuffa LLC</v>
          </cell>
          <cell r="F479">
            <v>20</v>
          </cell>
          <cell r="G479">
            <v>30741</v>
          </cell>
          <cell r="I479" t="str">
            <v>North America</v>
          </cell>
          <cell r="J479" t="str">
            <v>USA</v>
          </cell>
          <cell r="K479">
            <v>30132</v>
          </cell>
        </row>
        <row r="480">
          <cell r="A480" t="str">
            <v>In service</v>
          </cell>
          <cell r="B480" t="str">
            <v>Gulfstream Aerospace Gulfstream III</v>
          </cell>
          <cell r="C480" t="str">
            <v xml:space="preserve"> </v>
          </cell>
          <cell r="D480">
            <v>1984</v>
          </cell>
          <cell r="E480" t="str">
            <v>Owen-Illinois Leasing Inc</v>
          </cell>
          <cell r="F480">
            <v>20</v>
          </cell>
          <cell r="G480">
            <v>30772</v>
          </cell>
          <cell r="I480" t="str">
            <v>North America</v>
          </cell>
          <cell r="J480" t="str">
            <v>USA</v>
          </cell>
          <cell r="K480">
            <v>30132</v>
          </cell>
        </row>
        <row r="481">
          <cell r="A481" t="str">
            <v>In service</v>
          </cell>
          <cell r="B481" t="str">
            <v>Gulfstream Aerospace Gulfstream III</v>
          </cell>
          <cell r="C481" t="str">
            <v xml:space="preserve"> </v>
          </cell>
          <cell r="D481">
            <v>1984</v>
          </cell>
          <cell r="E481" t="str">
            <v>Vinson Group G III LLC</v>
          </cell>
          <cell r="F481">
            <v>20</v>
          </cell>
          <cell r="G481">
            <v>30772</v>
          </cell>
          <cell r="I481" t="str">
            <v>North America</v>
          </cell>
          <cell r="J481" t="str">
            <v>USA</v>
          </cell>
          <cell r="K481">
            <v>30132</v>
          </cell>
        </row>
        <row r="482">
          <cell r="A482" t="str">
            <v>In service</v>
          </cell>
          <cell r="B482" t="str">
            <v>Gulfstream Aerospace Gulfstream III</v>
          </cell>
          <cell r="C482" t="str">
            <v xml:space="preserve"> </v>
          </cell>
          <cell r="D482">
            <v>1984</v>
          </cell>
          <cell r="E482" t="str">
            <v>Texas Aviation Sales &amp; Leasing LLC</v>
          </cell>
          <cell r="F482">
            <v>20</v>
          </cell>
          <cell r="G482">
            <v>30772</v>
          </cell>
          <cell r="I482" t="str">
            <v>North America</v>
          </cell>
          <cell r="J482" t="str">
            <v>USA</v>
          </cell>
          <cell r="K482">
            <v>30132</v>
          </cell>
        </row>
        <row r="483">
          <cell r="A483" t="str">
            <v>In service</v>
          </cell>
          <cell r="B483" t="str">
            <v>Gulfstream Aerospace Gulfstream III</v>
          </cell>
          <cell r="C483" t="str">
            <v xml:space="preserve"> </v>
          </cell>
          <cell r="D483">
            <v>1984</v>
          </cell>
          <cell r="E483" t="str">
            <v>Sonic Financial Corp</v>
          </cell>
          <cell r="F483">
            <v>20</v>
          </cell>
          <cell r="G483">
            <v>30772</v>
          </cell>
          <cell r="I483" t="str">
            <v>North America</v>
          </cell>
          <cell r="J483" t="str">
            <v>USA</v>
          </cell>
          <cell r="K483">
            <v>30132</v>
          </cell>
        </row>
        <row r="484">
          <cell r="A484" t="str">
            <v>In service</v>
          </cell>
          <cell r="B484" t="str">
            <v>Gulfstream Aerospace Gulfstream III</v>
          </cell>
          <cell r="C484" t="str">
            <v xml:space="preserve"> </v>
          </cell>
          <cell r="D484">
            <v>1984</v>
          </cell>
          <cell r="E484" t="str">
            <v>Unconfirmed Mexican Operator</v>
          </cell>
          <cell r="F484">
            <v>20</v>
          </cell>
          <cell r="G484">
            <v>30802</v>
          </cell>
          <cell r="I484" t="str">
            <v>Latin America and Caribbean</v>
          </cell>
          <cell r="J484" t="str">
            <v>Mexico</v>
          </cell>
          <cell r="K484">
            <v>30497</v>
          </cell>
        </row>
        <row r="485">
          <cell r="A485" t="str">
            <v>In service</v>
          </cell>
          <cell r="B485" t="str">
            <v>Gulfstream Aerospace Gulfstream III</v>
          </cell>
          <cell r="C485" t="str">
            <v xml:space="preserve"> </v>
          </cell>
          <cell r="D485">
            <v>1984</v>
          </cell>
          <cell r="E485" t="str">
            <v>Papa Grande Aviation LLC</v>
          </cell>
          <cell r="F485">
            <v>20</v>
          </cell>
          <cell r="G485">
            <v>30833</v>
          </cell>
          <cell r="I485" t="str">
            <v>North America</v>
          </cell>
          <cell r="J485" t="str">
            <v>USA</v>
          </cell>
          <cell r="K485">
            <v>30132</v>
          </cell>
        </row>
        <row r="486">
          <cell r="A486" t="str">
            <v>In service</v>
          </cell>
          <cell r="B486" t="str">
            <v>Gulfstream Aerospace Gulfstream III</v>
          </cell>
          <cell r="C486" t="str">
            <v xml:space="preserve"> </v>
          </cell>
          <cell r="D486">
            <v>1984</v>
          </cell>
          <cell r="E486" t="str">
            <v>Harbour Group Industries Inc</v>
          </cell>
          <cell r="F486">
            <v>20</v>
          </cell>
          <cell r="G486">
            <v>30833</v>
          </cell>
          <cell r="I486" t="str">
            <v>North America</v>
          </cell>
          <cell r="J486" t="str">
            <v>USA</v>
          </cell>
          <cell r="K486">
            <v>30132</v>
          </cell>
        </row>
        <row r="487">
          <cell r="A487" t="str">
            <v>In service</v>
          </cell>
          <cell r="B487" t="str">
            <v>Gulfstream Aerospace Gulfstream III</v>
          </cell>
          <cell r="C487" t="str">
            <v xml:space="preserve"> </v>
          </cell>
          <cell r="D487">
            <v>1984</v>
          </cell>
          <cell r="E487" t="str">
            <v>BSI Holdings LLC</v>
          </cell>
          <cell r="F487">
            <v>20</v>
          </cell>
          <cell r="G487">
            <v>30833</v>
          </cell>
          <cell r="I487" t="str">
            <v>North America</v>
          </cell>
          <cell r="J487" t="str">
            <v>USA</v>
          </cell>
          <cell r="K487">
            <v>30132</v>
          </cell>
        </row>
        <row r="488">
          <cell r="A488" t="str">
            <v>In service</v>
          </cell>
          <cell r="B488" t="str">
            <v>Gulfstream Aerospace Gulfstream III</v>
          </cell>
          <cell r="C488" t="str">
            <v xml:space="preserve"> </v>
          </cell>
          <cell r="D488">
            <v>1984</v>
          </cell>
          <cell r="E488" t="str">
            <v>New World Jet Corp</v>
          </cell>
          <cell r="F488">
            <v>20</v>
          </cell>
          <cell r="G488">
            <v>30863</v>
          </cell>
          <cell r="I488" t="str">
            <v>North America</v>
          </cell>
          <cell r="J488" t="str">
            <v>USA</v>
          </cell>
          <cell r="K488">
            <v>30132</v>
          </cell>
        </row>
        <row r="489">
          <cell r="A489" t="str">
            <v>In service</v>
          </cell>
          <cell r="B489" t="str">
            <v>Gulfstream Aerospace Gulfstream III</v>
          </cell>
          <cell r="C489" t="str">
            <v xml:space="preserve"> </v>
          </cell>
          <cell r="D489">
            <v>1984</v>
          </cell>
          <cell r="E489" t="str">
            <v>Time Warner Entertainment</v>
          </cell>
          <cell r="F489">
            <v>20</v>
          </cell>
          <cell r="G489">
            <v>30863</v>
          </cell>
          <cell r="I489" t="str">
            <v>North America</v>
          </cell>
          <cell r="J489" t="str">
            <v>USA</v>
          </cell>
          <cell r="K489">
            <v>30132</v>
          </cell>
        </row>
        <row r="490">
          <cell r="A490" t="str">
            <v>In service</v>
          </cell>
          <cell r="B490" t="str">
            <v>Gulfstream Aerospace Gulfstream III</v>
          </cell>
          <cell r="C490" t="str">
            <v xml:space="preserve"> </v>
          </cell>
          <cell r="D490">
            <v>1984</v>
          </cell>
          <cell r="E490" t="str">
            <v>World Healing Center Church Inc</v>
          </cell>
          <cell r="F490">
            <v>20</v>
          </cell>
          <cell r="G490">
            <v>30863</v>
          </cell>
          <cell r="I490" t="str">
            <v>North America</v>
          </cell>
          <cell r="J490" t="str">
            <v>USA</v>
          </cell>
          <cell r="K490">
            <v>30132</v>
          </cell>
        </row>
        <row r="491">
          <cell r="A491" t="str">
            <v>In service</v>
          </cell>
          <cell r="B491" t="str">
            <v>Gulfstream Aerospace Gulfstream III</v>
          </cell>
          <cell r="C491" t="str">
            <v xml:space="preserve"> </v>
          </cell>
          <cell r="D491">
            <v>1984</v>
          </cell>
          <cell r="E491" t="str">
            <v>KOMAR Aviation LLC</v>
          </cell>
          <cell r="F491">
            <v>20</v>
          </cell>
          <cell r="G491">
            <v>30894</v>
          </cell>
          <cell r="I491" t="str">
            <v>North America</v>
          </cell>
          <cell r="J491" t="str">
            <v>USA</v>
          </cell>
          <cell r="K491">
            <v>30132</v>
          </cell>
        </row>
        <row r="492">
          <cell r="A492" t="str">
            <v>In service</v>
          </cell>
          <cell r="B492" t="str">
            <v>Gulfstream Aerospace Gulfstream III</v>
          </cell>
          <cell r="C492" t="str">
            <v xml:space="preserve"> </v>
          </cell>
          <cell r="D492">
            <v>1984</v>
          </cell>
          <cell r="E492" t="str">
            <v>Sinclair Oil Corp</v>
          </cell>
          <cell r="F492">
            <v>20</v>
          </cell>
          <cell r="G492">
            <v>30925</v>
          </cell>
          <cell r="I492" t="str">
            <v>North America</v>
          </cell>
          <cell r="J492" t="str">
            <v>USA</v>
          </cell>
          <cell r="K492">
            <v>30132</v>
          </cell>
        </row>
        <row r="493">
          <cell r="A493" t="str">
            <v>In service</v>
          </cell>
          <cell r="B493" t="str">
            <v>Gulfstream Aerospace Gulfstream III</v>
          </cell>
          <cell r="C493" t="str">
            <v xml:space="preserve"> </v>
          </cell>
          <cell r="D493">
            <v>1984</v>
          </cell>
          <cell r="E493" t="str">
            <v>Automotive Air Charter</v>
          </cell>
          <cell r="F493">
            <v>20</v>
          </cell>
          <cell r="G493">
            <v>30925</v>
          </cell>
          <cell r="I493" t="str">
            <v>North America</v>
          </cell>
          <cell r="J493" t="str">
            <v>USA</v>
          </cell>
          <cell r="K493">
            <v>30132</v>
          </cell>
        </row>
        <row r="494">
          <cell r="A494" t="str">
            <v>In service</v>
          </cell>
          <cell r="B494" t="str">
            <v>Gulfstream Aerospace Gulfstream III</v>
          </cell>
          <cell r="C494" t="str">
            <v xml:space="preserve"> </v>
          </cell>
          <cell r="D494">
            <v>1984</v>
          </cell>
          <cell r="E494" t="str">
            <v>Government of Egypt</v>
          </cell>
          <cell r="F494">
            <v>20</v>
          </cell>
          <cell r="G494">
            <v>30955</v>
          </cell>
          <cell r="I494" t="str">
            <v>Africa</v>
          </cell>
          <cell r="J494" t="str">
            <v>Egypt</v>
          </cell>
          <cell r="K494">
            <v>30132</v>
          </cell>
        </row>
        <row r="495">
          <cell r="A495" t="str">
            <v>In service</v>
          </cell>
          <cell r="B495" t="str">
            <v>Gulfstream Aerospace Gulfstream III</v>
          </cell>
          <cell r="C495" t="str">
            <v xml:space="preserve"> </v>
          </cell>
          <cell r="D495">
            <v>1984</v>
          </cell>
          <cell r="E495" t="str">
            <v>Billionaire Inc</v>
          </cell>
          <cell r="F495">
            <v>20</v>
          </cell>
          <cell r="G495">
            <v>30955</v>
          </cell>
          <cell r="I495" t="str">
            <v>North America</v>
          </cell>
          <cell r="J495" t="str">
            <v>USA</v>
          </cell>
          <cell r="K495">
            <v>30132</v>
          </cell>
        </row>
        <row r="496">
          <cell r="A496" t="str">
            <v>In service</v>
          </cell>
          <cell r="B496" t="str">
            <v>Gulfstream Aerospace Gulfstream III</v>
          </cell>
          <cell r="C496" t="str">
            <v xml:space="preserve"> </v>
          </cell>
          <cell r="D496">
            <v>1984</v>
          </cell>
          <cell r="E496" t="str">
            <v>Coastal Aviation Development LLC</v>
          </cell>
          <cell r="F496">
            <v>20</v>
          </cell>
          <cell r="G496">
            <v>30955</v>
          </cell>
          <cell r="I496" t="str">
            <v>North America</v>
          </cell>
          <cell r="J496" t="str">
            <v>USA</v>
          </cell>
          <cell r="K496">
            <v>30132</v>
          </cell>
        </row>
        <row r="497">
          <cell r="A497" t="str">
            <v>In service</v>
          </cell>
          <cell r="B497" t="str">
            <v>Gulfstream Aerospace Gulfstream III</v>
          </cell>
          <cell r="C497" t="str">
            <v xml:space="preserve"> </v>
          </cell>
          <cell r="D497">
            <v>1984</v>
          </cell>
          <cell r="E497" t="str">
            <v>Government of Egypt</v>
          </cell>
          <cell r="F497">
            <v>20</v>
          </cell>
          <cell r="G497">
            <v>30986</v>
          </cell>
          <cell r="I497" t="str">
            <v>Africa</v>
          </cell>
          <cell r="J497" t="str">
            <v>Egypt</v>
          </cell>
          <cell r="K497">
            <v>30132</v>
          </cell>
        </row>
        <row r="498">
          <cell r="A498" t="str">
            <v>In service</v>
          </cell>
          <cell r="B498" t="str">
            <v>Gulfstream Aerospace Gulfstream III</v>
          </cell>
          <cell r="C498" t="str">
            <v xml:space="preserve"> </v>
          </cell>
          <cell r="D498">
            <v>1984</v>
          </cell>
          <cell r="E498" t="str">
            <v>DirecTV Group Inc</v>
          </cell>
          <cell r="F498">
            <v>20</v>
          </cell>
          <cell r="G498">
            <v>30986</v>
          </cell>
          <cell r="I498" t="str">
            <v>North America</v>
          </cell>
          <cell r="J498" t="str">
            <v>USA</v>
          </cell>
          <cell r="K498">
            <v>30497</v>
          </cell>
        </row>
        <row r="499">
          <cell r="A499" t="str">
            <v>In service</v>
          </cell>
          <cell r="B499" t="str">
            <v>Gulfstream Aerospace Gulfstream III</v>
          </cell>
          <cell r="C499" t="str">
            <v xml:space="preserve"> </v>
          </cell>
          <cell r="D499">
            <v>1984</v>
          </cell>
          <cell r="E499" t="str">
            <v>DKH Services LLC</v>
          </cell>
          <cell r="F499">
            <v>20</v>
          </cell>
          <cell r="G499">
            <v>30986</v>
          </cell>
          <cell r="I499" t="str">
            <v>North America</v>
          </cell>
          <cell r="J499" t="str">
            <v>USA</v>
          </cell>
          <cell r="K499">
            <v>30497</v>
          </cell>
        </row>
        <row r="500">
          <cell r="A500" t="str">
            <v>In service</v>
          </cell>
          <cell r="B500" t="str">
            <v>Gulfstream Aerospace Gulfstream III</v>
          </cell>
          <cell r="C500" t="str">
            <v xml:space="preserve"> </v>
          </cell>
          <cell r="D500">
            <v>1984</v>
          </cell>
          <cell r="E500" t="str">
            <v>Oslo Express Inc</v>
          </cell>
          <cell r="F500">
            <v>20</v>
          </cell>
          <cell r="G500">
            <v>31016</v>
          </cell>
          <cell r="I500" t="str">
            <v>North America</v>
          </cell>
          <cell r="J500" t="str">
            <v>USA</v>
          </cell>
          <cell r="K500">
            <v>30132</v>
          </cell>
        </row>
        <row r="501">
          <cell r="A501" t="str">
            <v>In service</v>
          </cell>
          <cell r="B501" t="str">
            <v>Gulfstream Aerospace Gulfstream III</v>
          </cell>
          <cell r="C501" t="str">
            <v xml:space="preserve"> </v>
          </cell>
          <cell r="D501">
            <v>1984</v>
          </cell>
          <cell r="E501" t="str">
            <v>Air Sterling LLC</v>
          </cell>
          <cell r="F501">
            <v>20</v>
          </cell>
          <cell r="G501">
            <v>31047</v>
          </cell>
          <cell r="I501" t="str">
            <v>North America</v>
          </cell>
          <cell r="J501" t="str">
            <v>USA</v>
          </cell>
          <cell r="K501">
            <v>30497</v>
          </cell>
        </row>
        <row r="502">
          <cell r="A502" t="str">
            <v>In service</v>
          </cell>
          <cell r="B502" t="str">
            <v>Gulfstream Aerospace Gulfstream III</v>
          </cell>
          <cell r="C502" t="str">
            <v xml:space="preserve"> </v>
          </cell>
          <cell r="D502">
            <v>1984</v>
          </cell>
          <cell r="E502" t="str">
            <v>New World Jet Corp</v>
          </cell>
          <cell r="F502">
            <v>20</v>
          </cell>
          <cell r="G502">
            <v>31016</v>
          </cell>
          <cell r="I502" t="str">
            <v>North America</v>
          </cell>
          <cell r="J502" t="str">
            <v>USA</v>
          </cell>
          <cell r="K502">
            <v>30132</v>
          </cell>
        </row>
        <row r="503">
          <cell r="A503" t="str">
            <v>In service</v>
          </cell>
          <cell r="B503" t="str">
            <v>Gulfstream Aerospace Gulfstream III</v>
          </cell>
          <cell r="C503" t="str">
            <v xml:space="preserve"> </v>
          </cell>
          <cell r="D503">
            <v>1984</v>
          </cell>
          <cell r="E503" t="str">
            <v>WMA Aviation LLC</v>
          </cell>
          <cell r="F503">
            <v>20</v>
          </cell>
          <cell r="G503">
            <v>31047</v>
          </cell>
          <cell r="I503" t="str">
            <v>North America</v>
          </cell>
          <cell r="J503" t="str">
            <v>USA</v>
          </cell>
          <cell r="K503">
            <v>30497</v>
          </cell>
        </row>
        <row r="504">
          <cell r="A504" t="str">
            <v>In service</v>
          </cell>
          <cell r="B504" t="str">
            <v>Gulfstream Aerospace Gulfstream III</v>
          </cell>
          <cell r="C504" t="str">
            <v xml:space="preserve"> </v>
          </cell>
          <cell r="D504">
            <v>1984</v>
          </cell>
          <cell r="E504" t="str">
            <v>Bay Hawk LLC</v>
          </cell>
          <cell r="F504">
            <v>20</v>
          </cell>
          <cell r="G504">
            <v>31136</v>
          </cell>
          <cell r="I504" t="str">
            <v>North America</v>
          </cell>
          <cell r="J504" t="str">
            <v>USA</v>
          </cell>
          <cell r="K504">
            <v>30497</v>
          </cell>
        </row>
        <row r="505">
          <cell r="A505" t="str">
            <v>In service</v>
          </cell>
          <cell r="B505" t="str">
            <v>Gulfstream Aerospace Gulfstream III</v>
          </cell>
          <cell r="C505" t="str">
            <v xml:space="preserve"> </v>
          </cell>
          <cell r="D505">
            <v>1984</v>
          </cell>
          <cell r="E505" t="str">
            <v>Hendrick Motorsports Inc</v>
          </cell>
          <cell r="F505">
            <v>20</v>
          </cell>
          <cell r="G505">
            <v>31047</v>
          </cell>
          <cell r="I505" t="str">
            <v>North America</v>
          </cell>
          <cell r="J505" t="str">
            <v>USA</v>
          </cell>
          <cell r="K505">
            <v>30132</v>
          </cell>
        </row>
        <row r="506">
          <cell r="A506" t="str">
            <v>In service</v>
          </cell>
          <cell r="B506" t="str">
            <v>Gulfstream Aerospace Gulfstream III</v>
          </cell>
          <cell r="C506" t="str">
            <v xml:space="preserve"> </v>
          </cell>
          <cell r="D506">
            <v>1985</v>
          </cell>
          <cell r="E506" t="str">
            <v>Oslo Express Inc</v>
          </cell>
          <cell r="F506">
            <v>19</v>
          </cell>
          <cell r="G506">
            <v>31670</v>
          </cell>
          <cell r="I506" t="str">
            <v>North America</v>
          </cell>
          <cell r="J506" t="str">
            <v>USA</v>
          </cell>
          <cell r="K506">
            <v>30863</v>
          </cell>
        </row>
        <row r="507">
          <cell r="A507" t="str">
            <v>In service</v>
          </cell>
          <cell r="B507" t="str">
            <v>Gulfstream Aerospace Gulfstream III</v>
          </cell>
          <cell r="C507" t="str">
            <v xml:space="preserve"> </v>
          </cell>
          <cell r="D507">
            <v>1985</v>
          </cell>
          <cell r="E507" t="str">
            <v>Rodatz Financial Group Inc</v>
          </cell>
          <cell r="F507">
            <v>19</v>
          </cell>
          <cell r="G507">
            <v>31106</v>
          </cell>
          <cell r="I507" t="str">
            <v>North America</v>
          </cell>
          <cell r="J507" t="str">
            <v>USA</v>
          </cell>
          <cell r="K507">
            <v>30497</v>
          </cell>
        </row>
        <row r="508">
          <cell r="A508" t="str">
            <v>In service</v>
          </cell>
          <cell r="B508" t="str">
            <v>Gulfstream Aerospace Gulfstream III</v>
          </cell>
          <cell r="C508" t="str">
            <v xml:space="preserve"> </v>
          </cell>
          <cell r="D508">
            <v>1985</v>
          </cell>
          <cell r="E508" t="str">
            <v>Tesoro Petroleum Co Inc</v>
          </cell>
          <cell r="F508">
            <v>19</v>
          </cell>
          <cell r="G508">
            <v>31137</v>
          </cell>
          <cell r="I508" t="str">
            <v>North America</v>
          </cell>
          <cell r="J508" t="str">
            <v>USA</v>
          </cell>
          <cell r="K508">
            <v>30497</v>
          </cell>
        </row>
        <row r="509">
          <cell r="A509" t="str">
            <v>In service</v>
          </cell>
          <cell r="B509" t="str">
            <v>Gulfstream Aerospace Gulfstream III</v>
          </cell>
          <cell r="C509" t="str">
            <v xml:space="preserve"> </v>
          </cell>
          <cell r="D509">
            <v>1985</v>
          </cell>
          <cell r="E509" t="str">
            <v>Voyager YC Aviation LLC</v>
          </cell>
          <cell r="F509">
            <v>19</v>
          </cell>
          <cell r="G509">
            <v>31137</v>
          </cell>
          <cell r="I509" t="str">
            <v>North America</v>
          </cell>
          <cell r="J509" t="str">
            <v>USA</v>
          </cell>
          <cell r="K509">
            <v>30497</v>
          </cell>
        </row>
        <row r="510">
          <cell r="A510" t="str">
            <v>In service</v>
          </cell>
          <cell r="B510" t="str">
            <v>Gulfstream Aerospace Gulfstream III</v>
          </cell>
          <cell r="C510" t="str">
            <v xml:space="preserve"> </v>
          </cell>
          <cell r="D510">
            <v>1985</v>
          </cell>
          <cell r="E510" t="str">
            <v>CorporatAir LLC</v>
          </cell>
          <cell r="F510">
            <v>19</v>
          </cell>
          <cell r="G510">
            <v>31137</v>
          </cell>
          <cell r="I510" t="str">
            <v>North America</v>
          </cell>
          <cell r="J510" t="str">
            <v>USA</v>
          </cell>
          <cell r="K510">
            <v>30497</v>
          </cell>
        </row>
        <row r="511">
          <cell r="A511" t="str">
            <v>In service</v>
          </cell>
          <cell r="B511" t="str">
            <v>Gulfstream Aerospace Gulfstream III</v>
          </cell>
          <cell r="C511" t="str">
            <v xml:space="preserve"> </v>
          </cell>
          <cell r="D511">
            <v>1985</v>
          </cell>
          <cell r="E511" t="str">
            <v>MidSouth Services Inc</v>
          </cell>
          <cell r="F511">
            <v>19</v>
          </cell>
          <cell r="G511">
            <v>31259</v>
          </cell>
          <cell r="I511" t="str">
            <v>North America</v>
          </cell>
          <cell r="J511" t="str">
            <v>USA</v>
          </cell>
          <cell r="K511">
            <v>30863</v>
          </cell>
        </row>
        <row r="512">
          <cell r="A512" t="str">
            <v>In service</v>
          </cell>
          <cell r="B512" t="str">
            <v>Gulfstream Aerospace Gulfstream III</v>
          </cell>
          <cell r="C512" t="str">
            <v xml:space="preserve"> </v>
          </cell>
          <cell r="D512">
            <v>1985</v>
          </cell>
          <cell r="E512" t="str">
            <v>Magic Johnson Entertainment Inc</v>
          </cell>
          <cell r="F512">
            <v>19</v>
          </cell>
          <cell r="G512">
            <v>31198</v>
          </cell>
          <cell r="I512" t="str">
            <v>North America</v>
          </cell>
          <cell r="J512" t="str">
            <v>USA</v>
          </cell>
          <cell r="K512">
            <v>30497</v>
          </cell>
        </row>
        <row r="513">
          <cell r="A513" t="str">
            <v>In service</v>
          </cell>
          <cell r="B513" t="str">
            <v>Gulfstream Aerospace Gulfstream III</v>
          </cell>
          <cell r="C513" t="str">
            <v xml:space="preserve"> </v>
          </cell>
          <cell r="D513">
            <v>1985</v>
          </cell>
          <cell r="E513" t="str">
            <v>Flying Eagle Aviation Inc</v>
          </cell>
          <cell r="F513">
            <v>19</v>
          </cell>
          <cell r="G513">
            <v>31228</v>
          </cell>
          <cell r="I513" t="str">
            <v>North America</v>
          </cell>
          <cell r="J513" t="str">
            <v>USA</v>
          </cell>
          <cell r="K513">
            <v>30497</v>
          </cell>
        </row>
        <row r="514">
          <cell r="A514" t="str">
            <v>In service</v>
          </cell>
          <cell r="B514" t="str">
            <v>Gulfstream Aerospace Gulfstream III</v>
          </cell>
          <cell r="C514" t="str">
            <v xml:space="preserve"> </v>
          </cell>
          <cell r="D514">
            <v>1985</v>
          </cell>
          <cell r="E514" t="str">
            <v>Government of Ivory Coast</v>
          </cell>
          <cell r="F514">
            <v>19</v>
          </cell>
          <cell r="G514">
            <v>31228</v>
          </cell>
          <cell r="I514" t="str">
            <v>Africa</v>
          </cell>
          <cell r="J514" t="str">
            <v>Ivory Coast</v>
          </cell>
          <cell r="K514">
            <v>30497</v>
          </cell>
        </row>
        <row r="515">
          <cell r="A515" t="str">
            <v>In service</v>
          </cell>
          <cell r="B515" t="str">
            <v>Gulfstream Aerospace Gulfstream III</v>
          </cell>
          <cell r="C515" t="str">
            <v xml:space="preserve"> </v>
          </cell>
          <cell r="D515">
            <v>1985</v>
          </cell>
          <cell r="E515" t="str">
            <v>Southlake Aviation LLC</v>
          </cell>
          <cell r="F515">
            <v>19</v>
          </cell>
          <cell r="G515">
            <v>31259</v>
          </cell>
          <cell r="I515" t="str">
            <v>North America</v>
          </cell>
          <cell r="J515" t="str">
            <v>USA</v>
          </cell>
          <cell r="K515">
            <v>30497</v>
          </cell>
        </row>
        <row r="516">
          <cell r="A516" t="str">
            <v>In service</v>
          </cell>
          <cell r="B516" t="str">
            <v>Gulfstream Aerospace Gulfstream III</v>
          </cell>
          <cell r="C516" t="str">
            <v xml:space="preserve"> </v>
          </cell>
          <cell r="D516">
            <v>1985</v>
          </cell>
          <cell r="E516" t="str">
            <v>Caesar's Entertainment Inc</v>
          </cell>
          <cell r="F516">
            <v>19</v>
          </cell>
          <cell r="G516">
            <v>31381</v>
          </cell>
          <cell r="I516" t="str">
            <v>North America</v>
          </cell>
          <cell r="J516" t="str">
            <v>USA</v>
          </cell>
          <cell r="K516">
            <v>30497</v>
          </cell>
        </row>
        <row r="517">
          <cell r="A517" t="str">
            <v>In service</v>
          </cell>
          <cell r="B517" t="str">
            <v>Gulfstream Aerospace Gulfstream III</v>
          </cell>
          <cell r="C517" t="str">
            <v xml:space="preserve"> </v>
          </cell>
          <cell r="D517">
            <v>1985</v>
          </cell>
          <cell r="E517" t="str">
            <v>Monroe Business Ventures LLC</v>
          </cell>
          <cell r="F517">
            <v>19</v>
          </cell>
          <cell r="G517">
            <v>31381</v>
          </cell>
          <cell r="I517" t="str">
            <v>North America</v>
          </cell>
          <cell r="J517" t="str">
            <v>USA</v>
          </cell>
          <cell r="K517">
            <v>30863</v>
          </cell>
        </row>
        <row r="518">
          <cell r="A518" t="str">
            <v>In service</v>
          </cell>
          <cell r="B518" t="str">
            <v>Gulfstream Aerospace Gulfstream III</v>
          </cell>
          <cell r="C518" t="str">
            <v xml:space="preserve"> </v>
          </cell>
          <cell r="D518">
            <v>1985</v>
          </cell>
          <cell r="E518" t="str">
            <v>Hill Air Corp</v>
          </cell>
          <cell r="F518">
            <v>19</v>
          </cell>
          <cell r="G518">
            <v>31517</v>
          </cell>
          <cell r="I518" t="str">
            <v>North America</v>
          </cell>
          <cell r="J518" t="str">
            <v>USA</v>
          </cell>
          <cell r="K518">
            <v>31228</v>
          </cell>
        </row>
        <row r="519">
          <cell r="A519" t="str">
            <v>In service</v>
          </cell>
          <cell r="B519" t="str">
            <v>Gulfstream Aerospace Gulfstream III</v>
          </cell>
          <cell r="C519" t="str">
            <v xml:space="preserve"> </v>
          </cell>
          <cell r="D519">
            <v>1985</v>
          </cell>
          <cell r="E519" t="str">
            <v>Thompson Tractor Co</v>
          </cell>
          <cell r="F519">
            <v>19</v>
          </cell>
          <cell r="G519">
            <v>31344</v>
          </cell>
          <cell r="I519" t="str">
            <v>North America</v>
          </cell>
          <cell r="J519" t="str">
            <v>USA</v>
          </cell>
          <cell r="K519">
            <v>30863</v>
          </cell>
        </row>
        <row r="520">
          <cell r="A520" t="str">
            <v>In service</v>
          </cell>
          <cell r="B520" t="str">
            <v>Gulfstream Aerospace Gulfstream III</v>
          </cell>
          <cell r="C520" t="str">
            <v xml:space="preserve"> </v>
          </cell>
          <cell r="D520">
            <v>1985</v>
          </cell>
          <cell r="E520" t="str">
            <v>Executive Charters Inc</v>
          </cell>
          <cell r="F520">
            <v>19</v>
          </cell>
          <cell r="G520">
            <v>31412</v>
          </cell>
          <cell r="I520" t="str">
            <v>North America</v>
          </cell>
          <cell r="J520" t="str">
            <v>USA</v>
          </cell>
        </row>
        <row r="521">
          <cell r="A521" t="str">
            <v>In service</v>
          </cell>
          <cell r="B521" t="str">
            <v>Gulfstream Aerospace Gulfstream III</v>
          </cell>
          <cell r="C521" t="str">
            <v xml:space="preserve"> </v>
          </cell>
          <cell r="D521">
            <v>1985</v>
          </cell>
          <cell r="E521" t="str">
            <v>Government of Angola</v>
          </cell>
          <cell r="F521">
            <v>19</v>
          </cell>
          <cell r="G521">
            <v>31547</v>
          </cell>
          <cell r="I521" t="str">
            <v>Africa</v>
          </cell>
          <cell r="J521" t="str">
            <v>Angola</v>
          </cell>
          <cell r="K521">
            <v>30863</v>
          </cell>
        </row>
        <row r="522">
          <cell r="A522" t="str">
            <v>In service</v>
          </cell>
          <cell r="B522" t="str">
            <v>Gulfstream Aerospace Gulfstream III</v>
          </cell>
          <cell r="C522" t="str">
            <v xml:space="preserve"> </v>
          </cell>
          <cell r="D522">
            <v>1986</v>
          </cell>
          <cell r="E522" t="str">
            <v>R &amp; L Air LLC</v>
          </cell>
          <cell r="F522">
            <v>18</v>
          </cell>
          <cell r="G522">
            <v>31761</v>
          </cell>
          <cell r="I522" t="str">
            <v>North America</v>
          </cell>
          <cell r="J522" t="str">
            <v>USA</v>
          </cell>
          <cell r="K522">
            <v>30863</v>
          </cell>
        </row>
        <row r="523">
          <cell r="A523" t="str">
            <v>In service</v>
          </cell>
          <cell r="B523" t="str">
            <v>Gulfstream Aerospace Gulfstream III</v>
          </cell>
          <cell r="C523" t="str">
            <v xml:space="preserve"> </v>
          </cell>
          <cell r="D523">
            <v>1986</v>
          </cell>
          <cell r="E523" t="str">
            <v>Collins Brothers Corp &amp; Terrible Herbst Inc</v>
          </cell>
          <cell r="F523">
            <v>18</v>
          </cell>
          <cell r="G523">
            <v>31674</v>
          </cell>
          <cell r="I523" t="str">
            <v>North America</v>
          </cell>
          <cell r="J523" t="str">
            <v>USA</v>
          </cell>
          <cell r="K523">
            <v>31228</v>
          </cell>
        </row>
        <row r="524">
          <cell r="A524" t="str">
            <v>In service</v>
          </cell>
          <cell r="B524" t="str">
            <v>Gulfstream Aerospace Gulfstream III</v>
          </cell>
          <cell r="C524" t="str">
            <v xml:space="preserve"> </v>
          </cell>
          <cell r="D524">
            <v>1986</v>
          </cell>
          <cell r="E524" t="str">
            <v>Meridian Equipment Co Inc</v>
          </cell>
          <cell r="F524">
            <v>18</v>
          </cell>
          <cell r="G524">
            <v>31523</v>
          </cell>
          <cell r="I524" t="str">
            <v>North America</v>
          </cell>
          <cell r="J524" t="str">
            <v>USA</v>
          </cell>
          <cell r="K524">
            <v>30863</v>
          </cell>
        </row>
        <row r="525">
          <cell r="A525" t="str">
            <v>In service</v>
          </cell>
          <cell r="B525" t="str">
            <v>Gulfstream Aerospace Gulfstream III</v>
          </cell>
          <cell r="C525" t="str">
            <v xml:space="preserve"> </v>
          </cell>
          <cell r="D525">
            <v>1986</v>
          </cell>
          <cell r="E525" t="str">
            <v>Rida Aviation Ltd</v>
          </cell>
          <cell r="F525">
            <v>18</v>
          </cell>
          <cell r="G525">
            <v>31560</v>
          </cell>
          <cell r="I525" t="str">
            <v>Latin America and Caribbean</v>
          </cell>
          <cell r="J525" t="str">
            <v>Bermuda</v>
          </cell>
          <cell r="K525">
            <v>31228</v>
          </cell>
        </row>
        <row r="526">
          <cell r="A526" t="str">
            <v>In service</v>
          </cell>
          <cell r="B526" t="str">
            <v>Gulfstream Aerospace Gulfstream III</v>
          </cell>
          <cell r="C526" t="str">
            <v xml:space="preserve"> </v>
          </cell>
          <cell r="D526">
            <v>1986</v>
          </cell>
          <cell r="E526" t="str">
            <v>McWane Inc</v>
          </cell>
          <cell r="F526">
            <v>18</v>
          </cell>
          <cell r="G526">
            <v>31774</v>
          </cell>
          <cell r="I526" t="str">
            <v>North America</v>
          </cell>
          <cell r="J526" t="str">
            <v>USA</v>
          </cell>
        </row>
        <row r="527">
          <cell r="A527" t="str">
            <v>In service</v>
          </cell>
          <cell r="B527" t="str">
            <v>Gulfstream Aerospace Gulfstream III</v>
          </cell>
          <cell r="C527" t="str">
            <v xml:space="preserve"> </v>
          </cell>
          <cell r="D527">
            <v>1986</v>
          </cell>
          <cell r="E527" t="str">
            <v>Government of Cameroon</v>
          </cell>
          <cell r="F527">
            <v>18</v>
          </cell>
          <cell r="G527">
            <v>31578</v>
          </cell>
          <cell r="I527" t="str">
            <v>Africa</v>
          </cell>
          <cell r="J527" t="str">
            <v>Cameroon</v>
          </cell>
          <cell r="K527">
            <v>30863</v>
          </cell>
        </row>
        <row r="528">
          <cell r="A528" t="str">
            <v>In service</v>
          </cell>
          <cell r="B528" t="str">
            <v>Gulfstream Aerospace Gulfstream III</v>
          </cell>
          <cell r="C528" t="str">
            <v xml:space="preserve"> </v>
          </cell>
          <cell r="D528">
            <v>1986</v>
          </cell>
          <cell r="E528" t="str">
            <v>Walter McPhail</v>
          </cell>
          <cell r="F528">
            <v>18</v>
          </cell>
          <cell r="G528">
            <v>31670</v>
          </cell>
          <cell r="I528" t="str">
            <v>North America</v>
          </cell>
          <cell r="J528" t="str">
            <v>USA</v>
          </cell>
          <cell r="K528">
            <v>30863</v>
          </cell>
        </row>
        <row r="529">
          <cell r="A529" t="str">
            <v>In service</v>
          </cell>
          <cell r="B529" t="str">
            <v>Gulfstream Aerospace Gulfstream III</v>
          </cell>
          <cell r="C529" t="str">
            <v xml:space="preserve"> </v>
          </cell>
          <cell r="D529">
            <v>1986</v>
          </cell>
          <cell r="E529" t="str">
            <v>Commerce Leasing Co</v>
          </cell>
          <cell r="F529">
            <v>18</v>
          </cell>
          <cell r="G529">
            <v>31729</v>
          </cell>
          <cell r="I529" t="str">
            <v>North America</v>
          </cell>
          <cell r="J529" t="str">
            <v>USA</v>
          </cell>
          <cell r="K529">
            <v>31228</v>
          </cell>
        </row>
        <row r="530">
          <cell r="A530" t="str">
            <v>In service</v>
          </cell>
          <cell r="B530" t="str">
            <v>Gulfstream Aerospace Gulfstream III</v>
          </cell>
          <cell r="C530" t="str">
            <v xml:space="preserve"> </v>
          </cell>
          <cell r="D530">
            <v>1986</v>
          </cell>
          <cell r="E530" t="str">
            <v>Deniston Enterprises Inc</v>
          </cell>
          <cell r="F530">
            <v>18</v>
          </cell>
          <cell r="G530">
            <v>31700</v>
          </cell>
          <cell r="I530" t="str">
            <v>North America</v>
          </cell>
          <cell r="J530" t="str">
            <v>USA</v>
          </cell>
          <cell r="K530">
            <v>31228</v>
          </cell>
        </row>
        <row r="531">
          <cell r="A531" t="str">
            <v>In service</v>
          </cell>
          <cell r="B531" t="str">
            <v>Gulfstream Aerospace Gulfstream III</v>
          </cell>
          <cell r="C531" t="str">
            <v xml:space="preserve"> </v>
          </cell>
          <cell r="D531">
            <v>1986</v>
          </cell>
          <cell r="E531" t="str">
            <v>Franklin/Templeton Travel Inc</v>
          </cell>
          <cell r="F531">
            <v>18</v>
          </cell>
          <cell r="G531">
            <v>31702</v>
          </cell>
          <cell r="I531" t="str">
            <v>North America</v>
          </cell>
          <cell r="J531" t="str">
            <v>USA</v>
          </cell>
          <cell r="K531">
            <v>31228</v>
          </cell>
        </row>
        <row r="532">
          <cell r="A532" t="str">
            <v>In service</v>
          </cell>
          <cell r="B532" t="str">
            <v>Gulfstream Aerospace Gulfstream III</v>
          </cell>
          <cell r="C532" t="str">
            <v xml:space="preserve"> </v>
          </cell>
          <cell r="D532">
            <v>1986</v>
          </cell>
          <cell r="E532" t="str">
            <v>Ferrell Schultz Aviation LLC</v>
          </cell>
          <cell r="F532">
            <v>18</v>
          </cell>
          <cell r="G532">
            <v>31728</v>
          </cell>
          <cell r="I532" t="str">
            <v>North America</v>
          </cell>
          <cell r="J532" t="str">
            <v>USA</v>
          </cell>
          <cell r="K532">
            <v>31228</v>
          </cell>
        </row>
        <row r="533">
          <cell r="A533" t="str">
            <v>In service</v>
          </cell>
          <cell r="B533" t="str">
            <v>Gulfstream Aerospace Gulfstream III</v>
          </cell>
          <cell r="C533" t="str">
            <v xml:space="preserve"> </v>
          </cell>
          <cell r="D533">
            <v>1986</v>
          </cell>
          <cell r="E533" t="str">
            <v>N848RJ Inc</v>
          </cell>
          <cell r="F533">
            <v>18</v>
          </cell>
          <cell r="G533">
            <v>32126</v>
          </cell>
          <cell r="I533" t="str">
            <v>North America</v>
          </cell>
          <cell r="J533" t="str">
            <v>USA</v>
          </cell>
          <cell r="K533">
            <v>31593</v>
          </cell>
        </row>
        <row r="534">
          <cell r="A534" t="str">
            <v>In service</v>
          </cell>
          <cell r="B534" t="str">
            <v>Gulfstream Aerospace Gulfstream III</v>
          </cell>
          <cell r="C534" t="str">
            <v xml:space="preserve"> </v>
          </cell>
          <cell r="D534">
            <v>1986</v>
          </cell>
          <cell r="E534" t="str">
            <v>Ghana Air Force</v>
          </cell>
          <cell r="F534">
            <v>18</v>
          </cell>
          <cell r="G534">
            <v>31770</v>
          </cell>
          <cell r="I534" t="str">
            <v>Africa</v>
          </cell>
          <cell r="J534" t="str">
            <v>Ghana</v>
          </cell>
        </row>
        <row r="535">
          <cell r="A535" t="str">
            <v>In service</v>
          </cell>
          <cell r="B535" t="str">
            <v>Gulfstream Aerospace Gulfstream III</v>
          </cell>
          <cell r="C535" t="str">
            <v xml:space="preserve"> </v>
          </cell>
          <cell r="D535">
            <v>1987</v>
          </cell>
          <cell r="E535" t="str">
            <v xml:space="preserve">Independent Aviation Services Ltd Coutts (Cayman) </v>
          </cell>
          <cell r="F535">
            <v>17</v>
          </cell>
          <cell r="G535">
            <v>32134</v>
          </cell>
          <cell r="I535" t="str">
            <v>Latin America and Caribbean</v>
          </cell>
          <cell r="J535" t="str">
            <v>Cayman Islands</v>
          </cell>
        </row>
        <row r="536">
          <cell r="A536" t="str">
            <v>In service</v>
          </cell>
          <cell r="B536" t="str">
            <v>Gulfstream Aerospace Gulfstream III</v>
          </cell>
          <cell r="C536" t="str">
            <v xml:space="preserve"> </v>
          </cell>
          <cell r="D536">
            <v>1981</v>
          </cell>
          <cell r="E536" t="str">
            <v>UJZ LLC</v>
          </cell>
          <cell r="F536">
            <v>23</v>
          </cell>
          <cell r="G536">
            <v>29654</v>
          </cell>
          <cell r="I536" t="str">
            <v>North America</v>
          </cell>
          <cell r="J536" t="str">
            <v>USA</v>
          </cell>
          <cell r="K536">
            <v>29036</v>
          </cell>
        </row>
        <row r="537">
          <cell r="A537" t="str">
            <v>In service</v>
          </cell>
          <cell r="B537" t="str">
            <v>Gulfstream Aerospace Gulfstream III</v>
          </cell>
          <cell r="C537" t="str">
            <v>(SCD)</v>
          </cell>
          <cell r="D537">
            <v>1980</v>
          </cell>
          <cell r="E537" t="str">
            <v>Royal Danish Air Force</v>
          </cell>
          <cell r="F537">
            <v>24</v>
          </cell>
          <cell r="G537">
            <v>29465</v>
          </cell>
          <cell r="H537" t="str">
            <v>(SCD)</v>
          </cell>
          <cell r="I537" t="str">
            <v>Europe</v>
          </cell>
          <cell r="J537" t="str">
            <v>Denmark</v>
          </cell>
          <cell r="K537">
            <v>29036</v>
          </cell>
        </row>
        <row r="538">
          <cell r="A538" t="str">
            <v>In service</v>
          </cell>
          <cell r="B538" t="str">
            <v>Gulfstream Aerospace Gulfstream III</v>
          </cell>
          <cell r="C538" t="str">
            <v>(SCD)</v>
          </cell>
          <cell r="D538">
            <v>1986</v>
          </cell>
          <cell r="E538" t="str">
            <v>Indian Air Force</v>
          </cell>
          <cell r="F538">
            <v>18</v>
          </cell>
          <cell r="G538">
            <v>31770</v>
          </cell>
          <cell r="H538" t="str">
            <v>(SCD)</v>
          </cell>
          <cell r="I538" t="str">
            <v>Asia</v>
          </cell>
          <cell r="J538" t="str">
            <v>India</v>
          </cell>
        </row>
        <row r="539">
          <cell r="A539" t="str">
            <v>In service</v>
          </cell>
          <cell r="B539" t="str">
            <v>Gulfstream Aerospace Gulfstream III</v>
          </cell>
          <cell r="C539" t="str">
            <v>(SCD)</v>
          </cell>
          <cell r="D539">
            <v>1986</v>
          </cell>
          <cell r="E539" t="str">
            <v>Indian Air Force</v>
          </cell>
          <cell r="F539">
            <v>18</v>
          </cell>
          <cell r="G539">
            <v>31776</v>
          </cell>
          <cell r="H539" t="str">
            <v>(SCD)</v>
          </cell>
          <cell r="I539" t="str">
            <v>Asia</v>
          </cell>
          <cell r="J539" t="str">
            <v>India</v>
          </cell>
        </row>
        <row r="540">
          <cell r="A540" t="str">
            <v>In service</v>
          </cell>
          <cell r="B540" t="str">
            <v>Gulfstream Aerospace Gulfstream III</v>
          </cell>
          <cell r="C540" t="str">
            <v>C-20A</v>
          </cell>
          <cell r="D540">
            <v>1983</v>
          </cell>
          <cell r="E540" t="str">
            <v>US Navy</v>
          </cell>
          <cell r="F540">
            <v>21</v>
          </cell>
          <cell r="G540">
            <v>30619</v>
          </cell>
          <cell r="H540" t="str">
            <v>C-20A</v>
          </cell>
          <cell r="I540" t="str">
            <v>North America</v>
          </cell>
          <cell r="J540" t="str">
            <v>USA</v>
          </cell>
          <cell r="K540">
            <v>30474</v>
          </cell>
        </row>
        <row r="541">
          <cell r="A541" t="str">
            <v>In service</v>
          </cell>
          <cell r="B541" t="str">
            <v>Gulfstream Aerospace Gulfstream III</v>
          </cell>
          <cell r="C541" t="str">
            <v>C-20A</v>
          </cell>
          <cell r="D541">
            <v>1983</v>
          </cell>
          <cell r="E541" t="str">
            <v>US Army - Corp of Engineers</v>
          </cell>
          <cell r="F541">
            <v>21</v>
          </cell>
          <cell r="G541">
            <v>30589</v>
          </cell>
          <cell r="H541" t="str">
            <v>C-20A</v>
          </cell>
          <cell r="I541" t="str">
            <v>North America</v>
          </cell>
          <cell r="J541" t="str">
            <v>USA</v>
          </cell>
          <cell r="K541">
            <v>30474</v>
          </cell>
        </row>
        <row r="542">
          <cell r="A542" t="str">
            <v>In service</v>
          </cell>
          <cell r="B542" t="str">
            <v>Gulfstream Aerospace Gulfstream III</v>
          </cell>
          <cell r="C542" t="str">
            <v>C-20A</v>
          </cell>
          <cell r="D542">
            <v>1983</v>
          </cell>
          <cell r="E542" t="str">
            <v>NASA</v>
          </cell>
          <cell r="F542">
            <v>21</v>
          </cell>
          <cell r="G542">
            <v>30650</v>
          </cell>
          <cell r="H542" t="str">
            <v>C-20A</v>
          </cell>
          <cell r="I542" t="str">
            <v>North America</v>
          </cell>
          <cell r="J542" t="str">
            <v>USA</v>
          </cell>
          <cell r="K542">
            <v>30474</v>
          </cell>
        </row>
        <row r="543">
          <cell r="A543" t="str">
            <v>In service</v>
          </cell>
          <cell r="B543" t="str">
            <v>Gulfstream Aerospace Gulfstream III</v>
          </cell>
          <cell r="C543" t="str">
            <v>C-20B</v>
          </cell>
          <cell r="D543">
            <v>1985</v>
          </cell>
          <cell r="E543" t="str">
            <v>Trans Gulf Corp</v>
          </cell>
          <cell r="F543">
            <v>19</v>
          </cell>
          <cell r="G543">
            <v>31851</v>
          </cell>
          <cell r="I543" t="str">
            <v>North America</v>
          </cell>
          <cell r="J543" t="str">
            <v>USA</v>
          </cell>
          <cell r="K543">
            <v>31427</v>
          </cell>
        </row>
        <row r="544">
          <cell r="A544" t="str">
            <v>In service</v>
          </cell>
          <cell r="B544" t="str">
            <v>Gulfstream Aerospace Gulfstream III</v>
          </cell>
          <cell r="C544" t="str">
            <v>C-20B</v>
          </cell>
          <cell r="D544">
            <v>1985</v>
          </cell>
          <cell r="E544" t="str">
            <v>US Air Force</v>
          </cell>
          <cell r="F544">
            <v>19</v>
          </cell>
          <cell r="G544">
            <v>31882</v>
          </cell>
          <cell r="H544" t="str">
            <v>C-20B</v>
          </cell>
          <cell r="I544" t="str">
            <v>North America</v>
          </cell>
          <cell r="J544" t="str">
            <v>USA</v>
          </cell>
          <cell r="K544">
            <v>31427</v>
          </cell>
        </row>
        <row r="545">
          <cell r="A545" t="str">
            <v>In service</v>
          </cell>
          <cell r="B545" t="str">
            <v>Gulfstream Aerospace Gulfstream III</v>
          </cell>
          <cell r="C545" t="str">
            <v>C-20B</v>
          </cell>
          <cell r="D545">
            <v>1985</v>
          </cell>
          <cell r="E545" t="str">
            <v>US Air Force</v>
          </cell>
          <cell r="F545">
            <v>19</v>
          </cell>
          <cell r="G545">
            <v>31912</v>
          </cell>
          <cell r="H545" t="str">
            <v>C-20B</v>
          </cell>
          <cell r="I545" t="str">
            <v>North America</v>
          </cell>
          <cell r="J545" t="str">
            <v>USA</v>
          </cell>
          <cell r="K545">
            <v>31427</v>
          </cell>
        </row>
        <row r="546">
          <cell r="A546" t="str">
            <v>In service</v>
          </cell>
          <cell r="B546" t="str">
            <v>Gulfstream Aerospace Gulfstream III</v>
          </cell>
          <cell r="C546" t="str">
            <v>C-20B</v>
          </cell>
          <cell r="D546">
            <v>1985</v>
          </cell>
          <cell r="E546" t="str">
            <v>US Air Force</v>
          </cell>
          <cell r="F546">
            <v>19</v>
          </cell>
          <cell r="G546">
            <v>32004</v>
          </cell>
          <cell r="H546" t="str">
            <v>C-20B</v>
          </cell>
          <cell r="I546" t="str">
            <v>North America</v>
          </cell>
          <cell r="J546" t="str">
            <v>USA</v>
          </cell>
          <cell r="K546">
            <v>31427</v>
          </cell>
        </row>
        <row r="547">
          <cell r="A547" t="str">
            <v>In service</v>
          </cell>
          <cell r="B547" t="str">
            <v>Gulfstream Aerospace Gulfstream III</v>
          </cell>
          <cell r="C547" t="str">
            <v>C-20B</v>
          </cell>
          <cell r="D547">
            <v>1985</v>
          </cell>
          <cell r="E547" t="str">
            <v>US Air Force</v>
          </cell>
          <cell r="F547">
            <v>19</v>
          </cell>
          <cell r="G547">
            <v>32035</v>
          </cell>
          <cell r="H547" t="str">
            <v>C-20B</v>
          </cell>
          <cell r="I547" t="str">
            <v>North America</v>
          </cell>
          <cell r="J547" t="str">
            <v>USA</v>
          </cell>
          <cell r="K547">
            <v>31427</v>
          </cell>
        </row>
        <row r="548">
          <cell r="A548" t="str">
            <v>In service</v>
          </cell>
          <cell r="B548" t="str">
            <v>Gulfstream Aerospace Gulfstream III</v>
          </cell>
          <cell r="C548" t="str">
            <v>C-20B</v>
          </cell>
          <cell r="D548">
            <v>1985</v>
          </cell>
          <cell r="E548" t="str">
            <v>Meregrass Inc</v>
          </cell>
          <cell r="F548">
            <v>19</v>
          </cell>
          <cell r="G548">
            <v>32065</v>
          </cell>
          <cell r="I548" t="str">
            <v>North America</v>
          </cell>
          <cell r="J548" t="str">
            <v>USA</v>
          </cell>
          <cell r="K548">
            <v>31427</v>
          </cell>
        </row>
        <row r="549">
          <cell r="A549" t="str">
            <v>In service</v>
          </cell>
          <cell r="B549" t="str">
            <v>Gulfstream Aerospace Gulfstream III</v>
          </cell>
          <cell r="C549" t="str">
            <v>C-20B</v>
          </cell>
          <cell r="D549">
            <v>1985</v>
          </cell>
          <cell r="E549" t="str">
            <v>US Air Force</v>
          </cell>
          <cell r="F549">
            <v>19</v>
          </cell>
          <cell r="G549">
            <v>31517</v>
          </cell>
          <cell r="H549" t="str">
            <v>C-20B</v>
          </cell>
          <cell r="I549" t="str">
            <v>North America</v>
          </cell>
          <cell r="J549" t="str">
            <v>USA</v>
          </cell>
          <cell r="K549">
            <v>31427</v>
          </cell>
        </row>
        <row r="550">
          <cell r="A550" t="str">
            <v>In service</v>
          </cell>
          <cell r="B550" t="str">
            <v>Gulfstream Aerospace Gulfstream III</v>
          </cell>
          <cell r="C550" t="str">
            <v>C-20C</v>
          </cell>
          <cell r="D550">
            <v>1985</v>
          </cell>
          <cell r="E550" t="str">
            <v>US Army</v>
          </cell>
          <cell r="F550">
            <v>19</v>
          </cell>
          <cell r="G550">
            <v>31593</v>
          </cell>
          <cell r="H550" t="str">
            <v>C-20C</v>
          </cell>
          <cell r="I550" t="str">
            <v>North America</v>
          </cell>
          <cell r="J550" t="str">
            <v>USA</v>
          </cell>
          <cell r="K550">
            <v>30863</v>
          </cell>
        </row>
        <row r="551">
          <cell r="A551" t="str">
            <v>In service</v>
          </cell>
          <cell r="B551" t="str">
            <v>Gulfstream Aerospace Gulfstream III</v>
          </cell>
          <cell r="C551" t="str">
            <v>C-20C</v>
          </cell>
          <cell r="D551">
            <v>1985</v>
          </cell>
          <cell r="E551" t="str">
            <v>US Army</v>
          </cell>
          <cell r="F551">
            <v>19</v>
          </cell>
          <cell r="G551">
            <v>31593</v>
          </cell>
          <cell r="H551" t="str">
            <v>C-20C</v>
          </cell>
          <cell r="I551" t="str">
            <v>North America</v>
          </cell>
          <cell r="J551" t="str">
            <v>USA</v>
          </cell>
          <cell r="K551">
            <v>30863</v>
          </cell>
        </row>
        <row r="552">
          <cell r="A552" t="str">
            <v>In service</v>
          </cell>
          <cell r="B552" t="str">
            <v>Gulfstream Aerospace Gulfstream III</v>
          </cell>
          <cell r="C552" t="str">
            <v>C-20C</v>
          </cell>
          <cell r="D552">
            <v>1985</v>
          </cell>
          <cell r="E552" t="str">
            <v>US Air Force</v>
          </cell>
          <cell r="F552">
            <v>19</v>
          </cell>
          <cell r="G552">
            <v>31973</v>
          </cell>
          <cell r="H552" t="str">
            <v>C-20C</v>
          </cell>
          <cell r="I552" t="str">
            <v>North America</v>
          </cell>
          <cell r="J552" t="str">
            <v>USA</v>
          </cell>
          <cell r="K552">
            <v>31593</v>
          </cell>
        </row>
        <row r="553">
          <cell r="A553" t="str">
            <v>In service</v>
          </cell>
          <cell r="B553" t="str">
            <v>Gulfstream Aerospace Gulfstream III</v>
          </cell>
          <cell r="C553" t="str">
            <v>C-20D</v>
          </cell>
          <cell r="D553">
            <v>1986</v>
          </cell>
          <cell r="E553" t="str">
            <v>US Navy</v>
          </cell>
          <cell r="F553">
            <v>18</v>
          </cell>
          <cell r="G553">
            <v>31578</v>
          </cell>
          <cell r="H553" t="str">
            <v>C-20D</v>
          </cell>
          <cell r="I553" t="str">
            <v>North America</v>
          </cell>
          <cell r="J553" t="str">
            <v>USA</v>
          </cell>
          <cell r="K553">
            <v>30863</v>
          </cell>
        </row>
        <row r="554">
          <cell r="A554" t="str">
            <v>In service</v>
          </cell>
          <cell r="B554" t="str">
            <v>Gulfstream Aerospace Gulfstream III</v>
          </cell>
          <cell r="C554" t="str">
            <v>C-20D</v>
          </cell>
          <cell r="D554">
            <v>1986</v>
          </cell>
          <cell r="E554" t="str">
            <v>US Navy</v>
          </cell>
          <cell r="F554">
            <v>18</v>
          </cell>
          <cell r="G554">
            <v>31578</v>
          </cell>
          <cell r="H554" t="str">
            <v>C-20D</v>
          </cell>
          <cell r="I554" t="str">
            <v>North America</v>
          </cell>
          <cell r="J554" t="str">
            <v>USA</v>
          </cell>
          <cell r="K554">
            <v>30863</v>
          </cell>
        </row>
        <row r="555">
          <cell r="A555" t="str">
            <v>In service</v>
          </cell>
          <cell r="B555" t="str">
            <v>Gulfstream Aerospace Gulfstream III</v>
          </cell>
          <cell r="C555" t="str">
            <v>C-20E</v>
          </cell>
          <cell r="D555">
            <v>1987</v>
          </cell>
          <cell r="E555" t="str">
            <v>US Army</v>
          </cell>
          <cell r="F555">
            <v>17</v>
          </cell>
          <cell r="G555">
            <v>32278</v>
          </cell>
          <cell r="H555" t="str">
            <v>C-20E</v>
          </cell>
          <cell r="I555" t="str">
            <v>North America</v>
          </cell>
          <cell r="J555" t="str">
            <v>USA</v>
          </cell>
          <cell r="K555">
            <v>31593</v>
          </cell>
        </row>
        <row r="556">
          <cell r="A556" t="str">
            <v>In service</v>
          </cell>
          <cell r="B556" t="str">
            <v>Gulfstream Aerospace Gulfstream III</v>
          </cell>
          <cell r="C556" t="str">
            <v>C-20E</v>
          </cell>
          <cell r="D556">
            <v>1987</v>
          </cell>
          <cell r="E556" t="str">
            <v>US Army</v>
          </cell>
          <cell r="F556">
            <v>17</v>
          </cell>
          <cell r="G556">
            <v>32278</v>
          </cell>
          <cell r="H556" t="str">
            <v>C-20E</v>
          </cell>
          <cell r="I556" t="str">
            <v>North America</v>
          </cell>
          <cell r="J556" t="str">
            <v>USA</v>
          </cell>
          <cell r="K556">
            <v>31593</v>
          </cell>
        </row>
        <row r="557">
          <cell r="A557" t="str">
            <v>In service</v>
          </cell>
          <cell r="B557" t="str">
            <v>Gulfstream Aerospace Gulfstream III</v>
          </cell>
          <cell r="C557" t="str">
            <v>Stage III Hushkit</v>
          </cell>
          <cell r="D557">
            <v>1980</v>
          </cell>
          <cell r="E557" t="str">
            <v>JT Aviation Corp</v>
          </cell>
          <cell r="F557">
            <v>24</v>
          </cell>
          <cell r="G557">
            <v>29408</v>
          </cell>
          <cell r="I557" t="str">
            <v>North America</v>
          </cell>
          <cell r="J557" t="str">
            <v>USA</v>
          </cell>
          <cell r="K557">
            <v>28671</v>
          </cell>
        </row>
        <row r="558">
          <cell r="A558" t="str">
            <v>In service</v>
          </cell>
          <cell r="B558" t="str">
            <v>Gulfstream Aerospace Gulfstream III</v>
          </cell>
          <cell r="C558" t="str">
            <v>Stage III Hushkit</v>
          </cell>
          <cell r="D558">
            <v>1982</v>
          </cell>
          <cell r="E558" t="str">
            <v>MTF Corp</v>
          </cell>
          <cell r="F558">
            <v>22</v>
          </cell>
          <cell r="G558">
            <v>30102</v>
          </cell>
          <cell r="I558" t="str">
            <v>North America</v>
          </cell>
          <cell r="J558" t="str">
            <v>USA</v>
          </cell>
          <cell r="K558">
            <v>29767</v>
          </cell>
        </row>
        <row r="559">
          <cell r="A559" t="str">
            <v>In service</v>
          </cell>
          <cell r="B559" t="str">
            <v>Gulfstream Aerospace Gulfstream III</v>
          </cell>
          <cell r="C559" t="str">
            <v>Stage III Hushkit</v>
          </cell>
          <cell r="D559">
            <v>1982</v>
          </cell>
          <cell r="E559" t="str">
            <v>International Jet Charter</v>
          </cell>
          <cell r="F559">
            <v>22</v>
          </cell>
          <cell r="G559">
            <v>30140</v>
          </cell>
          <cell r="I559" t="str">
            <v>North America</v>
          </cell>
          <cell r="J559" t="str">
            <v>USA</v>
          </cell>
          <cell r="K559">
            <v>29402</v>
          </cell>
        </row>
        <row r="560">
          <cell r="A560" t="str">
            <v>In service</v>
          </cell>
          <cell r="B560" t="str">
            <v>Gulfstream Aerospace Gulfstream III</v>
          </cell>
          <cell r="C560" t="str">
            <v>Stage III Hushkit</v>
          </cell>
          <cell r="D560">
            <v>1983</v>
          </cell>
          <cell r="E560" t="str">
            <v>Nu Skin USA Inc</v>
          </cell>
          <cell r="F560">
            <v>21</v>
          </cell>
          <cell r="G560">
            <v>30559</v>
          </cell>
          <cell r="I560" t="str">
            <v>North America</v>
          </cell>
          <cell r="J560" t="str">
            <v>USA</v>
          </cell>
          <cell r="K560">
            <v>29767</v>
          </cell>
        </row>
        <row r="561">
          <cell r="A561" t="str">
            <v>In service</v>
          </cell>
          <cell r="B561" t="str">
            <v>Gulfstream Aerospace Gulfstream III</v>
          </cell>
          <cell r="C561" t="str">
            <v>Stage III Hushkit</v>
          </cell>
          <cell r="D561">
            <v>1984</v>
          </cell>
          <cell r="E561" t="str">
            <v>C&amp;S Aviation Ltd</v>
          </cell>
          <cell r="F561">
            <v>20</v>
          </cell>
          <cell r="G561">
            <v>30833</v>
          </cell>
          <cell r="I561" t="str">
            <v>North America</v>
          </cell>
          <cell r="J561" t="str">
            <v>USA</v>
          </cell>
          <cell r="K561">
            <v>30497</v>
          </cell>
        </row>
        <row r="562">
          <cell r="A562" t="str">
            <v>In service</v>
          </cell>
          <cell r="B562" t="str">
            <v>Gulfstream Aerospace Gulfstream III</v>
          </cell>
          <cell r="C562" t="str">
            <v>Stage III Hushkit</v>
          </cell>
          <cell r="D562">
            <v>1984</v>
          </cell>
          <cell r="E562" t="str">
            <v>Monarch Flight Inc</v>
          </cell>
          <cell r="F562">
            <v>20</v>
          </cell>
          <cell r="G562">
            <v>30863</v>
          </cell>
          <cell r="I562" t="str">
            <v>North America</v>
          </cell>
          <cell r="J562" t="str">
            <v>USA</v>
          </cell>
          <cell r="K562">
            <v>30132</v>
          </cell>
        </row>
        <row r="563">
          <cell r="A563" t="str">
            <v>In service</v>
          </cell>
          <cell r="B563" t="str">
            <v>Gulfstream Aerospace Gulfstream III</v>
          </cell>
          <cell r="C563" t="str">
            <v>Stage III Hushkit</v>
          </cell>
          <cell r="D563">
            <v>1984</v>
          </cell>
          <cell r="E563" t="str">
            <v>Pacific Diversified Investments Inc</v>
          </cell>
          <cell r="F563">
            <v>20</v>
          </cell>
          <cell r="G563">
            <v>30925</v>
          </cell>
          <cell r="I563" t="str">
            <v>North America</v>
          </cell>
          <cell r="J563" t="str">
            <v>USA</v>
          </cell>
          <cell r="K563">
            <v>30497</v>
          </cell>
        </row>
        <row r="564">
          <cell r="A564" t="str">
            <v>In service</v>
          </cell>
          <cell r="B564" t="str">
            <v>Gulfstream Aerospace Gulfstream III</v>
          </cell>
          <cell r="C564" t="str">
            <v>Stage III Hushkit</v>
          </cell>
          <cell r="D564">
            <v>1985</v>
          </cell>
          <cell r="E564" t="str">
            <v>C&amp;S Aviation Ltd</v>
          </cell>
          <cell r="F564">
            <v>19</v>
          </cell>
          <cell r="G564">
            <v>31517</v>
          </cell>
          <cell r="I564" t="str">
            <v>North America</v>
          </cell>
          <cell r="J564" t="str">
            <v>USA</v>
          </cell>
          <cell r="K564">
            <v>30863</v>
          </cell>
        </row>
        <row r="565">
          <cell r="A565" t="str">
            <v>In service</v>
          </cell>
          <cell r="B565" t="str">
            <v>Gulfstream Aerospace Gulfstream IV</v>
          </cell>
          <cell r="C565" t="str">
            <v xml:space="preserve"> </v>
          </cell>
          <cell r="D565">
            <v>1985</v>
          </cell>
          <cell r="E565" t="str">
            <v>Emmis Operating Co</v>
          </cell>
          <cell r="F565">
            <v>19</v>
          </cell>
          <cell r="G565">
            <v>31396</v>
          </cell>
          <cell r="I565" t="str">
            <v>North America</v>
          </cell>
          <cell r="J565" t="str">
            <v>USA</v>
          </cell>
        </row>
        <row r="566">
          <cell r="A566" t="str">
            <v>In service</v>
          </cell>
          <cell r="B566" t="str">
            <v>Gulfstream Aerospace Gulfstream IV</v>
          </cell>
          <cell r="C566" t="str">
            <v xml:space="preserve"> </v>
          </cell>
          <cell r="D566">
            <v>1986</v>
          </cell>
          <cell r="E566" t="str">
            <v>Flight Options</v>
          </cell>
          <cell r="F566">
            <v>18</v>
          </cell>
          <cell r="G566">
            <v>31756</v>
          </cell>
          <cell r="I566" t="str">
            <v>North America</v>
          </cell>
          <cell r="J566" t="str">
            <v>USA</v>
          </cell>
          <cell r="K566">
            <v>30863</v>
          </cell>
        </row>
        <row r="567">
          <cell r="A567" t="str">
            <v>In service</v>
          </cell>
          <cell r="B567" t="str">
            <v>Gulfstream Aerospace Gulfstream IV</v>
          </cell>
          <cell r="C567" t="str">
            <v xml:space="preserve"> </v>
          </cell>
          <cell r="D567">
            <v>1986</v>
          </cell>
          <cell r="E567" t="str">
            <v>CNM Gulf Air LLC</v>
          </cell>
          <cell r="F567">
            <v>18</v>
          </cell>
          <cell r="G567">
            <v>31775</v>
          </cell>
          <cell r="I567" t="str">
            <v>North America</v>
          </cell>
          <cell r="J567" t="str">
            <v>USA</v>
          </cell>
          <cell r="K567">
            <v>30863</v>
          </cell>
        </row>
        <row r="568">
          <cell r="A568" t="str">
            <v>In service</v>
          </cell>
          <cell r="B568" t="str">
            <v>Gulfstream Aerospace Gulfstream IV</v>
          </cell>
          <cell r="C568" t="str">
            <v xml:space="preserve"> </v>
          </cell>
          <cell r="D568">
            <v>1986</v>
          </cell>
          <cell r="E568" t="str">
            <v>Yellowstone Aviation &amp; Marine LLC</v>
          </cell>
          <cell r="F568">
            <v>18</v>
          </cell>
          <cell r="G568">
            <v>31608</v>
          </cell>
          <cell r="I568" t="str">
            <v>North America</v>
          </cell>
          <cell r="J568" t="str">
            <v>USA</v>
          </cell>
          <cell r="K568">
            <v>30863</v>
          </cell>
        </row>
        <row r="569">
          <cell r="A569" t="str">
            <v>In service</v>
          </cell>
          <cell r="B569" t="str">
            <v>Gulfstream Aerospace Gulfstream IV</v>
          </cell>
          <cell r="C569" t="str">
            <v xml:space="preserve"> </v>
          </cell>
          <cell r="D569">
            <v>1986</v>
          </cell>
          <cell r="E569" t="str">
            <v>Paramount Aviation II LLC</v>
          </cell>
          <cell r="F569">
            <v>18</v>
          </cell>
          <cell r="G569">
            <v>31653</v>
          </cell>
          <cell r="I569" t="str">
            <v>North America</v>
          </cell>
          <cell r="J569" t="str">
            <v>USA</v>
          </cell>
          <cell r="K569">
            <v>31228</v>
          </cell>
        </row>
        <row r="570">
          <cell r="A570" t="str">
            <v>In service</v>
          </cell>
          <cell r="B570" t="str">
            <v>Gulfstream Aerospace Gulfstream IV</v>
          </cell>
          <cell r="C570" t="str">
            <v xml:space="preserve"> </v>
          </cell>
          <cell r="D570">
            <v>1986</v>
          </cell>
          <cell r="E570" t="str">
            <v>Guardian Gulfstream IV-B LLC</v>
          </cell>
          <cell r="F570">
            <v>18</v>
          </cell>
          <cell r="G570">
            <v>31700</v>
          </cell>
          <cell r="I570" t="str">
            <v>North America</v>
          </cell>
          <cell r="J570" t="str">
            <v>USA</v>
          </cell>
          <cell r="K570">
            <v>30863</v>
          </cell>
        </row>
        <row r="571">
          <cell r="A571" t="str">
            <v>In service</v>
          </cell>
          <cell r="B571" t="str">
            <v>Gulfstream Aerospace Gulfstream IV</v>
          </cell>
          <cell r="C571" t="str">
            <v xml:space="preserve"> </v>
          </cell>
          <cell r="D571">
            <v>1986</v>
          </cell>
          <cell r="E571" t="str">
            <v>COR Aviation LLC</v>
          </cell>
          <cell r="F571">
            <v>18</v>
          </cell>
          <cell r="G571">
            <v>31715</v>
          </cell>
          <cell r="I571" t="str">
            <v>North America</v>
          </cell>
          <cell r="J571" t="str">
            <v>USA</v>
          </cell>
          <cell r="K571">
            <v>30863</v>
          </cell>
        </row>
        <row r="572">
          <cell r="A572" t="str">
            <v>In service</v>
          </cell>
          <cell r="B572" t="str">
            <v>Gulfstream Aerospace Gulfstream IV</v>
          </cell>
          <cell r="C572" t="str">
            <v xml:space="preserve"> </v>
          </cell>
          <cell r="D572">
            <v>1986</v>
          </cell>
          <cell r="E572" t="str">
            <v>E I Aviation Inc</v>
          </cell>
          <cell r="F572">
            <v>18</v>
          </cell>
          <cell r="G572">
            <v>31749</v>
          </cell>
          <cell r="I572" t="str">
            <v>North America</v>
          </cell>
          <cell r="J572" t="str">
            <v>USA</v>
          </cell>
          <cell r="K572">
            <v>30863</v>
          </cell>
        </row>
        <row r="573">
          <cell r="A573" t="str">
            <v>In service</v>
          </cell>
          <cell r="B573" t="str">
            <v>Gulfstream Aerospace Gulfstream IV</v>
          </cell>
          <cell r="C573" t="str">
            <v xml:space="preserve"> </v>
          </cell>
          <cell r="D573">
            <v>1986</v>
          </cell>
          <cell r="E573" t="str">
            <v>Weeks Davies Aviation Inc</v>
          </cell>
          <cell r="F573">
            <v>18</v>
          </cell>
          <cell r="G573">
            <v>31957</v>
          </cell>
          <cell r="I573" t="str">
            <v>North America</v>
          </cell>
          <cell r="J573" t="str">
            <v>USA</v>
          </cell>
          <cell r="K573">
            <v>30863</v>
          </cell>
        </row>
        <row r="574">
          <cell r="A574" t="str">
            <v>In service</v>
          </cell>
          <cell r="B574" t="str">
            <v>Gulfstream Aerospace Gulfstream IV</v>
          </cell>
          <cell r="C574" t="str">
            <v xml:space="preserve"> </v>
          </cell>
          <cell r="D574">
            <v>1986</v>
          </cell>
          <cell r="E574" t="str">
            <v>Royal Netherlands Air Force</v>
          </cell>
          <cell r="F574">
            <v>18</v>
          </cell>
          <cell r="G574">
            <v>31766</v>
          </cell>
          <cell r="I574" t="str">
            <v>Europe</v>
          </cell>
          <cell r="J574" t="str">
            <v>Netherlands</v>
          </cell>
          <cell r="K574">
            <v>30863</v>
          </cell>
        </row>
        <row r="575">
          <cell r="A575" t="str">
            <v>In service</v>
          </cell>
          <cell r="B575" t="str">
            <v>Gulfstream Aerospace Gulfstream IV</v>
          </cell>
          <cell r="C575" t="str">
            <v xml:space="preserve"> </v>
          </cell>
          <cell r="D575">
            <v>1986</v>
          </cell>
          <cell r="E575" t="str">
            <v>Fairmont Aviation LLC</v>
          </cell>
          <cell r="F575">
            <v>18</v>
          </cell>
          <cell r="G575">
            <v>31787</v>
          </cell>
          <cell r="I575" t="str">
            <v>North America</v>
          </cell>
          <cell r="J575" t="str">
            <v>USA</v>
          </cell>
          <cell r="K575">
            <v>31228</v>
          </cell>
        </row>
        <row r="576">
          <cell r="A576" t="str">
            <v>In service</v>
          </cell>
          <cell r="B576" t="str">
            <v>Gulfstream Aerospace Gulfstream IV</v>
          </cell>
          <cell r="C576" t="str">
            <v xml:space="preserve"> </v>
          </cell>
          <cell r="D576">
            <v>1987</v>
          </cell>
          <cell r="E576" t="str">
            <v>Dubai Air Wing</v>
          </cell>
          <cell r="F576">
            <v>17</v>
          </cell>
          <cell r="G576">
            <v>32115</v>
          </cell>
          <cell r="I576" t="str">
            <v>Middle East</v>
          </cell>
          <cell r="J576" t="str">
            <v>United Arab Emirates</v>
          </cell>
          <cell r="K576">
            <v>30863</v>
          </cell>
        </row>
        <row r="577">
          <cell r="A577" t="str">
            <v>In service</v>
          </cell>
          <cell r="B577" t="str">
            <v>Gulfstream Aerospace Gulfstream IV</v>
          </cell>
          <cell r="C577" t="str">
            <v xml:space="preserve"> </v>
          </cell>
          <cell r="D577">
            <v>1987</v>
          </cell>
          <cell r="E577" t="str">
            <v>GDR Aviation LLC</v>
          </cell>
          <cell r="F577">
            <v>17</v>
          </cell>
          <cell r="G577">
            <v>31868</v>
          </cell>
          <cell r="I577" t="str">
            <v>North America</v>
          </cell>
          <cell r="J577" t="str">
            <v>USA</v>
          </cell>
          <cell r="K577">
            <v>31228</v>
          </cell>
        </row>
        <row r="578">
          <cell r="A578" t="str">
            <v>In service</v>
          </cell>
          <cell r="B578" t="str">
            <v>Gulfstream Aerospace Gulfstream IV</v>
          </cell>
          <cell r="C578" t="str">
            <v xml:space="preserve"> </v>
          </cell>
          <cell r="D578">
            <v>1987</v>
          </cell>
          <cell r="E578" t="str">
            <v>Air Logic Sales Inc</v>
          </cell>
          <cell r="F578">
            <v>17</v>
          </cell>
          <cell r="G578">
            <v>31883</v>
          </cell>
          <cell r="I578" t="str">
            <v>North America</v>
          </cell>
          <cell r="J578" t="str">
            <v>USA</v>
          </cell>
          <cell r="K578">
            <v>31228</v>
          </cell>
        </row>
        <row r="579">
          <cell r="A579" t="str">
            <v>In service</v>
          </cell>
          <cell r="B579" t="str">
            <v>Gulfstream Aerospace Gulfstream IV</v>
          </cell>
          <cell r="C579" t="str">
            <v xml:space="preserve"> </v>
          </cell>
          <cell r="D579">
            <v>1987</v>
          </cell>
          <cell r="E579" t="str">
            <v>Swedish Air Force</v>
          </cell>
          <cell r="F579">
            <v>17</v>
          </cell>
          <cell r="G579">
            <v>31888</v>
          </cell>
          <cell r="H579" t="str">
            <v>TP-102</v>
          </cell>
          <cell r="I579" t="str">
            <v>Europe</v>
          </cell>
          <cell r="J579" t="str">
            <v>Sweden</v>
          </cell>
          <cell r="K579">
            <v>31228</v>
          </cell>
        </row>
        <row r="580">
          <cell r="A580" t="str">
            <v>In service</v>
          </cell>
          <cell r="B580" t="str">
            <v>Gulfstream Aerospace Gulfstream IV</v>
          </cell>
          <cell r="C580" t="str">
            <v xml:space="preserve"> </v>
          </cell>
          <cell r="D580">
            <v>1987</v>
          </cell>
          <cell r="E580" t="str">
            <v>Bowen Family Homes Inc</v>
          </cell>
          <cell r="F580">
            <v>17</v>
          </cell>
          <cell r="G580">
            <v>32006</v>
          </cell>
          <cell r="I580" t="str">
            <v>North America</v>
          </cell>
          <cell r="J580" t="str">
            <v>USA</v>
          </cell>
          <cell r="K580">
            <v>31228</v>
          </cell>
        </row>
        <row r="581">
          <cell r="A581" t="str">
            <v>In service</v>
          </cell>
          <cell r="B581" t="str">
            <v>Gulfstream Aerospace Gulfstream IV</v>
          </cell>
          <cell r="C581" t="str">
            <v xml:space="preserve"> </v>
          </cell>
          <cell r="D581">
            <v>1987</v>
          </cell>
          <cell r="E581" t="str">
            <v>Guardian Industries Corp</v>
          </cell>
          <cell r="F581">
            <v>17</v>
          </cell>
          <cell r="G581">
            <v>31919</v>
          </cell>
          <cell r="I581" t="str">
            <v>North America</v>
          </cell>
          <cell r="J581" t="str">
            <v>USA</v>
          </cell>
          <cell r="K581">
            <v>31228</v>
          </cell>
        </row>
        <row r="582">
          <cell r="A582" t="str">
            <v>In service</v>
          </cell>
          <cell r="B582" t="str">
            <v>Gulfstream Aerospace Gulfstream IV</v>
          </cell>
          <cell r="C582" t="str">
            <v xml:space="preserve"> </v>
          </cell>
          <cell r="D582">
            <v>1987</v>
          </cell>
          <cell r="E582" t="str">
            <v>Zulu Enterprises/National 36 LLC/NJL Enterprises</v>
          </cell>
          <cell r="F582">
            <v>17</v>
          </cell>
          <cell r="G582">
            <v>32203</v>
          </cell>
          <cell r="I582" t="str">
            <v>North America</v>
          </cell>
          <cell r="J582" t="str">
            <v>USA</v>
          </cell>
          <cell r="K582">
            <v>31593</v>
          </cell>
        </row>
        <row r="583">
          <cell r="A583" t="str">
            <v>In service</v>
          </cell>
          <cell r="B583" t="str">
            <v>Gulfstream Aerospace Gulfstream IV</v>
          </cell>
          <cell r="C583" t="str">
            <v xml:space="preserve"> </v>
          </cell>
          <cell r="D583">
            <v>1987</v>
          </cell>
          <cell r="E583" t="str">
            <v>Summit Aviation Inc &amp; Quest Software Inc</v>
          </cell>
          <cell r="F583">
            <v>17</v>
          </cell>
          <cell r="G583">
            <v>31992</v>
          </cell>
          <cell r="I583" t="str">
            <v>North America</v>
          </cell>
          <cell r="J583" t="str">
            <v>USA</v>
          </cell>
          <cell r="K583">
            <v>31228</v>
          </cell>
        </row>
        <row r="584">
          <cell r="A584" t="str">
            <v>In service</v>
          </cell>
          <cell r="B584" t="str">
            <v>Gulfstream Aerospace Gulfstream IV</v>
          </cell>
          <cell r="C584" t="str">
            <v xml:space="preserve"> </v>
          </cell>
          <cell r="D584">
            <v>1987</v>
          </cell>
          <cell r="E584" t="str">
            <v>Government of Ivory Coast</v>
          </cell>
          <cell r="F584">
            <v>17</v>
          </cell>
          <cell r="G584">
            <v>32126</v>
          </cell>
          <cell r="I584" t="str">
            <v>Africa</v>
          </cell>
          <cell r="J584" t="str">
            <v>Ivory Coast</v>
          </cell>
          <cell r="K584">
            <v>31228</v>
          </cell>
        </row>
        <row r="585">
          <cell r="A585" t="str">
            <v>In service</v>
          </cell>
          <cell r="B585" t="str">
            <v>Gulfstream Aerospace Gulfstream IV</v>
          </cell>
          <cell r="C585" t="str">
            <v xml:space="preserve"> </v>
          </cell>
          <cell r="D585">
            <v>1987</v>
          </cell>
          <cell r="E585" t="str">
            <v>The Air Group Inc</v>
          </cell>
          <cell r="F585">
            <v>17</v>
          </cell>
          <cell r="G585">
            <v>31957</v>
          </cell>
          <cell r="I585" t="str">
            <v>North America</v>
          </cell>
          <cell r="J585" t="str">
            <v>USA</v>
          </cell>
          <cell r="K585">
            <v>31228</v>
          </cell>
        </row>
        <row r="586">
          <cell r="A586" t="str">
            <v>In service</v>
          </cell>
          <cell r="B586" t="str">
            <v>Gulfstream Aerospace Gulfstream IV</v>
          </cell>
          <cell r="C586" t="str">
            <v xml:space="preserve"> </v>
          </cell>
          <cell r="D586">
            <v>1987</v>
          </cell>
          <cell r="E586" t="str">
            <v>Eli Lilly &amp; Co</v>
          </cell>
          <cell r="F586">
            <v>17</v>
          </cell>
          <cell r="G586">
            <v>32134</v>
          </cell>
          <cell r="I586" t="str">
            <v>North America</v>
          </cell>
          <cell r="J586" t="str">
            <v>USA</v>
          </cell>
          <cell r="K586">
            <v>31228</v>
          </cell>
        </row>
        <row r="587">
          <cell r="A587" t="str">
            <v>In service</v>
          </cell>
          <cell r="B587" t="str">
            <v>Gulfstream Aerospace Gulfstream IV</v>
          </cell>
          <cell r="C587" t="str">
            <v xml:space="preserve"> </v>
          </cell>
          <cell r="D587">
            <v>1987</v>
          </cell>
          <cell r="E587" t="str">
            <v>Paul Davril Inc</v>
          </cell>
          <cell r="F587">
            <v>17</v>
          </cell>
          <cell r="G587">
            <v>32233</v>
          </cell>
          <cell r="I587" t="str">
            <v>North America</v>
          </cell>
          <cell r="J587" t="str">
            <v>USA</v>
          </cell>
          <cell r="K587">
            <v>31228</v>
          </cell>
        </row>
        <row r="588">
          <cell r="A588" t="str">
            <v>In service</v>
          </cell>
          <cell r="B588" t="str">
            <v>Gulfstream Aerospace Gulfstream IV</v>
          </cell>
          <cell r="C588" t="str">
            <v xml:space="preserve"> </v>
          </cell>
          <cell r="D588">
            <v>1987</v>
          </cell>
          <cell r="E588" t="str">
            <v>EFB Aviation LLC</v>
          </cell>
          <cell r="F588">
            <v>17</v>
          </cell>
          <cell r="G588">
            <v>31993</v>
          </cell>
          <cell r="I588" t="str">
            <v>North America</v>
          </cell>
          <cell r="J588" t="str">
            <v>USA</v>
          </cell>
          <cell r="K588">
            <v>30863</v>
          </cell>
        </row>
        <row r="589">
          <cell r="A589" t="str">
            <v>In service</v>
          </cell>
          <cell r="B589" t="str">
            <v>Gulfstream Aerospace Gulfstream IV</v>
          </cell>
          <cell r="C589" t="str">
            <v xml:space="preserve"> </v>
          </cell>
          <cell r="D589">
            <v>1987</v>
          </cell>
          <cell r="E589" t="str">
            <v>Wings Aviation International Inc</v>
          </cell>
          <cell r="F589">
            <v>17</v>
          </cell>
          <cell r="G589">
            <v>32016</v>
          </cell>
          <cell r="I589" t="str">
            <v>North America</v>
          </cell>
          <cell r="J589" t="str">
            <v>USA</v>
          </cell>
          <cell r="K589">
            <v>31228</v>
          </cell>
        </row>
        <row r="590">
          <cell r="A590" t="str">
            <v>In service</v>
          </cell>
          <cell r="B590" t="str">
            <v>Gulfstream Aerospace Gulfstream IV</v>
          </cell>
          <cell r="C590" t="str">
            <v xml:space="preserve"> </v>
          </cell>
          <cell r="D590">
            <v>1987</v>
          </cell>
          <cell r="E590" t="str">
            <v>B-Jet LLC</v>
          </cell>
          <cell r="F590">
            <v>17</v>
          </cell>
          <cell r="G590">
            <v>32024</v>
          </cell>
          <cell r="I590" t="str">
            <v>North America</v>
          </cell>
          <cell r="J590" t="str">
            <v>USA</v>
          </cell>
          <cell r="K590">
            <v>31228</v>
          </cell>
        </row>
        <row r="591">
          <cell r="A591" t="str">
            <v>In service</v>
          </cell>
          <cell r="B591" t="str">
            <v>Gulfstream Aerospace Gulfstream IV</v>
          </cell>
          <cell r="C591" t="str">
            <v xml:space="preserve"> </v>
          </cell>
          <cell r="D591">
            <v>1987</v>
          </cell>
          <cell r="E591" t="str">
            <v>Harbour Group Industries Inc</v>
          </cell>
          <cell r="F591">
            <v>17</v>
          </cell>
          <cell r="G591">
            <v>32055</v>
          </cell>
          <cell r="I591" t="str">
            <v>North America</v>
          </cell>
          <cell r="J591" t="str">
            <v>USA</v>
          </cell>
          <cell r="K591">
            <v>31228</v>
          </cell>
        </row>
        <row r="592">
          <cell r="A592" t="str">
            <v>In service</v>
          </cell>
          <cell r="B592" t="str">
            <v>Gulfstream Aerospace Gulfstream IV</v>
          </cell>
          <cell r="C592" t="str">
            <v xml:space="preserve"> </v>
          </cell>
          <cell r="D592">
            <v>1987</v>
          </cell>
          <cell r="E592" t="str">
            <v>Government of Turkey</v>
          </cell>
          <cell r="F592">
            <v>17</v>
          </cell>
          <cell r="G592">
            <v>32286</v>
          </cell>
          <cell r="I592" t="str">
            <v>Europe</v>
          </cell>
          <cell r="J592" t="str">
            <v>Turkey</v>
          </cell>
          <cell r="K592">
            <v>31593</v>
          </cell>
        </row>
        <row r="593">
          <cell r="A593" t="str">
            <v>In service</v>
          </cell>
          <cell r="B593" t="str">
            <v>Gulfstream Aerospace Gulfstream IV</v>
          </cell>
          <cell r="C593" t="str">
            <v xml:space="preserve"> </v>
          </cell>
          <cell r="D593">
            <v>1987</v>
          </cell>
          <cell r="E593" t="str">
            <v>SAH Enterprises Inc</v>
          </cell>
          <cell r="F593">
            <v>17</v>
          </cell>
          <cell r="G593">
            <v>32134</v>
          </cell>
          <cell r="I593" t="str">
            <v>North America</v>
          </cell>
          <cell r="J593" t="str">
            <v>USA</v>
          </cell>
          <cell r="K593">
            <v>31228</v>
          </cell>
        </row>
        <row r="594">
          <cell r="A594" t="str">
            <v>In service</v>
          </cell>
          <cell r="B594" t="str">
            <v>Gulfstream Aerospace Gulfstream IV</v>
          </cell>
          <cell r="C594" t="str">
            <v xml:space="preserve"> </v>
          </cell>
          <cell r="D594">
            <v>1987</v>
          </cell>
          <cell r="E594" t="str">
            <v>Specialised Transportation (Bermuda) Ltd</v>
          </cell>
          <cell r="F594">
            <v>17</v>
          </cell>
          <cell r="G594">
            <v>32078</v>
          </cell>
          <cell r="I594" t="str">
            <v>Latin America and Caribbean</v>
          </cell>
          <cell r="J594" t="str">
            <v>Bermuda</v>
          </cell>
          <cell r="K594">
            <v>31228</v>
          </cell>
        </row>
        <row r="595">
          <cell r="A595" t="str">
            <v>In service</v>
          </cell>
          <cell r="B595" t="str">
            <v>Gulfstream Aerospace Gulfstream IV</v>
          </cell>
          <cell r="C595" t="str">
            <v xml:space="preserve"> </v>
          </cell>
          <cell r="D595">
            <v>1987</v>
          </cell>
          <cell r="E595" t="str">
            <v>WNP Aviation Inc</v>
          </cell>
          <cell r="F595">
            <v>17</v>
          </cell>
          <cell r="G595">
            <v>32188</v>
          </cell>
          <cell r="I595" t="str">
            <v>North America</v>
          </cell>
          <cell r="J595" t="str">
            <v>USA</v>
          </cell>
          <cell r="K595">
            <v>31593</v>
          </cell>
        </row>
        <row r="596">
          <cell r="A596" t="str">
            <v>In service</v>
          </cell>
          <cell r="B596" t="str">
            <v>Gulfstream Aerospace Gulfstream IV</v>
          </cell>
          <cell r="C596" t="str">
            <v xml:space="preserve"> </v>
          </cell>
          <cell r="D596">
            <v>1987</v>
          </cell>
          <cell r="E596" t="str">
            <v>Saudi Arabian Airlines</v>
          </cell>
          <cell r="F596">
            <v>17</v>
          </cell>
          <cell r="G596">
            <v>32827</v>
          </cell>
          <cell r="I596" t="str">
            <v>Middle East</v>
          </cell>
          <cell r="J596" t="str">
            <v>Saudi Arabia</v>
          </cell>
          <cell r="K596">
            <v>31593</v>
          </cell>
        </row>
        <row r="597">
          <cell r="A597" t="str">
            <v>In service</v>
          </cell>
          <cell r="B597" t="str">
            <v>Gulfstream Aerospace Gulfstream IV</v>
          </cell>
          <cell r="C597" t="str">
            <v xml:space="preserve"> </v>
          </cell>
          <cell r="D597">
            <v>1987</v>
          </cell>
          <cell r="E597" t="str">
            <v>Netjets Middle East</v>
          </cell>
          <cell r="F597">
            <v>17</v>
          </cell>
          <cell r="G597">
            <v>31847</v>
          </cell>
          <cell r="I597" t="str">
            <v>Middle East</v>
          </cell>
          <cell r="J597" t="str">
            <v>Saudi Arabia</v>
          </cell>
          <cell r="K597">
            <v>31228</v>
          </cell>
        </row>
        <row r="598">
          <cell r="A598" t="str">
            <v>In service</v>
          </cell>
          <cell r="B598" t="str">
            <v>Gulfstream Aerospace Gulfstream IV</v>
          </cell>
          <cell r="C598" t="str">
            <v xml:space="preserve"> </v>
          </cell>
          <cell r="D598">
            <v>1987</v>
          </cell>
          <cell r="E598" t="str">
            <v>Las Vegas Jet LLC</v>
          </cell>
          <cell r="F598">
            <v>17</v>
          </cell>
          <cell r="G598">
            <v>32278</v>
          </cell>
          <cell r="I598" t="str">
            <v>North America</v>
          </cell>
          <cell r="J598" t="str">
            <v>USA</v>
          </cell>
          <cell r="K598">
            <v>31593</v>
          </cell>
        </row>
        <row r="599">
          <cell r="A599" t="str">
            <v>In service</v>
          </cell>
          <cell r="B599" t="str">
            <v>Gulfstream Aerospace Gulfstream IV</v>
          </cell>
          <cell r="C599" t="str">
            <v xml:space="preserve"> </v>
          </cell>
          <cell r="D599">
            <v>1987</v>
          </cell>
          <cell r="E599" t="str">
            <v>G IV Leasing LLC</v>
          </cell>
          <cell r="F599">
            <v>17</v>
          </cell>
          <cell r="G599">
            <v>33527</v>
          </cell>
          <cell r="I599" t="str">
            <v>North America</v>
          </cell>
          <cell r="J599" t="str">
            <v>USA</v>
          </cell>
        </row>
        <row r="600">
          <cell r="A600" t="str">
            <v>In service</v>
          </cell>
          <cell r="B600" t="str">
            <v>Gulfstream Aerospace Gulfstream IV</v>
          </cell>
          <cell r="C600" t="str">
            <v xml:space="preserve"> </v>
          </cell>
          <cell r="D600">
            <v>1988</v>
          </cell>
          <cell r="E600" t="str">
            <v>Saudi Arabian Airlines</v>
          </cell>
          <cell r="F600">
            <v>16</v>
          </cell>
          <cell r="G600">
            <v>32777</v>
          </cell>
          <cell r="I600" t="str">
            <v>Middle East</v>
          </cell>
          <cell r="J600" t="str">
            <v>Saudi Arabia</v>
          </cell>
          <cell r="K600">
            <v>31593</v>
          </cell>
        </row>
        <row r="601">
          <cell r="A601" t="str">
            <v>In service</v>
          </cell>
          <cell r="B601" t="str">
            <v>Gulfstream Aerospace Gulfstream IV</v>
          </cell>
          <cell r="C601" t="str">
            <v xml:space="preserve"> </v>
          </cell>
          <cell r="D601">
            <v>1987</v>
          </cell>
          <cell r="E601" t="str">
            <v>Ashton Capital Corp</v>
          </cell>
          <cell r="F601">
            <v>17</v>
          </cell>
          <cell r="G601">
            <v>32160</v>
          </cell>
          <cell r="I601" t="str">
            <v>North America</v>
          </cell>
          <cell r="J601" t="str">
            <v>USA</v>
          </cell>
          <cell r="K601">
            <v>31228</v>
          </cell>
        </row>
        <row r="602">
          <cell r="A602" t="str">
            <v>In service</v>
          </cell>
          <cell r="B602" t="str">
            <v>Gulfstream Aerospace Gulfstream IV</v>
          </cell>
          <cell r="C602" t="str">
            <v xml:space="preserve"> </v>
          </cell>
          <cell r="D602">
            <v>1987</v>
          </cell>
          <cell r="E602" t="str">
            <v>Royal Saudi Arabian Air Force</v>
          </cell>
          <cell r="F602">
            <v>17</v>
          </cell>
          <cell r="G602">
            <v>32309</v>
          </cell>
          <cell r="I602" t="str">
            <v>Middle East</v>
          </cell>
          <cell r="J602" t="str">
            <v>Saudi Arabia</v>
          </cell>
          <cell r="K602">
            <v>31593</v>
          </cell>
        </row>
        <row r="603">
          <cell r="A603" t="str">
            <v>In service</v>
          </cell>
          <cell r="B603" t="str">
            <v>Gulfstream Aerospace Gulfstream IV</v>
          </cell>
          <cell r="C603" t="str">
            <v xml:space="preserve"> </v>
          </cell>
          <cell r="D603">
            <v>1987</v>
          </cell>
          <cell r="E603" t="str">
            <v>Saudi Arabian Airlines</v>
          </cell>
          <cell r="F603">
            <v>17</v>
          </cell>
          <cell r="G603">
            <v>32827</v>
          </cell>
          <cell r="I603" t="str">
            <v>Middle East</v>
          </cell>
          <cell r="J603" t="str">
            <v>Saudi Arabia</v>
          </cell>
          <cell r="K603">
            <v>31593</v>
          </cell>
        </row>
        <row r="604">
          <cell r="A604" t="str">
            <v>In service</v>
          </cell>
          <cell r="B604" t="str">
            <v>Gulfstream Aerospace Gulfstream IV</v>
          </cell>
          <cell r="C604" t="str">
            <v xml:space="preserve"> </v>
          </cell>
          <cell r="D604">
            <v>1988</v>
          </cell>
          <cell r="E604" t="str">
            <v>HUALALAI 1 LLC</v>
          </cell>
          <cell r="F604">
            <v>16</v>
          </cell>
          <cell r="G604">
            <v>32335</v>
          </cell>
          <cell r="I604" t="str">
            <v>North America</v>
          </cell>
          <cell r="J604" t="str">
            <v>USA</v>
          </cell>
          <cell r="K604">
            <v>31593</v>
          </cell>
        </row>
        <row r="605">
          <cell r="A605" t="str">
            <v>In service</v>
          </cell>
          <cell r="B605" t="str">
            <v>Gulfstream Aerospace Gulfstream IV</v>
          </cell>
          <cell r="C605" t="str">
            <v xml:space="preserve"> </v>
          </cell>
          <cell r="D605">
            <v>1987</v>
          </cell>
          <cell r="E605" t="str">
            <v>GR1040 Inc</v>
          </cell>
          <cell r="F605">
            <v>17</v>
          </cell>
          <cell r="G605">
            <v>32188</v>
          </cell>
          <cell r="I605" t="str">
            <v>North America</v>
          </cell>
          <cell r="J605" t="str">
            <v>USA</v>
          </cell>
          <cell r="K605">
            <v>31593</v>
          </cell>
        </row>
        <row r="606">
          <cell r="A606" t="str">
            <v>In service</v>
          </cell>
          <cell r="B606" t="str">
            <v>Gulfstream Aerospace Gulfstream IV</v>
          </cell>
          <cell r="C606" t="str">
            <v xml:space="preserve"> </v>
          </cell>
          <cell r="D606">
            <v>1987</v>
          </cell>
          <cell r="E606" t="str">
            <v>New World Jet Corp</v>
          </cell>
          <cell r="F606">
            <v>17</v>
          </cell>
          <cell r="G606">
            <v>32188</v>
          </cell>
          <cell r="I606" t="str">
            <v>North America</v>
          </cell>
          <cell r="J606" t="str">
            <v>USA</v>
          </cell>
          <cell r="K606">
            <v>31593</v>
          </cell>
        </row>
        <row r="607">
          <cell r="A607" t="str">
            <v>In service</v>
          </cell>
          <cell r="B607" t="str">
            <v>Gulfstream Aerospace Gulfstream IV</v>
          </cell>
          <cell r="C607" t="str">
            <v xml:space="preserve"> </v>
          </cell>
          <cell r="D607">
            <v>1987</v>
          </cell>
          <cell r="E607" t="str">
            <v>Rutter Aviation LLC</v>
          </cell>
          <cell r="F607">
            <v>17</v>
          </cell>
          <cell r="G607">
            <v>34288</v>
          </cell>
          <cell r="I607" t="str">
            <v>North America</v>
          </cell>
          <cell r="J607" t="str">
            <v>USA</v>
          </cell>
        </row>
        <row r="608">
          <cell r="A608" t="str">
            <v>In service</v>
          </cell>
          <cell r="B608" t="str">
            <v>Gulfstream Aerospace Gulfstream IV</v>
          </cell>
          <cell r="C608" t="str">
            <v xml:space="preserve"> </v>
          </cell>
          <cell r="D608">
            <v>1988</v>
          </cell>
          <cell r="E608" t="str">
            <v>Government of Turkey</v>
          </cell>
          <cell r="F608">
            <v>16</v>
          </cell>
          <cell r="G608">
            <v>32378</v>
          </cell>
          <cell r="I608" t="str">
            <v>Europe</v>
          </cell>
          <cell r="J608" t="str">
            <v>Turkey</v>
          </cell>
          <cell r="K608">
            <v>31593</v>
          </cell>
        </row>
        <row r="609">
          <cell r="A609" t="str">
            <v>In service</v>
          </cell>
          <cell r="B609" t="str">
            <v>Gulfstream Aerospace Gulfstream IV</v>
          </cell>
          <cell r="C609" t="str">
            <v xml:space="preserve"> </v>
          </cell>
          <cell r="D609">
            <v>1988</v>
          </cell>
          <cell r="E609" t="str">
            <v>Timberland Aviation Inc</v>
          </cell>
          <cell r="F609">
            <v>16</v>
          </cell>
          <cell r="G609">
            <v>32380</v>
          </cell>
          <cell r="I609" t="str">
            <v>North America</v>
          </cell>
          <cell r="J609" t="str">
            <v>USA</v>
          </cell>
          <cell r="K609">
            <v>31593</v>
          </cell>
        </row>
        <row r="610">
          <cell r="A610" t="str">
            <v>In service</v>
          </cell>
          <cell r="B610" t="str">
            <v>Gulfstream Aerospace Gulfstream IV</v>
          </cell>
          <cell r="C610" t="str">
            <v xml:space="preserve"> </v>
          </cell>
          <cell r="D610">
            <v>1987</v>
          </cell>
          <cell r="E610" t="str">
            <v>Mariner Management LLC</v>
          </cell>
          <cell r="F610">
            <v>17</v>
          </cell>
          <cell r="G610">
            <v>32204</v>
          </cell>
          <cell r="I610" t="str">
            <v>North America</v>
          </cell>
          <cell r="J610" t="str">
            <v>USA</v>
          </cell>
          <cell r="K610">
            <v>31593</v>
          </cell>
        </row>
        <row r="611">
          <cell r="A611" t="str">
            <v>In service</v>
          </cell>
          <cell r="B611" t="str">
            <v>Gulfstream Aerospace Gulfstream IV</v>
          </cell>
          <cell r="C611" t="str">
            <v xml:space="preserve"> </v>
          </cell>
          <cell r="D611">
            <v>1988</v>
          </cell>
          <cell r="E611" t="str">
            <v>KaiserAir Inc</v>
          </cell>
          <cell r="F611">
            <v>16</v>
          </cell>
          <cell r="G611">
            <v>32552</v>
          </cell>
          <cell r="I611" t="str">
            <v>North America</v>
          </cell>
          <cell r="J611" t="str">
            <v>USA</v>
          </cell>
          <cell r="K611">
            <v>31958</v>
          </cell>
        </row>
        <row r="612">
          <cell r="A612" t="str">
            <v>In service</v>
          </cell>
          <cell r="B612" t="str">
            <v>Gulfstream Aerospace Gulfstream IV</v>
          </cell>
          <cell r="C612" t="str">
            <v xml:space="preserve"> </v>
          </cell>
          <cell r="D612">
            <v>1988</v>
          </cell>
          <cell r="E612" t="str">
            <v>Government of Egypt</v>
          </cell>
          <cell r="F612">
            <v>16</v>
          </cell>
          <cell r="G612">
            <v>32462</v>
          </cell>
          <cell r="I612" t="str">
            <v>Africa</v>
          </cell>
          <cell r="J612" t="str">
            <v>Egypt</v>
          </cell>
          <cell r="K612">
            <v>31593</v>
          </cell>
        </row>
        <row r="613">
          <cell r="A613" t="str">
            <v>In service</v>
          </cell>
          <cell r="B613" t="str">
            <v>Gulfstream Aerospace Gulfstream IV</v>
          </cell>
          <cell r="C613" t="str">
            <v xml:space="preserve"> </v>
          </cell>
          <cell r="D613">
            <v>1988</v>
          </cell>
          <cell r="E613" t="str">
            <v>113CS LLC</v>
          </cell>
          <cell r="F613">
            <v>16</v>
          </cell>
          <cell r="G613">
            <v>32519</v>
          </cell>
          <cell r="I613" t="str">
            <v>North America</v>
          </cell>
          <cell r="J613" t="str">
            <v>USA</v>
          </cell>
          <cell r="K613">
            <v>31958</v>
          </cell>
        </row>
        <row r="614">
          <cell r="A614" t="str">
            <v>In service</v>
          </cell>
          <cell r="B614" t="str">
            <v>Gulfstream Aerospace Gulfstream IV</v>
          </cell>
          <cell r="C614" t="str">
            <v xml:space="preserve"> </v>
          </cell>
          <cell r="D614">
            <v>1987</v>
          </cell>
          <cell r="E614" t="str">
            <v>ITT Flight Operations Inc</v>
          </cell>
          <cell r="F614">
            <v>17</v>
          </cell>
          <cell r="G614">
            <v>32233</v>
          </cell>
          <cell r="I614" t="str">
            <v>North America</v>
          </cell>
          <cell r="J614" t="str">
            <v>USA</v>
          </cell>
          <cell r="K614">
            <v>31228</v>
          </cell>
        </row>
        <row r="615">
          <cell r="A615" t="str">
            <v>In service</v>
          </cell>
          <cell r="B615" t="str">
            <v>Gulfstream Aerospace Gulfstream IV</v>
          </cell>
          <cell r="C615" t="str">
            <v xml:space="preserve"> </v>
          </cell>
          <cell r="D615">
            <v>1987</v>
          </cell>
          <cell r="E615" t="str">
            <v>Aero Air LLC</v>
          </cell>
          <cell r="F615">
            <v>17</v>
          </cell>
          <cell r="G615">
            <v>32259</v>
          </cell>
          <cell r="I615" t="str">
            <v>North America</v>
          </cell>
          <cell r="J615" t="str">
            <v>USA</v>
          </cell>
          <cell r="K615">
            <v>31593</v>
          </cell>
        </row>
        <row r="616">
          <cell r="A616" t="str">
            <v>In service</v>
          </cell>
          <cell r="B616" t="str">
            <v>Gulfstream Aerospace Gulfstream IV</v>
          </cell>
          <cell r="C616" t="str">
            <v xml:space="preserve"> </v>
          </cell>
          <cell r="D616">
            <v>1988</v>
          </cell>
          <cell r="E616" t="str">
            <v>Mirage Leasing Corp</v>
          </cell>
          <cell r="F616">
            <v>16</v>
          </cell>
          <cell r="G616">
            <v>32741</v>
          </cell>
          <cell r="I616" t="str">
            <v>North America</v>
          </cell>
          <cell r="J616" t="str">
            <v>USA</v>
          </cell>
          <cell r="K616">
            <v>31958</v>
          </cell>
        </row>
        <row r="617">
          <cell r="A617" t="str">
            <v>In service</v>
          </cell>
          <cell r="B617" t="str">
            <v>Gulfstream Aerospace Gulfstream IV</v>
          </cell>
          <cell r="C617" t="str">
            <v xml:space="preserve"> </v>
          </cell>
          <cell r="D617">
            <v>1988</v>
          </cell>
          <cell r="E617" t="str">
            <v>JM Family Enterprises Inc</v>
          </cell>
          <cell r="F617">
            <v>16</v>
          </cell>
          <cell r="G617">
            <v>32278</v>
          </cell>
          <cell r="I617" t="str">
            <v>North America</v>
          </cell>
          <cell r="J617" t="str">
            <v>USA</v>
          </cell>
          <cell r="K617">
            <v>31593</v>
          </cell>
        </row>
        <row r="618">
          <cell r="A618" t="str">
            <v>In service</v>
          </cell>
          <cell r="B618" t="str">
            <v>Gulfstream Aerospace Gulfstream IV</v>
          </cell>
          <cell r="C618" t="str">
            <v xml:space="preserve"> </v>
          </cell>
          <cell r="D618">
            <v>1988</v>
          </cell>
          <cell r="E618" t="str">
            <v>JBNB Falcon LLC</v>
          </cell>
          <cell r="F618">
            <v>16</v>
          </cell>
          <cell r="G618">
            <v>32275</v>
          </cell>
          <cell r="I618" t="str">
            <v>North America</v>
          </cell>
          <cell r="J618" t="str">
            <v>USA</v>
          </cell>
          <cell r="K618">
            <v>31593</v>
          </cell>
        </row>
        <row r="619">
          <cell r="A619" t="str">
            <v>In service</v>
          </cell>
          <cell r="B619" t="str">
            <v>Gulfstream Aerospace Gulfstream IV</v>
          </cell>
          <cell r="C619" t="str">
            <v xml:space="preserve"> </v>
          </cell>
          <cell r="D619">
            <v>1988</v>
          </cell>
          <cell r="E619" t="str">
            <v>Netjets Middle East</v>
          </cell>
          <cell r="F619">
            <v>16</v>
          </cell>
          <cell r="G619">
            <v>32731</v>
          </cell>
          <cell r="I619" t="str">
            <v>Middle East</v>
          </cell>
          <cell r="J619" t="str">
            <v>Saudi Arabia</v>
          </cell>
          <cell r="K619">
            <v>31958</v>
          </cell>
        </row>
        <row r="620">
          <cell r="A620" t="str">
            <v>In service</v>
          </cell>
          <cell r="B620" t="str">
            <v>Gulfstream Aerospace Gulfstream IV</v>
          </cell>
          <cell r="C620" t="str">
            <v xml:space="preserve"> </v>
          </cell>
          <cell r="D620">
            <v>1988</v>
          </cell>
          <cell r="E620" t="str">
            <v>STN Aviation Inc</v>
          </cell>
          <cell r="F620">
            <v>16</v>
          </cell>
          <cell r="G620">
            <v>32294</v>
          </cell>
          <cell r="I620" t="str">
            <v>North America</v>
          </cell>
          <cell r="J620" t="str">
            <v>USA</v>
          </cell>
          <cell r="K620">
            <v>31228</v>
          </cell>
        </row>
        <row r="621">
          <cell r="A621" t="str">
            <v>In service</v>
          </cell>
          <cell r="B621" t="str">
            <v>Gulfstream Aerospace Gulfstream IV</v>
          </cell>
          <cell r="C621" t="str">
            <v xml:space="preserve"> </v>
          </cell>
          <cell r="D621">
            <v>1988</v>
          </cell>
          <cell r="E621" t="str">
            <v>Aircraft Holdings LLC</v>
          </cell>
          <cell r="F621">
            <v>16</v>
          </cell>
          <cell r="G621">
            <v>32297</v>
          </cell>
          <cell r="I621" t="str">
            <v>North America</v>
          </cell>
          <cell r="J621" t="str">
            <v>USA</v>
          </cell>
          <cell r="K621">
            <v>31228</v>
          </cell>
        </row>
        <row r="622">
          <cell r="A622" t="str">
            <v>In service</v>
          </cell>
          <cell r="B622" t="str">
            <v>Gulfstream Aerospace Gulfstream IV</v>
          </cell>
          <cell r="C622" t="str">
            <v xml:space="preserve"> </v>
          </cell>
          <cell r="D622">
            <v>1989</v>
          </cell>
          <cell r="E622" t="str">
            <v>Levitical Equipment &amp; Leasing LLC</v>
          </cell>
          <cell r="F622">
            <v>15</v>
          </cell>
          <cell r="G622">
            <v>32626</v>
          </cell>
          <cell r="I622" t="str">
            <v>North America</v>
          </cell>
          <cell r="J622" t="str">
            <v>USA</v>
          </cell>
          <cell r="K622">
            <v>31958</v>
          </cell>
        </row>
        <row r="623">
          <cell r="A623" t="str">
            <v>In service</v>
          </cell>
          <cell r="B623" t="str">
            <v>Gulfstream Aerospace Gulfstream IV</v>
          </cell>
          <cell r="C623" t="str">
            <v xml:space="preserve"> </v>
          </cell>
          <cell r="D623">
            <v>1988</v>
          </cell>
          <cell r="E623" t="str">
            <v>Reliance Transport &amp; Travel LT</v>
          </cell>
          <cell r="F623">
            <v>16</v>
          </cell>
          <cell r="G623">
            <v>32463</v>
          </cell>
          <cell r="I623" t="str">
            <v>Asia</v>
          </cell>
          <cell r="J623" t="str">
            <v>India</v>
          </cell>
          <cell r="K623">
            <v>31593</v>
          </cell>
        </row>
        <row r="624">
          <cell r="A624" t="str">
            <v>In service</v>
          </cell>
          <cell r="B624" t="str">
            <v>Gulfstream Aerospace Gulfstream IV</v>
          </cell>
          <cell r="C624" t="str">
            <v xml:space="preserve"> </v>
          </cell>
          <cell r="D624">
            <v>1988</v>
          </cell>
          <cell r="E624" t="str">
            <v>Servair</v>
          </cell>
          <cell r="F624">
            <v>16</v>
          </cell>
          <cell r="G624">
            <v>32330</v>
          </cell>
          <cell r="I624" t="str">
            <v>Europe</v>
          </cell>
          <cell r="J624" t="str">
            <v>Switzerland</v>
          </cell>
          <cell r="K624">
            <v>31958</v>
          </cell>
        </row>
        <row r="625">
          <cell r="A625" t="str">
            <v>In service</v>
          </cell>
          <cell r="B625" t="str">
            <v>Gulfstream Aerospace Gulfstream IV</v>
          </cell>
          <cell r="C625" t="str">
            <v xml:space="preserve"> </v>
          </cell>
          <cell r="D625">
            <v>1988</v>
          </cell>
          <cell r="E625" t="str">
            <v>First Commercial Corp</v>
          </cell>
          <cell r="F625">
            <v>16</v>
          </cell>
          <cell r="G625">
            <v>32337</v>
          </cell>
          <cell r="I625" t="str">
            <v>North America</v>
          </cell>
          <cell r="J625" t="str">
            <v>USA</v>
          </cell>
          <cell r="K625">
            <v>31593</v>
          </cell>
        </row>
        <row r="626">
          <cell r="A626" t="str">
            <v>In service</v>
          </cell>
          <cell r="B626" t="str">
            <v>Gulfstream Aerospace Gulfstream IV</v>
          </cell>
          <cell r="C626" t="str">
            <v xml:space="preserve"> </v>
          </cell>
          <cell r="D626">
            <v>1988</v>
          </cell>
          <cell r="E626" t="str">
            <v>M Ventures LLC</v>
          </cell>
          <cell r="F626">
            <v>16</v>
          </cell>
          <cell r="G626">
            <v>32489</v>
          </cell>
          <cell r="I626" t="str">
            <v>North America</v>
          </cell>
          <cell r="J626" t="str">
            <v>USA</v>
          </cell>
          <cell r="K626">
            <v>31593</v>
          </cell>
        </row>
        <row r="627">
          <cell r="A627" t="str">
            <v>In service</v>
          </cell>
          <cell r="B627" t="str">
            <v>Gulfstream Aerospace Gulfstream IV</v>
          </cell>
          <cell r="C627" t="str">
            <v xml:space="preserve"> </v>
          </cell>
          <cell r="D627">
            <v>1988</v>
          </cell>
          <cell r="E627" t="str">
            <v>HM LLC</v>
          </cell>
          <cell r="F627">
            <v>16</v>
          </cell>
          <cell r="G627">
            <v>32346</v>
          </cell>
          <cell r="I627" t="str">
            <v>North America</v>
          </cell>
          <cell r="J627" t="str">
            <v>USA</v>
          </cell>
          <cell r="K627">
            <v>31593</v>
          </cell>
        </row>
        <row r="628">
          <cell r="A628" t="str">
            <v>In service</v>
          </cell>
          <cell r="B628" t="str">
            <v>Gulfstream Aerospace Gulfstream IV</v>
          </cell>
          <cell r="C628" t="str">
            <v xml:space="preserve"> </v>
          </cell>
          <cell r="D628">
            <v>1988</v>
          </cell>
          <cell r="E628" t="str">
            <v>Illinois Central Railroad Co</v>
          </cell>
          <cell r="F628">
            <v>16</v>
          </cell>
          <cell r="G628">
            <v>32324</v>
          </cell>
          <cell r="I628" t="str">
            <v>North America</v>
          </cell>
          <cell r="J628" t="str">
            <v>USA</v>
          </cell>
          <cell r="K628">
            <v>31593</v>
          </cell>
        </row>
        <row r="629">
          <cell r="A629" t="str">
            <v>In service</v>
          </cell>
          <cell r="B629" t="str">
            <v>Gulfstream Aerospace Gulfstream IV</v>
          </cell>
          <cell r="C629" t="str">
            <v xml:space="preserve"> </v>
          </cell>
          <cell r="D629">
            <v>1988</v>
          </cell>
          <cell r="E629" t="str">
            <v>The Air Group Inc</v>
          </cell>
          <cell r="F629">
            <v>16</v>
          </cell>
          <cell r="G629">
            <v>32353</v>
          </cell>
          <cell r="I629" t="str">
            <v>North America</v>
          </cell>
          <cell r="J629" t="str">
            <v>USA</v>
          </cell>
          <cell r="K629">
            <v>31593</v>
          </cell>
        </row>
        <row r="630">
          <cell r="A630" t="str">
            <v>In service</v>
          </cell>
          <cell r="B630" t="str">
            <v>Gulfstream Aerospace Gulfstream IV</v>
          </cell>
          <cell r="C630" t="str">
            <v xml:space="preserve"> </v>
          </cell>
          <cell r="D630">
            <v>1989</v>
          </cell>
          <cell r="E630" t="str">
            <v>Prudential Insurance Company of America</v>
          </cell>
          <cell r="F630">
            <v>15</v>
          </cell>
          <cell r="G630">
            <v>32821</v>
          </cell>
          <cell r="I630" t="str">
            <v>North America</v>
          </cell>
          <cell r="J630" t="str">
            <v>USA</v>
          </cell>
          <cell r="K630">
            <v>31958</v>
          </cell>
        </row>
        <row r="631">
          <cell r="A631" t="str">
            <v>In service</v>
          </cell>
          <cell r="B631" t="str">
            <v>Gulfstream Aerospace Gulfstream IV</v>
          </cell>
          <cell r="C631" t="str">
            <v xml:space="preserve"> </v>
          </cell>
          <cell r="D631">
            <v>1988</v>
          </cell>
          <cell r="E631" t="str">
            <v>Saudi ARAMCO Aviation</v>
          </cell>
          <cell r="F631">
            <v>16</v>
          </cell>
          <cell r="G631">
            <v>32388</v>
          </cell>
          <cell r="I631" t="str">
            <v>Middle East</v>
          </cell>
          <cell r="J631" t="str">
            <v>Saudi Arabia</v>
          </cell>
          <cell r="K631">
            <v>31228</v>
          </cell>
        </row>
        <row r="632">
          <cell r="A632" t="str">
            <v>In service</v>
          </cell>
          <cell r="B632" t="str">
            <v>Gulfstream Aerospace Gulfstream IV</v>
          </cell>
          <cell r="C632" t="str">
            <v xml:space="preserve"> </v>
          </cell>
          <cell r="D632">
            <v>1988</v>
          </cell>
          <cell r="E632" t="str">
            <v>Saudi ARAMCO Aviation</v>
          </cell>
          <cell r="F632">
            <v>16</v>
          </cell>
          <cell r="G632">
            <v>32400</v>
          </cell>
          <cell r="I632" t="str">
            <v>Middle East</v>
          </cell>
          <cell r="J632" t="str">
            <v>Saudi Arabia</v>
          </cell>
          <cell r="K632">
            <v>31228</v>
          </cell>
        </row>
        <row r="633">
          <cell r="A633" t="str">
            <v>In service</v>
          </cell>
          <cell r="B633" t="str">
            <v>Gulfstream Aerospace Gulfstream IV</v>
          </cell>
          <cell r="C633" t="str">
            <v xml:space="preserve"> </v>
          </cell>
          <cell r="D633">
            <v>1988</v>
          </cell>
          <cell r="E633" t="str">
            <v>FAA / US DoT</v>
          </cell>
          <cell r="F633">
            <v>16</v>
          </cell>
          <cell r="G633">
            <v>32674</v>
          </cell>
          <cell r="I633" t="str">
            <v>North America</v>
          </cell>
          <cell r="J633" t="str">
            <v>USA</v>
          </cell>
          <cell r="K633">
            <v>31943</v>
          </cell>
        </row>
        <row r="634">
          <cell r="A634" t="str">
            <v>In service</v>
          </cell>
          <cell r="B634" t="str">
            <v>Gulfstream Aerospace Gulfstream IV</v>
          </cell>
          <cell r="C634" t="str">
            <v xml:space="preserve"> </v>
          </cell>
          <cell r="D634">
            <v>1989</v>
          </cell>
          <cell r="E634" t="str">
            <v>Crescent Heights of America Inc</v>
          </cell>
          <cell r="F634">
            <v>15</v>
          </cell>
          <cell r="G634">
            <v>32652</v>
          </cell>
          <cell r="I634" t="str">
            <v>North America</v>
          </cell>
          <cell r="J634" t="str">
            <v>USA</v>
          </cell>
          <cell r="K634">
            <v>31958</v>
          </cell>
        </row>
        <row r="635">
          <cell r="A635" t="str">
            <v>In service</v>
          </cell>
          <cell r="B635" t="str">
            <v>Gulfstream Aerospace Gulfstream IV</v>
          </cell>
          <cell r="C635" t="str">
            <v xml:space="preserve"> </v>
          </cell>
          <cell r="D635">
            <v>1988</v>
          </cell>
          <cell r="E635" t="str">
            <v>Solar II Inc</v>
          </cell>
          <cell r="F635">
            <v>16</v>
          </cell>
          <cell r="G635">
            <v>32423</v>
          </cell>
          <cell r="I635" t="str">
            <v>North America</v>
          </cell>
          <cell r="J635" t="str">
            <v>USA</v>
          </cell>
          <cell r="K635">
            <v>31593</v>
          </cell>
        </row>
        <row r="636">
          <cell r="A636" t="str">
            <v>In service</v>
          </cell>
          <cell r="B636" t="str">
            <v>Gulfstream Aerospace Gulfstream IV</v>
          </cell>
          <cell r="C636" t="str">
            <v xml:space="preserve"> </v>
          </cell>
          <cell r="D636">
            <v>1989</v>
          </cell>
          <cell r="E636" t="str">
            <v>Guardian Gulfstream IV-A LLC/CJ Air LLC/et al</v>
          </cell>
          <cell r="F636">
            <v>15</v>
          </cell>
          <cell r="G636">
            <v>32609</v>
          </cell>
          <cell r="I636" t="str">
            <v>North America</v>
          </cell>
          <cell r="J636" t="str">
            <v>USA</v>
          </cell>
          <cell r="K636">
            <v>31958</v>
          </cell>
        </row>
        <row r="637">
          <cell r="A637" t="str">
            <v>In service</v>
          </cell>
          <cell r="B637" t="str">
            <v>Gulfstream Aerospace Gulfstream IV</v>
          </cell>
          <cell r="C637" t="str">
            <v xml:space="preserve"> </v>
          </cell>
          <cell r="D637">
            <v>1988</v>
          </cell>
          <cell r="E637" t="str">
            <v>Liamaj Aviation Inc</v>
          </cell>
          <cell r="F637">
            <v>16</v>
          </cell>
          <cell r="G637">
            <v>32426</v>
          </cell>
          <cell r="I637" t="str">
            <v>North America</v>
          </cell>
          <cell r="J637" t="str">
            <v>USA</v>
          </cell>
          <cell r="K637">
            <v>31958</v>
          </cell>
        </row>
        <row r="638">
          <cell r="A638" t="str">
            <v>In service</v>
          </cell>
          <cell r="B638" t="str">
            <v>Gulfstream Aerospace Gulfstream IV</v>
          </cell>
          <cell r="C638" t="str">
            <v xml:space="preserve"> </v>
          </cell>
          <cell r="D638">
            <v>1989</v>
          </cell>
          <cell r="E638" t="str">
            <v>Templeton Asset Management Ltd</v>
          </cell>
          <cell r="F638">
            <v>15</v>
          </cell>
          <cell r="G638">
            <v>32829</v>
          </cell>
          <cell r="I638" t="str">
            <v>Asia</v>
          </cell>
          <cell r="J638" t="str">
            <v>Singapore</v>
          </cell>
          <cell r="K638">
            <v>31958</v>
          </cell>
        </row>
        <row r="639">
          <cell r="A639" t="str">
            <v>In service</v>
          </cell>
          <cell r="B639" t="str">
            <v>Gulfstream Aerospace Gulfstream IV</v>
          </cell>
          <cell r="C639" t="str">
            <v xml:space="preserve"> </v>
          </cell>
          <cell r="D639">
            <v>1988</v>
          </cell>
          <cell r="E639" t="str">
            <v>Dankjold Reed Aviation LLC</v>
          </cell>
          <cell r="F639">
            <v>16</v>
          </cell>
          <cell r="G639">
            <v>32447</v>
          </cell>
          <cell r="I639" t="str">
            <v>North America</v>
          </cell>
          <cell r="J639" t="str">
            <v>USA</v>
          </cell>
          <cell r="K639">
            <v>31593</v>
          </cell>
        </row>
        <row r="640">
          <cell r="A640" t="str">
            <v>In service</v>
          </cell>
          <cell r="B640" t="str">
            <v>Gulfstream Aerospace Gulfstream IV</v>
          </cell>
          <cell r="C640" t="str">
            <v xml:space="preserve"> </v>
          </cell>
          <cell r="D640">
            <v>1989</v>
          </cell>
          <cell r="E640" t="str">
            <v>Shell Aircraft Ltd</v>
          </cell>
          <cell r="F640">
            <v>15</v>
          </cell>
          <cell r="G640">
            <v>32805</v>
          </cell>
          <cell r="I640" t="str">
            <v>Europe</v>
          </cell>
          <cell r="J640" t="str">
            <v>United Kingdom</v>
          </cell>
          <cell r="K640">
            <v>31958</v>
          </cell>
        </row>
        <row r="641">
          <cell r="A641" t="str">
            <v>In service</v>
          </cell>
          <cell r="B641" t="str">
            <v>Gulfstream Aerospace Gulfstream IV</v>
          </cell>
          <cell r="C641" t="str">
            <v xml:space="preserve"> </v>
          </cell>
          <cell r="D641">
            <v>1989</v>
          </cell>
          <cell r="E641" t="str">
            <v>Wham Leasing Corp</v>
          </cell>
          <cell r="F641">
            <v>15</v>
          </cell>
          <cell r="G641">
            <v>32689</v>
          </cell>
          <cell r="I641" t="str">
            <v>North America</v>
          </cell>
          <cell r="J641" t="str">
            <v>USA</v>
          </cell>
          <cell r="K641">
            <v>32324</v>
          </cell>
        </row>
        <row r="642">
          <cell r="A642" t="str">
            <v>In service</v>
          </cell>
          <cell r="B642" t="str">
            <v>Gulfstream Aerospace Gulfstream IV</v>
          </cell>
          <cell r="C642" t="str">
            <v xml:space="preserve"> </v>
          </cell>
          <cell r="D642">
            <v>1988</v>
          </cell>
          <cell r="E642" t="str">
            <v>Oxy Petroleum Inc</v>
          </cell>
          <cell r="F642">
            <v>16</v>
          </cell>
          <cell r="G642">
            <v>32478</v>
          </cell>
          <cell r="I642" t="str">
            <v>North America</v>
          </cell>
          <cell r="J642" t="str">
            <v>USA</v>
          </cell>
          <cell r="K642">
            <v>31593</v>
          </cell>
        </row>
        <row r="643">
          <cell r="A643" t="str">
            <v>In service</v>
          </cell>
          <cell r="B643" t="str">
            <v>Gulfstream Aerospace Gulfstream IV</v>
          </cell>
          <cell r="C643" t="str">
            <v xml:space="preserve"> </v>
          </cell>
          <cell r="D643">
            <v>1988</v>
          </cell>
          <cell r="E643" t="str">
            <v>Management Investments Enterprises LLC</v>
          </cell>
          <cell r="F643">
            <v>16</v>
          </cell>
          <cell r="G643">
            <v>32476</v>
          </cell>
          <cell r="I643" t="str">
            <v>North America</v>
          </cell>
          <cell r="J643" t="str">
            <v>USA</v>
          </cell>
          <cell r="K643">
            <v>31958</v>
          </cell>
        </row>
        <row r="644">
          <cell r="A644" t="str">
            <v>In service</v>
          </cell>
          <cell r="B644" t="str">
            <v>Gulfstream Aerospace Gulfstream IV</v>
          </cell>
          <cell r="C644" t="str">
            <v xml:space="preserve"> </v>
          </cell>
          <cell r="D644">
            <v>1988</v>
          </cell>
          <cell r="E644" t="str">
            <v>Burlington Resources Oil &amp; Gas Co</v>
          </cell>
          <cell r="F644">
            <v>16</v>
          </cell>
          <cell r="G644">
            <v>32498</v>
          </cell>
          <cell r="I644" t="str">
            <v>North America</v>
          </cell>
          <cell r="J644" t="str">
            <v>USA</v>
          </cell>
          <cell r="K644">
            <v>31958</v>
          </cell>
        </row>
        <row r="645">
          <cell r="A645" t="str">
            <v>In service</v>
          </cell>
          <cell r="B645" t="str">
            <v>Gulfstream Aerospace Gulfstream IV</v>
          </cell>
          <cell r="C645" t="str">
            <v xml:space="preserve"> </v>
          </cell>
          <cell r="D645">
            <v>1988</v>
          </cell>
          <cell r="E645" t="str">
            <v>Crown Ltd</v>
          </cell>
          <cell r="F645">
            <v>16</v>
          </cell>
          <cell r="G645">
            <v>32766</v>
          </cell>
          <cell r="I645" t="str">
            <v>Australasia</v>
          </cell>
          <cell r="J645" t="str">
            <v>Australia</v>
          </cell>
          <cell r="K645">
            <v>31958</v>
          </cell>
        </row>
        <row r="646">
          <cell r="A646" t="str">
            <v>In service</v>
          </cell>
          <cell r="B646" t="str">
            <v>Gulfstream Aerospace Gulfstream IV</v>
          </cell>
          <cell r="C646" t="str">
            <v xml:space="preserve"> </v>
          </cell>
          <cell r="D646">
            <v>1989</v>
          </cell>
          <cell r="E646" t="str">
            <v>Sit-Set Aviation AG</v>
          </cell>
          <cell r="F646">
            <v>15</v>
          </cell>
          <cell r="G646">
            <v>32746</v>
          </cell>
          <cell r="I646" t="str">
            <v>Europe</v>
          </cell>
          <cell r="J646" t="str">
            <v>Switzerland</v>
          </cell>
          <cell r="K646">
            <v>31958</v>
          </cell>
        </row>
        <row r="647">
          <cell r="A647" t="str">
            <v>In service</v>
          </cell>
          <cell r="B647" t="str">
            <v>Gulfstream Aerospace Gulfstream IV</v>
          </cell>
          <cell r="C647" t="str">
            <v xml:space="preserve"> </v>
          </cell>
          <cell r="D647">
            <v>1988</v>
          </cell>
          <cell r="E647" t="str">
            <v>Petersen Aviation</v>
          </cell>
          <cell r="F647">
            <v>16</v>
          </cell>
          <cell r="G647">
            <v>32506</v>
          </cell>
          <cell r="I647" t="str">
            <v>North America</v>
          </cell>
          <cell r="J647" t="str">
            <v>USA</v>
          </cell>
          <cell r="K647">
            <v>31958</v>
          </cell>
        </row>
        <row r="648">
          <cell r="A648" t="str">
            <v>In service</v>
          </cell>
          <cell r="B648" t="str">
            <v>Gulfstream Aerospace Gulfstream IV</v>
          </cell>
          <cell r="C648" t="str">
            <v xml:space="preserve"> </v>
          </cell>
          <cell r="D648">
            <v>1988</v>
          </cell>
          <cell r="E648" t="str">
            <v>Stockwood Inc</v>
          </cell>
          <cell r="F648">
            <v>16</v>
          </cell>
          <cell r="G648">
            <v>32506</v>
          </cell>
          <cell r="I648" t="str">
            <v>North America</v>
          </cell>
          <cell r="J648" t="str">
            <v>USA</v>
          </cell>
          <cell r="K648">
            <v>31958</v>
          </cell>
        </row>
        <row r="649">
          <cell r="A649" t="str">
            <v>In service</v>
          </cell>
          <cell r="B649" t="str">
            <v>Gulfstream Aerospace Gulfstream IV</v>
          </cell>
          <cell r="C649" t="str">
            <v xml:space="preserve"> </v>
          </cell>
          <cell r="D649">
            <v>1989</v>
          </cell>
          <cell r="E649" t="str">
            <v>Blue Sky Group Inc</v>
          </cell>
          <cell r="F649">
            <v>15</v>
          </cell>
          <cell r="G649">
            <v>32560</v>
          </cell>
          <cell r="I649" t="str">
            <v>North America</v>
          </cell>
          <cell r="J649" t="str">
            <v>USA</v>
          </cell>
          <cell r="K649">
            <v>31958</v>
          </cell>
        </row>
        <row r="650">
          <cell r="A650" t="str">
            <v>In service</v>
          </cell>
          <cell r="B650" t="str">
            <v>Gulfstream Aerospace Gulfstream IV</v>
          </cell>
          <cell r="C650" t="str">
            <v xml:space="preserve"> </v>
          </cell>
          <cell r="D650">
            <v>1989</v>
          </cell>
          <cell r="E650" t="str">
            <v>Nicklaus Design LLC</v>
          </cell>
          <cell r="F650">
            <v>15</v>
          </cell>
          <cell r="G650">
            <v>32561</v>
          </cell>
          <cell r="I650" t="str">
            <v>North America</v>
          </cell>
          <cell r="J650" t="str">
            <v>USA</v>
          </cell>
          <cell r="K650">
            <v>31958</v>
          </cell>
        </row>
        <row r="651">
          <cell r="A651" t="str">
            <v>In service</v>
          </cell>
          <cell r="B651" t="str">
            <v>Gulfstream Aerospace Gulfstream IV</v>
          </cell>
          <cell r="C651" t="str">
            <v xml:space="preserve"> </v>
          </cell>
          <cell r="D651">
            <v>1989</v>
          </cell>
          <cell r="E651" t="str">
            <v>Chilean Air Force</v>
          </cell>
          <cell r="F651">
            <v>15</v>
          </cell>
          <cell r="G651">
            <v>32566</v>
          </cell>
          <cell r="I651" t="str">
            <v>Latin America and Caribbean</v>
          </cell>
          <cell r="J651" t="str">
            <v>Chile</v>
          </cell>
          <cell r="K651">
            <v>31593</v>
          </cell>
        </row>
        <row r="652">
          <cell r="A652" t="str">
            <v>In service</v>
          </cell>
          <cell r="B652" t="str">
            <v>Gulfstream Aerospace Gulfstream IV</v>
          </cell>
          <cell r="C652" t="str">
            <v xml:space="preserve"> </v>
          </cell>
          <cell r="D652">
            <v>1989</v>
          </cell>
          <cell r="E652" t="str">
            <v>Star Plane Inc</v>
          </cell>
          <cell r="F652">
            <v>15</v>
          </cell>
          <cell r="G652">
            <v>32947</v>
          </cell>
          <cell r="I652" t="str">
            <v>North America</v>
          </cell>
          <cell r="J652" t="str">
            <v>USA</v>
          </cell>
          <cell r="K652">
            <v>32324</v>
          </cell>
        </row>
        <row r="653">
          <cell r="A653" t="str">
            <v>In service</v>
          </cell>
          <cell r="B653" t="str">
            <v>Gulfstream Aerospace Gulfstream IV</v>
          </cell>
          <cell r="C653" t="str">
            <v xml:space="preserve"> </v>
          </cell>
          <cell r="D653">
            <v>1989</v>
          </cell>
          <cell r="E653" t="str">
            <v>General Electric Company</v>
          </cell>
          <cell r="F653">
            <v>15</v>
          </cell>
          <cell r="G653">
            <v>32583</v>
          </cell>
          <cell r="I653" t="str">
            <v>North America</v>
          </cell>
          <cell r="J653" t="str">
            <v>USA</v>
          </cell>
          <cell r="K653">
            <v>31958</v>
          </cell>
        </row>
        <row r="654">
          <cell r="A654" t="str">
            <v>In service</v>
          </cell>
          <cell r="B654" t="str">
            <v>Gulfstream Aerospace Gulfstream IV</v>
          </cell>
          <cell r="C654" t="str">
            <v xml:space="preserve"> </v>
          </cell>
          <cell r="D654">
            <v>1989</v>
          </cell>
          <cell r="E654" t="str">
            <v>NBL LLC</v>
          </cell>
          <cell r="F654">
            <v>15</v>
          </cell>
          <cell r="G654">
            <v>32590</v>
          </cell>
          <cell r="I654" t="str">
            <v>North America</v>
          </cell>
          <cell r="J654" t="str">
            <v>USA</v>
          </cell>
          <cell r="K654">
            <v>31958</v>
          </cell>
        </row>
        <row r="655">
          <cell r="A655" t="str">
            <v>In service</v>
          </cell>
          <cell r="B655" t="str">
            <v>Gulfstream Aerospace Gulfstream IV</v>
          </cell>
          <cell r="C655" t="str">
            <v xml:space="preserve"> </v>
          </cell>
          <cell r="D655">
            <v>1989</v>
          </cell>
          <cell r="E655" t="str">
            <v>Ogden Flight Services Group Inc</v>
          </cell>
          <cell r="F655">
            <v>15</v>
          </cell>
          <cell r="G655">
            <v>32857</v>
          </cell>
          <cell r="I655" t="str">
            <v>North America</v>
          </cell>
          <cell r="J655" t="str">
            <v>USA</v>
          </cell>
          <cell r="K655">
            <v>31958</v>
          </cell>
        </row>
        <row r="656">
          <cell r="A656" t="str">
            <v>In service</v>
          </cell>
          <cell r="B656" t="str">
            <v>Gulfstream Aerospace Gulfstream IV</v>
          </cell>
          <cell r="C656" t="str">
            <v xml:space="preserve"> </v>
          </cell>
          <cell r="D656">
            <v>1989</v>
          </cell>
          <cell r="E656" t="str">
            <v>North American Packaging Corp</v>
          </cell>
          <cell r="F656">
            <v>15</v>
          </cell>
          <cell r="G656">
            <v>32611</v>
          </cell>
          <cell r="I656" t="str">
            <v>North America</v>
          </cell>
          <cell r="J656" t="str">
            <v>USA</v>
          </cell>
          <cell r="K656">
            <v>31958</v>
          </cell>
        </row>
        <row r="657">
          <cell r="A657" t="str">
            <v>In service</v>
          </cell>
          <cell r="B657" t="str">
            <v>Gulfstream Aerospace Gulfstream IV</v>
          </cell>
          <cell r="C657" t="str">
            <v xml:space="preserve"> </v>
          </cell>
          <cell r="D657">
            <v>1989</v>
          </cell>
          <cell r="E657" t="str">
            <v>Eli Lilly International Corp</v>
          </cell>
          <cell r="F657">
            <v>15</v>
          </cell>
          <cell r="G657">
            <v>32619</v>
          </cell>
          <cell r="I657" t="str">
            <v>North America</v>
          </cell>
          <cell r="J657" t="str">
            <v>USA</v>
          </cell>
          <cell r="K657">
            <v>31958</v>
          </cell>
        </row>
        <row r="658">
          <cell r="A658" t="str">
            <v>In service</v>
          </cell>
          <cell r="B658" t="str">
            <v>Gulfstream Aerospace Gulfstream IV</v>
          </cell>
          <cell r="C658" t="str">
            <v xml:space="preserve"> </v>
          </cell>
          <cell r="D658">
            <v>1989</v>
          </cell>
          <cell r="E658" t="str">
            <v>Rolls-Royce</v>
          </cell>
          <cell r="F658">
            <v>15</v>
          </cell>
          <cell r="G658">
            <v>32857</v>
          </cell>
          <cell r="I658" t="str">
            <v>Europe</v>
          </cell>
          <cell r="J658" t="str">
            <v>United Kingdom</v>
          </cell>
          <cell r="K658">
            <v>31958</v>
          </cell>
        </row>
        <row r="659">
          <cell r="A659" t="str">
            <v>In service</v>
          </cell>
          <cell r="B659" t="str">
            <v>Gulfstream Aerospace Gulfstream IV</v>
          </cell>
          <cell r="C659" t="str">
            <v xml:space="preserve"> </v>
          </cell>
          <cell r="D659">
            <v>1989</v>
          </cell>
          <cell r="E659" t="str">
            <v>ABT Flight Inc</v>
          </cell>
          <cell r="F659">
            <v>15</v>
          </cell>
          <cell r="G659">
            <v>32637</v>
          </cell>
          <cell r="I659" t="str">
            <v>North America</v>
          </cell>
          <cell r="J659" t="str">
            <v>USA</v>
          </cell>
          <cell r="K659">
            <v>31958</v>
          </cell>
        </row>
        <row r="660">
          <cell r="A660" t="str">
            <v>In service</v>
          </cell>
          <cell r="B660" t="str">
            <v>Gulfstream Aerospace Gulfstream IV</v>
          </cell>
          <cell r="C660" t="str">
            <v xml:space="preserve"> </v>
          </cell>
          <cell r="D660">
            <v>1989</v>
          </cell>
          <cell r="E660" t="str">
            <v>SeaFlight Aviation Ltd</v>
          </cell>
          <cell r="F660">
            <v>15</v>
          </cell>
          <cell r="G660">
            <v>32660</v>
          </cell>
          <cell r="I660" t="str">
            <v>Latin America and Caribbean</v>
          </cell>
          <cell r="J660" t="str">
            <v>Bermuda</v>
          </cell>
          <cell r="K660">
            <v>31958</v>
          </cell>
        </row>
        <row r="661">
          <cell r="A661" t="str">
            <v>In service</v>
          </cell>
          <cell r="B661" t="str">
            <v>Gulfstream Aerospace Gulfstream IV</v>
          </cell>
          <cell r="C661" t="str">
            <v xml:space="preserve"> </v>
          </cell>
          <cell r="D661">
            <v>1989</v>
          </cell>
          <cell r="E661" t="str">
            <v>CKE Associates LLC</v>
          </cell>
          <cell r="F661">
            <v>15</v>
          </cell>
          <cell r="G661">
            <v>32780</v>
          </cell>
          <cell r="I661" t="str">
            <v>North America</v>
          </cell>
          <cell r="J661" t="str">
            <v>USA</v>
          </cell>
          <cell r="K661">
            <v>31958</v>
          </cell>
        </row>
        <row r="662">
          <cell r="A662" t="str">
            <v>In service</v>
          </cell>
          <cell r="B662" t="str">
            <v>Gulfstream Aerospace Gulfstream IV</v>
          </cell>
          <cell r="C662" t="str">
            <v xml:space="preserve"> </v>
          </cell>
          <cell r="D662">
            <v>1989</v>
          </cell>
          <cell r="E662" t="str">
            <v>Deer Jet</v>
          </cell>
          <cell r="F662">
            <v>15</v>
          </cell>
          <cell r="G662">
            <v>32668</v>
          </cell>
          <cell r="I662" t="str">
            <v>Asia</v>
          </cell>
          <cell r="J662" t="str">
            <v>China</v>
          </cell>
          <cell r="K662">
            <v>31958</v>
          </cell>
        </row>
        <row r="663">
          <cell r="A663" t="str">
            <v>In service</v>
          </cell>
          <cell r="B663" t="str">
            <v>Gulfstream Aerospace Gulfstream IV</v>
          </cell>
          <cell r="C663" t="str">
            <v xml:space="preserve"> </v>
          </cell>
          <cell r="D663">
            <v>1989</v>
          </cell>
          <cell r="E663" t="str">
            <v>General Electric Company</v>
          </cell>
          <cell r="F663">
            <v>15</v>
          </cell>
          <cell r="G663">
            <v>32675</v>
          </cell>
          <cell r="I663" t="str">
            <v>North America</v>
          </cell>
          <cell r="J663" t="str">
            <v>USA</v>
          </cell>
          <cell r="K663">
            <v>31958</v>
          </cell>
        </row>
        <row r="664">
          <cell r="A664" t="str">
            <v>In service</v>
          </cell>
          <cell r="B664" t="str">
            <v>Gulfstream Aerospace Gulfstream IV</v>
          </cell>
          <cell r="C664" t="str">
            <v xml:space="preserve"> </v>
          </cell>
          <cell r="D664">
            <v>1989</v>
          </cell>
          <cell r="E664" t="str">
            <v>Aerotaxis Metropolitanos SA de CV</v>
          </cell>
          <cell r="F664">
            <v>15</v>
          </cell>
          <cell r="G664">
            <v>32687</v>
          </cell>
          <cell r="I664" t="str">
            <v>Latin America and Caribbean</v>
          </cell>
          <cell r="J664" t="str">
            <v>Mexico</v>
          </cell>
          <cell r="K664">
            <v>31958</v>
          </cell>
        </row>
        <row r="665">
          <cell r="A665" t="str">
            <v>In service</v>
          </cell>
          <cell r="B665" t="str">
            <v>Gulfstream Aerospace Gulfstream IV</v>
          </cell>
          <cell r="C665" t="str">
            <v xml:space="preserve"> </v>
          </cell>
          <cell r="D665">
            <v>1989</v>
          </cell>
          <cell r="E665" t="str">
            <v>Barrick Gold Corp</v>
          </cell>
          <cell r="F665">
            <v>15</v>
          </cell>
          <cell r="G665">
            <v>32692</v>
          </cell>
          <cell r="I665" t="str">
            <v>North America</v>
          </cell>
          <cell r="J665" t="str">
            <v>Canada</v>
          </cell>
          <cell r="K665">
            <v>31958</v>
          </cell>
        </row>
        <row r="666">
          <cell r="A666" t="str">
            <v>In service</v>
          </cell>
          <cell r="B666" t="str">
            <v>Gulfstream Aerospace Gulfstream IV</v>
          </cell>
          <cell r="C666" t="str">
            <v xml:space="preserve"> </v>
          </cell>
          <cell r="D666">
            <v>1989</v>
          </cell>
          <cell r="E666" t="str">
            <v>Stanford Aircraft LLC</v>
          </cell>
          <cell r="F666">
            <v>15</v>
          </cell>
          <cell r="G666">
            <v>32884</v>
          </cell>
          <cell r="I666" t="str">
            <v>North America</v>
          </cell>
          <cell r="J666" t="str">
            <v>USA</v>
          </cell>
          <cell r="K666">
            <v>32324</v>
          </cell>
        </row>
        <row r="667">
          <cell r="A667" t="str">
            <v>In service</v>
          </cell>
          <cell r="B667" t="str">
            <v>Gulfstream Aerospace Gulfstream IV</v>
          </cell>
          <cell r="C667" t="str">
            <v xml:space="preserve"> </v>
          </cell>
          <cell r="D667">
            <v>1989</v>
          </cell>
          <cell r="E667" t="str">
            <v>Eli Lilly International Corp</v>
          </cell>
          <cell r="F667">
            <v>15</v>
          </cell>
          <cell r="G667">
            <v>32722</v>
          </cell>
          <cell r="I667" t="str">
            <v>North America</v>
          </cell>
          <cell r="J667" t="str">
            <v>USA</v>
          </cell>
          <cell r="K667">
            <v>31958</v>
          </cell>
        </row>
        <row r="668">
          <cell r="A668" t="str">
            <v>In service</v>
          </cell>
          <cell r="B668" t="str">
            <v>Gulfstream Aerospace Gulfstream IV</v>
          </cell>
          <cell r="C668" t="str">
            <v xml:space="preserve"> </v>
          </cell>
          <cell r="D668">
            <v>1990</v>
          </cell>
          <cell r="E668" t="str">
            <v>Sultanate of Johore Malaysia</v>
          </cell>
          <cell r="F668">
            <v>14</v>
          </cell>
          <cell r="G668">
            <v>33312</v>
          </cell>
          <cell r="I668" t="str">
            <v>Asia</v>
          </cell>
          <cell r="J668" t="str">
            <v>Malaysia</v>
          </cell>
          <cell r="K668">
            <v>32689</v>
          </cell>
        </row>
        <row r="669">
          <cell r="A669" t="str">
            <v>In service</v>
          </cell>
          <cell r="B669" t="str">
            <v>Gulfstream Aerospace Gulfstream IV</v>
          </cell>
          <cell r="C669" t="str">
            <v xml:space="preserve"> </v>
          </cell>
          <cell r="D669">
            <v>1989</v>
          </cell>
          <cell r="E669" t="str">
            <v>Ford Aviation LLC</v>
          </cell>
          <cell r="F669">
            <v>15</v>
          </cell>
          <cell r="G669">
            <v>32919</v>
          </cell>
          <cell r="I669" t="str">
            <v>North America</v>
          </cell>
          <cell r="J669" t="str">
            <v>USA</v>
          </cell>
          <cell r="K669">
            <v>32324</v>
          </cell>
        </row>
        <row r="670">
          <cell r="A670" t="str">
            <v>In service</v>
          </cell>
          <cell r="B670" t="str">
            <v>Gulfstream Aerospace Gulfstream IV</v>
          </cell>
          <cell r="C670" t="str">
            <v xml:space="preserve"> </v>
          </cell>
          <cell r="D670">
            <v>1989</v>
          </cell>
          <cell r="E670" t="str">
            <v>News Limited</v>
          </cell>
          <cell r="F670">
            <v>15</v>
          </cell>
          <cell r="G670">
            <v>32736</v>
          </cell>
          <cell r="I670" t="str">
            <v>Australasia</v>
          </cell>
          <cell r="J670" t="str">
            <v>Australia</v>
          </cell>
          <cell r="K670">
            <v>31958</v>
          </cell>
        </row>
        <row r="671">
          <cell r="A671" t="str">
            <v>In service</v>
          </cell>
          <cell r="B671" t="str">
            <v>Gulfstream Aerospace Gulfstream IV</v>
          </cell>
          <cell r="C671" t="str">
            <v xml:space="preserve"> </v>
          </cell>
          <cell r="D671">
            <v>1990</v>
          </cell>
          <cell r="E671" t="str">
            <v>Gestair</v>
          </cell>
          <cell r="F671">
            <v>14</v>
          </cell>
          <cell r="G671">
            <v>33312</v>
          </cell>
          <cell r="I671" t="str">
            <v>Europe</v>
          </cell>
          <cell r="J671" t="str">
            <v>Spain</v>
          </cell>
          <cell r="K671">
            <v>32689</v>
          </cell>
        </row>
        <row r="672">
          <cell r="A672" t="str">
            <v>In service</v>
          </cell>
          <cell r="B672" t="str">
            <v>Gulfstream Aerospace Gulfstream IV</v>
          </cell>
          <cell r="C672" t="str">
            <v xml:space="preserve"> </v>
          </cell>
          <cell r="D672">
            <v>1989</v>
          </cell>
          <cell r="E672" t="str">
            <v>Maxim Aviation Co</v>
          </cell>
          <cell r="F672">
            <v>15</v>
          </cell>
          <cell r="G672">
            <v>32744</v>
          </cell>
          <cell r="I672" t="str">
            <v>North America</v>
          </cell>
          <cell r="J672" t="str">
            <v>USA</v>
          </cell>
          <cell r="K672">
            <v>31958</v>
          </cell>
        </row>
        <row r="673">
          <cell r="A673" t="str">
            <v>In service</v>
          </cell>
          <cell r="B673" t="str">
            <v>Gulfstream Aerospace Gulfstream IV</v>
          </cell>
          <cell r="C673" t="str">
            <v xml:space="preserve"> </v>
          </cell>
          <cell r="D673">
            <v>1989</v>
          </cell>
          <cell r="E673" t="str">
            <v>Apex Oil Co Inc</v>
          </cell>
          <cell r="F673">
            <v>15</v>
          </cell>
          <cell r="G673">
            <v>32762</v>
          </cell>
          <cell r="I673" t="str">
            <v>North America</v>
          </cell>
          <cell r="J673" t="str">
            <v>USA</v>
          </cell>
          <cell r="K673">
            <v>31958</v>
          </cell>
        </row>
        <row r="674">
          <cell r="A674" t="str">
            <v>In service</v>
          </cell>
          <cell r="B674" t="str">
            <v>Gulfstream Aerospace Gulfstream IV</v>
          </cell>
          <cell r="C674" t="str">
            <v xml:space="preserve"> </v>
          </cell>
          <cell r="D674">
            <v>1989</v>
          </cell>
          <cell r="E674" t="str">
            <v>United Technologies Corp</v>
          </cell>
          <cell r="F674">
            <v>15</v>
          </cell>
          <cell r="G674">
            <v>32770</v>
          </cell>
          <cell r="I674" t="str">
            <v>North America</v>
          </cell>
          <cell r="J674" t="str">
            <v>USA</v>
          </cell>
          <cell r="K674">
            <v>31958</v>
          </cell>
        </row>
        <row r="675">
          <cell r="A675" t="str">
            <v>In service</v>
          </cell>
          <cell r="B675" t="str">
            <v>Gulfstream Aerospace Gulfstream IV</v>
          </cell>
          <cell r="C675" t="str">
            <v xml:space="preserve"> </v>
          </cell>
          <cell r="D675">
            <v>1989</v>
          </cell>
          <cell r="E675" t="str">
            <v>TRT Leasing Inc</v>
          </cell>
          <cell r="F675">
            <v>15</v>
          </cell>
          <cell r="G675">
            <v>32787</v>
          </cell>
          <cell r="I675" t="str">
            <v>North America</v>
          </cell>
          <cell r="J675" t="str">
            <v>USA</v>
          </cell>
          <cell r="K675">
            <v>32324</v>
          </cell>
        </row>
        <row r="676">
          <cell r="A676" t="str">
            <v>In service</v>
          </cell>
          <cell r="B676" t="str">
            <v>Gulfstream Aerospace Gulfstream IV</v>
          </cell>
          <cell r="C676" t="str">
            <v xml:space="preserve"> </v>
          </cell>
          <cell r="D676">
            <v>1989</v>
          </cell>
          <cell r="E676" t="str">
            <v>Lexair Ltd/LG Euro Holdings LLC/et al</v>
          </cell>
          <cell r="F676">
            <v>15</v>
          </cell>
          <cell r="G676">
            <v>33012</v>
          </cell>
          <cell r="I676" t="str">
            <v>North America</v>
          </cell>
          <cell r="J676" t="str">
            <v>USA</v>
          </cell>
          <cell r="K676">
            <v>32324</v>
          </cell>
        </row>
        <row r="677">
          <cell r="A677" t="str">
            <v>In service</v>
          </cell>
          <cell r="B677" t="str">
            <v>Gulfstream Aerospace Gulfstream IV</v>
          </cell>
          <cell r="C677" t="str">
            <v xml:space="preserve"> </v>
          </cell>
          <cell r="D677">
            <v>1989</v>
          </cell>
          <cell r="E677" t="str">
            <v>Meridian Services Inc</v>
          </cell>
          <cell r="F677">
            <v>15</v>
          </cell>
          <cell r="G677">
            <v>32799</v>
          </cell>
          <cell r="I677" t="str">
            <v>North America</v>
          </cell>
          <cell r="J677" t="str">
            <v>USA</v>
          </cell>
          <cell r="K677">
            <v>31958</v>
          </cell>
        </row>
        <row r="678">
          <cell r="A678" t="str">
            <v>In service</v>
          </cell>
          <cell r="B678" t="str">
            <v>Gulfstream Aerospace Gulfstream IV</v>
          </cell>
          <cell r="C678" t="str">
            <v xml:space="preserve"> </v>
          </cell>
          <cell r="D678">
            <v>1989</v>
          </cell>
          <cell r="E678" t="str">
            <v>National City Leasing Corp</v>
          </cell>
          <cell r="F678">
            <v>15</v>
          </cell>
          <cell r="G678">
            <v>33100</v>
          </cell>
          <cell r="I678" t="str">
            <v>North America</v>
          </cell>
          <cell r="J678" t="str">
            <v>USA</v>
          </cell>
          <cell r="K678">
            <v>32324</v>
          </cell>
        </row>
        <row r="679">
          <cell r="A679" t="str">
            <v>In service</v>
          </cell>
          <cell r="B679" t="str">
            <v>Gulfstream Aerospace Gulfstream IV</v>
          </cell>
          <cell r="C679" t="str">
            <v xml:space="preserve"> </v>
          </cell>
          <cell r="D679">
            <v>1991</v>
          </cell>
          <cell r="E679" t="str">
            <v>Fayair</v>
          </cell>
          <cell r="F679">
            <v>13</v>
          </cell>
          <cell r="G679">
            <v>33520</v>
          </cell>
          <cell r="I679" t="str">
            <v>Europe</v>
          </cell>
          <cell r="J679" t="str">
            <v>United Kingdom</v>
          </cell>
          <cell r="K679">
            <v>32689</v>
          </cell>
        </row>
        <row r="680">
          <cell r="A680" t="str">
            <v>In service</v>
          </cell>
          <cell r="B680" t="str">
            <v>Gulfstream Aerospace Gulfstream IV</v>
          </cell>
          <cell r="C680" t="str">
            <v xml:space="preserve"> </v>
          </cell>
          <cell r="D680">
            <v>1989</v>
          </cell>
          <cell r="E680" t="str">
            <v>N720CH LLC</v>
          </cell>
          <cell r="F680">
            <v>15</v>
          </cell>
          <cell r="G680">
            <v>32821</v>
          </cell>
          <cell r="I680" t="str">
            <v>North America</v>
          </cell>
          <cell r="J680" t="str">
            <v>USA</v>
          </cell>
          <cell r="K680">
            <v>31958</v>
          </cell>
        </row>
        <row r="681">
          <cell r="A681" t="str">
            <v>In service</v>
          </cell>
          <cell r="B681" t="str">
            <v>Gulfstream Aerospace Gulfstream IV</v>
          </cell>
          <cell r="C681" t="str">
            <v xml:space="preserve"> </v>
          </cell>
          <cell r="D681">
            <v>1989</v>
          </cell>
          <cell r="E681" t="str">
            <v>Harrinfield Ltd</v>
          </cell>
          <cell r="F681">
            <v>15</v>
          </cell>
          <cell r="G681">
            <v>32834</v>
          </cell>
          <cell r="I681" t="str">
            <v>Unknown area</v>
          </cell>
          <cell r="J681" t="str">
            <v>Unknown Country</v>
          </cell>
          <cell r="K681">
            <v>32324</v>
          </cell>
        </row>
        <row r="682">
          <cell r="A682" t="str">
            <v>In service</v>
          </cell>
          <cell r="B682" t="str">
            <v>Gulfstream Aerospace Gulfstream IV</v>
          </cell>
          <cell r="C682" t="str">
            <v xml:space="preserve"> </v>
          </cell>
          <cell r="D682">
            <v>1990</v>
          </cell>
          <cell r="E682" t="str">
            <v>C and S Aviation LLC</v>
          </cell>
          <cell r="F682">
            <v>14</v>
          </cell>
          <cell r="G682">
            <v>33082</v>
          </cell>
          <cell r="I682" t="str">
            <v>North America</v>
          </cell>
          <cell r="J682" t="str">
            <v>USA</v>
          </cell>
          <cell r="K682">
            <v>32324</v>
          </cell>
        </row>
        <row r="683">
          <cell r="A683" t="str">
            <v>In service</v>
          </cell>
          <cell r="B683" t="str">
            <v>Gulfstream Aerospace Gulfstream IV</v>
          </cell>
          <cell r="C683" t="str">
            <v xml:space="preserve"> </v>
          </cell>
          <cell r="D683">
            <v>1989</v>
          </cell>
          <cell r="E683" t="str">
            <v>Aero Toy Store LLC</v>
          </cell>
          <cell r="F683">
            <v>15</v>
          </cell>
          <cell r="G683">
            <v>32843</v>
          </cell>
          <cell r="I683" t="str">
            <v>North America</v>
          </cell>
          <cell r="J683" t="str">
            <v>USA</v>
          </cell>
          <cell r="K683">
            <v>32324</v>
          </cell>
        </row>
        <row r="684">
          <cell r="A684" t="str">
            <v>In service</v>
          </cell>
          <cell r="B684" t="str">
            <v>Gulfstream Aerospace Gulfstream IV</v>
          </cell>
          <cell r="C684" t="str">
            <v xml:space="preserve"> </v>
          </cell>
          <cell r="D684">
            <v>1989</v>
          </cell>
          <cell r="E684" t="str">
            <v>Majjec Jhett LLC</v>
          </cell>
          <cell r="F684">
            <v>15</v>
          </cell>
          <cell r="G684">
            <v>32849</v>
          </cell>
          <cell r="I684" t="str">
            <v>North America</v>
          </cell>
          <cell r="J684" t="str">
            <v>USA</v>
          </cell>
          <cell r="K684">
            <v>31958</v>
          </cell>
        </row>
        <row r="685">
          <cell r="A685" t="str">
            <v>In service</v>
          </cell>
          <cell r="B685" t="str">
            <v>Gulfstream Aerospace Gulfstream IV</v>
          </cell>
          <cell r="C685" t="str">
            <v xml:space="preserve"> </v>
          </cell>
          <cell r="D685">
            <v>1990</v>
          </cell>
          <cell r="E685" t="str">
            <v>ConAero Inc</v>
          </cell>
          <cell r="F685">
            <v>14</v>
          </cell>
          <cell r="G685">
            <v>33222</v>
          </cell>
          <cell r="I685" t="str">
            <v>North America</v>
          </cell>
          <cell r="J685" t="str">
            <v>USA</v>
          </cell>
          <cell r="K685">
            <v>32324</v>
          </cell>
        </row>
        <row r="686">
          <cell r="A686" t="str">
            <v>In service</v>
          </cell>
          <cell r="B686" t="str">
            <v>Gulfstream Aerospace Gulfstream IV</v>
          </cell>
          <cell r="C686" t="str">
            <v xml:space="preserve"> </v>
          </cell>
          <cell r="D686">
            <v>1990</v>
          </cell>
          <cell r="E686" t="str">
            <v>Whirlpool Corp</v>
          </cell>
          <cell r="F686">
            <v>14</v>
          </cell>
          <cell r="G686">
            <v>33162</v>
          </cell>
          <cell r="I686" t="str">
            <v>North America</v>
          </cell>
          <cell r="J686" t="str">
            <v>USA</v>
          </cell>
          <cell r="K686">
            <v>32324</v>
          </cell>
        </row>
        <row r="687">
          <cell r="A687" t="str">
            <v>In service</v>
          </cell>
          <cell r="B687" t="str">
            <v>Gulfstream Aerospace Gulfstream IV</v>
          </cell>
          <cell r="C687" t="str">
            <v xml:space="preserve"> </v>
          </cell>
          <cell r="D687">
            <v>1989</v>
          </cell>
          <cell r="E687" t="str">
            <v>LVH Corp</v>
          </cell>
          <cell r="F687">
            <v>15</v>
          </cell>
          <cell r="G687">
            <v>32869</v>
          </cell>
          <cell r="I687" t="str">
            <v>North America</v>
          </cell>
          <cell r="J687" t="str">
            <v>USA</v>
          </cell>
          <cell r="K687">
            <v>31958</v>
          </cell>
        </row>
        <row r="688">
          <cell r="A688" t="str">
            <v>In service</v>
          </cell>
          <cell r="B688" t="str">
            <v>Gulfstream Aerospace Gulfstream IV</v>
          </cell>
          <cell r="C688" t="str">
            <v xml:space="preserve"> </v>
          </cell>
          <cell r="D688">
            <v>1990</v>
          </cell>
          <cell r="E688" t="str">
            <v>Federal Government of Nigeria</v>
          </cell>
          <cell r="F688">
            <v>14</v>
          </cell>
          <cell r="G688">
            <v>33192</v>
          </cell>
          <cell r="I688" t="str">
            <v>Africa</v>
          </cell>
          <cell r="J688" t="str">
            <v>Nigeria</v>
          </cell>
          <cell r="K688">
            <v>31958</v>
          </cell>
        </row>
        <row r="689">
          <cell r="A689" t="str">
            <v>In service</v>
          </cell>
          <cell r="B689" t="str">
            <v>Gulfstream Aerospace Gulfstream IV</v>
          </cell>
          <cell r="C689" t="str">
            <v xml:space="preserve"> </v>
          </cell>
          <cell r="D689">
            <v>1990</v>
          </cell>
          <cell r="E689" t="str">
            <v>AEC International Ltd</v>
          </cell>
          <cell r="F689">
            <v>14</v>
          </cell>
          <cell r="G689">
            <v>32912</v>
          </cell>
          <cell r="I689" t="str">
            <v>Latin America and Caribbean</v>
          </cell>
          <cell r="J689" t="str">
            <v>Bermuda</v>
          </cell>
          <cell r="K689">
            <v>32689</v>
          </cell>
        </row>
        <row r="690">
          <cell r="A690" t="str">
            <v>In service</v>
          </cell>
          <cell r="B690" t="str">
            <v>Gulfstream Aerospace Gulfstream IV</v>
          </cell>
          <cell r="C690" t="str">
            <v xml:space="preserve"> </v>
          </cell>
          <cell r="D690">
            <v>1990</v>
          </cell>
          <cell r="E690" t="str">
            <v>Saudi Arabian Airlines</v>
          </cell>
          <cell r="F690">
            <v>14</v>
          </cell>
          <cell r="G690">
            <v>33297</v>
          </cell>
          <cell r="I690" t="str">
            <v>Middle East</v>
          </cell>
          <cell r="J690" t="str">
            <v>Saudi Arabia</v>
          </cell>
          <cell r="K690">
            <v>32324</v>
          </cell>
        </row>
        <row r="691">
          <cell r="A691" t="str">
            <v>In service</v>
          </cell>
          <cell r="B691" t="str">
            <v>Gulfstream Aerospace Gulfstream IV</v>
          </cell>
          <cell r="C691" t="str">
            <v xml:space="preserve"> </v>
          </cell>
          <cell r="D691">
            <v>1990</v>
          </cell>
          <cell r="E691" t="str">
            <v>Monaco Coach Corp</v>
          </cell>
          <cell r="F691">
            <v>14</v>
          </cell>
          <cell r="G691">
            <v>33131</v>
          </cell>
          <cell r="I691" t="str">
            <v>North America</v>
          </cell>
          <cell r="J691" t="str">
            <v>USA</v>
          </cell>
          <cell r="K691">
            <v>32324</v>
          </cell>
        </row>
        <row r="692">
          <cell r="A692" t="str">
            <v>In service</v>
          </cell>
          <cell r="B692" t="str">
            <v>Gulfstream Aerospace Gulfstream IV</v>
          </cell>
          <cell r="C692" t="str">
            <v xml:space="preserve"> </v>
          </cell>
          <cell r="D692">
            <v>1990</v>
          </cell>
          <cell r="E692" t="str">
            <v>G &amp; L Aviation</v>
          </cell>
          <cell r="F692">
            <v>14</v>
          </cell>
          <cell r="G692">
            <v>32954</v>
          </cell>
          <cell r="I692" t="str">
            <v>North America</v>
          </cell>
          <cell r="J692" t="str">
            <v>USA</v>
          </cell>
          <cell r="K692">
            <v>32324</v>
          </cell>
        </row>
        <row r="693">
          <cell r="A693" t="str">
            <v>In service</v>
          </cell>
          <cell r="B693" t="str">
            <v>Gulfstream Aerospace Gulfstream IV</v>
          </cell>
          <cell r="C693" t="str">
            <v xml:space="preserve"> </v>
          </cell>
          <cell r="D693">
            <v>1990</v>
          </cell>
          <cell r="E693" t="str">
            <v>Threshold Ventures Inc</v>
          </cell>
          <cell r="F693">
            <v>14</v>
          </cell>
          <cell r="G693">
            <v>32969</v>
          </cell>
          <cell r="I693" t="str">
            <v>North America</v>
          </cell>
          <cell r="J693" t="str">
            <v>USA</v>
          </cell>
          <cell r="K693">
            <v>32324</v>
          </cell>
        </row>
        <row r="694">
          <cell r="A694" t="str">
            <v>In service</v>
          </cell>
          <cell r="B694" t="str">
            <v>Gulfstream Aerospace Gulfstream IV</v>
          </cell>
          <cell r="C694" t="str">
            <v xml:space="preserve"> </v>
          </cell>
          <cell r="D694">
            <v>1991</v>
          </cell>
          <cell r="E694" t="str">
            <v>Scout Aviation LLC</v>
          </cell>
          <cell r="F694">
            <v>13</v>
          </cell>
          <cell r="G694">
            <v>33434</v>
          </cell>
          <cell r="I694" t="str">
            <v>North America</v>
          </cell>
          <cell r="J694" t="str">
            <v>USA</v>
          </cell>
          <cell r="K694">
            <v>32689</v>
          </cell>
        </row>
        <row r="695">
          <cell r="A695" t="str">
            <v>In service</v>
          </cell>
          <cell r="B695" t="str">
            <v>Gulfstream Aerospace Gulfstream IV</v>
          </cell>
          <cell r="C695" t="str">
            <v xml:space="preserve"> </v>
          </cell>
          <cell r="D695">
            <v>1990</v>
          </cell>
          <cell r="E695" t="str">
            <v>Copley Press Inc</v>
          </cell>
          <cell r="F695">
            <v>14</v>
          </cell>
          <cell r="G695">
            <v>33192</v>
          </cell>
          <cell r="I695" t="str">
            <v>North America</v>
          </cell>
          <cell r="J695" t="str">
            <v>USA</v>
          </cell>
          <cell r="K695">
            <v>32324</v>
          </cell>
        </row>
        <row r="696">
          <cell r="A696" t="str">
            <v>In service</v>
          </cell>
          <cell r="B696" t="str">
            <v>Gulfstream Aerospace Gulfstream IV</v>
          </cell>
          <cell r="C696" t="str">
            <v xml:space="preserve"> </v>
          </cell>
          <cell r="D696">
            <v>1990</v>
          </cell>
          <cell r="E696" t="str">
            <v>Gulfstream International Corp</v>
          </cell>
          <cell r="F696">
            <v>14</v>
          </cell>
          <cell r="G696">
            <v>33193</v>
          </cell>
          <cell r="I696" t="str">
            <v>North America</v>
          </cell>
          <cell r="J696" t="str">
            <v>USA</v>
          </cell>
          <cell r="K696">
            <v>32324</v>
          </cell>
        </row>
        <row r="697">
          <cell r="A697" t="str">
            <v>In service</v>
          </cell>
          <cell r="B697" t="str">
            <v>Gulfstream Aerospace Gulfstream IV</v>
          </cell>
          <cell r="C697" t="str">
            <v xml:space="preserve"> </v>
          </cell>
          <cell r="D697">
            <v>1990</v>
          </cell>
          <cell r="E697" t="str">
            <v>Billionaire Inc</v>
          </cell>
          <cell r="F697">
            <v>14</v>
          </cell>
          <cell r="G697">
            <v>33253</v>
          </cell>
          <cell r="I697" t="str">
            <v>North America</v>
          </cell>
          <cell r="J697" t="str">
            <v>USA</v>
          </cell>
          <cell r="K697">
            <v>32689</v>
          </cell>
        </row>
        <row r="698">
          <cell r="A698" t="str">
            <v>In service</v>
          </cell>
          <cell r="B698" t="str">
            <v>Gulfstream Aerospace Gulfstream IV</v>
          </cell>
          <cell r="C698" t="str">
            <v xml:space="preserve"> </v>
          </cell>
          <cell r="D698">
            <v>1990</v>
          </cell>
          <cell r="E698" t="str">
            <v>Schering Plough Corp</v>
          </cell>
          <cell r="F698">
            <v>14</v>
          </cell>
          <cell r="G698">
            <v>33207</v>
          </cell>
          <cell r="I698" t="str">
            <v>North America</v>
          </cell>
          <cell r="J698" t="str">
            <v>USA</v>
          </cell>
          <cell r="K698">
            <v>32324</v>
          </cell>
        </row>
        <row r="699">
          <cell r="A699" t="str">
            <v>In service</v>
          </cell>
          <cell r="B699" t="str">
            <v>Gulfstream Aerospace Gulfstream IV</v>
          </cell>
          <cell r="C699" t="str">
            <v xml:space="preserve"> </v>
          </cell>
          <cell r="D699">
            <v>1990</v>
          </cell>
          <cell r="E699" t="str">
            <v xml:space="preserve">I M S Health Transportation Services </v>
          </cell>
          <cell r="F699">
            <v>14</v>
          </cell>
          <cell r="G699">
            <v>33161</v>
          </cell>
          <cell r="I699" t="str">
            <v>North America</v>
          </cell>
          <cell r="J699" t="str">
            <v>USA</v>
          </cell>
          <cell r="K699">
            <v>32324</v>
          </cell>
        </row>
        <row r="700">
          <cell r="A700" t="str">
            <v>In service</v>
          </cell>
          <cell r="B700" t="str">
            <v>Gulfstream Aerospace Gulfstream IV</v>
          </cell>
          <cell r="C700" t="str">
            <v xml:space="preserve"> </v>
          </cell>
          <cell r="D700">
            <v>1991</v>
          </cell>
          <cell r="E700" t="str">
            <v>Exxon Mobil Corp</v>
          </cell>
          <cell r="F700">
            <v>13</v>
          </cell>
          <cell r="G700">
            <v>33249</v>
          </cell>
          <cell r="I700" t="str">
            <v>North America</v>
          </cell>
          <cell r="J700" t="str">
            <v>USA</v>
          </cell>
          <cell r="K700">
            <v>32689</v>
          </cell>
        </row>
        <row r="701">
          <cell r="A701" t="str">
            <v>In service</v>
          </cell>
          <cell r="B701" t="str">
            <v>Gulfstream Aerospace Gulfstream IV</v>
          </cell>
          <cell r="C701" t="str">
            <v xml:space="preserve"> </v>
          </cell>
          <cell r="D701">
            <v>1991</v>
          </cell>
          <cell r="E701" t="str">
            <v>GSCP (NJ) Inc</v>
          </cell>
          <cell r="F701">
            <v>13</v>
          </cell>
          <cell r="G701">
            <v>33253</v>
          </cell>
          <cell r="I701" t="str">
            <v>North America</v>
          </cell>
          <cell r="J701" t="str">
            <v>USA</v>
          </cell>
          <cell r="K701">
            <v>32689</v>
          </cell>
        </row>
        <row r="702">
          <cell r="A702" t="str">
            <v>In service</v>
          </cell>
          <cell r="B702" t="str">
            <v>Gulfstream Aerospace Gulfstream IV</v>
          </cell>
          <cell r="C702" t="str">
            <v xml:space="preserve"> </v>
          </cell>
          <cell r="D702">
            <v>1990</v>
          </cell>
          <cell r="E702" t="str">
            <v>Presley CMR Inc</v>
          </cell>
          <cell r="F702">
            <v>14</v>
          </cell>
          <cell r="G702">
            <v>33053</v>
          </cell>
          <cell r="I702" t="str">
            <v>North America</v>
          </cell>
          <cell r="J702" t="str">
            <v>USA</v>
          </cell>
          <cell r="K702">
            <v>32324</v>
          </cell>
        </row>
        <row r="703">
          <cell r="A703" t="str">
            <v>In service</v>
          </cell>
          <cell r="B703" t="str">
            <v>Gulfstream Aerospace Gulfstream IV</v>
          </cell>
          <cell r="C703" t="str">
            <v xml:space="preserve"> </v>
          </cell>
          <cell r="D703">
            <v>1990</v>
          </cell>
          <cell r="E703" t="str">
            <v>Ronin LLC</v>
          </cell>
          <cell r="F703">
            <v>14</v>
          </cell>
          <cell r="G703">
            <v>33087</v>
          </cell>
          <cell r="I703" t="str">
            <v>North America</v>
          </cell>
          <cell r="J703" t="str">
            <v>USA</v>
          </cell>
          <cell r="K703">
            <v>32324</v>
          </cell>
        </row>
        <row r="704">
          <cell r="A704" t="str">
            <v>In service</v>
          </cell>
          <cell r="B704" t="str">
            <v>Gulfstream Aerospace Gulfstream IV</v>
          </cell>
          <cell r="C704" t="str">
            <v xml:space="preserve"> </v>
          </cell>
          <cell r="D704">
            <v>1991</v>
          </cell>
          <cell r="E704" t="str">
            <v>Gypsy Two LLC</v>
          </cell>
          <cell r="F704">
            <v>13</v>
          </cell>
          <cell r="G704">
            <v>33343</v>
          </cell>
          <cell r="I704" t="str">
            <v>North America</v>
          </cell>
          <cell r="J704" t="str">
            <v>USA</v>
          </cell>
          <cell r="K704">
            <v>33054</v>
          </cell>
        </row>
        <row r="705">
          <cell r="A705" t="str">
            <v>In service</v>
          </cell>
          <cell r="B705" t="str">
            <v>Gulfstream Aerospace Gulfstream IV</v>
          </cell>
          <cell r="C705" t="str">
            <v xml:space="preserve"> </v>
          </cell>
          <cell r="D705">
            <v>1991</v>
          </cell>
          <cell r="E705" t="str">
            <v>Saudi Arabian Airlines</v>
          </cell>
          <cell r="F705">
            <v>13</v>
          </cell>
          <cell r="G705">
            <v>33320</v>
          </cell>
          <cell r="I705" t="str">
            <v>Middle East</v>
          </cell>
          <cell r="J705" t="str">
            <v>Saudi Arabia</v>
          </cell>
          <cell r="K705">
            <v>32689</v>
          </cell>
        </row>
        <row r="706">
          <cell r="A706" t="str">
            <v>In service</v>
          </cell>
          <cell r="B706" t="str">
            <v>Gulfstream Aerospace Gulfstream IV</v>
          </cell>
          <cell r="C706" t="str">
            <v xml:space="preserve"> </v>
          </cell>
          <cell r="D706">
            <v>1991</v>
          </cell>
          <cell r="E706" t="str">
            <v>Air China Business Jet</v>
          </cell>
          <cell r="F706">
            <v>13</v>
          </cell>
          <cell r="G706">
            <v>33284</v>
          </cell>
          <cell r="I706" t="str">
            <v>Asia</v>
          </cell>
          <cell r="J706" t="str">
            <v>China</v>
          </cell>
          <cell r="K706">
            <v>32689</v>
          </cell>
        </row>
        <row r="707">
          <cell r="A707" t="str">
            <v>In service</v>
          </cell>
          <cell r="B707" t="str">
            <v>Gulfstream Aerospace Gulfstream IV</v>
          </cell>
          <cell r="C707" t="str">
            <v xml:space="preserve"> </v>
          </cell>
          <cell r="D707">
            <v>1991</v>
          </cell>
          <cell r="E707" t="str">
            <v>Countrywide Home Loans Inc</v>
          </cell>
          <cell r="F707">
            <v>13</v>
          </cell>
          <cell r="G707">
            <v>33399</v>
          </cell>
          <cell r="I707" t="str">
            <v>North America</v>
          </cell>
          <cell r="J707" t="str">
            <v>USA</v>
          </cell>
          <cell r="K707">
            <v>32689</v>
          </cell>
        </row>
        <row r="708">
          <cell r="A708" t="str">
            <v>In service</v>
          </cell>
          <cell r="B708" t="str">
            <v>Gulfstream Aerospace Gulfstream IV</v>
          </cell>
          <cell r="C708" t="str">
            <v xml:space="preserve"> </v>
          </cell>
          <cell r="D708">
            <v>1990</v>
          </cell>
          <cell r="E708" t="str">
            <v>New World Aircraft GIV-1146 LLC</v>
          </cell>
          <cell r="F708">
            <v>14</v>
          </cell>
          <cell r="G708">
            <v>33337</v>
          </cell>
          <cell r="I708" t="str">
            <v>North America</v>
          </cell>
          <cell r="J708" t="str">
            <v>USA</v>
          </cell>
          <cell r="K708">
            <v>32689</v>
          </cell>
        </row>
        <row r="709">
          <cell r="A709" t="str">
            <v>In service</v>
          </cell>
          <cell r="B709" t="str">
            <v>Gulfstream Aerospace Gulfstream IV</v>
          </cell>
          <cell r="C709" t="str">
            <v xml:space="preserve"> </v>
          </cell>
          <cell r="D709">
            <v>1990</v>
          </cell>
          <cell r="E709" t="str">
            <v>Koloa Aviation LLC</v>
          </cell>
          <cell r="F709">
            <v>14</v>
          </cell>
          <cell r="G709">
            <v>33161</v>
          </cell>
          <cell r="I709" t="str">
            <v>North America</v>
          </cell>
          <cell r="J709" t="str">
            <v>USA</v>
          </cell>
          <cell r="K709">
            <v>32324</v>
          </cell>
        </row>
        <row r="710">
          <cell r="A710" t="str">
            <v>In service</v>
          </cell>
          <cell r="B710" t="str">
            <v>Gulfstream Aerospace Gulfstream IV</v>
          </cell>
          <cell r="C710" t="str">
            <v xml:space="preserve"> </v>
          </cell>
          <cell r="D710">
            <v>1991</v>
          </cell>
          <cell r="E710" t="str">
            <v>T-Bird Aviation Inc</v>
          </cell>
          <cell r="F710">
            <v>13</v>
          </cell>
          <cell r="G710">
            <v>33511</v>
          </cell>
          <cell r="I710" t="str">
            <v>North America</v>
          </cell>
          <cell r="J710" t="str">
            <v>USA</v>
          </cell>
          <cell r="K710">
            <v>32689</v>
          </cell>
        </row>
        <row r="711">
          <cell r="A711" t="str">
            <v>In service</v>
          </cell>
          <cell r="B711" t="str">
            <v>Gulfstream Aerospace Gulfstream IV</v>
          </cell>
          <cell r="C711" t="str">
            <v xml:space="preserve"> </v>
          </cell>
          <cell r="D711">
            <v>1990</v>
          </cell>
          <cell r="E711" t="str">
            <v>Blum Capital Partners LP</v>
          </cell>
          <cell r="F711">
            <v>14</v>
          </cell>
          <cell r="G711">
            <v>33069</v>
          </cell>
          <cell r="I711" t="str">
            <v>North America</v>
          </cell>
          <cell r="J711" t="str">
            <v>USA</v>
          </cell>
          <cell r="K711">
            <v>32689</v>
          </cell>
        </row>
        <row r="712">
          <cell r="A712" t="str">
            <v>In service</v>
          </cell>
          <cell r="B712" t="str">
            <v>Gulfstream Aerospace Gulfstream IV</v>
          </cell>
          <cell r="C712" t="str">
            <v xml:space="preserve"> </v>
          </cell>
          <cell r="D712">
            <v>1991</v>
          </cell>
          <cell r="E712" t="str">
            <v>Elite Aviation LLC</v>
          </cell>
          <cell r="F712">
            <v>13</v>
          </cell>
          <cell r="G712">
            <v>33587</v>
          </cell>
          <cell r="I712" t="str">
            <v>North America</v>
          </cell>
          <cell r="J712" t="str">
            <v>USA</v>
          </cell>
          <cell r="K712">
            <v>32689</v>
          </cell>
        </row>
        <row r="713">
          <cell r="A713" t="str">
            <v>In service</v>
          </cell>
          <cell r="B713" t="str">
            <v>Gulfstream Aerospace Gulfstream IV</v>
          </cell>
          <cell r="C713" t="str">
            <v xml:space="preserve"> </v>
          </cell>
          <cell r="D713">
            <v>1990</v>
          </cell>
          <cell r="E713" t="str">
            <v>S T Aviation LLC</v>
          </cell>
          <cell r="F713">
            <v>14</v>
          </cell>
          <cell r="G713">
            <v>33222</v>
          </cell>
          <cell r="I713" t="str">
            <v>North America</v>
          </cell>
          <cell r="J713" t="str">
            <v>USA</v>
          </cell>
          <cell r="K713">
            <v>32324</v>
          </cell>
        </row>
        <row r="714">
          <cell r="A714" t="str">
            <v>In service</v>
          </cell>
          <cell r="B714" t="str">
            <v>Gulfstream Aerospace Gulfstream IV</v>
          </cell>
          <cell r="C714" t="str">
            <v xml:space="preserve"> </v>
          </cell>
          <cell r="D714">
            <v>1990</v>
          </cell>
          <cell r="E714" t="str">
            <v>International Group Inc</v>
          </cell>
          <cell r="F714">
            <v>14</v>
          </cell>
          <cell r="G714">
            <v>33203</v>
          </cell>
          <cell r="I714" t="str">
            <v>North America</v>
          </cell>
          <cell r="J714" t="str">
            <v>USA</v>
          </cell>
          <cell r="K714">
            <v>32324</v>
          </cell>
        </row>
        <row r="715">
          <cell r="A715" t="str">
            <v>In service</v>
          </cell>
          <cell r="B715" t="str">
            <v>Gulfstream Aerospace Gulfstream IV</v>
          </cell>
          <cell r="C715" t="str">
            <v xml:space="preserve"> </v>
          </cell>
          <cell r="D715">
            <v>1990</v>
          </cell>
          <cell r="E715" t="str">
            <v>International Home Foods Inc</v>
          </cell>
          <cell r="F715">
            <v>14</v>
          </cell>
          <cell r="G715">
            <v>33224</v>
          </cell>
          <cell r="I715" t="str">
            <v>North America</v>
          </cell>
          <cell r="J715" t="str">
            <v>USA</v>
          </cell>
          <cell r="K715">
            <v>32324</v>
          </cell>
        </row>
        <row r="716">
          <cell r="A716" t="str">
            <v>In service</v>
          </cell>
          <cell r="B716" t="str">
            <v>Gulfstream Aerospace Gulfstream IV</v>
          </cell>
          <cell r="C716" t="str">
            <v xml:space="preserve"> </v>
          </cell>
          <cell r="D716">
            <v>1990</v>
          </cell>
          <cell r="E716" t="str">
            <v>Alcatel USA Marketing Inc</v>
          </cell>
          <cell r="F716">
            <v>14</v>
          </cell>
          <cell r="G716">
            <v>33225</v>
          </cell>
          <cell r="I716" t="str">
            <v>North America</v>
          </cell>
          <cell r="J716" t="str">
            <v>USA</v>
          </cell>
        </row>
        <row r="717">
          <cell r="A717" t="str">
            <v>In service</v>
          </cell>
          <cell r="B717" t="str">
            <v>Gulfstream Aerospace Gulfstream IV</v>
          </cell>
          <cell r="C717" t="str">
            <v xml:space="preserve"> </v>
          </cell>
          <cell r="D717">
            <v>1990</v>
          </cell>
          <cell r="E717" t="str">
            <v>BP Amoco Corp</v>
          </cell>
          <cell r="F717">
            <v>14</v>
          </cell>
          <cell r="G717">
            <v>33235</v>
          </cell>
          <cell r="I717" t="str">
            <v>North America</v>
          </cell>
          <cell r="J717" t="str">
            <v>USA</v>
          </cell>
          <cell r="K717">
            <v>32324</v>
          </cell>
        </row>
        <row r="718">
          <cell r="A718" t="str">
            <v>In service</v>
          </cell>
          <cell r="B718" t="str">
            <v>Gulfstream Aerospace Gulfstream IV</v>
          </cell>
          <cell r="C718" t="str">
            <v xml:space="preserve"> </v>
          </cell>
          <cell r="D718">
            <v>1990</v>
          </cell>
          <cell r="E718" t="str">
            <v>Gandel Group Pty Ltd</v>
          </cell>
          <cell r="F718">
            <v>14</v>
          </cell>
          <cell r="G718">
            <v>33260</v>
          </cell>
          <cell r="I718" t="str">
            <v>Australasia</v>
          </cell>
          <cell r="J718" t="str">
            <v>Australia</v>
          </cell>
          <cell r="K718">
            <v>33054</v>
          </cell>
        </row>
        <row r="719">
          <cell r="A719" t="str">
            <v>In service</v>
          </cell>
          <cell r="B719" t="str">
            <v>Gulfstream Aerospace Gulfstream IV</v>
          </cell>
          <cell r="C719" t="str">
            <v xml:space="preserve"> </v>
          </cell>
          <cell r="D719">
            <v>1991</v>
          </cell>
          <cell r="E719" t="str">
            <v>Jetalliance Flugbetriebs</v>
          </cell>
          <cell r="F719">
            <v>13</v>
          </cell>
          <cell r="G719">
            <v>33529</v>
          </cell>
          <cell r="I719" t="str">
            <v>Europe</v>
          </cell>
          <cell r="J719" t="str">
            <v>Austria</v>
          </cell>
          <cell r="K719">
            <v>32689</v>
          </cell>
        </row>
        <row r="720">
          <cell r="A720" t="str">
            <v>In service</v>
          </cell>
          <cell r="B720" t="str">
            <v>Gulfstream Aerospace Gulfstream IV</v>
          </cell>
          <cell r="C720" t="str">
            <v xml:space="preserve"> </v>
          </cell>
          <cell r="D720">
            <v>1991</v>
          </cell>
          <cell r="E720" t="str">
            <v>Evergreen International Aviation Inc</v>
          </cell>
          <cell r="F720">
            <v>13</v>
          </cell>
          <cell r="G720">
            <v>33288</v>
          </cell>
          <cell r="I720" t="str">
            <v>North America</v>
          </cell>
          <cell r="J720" t="str">
            <v>USA</v>
          </cell>
          <cell r="K720">
            <v>32689</v>
          </cell>
        </row>
        <row r="721">
          <cell r="A721" t="str">
            <v>In service</v>
          </cell>
          <cell r="B721" t="str">
            <v>Gulfstream Aerospace Gulfstream IV</v>
          </cell>
          <cell r="C721" t="str">
            <v xml:space="preserve"> </v>
          </cell>
          <cell r="D721">
            <v>1991</v>
          </cell>
          <cell r="E721" t="str">
            <v>Jetclub AG</v>
          </cell>
          <cell r="F721">
            <v>13</v>
          </cell>
          <cell r="G721">
            <v>33591</v>
          </cell>
          <cell r="I721" t="str">
            <v>Europe</v>
          </cell>
          <cell r="J721" t="str">
            <v>Switzerland</v>
          </cell>
          <cell r="K721">
            <v>32689</v>
          </cell>
        </row>
        <row r="722">
          <cell r="A722" t="str">
            <v>In service</v>
          </cell>
          <cell r="B722" t="str">
            <v>Gulfstream Aerospace Gulfstream IV</v>
          </cell>
          <cell r="C722" t="str">
            <v xml:space="preserve"> </v>
          </cell>
          <cell r="D722">
            <v>1991</v>
          </cell>
          <cell r="E722" t="str">
            <v>Irish Air Corps</v>
          </cell>
          <cell r="F722">
            <v>13</v>
          </cell>
          <cell r="G722">
            <v>33591</v>
          </cell>
          <cell r="I722" t="str">
            <v>Europe</v>
          </cell>
          <cell r="J722" t="str">
            <v>Ireland</v>
          </cell>
          <cell r="K722">
            <v>33054</v>
          </cell>
        </row>
        <row r="723">
          <cell r="A723" t="str">
            <v>In service</v>
          </cell>
          <cell r="B723" t="str">
            <v>Gulfstream Aerospace Gulfstream IV</v>
          </cell>
          <cell r="C723" t="str">
            <v xml:space="preserve"> </v>
          </cell>
          <cell r="D723">
            <v>1992</v>
          </cell>
          <cell r="E723" t="str">
            <v>Executive Fliteways Inc</v>
          </cell>
          <cell r="F723">
            <v>12</v>
          </cell>
          <cell r="G723">
            <v>33616</v>
          </cell>
          <cell r="I723" t="str">
            <v>North America</v>
          </cell>
          <cell r="J723" t="str">
            <v>USA</v>
          </cell>
          <cell r="K723">
            <v>32689</v>
          </cell>
        </row>
        <row r="724">
          <cell r="A724" t="str">
            <v>In service</v>
          </cell>
          <cell r="B724" t="str">
            <v>Gulfstream Aerospace Gulfstream IV</v>
          </cell>
          <cell r="C724" t="str">
            <v xml:space="preserve"> </v>
          </cell>
          <cell r="D724">
            <v>1991</v>
          </cell>
          <cell r="E724" t="str">
            <v>Turkish Air Force</v>
          </cell>
          <cell r="F724">
            <v>13</v>
          </cell>
          <cell r="G724">
            <v>33587</v>
          </cell>
          <cell r="I724" t="str">
            <v>Europe</v>
          </cell>
          <cell r="J724" t="str">
            <v>Turkey</v>
          </cell>
        </row>
        <row r="725">
          <cell r="A725" t="str">
            <v>In service</v>
          </cell>
          <cell r="B725" t="str">
            <v>Gulfstream Aerospace Gulfstream IV</v>
          </cell>
          <cell r="C725" t="str">
            <v xml:space="preserve"> </v>
          </cell>
          <cell r="D725">
            <v>1991</v>
          </cell>
          <cell r="E725" t="str">
            <v>Wells Fargo &amp; Co</v>
          </cell>
          <cell r="F725">
            <v>13</v>
          </cell>
          <cell r="G725">
            <v>33353</v>
          </cell>
          <cell r="I725" t="str">
            <v>North America</v>
          </cell>
          <cell r="J725" t="str">
            <v>USA</v>
          </cell>
          <cell r="K725">
            <v>32689</v>
          </cell>
        </row>
        <row r="726">
          <cell r="A726" t="str">
            <v>In service</v>
          </cell>
          <cell r="B726" t="str">
            <v>Gulfstream Aerospace Gulfstream IV</v>
          </cell>
          <cell r="C726" t="str">
            <v xml:space="preserve"> </v>
          </cell>
          <cell r="D726">
            <v>1991</v>
          </cell>
          <cell r="E726" t="str">
            <v>International Business Machines (IBM) Corp</v>
          </cell>
          <cell r="F726">
            <v>13</v>
          </cell>
          <cell r="G726">
            <v>33284</v>
          </cell>
          <cell r="I726" t="str">
            <v>North America</v>
          </cell>
          <cell r="J726" t="str">
            <v>USA</v>
          </cell>
        </row>
        <row r="727">
          <cell r="A727" t="str">
            <v>In service</v>
          </cell>
          <cell r="B727" t="str">
            <v>Gulfstream Aerospace Gulfstream IV</v>
          </cell>
          <cell r="C727" t="str">
            <v xml:space="preserve"> </v>
          </cell>
          <cell r="D727">
            <v>1991</v>
          </cell>
          <cell r="E727" t="str">
            <v>Saudi Arabian Airlines</v>
          </cell>
          <cell r="F727">
            <v>13</v>
          </cell>
          <cell r="G727">
            <v>33526</v>
          </cell>
          <cell r="I727" t="str">
            <v>Middle East</v>
          </cell>
          <cell r="J727" t="str">
            <v>Saudi Arabia</v>
          </cell>
        </row>
        <row r="728">
          <cell r="A728" t="str">
            <v>In service</v>
          </cell>
          <cell r="B728" t="str">
            <v>Gulfstream Aerospace Gulfstream IV</v>
          </cell>
          <cell r="C728" t="str">
            <v xml:space="preserve"> </v>
          </cell>
          <cell r="D728">
            <v>1991</v>
          </cell>
          <cell r="E728" t="str">
            <v>Sara Lee Corp</v>
          </cell>
          <cell r="F728">
            <v>13</v>
          </cell>
          <cell r="G728">
            <v>33399</v>
          </cell>
          <cell r="I728" t="str">
            <v>North America</v>
          </cell>
          <cell r="J728" t="str">
            <v>USA</v>
          </cell>
          <cell r="K728">
            <v>32689</v>
          </cell>
        </row>
        <row r="729">
          <cell r="A729" t="str">
            <v>In service</v>
          </cell>
          <cell r="B729" t="str">
            <v>Gulfstream Aerospace Gulfstream IV</v>
          </cell>
          <cell r="C729" t="str">
            <v xml:space="preserve"> </v>
          </cell>
          <cell r="D729">
            <v>1991</v>
          </cell>
          <cell r="E729" t="str">
            <v>Oman Royal Flight</v>
          </cell>
          <cell r="F729">
            <v>13</v>
          </cell>
          <cell r="G729">
            <v>33395</v>
          </cell>
          <cell r="I729" t="str">
            <v>Middle East</v>
          </cell>
          <cell r="J729" t="str">
            <v>Oman</v>
          </cell>
        </row>
        <row r="730">
          <cell r="A730" t="str">
            <v>In service</v>
          </cell>
          <cell r="B730" t="str">
            <v>Gulfstream Aerospace Gulfstream IV</v>
          </cell>
          <cell r="C730" t="str">
            <v xml:space="preserve"> </v>
          </cell>
          <cell r="D730">
            <v>1991</v>
          </cell>
          <cell r="E730" t="str">
            <v>CRK Studio LLC</v>
          </cell>
          <cell r="F730">
            <v>13</v>
          </cell>
          <cell r="G730">
            <v>33441</v>
          </cell>
          <cell r="I730" t="str">
            <v>North America</v>
          </cell>
          <cell r="J730" t="str">
            <v>USA</v>
          </cell>
          <cell r="K730">
            <v>32689</v>
          </cell>
        </row>
        <row r="731">
          <cell r="A731" t="str">
            <v>In service</v>
          </cell>
          <cell r="B731" t="str">
            <v>Gulfstream Aerospace Gulfstream IV</v>
          </cell>
          <cell r="C731" t="str">
            <v xml:space="preserve"> </v>
          </cell>
          <cell r="D731">
            <v>1991</v>
          </cell>
          <cell r="E731" t="str">
            <v>J Porter Enterprises Inc</v>
          </cell>
          <cell r="F731">
            <v>13</v>
          </cell>
          <cell r="G731">
            <v>33504</v>
          </cell>
          <cell r="I731" t="str">
            <v>North America</v>
          </cell>
          <cell r="J731" t="str">
            <v>USA</v>
          </cell>
          <cell r="K731">
            <v>33054</v>
          </cell>
        </row>
        <row r="732">
          <cell r="A732" t="str">
            <v>In service</v>
          </cell>
          <cell r="B732" t="str">
            <v>Gulfstream Aerospace Gulfstream IV</v>
          </cell>
          <cell r="C732" t="str">
            <v xml:space="preserve"> </v>
          </cell>
          <cell r="D732">
            <v>1991</v>
          </cell>
          <cell r="E732" t="str">
            <v>Stanford Aviation 5555 LLC</v>
          </cell>
          <cell r="F732">
            <v>13</v>
          </cell>
          <cell r="G732">
            <v>33470</v>
          </cell>
          <cell r="I732" t="str">
            <v>North America</v>
          </cell>
          <cell r="J732" t="str">
            <v>USA</v>
          </cell>
          <cell r="K732">
            <v>32689</v>
          </cell>
        </row>
        <row r="733">
          <cell r="A733" t="str">
            <v>In service</v>
          </cell>
          <cell r="B733" t="str">
            <v>Gulfstream Aerospace Gulfstream IV</v>
          </cell>
          <cell r="C733" t="str">
            <v xml:space="preserve"> </v>
          </cell>
          <cell r="D733">
            <v>1991</v>
          </cell>
          <cell r="E733" t="str">
            <v>Assembly Pointe Aviation</v>
          </cell>
          <cell r="F733">
            <v>13</v>
          </cell>
          <cell r="G733">
            <v>33526</v>
          </cell>
          <cell r="I733" t="str">
            <v>North America</v>
          </cell>
          <cell r="J733" t="str">
            <v>USA</v>
          </cell>
          <cell r="K733">
            <v>32689</v>
          </cell>
        </row>
        <row r="734">
          <cell r="A734" t="str">
            <v>In service</v>
          </cell>
          <cell r="B734" t="str">
            <v>Gulfstream Aerospace Gulfstream IV</v>
          </cell>
          <cell r="C734" t="str">
            <v xml:space="preserve"> </v>
          </cell>
          <cell r="D734">
            <v>1992</v>
          </cell>
          <cell r="E734" t="str">
            <v>Government of Botswana</v>
          </cell>
          <cell r="F734">
            <v>12</v>
          </cell>
          <cell r="G734">
            <v>33636</v>
          </cell>
          <cell r="I734" t="str">
            <v>Africa</v>
          </cell>
          <cell r="J734" t="str">
            <v>Botswana</v>
          </cell>
          <cell r="K734">
            <v>33192</v>
          </cell>
        </row>
        <row r="735">
          <cell r="A735" t="str">
            <v>In service</v>
          </cell>
          <cell r="B735" t="str">
            <v>Gulfstream Aerospace Gulfstream IV</v>
          </cell>
          <cell r="C735" t="str">
            <v xml:space="preserve"> </v>
          </cell>
          <cell r="D735">
            <v>1992</v>
          </cell>
          <cell r="E735" t="str">
            <v>Paramount Pictures Corp</v>
          </cell>
          <cell r="F735">
            <v>12</v>
          </cell>
          <cell r="G735">
            <v>33862</v>
          </cell>
          <cell r="I735" t="str">
            <v>North America</v>
          </cell>
          <cell r="J735" t="str">
            <v>USA</v>
          </cell>
          <cell r="K735">
            <v>33054</v>
          </cell>
        </row>
        <row r="736">
          <cell r="A736" t="str">
            <v>In service</v>
          </cell>
          <cell r="B736" t="str">
            <v>Gulfstream Aerospace Gulfstream IV</v>
          </cell>
          <cell r="C736" t="str">
            <v xml:space="preserve"> </v>
          </cell>
          <cell r="D736">
            <v>1992</v>
          </cell>
          <cell r="E736" t="str">
            <v>NM Rothschild &amp; Sons Ltd</v>
          </cell>
          <cell r="F736">
            <v>12</v>
          </cell>
          <cell r="G736">
            <v>33936</v>
          </cell>
          <cell r="I736" t="str">
            <v>Europe</v>
          </cell>
          <cell r="J736" t="str">
            <v>United Kingdom</v>
          </cell>
          <cell r="K736">
            <v>33054</v>
          </cell>
        </row>
        <row r="737">
          <cell r="A737" t="str">
            <v>In service</v>
          </cell>
          <cell r="B737" t="str">
            <v>Gulfstream Aerospace Gulfstream IV</v>
          </cell>
          <cell r="C737" t="str">
            <v xml:space="preserve"> </v>
          </cell>
          <cell r="D737">
            <v>1992</v>
          </cell>
          <cell r="E737" t="str">
            <v>The Air Group Inc</v>
          </cell>
          <cell r="F737">
            <v>12</v>
          </cell>
          <cell r="G737">
            <v>33798</v>
          </cell>
          <cell r="I737" t="str">
            <v>North America</v>
          </cell>
          <cell r="J737" t="str">
            <v>USA</v>
          </cell>
          <cell r="K737">
            <v>33054</v>
          </cell>
        </row>
        <row r="738">
          <cell r="A738" t="str">
            <v>In service</v>
          </cell>
          <cell r="B738" t="str">
            <v>Gulfstream Aerospace Gulfstream IV</v>
          </cell>
          <cell r="C738" t="str">
            <v xml:space="preserve"> </v>
          </cell>
          <cell r="D738">
            <v>1992</v>
          </cell>
          <cell r="E738" t="str">
            <v>The Coca-Cola Co</v>
          </cell>
          <cell r="F738">
            <v>12</v>
          </cell>
          <cell r="G738">
            <v>34010</v>
          </cell>
          <cell r="I738" t="str">
            <v>North America</v>
          </cell>
          <cell r="J738" t="str">
            <v>USA</v>
          </cell>
          <cell r="K738">
            <v>33419</v>
          </cell>
        </row>
        <row r="739">
          <cell r="A739" t="str">
            <v>In service</v>
          </cell>
          <cell r="B739" t="str">
            <v>Gulfstream Aerospace Gulfstream IV</v>
          </cell>
          <cell r="C739" t="str">
            <v xml:space="preserve"> </v>
          </cell>
          <cell r="D739">
            <v>1992</v>
          </cell>
          <cell r="E739" t="str">
            <v>JFM Inc</v>
          </cell>
          <cell r="F739">
            <v>12</v>
          </cell>
          <cell r="G739">
            <v>33678</v>
          </cell>
          <cell r="I739" t="str">
            <v>North America</v>
          </cell>
          <cell r="J739" t="str">
            <v>USA</v>
          </cell>
          <cell r="K739">
            <v>33054</v>
          </cell>
        </row>
        <row r="740">
          <cell r="A740" t="str">
            <v>In service</v>
          </cell>
          <cell r="B740" t="str">
            <v>Gulfstream Aerospace Gulfstream IV</v>
          </cell>
          <cell r="C740" t="str">
            <v xml:space="preserve"> </v>
          </cell>
          <cell r="D740">
            <v>1991</v>
          </cell>
          <cell r="E740" t="str">
            <v>JM Family Enterprises Inc</v>
          </cell>
          <cell r="F740">
            <v>13</v>
          </cell>
          <cell r="G740">
            <v>33557</v>
          </cell>
          <cell r="I740" t="str">
            <v>North America</v>
          </cell>
          <cell r="J740" t="str">
            <v>USA</v>
          </cell>
          <cell r="K740">
            <v>32689</v>
          </cell>
        </row>
        <row r="741">
          <cell r="A741" t="str">
            <v>In service</v>
          </cell>
          <cell r="B741" t="str">
            <v>Gulfstream Aerospace Gulfstream IV</v>
          </cell>
          <cell r="C741" t="str">
            <v xml:space="preserve"> </v>
          </cell>
          <cell r="D741">
            <v>1992</v>
          </cell>
          <cell r="E741" t="str">
            <v>BC Enterprises LLC</v>
          </cell>
          <cell r="F741">
            <v>12</v>
          </cell>
          <cell r="G741">
            <v>33759</v>
          </cell>
          <cell r="I741" t="str">
            <v>North America</v>
          </cell>
          <cell r="J741" t="str">
            <v>USA</v>
          </cell>
          <cell r="K741">
            <v>33054</v>
          </cell>
        </row>
        <row r="742">
          <cell r="A742" t="str">
            <v>In service</v>
          </cell>
          <cell r="B742" t="str">
            <v>Gulfstream Aerospace Gulfstream IV</v>
          </cell>
          <cell r="C742" t="str">
            <v xml:space="preserve"> </v>
          </cell>
          <cell r="D742">
            <v>1992</v>
          </cell>
          <cell r="E742" t="str">
            <v>Crown Credit Co Ltd</v>
          </cell>
          <cell r="F742">
            <v>12</v>
          </cell>
          <cell r="G742">
            <v>33812</v>
          </cell>
          <cell r="I742" t="str">
            <v>North America</v>
          </cell>
          <cell r="J742" t="str">
            <v>USA</v>
          </cell>
          <cell r="K742">
            <v>33054</v>
          </cell>
        </row>
        <row r="743">
          <cell r="A743" t="str">
            <v>In service</v>
          </cell>
          <cell r="B743" t="str">
            <v>Gulfstream Aerospace Gulfstream IV</v>
          </cell>
          <cell r="C743" t="str">
            <v xml:space="preserve"> </v>
          </cell>
          <cell r="D743">
            <v>1992</v>
          </cell>
          <cell r="E743" t="str">
            <v>Moss Trust</v>
          </cell>
          <cell r="F743">
            <v>12</v>
          </cell>
          <cell r="G743">
            <v>33680</v>
          </cell>
          <cell r="I743" t="str">
            <v>North America</v>
          </cell>
          <cell r="J743" t="str">
            <v>USA</v>
          </cell>
          <cell r="K743">
            <v>33054</v>
          </cell>
        </row>
        <row r="744">
          <cell r="A744" t="str">
            <v>In service</v>
          </cell>
          <cell r="B744" t="str">
            <v>Gulfstream Aerospace Gulfstream IV</v>
          </cell>
          <cell r="C744" t="str">
            <v xml:space="preserve"> </v>
          </cell>
          <cell r="D744">
            <v>1992</v>
          </cell>
          <cell r="E744" t="str">
            <v>711 Air Corp</v>
          </cell>
          <cell r="F744">
            <v>12</v>
          </cell>
          <cell r="G744">
            <v>34150</v>
          </cell>
          <cell r="I744" t="str">
            <v>North America</v>
          </cell>
          <cell r="J744" t="str">
            <v>USA</v>
          </cell>
          <cell r="K744">
            <v>33419</v>
          </cell>
        </row>
        <row r="745">
          <cell r="A745" t="str">
            <v>In service</v>
          </cell>
          <cell r="B745" t="str">
            <v>Gulfstream Aerospace Gulfstream IV</v>
          </cell>
          <cell r="C745" t="str">
            <v xml:space="preserve"> </v>
          </cell>
          <cell r="D745">
            <v>1992</v>
          </cell>
          <cell r="E745" t="str">
            <v>Korean Air</v>
          </cell>
          <cell r="F745">
            <v>12</v>
          </cell>
          <cell r="G745">
            <v>34655</v>
          </cell>
          <cell r="I745" t="str">
            <v>Asia</v>
          </cell>
          <cell r="J745" t="str">
            <v>South Korea</v>
          </cell>
          <cell r="K745">
            <v>33785</v>
          </cell>
        </row>
        <row r="746">
          <cell r="A746" t="str">
            <v>In service</v>
          </cell>
          <cell r="B746" t="str">
            <v>Gulfstream Aerospace Gulfstream IV</v>
          </cell>
          <cell r="C746" t="str">
            <v xml:space="preserve"> </v>
          </cell>
          <cell r="D746">
            <v>1992</v>
          </cell>
          <cell r="E746" t="str">
            <v>Japan Civil Aviation Bureau</v>
          </cell>
          <cell r="F746">
            <v>12</v>
          </cell>
          <cell r="G746">
            <v>34237</v>
          </cell>
          <cell r="I746" t="str">
            <v>Asia</v>
          </cell>
          <cell r="J746" t="str">
            <v>Japan</v>
          </cell>
          <cell r="K746">
            <v>34150</v>
          </cell>
        </row>
        <row r="747">
          <cell r="A747" t="str">
            <v>In service</v>
          </cell>
          <cell r="B747" t="str">
            <v>Gulfstream Aerospace Gulfstream IV</v>
          </cell>
          <cell r="C747" t="str">
            <v xml:space="preserve"> </v>
          </cell>
          <cell r="D747">
            <v>1992</v>
          </cell>
          <cell r="E747" t="str">
            <v>TB Aviation LLC</v>
          </cell>
          <cell r="F747">
            <v>12</v>
          </cell>
          <cell r="G747">
            <v>34124</v>
          </cell>
          <cell r="I747" t="str">
            <v>North America</v>
          </cell>
          <cell r="J747" t="str">
            <v>USA</v>
          </cell>
          <cell r="K747">
            <v>33419</v>
          </cell>
        </row>
        <row r="748">
          <cell r="A748" t="str">
            <v>In service</v>
          </cell>
          <cell r="B748" t="str">
            <v>Gulfstream Aerospace Gulfstream IV</v>
          </cell>
          <cell r="C748" t="str">
            <v xml:space="preserve"> </v>
          </cell>
          <cell r="D748">
            <v>1993</v>
          </cell>
          <cell r="E748" t="str">
            <v>Newcourt Capital USA Inc</v>
          </cell>
          <cell r="F748">
            <v>11</v>
          </cell>
          <cell r="G748">
            <v>34059</v>
          </cell>
          <cell r="I748" t="str">
            <v>North America</v>
          </cell>
          <cell r="J748" t="str">
            <v>Canada</v>
          </cell>
          <cell r="K748">
            <v>33419</v>
          </cell>
        </row>
        <row r="749">
          <cell r="A749" t="str">
            <v>In service</v>
          </cell>
          <cell r="B749" t="str">
            <v>Gulfstream Aerospace Gulfstream IV</v>
          </cell>
          <cell r="C749" t="str">
            <v xml:space="preserve"> </v>
          </cell>
          <cell r="D749">
            <v>1992</v>
          </cell>
          <cell r="E749" t="str">
            <v>Cassandra Lee Flight operations LLC</v>
          </cell>
          <cell r="F749">
            <v>12</v>
          </cell>
          <cell r="G749">
            <v>33926</v>
          </cell>
          <cell r="I749" t="str">
            <v>North America</v>
          </cell>
          <cell r="J749" t="str">
            <v>USA</v>
          </cell>
          <cell r="K749">
            <v>33054</v>
          </cell>
        </row>
        <row r="750">
          <cell r="A750" t="str">
            <v>In service</v>
          </cell>
          <cell r="B750" t="str">
            <v>Gulfstream Aerospace Gulfstream IV</v>
          </cell>
          <cell r="C750" t="str">
            <v xml:space="preserve"> </v>
          </cell>
          <cell r="D750">
            <v>1992</v>
          </cell>
          <cell r="E750" t="str">
            <v>Automotive Air Charter</v>
          </cell>
          <cell r="F750">
            <v>12</v>
          </cell>
          <cell r="G750">
            <v>33926</v>
          </cell>
          <cell r="I750" t="str">
            <v>North America</v>
          </cell>
          <cell r="J750" t="str">
            <v>USA</v>
          </cell>
          <cell r="K750">
            <v>33054</v>
          </cell>
        </row>
        <row r="751">
          <cell r="A751" t="str">
            <v>In service</v>
          </cell>
          <cell r="B751" t="str">
            <v>Gulfstream Aerospace Gulfstream IV</v>
          </cell>
          <cell r="C751" t="str">
            <v xml:space="preserve"> </v>
          </cell>
          <cell r="D751">
            <v>1993</v>
          </cell>
          <cell r="E751" t="str">
            <v>Red White &amp; Blue Pictures</v>
          </cell>
          <cell r="F751">
            <v>11</v>
          </cell>
          <cell r="G751">
            <v>34074</v>
          </cell>
          <cell r="I751" t="str">
            <v>North America</v>
          </cell>
          <cell r="J751" t="str">
            <v>USA</v>
          </cell>
          <cell r="K751">
            <v>33419</v>
          </cell>
        </row>
        <row r="752">
          <cell r="A752" t="str">
            <v>In service</v>
          </cell>
          <cell r="B752" t="str">
            <v>Gulfstream Aerospace Gulfstream IV</v>
          </cell>
          <cell r="C752" t="str">
            <v xml:space="preserve"> </v>
          </cell>
          <cell r="D752">
            <v>1992</v>
          </cell>
          <cell r="E752" t="str">
            <v>Oman Royal Flight</v>
          </cell>
          <cell r="F752">
            <v>12</v>
          </cell>
          <cell r="G752">
            <v>33947</v>
          </cell>
          <cell r="I752" t="str">
            <v>Middle East</v>
          </cell>
          <cell r="J752" t="str">
            <v>Oman</v>
          </cell>
          <cell r="K752">
            <v>33054</v>
          </cell>
        </row>
        <row r="753">
          <cell r="A753" t="str">
            <v>In service</v>
          </cell>
          <cell r="B753" t="str">
            <v>Gulfstream Aerospace Gulfstream IV</v>
          </cell>
          <cell r="C753" t="str">
            <v xml:space="preserve"> </v>
          </cell>
          <cell r="D753">
            <v>1992</v>
          </cell>
          <cell r="E753" t="str">
            <v>Moon Doggie Aircraft Services Corp</v>
          </cell>
          <cell r="F753">
            <v>12</v>
          </cell>
          <cell r="G753">
            <v>33830</v>
          </cell>
          <cell r="I753" t="str">
            <v>North America</v>
          </cell>
          <cell r="J753" t="str">
            <v>USA</v>
          </cell>
          <cell r="K753">
            <v>33054</v>
          </cell>
        </row>
        <row r="754">
          <cell r="A754" t="str">
            <v>In service</v>
          </cell>
          <cell r="B754" t="str">
            <v>Gulfstream Aerospace Gulfstream IV</v>
          </cell>
          <cell r="C754" t="str">
            <v xml:space="preserve"> </v>
          </cell>
          <cell r="D754">
            <v>1992</v>
          </cell>
          <cell r="E754" t="str">
            <v>Viad Corp</v>
          </cell>
          <cell r="F754">
            <v>12</v>
          </cell>
          <cell r="G754">
            <v>33872</v>
          </cell>
          <cell r="I754" t="str">
            <v>North America</v>
          </cell>
          <cell r="J754" t="str">
            <v>USA</v>
          </cell>
          <cell r="K754">
            <v>33054</v>
          </cell>
        </row>
        <row r="755">
          <cell r="A755" t="str">
            <v>In service</v>
          </cell>
          <cell r="B755" t="str">
            <v>Gulfstream Aerospace Gulfstream IV</v>
          </cell>
          <cell r="C755" t="str">
            <v xml:space="preserve"> </v>
          </cell>
          <cell r="D755">
            <v>1993</v>
          </cell>
          <cell r="E755" t="str">
            <v>Gama Aviation SA</v>
          </cell>
          <cell r="F755">
            <v>11</v>
          </cell>
          <cell r="G755">
            <v>34165</v>
          </cell>
          <cell r="I755" t="str">
            <v>Europe</v>
          </cell>
          <cell r="J755" t="str">
            <v>Switzerland</v>
          </cell>
          <cell r="K755">
            <v>33419</v>
          </cell>
        </row>
        <row r="756">
          <cell r="A756" t="str">
            <v>In service</v>
          </cell>
          <cell r="B756" t="str">
            <v>Gulfstream Aerospace Gulfstream IV</v>
          </cell>
          <cell r="C756" t="str">
            <v xml:space="preserve"> </v>
          </cell>
          <cell r="D756">
            <v>1993</v>
          </cell>
          <cell r="E756" t="str">
            <v>AT&amp;T Corp</v>
          </cell>
          <cell r="F756">
            <v>11</v>
          </cell>
          <cell r="G756">
            <v>34213</v>
          </cell>
          <cell r="I756" t="str">
            <v>North America</v>
          </cell>
          <cell r="J756" t="str">
            <v>USA</v>
          </cell>
          <cell r="K756">
            <v>33054</v>
          </cell>
        </row>
        <row r="757">
          <cell r="A757" t="str">
            <v>In service</v>
          </cell>
          <cell r="B757" t="str">
            <v>Gulfstream Aerospace Gulfstream IV</v>
          </cell>
          <cell r="C757" t="str">
            <v xml:space="preserve"> </v>
          </cell>
          <cell r="D757">
            <v>1992</v>
          </cell>
          <cell r="E757" t="str">
            <v>Cox Communications Inc</v>
          </cell>
          <cell r="F757">
            <v>12</v>
          </cell>
          <cell r="G757">
            <v>33938</v>
          </cell>
          <cell r="I757" t="str">
            <v>North America</v>
          </cell>
          <cell r="J757" t="str">
            <v>USA</v>
          </cell>
          <cell r="K757">
            <v>33054</v>
          </cell>
        </row>
        <row r="758">
          <cell r="A758" t="str">
            <v>In service</v>
          </cell>
          <cell r="B758" t="str">
            <v>Gulfstream Aerospace Gulfstream IV</v>
          </cell>
          <cell r="C758" t="str">
            <v xml:space="preserve"> </v>
          </cell>
          <cell r="D758">
            <v>1993</v>
          </cell>
          <cell r="E758" t="str">
            <v>711 Air Corp</v>
          </cell>
          <cell r="F758">
            <v>11</v>
          </cell>
          <cell r="G758">
            <v>34204</v>
          </cell>
          <cell r="I758" t="str">
            <v>North America</v>
          </cell>
          <cell r="J758" t="str">
            <v>USA</v>
          </cell>
          <cell r="K758">
            <v>33419</v>
          </cell>
        </row>
        <row r="759">
          <cell r="A759" t="str">
            <v>In service</v>
          </cell>
          <cell r="B759" t="str">
            <v>Gulfstream Aerospace Gulfstream IV</v>
          </cell>
          <cell r="C759" t="str">
            <v xml:space="preserve"> </v>
          </cell>
          <cell r="D759">
            <v>1993</v>
          </cell>
          <cell r="E759" t="str">
            <v>Great Buy Inc</v>
          </cell>
          <cell r="F759">
            <v>11</v>
          </cell>
          <cell r="G759">
            <v>34229</v>
          </cell>
          <cell r="I759" t="str">
            <v>North America</v>
          </cell>
          <cell r="J759" t="str">
            <v>USA</v>
          </cell>
          <cell r="K759">
            <v>33419</v>
          </cell>
        </row>
        <row r="760">
          <cell r="A760" t="str">
            <v>In service</v>
          </cell>
          <cell r="B760" t="str">
            <v>Gulfstream Aerospace Gulfstream IV</v>
          </cell>
          <cell r="C760" t="str">
            <v xml:space="preserve"> </v>
          </cell>
          <cell r="D760">
            <v>1993</v>
          </cell>
          <cell r="E760" t="str">
            <v>N724DB LLC</v>
          </cell>
          <cell r="F760">
            <v>11</v>
          </cell>
          <cell r="G760">
            <v>34380</v>
          </cell>
          <cell r="I760" t="str">
            <v>North America</v>
          </cell>
          <cell r="J760" t="str">
            <v>USA</v>
          </cell>
        </row>
        <row r="761">
          <cell r="A761" t="str">
            <v>In service</v>
          </cell>
          <cell r="B761" t="str">
            <v>Gulfstream Aerospace Gulfstream IV</v>
          </cell>
          <cell r="C761" t="str">
            <v xml:space="preserve"> </v>
          </cell>
          <cell r="D761">
            <v>1992</v>
          </cell>
          <cell r="E761" t="str">
            <v>PK Aire Inc</v>
          </cell>
          <cell r="F761">
            <v>12</v>
          </cell>
          <cell r="G761">
            <v>33962</v>
          </cell>
          <cell r="I761" t="str">
            <v>North America</v>
          </cell>
          <cell r="J761" t="str">
            <v>USA</v>
          </cell>
          <cell r="K761">
            <v>33054</v>
          </cell>
        </row>
        <row r="762">
          <cell r="A762" t="str">
            <v>In service</v>
          </cell>
          <cell r="B762" t="str">
            <v>Gulfstream Aerospace Gulfstream IV</v>
          </cell>
          <cell r="C762" t="str">
            <v xml:space="preserve"> </v>
          </cell>
          <cell r="D762">
            <v>1993</v>
          </cell>
          <cell r="E762" t="str">
            <v>Vista Capital Management LLC</v>
          </cell>
          <cell r="F762">
            <v>11</v>
          </cell>
          <cell r="G762">
            <v>34488</v>
          </cell>
          <cell r="I762" t="str">
            <v>North America</v>
          </cell>
          <cell r="J762" t="str">
            <v>USA</v>
          </cell>
          <cell r="K762">
            <v>33785</v>
          </cell>
        </row>
        <row r="763">
          <cell r="A763" t="str">
            <v>In service</v>
          </cell>
          <cell r="B763" t="str">
            <v>Gulfstream Aerospace Gulfstream IV</v>
          </cell>
          <cell r="C763" t="str">
            <v xml:space="preserve"> </v>
          </cell>
          <cell r="D763">
            <v>1993</v>
          </cell>
          <cell r="E763" t="str">
            <v>Hewlett-Packard Co</v>
          </cell>
          <cell r="F763">
            <v>11</v>
          </cell>
          <cell r="G763">
            <v>34194</v>
          </cell>
          <cell r="I763" t="str">
            <v>North America</v>
          </cell>
          <cell r="J763" t="str">
            <v>USA</v>
          </cell>
          <cell r="K763">
            <v>33419</v>
          </cell>
        </row>
        <row r="764">
          <cell r="A764" t="str">
            <v>In service</v>
          </cell>
          <cell r="B764" t="str">
            <v>Gulfstream Aerospace Gulfstream IV</v>
          </cell>
          <cell r="C764" t="str">
            <v xml:space="preserve"> </v>
          </cell>
          <cell r="D764">
            <v>1993</v>
          </cell>
          <cell r="E764" t="str">
            <v>News America Inc</v>
          </cell>
          <cell r="F764">
            <v>11</v>
          </cell>
          <cell r="G764">
            <v>34369</v>
          </cell>
          <cell r="I764" t="str">
            <v>North America</v>
          </cell>
          <cell r="J764" t="str">
            <v>USA</v>
          </cell>
          <cell r="K764">
            <v>34150</v>
          </cell>
        </row>
        <row r="765">
          <cell r="A765" t="str">
            <v>In service</v>
          </cell>
          <cell r="B765" t="str">
            <v>Gulfstream Aerospace Gulfstream IV</v>
          </cell>
          <cell r="C765" t="str">
            <v xml:space="preserve"> </v>
          </cell>
          <cell r="D765">
            <v>1993</v>
          </cell>
          <cell r="E765" t="str">
            <v>The Air Group Inc</v>
          </cell>
          <cell r="F765">
            <v>11</v>
          </cell>
          <cell r="G765">
            <v>34227</v>
          </cell>
          <cell r="I765" t="str">
            <v>North America</v>
          </cell>
          <cell r="J765" t="str">
            <v>USA</v>
          </cell>
          <cell r="K765">
            <v>33419</v>
          </cell>
        </row>
        <row r="766">
          <cell r="A766" t="str">
            <v>In service</v>
          </cell>
          <cell r="B766" t="str">
            <v>Gulfstream Aerospace Gulfstream IV</v>
          </cell>
          <cell r="C766" t="str">
            <v xml:space="preserve"> </v>
          </cell>
          <cell r="D766">
            <v>1993</v>
          </cell>
          <cell r="E766" t="str">
            <v>Hewlett-Packard Co</v>
          </cell>
          <cell r="F766">
            <v>11</v>
          </cell>
          <cell r="G766">
            <v>34311</v>
          </cell>
          <cell r="I766" t="str">
            <v>North America</v>
          </cell>
          <cell r="J766" t="str">
            <v>USA</v>
          </cell>
          <cell r="K766">
            <v>33419</v>
          </cell>
        </row>
        <row r="767">
          <cell r="A767" t="str">
            <v>In service</v>
          </cell>
          <cell r="B767" t="str">
            <v>Gulfstream Aerospace Gulfstream IV</v>
          </cell>
          <cell r="C767" t="str">
            <v xml:space="preserve"> </v>
          </cell>
          <cell r="D767">
            <v>1993</v>
          </cell>
          <cell r="E767" t="str">
            <v>Consortium of AOL Time Warner Companies</v>
          </cell>
          <cell r="F767">
            <v>11</v>
          </cell>
          <cell r="G767">
            <v>34380</v>
          </cell>
          <cell r="I767" t="str">
            <v>North America</v>
          </cell>
          <cell r="J767" t="str">
            <v>USA</v>
          </cell>
          <cell r="K767">
            <v>33785</v>
          </cell>
        </row>
        <row r="768">
          <cell r="A768" t="str">
            <v>In service</v>
          </cell>
          <cell r="B768" t="str">
            <v>Gulfstream Aerospace Gulfstream IV</v>
          </cell>
          <cell r="C768" t="str">
            <v xml:space="preserve"> </v>
          </cell>
          <cell r="D768">
            <v>1993</v>
          </cell>
          <cell r="E768" t="str">
            <v>Amgen Inc</v>
          </cell>
          <cell r="F768">
            <v>11</v>
          </cell>
          <cell r="G768">
            <v>34349</v>
          </cell>
          <cell r="I768" t="str">
            <v>North America</v>
          </cell>
          <cell r="J768" t="str">
            <v>USA</v>
          </cell>
          <cell r="K768">
            <v>33785</v>
          </cell>
        </row>
        <row r="769">
          <cell r="A769" t="str">
            <v>In service</v>
          </cell>
          <cell r="B769" t="str">
            <v>Gulfstream Aerospace Gulfstream IV</v>
          </cell>
          <cell r="C769" t="str">
            <v xml:space="preserve"> </v>
          </cell>
          <cell r="D769">
            <v>1993</v>
          </cell>
          <cell r="E769" t="str">
            <v>N171JC LLC</v>
          </cell>
          <cell r="F769">
            <v>11</v>
          </cell>
          <cell r="G769">
            <v>34380</v>
          </cell>
          <cell r="I769" t="str">
            <v>North America</v>
          </cell>
          <cell r="J769" t="str">
            <v>USA</v>
          </cell>
          <cell r="K769">
            <v>33785</v>
          </cell>
        </row>
        <row r="770">
          <cell r="A770" t="str">
            <v>In service</v>
          </cell>
          <cell r="B770" t="str">
            <v>Gulfstream Aerospace Gulfstream IV</v>
          </cell>
          <cell r="C770" t="str">
            <v xml:space="preserve"> </v>
          </cell>
          <cell r="D770">
            <v>1993</v>
          </cell>
          <cell r="E770" t="str">
            <v>H J Heinz Co</v>
          </cell>
          <cell r="F770">
            <v>11</v>
          </cell>
          <cell r="G770">
            <v>34682</v>
          </cell>
          <cell r="I770" t="str">
            <v>North America</v>
          </cell>
          <cell r="J770" t="str">
            <v>USA</v>
          </cell>
          <cell r="K770">
            <v>33785</v>
          </cell>
        </row>
        <row r="771">
          <cell r="A771" t="str">
            <v>In service</v>
          </cell>
          <cell r="B771" t="str">
            <v>Gulfstream Aerospace Gulfstream IV</v>
          </cell>
          <cell r="C771" t="str">
            <v xml:space="preserve"> </v>
          </cell>
          <cell r="D771">
            <v>1993</v>
          </cell>
          <cell r="E771" t="str">
            <v>Skyservice Airlines</v>
          </cell>
          <cell r="F771">
            <v>11</v>
          </cell>
          <cell r="G771">
            <v>34318</v>
          </cell>
          <cell r="I771" t="str">
            <v>North America</v>
          </cell>
          <cell r="J771" t="str">
            <v>Canada</v>
          </cell>
          <cell r="K771">
            <v>33419</v>
          </cell>
        </row>
        <row r="772">
          <cell r="A772" t="str">
            <v>In service</v>
          </cell>
          <cell r="B772" t="str">
            <v>Gulfstream Aerospace Gulfstream IV</v>
          </cell>
          <cell r="C772" t="str">
            <v xml:space="preserve"> </v>
          </cell>
          <cell r="D772">
            <v>1993</v>
          </cell>
          <cell r="E772" t="str">
            <v>Silver Stream Aviation LLC</v>
          </cell>
          <cell r="F772">
            <v>11</v>
          </cell>
          <cell r="G772">
            <v>34212</v>
          </cell>
          <cell r="I772" t="str">
            <v>North America</v>
          </cell>
          <cell r="J772" t="str">
            <v>USA</v>
          </cell>
          <cell r="K772">
            <v>33419</v>
          </cell>
        </row>
        <row r="773">
          <cell r="A773" t="str">
            <v>In service</v>
          </cell>
          <cell r="B773" t="str">
            <v>Gulfstream Aerospace Gulfstream IV</v>
          </cell>
          <cell r="C773" t="str">
            <v xml:space="preserve"> </v>
          </cell>
          <cell r="D773">
            <v>1993</v>
          </cell>
          <cell r="E773" t="str">
            <v>1226 Enterprises LLC</v>
          </cell>
          <cell r="F773">
            <v>11</v>
          </cell>
          <cell r="G773">
            <v>34515</v>
          </cell>
          <cell r="I773" t="str">
            <v>North America</v>
          </cell>
          <cell r="J773" t="str">
            <v>USA</v>
          </cell>
          <cell r="K773">
            <v>33785</v>
          </cell>
        </row>
        <row r="774">
          <cell r="A774" t="str">
            <v>In service</v>
          </cell>
          <cell r="B774" t="str">
            <v>Gulfstream Aerospace Gulfstream IV</v>
          </cell>
          <cell r="C774" t="str">
            <v xml:space="preserve"> </v>
          </cell>
          <cell r="D774">
            <v>1993</v>
          </cell>
          <cell r="E774" t="str">
            <v>Automotive Air Charter</v>
          </cell>
          <cell r="F774">
            <v>11</v>
          </cell>
          <cell r="G774">
            <v>34452</v>
          </cell>
          <cell r="I774" t="str">
            <v>North America</v>
          </cell>
          <cell r="J774" t="str">
            <v>USA</v>
          </cell>
          <cell r="K774">
            <v>33785</v>
          </cell>
        </row>
        <row r="775">
          <cell r="A775" t="str">
            <v>In service</v>
          </cell>
          <cell r="B775" t="str">
            <v>Gulfstream Aerospace Gulfstream IV</v>
          </cell>
          <cell r="C775" t="str">
            <v xml:space="preserve"> </v>
          </cell>
          <cell r="D775">
            <v>1993</v>
          </cell>
          <cell r="E775" t="str">
            <v>Trans Exec Air Service</v>
          </cell>
          <cell r="F775">
            <v>11</v>
          </cell>
          <cell r="G775">
            <v>34561</v>
          </cell>
          <cell r="I775" t="str">
            <v>North America</v>
          </cell>
          <cell r="J775" t="str">
            <v>USA</v>
          </cell>
          <cell r="K775">
            <v>33785</v>
          </cell>
        </row>
        <row r="776">
          <cell r="A776" t="str">
            <v>In service</v>
          </cell>
          <cell r="B776" t="str">
            <v>Gulfstream Aerospace Gulfstream IV</v>
          </cell>
          <cell r="C776" t="str">
            <v>C-20F</v>
          </cell>
          <cell r="D776">
            <v>1991</v>
          </cell>
          <cell r="E776" t="str">
            <v>US Army</v>
          </cell>
          <cell r="F776">
            <v>13</v>
          </cell>
          <cell r="G776">
            <v>33411</v>
          </cell>
          <cell r="H776" t="str">
            <v>C-20F</v>
          </cell>
          <cell r="I776" t="str">
            <v>North America</v>
          </cell>
          <cell r="J776" t="str">
            <v>USA</v>
          </cell>
        </row>
        <row r="777">
          <cell r="A777" t="str">
            <v>In service</v>
          </cell>
          <cell r="B777" t="str">
            <v>Gulfstream Aerospace Gulfstream IV</v>
          </cell>
          <cell r="C777" t="str">
            <v>C-20G</v>
          </cell>
          <cell r="D777">
            <v>1994</v>
          </cell>
          <cell r="E777" t="str">
            <v>US Air Force</v>
          </cell>
          <cell r="F777">
            <v>10</v>
          </cell>
          <cell r="G777">
            <v>34622</v>
          </cell>
          <cell r="H777" t="str">
            <v>C-20G</v>
          </cell>
          <cell r="I777" t="str">
            <v>North America</v>
          </cell>
          <cell r="J777" t="str">
            <v>USA</v>
          </cell>
          <cell r="K777">
            <v>34150</v>
          </cell>
        </row>
        <row r="778">
          <cell r="A778" t="str">
            <v>In service</v>
          </cell>
          <cell r="B778" t="str">
            <v>Gulfstream Aerospace Gulfstream IV</v>
          </cell>
          <cell r="C778" t="str">
            <v>C-20G</v>
          </cell>
          <cell r="D778">
            <v>1992</v>
          </cell>
          <cell r="E778" t="str">
            <v>US Navy</v>
          </cell>
          <cell r="F778">
            <v>12</v>
          </cell>
          <cell r="G778">
            <v>34369</v>
          </cell>
          <cell r="H778" t="str">
            <v>C-20G</v>
          </cell>
          <cell r="I778" t="str">
            <v>North America</v>
          </cell>
          <cell r="J778" t="str">
            <v>USA</v>
          </cell>
          <cell r="K778">
            <v>33284</v>
          </cell>
        </row>
        <row r="779">
          <cell r="A779" t="str">
            <v>In service</v>
          </cell>
          <cell r="B779" t="str">
            <v>Gulfstream Aerospace Gulfstream IV</v>
          </cell>
          <cell r="C779" t="str">
            <v>C-20G</v>
          </cell>
          <cell r="D779">
            <v>1992</v>
          </cell>
          <cell r="E779" t="str">
            <v>US Navy</v>
          </cell>
          <cell r="F779">
            <v>12</v>
          </cell>
          <cell r="G779">
            <v>34515</v>
          </cell>
          <cell r="H779" t="str">
            <v>C-20G</v>
          </cell>
          <cell r="I779" t="str">
            <v>North America</v>
          </cell>
          <cell r="J779" t="str">
            <v>USA</v>
          </cell>
          <cell r="K779">
            <v>33284</v>
          </cell>
        </row>
        <row r="780">
          <cell r="A780" t="str">
            <v>In service</v>
          </cell>
          <cell r="B780" t="str">
            <v>Gulfstream Aerospace Gulfstream IV</v>
          </cell>
          <cell r="C780" t="str">
            <v>C-20G</v>
          </cell>
          <cell r="D780">
            <v>1992</v>
          </cell>
          <cell r="E780" t="str">
            <v>US Navy</v>
          </cell>
          <cell r="F780">
            <v>12</v>
          </cell>
          <cell r="G780">
            <v>34683</v>
          </cell>
          <cell r="H780" t="str">
            <v>C-20G</v>
          </cell>
          <cell r="I780" t="str">
            <v>North America</v>
          </cell>
          <cell r="J780" t="str">
            <v>USA</v>
          </cell>
          <cell r="K780">
            <v>33785</v>
          </cell>
        </row>
        <row r="781">
          <cell r="A781" t="str">
            <v>In service</v>
          </cell>
          <cell r="B781" t="str">
            <v>Gulfstream Aerospace Gulfstream IV</v>
          </cell>
          <cell r="C781" t="str">
            <v>C-20G</v>
          </cell>
          <cell r="D781">
            <v>1992</v>
          </cell>
          <cell r="E781" t="str">
            <v>US Marine Corps</v>
          </cell>
          <cell r="F781">
            <v>12</v>
          </cell>
          <cell r="G781">
            <v>34653</v>
          </cell>
          <cell r="H781" t="str">
            <v>C-20G</v>
          </cell>
          <cell r="I781" t="str">
            <v>North America</v>
          </cell>
          <cell r="J781" t="str">
            <v>USA</v>
          </cell>
          <cell r="K781">
            <v>33785</v>
          </cell>
        </row>
        <row r="782">
          <cell r="A782" t="str">
            <v>In service</v>
          </cell>
          <cell r="B782" t="str">
            <v>Gulfstream Aerospace Gulfstream IV</v>
          </cell>
          <cell r="C782" t="str">
            <v>C-20G</v>
          </cell>
          <cell r="D782">
            <v>1992</v>
          </cell>
          <cell r="E782" t="str">
            <v>US Marine Corps</v>
          </cell>
          <cell r="F782">
            <v>12</v>
          </cell>
          <cell r="G782">
            <v>34653</v>
          </cell>
          <cell r="H782" t="str">
            <v>C-20G</v>
          </cell>
          <cell r="I782" t="str">
            <v>North America</v>
          </cell>
          <cell r="J782" t="str">
            <v>USA</v>
          </cell>
          <cell r="K782">
            <v>33785</v>
          </cell>
        </row>
        <row r="783">
          <cell r="A783" t="str">
            <v>In service</v>
          </cell>
          <cell r="B783" t="str">
            <v>Gulfstream Aerospace Gulfstream IV</v>
          </cell>
          <cell r="C783" t="str">
            <v>C-20H</v>
          </cell>
          <cell r="D783">
            <v>1995</v>
          </cell>
          <cell r="E783" t="str">
            <v>US Air Force</v>
          </cell>
          <cell r="F783">
            <v>9</v>
          </cell>
          <cell r="G783">
            <v>35110</v>
          </cell>
          <cell r="H783" t="str">
            <v>C-20H</v>
          </cell>
          <cell r="I783" t="str">
            <v>North America</v>
          </cell>
          <cell r="J783" t="str">
            <v>USA</v>
          </cell>
          <cell r="K783">
            <v>33785</v>
          </cell>
        </row>
        <row r="784">
          <cell r="A784" t="str">
            <v>In service</v>
          </cell>
          <cell r="B784" t="str">
            <v>Gulfstream Aerospace Gulfstream IV</v>
          </cell>
          <cell r="C784" t="str">
            <v>S 102B</v>
          </cell>
          <cell r="D784">
            <v>1993</v>
          </cell>
          <cell r="E784" t="str">
            <v>Swedish Air Force</v>
          </cell>
          <cell r="F784">
            <v>11</v>
          </cell>
          <cell r="G784">
            <v>34935</v>
          </cell>
          <cell r="H784" t="str">
            <v>S 102B</v>
          </cell>
          <cell r="I784" t="str">
            <v>Europe</v>
          </cell>
          <cell r="J784" t="str">
            <v>Sweden</v>
          </cell>
          <cell r="K784">
            <v>33784</v>
          </cell>
        </row>
        <row r="785">
          <cell r="A785" t="str">
            <v>In service</v>
          </cell>
          <cell r="B785" t="str">
            <v>Gulfstream Aerospace Gulfstream IV</v>
          </cell>
          <cell r="C785" t="str">
            <v>S 102B</v>
          </cell>
          <cell r="D785">
            <v>1993</v>
          </cell>
          <cell r="E785" t="str">
            <v>Swedish Air Force</v>
          </cell>
          <cell r="F785">
            <v>11</v>
          </cell>
          <cell r="G785">
            <v>34987</v>
          </cell>
          <cell r="H785" t="str">
            <v>S 102B</v>
          </cell>
          <cell r="I785" t="str">
            <v>Europe</v>
          </cell>
          <cell r="J785" t="str">
            <v>Sweden</v>
          </cell>
          <cell r="K785">
            <v>33784</v>
          </cell>
        </row>
        <row r="786">
          <cell r="A786" t="str">
            <v>In service</v>
          </cell>
          <cell r="B786" t="str">
            <v>Gulfstream Aerospace Gulfstream IV</v>
          </cell>
          <cell r="C786" t="str">
            <v>SP</v>
          </cell>
          <cell r="D786">
            <v>1991</v>
          </cell>
          <cell r="E786" t="str">
            <v>Jetclub AG</v>
          </cell>
          <cell r="F786">
            <v>13</v>
          </cell>
          <cell r="G786">
            <v>34380</v>
          </cell>
          <cell r="H786" t="str">
            <v>SP</v>
          </cell>
          <cell r="I786" t="str">
            <v>Europe</v>
          </cell>
          <cell r="J786" t="str">
            <v>Switzerland</v>
          </cell>
        </row>
        <row r="787">
          <cell r="A787" t="str">
            <v>In service</v>
          </cell>
          <cell r="B787" t="str">
            <v>Gulfstream Aerospace Gulfstream IV</v>
          </cell>
          <cell r="C787" t="str">
            <v>SP</v>
          </cell>
          <cell r="D787">
            <v>1992</v>
          </cell>
          <cell r="E787" t="str">
            <v>The Air Group Inc</v>
          </cell>
          <cell r="F787">
            <v>12</v>
          </cell>
          <cell r="G787">
            <v>33785</v>
          </cell>
          <cell r="H787" t="str">
            <v>SP</v>
          </cell>
          <cell r="I787" t="str">
            <v>North America</v>
          </cell>
          <cell r="J787" t="str">
            <v>USA</v>
          </cell>
        </row>
        <row r="788">
          <cell r="A788" t="str">
            <v>In service</v>
          </cell>
          <cell r="B788" t="str">
            <v>Gulfstream Aerospace Gulfstream IV</v>
          </cell>
          <cell r="C788" t="str">
            <v>SP</v>
          </cell>
          <cell r="D788">
            <v>1992</v>
          </cell>
          <cell r="E788" t="str">
            <v>Zeno Air Inc</v>
          </cell>
          <cell r="F788">
            <v>12</v>
          </cell>
          <cell r="G788">
            <v>33907</v>
          </cell>
          <cell r="H788" t="str">
            <v>SP</v>
          </cell>
          <cell r="I788" t="str">
            <v>North America</v>
          </cell>
          <cell r="J788" t="str">
            <v>USA</v>
          </cell>
          <cell r="K788">
            <v>33419</v>
          </cell>
        </row>
        <row r="789">
          <cell r="A789" t="str">
            <v>In service</v>
          </cell>
          <cell r="B789" t="str">
            <v>Gulfstream Aerospace Gulfstream IV</v>
          </cell>
          <cell r="C789" t="str">
            <v>SP</v>
          </cell>
          <cell r="D789">
            <v>1993</v>
          </cell>
          <cell r="E789" t="str">
            <v>USA Video Distribution LLC &amp; Nineteen Forty CC Inc</v>
          </cell>
          <cell r="F789">
            <v>11</v>
          </cell>
          <cell r="G789">
            <v>34200</v>
          </cell>
          <cell r="H789" t="str">
            <v>SP</v>
          </cell>
          <cell r="I789" t="str">
            <v>North America</v>
          </cell>
          <cell r="J789" t="str">
            <v>USA</v>
          </cell>
          <cell r="K789">
            <v>33785</v>
          </cell>
        </row>
        <row r="790">
          <cell r="A790" t="str">
            <v>In service</v>
          </cell>
          <cell r="B790" t="str">
            <v>Gulfstream Aerospace Gulfstream IV</v>
          </cell>
          <cell r="C790" t="str">
            <v>SP</v>
          </cell>
          <cell r="D790">
            <v>1993</v>
          </cell>
          <cell r="E790" t="str">
            <v>Executive Jet Charter</v>
          </cell>
          <cell r="F790">
            <v>11</v>
          </cell>
          <cell r="G790">
            <v>34058</v>
          </cell>
          <cell r="H790" t="str">
            <v>SP</v>
          </cell>
          <cell r="I790" t="str">
            <v>North America</v>
          </cell>
          <cell r="J790" t="str">
            <v>USA</v>
          </cell>
          <cell r="K790">
            <v>33419</v>
          </cell>
        </row>
        <row r="791">
          <cell r="A791" t="str">
            <v>In service</v>
          </cell>
          <cell r="B791" t="str">
            <v>Gulfstream Aerospace Gulfstream IV</v>
          </cell>
          <cell r="C791" t="str">
            <v>SP</v>
          </cell>
          <cell r="D791">
            <v>1993</v>
          </cell>
          <cell r="E791" t="str">
            <v>Georgetown Interstate Aviation Inc</v>
          </cell>
          <cell r="F791">
            <v>11</v>
          </cell>
          <cell r="G791">
            <v>34096</v>
          </cell>
          <cell r="H791" t="str">
            <v>SP</v>
          </cell>
          <cell r="I791" t="str">
            <v>North America</v>
          </cell>
          <cell r="J791" t="str">
            <v>USA</v>
          </cell>
          <cell r="K791">
            <v>33419</v>
          </cell>
        </row>
        <row r="792">
          <cell r="A792" t="str">
            <v>In service</v>
          </cell>
          <cell r="B792" t="str">
            <v>Gulfstream Aerospace Gulfstream IV</v>
          </cell>
          <cell r="C792" t="str">
            <v>SP</v>
          </cell>
          <cell r="D792">
            <v>1993</v>
          </cell>
          <cell r="E792" t="str">
            <v>AON Service Corporation</v>
          </cell>
          <cell r="F792">
            <v>11</v>
          </cell>
          <cell r="G792">
            <v>34495</v>
          </cell>
          <cell r="H792" t="str">
            <v>SP</v>
          </cell>
          <cell r="I792" t="str">
            <v>North America</v>
          </cell>
          <cell r="J792" t="str">
            <v>USA</v>
          </cell>
          <cell r="K792">
            <v>33785</v>
          </cell>
        </row>
        <row r="793">
          <cell r="A793" t="str">
            <v>In service</v>
          </cell>
          <cell r="B793" t="str">
            <v>Gulfstream Aerospace Gulfstream IV</v>
          </cell>
          <cell r="C793" t="str">
            <v>SP</v>
          </cell>
          <cell r="D793">
            <v>1993</v>
          </cell>
          <cell r="E793" t="str">
            <v>CSC Transport Inc</v>
          </cell>
          <cell r="F793">
            <v>11</v>
          </cell>
          <cell r="G793">
            <v>34564</v>
          </cell>
          <cell r="H793" t="str">
            <v>SP</v>
          </cell>
          <cell r="I793" t="str">
            <v>North America</v>
          </cell>
          <cell r="J793" t="str">
            <v>USA</v>
          </cell>
          <cell r="K793">
            <v>33785</v>
          </cell>
        </row>
        <row r="794">
          <cell r="A794" t="str">
            <v>In service</v>
          </cell>
          <cell r="B794" t="str">
            <v>Gulfstream Aerospace Gulfstream IV</v>
          </cell>
          <cell r="C794" t="str">
            <v>SP</v>
          </cell>
          <cell r="D794">
            <v>1993</v>
          </cell>
          <cell r="E794" t="str">
            <v>TransMeridian Aviation LLC</v>
          </cell>
          <cell r="F794">
            <v>11</v>
          </cell>
          <cell r="G794">
            <v>34333</v>
          </cell>
          <cell r="H794" t="str">
            <v>SP</v>
          </cell>
          <cell r="I794" t="str">
            <v>North America</v>
          </cell>
          <cell r="J794" t="str">
            <v>USA</v>
          </cell>
          <cell r="K794">
            <v>33419</v>
          </cell>
        </row>
        <row r="795">
          <cell r="A795" t="str">
            <v>In service</v>
          </cell>
          <cell r="B795" t="str">
            <v>Gulfstream Aerospace Gulfstream IV</v>
          </cell>
          <cell r="C795" t="str">
            <v>SP</v>
          </cell>
          <cell r="D795">
            <v>1993</v>
          </cell>
          <cell r="E795" t="str">
            <v>KaiserAir Inc</v>
          </cell>
          <cell r="F795">
            <v>11</v>
          </cell>
          <cell r="G795">
            <v>34522</v>
          </cell>
          <cell r="H795" t="str">
            <v>SP</v>
          </cell>
          <cell r="I795" t="str">
            <v>North America</v>
          </cell>
          <cell r="J795" t="str">
            <v>USA</v>
          </cell>
          <cell r="K795">
            <v>33785</v>
          </cell>
        </row>
        <row r="796">
          <cell r="A796" t="str">
            <v>In service</v>
          </cell>
          <cell r="B796" t="str">
            <v>Gulfstream Aerospace Gulfstream IV</v>
          </cell>
          <cell r="C796" t="str">
            <v>SP</v>
          </cell>
          <cell r="D796">
            <v>1994</v>
          </cell>
          <cell r="E796" t="str">
            <v>Jet Aviation Business Jets</v>
          </cell>
          <cell r="F796">
            <v>10</v>
          </cell>
          <cell r="G796">
            <v>34590</v>
          </cell>
          <cell r="H796" t="str">
            <v>SP</v>
          </cell>
          <cell r="I796" t="str">
            <v>Europe</v>
          </cell>
          <cell r="J796" t="str">
            <v>Switzerland</v>
          </cell>
          <cell r="K796">
            <v>33785</v>
          </cell>
        </row>
        <row r="797">
          <cell r="A797" t="str">
            <v>In service</v>
          </cell>
          <cell r="B797" t="str">
            <v>Gulfstream Aerospace Gulfstream IV</v>
          </cell>
          <cell r="C797" t="str">
            <v>SP</v>
          </cell>
          <cell r="D797">
            <v>1994</v>
          </cell>
          <cell r="E797" t="str">
            <v>Sirio</v>
          </cell>
          <cell r="F797">
            <v>10</v>
          </cell>
          <cell r="G797">
            <v>34592</v>
          </cell>
          <cell r="H797" t="str">
            <v>SP</v>
          </cell>
          <cell r="I797" t="str">
            <v>Europe</v>
          </cell>
          <cell r="J797" t="str">
            <v>Italy</v>
          </cell>
          <cell r="K797">
            <v>34150</v>
          </cell>
        </row>
        <row r="798">
          <cell r="A798" t="str">
            <v>In service</v>
          </cell>
          <cell r="B798" t="str">
            <v>Gulfstream Aerospace Gulfstream IV</v>
          </cell>
          <cell r="C798" t="str">
            <v>SP</v>
          </cell>
          <cell r="D798">
            <v>1994</v>
          </cell>
          <cell r="E798" t="str">
            <v>Exxon Mobil Corp</v>
          </cell>
          <cell r="F798">
            <v>10</v>
          </cell>
          <cell r="G798">
            <v>34611</v>
          </cell>
          <cell r="H798" t="str">
            <v>SP</v>
          </cell>
          <cell r="I798" t="str">
            <v>North America</v>
          </cell>
          <cell r="J798" t="str">
            <v>USA</v>
          </cell>
          <cell r="K798">
            <v>33785</v>
          </cell>
        </row>
        <row r="799">
          <cell r="A799" t="str">
            <v>In service</v>
          </cell>
          <cell r="B799" t="str">
            <v>Gulfstream Aerospace Gulfstream IV</v>
          </cell>
          <cell r="C799" t="str">
            <v>SP</v>
          </cell>
          <cell r="D799">
            <v>1994</v>
          </cell>
          <cell r="E799" t="str">
            <v>Gannett Co Inc</v>
          </cell>
          <cell r="F799">
            <v>10</v>
          </cell>
          <cell r="G799">
            <v>34773</v>
          </cell>
          <cell r="H799" t="str">
            <v>SP</v>
          </cell>
          <cell r="I799" t="str">
            <v>North America</v>
          </cell>
          <cell r="J799" t="str">
            <v>USA</v>
          </cell>
          <cell r="K799">
            <v>34150</v>
          </cell>
        </row>
        <row r="800">
          <cell r="A800" t="str">
            <v>In service</v>
          </cell>
          <cell r="B800" t="str">
            <v>Gulfstream Aerospace Gulfstream IV</v>
          </cell>
          <cell r="C800" t="str">
            <v>SP</v>
          </cell>
          <cell r="D800">
            <v>1994</v>
          </cell>
          <cell r="E800" t="str">
            <v>Whirlpool Corp</v>
          </cell>
          <cell r="F800">
            <v>10</v>
          </cell>
          <cell r="G800">
            <v>34421</v>
          </cell>
          <cell r="H800" t="str">
            <v>SP</v>
          </cell>
          <cell r="I800" t="str">
            <v>North America</v>
          </cell>
          <cell r="J800" t="str">
            <v>USA</v>
          </cell>
          <cell r="K800">
            <v>33785</v>
          </cell>
        </row>
        <row r="801">
          <cell r="A801" t="str">
            <v>In service</v>
          </cell>
          <cell r="B801" t="str">
            <v>Gulfstream Aerospace Gulfstream IV</v>
          </cell>
          <cell r="C801" t="str">
            <v>SP</v>
          </cell>
          <cell r="D801">
            <v>1994</v>
          </cell>
          <cell r="E801" t="str">
            <v>Parkside Aviation Corp</v>
          </cell>
          <cell r="F801">
            <v>10</v>
          </cell>
          <cell r="G801">
            <v>34764</v>
          </cell>
          <cell r="H801" t="str">
            <v>SP</v>
          </cell>
          <cell r="I801" t="str">
            <v>North America</v>
          </cell>
          <cell r="J801" t="str">
            <v>USA</v>
          </cell>
          <cell r="K801">
            <v>34515</v>
          </cell>
        </row>
        <row r="802">
          <cell r="A802" t="str">
            <v>In service</v>
          </cell>
          <cell r="B802" t="str">
            <v>Gulfstream Aerospace Gulfstream IV</v>
          </cell>
          <cell r="C802" t="str">
            <v>SP</v>
          </cell>
          <cell r="D802">
            <v>1994</v>
          </cell>
          <cell r="E802" t="str">
            <v>Hoescht Marion Roussel Inc</v>
          </cell>
          <cell r="F802">
            <v>10</v>
          </cell>
          <cell r="G802">
            <v>34653</v>
          </cell>
          <cell r="H802" t="str">
            <v>SP</v>
          </cell>
          <cell r="I802" t="str">
            <v>North America</v>
          </cell>
          <cell r="J802" t="str">
            <v>USA</v>
          </cell>
          <cell r="K802">
            <v>33785</v>
          </cell>
        </row>
        <row r="803">
          <cell r="A803" t="str">
            <v>In service</v>
          </cell>
          <cell r="B803" t="str">
            <v>Gulfstream Aerospace Gulfstream IV</v>
          </cell>
          <cell r="C803" t="str">
            <v>SP</v>
          </cell>
          <cell r="D803">
            <v>1994</v>
          </cell>
          <cell r="E803" t="str">
            <v>New Cingular Wireless Flight Operations LLC</v>
          </cell>
          <cell r="F803">
            <v>10</v>
          </cell>
          <cell r="G803">
            <v>34696</v>
          </cell>
          <cell r="H803" t="str">
            <v>SP</v>
          </cell>
          <cell r="I803" t="str">
            <v>North America</v>
          </cell>
          <cell r="J803" t="str">
            <v>USA</v>
          </cell>
          <cell r="K803">
            <v>33785</v>
          </cell>
        </row>
        <row r="804">
          <cell r="A804" t="str">
            <v>In service</v>
          </cell>
          <cell r="B804" t="str">
            <v>Gulfstream Aerospace Gulfstream IV</v>
          </cell>
          <cell r="C804" t="str">
            <v>SP</v>
          </cell>
          <cell r="D804">
            <v>1994</v>
          </cell>
          <cell r="E804" t="str">
            <v>Parkview Acquisitions Inc</v>
          </cell>
          <cell r="F804">
            <v>10</v>
          </cell>
          <cell r="G804">
            <v>34782</v>
          </cell>
          <cell r="H804" t="str">
            <v>SP</v>
          </cell>
          <cell r="I804" t="str">
            <v>North America</v>
          </cell>
          <cell r="J804" t="str">
            <v>USA</v>
          </cell>
          <cell r="K804">
            <v>34150</v>
          </cell>
        </row>
        <row r="805">
          <cell r="A805" t="str">
            <v>In service</v>
          </cell>
          <cell r="B805" t="str">
            <v>Gulfstream Aerospace Gulfstream IV</v>
          </cell>
          <cell r="C805" t="str">
            <v>SP</v>
          </cell>
          <cell r="D805">
            <v>1994</v>
          </cell>
          <cell r="E805" t="str">
            <v>Brokerage &amp; Management Corp</v>
          </cell>
          <cell r="F805">
            <v>10</v>
          </cell>
          <cell r="G805">
            <v>34859</v>
          </cell>
          <cell r="H805" t="str">
            <v>SP</v>
          </cell>
          <cell r="I805" t="str">
            <v>North America</v>
          </cell>
          <cell r="J805" t="str">
            <v>USA</v>
          </cell>
          <cell r="K805">
            <v>34150</v>
          </cell>
        </row>
        <row r="806">
          <cell r="A806" t="str">
            <v>In service</v>
          </cell>
          <cell r="B806" t="str">
            <v>Gulfstream Aerospace Gulfstream IV</v>
          </cell>
          <cell r="C806" t="str">
            <v>SP</v>
          </cell>
          <cell r="D806">
            <v>1995</v>
          </cell>
          <cell r="E806" t="str">
            <v>Huizenga Holdings</v>
          </cell>
          <cell r="F806">
            <v>9</v>
          </cell>
          <cell r="G806">
            <v>35292</v>
          </cell>
          <cell r="H806" t="str">
            <v>SP</v>
          </cell>
          <cell r="I806" t="str">
            <v>North America</v>
          </cell>
          <cell r="J806" t="str">
            <v>USA</v>
          </cell>
        </row>
        <row r="807">
          <cell r="A807" t="str">
            <v>In service</v>
          </cell>
          <cell r="B807" t="str">
            <v>Gulfstream Aerospace Gulfstream IV</v>
          </cell>
          <cell r="C807" t="str">
            <v>SP</v>
          </cell>
          <cell r="D807">
            <v>1994</v>
          </cell>
          <cell r="E807" t="str">
            <v>Japan Civil Aviation Bureau</v>
          </cell>
          <cell r="F807">
            <v>10</v>
          </cell>
          <cell r="G807">
            <v>35016</v>
          </cell>
          <cell r="H807" t="str">
            <v>SP</v>
          </cell>
          <cell r="I807" t="str">
            <v>Asia</v>
          </cell>
          <cell r="J807" t="str">
            <v>Japan</v>
          </cell>
          <cell r="K807">
            <v>34150</v>
          </cell>
        </row>
        <row r="808">
          <cell r="A808" t="str">
            <v>In service</v>
          </cell>
          <cell r="B808" t="str">
            <v>Gulfstream Aerospace Gulfstream IV</v>
          </cell>
          <cell r="C808" t="str">
            <v>SP</v>
          </cell>
          <cell r="D808">
            <v>1994</v>
          </cell>
          <cell r="E808" t="str">
            <v>Unocal</v>
          </cell>
          <cell r="F808">
            <v>10</v>
          </cell>
          <cell r="G808">
            <v>34829</v>
          </cell>
          <cell r="H808" t="str">
            <v>SP</v>
          </cell>
          <cell r="I808" t="str">
            <v>North America</v>
          </cell>
          <cell r="J808" t="str">
            <v>USA</v>
          </cell>
          <cell r="K808">
            <v>34515</v>
          </cell>
        </row>
        <row r="809">
          <cell r="A809" t="str">
            <v>In service</v>
          </cell>
          <cell r="B809" t="str">
            <v>Gulfstream Aerospace Gulfstream IV</v>
          </cell>
          <cell r="C809" t="str">
            <v>SP</v>
          </cell>
          <cell r="D809">
            <v>1994</v>
          </cell>
          <cell r="E809" t="str">
            <v>US Department of Commerce - NOAA</v>
          </cell>
          <cell r="F809">
            <v>10</v>
          </cell>
          <cell r="G809">
            <v>34682</v>
          </cell>
          <cell r="H809" t="str">
            <v>SP</v>
          </cell>
          <cell r="I809" t="str">
            <v>North America</v>
          </cell>
          <cell r="J809" t="str">
            <v>USA</v>
          </cell>
          <cell r="K809">
            <v>33785</v>
          </cell>
        </row>
        <row r="810">
          <cell r="A810" t="str">
            <v>In service</v>
          </cell>
          <cell r="B810" t="str">
            <v>Gulfstream Aerospace Gulfstream IV</v>
          </cell>
          <cell r="C810" t="str">
            <v>SP</v>
          </cell>
          <cell r="D810">
            <v>1994</v>
          </cell>
          <cell r="E810" t="str">
            <v>Petersen Aviation</v>
          </cell>
          <cell r="F810">
            <v>10</v>
          </cell>
          <cell r="G810">
            <v>34871</v>
          </cell>
          <cell r="H810" t="str">
            <v>SP</v>
          </cell>
          <cell r="I810" t="str">
            <v>North America</v>
          </cell>
          <cell r="J810" t="str">
            <v>USA</v>
          </cell>
          <cell r="K810">
            <v>34150</v>
          </cell>
        </row>
        <row r="811">
          <cell r="A811" t="str">
            <v>In service</v>
          </cell>
          <cell r="B811" t="str">
            <v>Gulfstream Aerospace Gulfstream IV</v>
          </cell>
          <cell r="C811" t="str">
            <v>SP</v>
          </cell>
          <cell r="D811">
            <v>1994</v>
          </cell>
          <cell r="E811" t="str">
            <v>Reebok International Ltd</v>
          </cell>
          <cell r="F811">
            <v>10</v>
          </cell>
          <cell r="G811">
            <v>34698</v>
          </cell>
          <cell r="H811" t="str">
            <v>SP</v>
          </cell>
          <cell r="I811" t="str">
            <v>North America</v>
          </cell>
          <cell r="J811" t="str">
            <v>USA</v>
          </cell>
          <cell r="K811">
            <v>33785</v>
          </cell>
        </row>
        <row r="812">
          <cell r="A812" t="str">
            <v>In service</v>
          </cell>
          <cell r="B812" t="str">
            <v>Gulfstream Aerospace Gulfstream IV</v>
          </cell>
          <cell r="C812" t="str">
            <v>SP</v>
          </cell>
          <cell r="D812">
            <v>1994</v>
          </cell>
          <cell r="E812" t="str">
            <v>DS Advisors Inc</v>
          </cell>
          <cell r="F812">
            <v>10</v>
          </cell>
          <cell r="G812">
            <v>34908</v>
          </cell>
          <cell r="H812" t="str">
            <v>SP</v>
          </cell>
          <cell r="I812" t="str">
            <v>North America</v>
          </cell>
          <cell r="J812" t="str">
            <v>USA</v>
          </cell>
          <cell r="K812">
            <v>33785</v>
          </cell>
        </row>
        <row r="813">
          <cell r="A813" t="str">
            <v>In service</v>
          </cell>
          <cell r="B813" t="str">
            <v>Gulfstream Aerospace Gulfstream IV</v>
          </cell>
          <cell r="C813" t="str">
            <v>SP</v>
          </cell>
          <cell r="D813">
            <v>1994</v>
          </cell>
          <cell r="E813" t="str">
            <v>The Laredo National Bank</v>
          </cell>
          <cell r="F813">
            <v>10</v>
          </cell>
          <cell r="G813">
            <v>34963</v>
          </cell>
          <cell r="H813" t="str">
            <v>SP</v>
          </cell>
          <cell r="I813" t="str">
            <v>North America</v>
          </cell>
          <cell r="J813" t="str">
            <v>USA</v>
          </cell>
          <cell r="K813">
            <v>34150</v>
          </cell>
        </row>
        <row r="814">
          <cell r="A814" t="str">
            <v>In service</v>
          </cell>
          <cell r="B814" t="str">
            <v>Gulfstream Aerospace Gulfstream IV</v>
          </cell>
          <cell r="C814" t="str">
            <v>SP</v>
          </cell>
          <cell r="D814">
            <v>1994</v>
          </cell>
          <cell r="E814" t="str">
            <v>Jet Flight Corp</v>
          </cell>
          <cell r="F814">
            <v>10</v>
          </cell>
          <cell r="G814">
            <v>35004</v>
          </cell>
          <cell r="H814" t="str">
            <v>SP</v>
          </cell>
          <cell r="I814" t="str">
            <v>North America</v>
          </cell>
          <cell r="J814" t="str">
            <v>USA</v>
          </cell>
          <cell r="K814">
            <v>34150</v>
          </cell>
        </row>
        <row r="815">
          <cell r="A815" t="str">
            <v>In service</v>
          </cell>
          <cell r="B815" t="str">
            <v>Gulfstream Aerospace Gulfstream IV</v>
          </cell>
          <cell r="C815" t="str">
            <v>SP</v>
          </cell>
          <cell r="D815">
            <v>1994</v>
          </cell>
          <cell r="E815" t="str">
            <v>Triarc Company</v>
          </cell>
          <cell r="F815">
            <v>10</v>
          </cell>
          <cell r="G815">
            <v>34972</v>
          </cell>
          <cell r="H815" t="str">
            <v>SP</v>
          </cell>
          <cell r="I815" t="str">
            <v>North America</v>
          </cell>
          <cell r="J815" t="str">
            <v>USA</v>
          </cell>
          <cell r="K815">
            <v>34150</v>
          </cell>
        </row>
        <row r="816">
          <cell r="A816" t="str">
            <v>In service</v>
          </cell>
          <cell r="B816" t="str">
            <v>Gulfstream Aerospace Gulfstream IV</v>
          </cell>
          <cell r="C816" t="str">
            <v>SP</v>
          </cell>
          <cell r="D816">
            <v>1994</v>
          </cell>
          <cell r="E816" t="str">
            <v>Avion LLC</v>
          </cell>
          <cell r="F816">
            <v>10</v>
          </cell>
          <cell r="G816">
            <v>34901</v>
          </cell>
          <cell r="H816" t="str">
            <v>SP</v>
          </cell>
          <cell r="I816" t="str">
            <v>North America</v>
          </cell>
          <cell r="J816" t="str">
            <v>USA</v>
          </cell>
          <cell r="K816">
            <v>34150</v>
          </cell>
        </row>
        <row r="817">
          <cell r="A817" t="str">
            <v>In service</v>
          </cell>
          <cell r="B817" t="str">
            <v>Gulfstream Aerospace Gulfstream IV</v>
          </cell>
          <cell r="C817" t="str">
            <v>SP</v>
          </cell>
          <cell r="D817">
            <v>1995</v>
          </cell>
          <cell r="E817" t="str">
            <v>Flightworks</v>
          </cell>
          <cell r="F817">
            <v>9</v>
          </cell>
          <cell r="G817">
            <v>34926</v>
          </cell>
          <cell r="H817" t="str">
            <v>SP</v>
          </cell>
          <cell r="I817" t="str">
            <v>North America</v>
          </cell>
          <cell r="J817" t="str">
            <v>USA</v>
          </cell>
          <cell r="K817">
            <v>34150</v>
          </cell>
        </row>
        <row r="818">
          <cell r="A818" t="str">
            <v>In service</v>
          </cell>
          <cell r="B818" t="str">
            <v>Gulfstream Aerospace Gulfstream IV</v>
          </cell>
          <cell r="C818" t="str">
            <v>SP</v>
          </cell>
          <cell r="D818">
            <v>1994</v>
          </cell>
          <cell r="E818" t="str">
            <v>GAMA Aviation</v>
          </cell>
          <cell r="F818">
            <v>10</v>
          </cell>
          <cell r="G818">
            <v>34729</v>
          </cell>
          <cell r="H818" t="str">
            <v>SP</v>
          </cell>
          <cell r="I818" t="str">
            <v>Europe</v>
          </cell>
          <cell r="J818" t="str">
            <v>United Kingdom</v>
          </cell>
          <cell r="K818">
            <v>34150</v>
          </cell>
        </row>
        <row r="819">
          <cell r="A819" t="str">
            <v>In service</v>
          </cell>
          <cell r="B819" t="str">
            <v>Gulfstream Aerospace Gulfstream IV</v>
          </cell>
          <cell r="C819" t="str">
            <v>SP</v>
          </cell>
          <cell r="D819">
            <v>1994</v>
          </cell>
          <cell r="E819" t="str">
            <v>Phelps Dodge Corp</v>
          </cell>
          <cell r="F819">
            <v>10</v>
          </cell>
          <cell r="G819">
            <v>34941</v>
          </cell>
          <cell r="H819" t="str">
            <v>SP</v>
          </cell>
          <cell r="I819" t="str">
            <v>North America</v>
          </cell>
          <cell r="J819" t="str">
            <v>USA</v>
          </cell>
          <cell r="K819">
            <v>34150</v>
          </cell>
        </row>
        <row r="820">
          <cell r="A820" t="str">
            <v>In service</v>
          </cell>
          <cell r="B820" t="str">
            <v>Gulfstream Aerospace Gulfstream IV</v>
          </cell>
          <cell r="C820" t="str">
            <v>SP</v>
          </cell>
          <cell r="D820">
            <v>1995</v>
          </cell>
          <cell r="E820" t="str">
            <v>E I DuPont de Nemours &amp; Co</v>
          </cell>
          <cell r="F820">
            <v>9</v>
          </cell>
          <cell r="G820">
            <v>34950</v>
          </cell>
          <cell r="H820" t="str">
            <v>SP</v>
          </cell>
          <cell r="I820" t="str">
            <v>North America</v>
          </cell>
          <cell r="J820" t="str">
            <v>USA</v>
          </cell>
          <cell r="K820">
            <v>34150</v>
          </cell>
        </row>
        <row r="821">
          <cell r="A821" t="str">
            <v>In service</v>
          </cell>
          <cell r="B821" t="str">
            <v>Gulfstream Aerospace Gulfstream IV</v>
          </cell>
          <cell r="C821" t="str">
            <v>SP</v>
          </cell>
          <cell r="D821">
            <v>1995</v>
          </cell>
          <cell r="E821" t="str">
            <v>The Proctor &amp; Gamble Co</v>
          </cell>
          <cell r="F821">
            <v>9</v>
          </cell>
          <cell r="G821">
            <v>34975</v>
          </cell>
          <cell r="H821" t="str">
            <v>SP</v>
          </cell>
          <cell r="I821" t="str">
            <v>North America</v>
          </cell>
          <cell r="J821" t="str">
            <v>USA</v>
          </cell>
          <cell r="K821">
            <v>34150</v>
          </cell>
        </row>
        <row r="822">
          <cell r="A822" t="str">
            <v>In service</v>
          </cell>
          <cell r="B822" t="str">
            <v>Gulfstream Aerospace Gulfstream IV</v>
          </cell>
          <cell r="C822" t="str">
            <v>SP</v>
          </cell>
          <cell r="D822">
            <v>1995</v>
          </cell>
          <cell r="E822" t="str">
            <v>1260 LLC</v>
          </cell>
          <cell r="F822">
            <v>9</v>
          </cell>
          <cell r="G822">
            <v>34999</v>
          </cell>
          <cell r="H822" t="str">
            <v>SP</v>
          </cell>
          <cell r="I822" t="str">
            <v>North America</v>
          </cell>
          <cell r="J822" t="str">
            <v>USA</v>
          </cell>
          <cell r="K822">
            <v>34150</v>
          </cell>
        </row>
        <row r="823">
          <cell r="A823" t="str">
            <v>In service</v>
          </cell>
          <cell r="B823" t="str">
            <v>Gulfstream Aerospace Gulfstream IV</v>
          </cell>
          <cell r="C823" t="str">
            <v>SP</v>
          </cell>
          <cell r="D823">
            <v>1995</v>
          </cell>
          <cell r="E823" t="str">
            <v>P Dussman Inc</v>
          </cell>
          <cell r="F823">
            <v>9</v>
          </cell>
          <cell r="G823">
            <v>34758</v>
          </cell>
          <cell r="H823" t="str">
            <v>SP</v>
          </cell>
          <cell r="I823" t="str">
            <v>North America</v>
          </cell>
          <cell r="J823" t="str">
            <v>USA</v>
          </cell>
          <cell r="K823">
            <v>34150</v>
          </cell>
        </row>
        <row r="824">
          <cell r="A824" t="str">
            <v>In service</v>
          </cell>
          <cell r="B824" t="str">
            <v>Gulfstream Aerospace Gulfstream IV</v>
          </cell>
          <cell r="C824" t="str">
            <v>SP</v>
          </cell>
          <cell r="D824">
            <v>1995</v>
          </cell>
          <cell r="E824" t="str">
            <v>Netjets International</v>
          </cell>
          <cell r="F824">
            <v>9</v>
          </cell>
          <cell r="G824">
            <v>35039</v>
          </cell>
          <cell r="H824" t="str">
            <v>SP</v>
          </cell>
          <cell r="I824" t="str">
            <v>North America</v>
          </cell>
          <cell r="J824" t="str">
            <v>USA</v>
          </cell>
          <cell r="K824">
            <v>34716</v>
          </cell>
        </row>
        <row r="825">
          <cell r="A825" t="str">
            <v>In service</v>
          </cell>
          <cell r="B825" t="str">
            <v>Gulfstream Aerospace Gulfstream IV</v>
          </cell>
          <cell r="C825" t="str">
            <v>SP</v>
          </cell>
          <cell r="D825">
            <v>1995</v>
          </cell>
          <cell r="E825" t="str">
            <v>DSA Aviation LLC</v>
          </cell>
          <cell r="F825">
            <v>9</v>
          </cell>
          <cell r="G825">
            <v>34927</v>
          </cell>
          <cell r="H825" t="str">
            <v>SP</v>
          </cell>
          <cell r="I825" t="str">
            <v>North America</v>
          </cell>
          <cell r="J825" t="str">
            <v>USA</v>
          </cell>
          <cell r="K825">
            <v>34150</v>
          </cell>
        </row>
        <row r="826">
          <cell r="A826" t="str">
            <v>In service</v>
          </cell>
          <cell r="B826" t="str">
            <v>Gulfstream Aerospace Gulfstream IV</v>
          </cell>
          <cell r="C826" t="str">
            <v>SP</v>
          </cell>
          <cell r="D826">
            <v>1995</v>
          </cell>
          <cell r="E826" t="str">
            <v>Netjets International</v>
          </cell>
          <cell r="F826">
            <v>9</v>
          </cell>
          <cell r="G826">
            <v>35061</v>
          </cell>
          <cell r="H826" t="str">
            <v>SP</v>
          </cell>
          <cell r="I826" t="str">
            <v>North America</v>
          </cell>
          <cell r="J826" t="str">
            <v>USA</v>
          </cell>
          <cell r="K826">
            <v>34716</v>
          </cell>
        </row>
        <row r="827">
          <cell r="A827" t="str">
            <v>In service</v>
          </cell>
          <cell r="B827" t="str">
            <v>Gulfstream Aerospace Gulfstream IV</v>
          </cell>
          <cell r="C827" t="str">
            <v>SP</v>
          </cell>
          <cell r="D827">
            <v>1995</v>
          </cell>
          <cell r="E827" t="str">
            <v>Harpo Inc</v>
          </cell>
          <cell r="F827">
            <v>9</v>
          </cell>
          <cell r="G827">
            <v>35046</v>
          </cell>
          <cell r="H827" t="str">
            <v>SP</v>
          </cell>
          <cell r="I827" t="str">
            <v>North America</v>
          </cell>
          <cell r="J827" t="str">
            <v>USA</v>
          </cell>
          <cell r="K827">
            <v>34150</v>
          </cell>
        </row>
        <row r="828">
          <cell r="A828" t="str">
            <v>In service</v>
          </cell>
          <cell r="B828" t="str">
            <v>Gulfstream Aerospace Gulfstream IV</v>
          </cell>
          <cell r="C828" t="str">
            <v>SP</v>
          </cell>
          <cell r="D828">
            <v>1995</v>
          </cell>
          <cell r="E828" t="str">
            <v>FACE Aviation LLC</v>
          </cell>
          <cell r="F828">
            <v>9</v>
          </cell>
          <cell r="G828">
            <v>35046</v>
          </cell>
          <cell r="H828" t="str">
            <v>SP</v>
          </cell>
          <cell r="I828" t="str">
            <v>North America</v>
          </cell>
          <cell r="J828" t="str">
            <v>USA</v>
          </cell>
          <cell r="K828">
            <v>34895</v>
          </cell>
        </row>
        <row r="829">
          <cell r="A829" t="str">
            <v>In service</v>
          </cell>
          <cell r="B829" t="str">
            <v>Gulfstream Aerospace Gulfstream IV</v>
          </cell>
          <cell r="C829" t="str">
            <v>SP</v>
          </cell>
          <cell r="D829">
            <v>1995</v>
          </cell>
          <cell r="E829" t="str">
            <v>Peregrine Aviation LLC</v>
          </cell>
          <cell r="F829">
            <v>9</v>
          </cell>
          <cell r="G829">
            <v>35053</v>
          </cell>
          <cell r="H829" t="str">
            <v>SP</v>
          </cell>
          <cell r="I829" t="str">
            <v>North America</v>
          </cell>
          <cell r="J829" t="str">
            <v>USA</v>
          </cell>
          <cell r="K829">
            <v>34895</v>
          </cell>
        </row>
        <row r="830">
          <cell r="A830" t="str">
            <v>In service</v>
          </cell>
          <cell r="B830" t="str">
            <v>Gulfstream Aerospace Gulfstream IV</v>
          </cell>
          <cell r="C830" t="str">
            <v>SP</v>
          </cell>
          <cell r="D830">
            <v>1995</v>
          </cell>
          <cell r="E830" t="str">
            <v>Sleep Air LLC</v>
          </cell>
          <cell r="F830">
            <v>9</v>
          </cell>
          <cell r="G830">
            <v>34871</v>
          </cell>
          <cell r="H830" t="str">
            <v>SP</v>
          </cell>
          <cell r="I830" t="str">
            <v>North America</v>
          </cell>
          <cell r="J830" t="str">
            <v>USA</v>
          </cell>
          <cell r="K830">
            <v>34515</v>
          </cell>
        </row>
        <row r="831">
          <cell r="A831" t="str">
            <v>In service</v>
          </cell>
          <cell r="B831" t="str">
            <v>Gulfstream Aerospace Gulfstream IV</v>
          </cell>
          <cell r="C831" t="str">
            <v>SP</v>
          </cell>
          <cell r="D831">
            <v>1995</v>
          </cell>
          <cell r="E831" t="str">
            <v>Executive Fliteways Inc</v>
          </cell>
          <cell r="F831">
            <v>9</v>
          </cell>
          <cell r="G831">
            <v>35053</v>
          </cell>
          <cell r="H831" t="str">
            <v>SP</v>
          </cell>
          <cell r="I831" t="str">
            <v>North America</v>
          </cell>
          <cell r="J831" t="str">
            <v>USA</v>
          </cell>
          <cell r="K831">
            <v>34515</v>
          </cell>
        </row>
        <row r="832">
          <cell r="A832" t="str">
            <v>In service</v>
          </cell>
          <cell r="B832" t="str">
            <v>Gulfstream Aerospace Gulfstream IV</v>
          </cell>
          <cell r="C832" t="str">
            <v>SP</v>
          </cell>
          <cell r="D832">
            <v>1995</v>
          </cell>
          <cell r="E832" t="str">
            <v>Jstar Corp</v>
          </cell>
          <cell r="F832">
            <v>9</v>
          </cell>
          <cell r="G832">
            <v>34942</v>
          </cell>
          <cell r="H832" t="str">
            <v>SP</v>
          </cell>
          <cell r="I832" t="str">
            <v>North America</v>
          </cell>
          <cell r="J832" t="str">
            <v>USA</v>
          </cell>
          <cell r="K832">
            <v>34515</v>
          </cell>
        </row>
        <row r="833">
          <cell r="A833" t="str">
            <v>In service</v>
          </cell>
          <cell r="B833" t="str">
            <v>Gulfstream Aerospace Gulfstream IV</v>
          </cell>
          <cell r="C833" t="str">
            <v>SP</v>
          </cell>
          <cell r="D833">
            <v>1995</v>
          </cell>
          <cell r="E833" t="str">
            <v>Berwind Corp</v>
          </cell>
          <cell r="F833">
            <v>9</v>
          </cell>
          <cell r="G833">
            <v>34935</v>
          </cell>
          <cell r="H833" t="str">
            <v>SP</v>
          </cell>
          <cell r="I833" t="str">
            <v>North America</v>
          </cell>
          <cell r="J833" t="str">
            <v>USA</v>
          </cell>
          <cell r="K833">
            <v>34515</v>
          </cell>
        </row>
        <row r="834">
          <cell r="A834" t="str">
            <v>In service</v>
          </cell>
          <cell r="B834" t="str">
            <v>Gulfstream Aerospace Gulfstream IV</v>
          </cell>
          <cell r="C834" t="str">
            <v>SP</v>
          </cell>
          <cell r="D834">
            <v>1995</v>
          </cell>
          <cell r="E834" t="str">
            <v>Swedish Air Force</v>
          </cell>
          <cell r="F834">
            <v>9</v>
          </cell>
          <cell r="G834">
            <v>35150</v>
          </cell>
          <cell r="H834" t="str">
            <v>TP-102</v>
          </cell>
          <cell r="I834" t="str">
            <v>Europe</v>
          </cell>
          <cell r="J834" t="str">
            <v>Sweden</v>
          </cell>
          <cell r="K834">
            <v>34515</v>
          </cell>
        </row>
        <row r="835">
          <cell r="A835" t="str">
            <v>In service</v>
          </cell>
          <cell r="B835" t="str">
            <v>Gulfstream Aerospace Gulfstream IV</v>
          </cell>
          <cell r="C835" t="str">
            <v>SP</v>
          </cell>
          <cell r="D835">
            <v>1995</v>
          </cell>
          <cell r="E835" t="str">
            <v>Netjets International</v>
          </cell>
          <cell r="F835">
            <v>9</v>
          </cell>
          <cell r="G835">
            <v>35149</v>
          </cell>
          <cell r="H835" t="str">
            <v>SP</v>
          </cell>
          <cell r="I835" t="str">
            <v>North America</v>
          </cell>
          <cell r="J835" t="str">
            <v>USA</v>
          </cell>
          <cell r="K835">
            <v>34716</v>
          </cell>
        </row>
        <row r="836">
          <cell r="A836" t="str">
            <v>In service</v>
          </cell>
          <cell r="B836" t="str">
            <v>Gulfstream Aerospace Gulfstream IV</v>
          </cell>
          <cell r="C836" t="str">
            <v>SP</v>
          </cell>
          <cell r="D836">
            <v>1995</v>
          </cell>
          <cell r="E836" t="str">
            <v>PPCO LLC</v>
          </cell>
          <cell r="F836">
            <v>9</v>
          </cell>
          <cell r="G836">
            <v>35153</v>
          </cell>
          <cell r="H836" t="str">
            <v>SP</v>
          </cell>
          <cell r="I836" t="str">
            <v>North America</v>
          </cell>
          <cell r="J836" t="str">
            <v>USA</v>
          </cell>
          <cell r="K836">
            <v>34515</v>
          </cell>
        </row>
        <row r="837">
          <cell r="A837" t="str">
            <v>In service</v>
          </cell>
          <cell r="B837" t="str">
            <v>Gulfstream Aerospace Gulfstream IV</v>
          </cell>
          <cell r="C837" t="str">
            <v>SP</v>
          </cell>
          <cell r="D837">
            <v>1996</v>
          </cell>
          <cell r="E837" t="str">
            <v>American Home Products Inc</v>
          </cell>
          <cell r="F837">
            <v>8</v>
          </cell>
          <cell r="G837">
            <v>35200</v>
          </cell>
          <cell r="H837" t="str">
            <v>SP</v>
          </cell>
          <cell r="I837" t="str">
            <v>North America</v>
          </cell>
          <cell r="J837" t="str">
            <v>USA</v>
          </cell>
          <cell r="K837">
            <v>34880</v>
          </cell>
        </row>
        <row r="838">
          <cell r="A838" t="str">
            <v>In service</v>
          </cell>
          <cell r="B838" t="str">
            <v>Gulfstream Aerospace Gulfstream IV</v>
          </cell>
          <cell r="C838" t="str">
            <v>SP</v>
          </cell>
          <cell r="D838">
            <v>1996</v>
          </cell>
          <cell r="E838" t="str">
            <v>Lucent Technologies Inc</v>
          </cell>
          <cell r="F838">
            <v>8</v>
          </cell>
          <cell r="G838">
            <v>35200</v>
          </cell>
          <cell r="H838" t="str">
            <v>SP</v>
          </cell>
          <cell r="I838" t="str">
            <v>North America</v>
          </cell>
          <cell r="J838" t="str">
            <v>USA</v>
          </cell>
          <cell r="K838">
            <v>34515</v>
          </cell>
        </row>
        <row r="839">
          <cell r="A839" t="str">
            <v>In service</v>
          </cell>
          <cell r="B839" t="str">
            <v>Gulfstream Aerospace Gulfstream IV</v>
          </cell>
          <cell r="C839" t="str">
            <v>SP</v>
          </cell>
          <cell r="D839">
            <v>1995</v>
          </cell>
          <cell r="E839" t="str">
            <v>J C Penney Company Inc</v>
          </cell>
          <cell r="F839">
            <v>9</v>
          </cell>
          <cell r="G839">
            <v>35240</v>
          </cell>
          <cell r="H839" t="str">
            <v>SP</v>
          </cell>
          <cell r="I839" t="str">
            <v>North America</v>
          </cell>
          <cell r="J839" t="str">
            <v>USA</v>
          </cell>
          <cell r="K839">
            <v>34515</v>
          </cell>
        </row>
        <row r="840">
          <cell r="A840" t="str">
            <v>In service</v>
          </cell>
          <cell r="B840" t="str">
            <v>Gulfstream Aerospace Gulfstream IV</v>
          </cell>
          <cell r="C840" t="str">
            <v>SP</v>
          </cell>
          <cell r="D840">
            <v>1995</v>
          </cell>
          <cell r="E840" t="str">
            <v>Yona Venetian LLC</v>
          </cell>
          <cell r="F840">
            <v>9</v>
          </cell>
          <cell r="G840">
            <v>35051</v>
          </cell>
          <cell r="H840" t="str">
            <v>SP</v>
          </cell>
          <cell r="I840" t="str">
            <v>North America</v>
          </cell>
          <cell r="J840" t="str">
            <v>USA</v>
          </cell>
          <cell r="K840">
            <v>34503</v>
          </cell>
        </row>
        <row r="841">
          <cell r="A841" t="str">
            <v>In service</v>
          </cell>
          <cell r="B841" t="str">
            <v>Gulfstream Aerospace Gulfstream IV</v>
          </cell>
          <cell r="C841" t="str">
            <v>SP</v>
          </cell>
          <cell r="D841">
            <v>1996</v>
          </cell>
          <cell r="E841" t="str">
            <v>Netjets International</v>
          </cell>
          <cell r="F841">
            <v>8</v>
          </cell>
          <cell r="G841">
            <v>35237</v>
          </cell>
          <cell r="H841" t="str">
            <v>SP</v>
          </cell>
          <cell r="I841" t="str">
            <v>North America</v>
          </cell>
          <cell r="J841" t="str">
            <v>USA</v>
          </cell>
          <cell r="K841">
            <v>34716</v>
          </cell>
        </row>
        <row r="842">
          <cell r="A842" t="str">
            <v>In service</v>
          </cell>
          <cell r="B842" t="str">
            <v>Gulfstream Aerospace Gulfstream IV</v>
          </cell>
          <cell r="C842" t="str">
            <v>SP</v>
          </cell>
          <cell r="D842">
            <v>1996</v>
          </cell>
          <cell r="E842" t="str">
            <v>The Air Group Inc</v>
          </cell>
          <cell r="F842">
            <v>8</v>
          </cell>
          <cell r="G842">
            <v>35231</v>
          </cell>
          <cell r="H842" t="str">
            <v>SP</v>
          </cell>
          <cell r="I842" t="str">
            <v>North America</v>
          </cell>
          <cell r="J842" t="str">
            <v>USA</v>
          </cell>
          <cell r="K842">
            <v>34515</v>
          </cell>
        </row>
        <row r="843">
          <cell r="A843" t="str">
            <v>In service</v>
          </cell>
          <cell r="B843" t="str">
            <v>Gulfstream Aerospace Gulfstream IV</v>
          </cell>
          <cell r="C843" t="str">
            <v>SP</v>
          </cell>
          <cell r="D843">
            <v>1996</v>
          </cell>
          <cell r="E843" t="str">
            <v>Colleen Corp</v>
          </cell>
          <cell r="F843">
            <v>8</v>
          </cell>
          <cell r="G843">
            <v>35195</v>
          </cell>
          <cell r="H843" t="str">
            <v>SP</v>
          </cell>
          <cell r="I843" t="str">
            <v>North America</v>
          </cell>
          <cell r="J843" t="str">
            <v>USA</v>
          </cell>
          <cell r="K843">
            <v>34515</v>
          </cell>
        </row>
        <row r="844">
          <cell r="A844" t="str">
            <v>In service</v>
          </cell>
          <cell r="B844" t="str">
            <v>Gulfstream Aerospace Gulfstream IV</v>
          </cell>
          <cell r="C844" t="str">
            <v>SP</v>
          </cell>
          <cell r="D844">
            <v>1996</v>
          </cell>
          <cell r="E844" t="str">
            <v>ChevronTexaco Corp</v>
          </cell>
          <cell r="F844">
            <v>8</v>
          </cell>
          <cell r="G844">
            <v>35123</v>
          </cell>
          <cell r="H844" t="str">
            <v>SP</v>
          </cell>
          <cell r="I844" t="str">
            <v>North America</v>
          </cell>
          <cell r="J844" t="str">
            <v>USA</v>
          </cell>
          <cell r="K844">
            <v>34515</v>
          </cell>
        </row>
        <row r="845">
          <cell r="A845" t="str">
            <v>In service</v>
          </cell>
          <cell r="B845" t="str">
            <v>Gulfstream Aerospace Gulfstream IV</v>
          </cell>
          <cell r="C845" t="str">
            <v>SP</v>
          </cell>
          <cell r="D845">
            <v>1996</v>
          </cell>
          <cell r="E845" t="str">
            <v>Anadarko Petroleum Corp</v>
          </cell>
          <cell r="F845">
            <v>8</v>
          </cell>
          <cell r="G845">
            <v>35129</v>
          </cell>
          <cell r="H845" t="str">
            <v>SP</v>
          </cell>
          <cell r="I845" t="str">
            <v>North America</v>
          </cell>
          <cell r="J845" t="str">
            <v>USA</v>
          </cell>
          <cell r="K845">
            <v>34515</v>
          </cell>
        </row>
        <row r="846">
          <cell r="A846" t="str">
            <v>In service</v>
          </cell>
          <cell r="B846" t="str">
            <v>Gulfstream Aerospace Gulfstream IV</v>
          </cell>
          <cell r="C846" t="str">
            <v>SP</v>
          </cell>
          <cell r="D846">
            <v>1996</v>
          </cell>
          <cell r="E846" t="str">
            <v>General Dynamics Corp</v>
          </cell>
          <cell r="F846">
            <v>8</v>
          </cell>
          <cell r="G846">
            <v>35430</v>
          </cell>
          <cell r="H846" t="str">
            <v>SP</v>
          </cell>
          <cell r="I846" t="str">
            <v>North America</v>
          </cell>
          <cell r="J846" t="str">
            <v>USA</v>
          </cell>
        </row>
        <row r="847">
          <cell r="A847" t="str">
            <v>In service</v>
          </cell>
          <cell r="B847" t="str">
            <v>Gulfstream Aerospace Gulfstream IV</v>
          </cell>
          <cell r="C847" t="str">
            <v>SP</v>
          </cell>
          <cell r="D847">
            <v>1996</v>
          </cell>
          <cell r="E847" t="str">
            <v>Netjets International</v>
          </cell>
          <cell r="F847">
            <v>8</v>
          </cell>
          <cell r="G847">
            <v>35277</v>
          </cell>
          <cell r="H847" t="str">
            <v>SP</v>
          </cell>
          <cell r="I847" t="str">
            <v>North America</v>
          </cell>
          <cell r="J847" t="str">
            <v>USA</v>
          </cell>
          <cell r="K847">
            <v>34716</v>
          </cell>
        </row>
        <row r="848">
          <cell r="A848" t="str">
            <v>In service</v>
          </cell>
          <cell r="B848" t="str">
            <v>Gulfstream Aerospace Gulfstream IV</v>
          </cell>
          <cell r="C848" t="str">
            <v>SP</v>
          </cell>
          <cell r="D848">
            <v>1996</v>
          </cell>
          <cell r="E848" t="str">
            <v>Government of Algeria</v>
          </cell>
          <cell r="F848">
            <v>8</v>
          </cell>
          <cell r="G848">
            <v>35353</v>
          </cell>
          <cell r="H848" t="str">
            <v>SP</v>
          </cell>
          <cell r="I848" t="str">
            <v>Africa</v>
          </cell>
          <cell r="J848" t="str">
            <v>Algeria</v>
          </cell>
          <cell r="K848">
            <v>35246</v>
          </cell>
        </row>
        <row r="849">
          <cell r="A849" t="str">
            <v>In service</v>
          </cell>
          <cell r="B849" t="str">
            <v>Gulfstream Aerospace Gulfstream IV</v>
          </cell>
          <cell r="C849" t="str">
            <v>SP</v>
          </cell>
          <cell r="D849">
            <v>1996</v>
          </cell>
          <cell r="E849" t="str">
            <v>MCI Transcom Corp</v>
          </cell>
          <cell r="F849">
            <v>8</v>
          </cell>
          <cell r="G849">
            <v>35328</v>
          </cell>
          <cell r="H849" t="str">
            <v>SP</v>
          </cell>
          <cell r="I849" t="str">
            <v>North America</v>
          </cell>
          <cell r="J849" t="str">
            <v>USA</v>
          </cell>
          <cell r="K849">
            <v>34515</v>
          </cell>
        </row>
        <row r="850">
          <cell r="A850" t="str">
            <v>In service</v>
          </cell>
          <cell r="B850" t="str">
            <v>Gulfstream Aerospace Gulfstream IV</v>
          </cell>
          <cell r="C850" t="str">
            <v>SP</v>
          </cell>
          <cell r="D850">
            <v>1996</v>
          </cell>
          <cell r="E850" t="str">
            <v>Yona Venetian LLC</v>
          </cell>
          <cell r="F850">
            <v>8</v>
          </cell>
          <cell r="G850">
            <v>35366</v>
          </cell>
          <cell r="H850" t="str">
            <v>SP</v>
          </cell>
          <cell r="I850" t="str">
            <v>North America</v>
          </cell>
          <cell r="J850" t="str">
            <v>USA</v>
          </cell>
          <cell r="K850">
            <v>34515</v>
          </cell>
        </row>
        <row r="851">
          <cell r="A851" t="str">
            <v>In service</v>
          </cell>
          <cell r="B851" t="str">
            <v>Gulfstream Aerospace Gulfstream IV</v>
          </cell>
          <cell r="C851" t="str">
            <v>SP</v>
          </cell>
          <cell r="D851">
            <v>1996</v>
          </cell>
          <cell r="E851" t="str">
            <v>Government of Algeria</v>
          </cell>
          <cell r="F851">
            <v>8</v>
          </cell>
          <cell r="G851">
            <v>35384</v>
          </cell>
          <cell r="H851" t="str">
            <v>SP</v>
          </cell>
          <cell r="I851" t="str">
            <v>Africa</v>
          </cell>
          <cell r="J851" t="str">
            <v>Algeria</v>
          </cell>
          <cell r="K851">
            <v>35246</v>
          </cell>
        </row>
        <row r="852">
          <cell r="A852" t="str">
            <v>In service</v>
          </cell>
          <cell r="B852" t="str">
            <v>Gulfstream Aerospace Gulfstream IV</v>
          </cell>
          <cell r="C852" t="str">
            <v>SP</v>
          </cell>
          <cell r="D852">
            <v>1996</v>
          </cell>
          <cell r="E852" t="str">
            <v>Verizon Corporate Services Group Inc</v>
          </cell>
          <cell r="F852">
            <v>8</v>
          </cell>
          <cell r="G852">
            <v>35381</v>
          </cell>
          <cell r="H852" t="str">
            <v>SP</v>
          </cell>
          <cell r="I852" t="str">
            <v>North America</v>
          </cell>
          <cell r="J852" t="str">
            <v>USA</v>
          </cell>
          <cell r="K852">
            <v>34515</v>
          </cell>
        </row>
        <row r="853">
          <cell r="A853" t="str">
            <v>In service</v>
          </cell>
          <cell r="B853" t="str">
            <v>Gulfstream Aerospace Gulfstream IV</v>
          </cell>
          <cell r="C853" t="str">
            <v>SP</v>
          </cell>
          <cell r="D853">
            <v>1996</v>
          </cell>
          <cell r="E853" t="str">
            <v>Netjets International</v>
          </cell>
          <cell r="F853">
            <v>8</v>
          </cell>
          <cell r="G853">
            <v>35383</v>
          </cell>
          <cell r="H853" t="str">
            <v>SP</v>
          </cell>
          <cell r="I853" t="str">
            <v>North America</v>
          </cell>
          <cell r="J853" t="str">
            <v>USA</v>
          </cell>
          <cell r="K853">
            <v>34716</v>
          </cell>
        </row>
        <row r="854">
          <cell r="A854" t="str">
            <v>In service</v>
          </cell>
          <cell r="B854" t="str">
            <v>Gulfstream Aerospace Gulfstream IV</v>
          </cell>
          <cell r="C854" t="str">
            <v>SP</v>
          </cell>
          <cell r="D854">
            <v>1996</v>
          </cell>
          <cell r="E854" t="str">
            <v>Mawarid Ltd</v>
          </cell>
          <cell r="F854">
            <v>8</v>
          </cell>
          <cell r="G854">
            <v>35384</v>
          </cell>
          <cell r="H854" t="str">
            <v>SP</v>
          </cell>
          <cell r="I854" t="str">
            <v>Middle East</v>
          </cell>
          <cell r="J854" t="str">
            <v>Saudi Arabia</v>
          </cell>
          <cell r="K854">
            <v>34880</v>
          </cell>
        </row>
        <row r="855">
          <cell r="A855" t="str">
            <v>In service</v>
          </cell>
          <cell r="B855" t="str">
            <v>Gulfstream Aerospace Gulfstream IV</v>
          </cell>
          <cell r="C855" t="str">
            <v>SP</v>
          </cell>
          <cell r="D855">
            <v>1997</v>
          </cell>
          <cell r="E855" t="str">
            <v>Netjets International</v>
          </cell>
          <cell r="F855">
            <v>7</v>
          </cell>
          <cell r="G855">
            <v>35446</v>
          </cell>
          <cell r="H855" t="str">
            <v>SP</v>
          </cell>
          <cell r="I855" t="str">
            <v>North America</v>
          </cell>
          <cell r="J855" t="str">
            <v>USA</v>
          </cell>
          <cell r="K855">
            <v>34716</v>
          </cell>
        </row>
        <row r="856">
          <cell r="A856" t="str">
            <v>In service</v>
          </cell>
          <cell r="B856" t="str">
            <v>Gulfstream Aerospace Gulfstream IV</v>
          </cell>
          <cell r="C856" t="str">
            <v>SP</v>
          </cell>
          <cell r="D856">
            <v>1996</v>
          </cell>
          <cell r="E856" t="str">
            <v>Jetstream Ventures LLC</v>
          </cell>
          <cell r="F856">
            <v>8</v>
          </cell>
          <cell r="G856">
            <v>35282</v>
          </cell>
          <cell r="H856" t="str">
            <v>SP</v>
          </cell>
          <cell r="I856" t="str">
            <v>North America</v>
          </cell>
          <cell r="J856" t="str">
            <v>USA</v>
          </cell>
          <cell r="K856">
            <v>34515</v>
          </cell>
        </row>
        <row r="857">
          <cell r="A857" t="str">
            <v>In service</v>
          </cell>
          <cell r="B857" t="str">
            <v>Gulfstream Aerospace Gulfstream IV</v>
          </cell>
          <cell r="C857" t="str">
            <v>SP</v>
          </cell>
          <cell r="D857">
            <v>1996</v>
          </cell>
          <cell r="E857" t="str">
            <v>Aguilla Del Sur SA</v>
          </cell>
          <cell r="F857">
            <v>8</v>
          </cell>
          <cell r="G857">
            <v>35476</v>
          </cell>
          <cell r="H857" t="str">
            <v>SP</v>
          </cell>
          <cell r="I857" t="str">
            <v>Latin America and Caribbean</v>
          </cell>
          <cell r="J857" t="str">
            <v>Argentina</v>
          </cell>
          <cell r="K857">
            <v>35246</v>
          </cell>
        </row>
        <row r="858">
          <cell r="A858" t="str">
            <v>In service</v>
          </cell>
          <cell r="B858" t="str">
            <v>Gulfstream Aerospace Gulfstream IV</v>
          </cell>
          <cell r="C858" t="str">
            <v>SP</v>
          </cell>
          <cell r="D858">
            <v>1996</v>
          </cell>
          <cell r="E858" t="str">
            <v>Swiflite Aircraft Corp</v>
          </cell>
          <cell r="F858">
            <v>8</v>
          </cell>
          <cell r="G858">
            <v>35480</v>
          </cell>
          <cell r="H858" t="str">
            <v>SP</v>
          </cell>
          <cell r="I858" t="str">
            <v>North America</v>
          </cell>
          <cell r="J858" t="str">
            <v>USA</v>
          </cell>
          <cell r="K858">
            <v>35246</v>
          </cell>
        </row>
        <row r="859">
          <cell r="A859" t="str">
            <v>In service</v>
          </cell>
          <cell r="B859" t="str">
            <v>Gulfstream Aerospace Gulfstream IV</v>
          </cell>
          <cell r="C859" t="str">
            <v>SP</v>
          </cell>
          <cell r="D859">
            <v>1997</v>
          </cell>
          <cell r="E859" t="str">
            <v>Netjets International</v>
          </cell>
          <cell r="F859">
            <v>7</v>
          </cell>
          <cell r="G859">
            <v>35515</v>
          </cell>
          <cell r="H859" t="str">
            <v>SP</v>
          </cell>
          <cell r="I859" t="str">
            <v>North America</v>
          </cell>
          <cell r="J859" t="str">
            <v>USA</v>
          </cell>
          <cell r="K859">
            <v>35311</v>
          </cell>
        </row>
        <row r="860">
          <cell r="A860" t="str">
            <v>In service</v>
          </cell>
          <cell r="B860" t="str">
            <v>Gulfstream Aerospace Gulfstream IV</v>
          </cell>
          <cell r="C860" t="str">
            <v>SP</v>
          </cell>
          <cell r="D860">
            <v>1996</v>
          </cell>
          <cell r="E860" t="str">
            <v>MPM Financial LLC</v>
          </cell>
          <cell r="F860">
            <v>8</v>
          </cell>
          <cell r="G860">
            <v>35506</v>
          </cell>
          <cell r="H860" t="str">
            <v>SP</v>
          </cell>
          <cell r="I860" t="str">
            <v>North America</v>
          </cell>
          <cell r="J860" t="str">
            <v>USA</v>
          </cell>
          <cell r="K860">
            <v>35246</v>
          </cell>
        </row>
        <row r="861">
          <cell r="A861" t="str">
            <v>In service</v>
          </cell>
          <cell r="B861" t="str">
            <v>Gulfstream Aerospace Gulfstream IV</v>
          </cell>
          <cell r="C861" t="str">
            <v>SP</v>
          </cell>
          <cell r="D861">
            <v>1997</v>
          </cell>
          <cell r="E861" t="str">
            <v>American Express</v>
          </cell>
          <cell r="F861">
            <v>7</v>
          </cell>
          <cell r="G861">
            <v>35598</v>
          </cell>
          <cell r="H861" t="str">
            <v>SP</v>
          </cell>
          <cell r="I861" t="str">
            <v>North America</v>
          </cell>
          <cell r="J861" t="str">
            <v>USA</v>
          </cell>
          <cell r="K861">
            <v>35414</v>
          </cell>
        </row>
        <row r="862">
          <cell r="A862" t="str">
            <v>In service</v>
          </cell>
          <cell r="B862" t="str">
            <v>Gulfstream Aerospace Gulfstream IV</v>
          </cell>
          <cell r="C862" t="str">
            <v>SP</v>
          </cell>
          <cell r="D862">
            <v>1997</v>
          </cell>
          <cell r="E862" t="str">
            <v>American Express</v>
          </cell>
          <cell r="F862">
            <v>7</v>
          </cell>
          <cell r="G862">
            <v>35611</v>
          </cell>
          <cell r="H862" t="str">
            <v>SP</v>
          </cell>
          <cell r="I862" t="str">
            <v>North America</v>
          </cell>
          <cell r="J862" t="str">
            <v>USA</v>
          </cell>
          <cell r="K862">
            <v>35414</v>
          </cell>
        </row>
        <row r="863">
          <cell r="A863" t="str">
            <v>In service</v>
          </cell>
          <cell r="B863" t="str">
            <v>Gulfstream Aerospace Gulfstream IV</v>
          </cell>
          <cell r="C863" t="str">
            <v>SP</v>
          </cell>
          <cell r="D863">
            <v>1997</v>
          </cell>
          <cell r="E863" t="str">
            <v>Netjets International</v>
          </cell>
          <cell r="F863">
            <v>7</v>
          </cell>
          <cell r="G863">
            <v>35605</v>
          </cell>
          <cell r="H863" t="str">
            <v>SP</v>
          </cell>
          <cell r="I863" t="str">
            <v>North America</v>
          </cell>
          <cell r="J863" t="str">
            <v>USA</v>
          </cell>
          <cell r="K863">
            <v>35311</v>
          </cell>
        </row>
        <row r="864">
          <cell r="A864" t="str">
            <v>In service</v>
          </cell>
          <cell r="B864" t="str">
            <v>Gulfstream Aerospace Gulfstream IV</v>
          </cell>
          <cell r="C864" t="str">
            <v>SP</v>
          </cell>
          <cell r="D864">
            <v>1997</v>
          </cell>
          <cell r="E864" t="str">
            <v>Sprint-United Management Co</v>
          </cell>
          <cell r="F864">
            <v>7</v>
          </cell>
          <cell r="G864">
            <v>35604</v>
          </cell>
          <cell r="H864" t="str">
            <v>SP</v>
          </cell>
          <cell r="I864" t="str">
            <v>North America</v>
          </cell>
          <cell r="J864" t="str">
            <v>USA</v>
          </cell>
          <cell r="K864">
            <v>35414</v>
          </cell>
        </row>
        <row r="865">
          <cell r="A865" t="str">
            <v>In service</v>
          </cell>
          <cell r="B865" t="str">
            <v>Gulfstream Aerospace Gulfstream IV</v>
          </cell>
          <cell r="C865" t="str">
            <v>SP</v>
          </cell>
          <cell r="D865">
            <v>1997</v>
          </cell>
          <cell r="E865" t="str">
            <v>New World Jet Corp</v>
          </cell>
          <cell r="F865">
            <v>7</v>
          </cell>
          <cell r="G865">
            <v>35692</v>
          </cell>
          <cell r="H865" t="str">
            <v>SP</v>
          </cell>
          <cell r="I865" t="str">
            <v>North America</v>
          </cell>
          <cell r="J865" t="str">
            <v>USA</v>
          </cell>
          <cell r="K865">
            <v>34880</v>
          </cell>
        </row>
        <row r="866">
          <cell r="A866" t="str">
            <v>In service</v>
          </cell>
          <cell r="B866" t="str">
            <v>Gulfstream Aerospace Gulfstream IV</v>
          </cell>
          <cell r="C866" t="str">
            <v>SP</v>
          </cell>
          <cell r="D866">
            <v>1997</v>
          </cell>
          <cell r="E866" t="str">
            <v>American Express</v>
          </cell>
          <cell r="F866">
            <v>7</v>
          </cell>
          <cell r="G866">
            <v>35644</v>
          </cell>
          <cell r="H866" t="str">
            <v>SP</v>
          </cell>
          <cell r="I866" t="str">
            <v>North America</v>
          </cell>
          <cell r="J866" t="str">
            <v>USA</v>
          </cell>
          <cell r="K866">
            <v>35414</v>
          </cell>
        </row>
        <row r="867">
          <cell r="A867" t="str">
            <v>In service</v>
          </cell>
          <cell r="B867" t="str">
            <v>Gulfstream Aerospace Gulfstream IV</v>
          </cell>
          <cell r="C867" t="str">
            <v>SP</v>
          </cell>
          <cell r="D867">
            <v>1997</v>
          </cell>
          <cell r="E867" t="str">
            <v>Netjets International</v>
          </cell>
          <cell r="F867">
            <v>7</v>
          </cell>
          <cell r="G867">
            <v>35698</v>
          </cell>
          <cell r="H867" t="str">
            <v>SP</v>
          </cell>
          <cell r="I867" t="str">
            <v>North America</v>
          </cell>
          <cell r="J867" t="str">
            <v>USA</v>
          </cell>
          <cell r="K867">
            <v>35311</v>
          </cell>
        </row>
        <row r="868">
          <cell r="A868" t="str">
            <v>In service</v>
          </cell>
          <cell r="B868" t="str">
            <v>Gulfstream Aerospace Gulfstream IV</v>
          </cell>
          <cell r="C868" t="str">
            <v>SP</v>
          </cell>
          <cell r="D868">
            <v>1997</v>
          </cell>
          <cell r="E868" t="str">
            <v>ConAgra Foods Inc</v>
          </cell>
          <cell r="F868">
            <v>7</v>
          </cell>
          <cell r="G868">
            <v>35650</v>
          </cell>
          <cell r="H868" t="str">
            <v>SP</v>
          </cell>
          <cell r="I868" t="str">
            <v>North America</v>
          </cell>
          <cell r="J868" t="str">
            <v>USA</v>
          </cell>
          <cell r="K868">
            <v>35246</v>
          </cell>
        </row>
        <row r="869">
          <cell r="A869" t="str">
            <v>In service</v>
          </cell>
          <cell r="B869" t="str">
            <v>Gulfstream Aerospace Gulfstream IV</v>
          </cell>
          <cell r="C869" t="str">
            <v>SP</v>
          </cell>
          <cell r="D869">
            <v>1997</v>
          </cell>
          <cell r="E869" t="str">
            <v>Owens-Illinois Inc</v>
          </cell>
          <cell r="F869">
            <v>7</v>
          </cell>
          <cell r="G869">
            <v>35794</v>
          </cell>
          <cell r="H869" t="str">
            <v>SP</v>
          </cell>
          <cell r="I869" t="str">
            <v>North America</v>
          </cell>
          <cell r="J869" t="str">
            <v>USA</v>
          </cell>
          <cell r="K869">
            <v>35246</v>
          </cell>
        </row>
        <row r="870">
          <cell r="A870" t="str">
            <v>In service</v>
          </cell>
          <cell r="B870" t="str">
            <v>Gulfstream Aerospace Gulfstream IV</v>
          </cell>
          <cell r="C870" t="str">
            <v>SP</v>
          </cell>
          <cell r="D870">
            <v>1997</v>
          </cell>
          <cell r="E870" t="str">
            <v>Netjets International</v>
          </cell>
          <cell r="F870">
            <v>7</v>
          </cell>
          <cell r="G870">
            <v>35782</v>
          </cell>
          <cell r="H870" t="str">
            <v>SP</v>
          </cell>
          <cell r="I870" t="str">
            <v>North America</v>
          </cell>
          <cell r="J870" t="str">
            <v>USA</v>
          </cell>
          <cell r="K870">
            <v>35311</v>
          </cell>
        </row>
        <row r="871">
          <cell r="A871" t="str">
            <v>In service</v>
          </cell>
          <cell r="B871" t="str">
            <v>Gulfstream Aerospace Gulfstream IV</v>
          </cell>
          <cell r="C871" t="str">
            <v>SP</v>
          </cell>
          <cell r="D871">
            <v>1997</v>
          </cell>
          <cell r="E871" t="str">
            <v>Jet Club Ltd Bermuda</v>
          </cell>
          <cell r="F871">
            <v>7</v>
          </cell>
          <cell r="G871">
            <v>35832</v>
          </cell>
          <cell r="H871" t="str">
            <v>SP</v>
          </cell>
          <cell r="I871" t="str">
            <v>Latin America and Caribbean</v>
          </cell>
          <cell r="J871" t="str">
            <v>Bermuda</v>
          </cell>
          <cell r="K871">
            <v>35246</v>
          </cell>
        </row>
        <row r="872">
          <cell r="A872" t="str">
            <v>In service</v>
          </cell>
          <cell r="B872" t="str">
            <v>Gulfstream Aerospace Gulfstream IV</v>
          </cell>
          <cell r="C872" t="str">
            <v>SP</v>
          </cell>
          <cell r="D872">
            <v>1997</v>
          </cell>
          <cell r="E872" t="str">
            <v>Lucent Technologies Inc</v>
          </cell>
          <cell r="F872">
            <v>7</v>
          </cell>
          <cell r="G872">
            <v>35807</v>
          </cell>
          <cell r="H872" t="str">
            <v>SP</v>
          </cell>
          <cell r="I872" t="str">
            <v>North America</v>
          </cell>
          <cell r="J872" t="str">
            <v>USA</v>
          </cell>
          <cell r="K872">
            <v>35246</v>
          </cell>
        </row>
        <row r="873">
          <cell r="A873" t="str">
            <v>In service</v>
          </cell>
          <cell r="B873" t="str">
            <v>Gulfstream Aerospace Gulfstream IV</v>
          </cell>
          <cell r="C873" t="str">
            <v>SP</v>
          </cell>
          <cell r="D873">
            <v>1997</v>
          </cell>
          <cell r="E873" t="str">
            <v>United States Automobile Assoc</v>
          </cell>
          <cell r="F873">
            <v>7</v>
          </cell>
          <cell r="G873">
            <v>35793</v>
          </cell>
          <cell r="H873" t="str">
            <v>SP</v>
          </cell>
          <cell r="I873" t="str">
            <v>North America</v>
          </cell>
          <cell r="J873" t="str">
            <v>USA</v>
          </cell>
          <cell r="K873">
            <v>35246</v>
          </cell>
        </row>
        <row r="874">
          <cell r="A874" t="str">
            <v>In service</v>
          </cell>
          <cell r="B874" t="str">
            <v>Gulfstream Aerospace Gulfstream IV</v>
          </cell>
          <cell r="C874" t="str">
            <v>SP</v>
          </cell>
          <cell r="D874">
            <v>1997</v>
          </cell>
          <cell r="E874" t="str">
            <v>Oaktree Capital Management Inc</v>
          </cell>
          <cell r="F874">
            <v>7</v>
          </cell>
          <cell r="G874">
            <v>35783</v>
          </cell>
          <cell r="H874" t="str">
            <v>SP</v>
          </cell>
          <cell r="I874" t="str">
            <v>North America</v>
          </cell>
          <cell r="J874" t="str">
            <v>USA</v>
          </cell>
          <cell r="K874">
            <v>35246</v>
          </cell>
        </row>
        <row r="875">
          <cell r="A875" t="str">
            <v>In service</v>
          </cell>
          <cell r="B875" t="str">
            <v>Gulfstream Aerospace Gulfstream IV</v>
          </cell>
          <cell r="C875" t="str">
            <v>SP</v>
          </cell>
          <cell r="D875">
            <v>1997</v>
          </cell>
          <cell r="E875" t="str">
            <v>Netjets International</v>
          </cell>
          <cell r="F875">
            <v>7</v>
          </cell>
          <cell r="G875">
            <v>35794</v>
          </cell>
          <cell r="H875" t="str">
            <v>SP</v>
          </cell>
          <cell r="I875" t="str">
            <v>North America</v>
          </cell>
          <cell r="J875" t="str">
            <v>USA</v>
          </cell>
          <cell r="K875">
            <v>35311</v>
          </cell>
        </row>
        <row r="876">
          <cell r="A876" t="str">
            <v>In service</v>
          </cell>
          <cell r="B876" t="str">
            <v>Gulfstream Aerospace Gulfstream IV</v>
          </cell>
          <cell r="C876" t="str">
            <v>SP</v>
          </cell>
          <cell r="D876">
            <v>1997</v>
          </cell>
          <cell r="E876" t="str">
            <v>Perry Capital LLC</v>
          </cell>
          <cell r="F876">
            <v>7</v>
          </cell>
          <cell r="G876">
            <v>35821</v>
          </cell>
          <cell r="H876" t="str">
            <v>SP</v>
          </cell>
          <cell r="I876" t="str">
            <v>North America</v>
          </cell>
          <cell r="J876" t="str">
            <v>USA</v>
          </cell>
          <cell r="K876">
            <v>35246</v>
          </cell>
        </row>
        <row r="877">
          <cell r="A877" t="str">
            <v>In service</v>
          </cell>
          <cell r="B877" t="str">
            <v>Gulfstream Aerospace Gulfstream IV</v>
          </cell>
          <cell r="C877" t="str">
            <v>SP</v>
          </cell>
          <cell r="D877">
            <v>1998</v>
          </cell>
          <cell r="E877" t="str">
            <v>Chevron USA Inc</v>
          </cell>
          <cell r="F877">
            <v>6</v>
          </cell>
          <cell r="G877">
            <v>35991</v>
          </cell>
          <cell r="H877" t="str">
            <v>SP</v>
          </cell>
          <cell r="I877" t="str">
            <v>North America</v>
          </cell>
          <cell r="J877" t="str">
            <v>USA</v>
          </cell>
          <cell r="K877">
            <v>35246</v>
          </cell>
        </row>
        <row r="878">
          <cell r="A878" t="str">
            <v>In service</v>
          </cell>
          <cell r="B878" t="str">
            <v>Gulfstream Aerospace Gulfstream IV</v>
          </cell>
          <cell r="C878" t="str">
            <v>SP</v>
          </cell>
          <cell r="D878">
            <v>1998</v>
          </cell>
          <cell r="E878" t="str">
            <v>Symax Air LLC</v>
          </cell>
          <cell r="F878">
            <v>6</v>
          </cell>
          <cell r="G878">
            <v>35885</v>
          </cell>
          <cell r="H878" t="str">
            <v>SP</v>
          </cell>
          <cell r="I878" t="str">
            <v>North America</v>
          </cell>
          <cell r="J878" t="str">
            <v>USA</v>
          </cell>
          <cell r="K878">
            <v>35246</v>
          </cell>
        </row>
        <row r="879">
          <cell r="A879" t="str">
            <v>In service</v>
          </cell>
          <cell r="B879" t="str">
            <v>Gulfstream Aerospace Gulfstream IV</v>
          </cell>
          <cell r="C879" t="str">
            <v>SP</v>
          </cell>
          <cell r="D879">
            <v>1998</v>
          </cell>
          <cell r="E879" t="str">
            <v>New World Jet Corp</v>
          </cell>
          <cell r="F879">
            <v>6</v>
          </cell>
          <cell r="G879">
            <v>35989</v>
          </cell>
          <cell r="H879" t="str">
            <v>SP</v>
          </cell>
          <cell r="I879" t="str">
            <v>North America</v>
          </cell>
          <cell r="J879" t="str">
            <v>USA</v>
          </cell>
          <cell r="K879">
            <v>35246</v>
          </cell>
        </row>
        <row r="880">
          <cell r="A880" t="str">
            <v>In service</v>
          </cell>
          <cell r="B880" t="str">
            <v>Gulfstream Aerospace Gulfstream IV</v>
          </cell>
          <cell r="C880" t="str">
            <v>SP</v>
          </cell>
          <cell r="D880">
            <v>1998</v>
          </cell>
          <cell r="E880" t="str">
            <v>Netjets International</v>
          </cell>
          <cell r="F880">
            <v>6</v>
          </cell>
          <cell r="G880">
            <v>35964</v>
          </cell>
          <cell r="H880" t="str">
            <v>SP</v>
          </cell>
          <cell r="I880" t="str">
            <v>North America</v>
          </cell>
          <cell r="J880" t="str">
            <v>USA</v>
          </cell>
          <cell r="K880">
            <v>35311</v>
          </cell>
        </row>
        <row r="881">
          <cell r="A881" t="str">
            <v>In service</v>
          </cell>
          <cell r="B881" t="str">
            <v>Gulfstream Aerospace Gulfstream IV</v>
          </cell>
          <cell r="C881" t="str">
            <v>SP</v>
          </cell>
          <cell r="D881">
            <v>1998</v>
          </cell>
          <cell r="E881" t="str">
            <v>Xamex Investments Inc</v>
          </cell>
          <cell r="F881">
            <v>6</v>
          </cell>
          <cell r="G881">
            <v>35944</v>
          </cell>
          <cell r="H881" t="str">
            <v>SP</v>
          </cell>
          <cell r="I881" t="str">
            <v>North America</v>
          </cell>
          <cell r="J881" t="str">
            <v>USA</v>
          </cell>
          <cell r="K881">
            <v>35246</v>
          </cell>
        </row>
        <row r="882">
          <cell r="A882" t="str">
            <v>In service</v>
          </cell>
          <cell r="B882" t="str">
            <v>Gulfstream Aerospace Gulfstream IV</v>
          </cell>
          <cell r="C882" t="str">
            <v>SP</v>
          </cell>
          <cell r="D882">
            <v>1998</v>
          </cell>
          <cell r="E882" t="str">
            <v>Netjets International</v>
          </cell>
          <cell r="F882">
            <v>6</v>
          </cell>
          <cell r="G882">
            <v>36013</v>
          </cell>
          <cell r="H882" t="str">
            <v>SP</v>
          </cell>
          <cell r="I882" t="str">
            <v>North America</v>
          </cell>
          <cell r="J882" t="str">
            <v>USA</v>
          </cell>
          <cell r="K882">
            <v>35311</v>
          </cell>
        </row>
        <row r="883">
          <cell r="A883" t="str">
            <v>In service</v>
          </cell>
          <cell r="B883" t="str">
            <v>Gulfstream Aerospace Gulfstream IV</v>
          </cell>
          <cell r="C883" t="str">
            <v>SP</v>
          </cell>
          <cell r="D883">
            <v>1997</v>
          </cell>
          <cell r="E883" t="str">
            <v>Aeropuerto Argentina 200</v>
          </cell>
          <cell r="F883">
            <v>7</v>
          </cell>
          <cell r="G883">
            <v>35794</v>
          </cell>
          <cell r="H883" t="str">
            <v>SP</v>
          </cell>
          <cell r="I883" t="str">
            <v>Latin America and Caribbean</v>
          </cell>
          <cell r="J883" t="str">
            <v>Argentina</v>
          </cell>
          <cell r="K883">
            <v>35611</v>
          </cell>
        </row>
        <row r="884">
          <cell r="A884" t="str">
            <v>In service</v>
          </cell>
          <cell r="B884" t="str">
            <v>Gulfstream Aerospace Gulfstream IV</v>
          </cell>
          <cell r="C884" t="str">
            <v>SP</v>
          </cell>
          <cell r="D884">
            <v>1998</v>
          </cell>
          <cell r="E884" t="str">
            <v>Government of Gabon</v>
          </cell>
          <cell r="F884">
            <v>6</v>
          </cell>
          <cell r="G884">
            <v>36114</v>
          </cell>
          <cell r="H884" t="str">
            <v>SP</v>
          </cell>
          <cell r="I884" t="str">
            <v>Africa</v>
          </cell>
          <cell r="J884" t="str">
            <v>Gabon</v>
          </cell>
          <cell r="K884">
            <v>35976</v>
          </cell>
        </row>
        <row r="885">
          <cell r="A885" t="str">
            <v>In service</v>
          </cell>
          <cell r="B885" t="str">
            <v>Gulfstream Aerospace Gulfstream IV</v>
          </cell>
          <cell r="C885" t="str">
            <v>SP</v>
          </cell>
          <cell r="D885">
            <v>1998</v>
          </cell>
          <cell r="E885" t="str">
            <v>Netjets International</v>
          </cell>
          <cell r="F885">
            <v>6</v>
          </cell>
          <cell r="G885">
            <v>36056</v>
          </cell>
          <cell r="H885" t="str">
            <v>SP</v>
          </cell>
          <cell r="I885" t="str">
            <v>North America</v>
          </cell>
          <cell r="J885" t="str">
            <v>USA</v>
          </cell>
          <cell r="K885">
            <v>35311</v>
          </cell>
        </row>
        <row r="886">
          <cell r="A886" t="str">
            <v>In service</v>
          </cell>
          <cell r="B886" t="str">
            <v>Gulfstream Aerospace Gulfstream IV</v>
          </cell>
          <cell r="C886" t="str">
            <v>SP</v>
          </cell>
          <cell r="D886">
            <v>1998</v>
          </cell>
          <cell r="E886" t="str">
            <v>Government of Egypt</v>
          </cell>
          <cell r="F886">
            <v>6</v>
          </cell>
          <cell r="G886">
            <v>36114</v>
          </cell>
          <cell r="H886" t="str">
            <v>SP</v>
          </cell>
          <cell r="I886" t="str">
            <v>Africa</v>
          </cell>
          <cell r="J886" t="str">
            <v>Egypt</v>
          </cell>
          <cell r="K886">
            <v>35976</v>
          </cell>
        </row>
        <row r="887">
          <cell r="A887" t="str">
            <v>In service</v>
          </cell>
          <cell r="B887" t="str">
            <v>Gulfstream Aerospace Gulfstream IV</v>
          </cell>
          <cell r="C887" t="str">
            <v>SP</v>
          </cell>
          <cell r="D887">
            <v>1998</v>
          </cell>
          <cell r="E887" t="str">
            <v>Johnson &amp; Johnson</v>
          </cell>
          <cell r="F887">
            <v>6</v>
          </cell>
          <cell r="G887">
            <v>36080</v>
          </cell>
          <cell r="H887" t="str">
            <v>SP</v>
          </cell>
          <cell r="I887" t="str">
            <v>North America</v>
          </cell>
          <cell r="J887" t="str">
            <v>USA</v>
          </cell>
          <cell r="K887">
            <v>35611</v>
          </cell>
        </row>
        <row r="888">
          <cell r="A888" t="str">
            <v>In service</v>
          </cell>
          <cell r="B888" t="str">
            <v>Gulfstream Aerospace Gulfstream IV</v>
          </cell>
          <cell r="C888" t="str">
            <v>SP</v>
          </cell>
          <cell r="D888">
            <v>1998</v>
          </cell>
          <cell r="E888" t="str">
            <v>General Dynamics Corp</v>
          </cell>
          <cell r="F888">
            <v>6</v>
          </cell>
          <cell r="G888">
            <v>36133</v>
          </cell>
          <cell r="H888" t="str">
            <v>SP</v>
          </cell>
          <cell r="I888" t="str">
            <v>North America</v>
          </cell>
          <cell r="J888" t="str">
            <v>USA</v>
          </cell>
          <cell r="K888">
            <v>35611</v>
          </cell>
        </row>
        <row r="889">
          <cell r="A889" t="str">
            <v>In service</v>
          </cell>
          <cell r="B889" t="str">
            <v>Gulfstream Aerospace Gulfstream IV</v>
          </cell>
          <cell r="C889" t="str">
            <v>SP</v>
          </cell>
          <cell r="D889">
            <v>1998</v>
          </cell>
          <cell r="E889" t="str">
            <v>Government of Egypt</v>
          </cell>
          <cell r="F889">
            <v>6</v>
          </cell>
          <cell r="G889">
            <v>36144</v>
          </cell>
          <cell r="H889" t="str">
            <v>SP</v>
          </cell>
          <cell r="I889" t="str">
            <v>Africa</v>
          </cell>
          <cell r="J889" t="str">
            <v>Egypt</v>
          </cell>
          <cell r="K889">
            <v>35976</v>
          </cell>
        </row>
        <row r="890">
          <cell r="A890" t="str">
            <v>In service</v>
          </cell>
          <cell r="B890" t="str">
            <v>Gulfstream Aerospace Gulfstream IV</v>
          </cell>
          <cell r="C890" t="str">
            <v>SP</v>
          </cell>
          <cell r="D890">
            <v>1998</v>
          </cell>
          <cell r="E890" t="str">
            <v>Johnson &amp; Johnson</v>
          </cell>
          <cell r="F890">
            <v>6</v>
          </cell>
          <cell r="G890">
            <v>36123</v>
          </cell>
          <cell r="H890" t="str">
            <v>SP</v>
          </cell>
          <cell r="I890" t="str">
            <v>North America</v>
          </cell>
          <cell r="J890" t="str">
            <v>USA</v>
          </cell>
          <cell r="K890">
            <v>35611</v>
          </cell>
        </row>
        <row r="891">
          <cell r="A891" t="str">
            <v>In service</v>
          </cell>
          <cell r="B891" t="str">
            <v>Gulfstream Aerospace Gulfstream IV</v>
          </cell>
          <cell r="C891" t="str">
            <v>SP</v>
          </cell>
          <cell r="D891">
            <v>1998</v>
          </cell>
          <cell r="E891" t="str">
            <v>J W Childs Associates Inc</v>
          </cell>
          <cell r="F891">
            <v>6</v>
          </cell>
          <cell r="G891">
            <v>36123</v>
          </cell>
          <cell r="H891" t="str">
            <v>SP</v>
          </cell>
          <cell r="I891" t="str">
            <v>North America</v>
          </cell>
          <cell r="J891" t="str">
            <v>USA</v>
          </cell>
          <cell r="K891">
            <v>35521</v>
          </cell>
        </row>
        <row r="892">
          <cell r="A892" t="str">
            <v>In service</v>
          </cell>
          <cell r="B892" t="str">
            <v>Gulfstream Aerospace Gulfstream IV</v>
          </cell>
          <cell r="C892" t="str">
            <v>SP</v>
          </cell>
          <cell r="D892">
            <v>1998</v>
          </cell>
          <cell r="E892" t="str">
            <v>Astor Street Asset Management Inc</v>
          </cell>
          <cell r="F892">
            <v>6</v>
          </cell>
          <cell r="G892">
            <v>36151</v>
          </cell>
          <cell r="H892" t="str">
            <v>SP</v>
          </cell>
          <cell r="I892" t="str">
            <v>North America</v>
          </cell>
          <cell r="J892" t="str">
            <v>USA</v>
          </cell>
          <cell r="K892">
            <v>35611</v>
          </cell>
        </row>
        <row r="893">
          <cell r="A893" t="str">
            <v>In service</v>
          </cell>
          <cell r="B893" t="str">
            <v>Gulfstream Aerospace Gulfstream IV</v>
          </cell>
          <cell r="C893" t="str">
            <v>SP</v>
          </cell>
          <cell r="D893">
            <v>1998</v>
          </cell>
          <cell r="E893" t="str">
            <v>The Air Group Inc</v>
          </cell>
          <cell r="F893">
            <v>6</v>
          </cell>
          <cell r="G893">
            <v>36339</v>
          </cell>
          <cell r="H893" t="str">
            <v>SP</v>
          </cell>
          <cell r="I893" t="str">
            <v>North America</v>
          </cell>
          <cell r="J893" t="str">
            <v>USA</v>
          </cell>
          <cell r="K893">
            <v>35976</v>
          </cell>
        </row>
        <row r="894">
          <cell r="A894" t="str">
            <v>In service</v>
          </cell>
          <cell r="B894" t="str">
            <v>Gulfstream Aerospace Gulfstream IV</v>
          </cell>
          <cell r="C894" t="str">
            <v>SP</v>
          </cell>
          <cell r="D894">
            <v>1999</v>
          </cell>
          <cell r="E894" t="str">
            <v>Michael J Kittredge</v>
          </cell>
          <cell r="F894">
            <v>5</v>
          </cell>
          <cell r="G894">
            <v>36215</v>
          </cell>
          <cell r="H894" t="str">
            <v>SP</v>
          </cell>
          <cell r="I894" t="str">
            <v>North America</v>
          </cell>
          <cell r="J894" t="str">
            <v>USA</v>
          </cell>
          <cell r="K894">
            <v>35611</v>
          </cell>
        </row>
        <row r="895">
          <cell r="A895" t="str">
            <v>In service</v>
          </cell>
          <cell r="B895" t="str">
            <v>Gulfstream Aerospace Gulfstream IV</v>
          </cell>
          <cell r="C895" t="str">
            <v>SP</v>
          </cell>
          <cell r="D895">
            <v>1999</v>
          </cell>
          <cell r="E895" t="str">
            <v>LHF Holdings LLC</v>
          </cell>
          <cell r="F895">
            <v>5</v>
          </cell>
          <cell r="G895">
            <v>36210</v>
          </cell>
          <cell r="H895" t="str">
            <v>SP</v>
          </cell>
          <cell r="I895" t="str">
            <v>North America</v>
          </cell>
          <cell r="J895" t="str">
            <v>USA</v>
          </cell>
          <cell r="K895">
            <v>35611</v>
          </cell>
        </row>
        <row r="896">
          <cell r="A896" t="str">
            <v>In service</v>
          </cell>
          <cell r="B896" t="str">
            <v>Gulfstream Aerospace Gulfstream IV</v>
          </cell>
          <cell r="C896" t="str">
            <v>SP</v>
          </cell>
          <cell r="D896">
            <v>1998</v>
          </cell>
          <cell r="E896" t="str">
            <v>TAL Leasing Co LLC</v>
          </cell>
          <cell r="F896">
            <v>6</v>
          </cell>
          <cell r="G896">
            <v>36158</v>
          </cell>
          <cell r="H896" t="str">
            <v>SP</v>
          </cell>
          <cell r="I896" t="str">
            <v>North America</v>
          </cell>
          <cell r="J896" t="str">
            <v>USA</v>
          </cell>
          <cell r="K896">
            <v>35611</v>
          </cell>
        </row>
        <row r="897">
          <cell r="A897" t="str">
            <v>In service</v>
          </cell>
          <cell r="B897" t="str">
            <v>Gulfstream Aerospace Gulfstream IV</v>
          </cell>
          <cell r="C897" t="str">
            <v>SP</v>
          </cell>
          <cell r="D897">
            <v>1999</v>
          </cell>
          <cell r="E897" t="str">
            <v>Abbott Laboratories Inc</v>
          </cell>
          <cell r="F897">
            <v>5</v>
          </cell>
          <cell r="G897">
            <v>36221</v>
          </cell>
          <cell r="H897" t="str">
            <v>SP</v>
          </cell>
          <cell r="I897" t="str">
            <v>North America</v>
          </cell>
          <cell r="J897" t="str">
            <v>USA</v>
          </cell>
          <cell r="K897">
            <v>35611</v>
          </cell>
        </row>
        <row r="898">
          <cell r="A898" t="str">
            <v>In service</v>
          </cell>
          <cell r="B898" t="str">
            <v>Gulfstream Aerospace Gulfstream IV</v>
          </cell>
          <cell r="C898" t="str">
            <v>SP</v>
          </cell>
          <cell r="D898">
            <v>1998</v>
          </cell>
          <cell r="E898" t="str">
            <v>Netjets International</v>
          </cell>
          <cell r="F898">
            <v>6</v>
          </cell>
          <cell r="G898">
            <v>36152</v>
          </cell>
          <cell r="H898" t="str">
            <v>SP</v>
          </cell>
          <cell r="I898" t="str">
            <v>North America</v>
          </cell>
          <cell r="J898" t="str">
            <v>USA</v>
          </cell>
          <cell r="K898">
            <v>35521</v>
          </cell>
        </row>
        <row r="899">
          <cell r="A899" t="str">
            <v>In service</v>
          </cell>
          <cell r="B899" t="str">
            <v>Gulfstream Aerospace Gulfstream IV</v>
          </cell>
          <cell r="C899" t="str">
            <v>SP</v>
          </cell>
          <cell r="D899">
            <v>1998</v>
          </cell>
          <cell r="E899" t="str">
            <v>Avjet Corp</v>
          </cell>
          <cell r="F899">
            <v>6</v>
          </cell>
          <cell r="G899">
            <v>36000</v>
          </cell>
          <cell r="H899" t="str">
            <v>SP</v>
          </cell>
          <cell r="I899" t="str">
            <v>North America</v>
          </cell>
          <cell r="J899" t="str">
            <v>USA</v>
          </cell>
          <cell r="K899">
            <v>35611</v>
          </cell>
        </row>
        <row r="900">
          <cell r="A900" t="str">
            <v>In service</v>
          </cell>
          <cell r="B900" t="str">
            <v>Gulfstream Aerospace Gulfstream IV</v>
          </cell>
          <cell r="C900" t="str">
            <v>SP</v>
          </cell>
          <cell r="D900">
            <v>1999</v>
          </cell>
          <cell r="E900" t="str">
            <v>SS Platinum Limited Liabilty Co</v>
          </cell>
          <cell r="F900">
            <v>5</v>
          </cell>
          <cell r="G900">
            <v>36339</v>
          </cell>
          <cell r="H900" t="str">
            <v>SP</v>
          </cell>
          <cell r="I900" t="str">
            <v>North America</v>
          </cell>
          <cell r="J900" t="str">
            <v>USA</v>
          </cell>
          <cell r="K900">
            <v>35611</v>
          </cell>
        </row>
        <row r="901">
          <cell r="A901" t="str">
            <v>In service</v>
          </cell>
          <cell r="B901" t="str">
            <v>Gulfstream Aerospace Gulfstream IV</v>
          </cell>
          <cell r="C901" t="str">
            <v>SP</v>
          </cell>
          <cell r="D901">
            <v>1999</v>
          </cell>
          <cell r="E901" t="str">
            <v>Eighteen LLC</v>
          </cell>
          <cell r="F901">
            <v>5</v>
          </cell>
          <cell r="G901">
            <v>36390</v>
          </cell>
          <cell r="H901" t="str">
            <v>SP</v>
          </cell>
          <cell r="I901" t="str">
            <v>Latin America and Caribbean</v>
          </cell>
          <cell r="J901" t="str">
            <v>Bermuda</v>
          </cell>
          <cell r="K901">
            <v>35611</v>
          </cell>
        </row>
        <row r="902">
          <cell r="A902" t="str">
            <v>In service</v>
          </cell>
          <cell r="B902" t="str">
            <v>Gulfstream Aerospace Gulfstream IV</v>
          </cell>
          <cell r="C902" t="str">
            <v>SP</v>
          </cell>
          <cell r="D902">
            <v>1999</v>
          </cell>
          <cell r="E902" t="str">
            <v>Seminole Tribe of Florida</v>
          </cell>
          <cell r="F902">
            <v>5</v>
          </cell>
          <cell r="G902">
            <v>36342</v>
          </cell>
          <cell r="H902" t="str">
            <v>SP</v>
          </cell>
          <cell r="I902" t="str">
            <v>North America</v>
          </cell>
          <cell r="J902" t="str">
            <v>USA</v>
          </cell>
          <cell r="K902">
            <v>35976</v>
          </cell>
        </row>
        <row r="903">
          <cell r="A903" t="str">
            <v>In service</v>
          </cell>
          <cell r="B903" t="str">
            <v>Gulfstream Aerospace Gulfstream IV</v>
          </cell>
          <cell r="C903" t="str">
            <v>SP</v>
          </cell>
          <cell r="D903">
            <v>1998</v>
          </cell>
          <cell r="E903" t="str">
            <v>Greenapp Aviation Ltd</v>
          </cell>
          <cell r="F903">
            <v>6</v>
          </cell>
          <cell r="G903">
            <v>36048</v>
          </cell>
          <cell r="H903" t="str">
            <v>SP</v>
          </cell>
          <cell r="I903" t="str">
            <v>Unknown area</v>
          </cell>
          <cell r="J903" t="str">
            <v>Unknown Country</v>
          </cell>
          <cell r="K903">
            <v>35611</v>
          </cell>
        </row>
        <row r="904">
          <cell r="A904" t="str">
            <v>In service</v>
          </cell>
          <cell r="B904" t="str">
            <v>Gulfstream Aerospace Gulfstream IV</v>
          </cell>
          <cell r="C904" t="str">
            <v>SP</v>
          </cell>
          <cell r="D904">
            <v>1998</v>
          </cell>
          <cell r="E904" t="str">
            <v>Coanda Inc</v>
          </cell>
          <cell r="F904">
            <v>6</v>
          </cell>
          <cell r="G904">
            <v>36073</v>
          </cell>
          <cell r="H904" t="str">
            <v>SP</v>
          </cell>
          <cell r="I904" t="str">
            <v>North America</v>
          </cell>
          <cell r="J904" t="str">
            <v>USA</v>
          </cell>
          <cell r="K904">
            <v>35611</v>
          </cell>
        </row>
        <row r="905">
          <cell r="A905" t="str">
            <v>In service</v>
          </cell>
          <cell r="B905" t="str">
            <v>Gulfstream Aerospace Gulfstream IV</v>
          </cell>
          <cell r="C905" t="str">
            <v>SP</v>
          </cell>
          <cell r="D905">
            <v>1999</v>
          </cell>
          <cell r="E905" t="str">
            <v>United States Steel Corp</v>
          </cell>
          <cell r="F905">
            <v>5</v>
          </cell>
          <cell r="G905">
            <v>36495</v>
          </cell>
          <cell r="H905" t="str">
            <v>SP</v>
          </cell>
          <cell r="I905" t="str">
            <v>North America</v>
          </cell>
          <cell r="J905" t="str">
            <v>USA</v>
          </cell>
          <cell r="K905">
            <v>35976</v>
          </cell>
        </row>
        <row r="906">
          <cell r="A906" t="str">
            <v>In service</v>
          </cell>
          <cell r="B906" t="str">
            <v>Gulfstream Aerospace Gulfstream IV</v>
          </cell>
          <cell r="C906" t="str">
            <v>SP</v>
          </cell>
          <cell r="D906">
            <v>1999</v>
          </cell>
          <cell r="E906" t="str">
            <v>OM Group Inc</v>
          </cell>
          <cell r="F906">
            <v>5</v>
          </cell>
          <cell r="G906">
            <v>36461</v>
          </cell>
          <cell r="H906" t="str">
            <v>SP</v>
          </cell>
          <cell r="I906" t="str">
            <v>North America</v>
          </cell>
          <cell r="J906" t="str">
            <v>USA</v>
          </cell>
          <cell r="K906">
            <v>35869</v>
          </cell>
        </row>
        <row r="907">
          <cell r="A907" t="str">
            <v>In service</v>
          </cell>
          <cell r="B907" t="str">
            <v>Gulfstream Aerospace Gulfstream IV</v>
          </cell>
          <cell r="C907" t="str">
            <v>SP</v>
          </cell>
          <cell r="D907">
            <v>1998</v>
          </cell>
          <cell r="E907" t="str">
            <v>Unisys Corp</v>
          </cell>
          <cell r="F907">
            <v>6</v>
          </cell>
          <cell r="G907">
            <v>36144</v>
          </cell>
          <cell r="H907" t="str">
            <v>SP</v>
          </cell>
          <cell r="I907" t="str">
            <v>North America</v>
          </cell>
          <cell r="J907" t="str">
            <v>USA</v>
          </cell>
          <cell r="K907">
            <v>35611</v>
          </cell>
        </row>
        <row r="908">
          <cell r="A908" t="str">
            <v>In service</v>
          </cell>
          <cell r="B908" t="str">
            <v>Gulfstream Aerospace Gulfstream IV</v>
          </cell>
          <cell r="C908" t="str">
            <v>SP</v>
          </cell>
          <cell r="D908">
            <v>1999</v>
          </cell>
          <cell r="E908" t="str">
            <v>Consortium of Executive Operators</v>
          </cell>
          <cell r="F908">
            <v>5</v>
          </cell>
          <cell r="G908">
            <v>36299</v>
          </cell>
          <cell r="H908" t="str">
            <v>SP</v>
          </cell>
          <cell r="I908" t="str">
            <v>North America</v>
          </cell>
          <cell r="J908" t="str">
            <v>USA</v>
          </cell>
          <cell r="K908">
            <v>35521</v>
          </cell>
        </row>
        <row r="909">
          <cell r="A909" t="str">
            <v>In service</v>
          </cell>
          <cell r="B909" t="str">
            <v>Gulfstream Aerospace Gulfstream IV</v>
          </cell>
          <cell r="C909" t="str">
            <v>SP</v>
          </cell>
          <cell r="D909">
            <v>1999</v>
          </cell>
          <cell r="E909" t="str">
            <v>Netjets International</v>
          </cell>
          <cell r="F909">
            <v>5</v>
          </cell>
          <cell r="G909">
            <v>36249</v>
          </cell>
          <cell r="H909" t="str">
            <v>SP</v>
          </cell>
          <cell r="I909" t="str">
            <v>North America</v>
          </cell>
          <cell r="J909" t="str">
            <v>USA</v>
          </cell>
          <cell r="K909">
            <v>35521</v>
          </cell>
        </row>
        <row r="910">
          <cell r="A910" t="str">
            <v>In service</v>
          </cell>
          <cell r="B910" t="str">
            <v>Gulfstream Aerospace Gulfstream IV</v>
          </cell>
          <cell r="C910" t="str">
            <v>SP</v>
          </cell>
          <cell r="D910">
            <v>1999</v>
          </cell>
          <cell r="E910" t="str">
            <v>Government of Bahrain</v>
          </cell>
          <cell r="F910">
            <v>5</v>
          </cell>
          <cell r="G910">
            <v>36364</v>
          </cell>
          <cell r="H910" t="str">
            <v>SP</v>
          </cell>
          <cell r="I910" t="str">
            <v>Middle East</v>
          </cell>
          <cell r="J910" t="str">
            <v>Bahrain</v>
          </cell>
          <cell r="K910">
            <v>35976</v>
          </cell>
        </row>
        <row r="911">
          <cell r="A911" t="str">
            <v>In service</v>
          </cell>
          <cell r="B911" t="str">
            <v>Gulfstream Aerospace Gulfstream IV</v>
          </cell>
          <cell r="C911" t="str">
            <v>SP</v>
          </cell>
          <cell r="D911">
            <v>1998</v>
          </cell>
          <cell r="E911" t="str">
            <v>Recovery Services International Inc</v>
          </cell>
          <cell r="F911">
            <v>6</v>
          </cell>
          <cell r="G911">
            <v>36139</v>
          </cell>
          <cell r="H911" t="str">
            <v>SP</v>
          </cell>
          <cell r="I911" t="str">
            <v>North America</v>
          </cell>
          <cell r="J911" t="str">
            <v>USA</v>
          </cell>
          <cell r="K911">
            <v>35611</v>
          </cell>
        </row>
        <row r="912">
          <cell r="A912" t="str">
            <v>In service</v>
          </cell>
          <cell r="B912" t="str">
            <v>Gulfstream Aerospace Gulfstream IV</v>
          </cell>
          <cell r="C912" t="str">
            <v>SP</v>
          </cell>
          <cell r="D912">
            <v>1998</v>
          </cell>
          <cell r="E912" t="str">
            <v>Duchossois Industries Inc</v>
          </cell>
          <cell r="F912">
            <v>6</v>
          </cell>
          <cell r="G912">
            <v>36192</v>
          </cell>
          <cell r="H912" t="str">
            <v>SP</v>
          </cell>
          <cell r="I912" t="str">
            <v>North America</v>
          </cell>
          <cell r="J912" t="str">
            <v>USA</v>
          </cell>
          <cell r="K912">
            <v>35976</v>
          </cell>
        </row>
        <row r="913">
          <cell r="A913" t="str">
            <v>In service</v>
          </cell>
          <cell r="B913" t="str">
            <v>Gulfstream Aerospace Gulfstream IV</v>
          </cell>
          <cell r="C913" t="str">
            <v>SP</v>
          </cell>
          <cell r="D913">
            <v>1999</v>
          </cell>
          <cell r="E913" t="str">
            <v>Dominion Resources Inc</v>
          </cell>
          <cell r="F913">
            <v>5</v>
          </cell>
          <cell r="G913">
            <v>36388</v>
          </cell>
          <cell r="H913" t="str">
            <v>SP</v>
          </cell>
          <cell r="I913" t="str">
            <v>North America</v>
          </cell>
          <cell r="J913" t="str">
            <v>USA</v>
          </cell>
          <cell r="K913">
            <v>35976</v>
          </cell>
        </row>
        <row r="914">
          <cell r="A914" t="str">
            <v>In service</v>
          </cell>
          <cell r="B914" t="str">
            <v>Gulfstream Aerospace Gulfstream IV</v>
          </cell>
          <cell r="C914" t="str">
            <v>SP</v>
          </cell>
          <cell r="D914">
            <v>1999</v>
          </cell>
          <cell r="E914" t="str">
            <v>K Services Inc</v>
          </cell>
          <cell r="F914">
            <v>5</v>
          </cell>
          <cell r="G914">
            <v>36524</v>
          </cell>
          <cell r="H914" t="str">
            <v>SP</v>
          </cell>
          <cell r="I914" t="str">
            <v>North America</v>
          </cell>
          <cell r="J914" t="str">
            <v>USA</v>
          </cell>
          <cell r="K914">
            <v>35976</v>
          </cell>
        </row>
        <row r="915">
          <cell r="A915" t="str">
            <v>In service</v>
          </cell>
          <cell r="B915" t="str">
            <v>Gulfstream Aerospace Gulfstream IV</v>
          </cell>
          <cell r="C915" t="str">
            <v>SP</v>
          </cell>
          <cell r="D915">
            <v>1999</v>
          </cell>
          <cell r="E915" t="str">
            <v>Chevron USA Inc</v>
          </cell>
          <cell r="F915">
            <v>5</v>
          </cell>
          <cell r="G915">
            <v>36516</v>
          </cell>
          <cell r="H915" t="str">
            <v>SP</v>
          </cell>
          <cell r="I915" t="str">
            <v>North America</v>
          </cell>
          <cell r="J915" t="str">
            <v>USA</v>
          </cell>
          <cell r="K915">
            <v>35246</v>
          </cell>
        </row>
        <row r="916">
          <cell r="A916" t="str">
            <v>In service</v>
          </cell>
          <cell r="B916" t="str">
            <v>Gulfstream Aerospace Gulfstream IV</v>
          </cell>
          <cell r="C916" t="str">
            <v>SP</v>
          </cell>
          <cell r="D916">
            <v>1999</v>
          </cell>
          <cell r="E916" t="str">
            <v>Netjets International</v>
          </cell>
          <cell r="F916">
            <v>5</v>
          </cell>
          <cell r="G916">
            <v>36333</v>
          </cell>
          <cell r="H916" t="str">
            <v>SP</v>
          </cell>
          <cell r="I916" t="str">
            <v>North America</v>
          </cell>
          <cell r="J916" t="str">
            <v>USA</v>
          </cell>
          <cell r="K916">
            <v>35521</v>
          </cell>
        </row>
        <row r="917">
          <cell r="A917" t="str">
            <v>In service</v>
          </cell>
          <cell r="B917" t="str">
            <v>Gulfstream Aerospace Gulfstream IV</v>
          </cell>
          <cell r="C917" t="str">
            <v>SP</v>
          </cell>
          <cell r="D917">
            <v>1999</v>
          </cell>
          <cell r="E917" t="str">
            <v>Campbell Sales Co</v>
          </cell>
          <cell r="F917">
            <v>5</v>
          </cell>
          <cell r="G917">
            <v>36364</v>
          </cell>
          <cell r="H917" t="str">
            <v>SP</v>
          </cell>
          <cell r="I917" t="str">
            <v>North America</v>
          </cell>
          <cell r="J917" t="str">
            <v>USA</v>
          </cell>
          <cell r="K917">
            <v>35976</v>
          </cell>
        </row>
        <row r="918">
          <cell r="A918" t="str">
            <v>In service</v>
          </cell>
          <cell r="B918" t="str">
            <v>Gulfstream Aerospace Gulfstream IV</v>
          </cell>
          <cell r="C918" t="str">
            <v>SP</v>
          </cell>
          <cell r="D918">
            <v>2000</v>
          </cell>
          <cell r="E918" t="str">
            <v>Air National Corporate</v>
          </cell>
          <cell r="F918">
            <v>4</v>
          </cell>
          <cell r="G918">
            <v>36643</v>
          </cell>
          <cell r="H918" t="str">
            <v>SP</v>
          </cell>
          <cell r="I918" t="str">
            <v>Australasia</v>
          </cell>
          <cell r="J918" t="str">
            <v>New Zealand</v>
          </cell>
          <cell r="K918">
            <v>35976</v>
          </cell>
        </row>
        <row r="919">
          <cell r="A919" t="str">
            <v>In service</v>
          </cell>
          <cell r="B919" t="str">
            <v>Gulfstream Aerospace Gulfstream IV</v>
          </cell>
          <cell r="C919" t="str">
            <v>SP</v>
          </cell>
          <cell r="D919">
            <v>1999</v>
          </cell>
          <cell r="E919" t="str">
            <v>Centex Service Co</v>
          </cell>
          <cell r="F919">
            <v>5</v>
          </cell>
          <cell r="G919">
            <v>36370</v>
          </cell>
          <cell r="H919" t="str">
            <v>SP</v>
          </cell>
          <cell r="I919" t="str">
            <v>North America</v>
          </cell>
          <cell r="J919" t="str">
            <v>USA</v>
          </cell>
          <cell r="K919">
            <v>35521</v>
          </cell>
        </row>
        <row r="920">
          <cell r="A920" t="str">
            <v>In service</v>
          </cell>
          <cell r="B920" t="str">
            <v>Gulfstream Aerospace Gulfstream IV</v>
          </cell>
          <cell r="C920" t="str">
            <v>SP</v>
          </cell>
          <cell r="D920">
            <v>2000</v>
          </cell>
          <cell r="E920" t="str">
            <v>Spectacor Inc &amp; Kalco Corp</v>
          </cell>
          <cell r="F920">
            <v>4</v>
          </cell>
          <cell r="G920">
            <v>36615</v>
          </cell>
          <cell r="H920" t="str">
            <v>SP</v>
          </cell>
          <cell r="I920" t="str">
            <v>North America</v>
          </cell>
          <cell r="J920" t="str">
            <v>USA</v>
          </cell>
          <cell r="K920">
            <v>36053</v>
          </cell>
        </row>
        <row r="921">
          <cell r="A921" t="str">
            <v>In service</v>
          </cell>
          <cell r="B921" t="str">
            <v>Gulfstream Aerospace Gulfstream IV</v>
          </cell>
          <cell r="C921" t="str">
            <v>SP</v>
          </cell>
          <cell r="D921">
            <v>2000</v>
          </cell>
          <cell r="E921" t="str">
            <v>Saudi Aeromedical Evacuation</v>
          </cell>
          <cell r="F921">
            <v>4</v>
          </cell>
          <cell r="G921">
            <v>36666</v>
          </cell>
          <cell r="H921" t="str">
            <v>SP</v>
          </cell>
          <cell r="I921" t="str">
            <v>Middle East</v>
          </cell>
          <cell r="J921" t="str">
            <v>Saudi Arabia</v>
          </cell>
          <cell r="K921">
            <v>36341</v>
          </cell>
        </row>
        <row r="922">
          <cell r="A922" t="str">
            <v>In service</v>
          </cell>
          <cell r="B922" t="str">
            <v>Gulfstream Aerospace Gulfstream IV</v>
          </cell>
          <cell r="C922" t="str">
            <v>SP</v>
          </cell>
          <cell r="D922">
            <v>1999</v>
          </cell>
          <cell r="E922" t="str">
            <v>XTO Energy Inc</v>
          </cell>
          <cell r="F922">
            <v>5</v>
          </cell>
          <cell r="G922">
            <v>36455</v>
          </cell>
          <cell r="H922" t="str">
            <v>SP</v>
          </cell>
          <cell r="I922" t="str">
            <v>North America</v>
          </cell>
          <cell r="J922" t="str">
            <v>USA</v>
          </cell>
          <cell r="K922">
            <v>35976</v>
          </cell>
        </row>
        <row r="923">
          <cell r="A923" t="str">
            <v>In service</v>
          </cell>
          <cell r="B923" t="str">
            <v>Gulfstream Aerospace Gulfstream IV</v>
          </cell>
          <cell r="C923" t="str">
            <v>SP</v>
          </cell>
          <cell r="D923">
            <v>1999</v>
          </cell>
          <cell r="E923" t="str">
            <v>Premiere Radio Networks</v>
          </cell>
          <cell r="F923">
            <v>5</v>
          </cell>
          <cell r="G923">
            <v>36523</v>
          </cell>
          <cell r="H923" t="str">
            <v>SP</v>
          </cell>
          <cell r="I923" t="str">
            <v>North America</v>
          </cell>
          <cell r="J923" t="str">
            <v>USA</v>
          </cell>
          <cell r="K923">
            <v>35869</v>
          </cell>
        </row>
        <row r="924">
          <cell r="A924" t="str">
            <v>In service</v>
          </cell>
          <cell r="B924" t="str">
            <v>Gulfstream Aerospace Gulfstream IV</v>
          </cell>
          <cell r="C924" t="str">
            <v>SP</v>
          </cell>
          <cell r="D924">
            <v>2000</v>
          </cell>
          <cell r="E924" t="str">
            <v>May Department Stores Co</v>
          </cell>
          <cell r="F924">
            <v>4</v>
          </cell>
          <cell r="G924">
            <v>36685</v>
          </cell>
          <cell r="H924" t="str">
            <v>SP</v>
          </cell>
          <cell r="I924" t="str">
            <v>North America</v>
          </cell>
          <cell r="J924" t="str">
            <v>USA</v>
          </cell>
          <cell r="K924">
            <v>35611</v>
          </cell>
        </row>
        <row r="925">
          <cell r="A925" t="str">
            <v>In service</v>
          </cell>
          <cell r="B925" t="str">
            <v>Gulfstream Aerospace Gulfstream IV</v>
          </cell>
          <cell r="C925" t="str">
            <v>SP</v>
          </cell>
          <cell r="D925">
            <v>1999</v>
          </cell>
          <cell r="E925" t="str">
            <v>Tisma Holdings Inc</v>
          </cell>
          <cell r="F925">
            <v>5</v>
          </cell>
          <cell r="G925">
            <v>36416</v>
          </cell>
          <cell r="H925" t="str">
            <v>SP</v>
          </cell>
          <cell r="I925" t="str">
            <v>North America</v>
          </cell>
          <cell r="J925" t="str">
            <v>USA</v>
          </cell>
          <cell r="K925">
            <v>35521</v>
          </cell>
        </row>
        <row r="926">
          <cell r="A926" t="str">
            <v>In service</v>
          </cell>
          <cell r="B926" t="str">
            <v>Gulfstream Aerospace Gulfstream IV</v>
          </cell>
          <cell r="C926" t="str">
            <v>SP</v>
          </cell>
          <cell r="D926">
            <v>1999</v>
          </cell>
          <cell r="E926" t="str">
            <v>Skyaire Inc</v>
          </cell>
          <cell r="F926">
            <v>5</v>
          </cell>
          <cell r="G926">
            <v>36279</v>
          </cell>
          <cell r="H926" t="str">
            <v>SP</v>
          </cell>
          <cell r="I926" t="str">
            <v>North America</v>
          </cell>
          <cell r="J926" t="str">
            <v>USA</v>
          </cell>
          <cell r="K926">
            <v>35976</v>
          </cell>
        </row>
        <row r="927">
          <cell r="A927" t="str">
            <v>In service</v>
          </cell>
          <cell r="B927" t="str">
            <v>Gulfstream Aerospace Gulfstream IV</v>
          </cell>
          <cell r="C927" t="str">
            <v>SP</v>
          </cell>
          <cell r="D927">
            <v>1999</v>
          </cell>
          <cell r="E927" t="str">
            <v>TAG Aviation USA</v>
          </cell>
          <cell r="F927">
            <v>5</v>
          </cell>
          <cell r="G927">
            <v>36631</v>
          </cell>
          <cell r="H927" t="str">
            <v>SP</v>
          </cell>
          <cell r="I927" t="str">
            <v>North America</v>
          </cell>
          <cell r="J927" t="str">
            <v>USA</v>
          </cell>
          <cell r="K927">
            <v>35976</v>
          </cell>
        </row>
        <row r="928">
          <cell r="A928" t="str">
            <v>In service</v>
          </cell>
          <cell r="B928" t="str">
            <v>Gulfstream Aerospace Gulfstream IV</v>
          </cell>
          <cell r="C928" t="str">
            <v>SP</v>
          </cell>
          <cell r="D928">
            <v>1999</v>
          </cell>
          <cell r="E928" t="str">
            <v>Netjets International</v>
          </cell>
          <cell r="F928">
            <v>5</v>
          </cell>
          <cell r="G928">
            <v>36452</v>
          </cell>
          <cell r="H928" t="str">
            <v>SP</v>
          </cell>
          <cell r="I928" t="str">
            <v>North America</v>
          </cell>
          <cell r="J928" t="str">
            <v>USA</v>
          </cell>
          <cell r="K928">
            <v>35521</v>
          </cell>
        </row>
        <row r="929">
          <cell r="A929" t="str">
            <v>In service</v>
          </cell>
          <cell r="B929" t="str">
            <v>Gulfstream Aerospace Gulfstream IV</v>
          </cell>
          <cell r="C929" t="str">
            <v>SP</v>
          </cell>
          <cell r="D929">
            <v>1999</v>
          </cell>
          <cell r="E929" t="str">
            <v>Platinum Equity LLC</v>
          </cell>
          <cell r="F929">
            <v>5</v>
          </cell>
          <cell r="G929">
            <v>36314</v>
          </cell>
          <cell r="H929" t="str">
            <v>SP</v>
          </cell>
          <cell r="I929" t="str">
            <v>North America</v>
          </cell>
          <cell r="J929" t="str">
            <v>USA</v>
          </cell>
          <cell r="K929">
            <v>35611</v>
          </cell>
        </row>
        <row r="930">
          <cell r="A930" t="str">
            <v>In service</v>
          </cell>
          <cell r="B930" t="str">
            <v>Gulfstream Aerospace Gulfstream IV</v>
          </cell>
          <cell r="C930" t="str">
            <v>SP</v>
          </cell>
          <cell r="D930">
            <v>2000</v>
          </cell>
          <cell r="E930" t="str">
            <v>The Proctor &amp; Gamble Co</v>
          </cell>
          <cell r="F930">
            <v>4</v>
          </cell>
          <cell r="G930">
            <v>36648</v>
          </cell>
          <cell r="H930" t="str">
            <v>SP</v>
          </cell>
          <cell r="I930" t="str">
            <v>North America</v>
          </cell>
          <cell r="J930" t="str">
            <v>USA</v>
          </cell>
          <cell r="K930">
            <v>36341</v>
          </cell>
        </row>
        <row r="931">
          <cell r="A931" t="str">
            <v>In service</v>
          </cell>
          <cell r="B931" t="str">
            <v>Gulfstream Aerospace Gulfstream IV</v>
          </cell>
          <cell r="C931" t="str">
            <v>SP</v>
          </cell>
          <cell r="D931">
            <v>1999</v>
          </cell>
          <cell r="E931" t="str">
            <v>KB Home</v>
          </cell>
          <cell r="F931">
            <v>5</v>
          </cell>
          <cell r="G931">
            <v>36524</v>
          </cell>
          <cell r="H931" t="str">
            <v>SP</v>
          </cell>
          <cell r="I931" t="str">
            <v>North America</v>
          </cell>
          <cell r="J931" t="str">
            <v>USA</v>
          </cell>
          <cell r="K931">
            <v>36045</v>
          </cell>
        </row>
        <row r="932">
          <cell r="A932" t="str">
            <v>In service</v>
          </cell>
          <cell r="B932" t="str">
            <v>Gulfstream Aerospace Gulfstream IV</v>
          </cell>
          <cell r="C932" t="str">
            <v>SP</v>
          </cell>
          <cell r="D932">
            <v>1999</v>
          </cell>
          <cell r="E932" t="str">
            <v>New World Jet Corp</v>
          </cell>
          <cell r="F932">
            <v>5</v>
          </cell>
          <cell r="G932">
            <v>36572</v>
          </cell>
          <cell r="H932" t="str">
            <v>SP</v>
          </cell>
          <cell r="I932" t="str">
            <v>North America</v>
          </cell>
          <cell r="J932" t="str">
            <v>USA</v>
          </cell>
          <cell r="K932">
            <v>35976</v>
          </cell>
        </row>
        <row r="933">
          <cell r="A933" t="str">
            <v>In service</v>
          </cell>
          <cell r="B933" t="str">
            <v>Gulfstream Aerospace Gulfstream IV</v>
          </cell>
          <cell r="C933" t="str">
            <v>SP</v>
          </cell>
          <cell r="D933">
            <v>1999</v>
          </cell>
          <cell r="E933" t="str">
            <v>Netjets International</v>
          </cell>
          <cell r="F933">
            <v>5</v>
          </cell>
          <cell r="G933">
            <v>36486</v>
          </cell>
          <cell r="H933" t="str">
            <v>SP</v>
          </cell>
          <cell r="I933" t="str">
            <v>North America</v>
          </cell>
          <cell r="J933" t="str">
            <v>USA</v>
          </cell>
          <cell r="K933">
            <v>35521</v>
          </cell>
        </row>
        <row r="934">
          <cell r="A934" t="str">
            <v>In service</v>
          </cell>
          <cell r="B934" t="str">
            <v>Gulfstream Aerospace Gulfstream IV</v>
          </cell>
          <cell r="C934" t="str">
            <v>SP</v>
          </cell>
          <cell r="D934">
            <v>2000</v>
          </cell>
          <cell r="E934" t="str">
            <v>The Proctor &amp; Gamble Co</v>
          </cell>
          <cell r="F934">
            <v>4</v>
          </cell>
          <cell r="G934">
            <v>36668</v>
          </cell>
          <cell r="H934" t="str">
            <v>SP</v>
          </cell>
          <cell r="I934" t="str">
            <v>North America</v>
          </cell>
          <cell r="J934" t="str">
            <v>USA</v>
          </cell>
          <cell r="K934">
            <v>36341</v>
          </cell>
        </row>
        <row r="935">
          <cell r="A935" t="str">
            <v>In service</v>
          </cell>
          <cell r="B935" t="str">
            <v>Gulfstream Aerospace Gulfstream IV</v>
          </cell>
          <cell r="C935" t="str">
            <v>SP</v>
          </cell>
          <cell r="D935">
            <v>1999</v>
          </cell>
          <cell r="E935" t="str">
            <v>Penske Jet Inc</v>
          </cell>
          <cell r="F935">
            <v>5</v>
          </cell>
          <cell r="G935">
            <v>36430</v>
          </cell>
          <cell r="H935" t="str">
            <v>SP</v>
          </cell>
          <cell r="I935" t="str">
            <v>North America</v>
          </cell>
          <cell r="J935" t="str">
            <v>USA</v>
          </cell>
          <cell r="K935">
            <v>35976</v>
          </cell>
        </row>
        <row r="936">
          <cell r="A936" t="str">
            <v>In service</v>
          </cell>
          <cell r="B936" t="str">
            <v>Gulfstream Aerospace Gulfstream IV</v>
          </cell>
          <cell r="C936" t="str">
            <v>SP</v>
          </cell>
          <cell r="D936">
            <v>1999</v>
          </cell>
          <cell r="E936" t="str">
            <v>Netjets International</v>
          </cell>
          <cell r="F936">
            <v>5</v>
          </cell>
          <cell r="G936">
            <v>36516</v>
          </cell>
          <cell r="H936" t="str">
            <v>SP</v>
          </cell>
          <cell r="I936" t="str">
            <v>North America</v>
          </cell>
          <cell r="J936" t="str">
            <v>USA</v>
          </cell>
          <cell r="K936">
            <v>35521</v>
          </cell>
        </row>
        <row r="937">
          <cell r="A937" t="str">
            <v>In service</v>
          </cell>
          <cell r="B937" t="str">
            <v>Gulfstream Aerospace Gulfstream IV</v>
          </cell>
          <cell r="C937" t="str">
            <v>SP</v>
          </cell>
          <cell r="D937">
            <v>2000</v>
          </cell>
          <cell r="E937" t="str">
            <v>Rashid Engineering</v>
          </cell>
          <cell r="F937">
            <v>4</v>
          </cell>
          <cell r="G937">
            <v>36790</v>
          </cell>
          <cell r="H937" t="str">
            <v>SP</v>
          </cell>
          <cell r="I937" t="str">
            <v>Middle East</v>
          </cell>
          <cell r="J937" t="str">
            <v>Saudi Arabia</v>
          </cell>
          <cell r="K937">
            <v>35976</v>
          </cell>
        </row>
        <row r="938">
          <cell r="A938" t="str">
            <v>In service</v>
          </cell>
          <cell r="B938" t="str">
            <v>Gulfstream Aerospace Gulfstream IV</v>
          </cell>
          <cell r="C938" t="str">
            <v>SP</v>
          </cell>
          <cell r="D938">
            <v>2000</v>
          </cell>
          <cell r="E938" t="str">
            <v>Swiflite Aircraft Corp</v>
          </cell>
          <cell r="F938">
            <v>4</v>
          </cell>
          <cell r="G938">
            <v>36630</v>
          </cell>
          <cell r="H938" t="str">
            <v>SP</v>
          </cell>
          <cell r="I938" t="str">
            <v>North America</v>
          </cell>
          <cell r="J938" t="str">
            <v>USA</v>
          </cell>
          <cell r="K938">
            <v>35611</v>
          </cell>
        </row>
        <row r="939">
          <cell r="A939" t="str">
            <v>In service</v>
          </cell>
          <cell r="B939" t="str">
            <v>Gulfstream Aerospace Gulfstream IV</v>
          </cell>
          <cell r="C939" t="str">
            <v>SP</v>
          </cell>
          <cell r="D939">
            <v>2000</v>
          </cell>
          <cell r="E939" t="str">
            <v>Honeywell Inc</v>
          </cell>
          <cell r="F939">
            <v>4</v>
          </cell>
          <cell r="G939">
            <v>36594</v>
          </cell>
          <cell r="H939" t="str">
            <v>SP</v>
          </cell>
          <cell r="I939" t="str">
            <v>North America</v>
          </cell>
          <cell r="J939" t="str">
            <v>USA</v>
          </cell>
          <cell r="K939">
            <v>35976</v>
          </cell>
        </row>
        <row r="940">
          <cell r="A940" t="str">
            <v>In service</v>
          </cell>
          <cell r="B940" t="str">
            <v>Gulfstream Aerospace Gulfstream IV</v>
          </cell>
          <cell r="C940" t="str">
            <v>SP</v>
          </cell>
          <cell r="D940">
            <v>2000</v>
          </cell>
          <cell r="E940" t="str">
            <v>Apache Aviation Inc</v>
          </cell>
          <cell r="F940">
            <v>4</v>
          </cell>
          <cell r="G940">
            <v>36707</v>
          </cell>
          <cell r="H940" t="str">
            <v>SP</v>
          </cell>
          <cell r="I940" t="str">
            <v>North America</v>
          </cell>
          <cell r="J940" t="str">
            <v>USA</v>
          </cell>
          <cell r="K940">
            <v>36341</v>
          </cell>
        </row>
        <row r="941">
          <cell r="A941" t="str">
            <v>In service</v>
          </cell>
          <cell r="B941" t="str">
            <v>Gulfstream Aerospace Gulfstream IV</v>
          </cell>
          <cell r="C941" t="str">
            <v>SP</v>
          </cell>
          <cell r="D941">
            <v>1999</v>
          </cell>
          <cell r="E941" t="str">
            <v>AB Initio Software Corp</v>
          </cell>
          <cell r="F941">
            <v>5</v>
          </cell>
          <cell r="G941">
            <v>36433</v>
          </cell>
          <cell r="H941" t="str">
            <v>SP</v>
          </cell>
          <cell r="I941" t="str">
            <v>North America</v>
          </cell>
          <cell r="J941" t="str">
            <v>USA</v>
          </cell>
          <cell r="K941">
            <v>35976</v>
          </cell>
        </row>
        <row r="942">
          <cell r="A942" t="str">
            <v>In service</v>
          </cell>
          <cell r="B942" t="str">
            <v>Gulfstream Aerospace Gulfstream IV</v>
          </cell>
          <cell r="C942" t="str">
            <v>SP</v>
          </cell>
          <cell r="D942">
            <v>2000</v>
          </cell>
          <cell r="E942" t="str">
            <v>Netjets International</v>
          </cell>
          <cell r="F942">
            <v>4</v>
          </cell>
          <cell r="G942">
            <v>36580</v>
          </cell>
          <cell r="H942" t="str">
            <v>SP</v>
          </cell>
          <cell r="I942" t="str">
            <v>North America</v>
          </cell>
          <cell r="J942" t="str">
            <v>USA</v>
          </cell>
          <cell r="K942">
            <v>35521</v>
          </cell>
        </row>
        <row r="943">
          <cell r="A943" t="str">
            <v>In service</v>
          </cell>
          <cell r="B943" t="str">
            <v>Gulfstream Aerospace Gulfstream IV</v>
          </cell>
          <cell r="C943" t="str">
            <v>SP</v>
          </cell>
          <cell r="D943">
            <v>2000</v>
          </cell>
          <cell r="E943" t="str">
            <v>John M Moores</v>
          </cell>
          <cell r="F943">
            <v>4</v>
          </cell>
          <cell r="G943">
            <v>36649</v>
          </cell>
          <cell r="H943" t="str">
            <v>SP</v>
          </cell>
          <cell r="I943" t="str">
            <v>North America</v>
          </cell>
          <cell r="J943" t="str">
            <v>USA</v>
          </cell>
          <cell r="K943">
            <v>35976</v>
          </cell>
        </row>
        <row r="944">
          <cell r="A944" t="str">
            <v>In service</v>
          </cell>
          <cell r="B944" t="str">
            <v>Gulfstream Aerospace Gulfstream IV</v>
          </cell>
          <cell r="C944" t="str">
            <v>SP</v>
          </cell>
          <cell r="D944">
            <v>1999</v>
          </cell>
          <cell r="E944" t="str">
            <v>Ronso SA de CV</v>
          </cell>
          <cell r="F944">
            <v>5</v>
          </cell>
          <cell r="G944">
            <v>36705</v>
          </cell>
          <cell r="H944" t="str">
            <v>SP</v>
          </cell>
          <cell r="I944" t="str">
            <v>Latin America and Caribbean</v>
          </cell>
          <cell r="J944" t="str">
            <v>Mexico</v>
          </cell>
          <cell r="K944">
            <v>35976</v>
          </cell>
        </row>
        <row r="945">
          <cell r="A945" t="str">
            <v>In service</v>
          </cell>
          <cell r="B945" t="str">
            <v>Gulfstream Aerospace Gulfstream IV</v>
          </cell>
          <cell r="C945" t="str">
            <v>SP</v>
          </cell>
          <cell r="D945">
            <v>2000</v>
          </cell>
          <cell r="E945" t="str">
            <v>Netjets International</v>
          </cell>
          <cell r="F945">
            <v>4</v>
          </cell>
          <cell r="G945">
            <v>36613</v>
          </cell>
          <cell r="H945" t="str">
            <v>SP</v>
          </cell>
          <cell r="I945" t="str">
            <v>North America</v>
          </cell>
          <cell r="J945" t="str">
            <v>USA</v>
          </cell>
          <cell r="K945">
            <v>36045</v>
          </cell>
        </row>
        <row r="946">
          <cell r="A946" t="str">
            <v>In service</v>
          </cell>
          <cell r="B946" t="str">
            <v>Gulfstream Aerospace Gulfstream IV</v>
          </cell>
          <cell r="C946" t="str">
            <v>SP</v>
          </cell>
          <cell r="D946">
            <v>2000</v>
          </cell>
          <cell r="E946" t="str">
            <v>MSF Aviation Ltd</v>
          </cell>
          <cell r="F946">
            <v>4</v>
          </cell>
          <cell r="G946">
            <v>36706</v>
          </cell>
          <cell r="H946" t="str">
            <v>SP</v>
          </cell>
          <cell r="I946" t="str">
            <v>Latin America and Caribbean</v>
          </cell>
          <cell r="J946" t="str">
            <v>Cayman Islands</v>
          </cell>
          <cell r="K946">
            <v>36341</v>
          </cell>
        </row>
        <row r="947">
          <cell r="A947" t="str">
            <v>In service</v>
          </cell>
          <cell r="B947" t="str">
            <v>Gulfstream Aerospace Gulfstream IV</v>
          </cell>
          <cell r="C947" t="str">
            <v>SP</v>
          </cell>
          <cell r="D947">
            <v>2000</v>
          </cell>
          <cell r="E947" t="str">
            <v>PPG Industries Inc</v>
          </cell>
          <cell r="F947">
            <v>4</v>
          </cell>
          <cell r="G947">
            <v>36706</v>
          </cell>
          <cell r="H947" t="str">
            <v>SP</v>
          </cell>
          <cell r="I947" t="str">
            <v>North America</v>
          </cell>
          <cell r="J947" t="str">
            <v>USA</v>
          </cell>
          <cell r="K947">
            <v>36341</v>
          </cell>
        </row>
        <row r="948">
          <cell r="A948" t="str">
            <v>In service</v>
          </cell>
          <cell r="B948" t="str">
            <v>Gulfstream Aerospace Gulfstream IV</v>
          </cell>
          <cell r="C948" t="str">
            <v>SP</v>
          </cell>
          <cell r="D948">
            <v>2000</v>
          </cell>
          <cell r="E948" t="str">
            <v>Netjets International</v>
          </cell>
          <cell r="F948">
            <v>4</v>
          </cell>
          <cell r="G948">
            <v>36644</v>
          </cell>
          <cell r="H948" t="str">
            <v>SP</v>
          </cell>
          <cell r="I948" t="str">
            <v>North America</v>
          </cell>
          <cell r="J948" t="str">
            <v>USA</v>
          </cell>
          <cell r="K948">
            <v>36045</v>
          </cell>
        </row>
        <row r="949">
          <cell r="A949" t="str">
            <v>In service</v>
          </cell>
          <cell r="B949" t="str">
            <v>Gulfstream Aerospace Gulfstream IV</v>
          </cell>
          <cell r="C949" t="str">
            <v>SP</v>
          </cell>
          <cell r="D949">
            <v>1999</v>
          </cell>
          <cell r="E949" t="str">
            <v>Frontliner Inc</v>
          </cell>
          <cell r="F949">
            <v>5</v>
          </cell>
          <cell r="G949">
            <v>36497</v>
          </cell>
          <cell r="H949" t="str">
            <v>SP</v>
          </cell>
          <cell r="I949" t="str">
            <v>North America</v>
          </cell>
          <cell r="J949" t="str">
            <v>USA</v>
          </cell>
          <cell r="K949">
            <v>35976</v>
          </cell>
        </row>
        <row r="950">
          <cell r="A950" t="str">
            <v>In service</v>
          </cell>
          <cell r="B950" t="str">
            <v>Gulfstream Aerospace Gulfstream IV</v>
          </cell>
          <cell r="C950" t="str">
            <v>SP</v>
          </cell>
          <cell r="D950">
            <v>2000</v>
          </cell>
          <cell r="E950" t="str">
            <v>High Tech Aircraft Corp</v>
          </cell>
          <cell r="F950">
            <v>4</v>
          </cell>
          <cell r="G950">
            <v>36825</v>
          </cell>
          <cell r="H950" t="str">
            <v>SP</v>
          </cell>
          <cell r="I950" t="str">
            <v>North America</v>
          </cell>
          <cell r="J950" t="str">
            <v>USA</v>
          </cell>
          <cell r="K950">
            <v>36341</v>
          </cell>
        </row>
        <row r="951">
          <cell r="A951" t="str">
            <v>In service</v>
          </cell>
          <cell r="B951" t="str">
            <v>Gulfstream Aerospace Gulfstream IV</v>
          </cell>
          <cell r="C951" t="str">
            <v>SP</v>
          </cell>
          <cell r="D951">
            <v>2000</v>
          </cell>
          <cell r="E951" t="str">
            <v>Harmony Management Inc</v>
          </cell>
          <cell r="F951">
            <v>4</v>
          </cell>
          <cell r="G951">
            <v>36768</v>
          </cell>
          <cell r="H951" t="str">
            <v>SP</v>
          </cell>
          <cell r="I951" t="str">
            <v>North America</v>
          </cell>
          <cell r="J951" t="str">
            <v>USA</v>
          </cell>
          <cell r="K951">
            <v>36341</v>
          </cell>
        </row>
        <row r="952">
          <cell r="A952" t="str">
            <v>In service</v>
          </cell>
          <cell r="B952" t="str">
            <v>Gulfstream Aerospace Gulfstream IV</v>
          </cell>
          <cell r="C952" t="str">
            <v>SP</v>
          </cell>
          <cell r="D952">
            <v>2000</v>
          </cell>
          <cell r="E952" t="str">
            <v>Alcoa Aircraft Operations</v>
          </cell>
          <cell r="F952">
            <v>4</v>
          </cell>
          <cell r="G952">
            <v>36769</v>
          </cell>
          <cell r="H952" t="str">
            <v>SP</v>
          </cell>
          <cell r="I952" t="str">
            <v>North America</v>
          </cell>
          <cell r="J952" t="str">
            <v>USA</v>
          </cell>
          <cell r="K952">
            <v>36341</v>
          </cell>
        </row>
        <row r="953">
          <cell r="A953" t="str">
            <v>In service</v>
          </cell>
          <cell r="B953" t="str">
            <v>Gulfstream Aerospace Gulfstream IV</v>
          </cell>
          <cell r="C953" t="str">
            <v>SP</v>
          </cell>
          <cell r="D953">
            <v>2000</v>
          </cell>
          <cell r="E953" t="str">
            <v>S &amp; H Automotive Products Inc</v>
          </cell>
          <cell r="F953">
            <v>4</v>
          </cell>
          <cell r="G953">
            <v>36725</v>
          </cell>
          <cell r="H953" t="str">
            <v>SP</v>
          </cell>
          <cell r="I953" t="str">
            <v>North America</v>
          </cell>
          <cell r="J953" t="str">
            <v>USA</v>
          </cell>
          <cell r="K953">
            <v>36341</v>
          </cell>
        </row>
        <row r="954">
          <cell r="A954" t="str">
            <v>In service</v>
          </cell>
          <cell r="B954" t="str">
            <v>Gulfstream Aerospace Gulfstream IV</v>
          </cell>
          <cell r="C954" t="str">
            <v>SP</v>
          </cell>
          <cell r="D954">
            <v>2000</v>
          </cell>
          <cell r="E954" t="str">
            <v>Netjets International</v>
          </cell>
          <cell r="F954">
            <v>4</v>
          </cell>
          <cell r="G954">
            <v>36699</v>
          </cell>
          <cell r="H954" t="str">
            <v>SP</v>
          </cell>
          <cell r="I954" t="str">
            <v>North America</v>
          </cell>
          <cell r="J954" t="str">
            <v>USA</v>
          </cell>
          <cell r="K954">
            <v>36045</v>
          </cell>
        </row>
        <row r="955">
          <cell r="A955" t="str">
            <v>In service</v>
          </cell>
          <cell r="B955" t="str">
            <v>Gulfstream Aerospace Gulfstream IV</v>
          </cell>
          <cell r="C955" t="str">
            <v>SP</v>
          </cell>
          <cell r="D955">
            <v>2000</v>
          </cell>
          <cell r="E955" t="str">
            <v>Rim Air LLC</v>
          </cell>
          <cell r="F955">
            <v>4</v>
          </cell>
          <cell r="G955">
            <v>36843</v>
          </cell>
          <cell r="H955" t="str">
            <v>SP</v>
          </cell>
          <cell r="I955" t="str">
            <v>North America</v>
          </cell>
          <cell r="J955" t="str">
            <v>USA</v>
          </cell>
          <cell r="K955">
            <v>36045</v>
          </cell>
        </row>
        <row r="956">
          <cell r="A956" t="str">
            <v>In service</v>
          </cell>
          <cell r="B956" t="str">
            <v>Gulfstream Aerospace Gulfstream IV</v>
          </cell>
          <cell r="C956" t="str">
            <v>SP</v>
          </cell>
          <cell r="D956">
            <v>2000</v>
          </cell>
          <cell r="E956" t="str">
            <v>Agro-Industrial Management Inc</v>
          </cell>
          <cell r="F956">
            <v>4</v>
          </cell>
          <cell r="G956">
            <v>36797</v>
          </cell>
          <cell r="H956" t="str">
            <v>SP</v>
          </cell>
          <cell r="I956" t="str">
            <v>North America</v>
          </cell>
          <cell r="J956" t="str">
            <v>USA</v>
          </cell>
          <cell r="K956">
            <v>36045</v>
          </cell>
        </row>
        <row r="957">
          <cell r="A957" t="str">
            <v>In service</v>
          </cell>
          <cell r="B957" t="str">
            <v>Gulfstream Aerospace Gulfstream IV</v>
          </cell>
          <cell r="C957" t="str">
            <v>SP</v>
          </cell>
          <cell r="D957">
            <v>2000</v>
          </cell>
          <cell r="E957" t="str">
            <v>Limited Service Corp</v>
          </cell>
          <cell r="F957">
            <v>4</v>
          </cell>
          <cell r="G957">
            <v>36889</v>
          </cell>
          <cell r="H957" t="str">
            <v>SP</v>
          </cell>
          <cell r="I957" t="str">
            <v>North America</v>
          </cell>
          <cell r="J957" t="str">
            <v>USA</v>
          </cell>
          <cell r="K957">
            <v>36341</v>
          </cell>
        </row>
        <row r="958">
          <cell r="A958" t="str">
            <v>In service</v>
          </cell>
          <cell r="B958" t="str">
            <v>Gulfstream Aerospace Gulfstream IV</v>
          </cell>
          <cell r="C958" t="str">
            <v>SP</v>
          </cell>
          <cell r="D958">
            <v>2000</v>
          </cell>
          <cell r="E958" t="str">
            <v>Altria Corporate Services Inc</v>
          </cell>
          <cell r="F958">
            <v>4</v>
          </cell>
          <cell r="G958">
            <v>36790</v>
          </cell>
          <cell r="H958" t="str">
            <v>SP</v>
          </cell>
          <cell r="I958" t="str">
            <v>North America</v>
          </cell>
          <cell r="J958" t="str">
            <v>USA</v>
          </cell>
          <cell r="K958">
            <v>36045</v>
          </cell>
        </row>
        <row r="959">
          <cell r="A959" t="str">
            <v>In service</v>
          </cell>
          <cell r="B959" t="str">
            <v>Gulfstream Aerospace Gulfstream IV</v>
          </cell>
          <cell r="C959" t="str">
            <v>SP</v>
          </cell>
          <cell r="D959">
            <v>2000</v>
          </cell>
          <cell r="E959" t="str">
            <v>Netjets International</v>
          </cell>
          <cell r="F959">
            <v>4</v>
          </cell>
          <cell r="G959">
            <v>36733</v>
          </cell>
          <cell r="H959" t="str">
            <v>SP</v>
          </cell>
          <cell r="I959" t="str">
            <v>North America</v>
          </cell>
          <cell r="J959" t="str">
            <v>USA</v>
          </cell>
          <cell r="K959">
            <v>36087</v>
          </cell>
        </row>
        <row r="960">
          <cell r="A960" t="str">
            <v>In service</v>
          </cell>
          <cell r="B960" t="str">
            <v>Gulfstream Aerospace Gulfstream IV</v>
          </cell>
          <cell r="C960" t="str">
            <v>SP</v>
          </cell>
          <cell r="D960">
            <v>2000</v>
          </cell>
          <cell r="E960" t="str">
            <v>H&amp;S Air I LLC</v>
          </cell>
          <cell r="F960">
            <v>4</v>
          </cell>
          <cell r="G960">
            <v>36880</v>
          </cell>
          <cell r="H960" t="str">
            <v>SP</v>
          </cell>
          <cell r="I960" t="str">
            <v>North America</v>
          </cell>
          <cell r="J960" t="str">
            <v>USA</v>
          </cell>
          <cell r="K960">
            <v>35976</v>
          </cell>
        </row>
        <row r="961">
          <cell r="A961" t="str">
            <v>In service</v>
          </cell>
          <cell r="B961" t="str">
            <v>Gulfstream Aerospace Gulfstream IV</v>
          </cell>
          <cell r="C961" t="str">
            <v>SP</v>
          </cell>
          <cell r="D961">
            <v>2000</v>
          </cell>
          <cell r="E961" t="str">
            <v>Bright Flight Inc</v>
          </cell>
          <cell r="F961">
            <v>4</v>
          </cell>
          <cell r="G961">
            <v>36829</v>
          </cell>
          <cell r="H961" t="str">
            <v>SP</v>
          </cell>
          <cell r="I961" t="str">
            <v>North America</v>
          </cell>
          <cell r="J961" t="str">
            <v>USA</v>
          </cell>
          <cell r="K961">
            <v>35976</v>
          </cell>
        </row>
        <row r="962">
          <cell r="A962" t="str">
            <v>In service</v>
          </cell>
          <cell r="B962" t="str">
            <v>Gulfstream Aerospace Gulfstream IV</v>
          </cell>
          <cell r="C962" t="str">
            <v>SP</v>
          </cell>
          <cell r="D962">
            <v>2000</v>
          </cell>
          <cell r="E962" t="str">
            <v>New World Jet Corp</v>
          </cell>
          <cell r="F962">
            <v>4</v>
          </cell>
          <cell r="G962">
            <v>36840</v>
          </cell>
          <cell r="H962" t="str">
            <v>SP</v>
          </cell>
          <cell r="I962" t="str">
            <v>North America</v>
          </cell>
          <cell r="J962" t="str">
            <v>USA</v>
          </cell>
          <cell r="K962">
            <v>35976</v>
          </cell>
        </row>
        <row r="963">
          <cell r="A963" t="str">
            <v>In service</v>
          </cell>
          <cell r="B963" t="str">
            <v>Gulfstream Aerospace Gulfstream IV</v>
          </cell>
          <cell r="C963" t="str">
            <v>SP</v>
          </cell>
          <cell r="D963">
            <v>2000</v>
          </cell>
          <cell r="E963" t="str">
            <v>Zeus LLC</v>
          </cell>
          <cell r="F963">
            <v>4</v>
          </cell>
          <cell r="G963">
            <v>36839</v>
          </cell>
          <cell r="H963" t="str">
            <v>SP</v>
          </cell>
          <cell r="I963" t="str">
            <v>North America</v>
          </cell>
          <cell r="J963" t="str">
            <v>USA</v>
          </cell>
          <cell r="K963">
            <v>36087</v>
          </cell>
        </row>
        <row r="964">
          <cell r="A964" t="str">
            <v>In service</v>
          </cell>
          <cell r="B964" t="str">
            <v>Gulfstream Aerospace Gulfstream IV</v>
          </cell>
          <cell r="C964" t="str">
            <v>SP</v>
          </cell>
          <cell r="D964">
            <v>2000</v>
          </cell>
          <cell r="E964" t="str">
            <v>Netjets International</v>
          </cell>
          <cell r="F964">
            <v>4</v>
          </cell>
          <cell r="G964">
            <v>36780</v>
          </cell>
          <cell r="H964" t="str">
            <v>SP</v>
          </cell>
          <cell r="I964" t="str">
            <v>North America</v>
          </cell>
          <cell r="J964" t="str">
            <v>USA</v>
          </cell>
          <cell r="K964">
            <v>36087</v>
          </cell>
        </row>
        <row r="965">
          <cell r="A965" t="str">
            <v>In service</v>
          </cell>
          <cell r="B965" t="str">
            <v>Gulfstream Aerospace Gulfstream IV</v>
          </cell>
          <cell r="C965" t="str">
            <v>SP</v>
          </cell>
          <cell r="D965">
            <v>2000</v>
          </cell>
          <cell r="E965" t="str">
            <v>EMC Corp</v>
          </cell>
          <cell r="F965">
            <v>4</v>
          </cell>
          <cell r="G965">
            <v>36838</v>
          </cell>
          <cell r="H965" t="str">
            <v>SP</v>
          </cell>
          <cell r="I965" t="str">
            <v>North America</v>
          </cell>
          <cell r="J965" t="str">
            <v>USA</v>
          </cell>
          <cell r="K965">
            <v>36341</v>
          </cell>
        </row>
        <row r="966">
          <cell r="A966" t="str">
            <v>In service</v>
          </cell>
          <cell r="B966" t="str">
            <v>Gulfstream Aerospace Gulfstream IV</v>
          </cell>
          <cell r="C966" t="str">
            <v>SP</v>
          </cell>
          <cell r="D966">
            <v>2000</v>
          </cell>
          <cell r="E966" t="str">
            <v>Taubman Enterprises Inc</v>
          </cell>
          <cell r="F966">
            <v>4</v>
          </cell>
          <cell r="G966">
            <v>36864</v>
          </cell>
          <cell r="H966" t="str">
            <v>SP</v>
          </cell>
          <cell r="I966" t="str">
            <v>North America</v>
          </cell>
          <cell r="J966" t="str">
            <v>USA</v>
          </cell>
          <cell r="K966">
            <v>35976</v>
          </cell>
        </row>
        <row r="967">
          <cell r="A967" t="str">
            <v>In service</v>
          </cell>
          <cell r="B967" t="str">
            <v>Gulfstream Aerospace Gulfstream IV</v>
          </cell>
          <cell r="C967" t="str">
            <v>SP</v>
          </cell>
          <cell r="D967">
            <v>2000</v>
          </cell>
          <cell r="E967" t="str">
            <v>Snowbird Aviation LLC</v>
          </cell>
          <cell r="F967">
            <v>4</v>
          </cell>
          <cell r="G967">
            <v>36669</v>
          </cell>
          <cell r="H967" t="str">
            <v>SP</v>
          </cell>
          <cell r="I967" t="str">
            <v>North America</v>
          </cell>
          <cell r="J967" t="str">
            <v>USA</v>
          </cell>
          <cell r="K967">
            <v>36341</v>
          </cell>
        </row>
        <row r="968">
          <cell r="A968" t="str">
            <v>In service</v>
          </cell>
          <cell r="B968" t="str">
            <v>Gulfstream Aerospace Gulfstream IV</v>
          </cell>
          <cell r="C968" t="str">
            <v>SP</v>
          </cell>
          <cell r="D968">
            <v>2000</v>
          </cell>
          <cell r="E968" t="str">
            <v>Limited Service Corp</v>
          </cell>
          <cell r="F968">
            <v>4</v>
          </cell>
          <cell r="G968">
            <v>36914</v>
          </cell>
          <cell r="H968" t="str">
            <v>SP</v>
          </cell>
          <cell r="I968" t="str">
            <v>North America</v>
          </cell>
          <cell r="J968" t="str">
            <v>USA</v>
          </cell>
          <cell r="K968">
            <v>36341</v>
          </cell>
        </row>
        <row r="969">
          <cell r="A969" t="str">
            <v>In service</v>
          </cell>
          <cell r="B969" t="str">
            <v>Gulfstream Aerospace Gulfstream IV</v>
          </cell>
          <cell r="C969" t="str">
            <v>SP</v>
          </cell>
          <cell r="D969">
            <v>2000</v>
          </cell>
          <cell r="E969" t="str">
            <v>Government of Uganda</v>
          </cell>
          <cell r="F969">
            <v>4</v>
          </cell>
          <cell r="G969">
            <v>36878</v>
          </cell>
          <cell r="H969" t="str">
            <v>SP</v>
          </cell>
          <cell r="I969" t="str">
            <v>Africa</v>
          </cell>
          <cell r="J969" t="str">
            <v>Uganda</v>
          </cell>
          <cell r="K969">
            <v>36707</v>
          </cell>
        </row>
        <row r="970">
          <cell r="A970" t="str">
            <v>In service</v>
          </cell>
          <cell r="B970" t="str">
            <v>Gulfstream Aerospace Gulfstream IV</v>
          </cell>
          <cell r="C970" t="str">
            <v>SP</v>
          </cell>
          <cell r="D970">
            <v>2000</v>
          </cell>
          <cell r="E970" t="str">
            <v>N811BP Inc</v>
          </cell>
          <cell r="F970">
            <v>4</v>
          </cell>
          <cell r="G970">
            <v>36962</v>
          </cell>
          <cell r="H970" t="str">
            <v>SP</v>
          </cell>
          <cell r="I970" t="str">
            <v>North America</v>
          </cell>
          <cell r="J970" t="str">
            <v>USA</v>
          </cell>
          <cell r="K970">
            <v>36341</v>
          </cell>
        </row>
        <row r="971">
          <cell r="A971" t="str">
            <v>In service</v>
          </cell>
          <cell r="B971" t="str">
            <v>Gulfstream Aerospace Gulfstream IV</v>
          </cell>
          <cell r="C971" t="str">
            <v>SP</v>
          </cell>
          <cell r="D971">
            <v>2000</v>
          </cell>
          <cell r="E971" t="str">
            <v>General Electric Credit Corp of Tennessee</v>
          </cell>
          <cell r="F971">
            <v>4</v>
          </cell>
          <cell r="G971">
            <v>36881</v>
          </cell>
          <cell r="H971" t="str">
            <v>SP</v>
          </cell>
          <cell r="I971" t="str">
            <v>North America</v>
          </cell>
          <cell r="J971" t="str">
            <v>USA</v>
          </cell>
          <cell r="K971">
            <v>36341</v>
          </cell>
        </row>
        <row r="972">
          <cell r="A972" t="str">
            <v>In service</v>
          </cell>
          <cell r="B972" t="str">
            <v>Gulfstream Aerospace Gulfstream IV</v>
          </cell>
          <cell r="C972" t="str">
            <v>SP</v>
          </cell>
          <cell r="D972">
            <v>2000</v>
          </cell>
          <cell r="E972" t="str">
            <v>W A Reaud</v>
          </cell>
          <cell r="F972">
            <v>4</v>
          </cell>
          <cell r="G972">
            <v>36922</v>
          </cell>
          <cell r="H972" t="str">
            <v>SP</v>
          </cell>
          <cell r="I972" t="str">
            <v>North America</v>
          </cell>
          <cell r="J972" t="str">
            <v>USA</v>
          </cell>
          <cell r="K972">
            <v>36707</v>
          </cell>
        </row>
        <row r="973">
          <cell r="A973" t="str">
            <v>In service</v>
          </cell>
          <cell r="B973" t="str">
            <v>Gulfstream Aerospace Gulfstream IV</v>
          </cell>
          <cell r="C973" t="str">
            <v>SP</v>
          </cell>
          <cell r="D973">
            <v>2000</v>
          </cell>
          <cell r="E973" t="str">
            <v>Chiricahua Properties LLC</v>
          </cell>
          <cell r="F973">
            <v>4</v>
          </cell>
          <cell r="G973">
            <v>36732</v>
          </cell>
          <cell r="H973" t="str">
            <v>SP</v>
          </cell>
          <cell r="I973" t="str">
            <v>North America</v>
          </cell>
          <cell r="J973" t="str">
            <v>USA</v>
          </cell>
          <cell r="K973">
            <v>36045</v>
          </cell>
        </row>
        <row r="974">
          <cell r="A974" t="str">
            <v>In service</v>
          </cell>
          <cell r="B974" t="str">
            <v>Gulfstream Aerospace Gulfstream IV</v>
          </cell>
          <cell r="C974" t="str">
            <v>SP</v>
          </cell>
          <cell r="D974">
            <v>2001</v>
          </cell>
          <cell r="E974" t="str">
            <v>Government of Algeria</v>
          </cell>
          <cell r="F974">
            <v>3</v>
          </cell>
          <cell r="G974">
            <v>37001</v>
          </cell>
          <cell r="H974" t="str">
            <v>SP</v>
          </cell>
          <cell r="I974" t="str">
            <v>Africa</v>
          </cell>
          <cell r="J974" t="str">
            <v>Algeria</v>
          </cell>
          <cell r="K974">
            <v>36341</v>
          </cell>
        </row>
        <row r="975">
          <cell r="A975" t="str">
            <v>In service</v>
          </cell>
          <cell r="B975" t="str">
            <v>Gulfstream Aerospace Gulfstream IV</v>
          </cell>
          <cell r="C975" t="str">
            <v>SP</v>
          </cell>
          <cell r="D975">
            <v>2001</v>
          </cell>
          <cell r="E975" t="str">
            <v>Jetclub AG</v>
          </cell>
          <cell r="F975">
            <v>3</v>
          </cell>
          <cell r="G975">
            <v>36987</v>
          </cell>
          <cell r="H975" t="str">
            <v>SP</v>
          </cell>
          <cell r="I975" t="str">
            <v>Europe</v>
          </cell>
          <cell r="J975" t="str">
            <v>Switzerland</v>
          </cell>
          <cell r="K975">
            <v>36707</v>
          </cell>
        </row>
        <row r="976">
          <cell r="A976" t="str">
            <v>In service</v>
          </cell>
          <cell r="B976" t="str">
            <v>Gulfstream Aerospace Gulfstream IV</v>
          </cell>
          <cell r="C976" t="str">
            <v>SP</v>
          </cell>
          <cell r="D976">
            <v>2000</v>
          </cell>
          <cell r="E976" t="str">
            <v>JJSA Aviation LLC</v>
          </cell>
          <cell r="F976">
            <v>4</v>
          </cell>
          <cell r="G976">
            <v>36763</v>
          </cell>
          <cell r="H976" t="str">
            <v>SP</v>
          </cell>
          <cell r="I976" t="str">
            <v>North America</v>
          </cell>
          <cell r="J976" t="str">
            <v>USA</v>
          </cell>
          <cell r="K976">
            <v>35976</v>
          </cell>
        </row>
        <row r="977">
          <cell r="A977" t="str">
            <v>In service</v>
          </cell>
          <cell r="B977" t="str">
            <v>Gulfstream Aerospace Gulfstream IV</v>
          </cell>
          <cell r="C977" t="str">
            <v>SP</v>
          </cell>
          <cell r="D977">
            <v>2001</v>
          </cell>
          <cell r="E977" t="str">
            <v>Government of Algeria</v>
          </cell>
          <cell r="F977">
            <v>3</v>
          </cell>
          <cell r="G977">
            <v>37132</v>
          </cell>
          <cell r="H977" t="str">
            <v>SP</v>
          </cell>
          <cell r="I977" t="str">
            <v>Africa</v>
          </cell>
          <cell r="J977" t="str">
            <v>Algeria</v>
          </cell>
          <cell r="K977">
            <v>36341</v>
          </cell>
        </row>
        <row r="978">
          <cell r="A978" t="str">
            <v>In service</v>
          </cell>
          <cell r="B978" t="str">
            <v>Gulfstream Aerospace Gulfstream IV</v>
          </cell>
          <cell r="C978" t="str">
            <v>SP</v>
          </cell>
          <cell r="D978">
            <v>2000</v>
          </cell>
          <cell r="E978" t="str">
            <v>GEP I LLC</v>
          </cell>
          <cell r="F978">
            <v>4</v>
          </cell>
          <cell r="G978">
            <v>37021</v>
          </cell>
          <cell r="H978" t="str">
            <v>SP</v>
          </cell>
          <cell r="I978" t="str">
            <v>North America</v>
          </cell>
          <cell r="J978" t="str">
            <v>USA</v>
          </cell>
          <cell r="K978">
            <v>36341</v>
          </cell>
        </row>
        <row r="979">
          <cell r="A979" t="str">
            <v>In service</v>
          </cell>
          <cell r="B979" t="str">
            <v>Gulfstream Aerospace Gulfstream IV</v>
          </cell>
          <cell r="C979" t="str">
            <v>SP</v>
          </cell>
          <cell r="D979">
            <v>2000</v>
          </cell>
          <cell r="E979" t="str">
            <v>Airstar Corp</v>
          </cell>
          <cell r="F979">
            <v>4</v>
          </cell>
          <cell r="G979">
            <v>36798</v>
          </cell>
          <cell r="H979" t="str">
            <v>SP</v>
          </cell>
          <cell r="I979" t="str">
            <v>North America</v>
          </cell>
          <cell r="J979" t="str">
            <v>USA</v>
          </cell>
          <cell r="K979">
            <v>36341</v>
          </cell>
        </row>
        <row r="980">
          <cell r="A980" t="str">
            <v>In service</v>
          </cell>
          <cell r="B980" t="str">
            <v>Gulfstream Aerospace Gulfstream IV</v>
          </cell>
          <cell r="C980" t="str">
            <v>SP</v>
          </cell>
          <cell r="D980">
            <v>2000</v>
          </cell>
          <cell r="E980" t="str">
            <v>Government of Egypt</v>
          </cell>
          <cell r="F980">
            <v>4</v>
          </cell>
          <cell r="G980">
            <v>37081</v>
          </cell>
          <cell r="H980" t="str">
            <v>SP</v>
          </cell>
          <cell r="I980" t="str">
            <v>Africa</v>
          </cell>
          <cell r="J980" t="str">
            <v>Egypt</v>
          </cell>
          <cell r="K980">
            <v>36564</v>
          </cell>
        </row>
        <row r="981">
          <cell r="A981" t="str">
            <v>In service</v>
          </cell>
          <cell r="B981" t="str">
            <v>Gulfstream Aerospace Gulfstream IV</v>
          </cell>
          <cell r="C981" t="str">
            <v>SP</v>
          </cell>
          <cell r="D981">
            <v>2001</v>
          </cell>
          <cell r="E981" t="str">
            <v>Euro-Asia Air</v>
          </cell>
          <cell r="F981">
            <v>3</v>
          </cell>
          <cell r="G981">
            <v>37061</v>
          </cell>
          <cell r="H981" t="str">
            <v>SP</v>
          </cell>
          <cell r="I981" t="str">
            <v>Asia</v>
          </cell>
          <cell r="J981" t="str">
            <v>Kazakhstan</v>
          </cell>
          <cell r="K981">
            <v>36341</v>
          </cell>
        </row>
        <row r="982">
          <cell r="A982" t="str">
            <v>In service</v>
          </cell>
          <cell r="B982" t="str">
            <v>Gulfstream Aerospace Gulfstream IV</v>
          </cell>
          <cell r="C982" t="str">
            <v>SP</v>
          </cell>
          <cell r="D982">
            <v>2000</v>
          </cell>
          <cell r="E982" t="str">
            <v>Netjets International</v>
          </cell>
          <cell r="F982">
            <v>4</v>
          </cell>
          <cell r="G982">
            <v>36980</v>
          </cell>
          <cell r="H982" t="str">
            <v>SP</v>
          </cell>
          <cell r="I982" t="str">
            <v>North America</v>
          </cell>
          <cell r="J982" t="str">
            <v>USA</v>
          </cell>
          <cell r="K982">
            <v>36087</v>
          </cell>
        </row>
        <row r="983">
          <cell r="A983" t="str">
            <v>In service</v>
          </cell>
          <cell r="B983" t="str">
            <v>Gulfstream Aerospace Gulfstream IV</v>
          </cell>
          <cell r="C983" t="str">
            <v>SP</v>
          </cell>
          <cell r="D983">
            <v>2001</v>
          </cell>
          <cell r="E983" t="str">
            <v>Government of Egypt</v>
          </cell>
          <cell r="F983">
            <v>3</v>
          </cell>
          <cell r="G983">
            <v>37198</v>
          </cell>
          <cell r="H983" t="str">
            <v>SP</v>
          </cell>
          <cell r="I983" t="str">
            <v>Africa</v>
          </cell>
          <cell r="J983" t="str">
            <v>Egypt</v>
          </cell>
          <cell r="K983">
            <v>36564</v>
          </cell>
        </row>
        <row r="984">
          <cell r="A984" t="str">
            <v>In service</v>
          </cell>
          <cell r="B984" t="str">
            <v>Gulfstream Aerospace Gulfstream IV</v>
          </cell>
          <cell r="C984" t="str">
            <v>SP</v>
          </cell>
          <cell r="D984">
            <v>2000</v>
          </cell>
          <cell r="E984" t="str">
            <v>New Cingular Wireless Flight Operations LLC</v>
          </cell>
          <cell r="F984">
            <v>4</v>
          </cell>
          <cell r="G984">
            <v>36860</v>
          </cell>
          <cell r="H984" t="str">
            <v>SP</v>
          </cell>
          <cell r="I984" t="str">
            <v>North America</v>
          </cell>
          <cell r="J984" t="str">
            <v>USA</v>
          </cell>
          <cell r="K984">
            <v>36341</v>
          </cell>
        </row>
        <row r="985">
          <cell r="A985" t="str">
            <v>In service</v>
          </cell>
          <cell r="B985" t="str">
            <v>Gulfstream Aerospace Gulfstream IV</v>
          </cell>
          <cell r="C985" t="str">
            <v>SP</v>
          </cell>
          <cell r="D985">
            <v>2001</v>
          </cell>
          <cell r="E985" t="str">
            <v>Kohler &amp; Co</v>
          </cell>
          <cell r="F985">
            <v>3</v>
          </cell>
          <cell r="G985">
            <v>37067</v>
          </cell>
          <cell r="H985" t="str">
            <v>SP</v>
          </cell>
          <cell r="I985" t="str">
            <v>North America</v>
          </cell>
          <cell r="J985" t="str">
            <v>USA</v>
          </cell>
          <cell r="K985">
            <v>36341</v>
          </cell>
        </row>
        <row r="986">
          <cell r="A986" t="str">
            <v>In service</v>
          </cell>
          <cell r="B986" t="str">
            <v>Gulfstream Aerospace Gulfstream IV</v>
          </cell>
          <cell r="C986" t="str">
            <v>SP</v>
          </cell>
          <cell r="D986">
            <v>2001</v>
          </cell>
          <cell r="E986" t="str">
            <v>Bandwidth LLC</v>
          </cell>
          <cell r="F986">
            <v>3</v>
          </cell>
          <cell r="G986">
            <v>37071</v>
          </cell>
          <cell r="H986" t="str">
            <v>SP</v>
          </cell>
          <cell r="I986" t="str">
            <v>North America</v>
          </cell>
          <cell r="J986" t="str">
            <v>USA</v>
          </cell>
          <cell r="K986">
            <v>36341</v>
          </cell>
        </row>
        <row r="987">
          <cell r="A987" t="str">
            <v>In service</v>
          </cell>
          <cell r="B987" t="str">
            <v>Gulfstream Aerospace Gulfstream IV</v>
          </cell>
          <cell r="C987" t="str">
            <v>SP</v>
          </cell>
          <cell r="D987">
            <v>2000</v>
          </cell>
          <cell r="E987" t="str">
            <v>Cape Clear LLC</v>
          </cell>
          <cell r="F987">
            <v>4</v>
          </cell>
          <cell r="G987">
            <v>36867</v>
          </cell>
          <cell r="H987" t="str">
            <v>SP</v>
          </cell>
          <cell r="I987" t="str">
            <v>North America</v>
          </cell>
          <cell r="J987" t="str">
            <v>USA</v>
          </cell>
          <cell r="K987">
            <v>36341</v>
          </cell>
        </row>
        <row r="988">
          <cell r="A988" t="str">
            <v>In service</v>
          </cell>
          <cell r="B988" t="str">
            <v>Gulfstream Aerospace Gulfstream IV</v>
          </cell>
          <cell r="C988" t="str">
            <v>SP</v>
          </cell>
          <cell r="D988">
            <v>2001</v>
          </cell>
          <cell r="E988" t="str">
            <v>Hagadone Aviation LLC</v>
          </cell>
          <cell r="F988">
            <v>3</v>
          </cell>
          <cell r="G988">
            <v>37098</v>
          </cell>
          <cell r="H988" t="str">
            <v>SP</v>
          </cell>
          <cell r="I988" t="str">
            <v>North America</v>
          </cell>
          <cell r="J988" t="str">
            <v>USA</v>
          </cell>
          <cell r="K988">
            <v>36341</v>
          </cell>
        </row>
        <row r="989">
          <cell r="A989" t="str">
            <v>In service</v>
          </cell>
          <cell r="B989" t="str">
            <v>Gulfstream Aerospace Gulfstream IV</v>
          </cell>
          <cell r="C989" t="str">
            <v>SP</v>
          </cell>
          <cell r="D989">
            <v>2001</v>
          </cell>
          <cell r="E989" t="str">
            <v>Flightworks</v>
          </cell>
          <cell r="F989">
            <v>3</v>
          </cell>
          <cell r="G989">
            <v>37168</v>
          </cell>
          <cell r="H989" t="str">
            <v>SP</v>
          </cell>
          <cell r="I989" t="str">
            <v>North America</v>
          </cell>
          <cell r="J989" t="str">
            <v>USA</v>
          </cell>
          <cell r="K989">
            <v>36341</v>
          </cell>
        </row>
        <row r="990">
          <cell r="A990" t="str">
            <v>In service</v>
          </cell>
          <cell r="B990" t="str">
            <v>Gulfstream Aerospace Gulfstream IV</v>
          </cell>
          <cell r="C990" t="str">
            <v>SP</v>
          </cell>
          <cell r="D990">
            <v>2000</v>
          </cell>
          <cell r="E990" t="str">
            <v>ConocoPhillips Co</v>
          </cell>
          <cell r="F990">
            <v>4</v>
          </cell>
          <cell r="G990">
            <v>36887</v>
          </cell>
          <cell r="H990" t="str">
            <v>SP</v>
          </cell>
          <cell r="I990" t="str">
            <v>North America</v>
          </cell>
          <cell r="J990" t="str">
            <v>USA</v>
          </cell>
          <cell r="K990">
            <v>36341</v>
          </cell>
        </row>
        <row r="991">
          <cell r="A991" t="str">
            <v>In service</v>
          </cell>
          <cell r="B991" t="str">
            <v>Gulfstream Aerospace Gulfstream IV</v>
          </cell>
          <cell r="C991" t="str">
            <v>SP</v>
          </cell>
          <cell r="D991">
            <v>2001</v>
          </cell>
          <cell r="E991" t="str">
            <v>Guidant Corp</v>
          </cell>
          <cell r="F991">
            <v>3</v>
          </cell>
          <cell r="G991">
            <v>37203</v>
          </cell>
          <cell r="H991" t="str">
            <v>SP</v>
          </cell>
          <cell r="I991" t="str">
            <v>North America</v>
          </cell>
          <cell r="J991" t="str">
            <v>USA</v>
          </cell>
          <cell r="K991">
            <v>36809</v>
          </cell>
        </row>
        <row r="992">
          <cell r="A992" t="str">
            <v>In service</v>
          </cell>
          <cell r="B992" t="str">
            <v>Gulfstream Aerospace Gulfstream IV</v>
          </cell>
          <cell r="C992" t="str">
            <v>SP</v>
          </cell>
          <cell r="D992">
            <v>2001</v>
          </cell>
          <cell r="E992" t="str">
            <v>Netjets International</v>
          </cell>
          <cell r="F992">
            <v>3</v>
          </cell>
          <cell r="G992">
            <v>37069</v>
          </cell>
          <cell r="H992" t="str">
            <v>SP</v>
          </cell>
          <cell r="I992" t="str">
            <v>North America</v>
          </cell>
          <cell r="J992" t="str">
            <v>USA</v>
          </cell>
          <cell r="K992">
            <v>36087</v>
          </cell>
        </row>
        <row r="993">
          <cell r="A993" t="str">
            <v>In service</v>
          </cell>
          <cell r="B993" t="str">
            <v>Gulfstream Aerospace Gulfstream IV</v>
          </cell>
          <cell r="C993" t="str">
            <v>SP</v>
          </cell>
          <cell r="D993">
            <v>2001</v>
          </cell>
          <cell r="E993" t="str">
            <v>Netjets Middle East</v>
          </cell>
          <cell r="F993">
            <v>3</v>
          </cell>
          <cell r="G993">
            <v>37246</v>
          </cell>
          <cell r="H993" t="str">
            <v>SP</v>
          </cell>
          <cell r="I993" t="str">
            <v>Middle East</v>
          </cell>
          <cell r="J993" t="str">
            <v>Saudi Arabia</v>
          </cell>
          <cell r="K993">
            <v>36341</v>
          </cell>
        </row>
        <row r="994">
          <cell r="A994" t="str">
            <v>In service</v>
          </cell>
          <cell r="B994" t="str">
            <v>Gulfstream Aerospace Gulfstream IV</v>
          </cell>
          <cell r="C994" t="str">
            <v>SP</v>
          </cell>
          <cell r="D994">
            <v>2001</v>
          </cell>
          <cell r="E994" t="str">
            <v>Cape Clear LLC</v>
          </cell>
          <cell r="F994">
            <v>3</v>
          </cell>
          <cell r="G994">
            <v>36931</v>
          </cell>
          <cell r="H994" t="str">
            <v>SP</v>
          </cell>
          <cell r="I994" t="str">
            <v>North America</v>
          </cell>
          <cell r="J994" t="str">
            <v>USA</v>
          </cell>
          <cell r="K994">
            <v>36707</v>
          </cell>
        </row>
        <row r="995">
          <cell r="A995" t="str">
            <v>In service</v>
          </cell>
          <cell r="B995" t="str">
            <v>Gulfstream Aerospace Gulfstream IV</v>
          </cell>
          <cell r="C995" t="str">
            <v>SP</v>
          </cell>
          <cell r="D995">
            <v>2001</v>
          </cell>
          <cell r="E995" t="str">
            <v>E I DuPont de Nemours &amp; Co</v>
          </cell>
          <cell r="F995">
            <v>3</v>
          </cell>
          <cell r="G995">
            <v>37204</v>
          </cell>
          <cell r="H995" t="str">
            <v>SP</v>
          </cell>
          <cell r="I995" t="str">
            <v>North America</v>
          </cell>
          <cell r="J995" t="str">
            <v>USA</v>
          </cell>
          <cell r="K995">
            <v>36341</v>
          </cell>
        </row>
        <row r="996">
          <cell r="A996" t="str">
            <v>In service</v>
          </cell>
          <cell r="B996" t="str">
            <v>Gulfstream Aerospace Gulfstream IV</v>
          </cell>
          <cell r="C996" t="str">
            <v>SP</v>
          </cell>
          <cell r="D996">
            <v>2001</v>
          </cell>
          <cell r="E996" t="str">
            <v>Consortium of AOL Time Warner Companies</v>
          </cell>
          <cell r="F996">
            <v>3</v>
          </cell>
          <cell r="G996">
            <v>37162</v>
          </cell>
          <cell r="H996" t="str">
            <v>SP</v>
          </cell>
          <cell r="I996" t="str">
            <v>North America</v>
          </cell>
          <cell r="J996" t="str">
            <v>USA</v>
          </cell>
          <cell r="K996">
            <v>36341</v>
          </cell>
        </row>
        <row r="997">
          <cell r="A997" t="str">
            <v>In service</v>
          </cell>
          <cell r="B997" t="str">
            <v>Gulfstream Aerospace Gulfstream IV</v>
          </cell>
          <cell r="C997" t="str">
            <v>SP</v>
          </cell>
          <cell r="D997">
            <v>2001</v>
          </cell>
          <cell r="E997" t="str">
            <v>L&amp;L II Leasing LLC</v>
          </cell>
          <cell r="F997">
            <v>3</v>
          </cell>
          <cell r="G997">
            <v>37183</v>
          </cell>
          <cell r="H997" t="str">
            <v>SP</v>
          </cell>
          <cell r="I997" t="str">
            <v>North America</v>
          </cell>
          <cell r="J997" t="str">
            <v>USA</v>
          </cell>
          <cell r="K997">
            <v>36341</v>
          </cell>
        </row>
        <row r="998">
          <cell r="A998" t="str">
            <v>In service</v>
          </cell>
          <cell r="B998" t="str">
            <v>Gulfstream Aerospace Gulfstream IV</v>
          </cell>
          <cell r="C998" t="str">
            <v>SP</v>
          </cell>
          <cell r="D998">
            <v>2001</v>
          </cell>
          <cell r="E998" t="str">
            <v>L&amp;L Leasing III LLC</v>
          </cell>
          <cell r="F998">
            <v>3</v>
          </cell>
          <cell r="G998">
            <v>37246</v>
          </cell>
          <cell r="H998" t="str">
            <v>SP</v>
          </cell>
          <cell r="I998" t="str">
            <v>North America</v>
          </cell>
          <cell r="J998" t="str">
            <v>USA</v>
          </cell>
          <cell r="K998">
            <v>36341</v>
          </cell>
        </row>
        <row r="999">
          <cell r="A999" t="str">
            <v>In service</v>
          </cell>
          <cell r="B999" t="str">
            <v>Gulfstream Aerospace Gulfstream IV</v>
          </cell>
          <cell r="C999" t="str">
            <v>SP</v>
          </cell>
          <cell r="D999">
            <v>2001</v>
          </cell>
          <cell r="E999" t="str">
            <v>HGA LLC</v>
          </cell>
          <cell r="F999">
            <v>3</v>
          </cell>
          <cell r="G999">
            <v>37183</v>
          </cell>
          <cell r="H999" t="str">
            <v>SP</v>
          </cell>
          <cell r="I999" t="str">
            <v>North America</v>
          </cell>
          <cell r="J999" t="str">
            <v>USA</v>
          </cell>
          <cell r="K999">
            <v>36341</v>
          </cell>
        </row>
        <row r="1000">
          <cell r="A1000" t="str">
            <v>In service</v>
          </cell>
          <cell r="B1000" t="str">
            <v>Gulfstream Aerospace Gulfstream IV</v>
          </cell>
          <cell r="C1000" t="str">
            <v>SP</v>
          </cell>
          <cell r="D1000">
            <v>2001</v>
          </cell>
          <cell r="E1000" t="str">
            <v>Relinquished Aviation III LLC</v>
          </cell>
          <cell r="F1000">
            <v>3</v>
          </cell>
          <cell r="G1000">
            <v>37224</v>
          </cell>
          <cell r="H1000" t="str">
            <v>SP</v>
          </cell>
          <cell r="I1000" t="str">
            <v>North America</v>
          </cell>
          <cell r="J1000" t="str">
            <v>USA</v>
          </cell>
          <cell r="K1000">
            <v>36341</v>
          </cell>
        </row>
        <row r="1001">
          <cell r="A1001" t="str">
            <v>In service</v>
          </cell>
          <cell r="B1001" t="str">
            <v>Gulfstream Aerospace Gulfstream IV</v>
          </cell>
          <cell r="C1001" t="str">
            <v>SP</v>
          </cell>
          <cell r="D1001">
            <v>2001</v>
          </cell>
          <cell r="E1001" t="str">
            <v>Millard S Drexler Inc</v>
          </cell>
          <cell r="F1001">
            <v>3</v>
          </cell>
          <cell r="G1001">
            <v>37162</v>
          </cell>
          <cell r="H1001" t="str">
            <v>SP</v>
          </cell>
          <cell r="I1001" t="str">
            <v>North America</v>
          </cell>
          <cell r="J1001" t="str">
            <v>USA</v>
          </cell>
          <cell r="K1001">
            <v>36087</v>
          </cell>
        </row>
        <row r="1002">
          <cell r="A1002" t="str">
            <v>In service</v>
          </cell>
          <cell r="B1002" t="str">
            <v>Gulfstream Aerospace Gulfstream IV</v>
          </cell>
          <cell r="C1002" t="str">
            <v>SP</v>
          </cell>
          <cell r="D1002">
            <v>2001</v>
          </cell>
          <cell r="E1002" t="str">
            <v>Corporate Aviation LLC</v>
          </cell>
          <cell r="F1002">
            <v>3</v>
          </cell>
          <cell r="G1002">
            <v>37245</v>
          </cell>
          <cell r="H1002" t="str">
            <v>SP</v>
          </cell>
          <cell r="I1002" t="str">
            <v>North America</v>
          </cell>
          <cell r="J1002" t="str">
            <v>USA</v>
          </cell>
          <cell r="K1002">
            <v>36341</v>
          </cell>
        </row>
        <row r="1003">
          <cell r="A1003" t="str">
            <v>In service</v>
          </cell>
          <cell r="B1003" t="str">
            <v>Gulfstream Aerospace Gulfstream IV</v>
          </cell>
          <cell r="C1003" t="str">
            <v>SP</v>
          </cell>
          <cell r="D1003">
            <v>2001</v>
          </cell>
          <cell r="E1003" t="str">
            <v>ConocoPhillips Co</v>
          </cell>
          <cell r="F1003">
            <v>3</v>
          </cell>
          <cell r="G1003">
            <v>37022</v>
          </cell>
          <cell r="H1003" t="str">
            <v>SP</v>
          </cell>
          <cell r="I1003" t="str">
            <v>North America</v>
          </cell>
          <cell r="J1003" t="str">
            <v>USA</v>
          </cell>
          <cell r="K1003">
            <v>36341</v>
          </cell>
        </row>
        <row r="1004">
          <cell r="A1004" t="str">
            <v>In service</v>
          </cell>
          <cell r="B1004" t="str">
            <v>Gulfstream Aerospace Gulfstream IV</v>
          </cell>
          <cell r="C1004" t="str">
            <v>SP</v>
          </cell>
          <cell r="D1004">
            <v>2001</v>
          </cell>
          <cell r="E1004" t="str">
            <v>Executive Fliteways Inc</v>
          </cell>
          <cell r="F1004">
            <v>3</v>
          </cell>
          <cell r="G1004">
            <v>37253</v>
          </cell>
          <cell r="H1004" t="str">
            <v>SP</v>
          </cell>
          <cell r="I1004" t="str">
            <v>North America</v>
          </cell>
          <cell r="J1004" t="str">
            <v>USA</v>
          </cell>
          <cell r="K1004">
            <v>36341</v>
          </cell>
        </row>
        <row r="1005">
          <cell r="A1005" t="str">
            <v>In service</v>
          </cell>
          <cell r="B1005" t="str">
            <v>Gulfstream Aerospace Gulfstream IV</v>
          </cell>
          <cell r="C1005" t="str">
            <v>SP</v>
          </cell>
          <cell r="D1005">
            <v>2001</v>
          </cell>
          <cell r="E1005" t="str">
            <v>Limited Service Corp</v>
          </cell>
          <cell r="F1005">
            <v>3</v>
          </cell>
          <cell r="G1005">
            <v>37315</v>
          </cell>
          <cell r="H1005" t="str">
            <v>SP</v>
          </cell>
          <cell r="I1005" t="str">
            <v>North America</v>
          </cell>
          <cell r="J1005" t="str">
            <v>USA</v>
          </cell>
          <cell r="K1005">
            <v>36341</v>
          </cell>
        </row>
        <row r="1006">
          <cell r="A1006" t="str">
            <v>In service</v>
          </cell>
          <cell r="B1006" t="str">
            <v>Gulfstream Aerospace Gulfstream IV</v>
          </cell>
          <cell r="C1006" t="str">
            <v>SP</v>
          </cell>
          <cell r="D1006">
            <v>2001</v>
          </cell>
          <cell r="E1006" t="str">
            <v>ConocoPhillips Co</v>
          </cell>
          <cell r="F1006">
            <v>3</v>
          </cell>
          <cell r="G1006">
            <v>37046</v>
          </cell>
          <cell r="H1006" t="str">
            <v>SP</v>
          </cell>
          <cell r="I1006" t="str">
            <v>North America</v>
          </cell>
          <cell r="J1006" t="str">
            <v>USA</v>
          </cell>
          <cell r="K1006">
            <v>36707</v>
          </cell>
        </row>
        <row r="1007">
          <cell r="A1007" t="str">
            <v>In service</v>
          </cell>
          <cell r="B1007" t="str">
            <v>Gulfstream Aerospace Gulfstream IV</v>
          </cell>
          <cell r="C1007" t="str">
            <v>SP</v>
          </cell>
          <cell r="D1007">
            <v>2001</v>
          </cell>
          <cell r="E1007" t="str">
            <v>Cordelia Scaife May</v>
          </cell>
          <cell r="F1007">
            <v>3</v>
          </cell>
          <cell r="G1007">
            <v>37253</v>
          </cell>
          <cell r="H1007" t="str">
            <v>SP</v>
          </cell>
          <cell r="I1007" t="str">
            <v>North America</v>
          </cell>
          <cell r="J1007" t="str">
            <v>USA</v>
          </cell>
          <cell r="K1007">
            <v>36341</v>
          </cell>
        </row>
        <row r="1008">
          <cell r="A1008" t="str">
            <v>In service</v>
          </cell>
          <cell r="B1008" t="str">
            <v>Gulfstream Aerospace Gulfstream IV</v>
          </cell>
          <cell r="C1008" t="str">
            <v>SP</v>
          </cell>
          <cell r="D1008">
            <v>2001</v>
          </cell>
          <cell r="E1008" t="str">
            <v>Kraft Foods Aviation LLC</v>
          </cell>
          <cell r="F1008">
            <v>3</v>
          </cell>
          <cell r="G1008">
            <v>37287</v>
          </cell>
          <cell r="H1008" t="str">
            <v>SP</v>
          </cell>
          <cell r="I1008" t="str">
            <v>North America</v>
          </cell>
          <cell r="J1008" t="str">
            <v>USA</v>
          </cell>
          <cell r="K1008">
            <v>36341</v>
          </cell>
        </row>
        <row r="1009">
          <cell r="A1009" t="str">
            <v>In service</v>
          </cell>
          <cell r="B1009" t="str">
            <v>Gulfstream Aerospace Gulfstream IV</v>
          </cell>
          <cell r="C1009" t="str">
            <v>SP</v>
          </cell>
          <cell r="D1009">
            <v>2001</v>
          </cell>
          <cell r="E1009" t="str">
            <v>Quad/Air Inc</v>
          </cell>
          <cell r="F1009">
            <v>3</v>
          </cell>
          <cell r="G1009">
            <v>37246</v>
          </cell>
          <cell r="H1009" t="str">
            <v>SP</v>
          </cell>
          <cell r="I1009" t="str">
            <v>North America</v>
          </cell>
          <cell r="J1009" t="str">
            <v>USA</v>
          </cell>
          <cell r="K1009">
            <v>36341</v>
          </cell>
        </row>
        <row r="1010">
          <cell r="A1010" t="str">
            <v>In service</v>
          </cell>
          <cell r="B1010" t="str">
            <v>Gulfstream Aerospace Gulfstream IV</v>
          </cell>
          <cell r="C1010" t="str">
            <v>SP</v>
          </cell>
          <cell r="D1010">
            <v>2001</v>
          </cell>
          <cell r="E1010" t="str">
            <v>Netjets International</v>
          </cell>
          <cell r="F1010">
            <v>3</v>
          </cell>
          <cell r="G1010">
            <v>37271</v>
          </cell>
          <cell r="H1010" t="str">
            <v>SP</v>
          </cell>
          <cell r="I1010" t="str">
            <v>North America</v>
          </cell>
          <cell r="J1010" t="str">
            <v>USA</v>
          </cell>
          <cell r="K1010">
            <v>36087</v>
          </cell>
        </row>
        <row r="1011">
          <cell r="A1011" t="str">
            <v>In service</v>
          </cell>
          <cell r="B1011" t="str">
            <v>Gulfstream Aerospace Gulfstream IV</v>
          </cell>
          <cell r="C1011" t="str">
            <v>SP</v>
          </cell>
          <cell r="D1011">
            <v>2001</v>
          </cell>
          <cell r="E1011" t="str">
            <v>AMFM Air Services Inc</v>
          </cell>
          <cell r="F1011">
            <v>3</v>
          </cell>
          <cell r="G1011">
            <v>37258</v>
          </cell>
          <cell r="H1011" t="str">
            <v>SP</v>
          </cell>
          <cell r="I1011" t="str">
            <v>North America</v>
          </cell>
          <cell r="J1011" t="str">
            <v>USA</v>
          </cell>
          <cell r="K1011">
            <v>36341</v>
          </cell>
        </row>
        <row r="1012">
          <cell r="A1012" t="str">
            <v>In service</v>
          </cell>
          <cell r="B1012" t="str">
            <v>Gulfstream Aerospace Gulfstream IV</v>
          </cell>
          <cell r="C1012" t="str">
            <v>SP</v>
          </cell>
          <cell r="D1012">
            <v>2001</v>
          </cell>
          <cell r="E1012" t="str">
            <v>AMB Group LLC</v>
          </cell>
          <cell r="F1012">
            <v>3</v>
          </cell>
          <cell r="G1012">
            <v>37253</v>
          </cell>
          <cell r="H1012" t="str">
            <v>SP</v>
          </cell>
          <cell r="I1012" t="str">
            <v>North America</v>
          </cell>
          <cell r="J1012" t="str">
            <v>USA</v>
          </cell>
          <cell r="K1012">
            <v>36341</v>
          </cell>
        </row>
        <row r="1013">
          <cell r="A1013" t="str">
            <v>In service</v>
          </cell>
          <cell r="B1013" t="str">
            <v>Gulfstream Aerospace Gulfstream IV</v>
          </cell>
          <cell r="C1013" t="str">
            <v>SP</v>
          </cell>
          <cell r="D1013">
            <v>2001</v>
          </cell>
          <cell r="E1013" t="str">
            <v>Skybird Aviation</v>
          </cell>
          <cell r="F1013">
            <v>3</v>
          </cell>
          <cell r="G1013">
            <v>37344</v>
          </cell>
          <cell r="H1013" t="str">
            <v>SP</v>
          </cell>
          <cell r="I1013" t="str">
            <v>North America</v>
          </cell>
          <cell r="J1013" t="str">
            <v>USA</v>
          </cell>
          <cell r="K1013">
            <v>36341</v>
          </cell>
        </row>
        <row r="1014">
          <cell r="A1014" t="str">
            <v>In service</v>
          </cell>
          <cell r="B1014" t="str">
            <v>Gulfstream Aerospace Gulfstream IV</v>
          </cell>
          <cell r="C1014" t="str">
            <v>SP</v>
          </cell>
          <cell r="D1014">
            <v>2002</v>
          </cell>
          <cell r="E1014" t="str">
            <v>The Kirchman Corp</v>
          </cell>
          <cell r="F1014">
            <v>2</v>
          </cell>
          <cell r="G1014">
            <v>37314</v>
          </cell>
          <cell r="H1014" t="str">
            <v>SP</v>
          </cell>
          <cell r="I1014" t="str">
            <v>North America</v>
          </cell>
          <cell r="J1014" t="str">
            <v>USA</v>
          </cell>
          <cell r="K1014">
            <v>36341</v>
          </cell>
        </row>
        <row r="1015">
          <cell r="A1015" t="str">
            <v>In service</v>
          </cell>
          <cell r="B1015" t="str">
            <v>Gulfstream Aerospace Gulfstream IV</v>
          </cell>
          <cell r="C1015" t="str">
            <v>SP</v>
          </cell>
          <cell r="D1015">
            <v>2002</v>
          </cell>
          <cell r="E1015" t="str">
            <v>Windrose Air Jetcharter</v>
          </cell>
          <cell r="F1015">
            <v>2</v>
          </cell>
          <cell r="G1015">
            <v>37407</v>
          </cell>
          <cell r="H1015" t="str">
            <v>SP</v>
          </cell>
          <cell r="I1015" t="str">
            <v>Europe</v>
          </cell>
          <cell r="J1015" t="str">
            <v>Germany</v>
          </cell>
          <cell r="K1015">
            <v>36341</v>
          </cell>
        </row>
        <row r="1016">
          <cell r="A1016" t="str">
            <v>In service</v>
          </cell>
          <cell r="B1016" t="str">
            <v>Gulfstream Aerospace Gulfstream IV</v>
          </cell>
          <cell r="C1016" t="str">
            <v>SP</v>
          </cell>
          <cell r="D1016">
            <v>2001</v>
          </cell>
          <cell r="E1016" t="str">
            <v>New World Jet Corp</v>
          </cell>
          <cell r="F1016">
            <v>3</v>
          </cell>
          <cell r="G1016">
            <v>37345</v>
          </cell>
          <cell r="H1016" t="str">
            <v>SP</v>
          </cell>
          <cell r="I1016" t="str">
            <v>North America</v>
          </cell>
          <cell r="J1016" t="str">
            <v>USA</v>
          </cell>
          <cell r="K1016">
            <v>36341</v>
          </cell>
        </row>
        <row r="1017">
          <cell r="A1017" t="str">
            <v>In service</v>
          </cell>
          <cell r="B1017" t="str">
            <v>Gulfstream Aerospace Gulfstream IV</v>
          </cell>
          <cell r="C1017" t="str">
            <v>SP</v>
          </cell>
          <cell r="D1017">
            <v>2001</v>
          </cell>
          <cell r="E1017" t="str">
            <v>Anadarko Petroleum Corp</v>
          </cell>
          <cell r="F1017">
            <v>3</v>
          </cell>
          <cell r="G1017">
            <v>37253</v>
          </cell>
          <cell r="H1017" t="str">
            <v>SP</v>
          </cell>
          <cell r="I1017" t="str">
            <v>North America</v>
          </cell>
          <cell r="J1017" t="str">
            <v>USA</v>
          </cell>
          <cell r="K1017">
            <v>36341</v>
          </cell>
        </row>
        <row r="1018">
          <cell r="A1018" t="str">
            <v>In service</v>
          </cell>
          <cell r="B1018" t="str">
            <v>Gulfstream Aerospace Gulfstream IV</v>
          </cell>
          <cell r="C1018" t="str">
            <v>SP</v>
          </cell>
          <cell r="D1018">
            <v>2002</v>
          </cell>
          <cell r="E1018" t="str">
            <v>Madison Leasing Corp</v>
          </cell>
          <cell r="F1018">
            <v>2</v>
          </cell>
          <cell r="G1018">
            <v>37335</v>
          </cell>
          <cell r="H1018" t="str">
            <v>SP</v>
          </cell>
          <cell r="I1018" t="str">
            <v>North America</v>
          </cell>
          <cell r="J1018" t="str">
            <v>USA</v>
          </cell>
          <cell r="K1018">
            <v>36341</v>
          </cell>
        </row>
        <row r="1019">
          <cell r="A1019" t="str">
            <v>In service</v>
          </cell>
          <cell r="B1019" t="str">
            <v>Gulfstream Aerospace Gulfstream IV</v>
          </cell>
          <cell r="C1019" t="str">
            <v>SP</v>
          </cell>
          <cell r="D1019">
            <v>2002</v>
          </cell>
          <cell r="E1019" t="str">
            <v>Netjets International</v>
          </cell>
          <cell r="F1019">
            <v>2</v>
          </cell>
          <cell r="G1019">
            <v>37434</v>
          </cell>
          <cell r="H1019" t="str">
            <v>SP</v>
          </cell>
          <cell r="I1019" t="str">
            <v>North America</v>
          </cell>
          <cell r="J1019" t="str">
            <v>USA</v>
          </cell>
          <cell r="K1019">
            <v>36087</v>
          </cell>
        </row>
        <row r="1020">
          <cell r="A1020" t="str">
            <v>In service</v>
          </cell>
          <cell r="B1020" t="str">
            <v>Gulfstream Aerospace Gulfstream IV</v>
          </cell>
          <cell r="C1020" t="str">
            <v>SP</v>
          </cell>
          <cell r="D1020">
            <v>2002</v>
          </cell>
          <cell r="E1020" t="str">
            <v>The First Marblehead Corp</v>
          </cell>
          <cell r="F1020">
            <v>2</v>
          </cell>
          <cell r="G1020">
            <v>37376</v>
          </cell>
          <cell r="H1020" t="str">
            <v>SP</v>
          </cell>
          <cell r="I1020" t="str">
            <v>North America</v>
          </cell>
          <cell r="J1020" t="str">
            <v>USA</v>
          </cell>
          <cell r="K1020">
            <v>36707</v>
          </cell>
        </row>
        <row r="1021">
          <cell r="A1021" t="str">
            <v>In service</v>
          </cell>
          <cell r="B1021" t="str">
            <v>Gulfstream Aerospace Gulfstream IV</v>
          </cell>
          <cell r="C1021" t="str">
            <v>SP</v>
          </cell>
          <cell r="D1021">
            <v>2001</v>
          </cell>
          <cell r="E1021" t="str">
            <v>Surgutneftegas</v>
          </cell>
          <cell r="F1021">
            <v>3</v>
          </cell>
          <cell r="G1021">
            <v>37514</v>
          </cell>
          <cell r="H1021" t="str">
            <v>SP</v>
          </cell>
          <cell r="I1021" t="str">
            <v>Europe</v>
          </cell>
          <cell r="J1021" t="str">
            <v>Russia</v>
          </cell>
        </row>
        <row r="1022">
          <cell r="A1022" t="str">
            <v>In service</v>
          </cell>
          <cell r="B1022" t="str">
            <v>Gulfstream Aerospace Gulfstream IV</v>
          </cell>
          <cell r="C1022" t="str">
            <v>SP</v>
          </cell>
          <cell r="D1022">
            <v>2002</v>
          </cell>
          <cell r="E1022" t="str">
            <v>Shell Aircraft Ltd</v>
          </cell>
          <cell r="F1022">
            <v>2</v>
          </cell>
          <cell r="G1022">
            <v>37461</v>
          </cell>
          <cell r="H1022" t="str">
            <v>SP</v>
          </cell>
          <cell r="I1022" t="str">
            <v>Europe</v>
          </cell>
          <cell r="J1022" t="str">
            <v>United Kingdom</v>
          </cell>
          <cell r="K1022">
            <v>37072</v>
          </cell>
        </row>
        <row r="1023">
          <cell r="A1023" t="str">
            <v>In service</v>
          </cell>
          <cell r="B1023" t="str">
            <v>Gulfstream Aerospace Gulfstream IV</v>
          </cell>
          <cell r="C1023" t="str">
            <v>SP</v>
          </cell>
          <cell r="D1023">
            <v>2001</v>
          </cell>
          <cell r="E1023" t="str">
            <v>CXAir Holdings Inc</v>
          </cell>
          <cell r="F1023">
            <v>3</v>
          </cell>
          <cell r="G1023">
            <v>37211</v>
          </cell>
          <cell r="H1023" t="str">
            <v>SP</v>
          </cell>
          <cell r="I1023" t="str">
            <v>North America</v>
          </cell>
          <cell r="J1023" t="str">
            <v>USA</v>
          </cell>
          <cell r="K1023">
            <v>36341</v>
          </cell>
        </row>
        <row r="1024">
          <cell r="A1024" t="str">
            <v>In service</v>
          </cell>
          <cell r="B1024" t="str">
            <v>Gulfstream Aerospace Gulfstream IV</v>
          </cell>
          <cell r="C1024" t="str">
            <v>SP</v>
          </cell>
          <cell r="D1024">
            <v>2002</v>
          </cell>
          <cell r="E1024" t="str">
            <v>DLJ Partners/KTR Leasing/et al</v>
          </cell>
          <cell r="F1024">
            <v>2</v>
          </cell>
          <cell r="G1024">
            <v>37421</v>
          </cell>
          <cell r="H1024" t="str">
            <v>SP</v>
          </cell>
          <cell r="I1024" t="str">
            <v>North America</v>
          </cell>
          <cell r="J1024" t="str">
            <v>USA</v>
          </cell>
          <cell r="K1024">
            <v>36707</v>
          </cell>
        </row>
        <row r="1025">
          <cell r="A1025" t="str">
            <v>In service</v>
          </cell>
          <cell r="B1025" t="str">
            <v>Gulfstream Aerospace Gulfstream IV</v>
          </cell>
          <cell r="C1025" t="str">
            <v>SP</v>
          </cell>
          <cell r="D1025">
            <v>2001</v>
          </cell>
          <cell r="E1025" t="str">
            <v>The Air Group Inc</v>
          </cell>
          <cell r="F1025">
            <v>3</v>
          </cell>
          <cell r="G1025">
            <v>37253</v>
          </cell>
          <cell r="H1025" t="str">
            <v>SP</v>
          </cell>
          <cell r="I1025" t="str">
            <v>North America</v>
          </cell>
          <cell r="J1025" t="str">
            <v>USA</v>
          </cell>
          <cell r="K1025">
            <v>36341</v>
          </cell>
        </row>
        <row r="1026">
          <cell r="A1026" t="str">
            <v>In service</v>
          </cell>
          <cell r="B1026" t="str">
            <v>Gulfstream Aerospace Gulfstream IV</v>
          </cell>
          <cell r="C1026" t="str">
            <v>SP</v>
          </cell>
          <cell r="D1026">
            <v>2001</v>
          </cell>
          <cell r="E1026" t="str">
            <v>G4SP Holdings LLC</v>
          </cell>
          <cell r="F1026">
            <v>3</v>
          </cell>
          <cell r="G1026">
            <v>37239</v>
          </cell>
          <cell r="H1026" t="str">
            <v>SP</v>
          </cell>
          <cell r="I1026" t="str">
            <v>North America</v>
          </cell>
          <cell r="J1026" t="str">
            <v>USA</v>
          </cell>
          <cell r="K1026">
            <v>36707</v>
          </cell>
        </row>
        <row r="1027">
          <cell r="A1027" t="str">
            <v>In service</v>
          </cell>
          <cell r="B1027" t="str">
            <v>Gulfstream Aerospace Gulfstream IV</v>
          </cell>
          <cell r="C1027" t="str">
            <v>SP</v>
          </cell>
          <cell r="D1027">
            <v>2002</v>
          </cell>
          <cell r="E1027" t="str">
            <v>Educap Inc</v>
          </cell>
          <cell r="F1027">
            <v>2</v>
          </cell>
          <cell r="G1027">
            <v>37468</v>
          </cell>
          <cell r="H1027" t="str">
            <v>SP</v>
          </cell>
          <cell r="I1027" t="str">
            <v>North America</v>
          </cell>
          <cell r="J1027" t="str">
            <v>USA</v>
          </cell>
          <cell r="K1027">
            <v>36707</v>
          </cell>
        </row>
        <row r="1028">
          <cell r="A1028" t="str">
            <v>In service</v>
          </cell>
          <cell r="B1028" t="str">
            <v>Gulfstream Aerospace Gulfstream IV</v>
          </cell>
          <cell r="C1028" t="str">
            <v>SP</v>
          </cell>
          <cell r="D1028">
            <v>2002</v>
          </cell>
          <cell r="E1028" t="str">
            <v>Starflite International Corp</v>
          </cell>
          <cell r="F1028">
            <v>2</v>
          </cell>
          <cell r="G1028">
            <v>37434</v>
          </cell>
          <cell r="H1028" t="str">
            <v>SP</v>
          </cell>
          <cell r="I1028" t="str">
            <v>North America</v>
          </cell>
          <cell r="J1028" t="str">
            <v>USA</v>
          </cell>
          <cell r="K1028">
            <v>36707</v>
          </cell>
        </row>
        <row r="1029">
          <cell r="A1029" t="str">
            <v>In service</v>
          </cell>
          <cell r="B1029" t="str">
            <v>Gulfstream Aerospace Gulfstream IV</v>
          </cell>
          <cell r="C1029" t="str">
            <v>SP</v>
          </cell>
          <cell r="D1029">
            <v>2002</v>
          </cell>
          <cell r="E1029" t="str">
            <v>Tadic Inc</v>
          </cell>
          <cell r="F1029">
            <v>2</v>
          </cell>
          <cell r="G1029">
            <v>37550</v>
          </cell>
          <cell r="H1029" t="str">
            <v>SP</v>
          </cell>
          <cell r="I1029" t="str">
            <v>North America</v>
          </cell>
          <cell r="J1029" t="str">
            <v>USA</v>
          </cell>
          <cell r="K1029">
            <v>37072</v>
          </cell>
        </row>
        <row r="1030">
          <cell r="A1030" t="str">
            <v>In service</v>
          </cell>
          <cell r="B1030" t="str">
            <v>Gulfstream Aerospace Gulfstream IV</v>
          </cell>
          <cell r="C1030" t="str">
            <v>SP</v>
          </cell>
          <cell r="D1030">
            <v>2002</v>
          </cell>
          <cell r="E1030" t="str">
            <v>Prime Jet LLC</v>
          </cell>
          <cell r="F1030">
            <v>2</v>
          </cell>
          <cell r="G1030">
            <v>37463</v>
          </cell>
          <cell r="H1030" t="str">
            <v>SP</v>
          </cell>
          <cell r="I1030" t="str">
            <v>North America</v>
          </cell>
          <cell r="J1030" t="str">
            <v>USA</v>
          </cell>
          <cell r="K1030">
            <v>36707</v>
          </cell>
        </row>
        <row r="1031">
          <cell r="A1031" t="str">
            <v>In service</v>
          </cell>
          <cell r="B1031" t="str">
            <v>Gulfstream Aerospace Gulfstream IV</v>
          </cell>
          <cell r="C1031" t="str">
            <v>SP</v>
          </cell>
          <cell r="D1031">
            <v>2002</v>
          </cell>
          <cell r="E1031" t="str">
            <v>Chelsea Holdings LLC</v>
          </cell>
          <cell r="F1031">
            <v>2</v>
          </cell>
          <cell r="G1031">
            <v>37526</v>
          </cell>
          <cell r="H1031" t="str">
            <v>SP</v>
          </cell>
          <cell r="I1031" t="str">
            <v>North America</v>
          </cell>
          <cell r="J1031" t="str">
            <v>USA</v>
          </cell>
          <cell r="K1031">
            <v>36707</v>
          </cell>
        </row>
        <row r="1032">
          <cell r="A1032" t="str">
            <v>In service</v>
          </cell>
          <cell r="B1032" t="str">
            <v>Gulfstream Aerospace Gulfstream IV</v>
          </cell>
          <cell r="C1032" t="str">
            <v>SP</v>
          </cell>
          <cell r="D1032">
            <v>2002</v>
          </cell>
          <cell r="E1032" t="str">
            <v>Computer Sciences Corp</v>
          </cell>
          <cell r="F1032">
            <v>2</v>
          </cell>
          <cell r="G1032">
            <v>37471</v>
          </cell>
          <cell r="H1032" t="str">
            <v>SP</v>
          </cell>
          <cell r="I1032" t="str">
            <v>North America</v>
          </cell>
          <cell r="J1032" t="str">
            <v>USA</v>
          </cell>
          <cell r="K1032">
            <v>36707</v>
          </cell>
        </row>
        <row r="1033">
          <cell r="A1033" t="str">
            <v>In service</v>
          </cell>
          <cell r="B1033" t="str">
            <v>Gulfstream Aerospace Gulfstream IV</v>
          </cell>
          <cell r="C1033" t="str">
            <v>SP</v>
          </cell>
          <cell r="D1033">
            <v>2002</v>
          </cell>
          <cell r="E1033" t="str">
            <v>DS Aviation Inc</v>
          </cell>
          <cell r="F1033">
            <v>2</v>
          </cell>
          <cell r="G1033">
            <v>37498</v>
          </cell>
          <cell r="H1033" t="str">
            <v>SP</v>
          </cell>
          <cell r="I1033" t="str">
            <v>North America</v>
          </cell>
          <cell r="J1033" t="str">
            <v>USA</v>
          </cell>
          <cell r="K1033">
            <v>36707</v>
          </cell>
        </row>
        <row r="1034">
          <cell r="A1034" t="str">
            <v>In service</v>
          </cell>
          <cell r="B1034" t="str">
            <v>Gulfstream Aerospace Gulfstream IV</v>
          </cell>
          <cell r="C1034" t="str">
            <v>SP</v>
          </cell>
          <cell r="D1034">
            <v>2002</v>
          </cell>
          <cell r="E1034" t="str">
            <v>Braxton Management Services LLC</v>
          </cell>
          <cell r="F1034">
            <v>2</v>
          </cell>
          <cell r="G1034">
            <v>37519</v>
          </cell>
          <cell r="H1034" t="str">
            <v>SP</v>
          </cell>
          <cell r="I1034" t="str">
            <v>North America</v>
          </cell>
          <cell r="J1034" t="str">
            <v>USA</v>
          </cell>
          <cell r="K1034">
            <v>36707</v>
          </cell>
        </row>
        <row r="1035">
          <cell r="A1035" t="str">
            <v>In service</v>
          </cell>
          <cell r="B1035" t="str">
            <v>Gulfstream Aerospace Gulfstream IV</v>
          </cell>
          <cell r="C1035" t="str">
            <v>SP</v>
          </cell>
          <cell r="D1035">
            <v>2002</v>
          </cell>
          <cell r="E1035" t="str">
            <v>The Air Group Inc</v>
          </cell>
          <cell r="F1035">
            <v>2</v>
          </cell>
          <cell r="G1035">
            <v>37523</v>
          </cell>
          <cell r="H1035" t="str">
            <v>SP</v>
          </cell>
          <cell r="I1035" t="str">
            <v>North America</v>
          </cell>
          <cell r="J1035" t="str">
            <v>USA</v>
          </cell>
          <cell r="K1035">
            <v>37072</v>
          </cell>
        </row>
        <row r="1036">
          <cell r="A1036" t="str">
            <v>In service</v>
          </cell>
          <cell r="B1036" t="str">
            <v>Gulfstream Aerospace Gulfstream IV</v>
          </cell>
          <cell r="C1036" t="str">
            <v>SP</v>
          </cell>
          <cell r="D1036">
            <v>2002</v>
          </cell>
          <cell r="E1036" t="str">
            <v>NetJets Europe</v>
          </cell>
          <cell r="F1036">
            <v>2</v>
          </cell>
          <cell r="G1036">
            <v>37541</v>
          </cell>
          <cell r="H1036" t="str">
            <v>SP</v>
          </cell>
          <cell r="I1036" t="str">
            <v>Europe</v>
          </cell>
          <cell r="J1036" t="str">
            <v>Portugal</v>
          </cell>
          <cell r="K1036">
            <v>36087</v>
          </cell>
        </row>
        <row r="1037">
          <cell r="A1037" t="str">
            <v>In service</v>
          </cell>
          <cell r="B1037" t="str">
            <v>Gulfstream Aerospace Gulfstream IV</v>
          </cell>
          <cell r="C1037" t="str">
            <v>SP</v>
          </cell>
          <cell r="D1037">
            <v>2002</v>
          </cell>
          <cell r="E1037" t="str">
            <v>SCS Services LLC</v>
          </cell>
          <cell r="F1037">
            <v>2</v>
          </cell>
          <cell r="G1037">
            <v>37607</v>
          </cell>
          <cell r="H1037" t="str">
            <v>SP</v>
          </cell>
          <cell r="I1037" t="str">
            <v>North America</v>
          </cell>
          <cell r="J1037" t="str">
            <v>USA</v>
          </cell>
          <cell r="K1037">
            <v>37072</v>
          </cell>
        </row>
        <row r="1038">
          <cell r="A1038" t="str">
            <v>In service</v>
          </cell>
          <cell r="B1038" t="str">
            <v>Gulfstream Aerospace Gulfstream IV</v>
          </cell>
          <cell r="C1038" t="str">
            <v>SP</v>
          </cell>
          <cell r="D1038">
            <v>2002</v>
          </cell>
          <cell r="E1038" t="str">
            <v>Kaisen LLC</v>
          </cell>
          <cell r="F1038">
            <v>2</v>
          </cell>
          <cell r="G1038">
            <v>37502</v>
          </cell>
          <cell r="H1038" t="str">
            <v>SP</v>
          </cell>
          <cell r="I1038" t="str">
            <v>North America</v>
          </cell>
          <cell r="J1038" t="str">
            <v>USA</v>
          </cell>
          <cell r="K1038">
            <v>37072</v>
          </cell>
        </row>
        <row r="1039">
          <cell r="A1039" t="str">
            <v>In service</v>
          </cell>
          <cell r="B1039" t="str">
            <v>Gulfstream Aerospace Gulfstream IV</v>
          </cell>
          <cell r="C1039" t="str">
            <v>SP</v>
          </cell>
          <cell r="D1039">
            <v>2002</v>
          </cell>
          <cell r="E1039" t="str">
            <v>AirFlite</v>
          </cell>
          <cell r="F1039">
            <v>2</v>
          </cell>
          <cell r="G1039">
            <v>37561</v>
          </cell>
          <cell r="H1039" t="str">
            <v>SP</v>
          </cell>
          <cell r="I1039" t="str">
            <v>North America</v>
          </cell>
          <cell r="J1039" t="str">
            <v>USA</v>
          </cell>
          <cell r="K1039">
            <v>37072</v>
          </cell>
        </row>
        <row r="1040">
          <cell r="A1040" t="str">
            <v>In service</v>
          </cell>
          <cell r="B1040" t="str">
            <v>Gulfstream Aerospace Gulfstream IV</v>
          </cell>
          <cell r="C1040" t="str">
            <v>SP</v>
          </cell>
          <cell r="D1040">
            <v>2002</v>
          </cell>
          <cell r="E1040" t="str">
            <v>Fertitta Enterprises</v>
          </cell>
          <cell r="F1040">
            <v>2</v>
          </cell>
          <cell r="G1040">
            <v>37613</v>
          </cell>
          <cell r="H1040" t="str">
            <v>SP</v>
          </cell>
          <cell r="I1040" t="str">
            <v>North America</v>
          </cell>
          <cell r="J1040" t="str">
            <v>USA</v>
          </cell>
          <cell r="K1040">
            <v>37072</v>
          </cell>
        </row>
        <row r="1041">
          <cell r="A1041" t="str">
            <v>In service</v>
          </cell>
          <cell r="B1041" t="str">
            <v>Gulfstream Aerospace Gulfstream IV</v>
          </cell>
          <cell r="C1041" t="str">
            <v>SP</v>
          </cell>
          <cell r="D1041">
            <v>2002</v>
          </cell>
          <cell r="E1041" t="str">
            <v>Northrop Grumman Systems Corp</v>
          </cell>
          <cell r="F1041">
            <v>2</v>
          </cell>
          <cell r="G1041">
            <v>37770</v>
          </cell>
          <cell r="H1041" t="str">
            <v>SP</v>
          </cell>
          <cell r="I1041" t="str">
            <v>North America</v>
          </cell>
          <cell r="J1041" t="str">
            <v>USA</v>
          </cell>
          <cell r="K1041">
            <v>37072</v>
          </cell>
        </row>
        <row r="1042">
          <cell r="A1042" t="str">
            <v>In service</v>
          </cell>
          <cell r="B1042" t="str">
            <v>Gulfstream Aerospace Gulfstream IV</v>
          </cell>
          <cell r="C1042" t="str">
            <v>SP</v>
          </cell>
          <cell r="D1042">
            <v>2002</v>
          </cell>
          <cell r="E1042" t="str">
            <v>Altria Corporate Services Inc</v>
          </cell>
          <cell r="F1042">
            <v>2</v>
          </cell>
          <cell r="G1042">
            <v>37609</v>
          </cell>
          <cell r="H1042" t="str">
            <v>SP</v>
          </cell>
          <cell r="I1042" t="str">
            <v>North America</v>
          </cell>
          <cell r="J1042" t="str">
            <v>USA</v>
          </cell>
          <cell r="K1042">
            <v>37072</v>
          </cell>
        </row>
        <row r="1043">
          <cell r="A1043" t="str">
            <v>In service</v>
          </cell>
          <cell r="B1043" t="str">
            <v>Gulfstream Aerospace Gulfstream IV</v>
          </cell>
          <cell r="C1043" t="str">
            <v>SP</v>
          </cell>
          <cell r="D1043">
            <v>2002</v>
          </cell>
          <cell r="E1043" t="str">
            <v>Sandler Management Group LLC</v>
          </cell>
          <cell r="F1043">
            <v>2</v>
          </cell>
          <cell r="G1043">
            <v>37435</v>
          </cell>
          <cell r="H1043" t="str">
            <v>SP</v>
          </cell>
          <cell r="I1043" t="str">
            <v>North America</v>
          </cell>
          <cell r="J1043" t="str">
            <v>USA</v>
          </cell>
          <cell r="K1043">
            <v>36707</v>
          </cell>
        </row>
        <row r="1044">
          <cell r="A1044" t="str">
            <v>In service</v>
          </cell>
          <cell r="B1044" t="str">
            <v>Gulfstream Aerospace Gulfstream IV</v>
          </cell>
          <cell r="C1044" t="str">
            <v>SP</v>
          </cell>
          <cell r="D1044">
            <v>2002</v>
          </cell>
          <cell r="E1044" t="str">
            <v>Netjets International</v>
          </cell>
          <cell r="F1044">
            <v>2</v>
          </cell>
          <cell r="G1044">
            <v>37707</v>
          </cell>
          <cell r="H1044" t="str">
            <v>SP</v>
          </cell>
          <cell r="I1044" t="str">
            <v>North America</v>
          </cell>
          <cell r="J1044" t="str">
            <v>USA</v>
          </cell>
          <cell r="K1044">
            <v>36087</v>
          </cell>
        </row>
        <row r="1045">
          <cell r="A1045" t="str">
            <v>In service</v>
          </cell>
          <cell r="B1045" t="str">
            <v>Gulfstream Aerospace Gulfstream IV</v>
          </cell>
          <cell r="C1045" t="str">
            <v>SP</v>
          </cell>
          <cell r="D1045">
            <v>2002</v>
          </cell>
          <cell r="E1045" t="str">
            <v>Delta Jet Ltd</v>
          </cell>
          <cell r="F1045">
            <v>2</v>
          </cell>
          <cell r="G1045">
            <v>37651</v>
          </cell>
          <cell r="H1045" t="str">
            <v>SP</v>
          </cell>
          <cell r="I1045" t="str">
            <v>North America</v>
          </cell>
          <cell r="J1045" t="str">
            <v>USA</v>
          </cell>
          <cell r="K1045">
            <v>37072</v>
          </cell>
        </row>
        <row r="1046">
          <cell r="A1046" t="str">
            <v>In service</v>
          </cell>
          <cell r="B1046" t="str">
            <v>Gulfstream Aerospace Gulfstream IV</v>
          </cell>
          <cell r="C1046" t="str">
            <v>SP</v>
          </cell>
          <cell r="D1046">
            <v>2002</v>
          </cell>
          <cell r="E1046" t="str">
            <v>Marsico Aviation LLC</v>
          </cell>
          <cell r="F1046">
            <v>2</v>
          </cell>
          <cell r="G1046">
            <v>37708</v>
          </cell>
          <cell r="H1046" t="str">
            <v>SP</v>
          </cell>
          <cell r="I1046" t="str">
            <v>North America</v>
          </cell>
          <cell r="J1046" t="str">
            <v>USA</v>
          </cell>
          <cell r="K1046">
            <v>37072</v>
          </cell>
        </row>
        <row r="1047">
          <cell r="A1047" t="str">
            <v>In service</v>
          </cell>
          <cell r="B1047" t="str">
            <v>Gulfstream Aerospace Gulfstream IV</v>
          </cell>
          <cell r="C1047" t="str">
            <v>SP</v>
          </cell>
          <cell r="D1047">
            <v>2002</v>
          </cell>
          <cell r="E1047" t="str">
            <v>Eastman Chemical Co</v>
          </cell>
          <cell r="F1047">
            <v>2</v>
          </cell>
          <cell r="G1047">
            <v>37666</v>
          </cell>
          <cell r="H1047" t="str">
            <v>SP</v>
          </cell>
          <cell r="I1047" t="str">
            <v>North America</v>
          </cell>
          <cell r="J1047" t="str">
            <v>USA</v>
          </cell>
          <cell r="K1047">
            <v>37072</v>
          </cell>
        </row>
        <row r="1048">
          <cell r="A1048" t="str">
            <v>In service</v>
          </cell>
          <cell r="B1048" t="str">
            <v>Gulfstream Aerospace Gulfstream IV</v>
          </cell>
          <cell r="C1048" t="str">
            <v>SP</v>
          </cell>
          <cell r="D1048">
            <v>2002</v>
          </cell>
          <cell r="E1048" t="str">
            <v>Mandalay Resort Group</v>
          </cell>
          <cell r="F1048">
            <v>2</v>
          </cell>
          <cell r="G1048">
            <v>37697</v>
          </cell>
          <cell r="H1048" t="str">
            <v>SP</v>
          </cell>
          <cell r="I1048" t="str">
            <v>North America</v>
          </cell>
          <cell r="J1048" t="str">
            <v>USA</v>
          </cell>
          <cell r="K1048">
            <v>37072</v>
          </cell>
        </row>
        <row r="1049">
          <cell r="A1049" t="str">
            <v>In service</v>
          </cell>
          <cell r="B1049" t="str">
            <v>Gulfstream Aerospace Gulfstream IV</v>
          </cell>
          <cell r="C1049" t="str">
            <v>SP</v>
          </cell>
          <cell r="D1049">
            <v>2002</v>
          </cell>
          <cell r="E1049" t="str">
            <v>Dick's Sporting Goods Inc</v>
          </cell>
          <cell r="F1049">
            <v>2</v>
          </cell>
          <cell r="G1049">
            <v>37621</v>
          </cell>
          <cell r="H1049" t="str">
            <v>SP</v>
          </cell>
          <cell r="I1049" t="str">
            <v>North America</v>
          </cell>
          <cell r="J1049" t="str">
            <v>USA</v>
          </cell>
          <cell r="K1049">
            <v>37072</v>
          </cell>
        </row>
        <row r="1050">
          <cell r="A1050" t="str">
            <v>In service</v>
          </cell>
          <cell r="B1050" t="str">
            <v>Gulfstream Aerospace Gulfstream IV</v>
          </cell>
          <cell r="C1050" t="str">
            <v>SP</v>
          </cell>
          <cell r="D1050">
            <v>2002</v>
          </cell>
          <cell r="E1050" t="str">
            <v>Fletcher Jones Management Group Inc</v>
          </cell>
          <cell r="F1050">
            <v>2</v>
          </cell>
          <cell r="G1050">
            <v>37694</v>
          </cell>
          <cell r="H1050" t="str">
            <v>SP</v>
          </cell>
          <cell r="I1050" t="str">
            <v>North America</v>
          </cell>
          <cell r="J1050" t="str">
            <v>USA</v>
          </cell>
          <cell r="K1050">
            <v>37072</v>
          </cell>
        </row>
        <row r="1051">
          <cell r="A1051" t="str">
            <v>In service</v>
          </cell>
          <cell r="B1051" t="str">
            <v>Gulfstream Aerospace Gulfstream IV</v>
          </cell>
          <cell r="C1051" t="str">
            <v>SP</v>
          </cell>
          <cell r="D1051">
            <v>2002</v>
          </cell>
          <cell r="E1051" t="str">
            <v>Dacion Corp</v>
          </cell>
          <cell r="F1051">
            <v>2</v>
          </cell>
          <cell r="G1051">
            <v>37771</v>
          </cell>
          <cell r="H1051" t="str">
            <v>SP</v>
          </cell>
          <cell r="I1051" t="str">
            <v>North America</v>
          </cell>
          <cell r="J1051" t="str">
            <v>USA</v>
          </cell>
          <cell r="K1051">
            <v>37072</v>
          </cell>
        </row>
        <row r="1052">
          <cell r="A1052" t="str">
            <v>In service</v>
          </cell>
          <cell r="B1052" t="str">
            <v>Gulfstream Aerospace Gulfstream IV</v>
          </cell>
          <cell r="C1052" t="str">
            <v>SP</v>
          </cell>
          <cell r="D1052">
            <v>2002</v>
          </cell>
          <cell r="E1052" t="str">
            <v>Prime Jet LLC</v>
          </cell>
          <cell r="F1052">
            <v>2</v>
          </cell>
          <cell r="G1052">
            <v>37708</v>
          </cell>
          <cell r="H1052" t="str">
            <v>SP</v>
          </cell>
          <cell r="I1052" t="str">
            <v>North America</v>
          </cell>
          <cell r="J1052" t="str">
            <v>USA</v>
          </cell>
          <cell r="K1052">
            <v>37072</v>
          </cell>
        </row>
        <row r="1053">
          <cell r="A1053" t="str">
            <v>In service</v>
          </cell>
          <cell r="B1053" t="str">
            <v>Gulfstream Aerospace Gulfstream IV</v>
          </cell>
          <cell r="C1053" t="str">
            <v>SP</v>
          </cell>
          <cell r="D1053">
            <v>2002</v>
          </cell>
          <cell r="E1053" t="str">
            <v>GEH Air Transportation LLC</v>
          </cell>
          <cell r="F1053">
            <v>2</v>
          </cell>
          <cell r="G1053">
            <v>37797</v>
          </cell>
          <cell r="H1053" t="str">
            <v>SP</v>
          </cell>
          <cell r="I1053" t="str">
            <v>North America</v>
          </cell>
          <cell r="J1053" t="str">
            <v>USA</v>
          </cell>
          <cell r="K1053">
            <v>37072</v>
          </cell>
        </row>
        <row r="1054">
          <cell r="A1054" t="str">
            <v>In service</v>
          </cell>
          <cell r="B1054" t="str">
            <v>Gulfstream Aerospace Gulfstream IV</v>
          </cell>
          <cell r="C1054" t="str">
            <v>SP</v>
          </cell>
          <cell r="D1054">
            <v>2002</v>
          </cell>
          <cell r="E1054" t="str">
            <v>Huffco Group LLC</v>
          </cell>
          <cell r="F1054">
            <v>2</v>
          </cell>
          <cell r="G1054">
            <v>37734</v>
          </cell>
          <cell r="H1054" t="str">
            <v>SP</v>
          </cell>
          <cell r="I1054" t="str">
            <v>North America</v>
          </cell>
          <cell r="J1054" t="str">
            <v>USA</v>
          </cell>
          <cell r="K1054">
            <v>37072</v>
          </cell>
        </row>
        <row r="1055">
          <cell r="A1055" t="str">
            <v>In service</v>
          </cell>
          <cell r="B1055" t="str">
            <v>Gulfstream Aerospace Gulfstream IV</v>
          </cell>
          <cell r="C1055" t="str">
            <v>SP</v>
          </cell>
          <cell r="D1055">
            <v>2002</v>
          </cell>
          <cell r="E1055" t="str">
            <v>HG Wells Aviation II LLC</v>
          </cell>
          <cell r="F1055">
            <v>2</v>
          </cell>
          <cell r="G1055">
            <v>37601</v>
          </cell>
          <cell r="H1055" t="str">
            <v>SP</v>
          </cell>
          <cell r="I1055" t="str">
            <v>North America</v>
          </cell>
          <cell r="J1055" t="str">
            <v>USA</v>
          </cell>
          <cell r="K1055">
            <v>37072</v>
          </cell>
        </row>
        <row r="1056">
          <cell r="A1056" t="str">
            <v>In service</v>
          </cell>
          <cell r="B1056" t="str">
            <v>Gulfstream Aerospace Gulfstream IV</v>
          </cell>
          <cell r="C1056" t="str">
            <v>U-4</v>
          </cell>
          <cell r="D1056">
            <v>1995</v>
          </cell>
          <cell r="E1056" t="str">
            <v>Japanese Air Self Defence Force</v>
          </cell>
          <cell r="F1056">
            <v>9</v>
          </cell>
          <cell r="G1056">
            <v>35384</v>
          </cell>
          <cell r="H1056" t="str">
            <v>U-4</v>
          </cell>
          <cell r="I1056" t="str">
            <v>Asia</v>
          </cell>
          <cell r="J1056" t="str">
            <v>Japan</v>
          </cell>
          <cell r="K1056">
            <v>34880</v>
          </cell>
        </row>
        <row r="1057">
          <cell r="A1057" t="str">
            <v>In service</v>
          </cell>
          <cell r="B1057" t="str">
            <v>Gulfstream Aerospace Gulfstream IV</v>
          </cell>
          <cell r="C1057" t="str">
            <v>U-4</v>
          </cell>
          <cell r="D1057">
            <v>1995</v>
          </cell>
          <cell r="E1057" t="str">
            <v>Japanese Air Self Defence Force</v>
          </cell>
          <cell r="F1057">
            <v>9</v>
          </cell>
          <cell r="G1057">
            <v>35504</v>
          </cell>
          <cell r="H1057" t="str">
            <v>U-4</v>
          </cell>
          <cell r="I1057" t="str">
            <v>Asia</v>
          </cell>
          <cell r="J1057" t="str">
            <v>Japan</v>
          </cell>
          <cell r="K1057">
            <v>34880</v>
          </cell>
        </row>
        <row r="1058">
          <cell r="A1058" t="str">
            <v>In service</v>
          </cell>
          <cell r="B1058" t="str">
            <v>Gulfstream Aerospace Gulfstream IV</v>
          </cell>
          <cell r="C1058" t="str">
            <v>U-4</v>
          </cell>
          <cell r="D1058">
            <v>1997</v>
          </cell>
          <cell r="E1058" t="str">
            <v>Japanese Air Self Defence Force</v>
          </cell>
          <cell r="F1058">
            <v>7</v>
          </cell>
          <cell r="G1058">
            <v>35688</v>
          </cell>
          <cell r="H1058" t="str">
            <v>U-4</v>
          </cell>
          <cell r="I1058" t="str">
            <v>Asia</v>
          </cell>
          <cell r="J1058" t="str">
            <v>Japan</v>
          </cell>
          <cell r="K1058">
            <v>35246</v>
          </cell>
        </row>
        <row r="1059">
          <cell r="A1059" t="str">
            <v>In service</v>
          </cell>
          <cell r="B1059" t="str">
            <v>Gulfstream Aerospace Gulfstream IV</v>
          </cell>
          <cell r="C1059" t="str">
            <v>U-4</v>
          </cell>
          <cell r="D1059">
            <v>1999</v>
          </cell>
          <cell r="E1059" t="str">
            <v>Japanese Air Self Defence Force</v>
          </cell>
          <cell r="F1059">
            <v>5</v>
          </cell>
          <cell r="G1059">
            <v>36234</v>
          </cell>
          <cell r="H1059" t="str">
            <v>U-4</v>
          </cell>
          <cell r="I1059" t="str">
            <v>Asia</v>
          </cell>
          <cell r="J1059" t="str">
            <v>Japan</v>
          </cell>
          <cell r="K1059">
            <v>35611</v>
          </cell>
        </row>
        <row r="1060">
          <cell r="A1060" t="str">
            <v>In service</v>
          </cell>
          <cell r="B1060" t="str">
            <v>Gulfstream Aerospace Gulfstream IV</v>
          </cell>
          <cell r="C1060" t="str">
            <v>U-4</v>
          </cell>
          <cell r="D1060">
            <v>1999</v>
          </cell>
          <cell r="E1060" t="str">
            <v>Japanese Air Self Defence Force</v>
          </cell>
          <cell r="F1060">
            <v>5</v>
          </cell>
          <cell r="G1060">
            <v>36586</v>
          </cell>
          <cell r="H1060" t="str">
            <v>U-4</v>
          </cell>
          <cell r="I1060" t="str">
            <v>Asia</v>
          </cell>
          <cell r="J1060" t="str">
            <v>Japan</v>
          </cell>
          <cell r="K1060">
            <v>35976</v>
          </cell>
        </row>
        <row r="1061">
          <cell r="A1061" t="str">
            <v>In service</v>
          </cell>
          <cell r="B1061" t="str">
            <v>Gulfstream Aerospace Gulfstream V</v>
          </cell>
          <cell r="C1061" t="str">
            <v xml:space="preserve"> </v>
          </cell>
          <cell r="D1061">
            <v>1995</v>
          </cell>
          <cell r="E1061" t="str">
            <v>Gulfstream Aerospace Corp</v>
          </cell>
          <cell r="F1061">
            <v>9</v>
          </cell>
          <cell r="G1061">
            <v>35864</v>
          </cell>
          <cell r="I1061" t="str">
            <v>North America</v>
          </cell>
          <cell r="J1061" t="str">
            <v>USA</v>
          </cell>
        </row>
        <row r="1062">
          <cell r="A1062" t="str">
            <v>In service</v>
          </cell>
          <cell r="B1062" t="str">
            <v>Gulfstream Aerospace Gulfstream V</v>
          </cell>
          <cell r="C1062" t="str">
            <v xml:space="preserve"> </v>
          </cell>
          <cell r="D1062">
            <v>1996</v>
          </cell>
          <cell r="E1062" t="str">
            <v>Skyflight Leasing Ltd</v>
          </cell>
          <cell r="F1062">
            <v>8</v>
          </cell>
          <cell r="G1062">
            <v>36405</v>
          </cell>
          <cell r="I1062" t="str">
            <v>North America</v>
          </cell>
          <cell r="J1062" t="str">
            <v>USA</v>
          </cell>
        </row>
        <row r="1063">
          <cell r="A1063" t="str">
            <v>In service</v>
          </cell>
          <cell r="B1063" t="str">
            <v>Gulfstream Aerospace Gulfstream V</v>
          </cell>
          <cell r="C1063" t="str">
            <v xml:space="preserve"> </v>
          </cell>
          <cell r="D1063">
            <v>1996</v>
          </cell>
          <cell r="E1063" t="str">
            <v>FL Aviation Group Inc</v>
          </cell>
          <cell r="F1063">
            <v>8</v>
          </cell>
          <cell r="G1063">
            <v>35976</v>
          </cell>
          <cell r="I1063" t="str">
            <v>North America</v>
          </cell>
          <cell r="J1063" t="str">
            <v>USA</v>
          </cell>
        </row>
        <row r="1064">
          <cell r="A1064" t="str">
            <v>In service</v>
          </cell>
          <cell r="B1064" t="str">
            <v>Gulfstream Aerospace Gulfstream V</v>
          </cell>
          <cell r="C1064" t="str">
            <v xml:space="preserve"> </v>
          </cell>
          <cell r="D1064">
            <v>1996</v>
          </cell>
          <cell r="E1064" t="str">
            <v>Renco Group Inc</v>
          </cell>
          <cell r="F1064">
            <v>8</v>
          </cell>
          <cell r="G1064">
            <v>35685</v>
          </cell>
          <cell r="I1064" t="str">
            <v>North America</v>
          </cell>
          <cell r="J1064" t="str">
            <v>USA</v>
          </cell>
        </row>
        <row r="1065">
          <cell r="A1065" t="str">
            <v>In service</v>
          </cell>
          <cell r="B1065" t="str">
            <v>Gulfstream Aerospace Gulfstream V</v>
          </cell>
          <cell r="C1065" t="str">
            <v xml:space="preserve"> </v>
          </cell>
          <cell r="D1065">
            <v>1996</v>
          </cell>
          <cell r="E1065" t="str">
            <v>Westair Aviation</v>
          </cell>
          <cell r="F1065">
            <v>8</v>
          </cell>
          <cell r="G1065">
            <v>35756</v>
          </cell>
          <cell r="I1065" t="str">
            <v>Europe</v>
          </cell>
          <cell r="J1065" t="str">
            <v>Ireland</v>
          </cell>
        </row>
        <row r="1066">
          <cell r="A1066" t="str">
            <v>In service</v>
          </cell>
          <cell r="B1066" t="str">
            <v>Gulfstream Aerospace Gulfstream V</v>
          </cell>
          <cell r="C1066" t="str">
            <v xml:space="preserve"> </v>
          </cell>
          <cell r="D1066">
            <v>1997</v>
          </cell>
          <cell r="E1066" t="str">
            <v>Datel Holdings Ltd</v>
          </cell>
          <cell r="F1066">
            <v>7</v>
          </cell>
          <cell r="G1066">
            <v>35648</v>
          </cell>
          <cell r="I1066" t="str">
            <v>Europe</v>
          </cell>
          <cell r="J1066" t="str">
            <v>United Kingdom</v>
          </cell>
          <cell r="K1066">
            <v>35246</v>
          </cell>
        </row>
        <row r="1067">
          <cell r="A1067" t="str">
            <v>In service</v>
          </cell>
          <cell r="B1067" t="str">
            <v>Gulfstream Aerospace Gulfstream V</v>
          </cell>
          <cell r="C1067" t="str">
            <v xml:space="preserve"> </v>
          </cell>
          <cell r="D1067">
            <v>1997</v>
          </cell>
          <cell r="E1067" t="str">
            <v>Leonore Annenberg</v>
          </cell>
          <cell r="F1067">
            <v>7</v>
          </cell>
          <cell r="G1067">
            <v>35612</v>
          </cell>
          <cell r="I1067" t="str">
            <v>North America</v>
          </cell>
          <cell r="J1067" t="str">
            <v>USA</v>
          </cell>
          <cell r="K1067">
            <v>34880</v>
          </cell>
        </row>
        <row r="1068">
          <cell r="A1068" t="str">
            <v>In service</v>
          </cell>
          <cell r="B1068" t="str">
            <v>Gulfstream Aerospace Gulfstream V</v>
          </cell>
          <cell r="C1068" t="str">
            <v xml:space="preserve"> </v>
          </cell>
          <cell r="D1068">
            <v>1997</v>
          </cell>
          <cell r="E1068" t="str">
            <v>Emax LLC</v>
          </cell>
          <cell r="F1068">
            <v>7</v>
          </cell>
          <cell r="G1068">
            <v>35476</v>
          </cell>
          <cell r="I1068" t="str">
            <v>North America</v>
          </cell>
          <cell r="J1068" t="str">
            <v>USA</v>
          </cell>
          <cell r="K1068">
            <v>35246</v>
          </cell>
        </row>
        <row r="1069">
          <cell r="A1069" t="str">
            <v>In service</v>
          </cell>
          <cell r="B1069" t="str">
            <v>Gulfstream Aerospace Gulfstream V</v>
          </cell>
          <cell r="C1069" t="str">
            <v xml:space="preserve"> </v>
          </cell>
          <cell r="D1069">
            <v>1997</v>
          </cell>
          <cell r="E1069" t="str">
            <v>BMW Flugdienst</v>
          </cell>
          <cell r="F1069">
            <v>7</v>
          </cell>
          <cell r="G1069">
            <v>35802</v>
          </cell>
          <cell r="I1069" t="str">
            <v>Europe</v>
          </cell>
          <cell r="J1069" t="str">
            <v>Germany</v>
          </cell>
          <cell r="K1069">
            <v>35246</v>
          </cell>
        </row>
        <row r="1070">
          <cell r="A1070" t="str">
            <v>In service</v>
          </cell>
          <cell r="B1070" t="str">
            <v>Gulfstream Aerospace Gulfstream V</v>
          </cell>
          <cell r="C1070" t="str">
            <v xml:space="preserve"> </v>
          </cell>
          <cell r="D1070">
            <v>1997</v>
          </cell>
          <cell r="E1070" t="str">
            <v>Rolls-Royce</v>
          </cell>
          <cell r="F1070">
            <v>7</v>
          </cell>
          <cell r="G1070">
            <v>35749</v>
          </cell>
          <cell r="I1070" t="str">
            <v>Europe</v>
          </cell>
          <cell r="J1070" t="str">
            <v>United Kingdom</v>
          </cell>
          <cell r="K1070">
            <v>34880</v>
          </cell>
        </row>
        <row r="1071">
          <cell r="A1071" t="str">
            <v>In service</v>
          </cell>
          <cell r="B1071" t="str">
            <v>Gulfstream Aerospace Gulfstream V</v>
          </cell>
          <cell r="C1071" t="str">
            <v xml:space="preserve"> </v>
          </cell>
          <cell r="D1071">
            <v>1997</v>
          </cell>
          <cell r="E1071" t="str">
            <v>Ropa Two Corp</v>
          </cell>
          <cell r="F1071">
            <v>7</v>
          </cell>
          <cell r="G1071">
            <v>35515</v>
          </cell>
          <cell r="I1071" t="str">
            <v>North America</v>
          </cell>
          <cell r="J1071" t="str">
            <v>USA</v>
          </cell>
          <cell r="K1071">
            <v>34880</v>
          </cell>
        </row>
        <row r="1072">
          <cell r="A1072" t="str">
            <v>In service</v>
          </cell>
          <cell r="B1072" t="str">
            <v>Gulfstream Aerospace Gulfstream V</v>
          </cell>
          <cell r="C1072" t="str">
            <v xml:space="preserve"> </v>
          </cell>
          <cell r="D1072">
            <v>1997</v>
          </cell>
          <cell r="E1072" t="str">
            <v>Jet Aviation Business Jets</v>
          </cell>
          <cell r="F1072">
            <v>7</v>
          </cell>
          <cell r="G1072">
            <v>35587</v>
          </cell>
          <cell r="I1072" t="str">
            <v>Europe</v>
          </cell>
          <cell r="J1072" t="str">
            <v>Switzerland</v>
          </cell>
          <cell r="K1072">
            <v>35246</v>
          </cell>
        </row>
        <row r="1073">
          <cell r="A1073" t="str">
            <v>In service</v>
          </cell>
          <cell r="B1073" t="str">
            <v>Gulfstream Aerospace Gulfstream V</v>
          </cell>
          <cell r="C1073" t="str">
            <v xml:space="preserve"> </v>
          </cell>
          <cell r="D1073">
            <v>1997</v>
          </cell>
          <cell r="E1073" t="str">
            <v>Garthorpe Inc</v>
          </cell>
          <cell r="F1073">
            <v>7</v>
          </cell>
          <cell r="G1073">
            <v>35565</v>
          </cell>
          <cell r="I1073" t="str">
            <v>North America</v>
          </cell>
          <cell r="J1073" t="str">
            <v>USA</v>
          </cell>
          <cell r="K1073">
            <v>35246</v>
          </cell>
        </row>
        <row r="1074">
          <cell r="A1074" t="str">
            <v>In service</v>
          </cell>
          <cell r="B1074" t="str">
            <v>Gulfstream Aerospace Gulfstream V</v>
          </cell>
          <cell r="C1074" t="str">
            <v xml:space="preserve"> </v>
          </cell>
          <cell r="D1074">
            <v>1997</v>
          </cell>
          <cell r="E1074" t="str">
            <v>Starjet Ltd</v>
          </cell>
          <cell r="F1074">
            <v>7</v>
          </cell>
          <cell r="G1074">
            <v>35688</v>
          </cell>
          <cell r="I1074" t="str">
            <v>Unknown area</v>
          </cell>
          <cell r="J1074" t="str">
            <v>Unknown Country</v>
          </cell>
          <cell r="K1074">
            <v>35246</v>
          </cell>
        </row>
        <row r="1075">
          <cell r="A1075" t="str">
            <v>In service</v>
          </cell>
          <cell r="B1075" t="str">
            <v>Gulfstream Aerospace Gulfstream V</v>
          </cell>
          <cell r="C1075" t="str">
            <v xml:space="preserve"> </v>
          </cell>
          <cell r="D1075">
            <v>1997</v>
          </cell>
          <cell r="E1075" t="str">
            <v>Bank of America Special Assets Corp</v>
          </cell>
          <cell r="F1075">
            <v>7</v>
          </cell>
          <cell r="G1075">
            <v>35611</v>
          </cell>
          <cell r="I1075" t="str">
            <v>North America</v>
          </cell>
          <cell r="J1075" t="str">
            <v>USA</v>
          </cell>
          <cell r="K1075">
            <v>34880</v>
          </cell>
        </row>
        <row r="1076">
          <cell r="A1076" t="str">
            <v>In service</v>
          </cell>
          <cell r="B1076" t="str">
            <v>Gulfstream Aerospace Gulfstream V</v>
          </cell>
          <cell r="C1076" t="str">
            <v xml:space="preserve"> </v>
          </cell>
          <cell r="D1076">
            <v>1997</v>
          </cell>
          <cell r="E1076" t="str">
            <v>G5 Executive</v>
          </cell>
          <cell r="F1076">
            <v>7</v>
          </cell>
          <cell r="G1076">
            <v>35657</v>
          </cell>
          <cell r="I1076" t="str">
            <v>Europe</v>
          </cell>
          <cell r="J1076" t="str">
            <v>Switzerland</v>
          </cell>
          <cell r="K1076">
            <v>34880</v>
          </cell>
        </row>
        <row r="1077">
          <cell r="A1077" t="str">
            <v>In service</v>
          </cell>
          <cell r="B1077" t="str">
            <v>Gulfstream Aerospace Gulfstream V</v>
          </cell>
          <cell r="C1077" t="str">
            <v xml:space="preserve"> </v>
          </cell>
          <cell r="D1077">
            <v>1997</v>
          </cell>
          <cell r="E1077" t="str">
            <v>General Dynamics Corp</v>
          </cell>
          <cell r="F1077">
            <v>7</v>
          </cell>
          <cell r="G1077">
            <v>35991</v>
          </cell>
          <cell r="I1077" t="str">
            <v>North America</v>
          </cell>
          <cell r="J1077" t="str">
            <v>USA</v>
          </cell>
          <cell r="K1077">
            <v>35246</v>
          </cell>
        </row>
        <row r="1078">
          <cell r="A1078" t="str">
            <v>In service</v>
          </cell>
          <cell r="B1078" t="str">
            <v>Gulfstream Aerospace Gulfstream V</v>
          </cell>
          <cell r="C1078" t="str">
            <v xml:space="preserve"> </v>
          </cell>
          <cell r="D1078">
            <v>1997</v>
          </cell>
          <cell r="E1078" t="str">
            <v>Trans World Oil</v>
          </cell>
          <cell r="F1078">
            <v>7</v>
          </cell>
          <cell r="G1078">
            <v>35836</v>
          </cell>
          <cell r="I1078" t="str">
            <v>Latin America and Caribbean</v>
          </cell>
          <cell r="J1078" t="str">
            <v>Cayman Islands</v>
          </cell>
          <cell r="K1078">
            <v>35246</v>
          </cell>
        </row>
        <row r="1079">
          <cell r="A1079" t="str">
            <v>In service</v>
          </cell>
          <cell r="B1079" t="str">
            <v>Gulfstream Aerospace Gulfstream V</v>
          </cell>
          <cell r="C1079" t="str">
            <v xml:space="preserve"> </v>
          </cell>
          <cell r="D1079">
            <v>1998</v>
          </cell>
          <cell r="E1079" t="str">
            <v>Aspen I LLC</v>
          </cell>
          <cell r="F1079">
            <v>6</v>
          </cell>
          <cell r="G1079">
            <v>35872</v>
          </cell>
          <cell r="I1079" t="str">
            <v>North America</v>
          </cell>
          <cell r="J1079" t="str">
            <v>USA</v>
          </cell>
          <cell r="K1079">
            <v>35246</v>
          </cell>
        </row>
        <row r="1080">
          <cell r="A1080" t="str">
            <v>In service</v>
          </cell>
          <cell r="B1080" t="str">
            <v>Gulfstream Aerospace Gulfstream V</v>
          </cell>
          <cell r="C1080" t="str">
            <v xml:space="preserve"> </v>
          </cell>
          <cell r="D1080">
            <v>1998</v>
          </cell>
          <cell r="E1080" t="str">
            <v>US Air Force</v>
          </cell>
          <cell r="F1080">
            <v>6</v>
          </cell>
          <cell r="G1080">
            <v>36082</v>
          </cell>
          <cell r="H1080" t="str">
            <v>C-37A</v>
          </cell>
          <cell r="I1080" t="str">
            <v>North America</v>
          </cell>
          <cell r="J1080" t="str">
            <v>USA</v>
          </cell>
          <cell r="K1080">
            <v>35559</v>
          </cell>
        </row>
        <row r="1081">
          <cell r="A1081" t="str">
            <v>In service</v>
          </cell>
          <cell r="B1081" t="str">
            <v>Gulfstream Aerospace Gulfstream V</v>
          </cell>
          <cell r="C1081" t="str">
            <v xml:space="preserve"> </v>
          </cell>
          <cell r="D1081">
            <v>1998</v>
          </cell>
          <cell r="E1081" t="str">
            <v>Chargers Football Co LLC</v>
          </cell>
          <cell r="F1081">
            <v>6</v>
          </cell>
          <cell r="G1081">
            <v>35905</v>
          </cell>
          <cell r="I1081" t="str">
            <v>North America</v>
          </cell>
          <cell r="J1081" t="str">
            <v>USA</v>
          </cell>
          <cell r="K1081">
            <v>34880</v>
          </cell>
        </row>
        <row r="1082">
          <cell r="A1082" t="str">
            <v>In service</v>
          </cell>
          <cell r="B1082" t="str">
            <v>Gulfstream Aerospace Gulfstream V</v>
          </cell>
          <cell r="C1082" t="str">
            <v xml:space="preserve"> </v>
          </cell>
          <cell r="D1082">
            <v>1997</v>
          </cell>
          <cell r="E1082" t="str">
            <v>Rochester Aviation Inc</v>
          </cell>
          <cell r="F1082">
            <v>7</v>
          </cell>
          <cell r="G1082">
            <v>36342</v>
          </cell>
          <cell r="I1082" t="str">
            <v>North America</v>
          </cell>
          <cell r="J1082" t="str">
            <v>USA</v>
          </cell>
          <cell r="K1082">
            <v>35246</v>
          </cell>
        </row>
        <row r="1083">
          <cell r="A1083" t="str">
            <v>In service</v>
          </cell>
          <cell r="B1083" t="str">
            <v>Gulfstream Aerospace Gulfstream V</v>
          </cell>
          <cell r="C1083" t="str">
            <v xml:space="preserve"> </v>
          </cell>
          <cell r="D1083">
            <v>1997</v>
          </cell>
          <cell r="E1083" t="str">
            <v>The Coca-Cola Co</v>
          </cell>
          <cell r="F1083">
            <v>7</v>
          </cell>
          <cell r="G1083">
            <v>35668</v>
          </cell>
          <cell r="I1083" t="str">
            <v>North America</v>
          </cell>
          <cell r="J1083" t="str">
            <v>USA</v>
          </cell>
          <cell r="K1083">
            <v>35246</v>
          </cell>
        </row>
        <row r="1084">
          <cell r="A1084" t="str">
            <v>In service</v>
          </cell>
          <cell r="B1084" t="str">
            <v>Gulfstream Aerospace Gulfstream V</v>
          </cell>
          <cell r="C1084" t="str">
            <v xml:space="preserve"> </v>
          </cell>
          <cell r="D1084">
            <v>1997</v>
          </cell>
          <cell r="E1084" t="str">
            <v>Essar Shipping Ltd</v>
          </cell>
          <cell r="F1084">
            <v>7</v>
          </cell>
          <cell r="G1084">
            <v>35697</v>
          </cell>
          <cell r="I1084" t="str">
            <v>Asia</v>
          </cell>
          <cell r="J1084" t="str">
            <v>India</v>
          </cell>
          <cell r="K1084">
            <v>35246</v>
          </cell>
        </row>
        <row r="1085">
          <cell r="A1085" t="str">
            <v>In service</v>
          </cell>
          <cell r="B1085" t="str">
            <v>Gulfstream Aerospace Gulfstream V</v>
          </cell>
          <cell r="C1085" t="str">
            <v xml:space="preserve"> </v>
          </cell>
          <cell r="D1085">
            <v>1998</v>
          </cell>
          <cell r="E1085" t="str">
            <v>The Coca-Cola Co</v>
          </cell>
          <cell r="F1085">
            <v>6</v>
          </cell>
          <cell r="G1085">
            <v>36031</v>
          </cell>
          <cell r="I1085" t="str">
            <v>North America</v>
          </cell>
          <cell r="J1085" t="str">
            <v>USA</v>
          </cell>
          <cell r="K1085">
            <v>35246</v>
          </cell>
        </row>
        <row r="1086">
          <cell r="A1086" t="str">
            <v>In service</v>
          </cell>
          <cell r="B1086" t="str">
            <v>Gulfstream Aerospace Gulfstream V</v>
          </cell>
          <cell r="C1086" t="str">
            <v xml:space="preserve"> </v>
          </cell>
          <cell r="D1086">
            <v>1998</v>
          </cell>
          <cell r="E1086" t="str">
            <v>Wekel SA</v>
          </cell>
          <cell r="F1086">
            <v>6</v>
          </cell>
          <cell r="G1086">
            <v>36068</v>
          </cell>
          <cell r="I1086" t="str">
            <v>Latin America and Caribbean</v>
          </cell>
          <cell r="J1086" t="str">
            <v>Colombia</v>
          </cell>
          <cell r="K1086">
            <v>35246</v>
          </cell>
        </row>
        <row r="1087">
          <cell r="A1087" t="str">
            <v>In service</v>
          </cell>
          <cell r="B1087" t="str">
            <v>Gulfstream Aerospace Gulfstream V</v>
          </cell>
          <cell r="C1087" t="str">
            <v xml:space="preserve"> </v>
          </cell>
          <cell r="D1087">
            <v>1997</v>
          </cell>
          <cell r="E1087" t="str">
            <v>Consortium of AOL Time Warner Companies</v>
          </cell>
          <cell r="F1087">
            <v>7</v>
          </cell>
          <cell r="G1087">
            <v>35969</v>
          </cell>
          <cell r="I1087" t="str">
            <v>North America</v>
          </cell>
          <cell r="J1087" t="str">
            <v>USA</v>
          </cell>
          <cell r="K1087">
            <v>35246</v>
          </cell>
        </row>
        <row r="1088">
          <cell r="A1088" t="str">
            <v>In service</v>
          </cell>
          <cell r="B1088" t="str">
            <v>Gulfstream Aerospace Gulfstream V</v>
          </cell>
          <cell r="C1088" t="str">
            <v xml:space="preserve"> </v>
          </cell>
          <cell r="D1088">
            <v>1997</v>
          </cell>
          <cell r="E1088" t="str">
            <v>Consortium of AOL Time Warner Companies</v>
          </cell>
          <cell r="F1088">
            <v>7</v>
          </cell>
          <cell r="G1088">
            <v>35969</v>
          </cell>
          <cell r="I1088" t="str">
            <v>North America</v>
          </cell>
          <cell r="J1088" t="str">
            <v>USA</v>
          </cell>
          <cell r="K1088">
            <v>35246</v>
          </cell>
        </row>
        <row r="1089">
          <cell r="A1089" t="str">
            <v>In service</v>
          </cell>
          <cell r="B1089" t="str">
            <v>Gulfstream Aerospace Gulfstream V</v>
          </cell>
          <cell r="C1089" t="str">
            <v xml:space="preserve"> </v>
          </cell>
          <cell r="D1089">
            <v>1998</v>
          </cell>
          <cell r="E1089" t="str">
            <v>IBM Corp</v>
          </cell>
          <cell r="F1089">
            <v>6</v>
          </cell>
          <cell r="G1089">
            <v>36062</v>
          </cell>
          <cell r="I1089" t="str">
            <v>North America</v>
          </cell>
          <cell r="J1089" t="str">
            <v>USA</v>
          </cell>
          <cell r="K1089">
            <v>35246</v>
          </cell>
        </row>
        <row r="1090">
          <cell r="A1090" t="str">
            <v>In service</v>
          </cell>
          <cell r="B1090" t="str">
            <v>Gulfstream Aerospace Gulfstream V</v>
          </cell>
          <cell r="C1090" t="str">
            <v xml:space="preserve"> </v>
          </cell>
          <cell r="D1090">
            <v>1997</v>
          </cell>
          <cell r="E1090" t="str">
            <v>The Air Group Inc</v>
          </cell>
          <cell r="F1090">
            <v>7</v>
          </cell>
          <cell r="G1090">
            <v>35741</v>
          </cell>
          <cell r="I1090" t="str">
            <v>North America</v>
          </cell>
          <cell r="J1090" t="str">
            <v>USA</v>
          </cell>
          <cell r="K1090">
            <v>35246</v>
          </cell>
        </row>
        <row r="1091">
          <cell r="A1091" t="str">
            <v>In service</v>
          </cell>
          <cell r="B1091" t="str">
            <v>Gulfstream Aerospace Gulfstream V</v>
          </cell>
          <cell r="C1091" t="str">
            <v xml:space="preserve"> </v>
          </cell>
          <cell r="D1091">
            <v>1997</v>
          </cell>
          <cell r="E1091" t="str">
            <v>Shorenstein Company LP</v>
          </cell>
          <cell r="F1091">
            <v>7</v>
          </cell>
          <cell r="G1091">
            <v>35759</v>
          </cell>
          <cell r="I1091" t="str">
            <v>North America</v>
          </cell>
          <cell r="J1091" t="str">
            <v>USA</v>
          </cell>
          <cell r="K1091">
            <v>35246</v>
          </cell>
        </row>
        <row r="1092">
          <cell r="A1092" t="str">
            <v>In service</v>
          </cell>
          <cell r="B1092" t="str">
            <v>Gulfstream Aerospace Gulfstream V</v>
          </cell>
          <cell r="C1092" t="str">
            <v xml:space="preserve"> </v>
          </cell>
          <cell r="D1092">
            <v>1997</v>
          </cell>
          <cell r="E1092" t="str">
            <v>Commander Mexicana SA de CV</v>
          </cell>
          <cell r="F1092">
            <v>7</v>
          </cell>
          <cell r="G1092">
            <v>35807</v>
          </cell>
          <cell r="I1092" t="str">
            <v>Latin America and Caribbean</v>
          </cell>
          <cell r="J1092" t="str">
            <v>Mexico</v>
          </cell>
          <cell r="K1092">
            <v>35246</v>
          </cell>
        </row>
        <row r="1093">
          <cell r="A1093" t="str">
            <v>In service</v>
          </cell>
          <cell r="B1093" t="str">
            <v>Gulfstream Aerospace Gulfstream V</v>
          </cell>
          <cell r="C1093" t="str">
            <v xml:space="preserve"> </v>
          </cell>
          <cell r="D1093">
            <v>1998</v>
          </cell>
          <cell r="E1093" t="str">
            <v>Automotive Air Charter</v>
          </cell>
          <cell r="F1093">
            <v>6</v>
          </cell>
          <cell r="G1093">
            <v>36076</v>
          </cell>
          <cell r="I1093" t="str">
            <v>North America</v>
          </cell>
          <cell r="J1093" t="str">
            <v>USA</v>
          </cell>
          <cell r="K1093">
            <v>35611</v>
          </cell>
        </row>
        <row r="1094">
          <cell r="A1094" t="str">
            <v>In service</v>
          </cell>
          <cell r="B1094" t="str">
            <v>Gulfstream Aerospace Gulfstream V</v>
          </cell>
          <cell r="C1094" t="str">
            <v xml:space="preserve"> </v>
          </cell>
          <cell r="D1094">
            <v>1997</v>
          </cell>
          <cell r="E1094" t="str">
            <v>GVX Inc</v>
          </cell>
          <cell r="F1094">
            <v>7</v>
          </cell>
          <cell r="G1094">
            <v>35804</v>
          </cell>
          <cell r="I1094" t="str">
            <v>North America</v>
          </cell>
          <cell r="J1094" t="str">
            <v>USA</v>
          </cell>
          <cell r="K1094">
            <v>35246</v>
          </cell>
        </row>
        <row r="1095">
          <cell r="A1095" t="str">
            <v>In service</v>
          </cell>
          <cell r="B1095" t="str">
            <v>Gulfstream Aerospace Gulfstream V</v>
          </cell>
          <cell r="C1095" t="str">
            <v xml:space="preserve"> </v>
          </cell>
          <cell r="D1095">
            <v>1998</v>
          </cell>
          <cell r="E1095" t="str">
            <v>United Healthcare Services Inc</v>
          </cell>
          <cell r="F1095">
            <v>6</v>
          </cell>
          <cell r="G1095">
            <v>35830</v>
          </cell>
          <cell r="I1095" t="str">
            <v>North America</v>
          </cell>
          <cell r="J1095" t="str">
            <v>USA</v>
          </cell>
          <cell r="K1095">
            <v>35246</v>
          </cell>
        </row>
        <row r="1096">
          <cell r="A1096" t="str">
            <v>In service</v>
          </cell>
          <cell r="B1096" t="str">
            <v>Gulfstream Aerospace Gulfstream V</v>
          </cell>
          <cell r="C1096" t="str">
            <v xml:space="preserve"> </v>
          </cell>
          <cell r="D1096">
            <v>1999</v>
          </cell>
          <cell r="E1096" t="str">
            <v>Helicol</v>
          </cell>
          <cell r="F1096">
            <v>5</v>
          </cell>
          <cell r="G1096">
            <v>36234</v>
          </cell>
          <cell r="I1096" t="str">
            <v>Latin America and Caribbean</v>
          </cell>
          <cell r="J1096" t="str">
            <v>Colombia</v>
          </cell>
          <cell r="K1096">
            <v>35611</v>
          </cell>
        </row>
        <row r="1097">
          <cell r="A1097" t="str">
            <v>In service</v>
          </cell>
          <cell r="B1097" t="str">
            <v>Gulfstream Aerospace Gulfstream V</v>
          </cell>
          <cell r="C1097" t="str">
            <v xml:space="preserve"> </v>
          </cell>
          <cell r="D1097">
            <v>1998</v>
          </cell>
          <cell r="E1097" t="str">
            <v>Open Road Airways Inc</v>
          </cell>
          <cell r="F1097">
            <v>6</v>
          </cell>
          <cell r="G1097">
            <v>35845</v>
          </cell>
          <cell r="I1097" t="str">
            <v>North America</v>
          </cell>
          <cell r="J1097" t="str">
            <v>USA</v>
          </cell>
          <cell r="K1097">
            <v>35611</v>
          </cell>
        </row>
        <row r="1098">
          <cell r="A1098" t="str">
            <v>In service</v>
          </cell>
          <cell r="B1098" t="str">
            <v>Gulfstream Aerospace Gulfstream V</v>
          </cell>
          <cell r="C1098" t="str">
            <v xml:space="preserve"> </v>
          </cell>
          <cell r="D1098">
            <v>1998</v>
          </cell>
          <cell r="E1098" t="str">
            <v>Flight Management LLC</v>
          </cell>
          <cell r="F1098">
            <v>6</v>
          </cell>
          <cell r="G1098">
            <v>36307</v>
          </cell>
          <cell r="I1098" t="str">
            <v>North America</v>
          </cell>
          <cell r="J1098" t="str">
            <v>USA</v>
          </cell>
          <cell r="K1098">
            <v>35611</v>
          </cell>
        </row>
        <row r="1099">
          <cell r="A1099" t="str">
            <v>In service</v>
          </cell>
          <cell r="B1099" t="str">
            <v>Gulfstream Aerospace Gulfstream V</v>
          </cell>
          <cell r="C1099" t="str">
            <v xml:space="preserve"> </v>
          </cell>
          <cell r="D1099">
            <v>1998</v>
          </cell>
          <cell r="E1099" t="str">
            <v>Organizacion Editorial Mexicana SA de CV</v>
          </cell>
          <cell r="F1099">
            <v>6</v>
          </cell>
          <cell r="G1099">
            <v>36265</v>
          </cell>
          <cell r="I1099" t="str">
            <v>Latin America and Caribbean</v>
          </cell>
          <cell r="J1099" t="str">
            <v>Mexico</v>
          </cell>
          <cell r="K1099">
            <v>35246</v>
          </cell>
        </row>
        <row r="1100">
          <cell r="A1100" t="str">
            <v>In service</v>
          </cell>
          <cell r="B1100" t="str">
            <v>Gulfstream Aerospace Gulfstream V</v>
          </cell>
          <cell r="C1100" t="str">
            <v xml:space="preserve"> </v>
          </cell>
          <cell r="D1100">
            <v>1999</v>
          </cell>
          <cell r="E1100" t="str">
            <v>Lockheed Martin Corp</v>
          </cell>
          <cell r="F1100">
            <v>5</v>
          </cell>
          <cell r="G1100">
            <v>36266</v>
          </cell>
          <cell r="I1100" t="str">
            <v>North America</v>
          </cell>
          <cell r="J1100" t="str">
            <v>USA</v>
          </cell>
          <cell r="K1100">
            <v>35611</v>
          </cell>
        </row>
        <row r="1101">
          <cell r="A1101" t="str">
            <v>In service</v>
          </cell>
          <cell r="B1101" t="str">
            <v>Gulfstream Aerospace Gulfstream V</v>
          </cell>
          <cell r="C1101" t="str">
            <v xml:space="preserve"> </v>
          </cell>
          <cell r="D1101">
            <v>1998</v>
          </cell>
          <cell r="E1101" t="str">
            <v>US Air Force</v>
          </cell>
          <cell r="F1101">
            <v>6</v>
          </cell>
          <cell r="G1101">
            <v>36175</v>
          </cell>
          <cell r="H1101" t="str">
            <v>C-37A</v>
          </cell>
          <cell r="I1101" t="str">
            <v>North America</v>
          </cell>
          <cell r="J1101" t="str">
            <v>USA</v>
          </cell>
          <cell r="K1101">
            <v>35559</v>
          </cell>
        </row>
        <row r="1102">
          <cell r="A1102" t="str">
            <v>In service</v>
          </cell>
          <cell r="B1102" t="str">
            <v>Gulfstream Aerospace Gulfstream V</v>
          </cell>
          <cell r="C1102" t="str">
            <v xml:space="preserve"> </v>
          </cell>
          <cell r="D1102">
            <v>1998</v>
          </cell>
          <cell r="E1102" t="str">
            <v>Foreign Manufacturers Finance Corp</v>
          </cell>
          <cell r="F1102">
            <v>6</v>
          </cell>
          <cell r="G1102">
            <v>35928</v>
          </cell>
          <cell r="I1102" t="str">
            <v>North America</v>
          </cell>
          <cell r="J1102" t="str">
            <v>USA</v>
          </cell>
          <cell r="K1102">
            <v>35611</v>
          </cell>
        </row>
        <row r="1103">
          <cell r="A1103" t="str">
            <v>In service</v>
          </cell>
          <cell r="B1103" t="str">
            <v>Gulfstream Aerospace Gulfstream V</v>
          </cell>
          <cell r="C1103" t="str">
            <v xml:space="preserve"> </v>
          </cell>
          <cell r="D1103">
            <v>1998</v>
          </cell>
          <cell r="E1103" t="str">
            <v>Automotive Air Charter</v>
          </cell>
          <cell r="F1103">
            <v>6</v>
          </cell>
          <cell r="G1103">
            <v>35921</v>
          </cell>
          <cell r="I1103" t="str">
            <v>North America</v>
          </cell>
          <cell r="J1103" t="str">
            <v>USA</v>
          </cell>
          <cell r="K1103">
            <v>35246</v>
          </cell>
        </row>
        <row r="1104">
          <cell r="A1104" t="str">
            <v>In service</v>
          </cell>
          <cell r="B1104" t="str">
            <v>Gulfstream Aerospace Gulfstream V</v>
          </cell>
          <cell r="C1104" t="str">
            <v xml:space="preserve"> </v>
          </cell>
          <cell r="D1104">
            <v>1998</v>
          </cell>
          <cell r="E1104" t="str">
            <v>Countrywide Home Loans Inc</v>
          </cell>
          <cell r="F1104">
            <v>6</v>
          </cell>
          <cell r="G1104">
            <v>35933</v>
          </cell>
          <cell r="I1104" t="str">
            <v>North America</v>
          </cell>
          <cell r="J1104" t="str">
            <v>USA</v>
          </cell>
          <cell r="K1104">
            <v>35611</v>
          </cell>
        </row>
        <row r="1105">
          <cell r="A1105" t="str">
            <v>In service</v>
          </cell>
          <cell r="B1105" t="str">
            <v>Gulfstream Aerospace Gulfstream V</v>
          </cell>
          <cell r="C1105" t="str">
            <v xml:space="preserve"> </v>
          </cell>
          <cell r="D1105">
            <v>1999</v>
          </cell>
          <cell r="E1105" t="str">
            <v>Aerovics SA</v>
          </cell>
          <cell r="F1105">
            <v>5</v>
          </cell>
          <cell r="G1105">
            <v>36353</v>
          </cell>
          <cell r="I1105" t="str">
            <v>Latin America and Caribbean</v>
          </cell>
          <cell r="J1105" t="str">
            <v>Mexico</v>
          </cell>
          <cell r="K1105">
            <v>35611</v>
          </cell>
        </row>
        <row r="1106">
          <cell r="A1106" t="str">
            <v>In service</v>
          </cell>
          <cell r="B1106" t="str">
            <v>Gulfstream Aerospace Gulfstream V</v>
          </cell>
          <cell r="C1106" t="str">
            <v xml:space="preserve"> </v>
          </cell>
          <cell r="D1106">
            <v>1999</v>
          </cell>
          <cell r="E1106" t="str">
            <v>3M Co</v>
          </cell>
          <cell r="F1106">
            <v>5</v>
          </cell>
          <cell r="G1106">
            <v>36286</v>
          </cell>
          <cell r="I1106" t="str">
            <v>North America</v>
          </cell>
          <cell r="J1106" t="str">
            <v>USA</v>
          </cell>
          <cell r="K1106">
            <v>35976</v>
          </cell>
        </row>
        <row r="1107">
          <cell r="A1107" t="str">
            <v>In service</v>
          </cell>
          <cell r="B1107" t="str">
            <v>Gulfstream Aerospace Gulfstream V</v>
          </cell>
          <cell r="C1107" t="str">
            <v xml:space="preserve"> </v>
          </cell>
          <cell r="D1107">
            <v>1999</v>
          </cell>
          <cell r="E1107" t="str">
            <v>Black &amp; Decker US Inc</v>
          </cell>
          <cell r="F1107">
            <v>5</v>
          </cell>
          <cell r="G1107">
            <v>36293</v>
          </cell>
          <cell r="I1107" t="str">
            <v>North America</v>
          </cell>
          <cell r="J1107" t="str">
            <v>USA</v>
          </cell>
          <cell r="K1107">
            <v>35611</v>
          </cell>
        </row>
        <row r="1108">
          <cell r="A1108" t="str">
            <v>In service</v>
          </cell>
          <cell r="B1108" t="str">
            <v>Gulfstream Aerospace Gulfstream V</v>
          </cell>
          <cell r="C1108" t="str">
            <v xml:space="preserve"> </v>
          </cell>
          <cell r="D1108">
            <v>1998</v>
          </cell>
          <cell r="E1108" t="str">
            <v>Radical Ventures LLC</v>
          </cell>
          <cell r="F1108">
            <v>6</v>
          </cell>
          <cell r="G1108">
            <v>36101</v>
          </cell>
          <cell r="I1108" t="str">
            <v>North America</v>
          </cell>
          <cell r="J1108" t="str">
            <v>USA</v>
          </cell>
          <cell r="K1108">
            <v>35611</v>
          </cell>
        </row>
        <row r="1109">
          <cell r="A1109" t="str">
            <v>In service</v>
          </cell>
          <cell r="B1109" t="str">
            <v>Gulfstream Aerospace Gulfstream V</v>
          </cell>
          <cell r="C1109" t="str">
            <v xml:space="preserve"> </v>
          </cell>
          <cell r="D1109">
            <v>1999</v>
          </cell>
          <cell r="E1109" t="str">
            <v>Automotive Air Charter</v>
          </cell>
          <cell r="F1109">
            <v>5</v>
          </cell>
          <cell r="G1109">
            <v>36297</v>
          </cell>
          <cell r="I1109" t="str">
            <v>North America</v>
          </cell>
          <cell r="J1109" t="str">
            <v>USA</v>
          </cell>
          <cell r="K1109">
            <v>35611</v>
          </cell>
        </row>
        <row r="1110">
          <cell r="A1110" t="str">
            <v>In service</v>
          </cell>
          <cell r="B1110" t="str">
            <v>Gulfstream Aerospace Gulfstream V</v>
          </cell>
          <cell r="C1110" t="str">
            <v xml:space="preserve"> </v>
          </cell>
          <cell r="D1110">
            <v>1999</v>
          </cell>
          <cell r="E1110" t="str">
            <v>Automotive Air Charter</v>
          </cell>
          <cell r="F1110">
            <v>5</v>
          </cell>
          <cell r="G1110">
            <v>36333</v>
          </cell>
          <cell r="I1110" t="str">
            <v>North America</v>
          </cell>
          <cell r="J1110" t="str">
            <v>USA</v>
          </cell>
          <cell r="K1110">
            <v>35611</v>
          </cell>
        </row>
        <row r="1111">
          <cell r="A1111" t="str">
            <v>In service</v>
          </cell>
          <cell r="B1111" t="str">
            <v>Gulfstream Aerospace Gulfstream V</v>
          </cell>
          <cell r="C1111" t="str">
            <v xml:space="preserve"> </v>
          </cell>
          <cell r="D1111">
            <v>1999</v>
          </cell>
          <cell r="E1111" t="str">
            <v>SCI Texas Funeral Services Inc</v>
          </cell>
          <cell r="F1111">
            <v>5</v>
          </cell>
          <cell r="G1111">
            <v>36403</v>
          </cell>
          <cell r="I1111" t="str">
            <v>North America</v>
          </cell>
          <cell r="J1111" t="str">
            <v>USA</v>
          </cell>
          <cell r="K1111">
            <v>35611</v>
          </cell>
        </row>
        <row r="1112">
          <cell r="A1112" t="str">
            <v>In service</v>
          </cell>
          <cell r="B1112" t="str">
            <v>Gulfstream Aerospace Gulfstream V</v>
          </cell>
          <cell r="C1112" t="str">
            <v xml:space="preserve"> </v>
          </cell>
          <cell r="D1112">
            <v>1999</v>
          </cell>
          <cell r="E1112" t="str">
            <v>MDL Consulting Associates LLC</v>
          </cell>
          <cell r="F1112">
            <v>5</v>
          </cell>
          <cell r="G1112">
            <v>36405</v>
          </cell>
          <cell r="I1112" t="str">
            <v>North America</v>
          </cell>
          <cell r="J1112" t="str">
            <v>USA</v>
          </cell>
          <cell r="K1112">
            <v>35611</v>
          </cell>
        </row>
        <row r="1113">
          <cell r="A1113" t="str">
            <v>In service</v>
          </cell>
          <cell r="B1113" t="str">
            <v>Gulfstream Aerospace Gulfstream V</v>
          </cell>
          <cell r="C1113" t="str">
            <v xml:space="preserve"> </v>
          </cell>
          <cell r="D1113">
            <v>1999</v>
          </cell>
          <cell r="E1113" t="str">
            <v>Cirrus GAS 5 LLC</v>
          </cell>
          <cell r="F1113">
            <v>5</v>
          </cell>
          <cell r="G1113">
            <v>36472</v>
          </cell>
          <cell r="I1113" t="str">
            <v>North America</v>
          </cell>
          <cell r="J1113" t="str">
            <v>USA</v>
          </cell>
          <cell r="K1113">
            <v>35611</v>
          </cell>
        </row>
        <row r="1114">
          <cell r="A1114" t="str">
            <v>In service</v>
          </cell>
          <cell r="B1114" t="str">
            <v>Gulfstream Aerospace Gulfstream V</v>
          </cell>
          <cell r="C1114" t="str">
            <v xml:space="preserve"> </v>
          </cell>
          <cell r="D1114">
            <v>1998</v>
          </cell>
          <cell r="E1114" t="str">
            <v>Rashid Engineering</v>
          </cell>
          <cell r="F1114">
            <v>6</v>
          </cell>
          <cell r="G1114">
            <v>36144</v>
          </cell>
          <cell r="I1114" t="str">
            <v>Middle East</v>
          </cell>
          <cell r="J1114" t="str">
            <v>Saudi Arabia</v>
          </cell>
          <cell r="K1114">
            <v>35611</v>
          </cell>
        </row>
        <row r="1115">
          <cell r="A1115" t="str">
            <v>In service</v>
          </cell>
          <cell r="B1115" t="str">
            <v>Gulfstream Aerospace Gulfstream V</v>
          </cell>
          <cell r="C1115" t="str">
            <v xml:space="preserve"> </v>
          </cell>
          <cell r="D1115">
            <v>1999</v>
          </cell>
          <cell r="E1115" t="str">
            <v>MWM AG</v>
          </cell>
          <cell r="F1115">
            <v>5</v>
          </cell>
          <cell r="G1115">
            <v>36432</v>
          </cell>
          <cell r="I1115" t="str">
            <v>Europe</v>
          </cell>
          <cell r="J1115" t="str">
            <v>Switzerland</v>
          </cell>
          <cell r="K1115">
            <v>35976</v>
          </cell>
        </row>
        <row r="1116">
          <cell r="A1116" t="str">
            <v>In service</v>
          </cell>
          <cell r="B1116" t="str">
            <v>Gulfstream Aerospace Gulfstream V</v>
          </cell>
          <cell r="C1116" t="str">
            <v xml:space="preserve"> </v>
          </cell>
          <cell r="D1116">
            <v>1999</v>
          </cell>
          <cell r="E1116" t="str">
            <v>3M Co</v>
          </cell>
          <cell r="F1116">
            <v>5</v>
          </cell>
          <cell r="G1116">
            <v>36341</v>
          </cell>
          <cell r="I1116" t="str">
            <v>North America</v>
          </cell>
          <cell r="J1116" t="str">
            <v>USA</v>
          </cell>
          <cell r="K1116">
            <v>35976</v>
          </cell>
        </row>
        <row r="1117">
          <cell r="A1117" t="str">
            <v>In service</v>
          </cell>
          <cell r="B1117" t="str">
            <v>Gulfstream Aerospace Gulfstream V</v>
          </cell>
          <cell r="C1117" t="str">
            <v xml:space="preserve"> </v>
          </cell>
          <cell r="D1117">
            <v>1999</v>
          </cell>
          <cell r="E1117" t="str">
            <v>BancAmerica Special Assets Corp</v>
          </cell>
          <cell r="F1117">
            <v>5</v>
          </cell>
          <cell r="G1117">
            <v>36385</v>
          </cell>
          <cell r="I1117" t="str">
            <v>North America</v>
          </cell>
          <cell r="J1117" t="str">
            <v>USA</v>
          </cell>
          <cell r="K1117">
            <v>35976</v>
          </cell>
        </row>
        <row r="1118">
          <cell r="A1118" t="str">
            <v>In service</v>
          </cell>
          <cell r="B1118" t="str">
            <v>Gulfstream Aerospace Gulfstream V</v>
          </cell>
          <cell r="C1118" t="str">
            <v xml:space="preserve"> </v>
          </cell>
          <cell r="D1118">
            <v>1999</v>
          </cell>
          <cell r="E1118" t="str">
            <v>Gulfstream International Corp</v>
          </cell>
          <cell r="F1118">
            <v>5</v>
          </cell>
          <cell r="G1118">
            <v>36377</v>
          </cell>
          <cell r="I1118" t="str">
            <v>North America</v>
          </cell>
          <cell r="J1118" t="str">
            <v>USA</v>
          </cell>
          <cell r="K1118">
            <v>35976</v>
          </cell>
        </row>
        <row r="1119">
          <cell r="A1119" t="str">
            <v>In service</v>
          </cell>
          <cell r="B1119" t="str">
            <v>Gulfstream Aerospace Gulfstream V</v>
          </cell>
          <cell r="C1119" t="str">
            <v xml:space="preserve"> </v>
          </cell>
          <cell r="D1119">
            <v>1999</v>
          </cell>
          <cell r="E1119" t="str">
            <v>Government of Kuwait</v>
          </cell>
          <cell r="F1119">
            <v>5</v>
          </cell>
          <cell r="G1119">
            <v>36448</v>
          </cell>
          <cell r="I1119" t="str">
            <v>Middle East</v>
          </cell>
          <cell r="J1119" t="str">
            <v>Kuwait</v>
          </cell>
          <cell r="K1119">
            <v>35864</v>
          </cell>
        </row>
        <row r="1120">
          <cell r="A1120" t="str">
            <v>In service</v>
          </cell>
          <cell r="B1120" t="str">
            <v>Gulfstream Aerospace Gulfstream V</v>
          </cell>
          <cell r="C1120" t="str">
            <v xml:space="preserve"> </v>
          </cell>
          <cell r="D1120">
            <v>1999</v>
          </cell>
          <cell r="E1120" t="str">
            <v>Automotive Air Charter</v>
          </cell>
          <cell r="F1120">
            <v>5</v>
          </cell>
          <cell r="G1120">
            <v>36516</v>
          </cell>
          <cell r="I1120" t="str">
            <v>North America</v>
          </cell>
          <cell r="J1120" t="str">
            <v>USA</v>
          </cell>
          <cell r="K1120">
            <v>36206</v>
          </cell>
        </row>
        <row r="1121">
          <cell r="A1121" t="str">
            <v>In service</v>
          </cell>
          <cell r="B1121" t="str">
            <v>Gulfstream Aerospace Gulfstream V</v>
          </cell>
          <cell r="C1121" t="str">
            <v xml:space="preserve"> </v>
          </cell>
          <cell r="D1121">
            <v>2000</v>
          </cell>
          <cell r="E1121" t="str">
            <v>American Express</v>
          </cell>
          <cell r="F1121">
            <v>4</v>
          </cell>
          <cell r="G1121">
            <v>36649</v>
          </cell>
          <cell r="I1121" t="str">
            <v>North America</v>
          </cell>
          <cell r="J1121" t="str">
            <v>USA</v>
          </cell>
          <cell r="K1121">
            <v>35976</v>
          </cell>
        </row>
        <row r="1122">
          <cell r="A1122" t="str">
            <v>In service</v>
          </cell>
          <cell r="B1122" t="str">
            <v>Gulfstream Aerospace Gulfstream V</v>
          </cell>
          <cell r="C1122" t="str">
            <v xml:space="preserve"> </v>
          </cell>
          <cell r="D1122">
            <v>1999</v>
          </cell>
          <cell r="E1122" t="str">
            <v>Computer Associates International Inc</v>
          </cell>
          <cell r="F1122">
            <v>5</v>
          </cell>
          <cell r="G1122">
            <v>36518</v>
          </cell>
          <cell r="I1122" t="str">
            <v>North America</v>
          </cell>
          <cell r="J1122" t="str">
            <v>USA</v>
          </cell>
          <cell r="K1122">
            <v>35976</v>
          </cell>
        </row>
        <row r="1123">
          <cell r="A1123" t="str">
            <v>In service</v>
          </cell>
          <cell r="B1123" t="str">
            <v>Gulfstream Aerospace Gulfstream V</v>
          </cell>
          <cell r="C1123" t="str">
            <v xml:space="preserve"> </v>
          </cell>
          <cell r="D1123">
            <v>1999</v>
          </cell>
          <cell r="E1123" t="str">
            <v>Prime Resources LLC</v>
          </cell>
          <cell r="F1123">
            <v>5</v>
          </cell>
          <cell r="I1123" t="str">
            <v>North America</v>
          </cell>
          <cell r="J1123" t="str">
            <v>USA</v>
          </cell>
        </row>
        <row r="1124">
          <cell r="A1124" t="str">
            <v>In service</v>
          </cell>
          <cell r="B1124" t="str">
            <v>Gulfstream Aerospace Gulfstream V</v>
          </cell>
          <cell r="C1124" t="str">
            <v xml:space="preserve"> </v>
          </cell>
          <cell r="D1124">
            <v>1999</v>
          </cell>
          <cell r="E1124" t="str">
            <v>Pfizer Inc</v>
          </cell>
          <cell r="F1124">
            <v>5</v>
          </cell>
          <cell r="G1124">
            <v>36426</v>
          </cell>
          <cell r="I1124" t="str">
            <v>North America</v>
          </cell>
          <cell r="J1124" t="str">
            <v>USA</v>
          </cell>
          <cell r="K1124">
            <v>35976</v>
          </cell>
        </row>
        <row r="1125">
          <cell r="A1125" t="str">
            <v>In service</v>
          </cell>
          <cell r="B1125" t="str">
            <v>Gulfstream Aerospace Gulfstream V</v>
          </cell>
          <cell r="C1125" t="str">
            <v xml:space="preserve"> </v>
          </cell>
          <cell r="D1125">
            <v>1999</v>
          </cell>
          <cell r="E1125" t="str">
            <v>US Army</v>
          </cell>
          <cell r="F1125">
            <v>5</v>
          </cell>
          <cell r="G1125">
            <v>36448</v>
          </cell>
          <cell r="H1125" t="str">
            <v>C-37A</v>
          </cell>
          <cell r="I1125" t="str">
            <v>North America</v>
          </cell>
          <cell r="J1125" t="str">
            <v>USA</v>
          </cell>
          <cell r="K1125">
            <v>35880</v>
          </cell>
        </row>
        <row r="1126">
          <cell r="A1126" t="str">
            <v>In service</v>
          </cell>
          <cell r="B1126" t="str">
            <v>Gulfstream Aerospace Gulfstream V</v>
          </cell>
          <cell r="C1126" t="str">
            <v xml:space="preserve"> </v>
          </cell>
          <cell r="D1126">
            <v>1999</v>
          </cell>
          <cell r="E1126" t="str">
            <v>3M Co</v>
          </cell>
          <cell r="F1126">
            <v>5</v>
          </cell>
          <cell r="G1126">
            <v>36426</v>
          </cell>
          <cell r="I1126" t="str">
            <v>North America</v>
          </cell>
          <cell r="J1126" t="str">
            <v>USA</v>
          </cell>
          <cell r="K1126">
            <v>35976</v>
          </cell>
        </row>
        <row r="1127">
          <cell r="A1127" t="str">
            <v>In service</v>
          </cell>
          <cell r="B1127" t="str">
            <v>Gulfstream Aerospace Gulfstream V</v>
          </cell>
          <cell r="C1127" t="str">
            <v xml:space="preserve"> </v>
          </cell>
          <cell r="D1127">
            <v>1999</v>
          </cell>
          <cell r="E1127" t="str">
            <v>Proctor &amp; Gamble Leasing LLC</v>
          </cell>
          <cell r="F1127">
            <v>5</v>
          </cell>
          <cell r="G1127">
            <v>36462</v>
          </cell>
          <cell r="I1127" t="str">
            <v>North America</v>
          </cell>
          <cell r="J1127" t="str">
            <v>USA</v>
          </cell>
          <cell r="K1127">
            <v>35611</v>
          </cell>
        </row>
        <row r="1128">
          <cell r="A1128" t="str">
            <v>In service</v>
          </cell>
          <cell r="B1128" t="str">
            <v>Gulfstream Aerospace Gulfstream V</v>
          </cell>
          <cell r="C1128" t="str">
            <v xml:space="preserve"> </v>
          </cell>
          <cell r="D1128">
            <v>1999</v>
          </cell>
          <cell r="E1128" t="str">
            <v>Government of Kuwait</v>
          </cell>
          <cell r="F1128">
            <v>5</v>
          </cell>
          <cell r="G1128">
            <v>36514</v>
          </cell>
          <cell r="I1128" t="str">
            <v>Middle East</v>
          </cell>
          <cell r="J1128" t="str">
            <v>Kuwait</v>
          </cell>
          <cell r="K1128">
            <v>35841</v>
          </cell>
        </row>
        <row r="1129">
          <cell r="A1129" t="str">
            <v>In service</v>
          </cell>
          <cell r="B1129" t="str">
            <v>Gulfstream Aerospace Gulfstream V</v>
          </cell>
          <cell r="C1129" t="str">
            <v xml:space="preserve"> </v>
          </cell>
          <cell r="D1129">
            <v>1999</v>
          </cell>
          <cell r="E1129" t="str">
            <v>Avjet Corp</v>
          </cell>
          <cell r="F1129">
            <v>5</v>
          </cell>
          <cell r="G1129">
            <v>36523</v>
          </cell>
          <cell r="I1129" t="str">
            <v>North America</v>
          </cell>
          <cell r="J1129" t="str">
            <v>USA</v>
          </cell>
          <cell r="K1129">
            <v>35611</v>
          </cell>
        </row>
        <row r="1130">
          <cell r="A1130" t="str">
            <v>In service</v>
          </cell>
          <cell r="B1130" t="str">
            <v>Gulfstream Aerospace Gulfstream V</v>
          </cell>
          <cell r="C1130" t="str">
            <v xml:space="preserve"> </v>
          </cell>
          <cell r="D1130">
            <v>1999</v>
          </cell>
          <cell r="E1130" t="str">
            <v>US Air Force</v>
          </cell>
          <cell r="F1130">
            <v>5</v>
          </cell>
          <cell r="G1130">
            <v>36579</v>
          </cell>
          <cell r="H1130" t="str">
            <v>C-37A</v>
          </cell>
          <cell r="I1130" t="str">
            <v>North America</v>
          </cell>
          <cell r="J1130" t="str">
            <v>USA</v>
          </cell>
          <cell r="K1130">
            <v>36222</v>
          </cell>
        </row>
        <row r="1131">
          <cell r="A1131" t="str">
            <v>In service</v>
          </cell>
          <cell r="B1131" t="str">
            <v>Gulfstream Aerospace Gulfstream V</v>
          </cell>
          <cell r="C1131" t="str">
            <v xml:space="preserve"> </v>
          </cell>
          <cell r="D1131">
            <v>1999</v>
          </cell>
          <cell r="E1131" t="str">
            <v>Jetclub AG</v>
          </cell>
          <cell r="F1131">
            <v>5</v>
          </cell>
          <cell r="G1131">
            <v>36573</v>
          </cell>
          <cell r="I1131" t="str">
            <v>Europe</v>
          </cell>
          <cell r="J1131" t="str">
            <v>Switzerland</v>
          </cell>
          <cell r="K1131">
            <v>36206</v>
          </cell>
        </row>
        <row r="1132">
          <cell r="A1132" t="str">
            <v>In service</v>
          </cell>
          <cell r="B1132" t="str">
            <v>Gulfstream Aerospace Gulfstream V</v>
          </cell>
          <cell r="C1132" t="str">
            <v xml:space="preserve"> </v>
          </cell>
          <cell r="D1132">
            <v>1999</v>
          </cell>
          <cell r="E1132" t="str">
            <v>Government of Kuwait</v>
          </cell>
          <cell r="F1132">
            <v>5</v>
          </cell>
          <cell r="G1132">
            <v>36567</v>
          </cell>
          <cell r="I1132" t="str">
            <v>Middle East</v>
          </cell>
          <cell r="J1132" t="str">
            <v>Kuwait</v>
          </cell>
          <cell r="K1132">
            <v>35864</v>
          </cell>
        </row>
        <row r="1133">
          <cell r="A1133" t="str">
            <v>In service</v>
          </cell>
          <cell r="B1133" t="str">
            <v>Gulfstream Aerospace Gulfstream V</v>
          </cell>
          <cell r="C1133" t="str">
            <v xml:space="preserve"> </v>
          </cell>
          <cell r="D1133">
            <v>1999</v>
          </cell>
          <cell r="E1133" t="str">
            <v>NIKE Inc</v>
          </cell>
          <cell r="F1133">
            <v>5</v>
          </cell>
          <cell r="G1133">
            <v>36560</v>
          </cell>
          <cell r="I1133" t="str">
            <v>North America</v>
          </cell>
          <cell r="J1133" t="str">
            <v>USA</v>
          </cell>
          <cell r="K1133">
            <v>35611</v>
          </cell>
        </row>
        <row r="1134">
          <cell r="A1134" t="str">
            <v>In service</v>
          </cell>
          <cell r="B1134" t="str">
            <v>Gulfstream Aerospace Gulfstream V</v>
          </cell>
          <cell r="C1134" t="str">
            <v xml:space="preserve"> </v>
          </cell>
          <cell r="D1134">
            <v>1999</v>
          </cell>
          <cell r="E1134" t="str">
            <v>Bristol-Myers Squibb Company</v>
          </cell>
          <cell r="F1134">
            <v>5</v>
          </cell>
          <cell r="G1134">
            <v>36530</v>
          </cell>
          <cell r="I1134" t="str">
            <v>North America</v>
          </cell>
          <cell r="J1134" t="str">
            <v>USA</v>
          </cell>
          <cell r="K1134">
            <v>35611</v>
          </cell>
        </row>
        <row r="1135">
          <cell r="A1135" t="str">
            <v>In service</v>
          </cell>
          <cell r="B1135" t="str">
            <v>Gulfstream Aerospace Gulfstream V</v>
          </cell>
          <cell r="C1135" t="str">
            <v xml:space="preserve"> </v>
          </cell>
          <cell r="D1135">
            <v>1999</v>
          </cell>
          <cell r="E1135" t="str">
            <v>The Air Group Inc</v>
          </cell>
          <cell r="F1135">
            <v>5</v>
          </cell>
          <cell r="G1135">
            <v>36517</v>
          </cell>
          <cell r="I1135" t="str">
            <v>North America</v>
          </cell>
          <cell r="J1135" t="str">
            <v>USA</v>
          </cell>
          <cell r="K1135">
            <v>36341</v>
          </cell>
        </row>
        <row r="1136">
          <cell r="A1136" t="str">
            <v>In service</v>
          </cell>
          <cell r="B1136" t="str">
            <v>Gulfstream Aerospace Gulfstream V</v>
          </cell>
          <cell r="C1136" t="str">
            <v xml:space="preserve"> </v>
          </cell>
          <cell r="D1136">
            <v>2000</v>
          </cell>
          <cell r="E1136" t="str">
            <v>Neet Air AG</v>
          </cell>
          <cell r="F1136">
            <v>4</v>
          </cell>
          <cell r="G1136">
            <v>36574</v>
          </cell>
          <cell r="I1136" t="str">
            <v>Europe</v>
          </cell>
          <cell r="J1136" t="str">
            <v>Switzerland</v>
          </cell>
          <cell r="K1136">
            <v>35611</v>
          </cell>
        </row>
        <row r="1137">
          <cell r="A1137" t="str">
            <v>In service</v>
          </cell>
          <cell r="B1137" t="str">
            <v>Gulfstream Aerospace Gulfstream V</v>
          </cell>
          <cell r="C1137" t="str">
            <v xml:space="preserve"> </v>
          </cell>
          <cell r="D1137">
            <v>1999</v>
          </cell>
          <cell r="E1137" t="str">
            <v>Lockheed Martin Corp</v>
          </cell>
          <cell r="F1137">
            <v>5</v>
          </cell>
          <cell r="G1137">
            <v>36529</v>
          </cell>
          <cell r="I1137" t="str">
            <v>North America</v>
          </cell>
          <cell r="J1137" t="str">
            <v>USA</v>
          </cell>
          <cell r="K1137">
            <v>35976</v>
          </cell>
        </row>
        <row r="1138">
          <cell r="A1138" t="str">
            <v>In service</v>
          </cell>
          <cell r="B1138" t="str">
            <v>Gulfstream Aerospace Gulfstream V</v>
          </cell>
          <cell r="C1138" t="str">
            <v xml:space="preserve"> </v>
          </cell>
          <cell r="D1138">
            <v>1999</v>
          </cell>
          <cell r="E1138" t="str">
            <v>3M Co</v>
          </cell>
          <cell r="F1138">
            <v>5</v>
          </cell>
          <cell r="G1138">
            <v>36516</v>
          </cell>
          <cell r="I1138" t="str">
            <v>North America</v>
          </cell>
          <cell r="J1138" t="str">
            <v>USA</v>
          </cell>
          <cell r="K1138">
            <v>35611</v>
          </cell>
        </row>
        <row r="1139">
          <cell r="A1139" t="str">
            <v>In service</v>
          </cell>
          <cell r="B1139" t="str">
            <v>Gulfstream Aerospace Gulfstream V</v>
          </cell>
          <cell r="C1139" t="str">
            <v xml:space="preserve"> </v>
          </cell>
          <cell r="D1139">
            <v>1999</v>
          </cell>
          <cell r="E1139" t="str">
            <v>Cox Aviation Inc</v>
          </cell>
          <cell r="F1139">
            <v>5</v>
          </cell>
          <cell r="G1139">
            <v>36602</v>
          </cell>
          <cell r="I1139" t="str">
            <v>North America</v>
          </cell>
          <cell r="J1139" t="str">
            <v>USA</v>
          </cell>
          <cell r="K1139">
            <v>35976</v>
          </cell>
        </row>
        <row r="1140">
          <cell r="A1140" t="str">
            <v>In service</v>
          </cell>
          <cell r="B1140" t="str">
            <v>Gulfstream Aerospace Gulfstream V</v>
          </cell>
          <cell r="C1140" t="str">
            <v xml:space="preserve"> </v>
          </cell>
          <cell r="D1140">
            <v>1999</v>
          </cell>
          <cell r="E1140" t="str">
            <v>Bayard Foreign Marketing LLC</v>
          </cell>
          <cell r="F1140">
            <v>5</v>
          </cell>
          <cell r="G1140">
            <v>36482</v>
          </cell>
          <cell r="I1140" t="str">
            <v>North America</v>
          </cell>
          <cell r="J1140" t="str">
            <v>USA</v>
          </cell>
          <cell r="K1140">
            <v>35976</v>
          </cell>
        </row>
        <row r="1141">
          <cell r="A1141" t="str">
            <v>In service</v>
          </cell>
          <cell r="B1141" t="str">
            <v>Gulfstream Aerospace Gulfstream V</v>
          </cell>
          <cell r="C1141" t="str">
            <v xml:space="preserve"> </v>
          </cell>
          <cell r="D1141">
            <v>2000</v>
          </cell>
          <cell r="E1141" t="str">
            <v>Telefonica Internacional SA</v>
          </cell>
          <cell r="F1141">
            <v>4</v>
          </cell>
          <cell r="G1141">
            <v>36703</v>
          </cell>
          <cell r="I1141" t="str">
            <v>Europe</v>
          </cell>
          <cell r="J1141" t="str">
            <v>Spain</v>
          </cell>
          <cell r="K1141">
            <v>35976</v>
          </cell>
        </row>
        <row r="1142">
          <cell r="A1142" t="str">
            <v>In service</v>
          </cell>
          <cell r="B1142" t="str">
            <v>Gulfstream Aerospace Gulfstream V</v>
          </cell>
          <cell r="C1142" t="str">
            <v xml:space="preserve"> </v>
          </cell>
          <cell r="D1142">
            <v>2000</v>
          </cell>
          <cell r="E1142" t="str">
            <v>Saudi Aeromedical Evacuation</v>
          </cell>
          <cell r="F1142">
            <v>4</v>
          </cell>
          <cell r="G1142">
            <v>36762</v>
          </cell>
          <cell r="I1142" t="str">
            <v>Middle East</v>
          </cell>
          <cell r="J1142" t="str">
            <v>Saudi Arabia</v>
          </cell>
          <cell r="K1142">
            <v>36707</v>
          </cell>
        </row>
        <row r="1143">
          <cell r="A1143" t="str">
            <v>In service</v>
          </cell>
          <cell r="B1143" t="str">
            <v>Gulfstream Aerospace Gulfstream V</v>
          </cell>
          <cell r="C1143" t="str">
            <v xml:space="preserve"> </v>
          </cell>
          <cell r="D1143">
            <v>2000</v>
          </cell>
          <cell r="E1143" t="str">
            <v>Electronic Data Systems Corp</v>
          </cell>
          <cell r="F1143">
            <v>4</v>
          </cell>
          <cell r="G1143">
            <v>36644</v>
          </cell>
          <cell r="I1143" t="str">
            <v>North America</v>
          </cell>
          <cell r="J1143" t="str">
            <v>USA</v>
          </cell>
          <cell r="K1143">
            <v>35976</v>
          </cell>
        </row>
        <row r="1144">
          <cell r="A1144" t="str">
            <v>In service</v>
          </cell>
          <cell r="B1144" t="str">
            <v>Gulfstream Aerospace Gulfstream V</v>
          </cell>
          <cell r="C1144" t="str">
            <v xml:space="preserve"> </v>
          </cell>
          <cell r="D1144">
            <v>1999</v>
          </cell>
          <cell r="E1144" t="str">
            <v>Business Aircraft Corp</v>
          </cell>
          <cell r="F1144">
            <v>5</v>
          </cell>
          <cell r="G1144">
            <v>36446</v>
          </cell>
          <cell r="I1144" t="str">
            <v>North America</v>
          </cell>
          <cell r="J1144" t="str">
            <v>USA</v>
          </cell>
          <cell r="K1144">
            <v>35976</v>
          </cell>
        </row>
        <row r="1145">
          <cell r="A1145" t="str">
            <v>In service</v>
          </cell>
          <cell r="B1145" t="str">
            <v>Gulfstream Aerospace Gulfstream V</v>
          </cell>
          <cell r="C1145" t="str">
            <v xml:space="preserve"> </v>
          </cell>
          <cell r="D1145">
            <v>2001</v>
          </cell>
          <cell r="E1145" t="str">
            <v>Steven Jobs</v>
          </cell>
          <cell r="F1145">
            <v>3</v>
          </cell>
          <cell r="G1145">
            <v>37036</v>
          </cell>
          <cell r="I1145" t="str">
            <v>North America</v>
          </cell>
          <cell r="J1145" t="str">
            <v>USA</v>
          </cell>
          <cell r="K1145">
            <v>35976</v>
          </cell>
        </row>
        <row r="1146">
          <cell r="A1146" t="str">
            <v>In service</v>
          </cell>
          <cell r="B1146" t="str">
            <v>Gulfstream Aerospace Gulfstream V</v>
          </cell>
          <cell r="C1146" t="str">
            <v xml:space="preserve"> </v>
          </cell>
          <cell r="D1146">
            <v>2000</v>
          </cell>
          <cell r="E1146" t="str">
            <v>Ford Motor Co</v>
          </cell>
          <cell r="F1146">
            <v>4</v>
          </cell>
          <cell r="G1146">
            <v>36696</v>
          </cell>
          <cell r="I1146" t="str">
            <v>North America</v>
          </cell>
          <cell r="J1146" t="str">
            <v>USA</v>
          </cell>
          <cell r="K1146">
            <v>36341</v>
          </cell>
        </row>
        <row r="1147">
          <cell r="A1147" t="str">
            <v>In service</v>
          </cell>
          <cell r="B1147" t="str">
            <v>Gulfstream Aerospace Gulfstream V</v>
          </cell>
          <cell r="C1147" t="str">
            <v xml:space="preserve"> </v>
          </cell>
          <cell r="D1147">
            <v>2000</v>
          </cell>
          <cell r="E1147" t="str">
            <v>Fairmonth Aviation Co Ltd</v>
          </cell>
          <cell r="F1147">
            <v>4</v>
          </cell>
          <cell r="G1147">
            <v>36699</v>
          </cell>
          <cell r="I1147" t="str">
            <v>Latin America and Caribbean</v>
          </cell>
          <cell r="J1147" t="str">
            <v>Bermuda</v>
          </cell>
          <cell r="K1147">
            <v>36045</v>
          </cell>
        </row>
        <row r="1148">
          <cell r="A1148" t="str">
            <v>In service</v>
          </cell>
          <cell r="B1148" t="str">
            <v>Gulfstream Aerospace Gulfstream V</v>
          </cell>
          <cell r="C1148" t="str">
            <v xml:space="preserve"> </v>
          </cell>
          <cell r="D1148">
            <v>2000</v>
          </cell>
          <cell r="E1148" t="str">
            <v>United Coal Co</v>
          </cell>
          <cell r="F1148">
            <v>4</v>
          </cell>
          <cell r="G1148">
            <v>36707</v>
          </cell>
          <cell r="I1148" t="str">
            <v>North America</v>
          </cell>
          <cell r="J1148" t="str">
            <v>USA</v>
          </cell>
          <cell r="K1148">
            <v>35976</v>
          </cell>
        </row>
        <row r="1149">
          <cell r="A1149" t="str">
            <v>In service</v>
          </cell>
          <cell r="B1149" t="str">
            <v>Gulfstream Aerospace Gulfstream V</v>
          </cell>
          <cell r="C1149" t="str">
            <v xml:space="preserve"> </v>
          </cell>
          <cell r="D1149">
            <v>2000</v>
          </cell>
          <cell r="E1149" t="str">
            <v>US Air Force</v>
          </cell>
          <cell r="F1149">
            <v>4</v>
          </cell>
          <cell r="G1149">
            <v>36862</v>
          </cell>
          <cell r="H1149" t="str">
            <v>C-37A</v>
          </cell>
          <cell r="I1149" t="str">
            <v>North America</v>
          </cell>
          <cell r="J1149" t="str">
            <v>USA</v>
          </cell>
          <cell r="K1149">
            <v>36256</v>
          </cell>
        </row>
        <row r="1150">
          <cell r="A1150" t="str">
            <v>In service</v>
          </cell>
          <cell r="B1150" t="str">
            <v>Gulfstream Aerospace Gulfstream V</v>
          </cell>
          <cell r="C1150" t="str">
            <v xml:space="preserve"> </v>
          </cell>
          <cell r="D1150">
            <v>2000</v>
          </cell>
          <cell r="E1150" t="str">
            <v>Ford Motor Co</v>
          </cell>
          <cell r="F1150">
            <v>4</v>
          </cell>
          <cell r="G1150">
            <v>36739</v>
          </cell>
          <cell r="I1150" t="str">
            <v>North America</v>
          </cell>
          <cell r="J1150" t="str">
            <v>USA</v>
          </cell>
          <cell r="K1150">
            <v>36341</v>
          </cell>
        </row>
        <row r="1151">
          <cell r="A1151" t="str">
            <v>In service</v>
          </cell>
          <cell r="B1151" t="str">
            <v>Gulfstream Aerospace Gulfstream V</v>
          </cell>
          <cell r="C1151" t="str">
            <v xml:space="preserve"> </v>
          </cell>
          <cell r="D1151">
            <v>2000</v>
          </cell>
          <cell r="E1151" t="str">
            <v>Time Works leasing LLC</v>
          </cell>
          <cell r="F1151">
            <v>4</v>
          </cell>
          <cell r="G1151">
            <v>36760</v>
          </cell>
          <cell r="I1151" t="str">
            <v>North America</v>
          </cell>
          <cell r="J1151" t="str">
            <v>USA</v>
          </cell>
          <cell r="K1151">
            <v>35976</v>
          </cell>
        </row>
        <row r="1152">
          <cell r="A1152" t="str">
            <v>In service</v>
          </cell>
          <cell r="B1152" t="str">
            <v>Gulfstream Aerospace Gulfstream V</v>
          </cell>
          <cell r="C1152" t="str">
            <v xml:space="preserve"> </v>
          </cell>
          <cell r="D1152">
            <v>1999</v>
          </cell>
          <cell r="E1152" t="str">
            <v>ALBA Servici Aerotrasporti SpA</v>
          </cell>
          <cell r="F1152">
            <v>5</v>
          </cell>
          <cell r="G1152">
            <v>36517</v>
          </cell>
          <cell r="I1152" t="str">
            <v>Europe</v>
          </cell>
          <cell r="J1152" t="str">
            <v>Italy</v>
          </cell>
          <cell r="K1152">
            <v>35976</v>
          </cell>
        </row>
        <row r="1153">
          <cell r="A1153" t="str">
            <v>In service</v>
          </cell>
          <cell r="B1153" t="str">
            <v>Gulfstream Aerospace Gulfstream V</v>
          </cell>
          <cell r="C1153" t="str">
            <v xml:space="preserve"> </v>
          </cell>
          <cell r="D1153">
            <v>2000</v>
          </cell>
          <cell r="E1153" t="str">
            <v>3M Co</v>
          </cell>
          <cell r="F1153">
            <v>4</v>
          </cell>
          <cell r="G1153">
            <v>36797</v>
          </cell>
          <cell r="I1153" t="str">
            <v>North America</v>
          </cell>
          <cell r="J1153" t="str">
            <v>USA</v>
          </cell>
          <cell r="K1153">
            <v>35611</v>
          </cell>
        </row>
        <row r="1154">
          <cell r="A1154" t="str">
            <v>In service</v>
          </cell>
          <cell r="B1154" t="str">
            <v>Gulfstream Aerospace Gulfstream V</v>
          </cell>
          <cell r="C1154" t="str">
            <v xml:space="preserve"> </v>
          </cell>
          <cell r="D1154">
            <v>2000</v>
          </cell>
          <cell r="E1154" t="str">
            <v>GVX Inc</v>
          </cell>
          <cell r="F1154">
            <v>4</v>
          </cell>
          <cell r="G1154">
            <v>36777</v>
          </cell>
          <cell r="I1154" t="str">
            <v>North America</v>
          </cell>
          <cell r="J1154" t="str">
            <v>USA</v>
          </cell>
          <cell r="K1154">
            <v>35611</v>
          </cell>
        </row>
        <row r="1155">
          <cell r="A1155" t="str">
            <v>In service</v>
          </cell>
          <cell r="B1155" t="str">
            <v>Gulfstream Aerospace Gulfstream V</v>
          </cell>
          <cell r="C1155" t="str">
            <v xml:space="preserve"> </v>
          </cell>
          <cell r="D1155">
            <v>2001</v>
          </cell>
          <cell r="E1155" t="str">
            <v>US Department of Justice - US Marshals Service</v>
          </cell>
          <cell r="F1155">
            <v>3</v>
          </cell>
          <cell r="G1155">
            <v>37146</v>
          </cell>
          <cell r="H1155" t="str">
            <v>C-37A</v>
          </cell>
          <cell r="I1155" t="str">
            <v>North America</v>
          </cell>
          <cell r="J1155" t="str">
            <v>USA</v>
          </cell>
          <cell r="K1155">
            <v>36256</v>
          </cell>
        </row>
        <row r="1156">
          <cell r="A1156" t="str">
            <v>In service</v>
          </cell>
          <cell r="B1156" t="str">
            <v>Gulfstream Aerospace Gulfstream V</v>
          </cell>
          <cell r="C1156" t="str">
            <v xml:space="preserve"> </v>
          </cell>
          <cell r="D1156">
            <v>2000</v>
          </cell>
          <cell r="E1156" t="str">
            <v>Marathon Oil Co</v>
          </cell>
          <cell r="F1156">
            <v>4</v>
          </cell>
          <cell r="G1156">
            <v>36798</v>
          </cell>
          <cell r="I1156" t="str">
            <v>North America</v>
          </cell>
          <cell r="J1156" t="str">
            <v>USA</v>
          </cell>
          <cell r="K1156">
            <v>36341</v>
          </cell>
        </row>
        <row r="1157">
          <cell r="A1157" t="str">
            <v>In service</v>
          </cell>
          <cell r="B1157" t="str">
            <v>Gulfstream Aerospace Gulfstream V</v>
          </cell>
          <cell r="C1157" t="str">
            <v xml:space="preserve"> </v>
          </cell>
          <cell r="D1157">
            <v>2000</v>
          </cell>
          <cell r="E1157" t="str">
            <v>Friedkin Aviation/Gulf States Toyota/Friedkin Co</v>
          </cell>
          <cell r="F1157">
            <v>4</v>
          </cell>
          <cell r="G1157">
            <v>36601</v>
          </cell>
          <cell r="I1157" t="str">
            <v>North America</v>
          </cell>
          <cell r="J1157" t="str">
            <v>USA</v>
          </cell>
          <cell r="K1157">
            <v>35976</v>
          </cell>
        </row>
        <row r="1158">
          <cell r="A1158" t="str">
            <v>In service</v>
          </cell>
          <cell r="B1158" t="str">
            <v>Gulfstream Aerospace Gulfstream V</v>
          </cell>
          <cell r="C1158" t="str">
            <v xml:space="preserve"> </v>
          </cell>
          <cell r="D1158">
            <v>2000</v>
          </cell>
          <cell r="E1158" t="str">
            <v>Avalon Capital Group Inc</v>
          </cell>
          <cell r="F1158">
            <v>4</v>
          </cell>
          <cell r="G1158">
            <v>36920</v>
          </cell>
          <cell r="I1158" t="str">
            <v>North America</v>
          </cell>
          <cell r="J1158" t="str">
            <v>USA</v>
          </cell>
          <cell r="K1158">
            <v>36341</v>
          </cell>
        </row>
        <row r="1159">
          <cell r="A1159" t="str">
            <v>In service</v>
          </cell>
          <cell r="B1159" t="str">
            <v>Gulfstream Aerospace Gulfstream V</v>
          </cell>
          <cell r="C1159" t="str">
            <v xml:space="preserve"> </v>
          </cell>
          <cell r="D1159">
            <v>2000</v>
          </cell>
          <cell r="E1159" t="str">
            <v>New World Jet Corp</v>
          </cell>
          <cell r="F1159">
            <v>4</v>
          </cell>
          <cell r="G1159">
            <v>36850</v>
          </cell>
          <cell r="I1159" t="str">
            <v>North America</v>
          </cell>
          <cell r="J1159" t="str">
            <v>USA</v>
          </cell>
          <cell r="K1159">
            <v>35976</v>
          </cell>
        </row>
        <row r="1160">
          <cell r="A1160" t="str">
            <v>In service</v>
          </cell>
          <cell r="B1160" t="str">
            <v>Gulfstream Aerospace Gulfstream V</v>
          </cell>
          <cell r="C1160" t="str">
            <v xml:space="preserve"> </v>
          </cell>
          <cell r="D1160">
            <v>2000</v>
          </cell>
          <cell r="E1160" t="str">
            <v>Netjets International</v>
          </cell>
          <cell r="F1160">
            <v>4</v>
          </cell>
          <cell r="G1160">
            <v>36882</v>
          </cell>
          <cell r="I1160" t="str">
            <v>North America</v>
          </cell>
          <cell r="J1160" t="str">
            <v>USA</v>
          </cell>
          <cell r="K1160">
            <v>35311</v>
          </cell>
        </row>
        <row r="1161">
          <cell r="A1161" t="str">
            <v>In service</v>
          </cell>
          <cell r="B1161" t="str">
            <v>Gulfstream Aerospace Gulfstream V</v>
          </cell>
          <cell r="C1161" t="str">
            <v xml:space="preserve"> </v>
          </cell>
          <cell r="D1161">
            <v>2000</v>
          </cell>
          <cell r="E1161" t="str">
            <v>Dennis Vanguard (Switchgear) Ltd</v>
          </cell>
          <cell r="F1161">
            <v>4</v>
          </cell>
          <cell r="G1161">
            <v>36860</v>
          </cell>
          <cell r="I1161" t="str">
            <v>Europe</v>
          </cell>
          <cell r="J1161" t="str">
            <v>United Kingdom</v>
          </cell>
          <cell r="K1161">
            <v>36045</v>
          </cell>
        </row>
        <row r="1162">
          <cell r="A1162" t="str">
            <v>In service</v>
          </cell>
          <cell r="B1162" t="str">
            <v>Gulfstream Aerospace Gulfstream V</v>
          </cell>
          <cell r="C1162" t="str">
            <v xml:space="preserve"> </v>
          </cell>
          <cell r="D1162">
            <v>2000</v>
          </cell>
          <cell r="E1162" t="str">
            <v>Schering Plough Corp</v>
          </cell>
          <cell r="F1162">
            <v>4</v>
          </cell>
          <cell r="G1162">
            <v>36889</v>
          </cell>
          <cell r="I1162" t="str">
            <v>North America</v>
          </cell>
          <cell r="J1162" t="str">
            <v>USA</v>
          </cell>
          <cell r="K1162">
            <v>35976</v>
          </cell>
        </row>
        <row r="1163">
          <cell r="A1163" t="str">
            <v>In service</v>
          </cell>
          <cell r="B1163" t="str">
            <v>Gulfstream Aerospace Gulfstream V</v>
          </cell>
          <cell r="C1163" t="str">
            <v xml:space="preserve"> </v>
          </cell>
          <cell r="D1163">
            <v>2000</v>
          </cell>
          <cell r="E1163" t="str">
            <v>Dessarrollo Milaz SA de CV</v>
          </cell>
          <cell r="F1163">
            <v>4</v>
          </cell>
          <cell r="G1163">
            <v>36880</v>
          </cell>
          <cell r="I1163" t="str">
            <v>Latin America and Caribbean</v>
          </cell>
          <cell r="J1163" t="str">
            <v>Mexico</v>
          </cell>
          <cell r="K1163">
            <v>35976</v>
          </cell>
        </row>
        <row r="1164">
          <cell r="A1164" t="str">
            <v>In service</v>
          </cell>
          <cell r="B1164" t="str">
            <v>Gulfstream Aerospace Gulfstream V</v>
          </cell>
          <cell r="C1164" t="str">
            <v xml:space="preserve"> </v>
          </cell>
          <cell r="D1164">
            <v>2000</v>
          </cell>
          <cell r="E1164" t="str">
            <v>Gulfstream Aerospace Corp</v>
          </cell>
          <cell r="F1164">
            <v>4</v>
          </cell>
          <cell r="G1164">
            <v>36682</v>
          </cell>
          <cell r="I1164" t="str">
            <v>North America</v>
          </cell>
          <cell r="J1164" t="str">
            <v>USA</v>
          </cell>
          <cell r="K1164">
            <v>36509</v>
          </cell>
        </row>
        <row r="1165">
          <cell r="A1165" t="str">
            <v>In service</v>
          </cell>
          <cell r="B1165" t="str">
            <v>Gulfstream Aerospace Gulfstream V</v>
          </cell>
          <cell r="C1165" t="str">
            <v xml:space="preserve"> </v>
          </cell>
          <cell r="D1165">
            <v>2000</v>
          </cell>
          <cell r="E1165" t="str">
            <v>Amgen Inc</v>
          </cell>
          <cell r="F1165">
            <v>4</v>
          </cell>
          <cell r="G1165">
            <v>36693</v>
          </cell>
          <cell r="I1165" t="str">
            <v>North America</v>
          </cell>
          <cell r="J1165" t="str">
            <v>USA</v>
          </cell>
          <cell r="K1165">
            <v>36509</v>
          </cell>
        </row>
        <row r="1166">
          <cell r="A1166" t="str">
            <v>In service</v>
          </cell>
          <cell r="B1166" t="str">
            <v>Gulfstream Aerospace Gulfstream V</v>
          </cell>
          <cell r="C1166" t="str">
            <v xml:space="preserve"> </v>
          </cell>
          <cell r="D1166">
            <v>2000</v>
          </cell>
          <cell r="E1166" t="str">
            <v>GAMA Aviation</v>
          </cell>
          <cell r="F1166">
            <v>4</v>
          </cell>
          <cell r="G1166">
            <v>36846</v>
          </cell>
          <cell r="I1166" t="str">
            <v>Europe</v>
          </cell>
          <cell r="J1166" t="str">
            <v>United Kingdom</v>
          </cell>
          <cell r="K1166">
            <v>36341</v>
          </cell>
        </row>
        <row r="1167">
          <cell r="A1167" t="str">
            <v>In service</v>
          </cell>
          <cell r="B1167" t="str">
            <v>Gulfstream Aerospace Gulfstream V</v>
          </cell>
          <cell r="C1167" t="str">
            <v xml:space="preserve"> </v>
          </cell>
          <cell r="D1167">
            <v>2000</v>
          </cell>
          <cell r="E1167" t="str">
            <v>Lexair II Ltd</v>
          </cell>
          <cell r="F1167">
            <v>4</v>
          </cell>
          <cell r="G1167">
            <v>36889</v>
          </cell>
          <cell r="I1167" t="str">
            <v>North America</v>
          </cell>
          <cell r="J1167" t="str">
            <v>USA</v>
          </cell>
          <cell r="K1167">
            <v>35976</v>
          </cell>
        </row>
        <row r="1168">
          <cell r="A1168" t="str">
            <v>In service</v>
          </cell>
          <cell r="B1168" t="str">
            <v>Gulfstream Aerospace Gulfstream V</v>
          </cell>
          <cell r="C1168" t="str">
            <v xml:space="preserve"> </v>
          </cell>
          <cell r="D1168">
            <v>2001</v>
          </cell>
          <cell r="E1168" t="str">
            <v>Standard &amp; Poor's Securities Evaluations Inc</v>
          </cell>
          <cell r="F1168">
            <v>3</v>
          </cell>
          <cell r="G1168">
            <v>36977</v>
          </cell>
          <cell r="I1168" t="str">
            <v>North America</v>
          </cell>
          <cell r="J1168" t="str">
            <v>USA</v>
          </cell>
          <cell r="K1168">
            <v>35976</v>
          </cell>
        </row>
        <row r="1169">
          <cell r="A1169" t="str">
            <v>In service</v>
          </cell>
          <cell r="B1169" t="str">
            <v>Gulfstream Aerospace Gulfstream V</v>
          </cell>
          <cell r="C1169" t="str">
            <v xml:space="preserve"> </v>
          </cell>
          <cell r="D1169">
            <v>2001</v>
          </cell>
          <cell r="E1169" t="str">
            <v>Cargill Inc</v>
          </cell>
          <cell r="F1169">
            <v>3</v>
          </cell>
          <cell r="G1169">
            <v>37046</v>
          </cell>
          <cell r="I1169" t="str">
            <v>North America</v>
          </cell>
          <cell r="J1169" t="str">
            <v>USA</v>
          </cell>
          <cell r="K1169">
            <v>36341</v>
          </cell>
        </row>
        <row r="1170">
          <cell r="A1170" t="str">
            <v>In service</v>
          </cell>
          <cell r="B1170" t="str">
            <v>Gulfstream Aerospace Gulfstream V</v>
          </cell>
          <cell r="C1170" t="str">
            <v xml:space="preserve"> </v>
          </cell>
          <cell r="D1170">
            <v>2001</v>
          </cell>
          <cell r="E1170" t="str">
            <v>Teratorn LLC</v>
          </cell>
          <cell r="F1170">
            <v>3</v>
          </cell>
          <cell r="G1170">
            <v>37204</v>
          </cell>
          <cell r="I1170" t="str">
            <v>North America</v>
          </cell>
          <cell r="J1170" t="str">
            <v>USA</v>
          </cell>
          <cell r="K1170">
            <v>36341</v>
          </cell>
        </row>
        <row r="1171">
          <cell r="A1171" t="str">
            <v>In service</v>
          </cell>
          <cell r="B1171" t="str">
            <v>Gulfstream Aerospace Gulfstream V</v>
          </cell>
          <cell r="C1171" t="str">
            <v xml:space="preserve"> </v>
          </cell>
          <cell r="D1171">
            <v>2001</v>
          </cell>
          <cell r="E1171" t="str">
            <v>The Air Group Inc</v>
          </cell>
          <cell r="F1171">
            <v>3</v>
          </cell>
          <cell r="G1171">
            <v>36962</v>
          </cell>
          <cell r="I1171" t="str">
            <v>North America</v>
          </cell>
          <cell r="J1171" t="str">
            <v>USA</v>
          </cell>
          <cell r="K1171">
            <v>36341</v>
          </cell>
        </row>
        <row r="1172">
          <cell r="A1172" t="str">
            <v>In service</v>
          </cell>
          <cell r="B1172" t="str">
            <v>Gulfstream Aerospace Gulfstream V</v>
          </cell>
          <cell r="C1172" t="str">
            <v xml:space="preserve"> </v>
          </cell>
          <cell r="D1172">
            <v>2000</v>
          </cell>
          <cell r="E1172" t="str">
            <v>Anchor Marketing Inc</v>
          </cell>
          <cell r="F1172">
            <v>4</v>
          </cell>
          <cell r="G1172">
            <v>36973</v>
          </cell>
          <cell r="I1172" t="str">
            <v>North America</v>
          </cell>
          <cell r="J1172" t="str">
            <v>USA</v>
          </cell>
          <cell r="K1172">
            <v>35311</v>
          </cell>
        </row>
        <row r="1173">
          <cell r="A1173" t="str">
            <v>In service</v>
          </cell>
          <cell r="B1173" t="str">
            <v>Gulfstream Aerospace Gulfstream V</v>
          </cell>
          <cell r="C1173" t="str">
            <v xml:space="preserve"> </v>
          </cell>
          <cell r="D1173">
            <v>2001</v>
          </cell>
          <cell r="E1173" t="str">
            <v>CYMI Investments Sub Inc</v>
          </cell>
          <cell r="F1173">
            <v>3</v>
          </cell>
          <cell r="G1173">
            <v>37063</v>
          </cell>
          <cell r="I1173" t="str">
            <v>North America</v>
          </cell>
          <cell r="J1173" t="str">
            <v>USA</v>
          </cell>
          <cell r="K1173">
            <v>36341</v>
          </cell>
        </row>
        <row r="1174">
          <cell r="A1174" t="str">
            <v>In service</v>
          </cell>
          <cell r="B1174" t="str">
            <v>Gulfstream Aerospace Gulfstream V</v>
          </cell>
          <cell r="C1174" t="str">
            <v xml:space="preserve"> </v>
          </cell>
          <cell r="D1174">
            <v>2001</v>
          </cell>
          <cell r="E1174" t="str">
            <v>Metromedia Aircraft Co</v>
          </cell>
          <cell r="F1174">
            <v>3</v>
          </cell>
          <cell r="G1174">
            <v>37070</v>
          </cell>
          <cell r="I1174" t="str">
            <v>North America</v>
          </cell>
          <cell r="J1174" t="str">
            <v>USA</v>
          </cell>
          <cell r="K1174">
            <v>36341</v>
          </cell>
        </row>
        <row r="1175">
          <cell r="A1175" t="str">
            <v>In service</v>
          </cell>
          <cell r="B1175" t="str">
            <v>Gulfstream Aerospace Gulfstream V</v>
          </cell>
          <cell r="C1175" t="str">
            <v xml:space="preserve"> </v>
          </cell>
          <cell r="D1175">
            <v>2001</v>
          </cell>
          <cell r="E1175" t="str">
            <v>Haliburton Energy Services Inc</v>
          </cell>
          <cell r="F1175">
            <v>3</v>
          </cell>
          <cell r="G1175">
            <v>37071</v>
          </cell>
          <cell r="I1175" t="str">
            <v>North America</v>
          </cell>
          <cell r="J1175" t="str">
            <v>USA</v>
          </cell>
          <cell r="K1175">
            <v>35976</v>
          </cell>
        </row>
        <row r="1176">
          <cell r="A1176" t="str">
            <v>In service</v>
          </cell>
          <cell r="B1176" t="str">
            <v>Gulfstream Aerospace Gulfstream V</v>
          </cell>
          <cell r="C1176" t="str">
            <v xml:space="preserve"> </v>
          </cell>
          <cell r="D1176">
            <v>2001</v>
          </cell>
          <cell r="E1176" t="str">
            <v>Government of Algeria</v>
          </cell>
          <cell r="F1176">
            <v>3</v>
          </cell>
          <cell r="G1176">
            <v>37071</v>
          </cell>
          <cell r="I1176" t="str">
            <v>Africa</v>
          </cell>
          <cell r="J1176" t="str">
            <v>Algeria</v>
          </cell>
          <cell r="K1176">
            <v>36341</v>
          </cell>
        </row>
        <row r="1177">
          <cell r="A1177" t="str">
            <v>In service</v>
          </cell>
          <cell r="B1177" t="str">
            <v>Gulfstream Aerospace Gulfstream V</v>
          </cell>
          <cell r="C1177" t="str">
            <v xml:space="preserve"> </v>
          </cell>
          <cell r="D1177">
            <v>2000</v>
          </cell>
          <cell r="E1177" t="str">
            <v>Johnson Controls Inc</v>
          </cell>
          <cell r="F1177">
            <v>4</v>
          </cell>
          <cell r="G1177">
            <v>36859</v>
          </cell>
          <cell r="I1177" t="str">
            <v>North America</v>
          </cell>
          <cell r="J1177" t="str">
            <v>USA</v>
          </cell>
          <cell r="K1177">
            <v>36341</v>
          </cell>
        </row>
        <row r="1178">
          <cell r="A1178" t="str">
            <v>In service</v>
          </cell>
          <cell r="B1178" t="str">
            <v>Gulfstream Aerospace Gulfstream V</v>
          </cell>
          <cell r="C1178" t="str">
            <v xml:space="preserve"> </v>
          </cell>
          <cell r="D1178">
            <v>2001</v>
          </cell>
          <cell r="E1178" t="str">
            <v>Amerada Hess Corp</v>
          </cell>
          <cell r="F1178">
            <v>3</v>
          </cell>
          <cell r="G1178">
            <v>37169</v>
          </cell>
          <cell r="I1178" t="str">
            <v>North America</v>
          </cell>
          <cell r="J1178" t="str">
            <v>USA</v>
          </cell>
          <cell r="K1178">
            <v>35976</v>
          </cell>
        </row>
        <row r="1179">
          <cell r="A1179" t="str">
            <v>In service</v>
          </cell>
          <cell r="B1179" t="str">
            <v>Gulfstream Aerospace Gulfstream V</v>
          </cell>
          <cell r="C1179" t="str">
            <v xml:space="preserve"> </v>
          </cell>
          <cell r="D1179">
            <v>2001</v>
          </cell>
          <cell r="E1179" t="str">
            <v>US Air Force</v>
          </cell>
          <cell r="F1179">
            <v>3</v>
          </cell>
          <cell r="G1179">
            <v>37097</v>
          </cell>
          <cell r="H1179" t="str">
            <v>C-37A</v>
          </cell>
          <cell r="I1179" t="str">
            <v>North America</v>
          </cell>
          <cell r="J1179" t="str">
            <v>USA</v>
          </cell>
          <cell r="K1179">
            <v>36826</v>
          </cell>
        </row>
        <row r="1180">
          <cell r="A1180" t="str">
            <v>In service</v>
          </cell>
          <cell r="B1180" t="str">
            <v>Gulfstream Aerospace Gulfstream V</v>
          </cell>
          <cell r="C1180" t="str">
            <v xml:space="preserve"> </v>
          </cell>
          <cell r="D1180">
            <v>2001</v>
          </cell>
          <cell r="E1180" t="str">
            <v>New World Jet Corp</v>
          </cell>
          <cell r="F1180">
            <v>3</v>
          </cell>
          <cell r="G1180">
            <v>37104</v>
          </cell>
          <cell r="I1180" t="str">
            <v>North America</v>
          </cell>
          <cell r="J1180" t="str">
            <v>USA</v>
          </cell>
          <cell r="K1180">
            <v>36341</v>
          </cell>
        </row>
        <row r="1181">
          <cell r="A1181" t="str">
            <v>In service</v>
          </cell>
          <cell r="B1181" t="str">
            <v>Gulfstream Aerospace Gulfstream V</v>
          </cell>
          <cell r="C1181" t="str">
            <v xml:space="preserve"> </v>
          </cell>
          <cell r="D1181">
            <v>2001</v>
          </cell>
          <cell r="E1181" t="str">
            <v>Casden Aircraft LLC</v>
          </cell>
          <cell r="F1181">
            <v>3</v>
          </cell>
          <cell r="G1181">
            <v>37091</v>
          </cell>
          <cell r="I1181" t="str">
            <v>North America</v>
          </cell>
          <cell r="J1181" t="str">
            <v>USA</v>
          </cell>
          <cell r="K1181">
            <v>36341</v>
          </cell>
        </row>
        <row r="1182">
          <cell r="A1182" t="str">
            <v>In service</v>
          </cell>
          <cell r="B1182" t="str">
            <v>Gulfstream Aerospace Gulfstream V</v>
          </cell>
          <cell r="C1182" t="str">
            <v xml:space="preserve"> </v>
          </cell>
          <cell r="D1182">
            <v>2001</v>
          </cell>
          <cell r="E1182" t="str">
            <v>Netjets International</v>
          </cell>
          <cell r="F1182">
            <v>3</v>
          </cell>
          <cell r="G1182">
            <v>37042</v>
          </cell>
          <cell r="I1182" t="str">
            <v>North America</v>
          </cell>
          <cell r="J1182" t="str">
            <v>USA</v>
          </cell>
          <cell r="K1182">
            <v>36087</v>
          </cell>
        </row>
        <row r="1183">
          <cell r="A1183" t="str">
            <v>In service</v>
          </cell>
          <cell r="B1183" t="str">
            <v>Gulfstream Aerospace Gulfstream V</v>
          </cell>
          <cell r="C1183" t="str">
            <v xml:space="preserve"> </v>
          </cell>
          <cell r="D1183">
            <v>2001</v>
          </cell>
          <cell r="E1183" t="str">
            <v>US Air Force</v>
          </cell>
          <cell r="F1183">
            <v>3</v>
          </cell>
          <cell r="G1183">
            <v>37179</v>
          </cell>
          <cell r="H1183" t="str">
            <v>C-37A</v>
          </cell>
          <cell r="I1183" t="str">
            <v>North America</v>
          </cell>
          <cell r="J1183" t="str">
            <v>USA</v>
          </cell>
          <cell r="K1183">
            <v>36826</v>
          </cell>
        </row>
        <row r="1184">
          <cell r="A1184" t="str">
            <v>In service</v>
          </cell>
          <cell r="B1184" t="str">
            <v>Gulfstream Aerospace Gulfstream V</v>
          </cell>
          <cell r="C1184" t="str">
            <v xml:space="preserve"> </v>
          </cell>
          <cell r="D1184">
            <v>2001</v>
          </cell>
          <cell r="E1184" t="str">
            <v>Netjets International</v>
          </cell>
          <cell r="F1184">
            <v>3</v>
          </cell>
          <cell r="G1184">
            <v>37069</v>
          </cell>
          <cell r="I1184" t="str">
            <v>North America</v>
          </cell>
          <cell r="J1184" t="str">
            <v>USA</v>
          </cell>
          <cell r="K1184">
            <v>36087</v>
          </cell>
        </row>
        <row r="1185">
          <cell r="A1185" t="str">
            <v>In service</v>
          </cell>
          <cell r="B1185" t="str">
            <v>Gulfstream Aerospace Gulfstream V</v>
          </cell>
          <cell r="C1185" t="str">
            <v xml:space="preserve"> </v>
          </cell>
          <cell r="D1185">
            <v>2000</v>
          </cell>
          <cell r="E1185" t="str">
            <v>Fightertown Inc</v>
          </cell>
          <cell r="F1185">
            <v>4</v>
          </cell>
          <cell r="G1185">
            <v>36878</v>
          </cell>
          <cell r="I1185" t="str">
            <v>North America</v>
          </cell>
          <cell r="J1185" t="str">
            <v>USA</v>
          </cell>
          <cell r="K1185">
            <v>36341</v>
          </cell>
        </row>
        <row r="1186">
          <cell r="A1186" t="str">
            <v>In service</v>
          </cell>
          <cell r="B1186" t="str">
            <v>Gulfstream Aerospace Gulfstream V</v>
          </cell>
          <cell r="C1186" t="str">
            <v xml:space="preserve"> </v>
          </cell>
          <cell r="D1186">
            <v>2001</v>
          </cell>
          <cell r="E1186" t="str">
            <v>Miranda International Aviation Inc</v>
          </cell>
          <cell r="F1186">
            <v>3</v>
          </cell>
          <cell r="G1186">
            <v>37246</v>
          </cell>
          <cell r="I1186" t="str">
            <v>North America</v>
          </cell>
          <cell r="J1186" t="str">
            <v>USA</v>
          </cell>
          <cell r="K1186">
            <v>36341</v>
          </cell>
        </row>
        <row r="1187">
          <cell r="A1187" t="str">
            <v>In service</v>
          </cell>
          <cell r="B1187" t="str">
            <v>Gulfstream Aerospace Gulfstream V</v>
          </cell>
          <cell r="C1187" t="str">
            <v xml:space="preserve"> </v>
          </cell>
          <cell r="D1187">
            <v>2000</v>
          </cell>
          <cell r="E1187" t="str">
            <v>Ivanhoe Capital Aviation LLC</v>
          </cell>
          <cell r="F1187">
            <v>4</v>
          </cell>
          <cell r="G1187">
            <v>36907</v>
          </cell>
          <cell r="I1187" t="str">
            <v>North America</v>
          </cell>
          <cell r="J1187" t="str">
            <v>USA</v>
          </cell>
          <cell r="K1187">
            <v>36707</v>
          </cell>
        </row>
        <row r="1188">
          <cell r="A1188" t="str">
            <v>In service</v>
          </cell>
          <cell r="B1188" t="str">
            <v>Gulfstream Aerospace Gulfstream V</v>
          </cell>
          <cell r="C1188" t="str">
            <v xml:space="preserve"> </v>
          </cell>
          <cell r="D1188">
            <v>2001</v>
          </cell>
          <cell r="E1188" t="str">
            <v>The Air Group Inc</v>
          </cell>
          <cell r="F1188">
            <v>3</v>
          </cell>
          <cell r="G1188">
            <v>37236</v>
          </cell>
          <cell r="I1188" t="str">
            <v>North America</v>
          </cell>
          <cell r="J1188" t="str">
            <v>USA</v>
          </cell>
          <cell r="K1188">
            <v>36707</v>
          </cell>
        </row>
        <row r="1189">
          <cell r="A1189" t="str">
            <v>In service</v>
          </cell>
          <cell r="B1189" t="str">
            <v>Gulfstream Aerospace Gulfstream V</v>
          </cell>
          <cell r="C1189" t="str">
            <v xml:space="preserve"> </v>
          </cell>
          <cell r="D1189">
            <v>2001</v>
          </cell>
          <cell r="E1189" t="str">
            <v>EDS Information Services LLC</v>
          </cell>
          <cell r="F1189">
            <v>3</v>
          </cell>
          <cell r="G1189">
            <v>37161</v>
          </cell>
          <cell r="I1189" t="str">
            <v>North America</v>
          </cell>
          <cell r="J1189" t="str">
            <v>USA</v>
          </cell>
          <cell r="K1189">
            <v>36341</v>
          </cell>
        </row>
        <row r="1190">
          <cell r="A1190" t="str">
            <v>In service</v>
          </cell>
          <cell r="B1190" t="str">
            <v>Gulfstream Aerospace Gulfstream V</v>
          </cell>
          <cell r="C1190" t="str">
            <v xml:space="preserve"> </v>
          </cell>
          <cell r="D1190">
            <v>2001</v>
          </cell>
          <cell r="E1190" t="str">
            <v>Netjets International</v>
          </cell>
          <cell r="F1190">
            <v>3</v>
          </cell>
          <cell r="G1190">
            <v>37162</v>
          </cell>
          <cell r="I1190" t="str">
            <v>North America</v>
          </cell>
          <cell r="J1190" t="str">
            <v>USA</v>
          </cell>
          <cell r="K1190">
            <v>36087</v>
          </cell>
        </row>
        <row r="1191">
          <cell r="A1191" t="str">
            <v>In service</v>
          </cell>
          <cell r="B1191" t="str">
            <v>Gulfstream Aerospace Gulfstream V</v>
          </cell>
          <cell r="C1191" t="str">
            <v xml:space="preserve"> </v>
          </cell>
          <cell r="D1191">
            <v>2001</v>
          </cell>
          <cell r="E1191" t="str">
            <v>Gulfstream Aerospace Corp</v>
          </cell>
          <cell r="F1191">
            <v>3</v>
          </cell>
          <cell r="I1191" t="str">
            <v>North America</v>
          </cell>
          <cell r="J1191" t="str">
            <v>USA</v>
          </cell>
        </row>
        <row r="1192">
          <cell r="A1192" t="str">
            <v>In service</v>
          </cell>
          <cell r="B1192" t="str">
            <v>Gulfstream Aerospace Gulfstream V</v>
          </cell>
          <cell r="C1192" t="str">
            <v xml:space="preserve"> </v>
          </cell>
          <cell r="D1192">
            <v>2001</v>
          </cell>
          <cell r="E1192" t="str">
            <v>Lexair III Limited</v>
          </cell>
          <cell r="F1192">
            <v>3</v>
          </cell>
          <cell r="G1192">
            <v>36987</v>
          </cell>
          <cell r="I1192" t="str">
            <v>North America</v>
          </cell>
          <cell r="J1192" t="str">
            <v>USA</v>
          </cell>
          <cell r="K1192">
            <v>36707</v>
          </cell>
        </row>
        <row r="1193">
          <cell r="A1193" t="str">
            <v>In service</v>
          </cell>
          <cell r="B1193" t="str">
            <v>Gulfstream Aerospace Gulfstream V</v>
          </cell>
          <cell r="C1193" t="str">
            <v xml:space="preserve"> </v>
          </cell>
          <cell r="D1193">
            <v>2001</v>
          </cell>
          <cell r="E1193" t="str">
            <v>Anglo American Corp of South Africa</v>
          </cell>
          <cell r="F1193">
            <v>3</v>
          </cell>
          <cell r="G1193">
            <v>37247</v>
          </cell>
          <cell r="I1193" t="str">
            <v>Africa</v>
          </cell>
          <cell r="J1193" t="str">
            <v>South Africa</v>
          </cell>
          <cell r="K1193">
            <v>35611</v>
          </cell>
        </row>
        <row r="1194">
          <cell r="A1194" t="str">
            <v>In service</v>
          </cell>
          <cell r="B1194" t="str">
            <v>Gulfstream Aerospace Gulfstream V</v>
          </cell>
          <cell r="C1194" t="str">
            <v xml:space="preserve"> </v>
          </cell>
          <cell r="D1194">
            <v>2001</v>
          </cell>
          <cell r="E1194" t="str">
            <v>Pfizer Inc</v>
          </cell>
          <cell r="F1194">
            <v>3</v>
          </cell>
          <cell r="G1194">
            <v>37256</v>
          </cell>
          <cell r="I1194" t="str">
            <v>North America</v>
          </cell>
          <cell r="J1194" t="str">
            <v>USA</v>
          </cell>
          <cell r="K1194">
            <v>36341</v>
          </cell>
        </row>
        <row r="1195">
          <cell r="A1195" t="str">
            <v>In service</v>
          </cell>
          <cell r="B1195" t="str">
            <v>Gulfstream Aerospace Gulfstream V</v>
          </cell>
          <cell r="C1195" t="str">
            <v xml:space="preserve"> </v>
          </cell>
          <cell r="D1195">
            <v>2001</v>
          </cell>
          <cell r="E1195" t="str">
            <v>BP Amoco Corp</v>
          </cell>
          <cell r="F1195">
            <v>3</v>
          </cell>
          <cell r="G1195">
            <v>37253</v>
          </cell>
          <cell r="I1195" t="str">
            <v>North America</v>
          </cell>
          <cell r="J1195" t="str">
            <v>USA</v>
          </cell>
          <cell r="K1195">
            <v>36045</v>
          </cell>
        </row>
        <row r="1196">
          <cell r="A1196" t="str">
            <v>In service</v>
          </cell>
          <cell r="B1196" t="str">
            <v>Gulfstream Aerospace Gulfstream V</v>
          </cell>
          <cell r="C1196" t="str">
            <v xml:space="preserve"> </v>
          </cell>
          <cell r="D1196">
            <v>2001</v>
          </cell>
          <cell r="E1196" t="str">
            <v>Netjets International</v>
          </cell>
          <cell r="F1196">
            <v>3</v>
          </cell>
          <cell r="G1196">
            <v>37196</v>
          </cell>
          <cell r="I1196" t="str">
            <v>North America</v>
          </cell>
          <cell r="J1196" t="str">
            <v>USA</v>
          </cell>
          <cell r="K1196">
            <v>36087</v>
          </cell>
        </row>
        <row r="1197">
          <cell r="A1197" t="str">
            <v>In service</v>
          </cell>
          <cell r="B1197" t="str">
            <v>Gulfstream Aerospace Gulfstream V</v>
          </cell>
          <cell r="C1197" t="str">
            <v xml:space="preserve"> </v>
          </cell>
          <cell r="D1197">
            <v>2001</v>
          </cell>
          <cell r="E1197" t="str">
            <v>Jet Aviation Business Jets</v>
          </cell>
          <cell r="F1197">
            <v>3</v>
          </cell>
          <cell r="G1197">
            <v>37298</v>
          </cell>
          <cell r="I1197" t="str">
            <v>Europe</v>
          </cell>
          <cell r="J1197" t="str">
            <v>Switzerland</v>
          </cell>
          <cell r="K1197">
            <v>37072</v>
          </cell>
        </row>
        <row r="1198">
          <cell r="A1198" t="str">
            <v>In service</v>
          </cell>
          <cell r="B1198" t="str">
            <v>Gulfstream Aerospace Gulfstream V</v>
          </cell>
          <cell r="C1198" t="str">
            <v xml:space="preserve"> </v>
          </cell>
          <cell r="D1198">
            <v>2001</v>
          </cell>
          <cell r="E1198" t="str">
            <v>CSC Transport IV Inc</v>
          </cell>
          <cell r="F1198">
            <v>3</v>
          </cell>
          <cell r="G1198">
            <v>37197</v>
          </cell>
          <cell r="I1198" t="str">
            <v>North America</v>
          </cell>
          <cell r="J1198" t="str">
            <v>USA</v>
          </cell>
          <cell r="K1198">
            <v>36707</v>
          </cell>
        </row>
        <row r="1199">
          <cell r="A1199" t="str">
            <v>In service</v>
          </cell>
          <cell r="B1199" t="str">
            <v>Gulfstream Aerospace Gulfstream V</v>
          </cell>
          <cell r="C1199" t="str">
            <v xml:space="preserve"> </v>
          </cell>
          <cell r="D1199">
            <v>2002</v>
          </cell>
          <cell r="E1199" t="str">
            <v>Bank of America NA</v>
          </cell>
          <cell r="F1199">
            <v>2</v>
          </cell>
          <cell r="G1199">
            <v>37348</v>
          </cell>
          <cell r="I1199" t="str">
            <v>North America</v>
          </cell>
          <cell r="J1199" t="str">
            <v>USA</v>
          </cell>
          <cell r="K1199">
            <v>36707</v>
          </cell>
        </row>
        <row r="1200">
          <cell r="A1200" t="str">
            <v>In service</v>
          </cell>
          <cell r="B1200" t="str">
            <v>Gulfstream Aerospace Gulfstream V</v>
          </cell>
          <cell r="C1200" t="str">
            <v xml:space="preserve"> </v>
          </cell>
          <cell r="D1200">
            <v>2001</v>
          </cell>
          <cell r="E1200" t="str">
            <v>International Jet Management GbmH</v>
          </cell>
          <cell r="F1200">
            <v>3</v>
          </cell>
          <cell r="G1200">
            <v>37393</v>
          </cell>
          <cell r="I1200" t="str">
            <v>Europe</v>
          </cell>
          <cell r="J1200" t="str">
            <v>Austria</v>
          </cell>
          <cell r="K1200">
            <v>36707</v>
          </cell>
        </row>
        <row r="1201">
          <cell r="A1201" t="str">
            <v>In service</v>
          </cell>
          <cell r="B1201" t="str">
            <v>Gulfstream Aerospace Gulfstream V</v>
          </cell>
          <cell r="C1201" t="str">
            <v xml:space="preserve"> </v>
          </cell>
          <cell r="D1201">
            <v>2001</v>
          </cell>
          <cell r="E1201" t="str">
            <v>NetJets Europe</v>
          </cell>
          <cell r="F1201">
            <v>3</v>
          </cell>
          <cell r="G1201">
            <v>37237</v>
          </cell>
          <cell r="I1201" t="str">
            <v>Europe</v>
          </cell>
          <cell r="J1201" t="str">
            <v>Portugal</v>
          </cell>
          <cell r="K1201">
            <v>36087</v>
          </cell>
        </row>
        <row r="1202">
          <cell r="A1202" t="str">
            <v>In service</v>
          </cell>
          <cell r="B1202" t="str">
            <v>Gulfstream Aerospace Gulfstream V</v>
          </cell>
          <cell r="C1202" t="str">
            <v xml:space="preserve"> </v>
          </cell>
          <cell r="D1202">
            <v>2001</v>
          </cell>
          <cell r="E1202" t="str">
            <v>Federal Government of Nigeria</v>
          </cell>
          <cell r="F1202">
            <v>3</v>
          </cell>
          <cell r="G1202">
            <v>37266</v>
          </cell>
          <cell r="I1202" t="str">
            <v>Africa</v>
          </cell>
          <cell r="J1202" t="str">
            <v>Nigeria</v>
          </cell>
          <cell r="K1202">
            <v>36707</v>
          </cell>
        </row>
        <row r="1203">
          <cell r="A1203" t="str">
            <v>In service</v>
          </cell>
          <cell r="B1203" t="str">
            <v>Gulfstream Aerospace Gulfstream V</v>
          </cell>
          <cell r="C1203" t="str">
            <v xml:space="preserve"> </v>
          </cell>
          <cell r="D1203">
            <v>2002</v>
          </cell>
          <cell r="E1203" t="str">
            <v>Saudi Aeromedical Evacuation</v>
          </cell>
          <cell r="F1203">
            <v>2</v>
          </cell>
          <cell r="G1203">
            <v>37442</v>
          </cell>
          <cell r="I1203" t="str">
            <v>Middle East</v>
          </cell>
          <cell r="J1203" t="str">
            <v>Saudi Arabia</v>
          </cell>
          <cell r="K1203">
            <v>37072</v>
          </cell>
        </row>
        <row r="1204">
          <cell r="A1204" t="str">
            <v>In service</v>
          </cell>
          <cell r="B1204" t="str">
            <v>Gulfstream Aerospace Gulfstream V</v>
          </cell>
          <cell r="C1204" t="str">
            <v xml:space="preserve"> </v>
          </cell>
          <cell r="D1204">
            <v>2001</v>
          </cell>
          <cell r="E1204" t="str">
            <v>US Air Force</v>
          </cell>
          <cell r="F1204">
            <v>3</v>
          </cell>
          <cell r="G1204">
            <v>37286</v>
          </cell>
          <cell r="H1204" t="str">
            <v>C-37A</v>
          </cell>
          <cell r="I1204" t="str">
            <v>North America</v>
          </cell>
          <cell r="J1204" t="str">
            <v>USA</v>
          </cell>
          <cell r="K1204">
            <v>36826</v>
          </cell>
        </row>
        <row r="1205">
          <cell r="A1205" t="str">
            <v>In service</v>
          </cell>
          <cell r="B1205" t="str">
            <v>Gulfstream Aerospace Gulfstream V</v>
          </cell>
          <cell r="C1205" t="str">
            <v xml:space="preserve"> </v>
          </cell>
          <cell r="D1205">
            <v>2001</v>
          </cell>
          <cell r="E1205" t="str">
            <v>Star Aircraft Leasing SA</v>
          </cell>
          <cell r="F1205">
            <v>3</v>
          </cell>
          <cell r="G1205">
            <v>37245</v>
          </cell>
          <cell r="I1205" t="str">
            <v>Europe</v>
          </cell>
          <cell r="J1205" t="str">
            <v>Luxembourg</v>
          </cell>
          <cell r="K1205">
            <v>36707</v>
          </cell>
        </row>
        <row r="1206">
          <cell r="A1206" t="str">
            <v>In service</v>
          </cell>
          <cell r="B1206" t="str">
            <v>Gulfstream Aerospace Gulfstream V</v>
          </cell>
          <cell r="C1206" t="str">
            <v xml:space="preserve"> </v>
          </cell>
          <cell r="D1206">
            <v>2002</v>
          </cell>
          <cell r="E1206" t="str">
            <v>Netjets International</v>
          </cell>
          <cell r="F1206">
            <v>2</v>
          </cell>
          <cell r="G1206">
            <v>37302</v>
          </cell>
          <cell r="I1206" t="str">
            <v>North America</v>
          </cell>
          <cell r="J1206" t="str">
            <v>USA</v>
          </cell>
          <cell r="K1206">
            <v>36087</v>
          </cell>
        </row>
        <row r="1207">
          <cell r="A1207" t="str">
            <v>In service</v>
          </cell>
          <cell r="B1207" t="str">
            <v>Gulfstream Aerospace Gulfstream V</v>
          </cell>
          <cell r="C1207" t="str">
            <v xml:space="preserve"> </v>
          </cell>
          <cell r="D1207">
            <v>2002</v>
          </cell>
          <cell r="E1207" t="str">
            <v>Corporate Aviation LLC</v>
          </cell>
          <cell r="F1207">
            <v>2</v>
          </cell>
          <cell r="G1207">
            <v>37436</v>
          </cell>
          <cell r="I1207" t="str">
            <v>North America</v>
          </cell>
          <cell r="J1207" t="str">
            <v>USA</v>
          </cell>
          <cell r="K1207">
            <v>37072</v>
          </cell>
        </row>
        <row r="1208">
          <cell r="A1208" t="str">
            <v>In service</v>
          </cell>
          <cell r="B1208" t="str">
            <v>Gulfstream Aerospace Gulfstream V</v>
          </cell>
          <cell r="C1208" t="str">
            <v xml:space="preserve"> </v>
          </cell>
          <cell r="D1208">
            <v>2001</v>
          </cell>
          <cell r="E1208" t="str">
            <v>Costco Warehouses Inc</v>
          </cell>
          <cell r="F1208">
            <v>3</v>
          </cell>
          <cell r="G1208">
            <v>37344</v>
          </cell>
          <cell r="I1208" t="str">
            <v>North America</v>
          </cell>
          <cell r="J1208" t="str">
            <v>USA</v>
          </cell>
          <cell r="K1208">
            <v>36045</v>
          </cell>
        </row>
        <row r="1209">
          <cell r="A1209" t="str">
            <v>In service</v>
          </cell>
          <cell r="B1209" t="str">
            <v>Gulfstream Aerospace Gulfstream V</v>
          </cell>
          <cell r="C1209" t="str">
            <v xml:space="preserve"> </v>
          </cell>
          <cell r="D1209">
            <v>2002</v>
          </cell>
          <cell r="E1209" t="str">
            <v>Cox Communications Inc</v>
          </cell>
          <cell r="F1209">
            <v>2</v>
          </cell>
          <cell r="G1209">
            <v>37432</v>
          </cell>
          <cell r="I1209" t="str">
            <v>North America</v>
          </cell>
          <cell r="J1209" t="str">
            <v>USA</v>
          </cell>
          <cell r="K1209">
            <v>36707</v>
          </cell>
        </row>
        <row r="1210">
          <cell r="A1210" t="str">
            <v>In service</v>
          </cell>
          <cell r="B1210" t="str">
            <v>Gulfstream Aerospace Gulfstream V</v>
          </cell>
          <cell r="C1210" t="str">
            <v xml:space="preserve"> </v>
          </cell>
          <cell r="D1210">
            <v>2002</v>
          </cell>
          <cell r="E1210" t="str">
            <v>Ark-Air Flight Inc</v>
          </cell>
          <cell r="F1210">
            <v>2</v>
          </cell>
          <cell r="G1210">
            <v>37435</v>
          </cell>
          <cell r="I1210" t="str">
            <v>North America</v>
          </cell>
          <cell r="J1210" t="str">
            <v>USA</v>
          </cell>
          <cell r="K1210">
            <v>36045</v>
          </cell>
        </row>
        <row r="1211">
          <cell r="A1211" t="str">
            <v>In service</v>
          </cell>
          <cell r="B1211" t="str">
            <v>Gulfstream Aerospace Gulfstream V</v>
          </cell>
          <cell r="C1211" t="str">
            <v xml:space="preserve"> </v>
          </cell>
          <cell r="D1211">
            <v>2002</v>
          </cell>
          <cell r="E1211" t="str">
            <v>US Air Force</v>
          </cell>
          <cell r="F1211">
            <v>2</v>
          </cell>
          <cell r="G1211">
            <v>37391</v>
          </cell>
          <cell r="H1211" t="str">
            <v>C-37A</v>
          </cell>
          <cell r="I1211" t="str">
            <v>North America</v>
          </cell>
          <cell r="J1211" t="str">
            <v>USA</v>
          </cell>
          <cell r="K1211">
            <v>36826</v>
          </cell>
        </row>
        <row r="1212">
          <cell r="A1212" t="str">
            <v>In service</v>
          </cell>
          <cell r="B1212" t="str">
            <v>Gulfstream Aerospace Gulfstream V</v>
          </cell>
          <cell r="C1212" t="str">
            <v xml:space="preserve"> </v>
          </cell>
          <cell r="D1212">
            <v>2002</v>
          </cell>
          <cell r="E1212" t="str">
            <v>US Coast Guard</v>
          </cell>
          <cell r="F1212">
            <v>2</v>
          </cell>
          <cell r="G1212">
            <v>37422</v>
          </cell>
          <cell r="H1212" t="str">
            <v>C-37A</v>
          </cell>
          <cell r="I1212" t="str">
            <v>North America</v>
          </cell>
          <cell r="J1212" t="str">
            <v>USA</v>
          </cell>
          <cell r="K1212">
            <v>36875</v>
          </cell>
        </row>
        <row r="1213">
          <cell r="A1213" t="str">
            <v>In service</v>
          </cell>
          <cell r="B1213" t="str">
            <v>Gulfstream Aerospace Gulfstream V</v>
          </cell>
          <cell r="C1213" t="str">
            <v xml:space="preserve"> </v>
          </cell>
          <cell r="D1213">
            <v>2002</v>
          </cell>
          <cell r="E1213" t="str">
            <v>Bristol-Myers Squibb Company</v>
          </cell>
          <cell r="F1213">
            <v>2</v>
          </cell>
          <cell r="G1213">
            <v>37452</v>
          </cell>
          <cell r="I1213" t="str">
            <v>North America</v>
          </cell>
          <cell r="J1213" t="str">
            <v>USA</v>
          </cell>
          <cell r="K1213">
            <v>36707</v>
          </cell>
        </row>
        <row r="1214">
          <cell r="A1214" t="str">
            <v>In service</v>
          </cell>
          <cell r="B1214" t="str">
            <v>Gulfstream Aerospace Gulfstream V</v>
          </cell>
          <cell r="C1214" t="str">
            <v xml:space="preserve"> </v>
          </cell>
          <cell r="D1214">
            <v>2002</v>
          </cell>
          <cell r="E1214" t="str">
            <v>Penobscot Properties LLC</v>
          </cell>
          <cell r="F1214">
            <v>2</v>
          </cell>
          <cell r="G1214">
            <v>37397</v>
          </cell>
          <cell r="I1214" t="str">
            <v>North America</v>
          </cell>
          <cell r="J1214" t="str">
            <v>USA</v>
          </cell>
          <cell r="K1214">
            <v>36707</v>
          </cell>
        </row>
        <row r="1215">
          <cell r="A1215" t="str">
            <v>In service</v>
          </cell>
          <cell r="B1215" t="str">
            <v>Gulfstream Aerospace Gulfstream V</v>
          </cell>
          <cell r="C1215" t="str">
            <v xml:space="preserve"> </v>
          </cell>
          <cell r="D1215">
            <v>2001</v>
          </cell>
          <cell r="E1215" t="str">
            <v>The Air Group Inc</v>
          </cell>
          <cell r="F1215">
            <v>3</v>
          </cell>
          <cell r="G1215">
            <v>37258</v>
          </cell>
          <cell r="I1215" t="str">
            <v>North America</v>
          </cell>
          <cell r="J1215" t="str">
            <v>USA</v>
          </cell>
          <cell r="K1215">
            <v>36707</v>
          </cell>
        </row>
        <row r="1216">
          <cell r="A1216" t="str">
            <v>In service</v>
          </cell>
          <cell r="B1216" t="str">
            <v>Gulfstream Aerospace Gulfstream V</v>
          </cell>
          <cell r="C1216" t="str">
            <v xml:space="preserve"> </v>
          </cell>
          <cell r="D1216">
            <v>2002</v>
          </cell>
          <cell r="E1216" t="str">
            <v>US Navy</v>
          </cell>
          <cell r="F1216">
            <v>2</v>
          </cell>
          <cell r="G1216">
            <v>37422</v>
          </cell>
          <cell r="H1216" t="str">
            <v>C-37A</v>
          </cell>
          <cell r="I1216" t="str">
            <v>North America</v>
          </cell>
          <cell r="J1216" t="str">
            <v>USA</v>
          </cell>
          <cell r="K1216">
            <v>37361</v>
          </cell>
        </row>
        <row r="1217">
          <cell r="A1217" t="str">
            <v>In service</v>
          </cell>
          <cell r="B1217" t="str">
            <v>Gulfstream Aerospace Gulfstream V</v>
          </cell>
          <cell r="C1217" t="str">
            <v xml:space="preserve"> </v>
          </cell>
          <cell r="D1217">
            <v>2002</v>
          </cell>
          <cell r="E1217" t="str">
            <v>Netjets International</v>
          </cell>
          <cell r="F1217">
            <v>2</v>
          </cell>
          <cell r="G1217">
            <v>37433</v>
          </cell>
          <cell r="I1217" t="str">
            <v>North America</v>
          </cell>
          <cell r="J1217" t="str">
            <v>USA</v>
          </cell>
          <cell r="K1217">
            <v>36087</v>
          </cell>
        </row>
        <row r="1218">
          <cell r="A1218" t="str">
            <v>In service</v>
          </cell>
          <cell r="B1218" t="str">
            <v>Gulfstream Aerospace Gulfstream V</v>
          </cell>
          <cell r="C1218" t="str">
            <v xml:space="preserve"> </v>
          </cell>
          <cell r="D1218">
            <v>2002</v>
          </cell>
          <cell r="E1218" t="str">
            <v>Air Tiger I LLC</v>
          </cell>
          <cell r="F1218">
            <v>2</v>
          </cell>
          <cell r="G1218">
            <v>37428</v>
          </cell>
          <cell r="I1218" t="str">
            <v>North America</v>
          </cell>
          <cell r="J1218" t="str">
            <v>USA</v>
          </cell>
          <cell r="K1218">
            <v>36707</v>
          </cell>
        </row>
        <row r="1219">
          <cell r="A1219" t="str">
            <v>In service</v>
          </cell>
          <cell r="B1219" t="str">
            <v>Gulfstream Aerospace Gulfstream V</v>
          </cell>
          <cell r="C1219" t="str">
            <v xml:space="preserve"> </v>
          </cell>
          <cell r="D1219">
            <v>2002</v>
          </cell>
          <cell r="E1219" t="str">
            <v>Toyota Motor Sales USA Inc</v>
          </cell>
          <cell r="F1219">
            <v>2</v>
          </cell>
          <cell r="G1219">
            <v>37435</v>
          </cell>
          <cell r="I1219" t="str">
            <v>North America</v>
          </cell>
          <cell r="J1219" t="str">
            <v>USA</v>
          </cell>
          <cell r="K1219">
            <v>36707</v>
          </cell>
        </row>
        <row r="1220">
          <cell r="A1220" t="str">
            <v>In service</v>
          </cell>
          <cell r="B1220" t="str">
            <v>Gulfstream Aerospace Gulfstream V</v>
          </cell>
          <cell r="C1220" t="str">
            <v xml:space="preserve"> </v>
          </cell>
          <cell r="D1220">
            <v>2002</v>
          </cell>
          <cell r="E1220" t="str">
            <v>Kimberly-Clark Global Sales Inc</v>
          </cell>
          <cell r="F1220">
            <v>2</v>
          </cell>
          <cell r="G1220">
            <v>37433</v>
          </cell>
          <cell r="I1220" t="str">
            <v>North America</v>
          </cell>
          <cell r="J1220" t="str">
            <v>USA</v>
          </cell>
          <cell r="K1220">
            <v>36707</v>
          </cell>
        </row>
        <row r="1221">
          <cell r="A1221" t="str">
            <v>In service</v>
          </cell>
          <cell r="B1221" t="str">
            <v>Gulfstream Aerospace Gulfstream V</v>
          </cell>
          <cell r="C1221" t="str">
            <v xml:space="preserve"> </v>
          </cell>
          <cell r="D1221">
            <v>2002</v>
          </cell>
          <cell r="E1221" t="str">
            <v>Alcoa Aircraft Operations</v>
          </cell>
          <cell r="F1221">
            <v>2</v>
          </cell>
          <cell r="G1221">
            <v>37526</v>
          </cell>
          <cell r="I1221" t="str">
            <v>North America</v>
          </cell>
          <cell r="J1221" t="str">
            <v>USA</v>
          </cell>
          <cell r="K1221">
            <v>36707</v>
          </cell>
        </row>
        <row r="1222">
          <cell r="A1222" t="str">
            <v>In service</v>
          </cell>
          <cell r="B1222" t="str">
            <v>Gulfstream Aerospace Gulfstream V</v>
          </cell>
          <cell r="C1222" t="str">
            <v xml:space="preserve"> </v>
          </cell>
          <cell r="D1222">
            <v>2002</v>
          </cell>
          <cell r="E1222" t="str">
            <v>US Air Force</v>
          </cell>
          <cell r="F1222">
            <v>2</v>
          </cell>
          <cell r="G1222">
            <v>37361</v>
          </cell>
          <cell r="H1222" t="str">
            <v>C-37A</v>
          </cell>
          <cell r="I1222" t="str">
            <v>North America</v>
          </cell>
          <cell r="J1222" t="str">
            <v>USA</v>
          </cell>
          <cell r="K1222">
            <v>36826</v>
          </cell>
        </row>
        <row r="1223">
          <cell r="A1223" t="str">
            <v>In service</v>
          </cell>
          <cell r="B1223" t="str">
            <v>Gulfstream Aerospace Gulfstream V</v>
          </cell>
          <cell r="C1223" t="str">
            <v xml:space="preserve"> </v>
          </cell>
          <cell r="D1223">
            <v>2002</v>
          </cell>
          <cell r="E1223" t="str">
            <v>Servicios Aeronauticos Z SA de CV</v>
          </cell>
          <cell r="F1223">
            <v>2</v>
          </cell>
          <cell r="G1223">
            <v>37488</v>
          </cell>
          <cell r="I1223" t="str">
            <v>Latin America and Caribbean</v>
          </cell>
          <cell r="J1223" t="str">
            <v>Mexico</v>
          </cell>
          <cell r="K1223">
            <v>36707</v>
          </cell>
        </row>
        <row r="1224">
          <cell r="A1224" t="str">
            <v>In service</v>
          </cell>
          <cell r="B1224" t="str">
            <v>Gulfstream Aerospace Gulfstream V</v>
          </cell>
          <cell r="C1224" t="str">
            <v xml:space="preserve"> </v>
          </cell>
          <cell r="D1224">
            <v>2002</v>
          </cell>
          <cell r="E1224" t="str">
            <v>Open Road Airways Inc</v>
          </cell>
          <cell r="F1224">
            <v>2</v>
          </cell>
          <cell r="G1224">
            <v>37526</v>
          </cell>
          <cell r="I1224" t="str">
            <v>North America</v>
          </cell>
          <cell r="J1224" t="str">
            <v>USA</v>
          </cell>
          <cell r="K1224">
            <v>36707</v>
          </cell>
        </row>
        <row r="1225">
          <cell r="A1225" t="str">
            <v>In service</v>
          </cell>
          <cell r="B1225" t="str">
            <v>Gulfstream Aerospace Gulfstream V</v>
          </cell>
          <cell r="C1225" t="str">
            <v xml:space="preserve"> </v>
          </cell>
          <cell r="D1225">
            <v>2002</v>
          </cell>
          <cell r="E1225" t="str">
            <v>Open Road Airways Inc</v>
          </cell>
          <cell r="F1225">
            <v>2</v>
          </cell>
          <cell r="G1225">
            <v>37554</v>
          </cell>
          <cell r="I1225" t="str">
            <v>North America</v>
          </cell>
          <cell r="J1225" t="str">
            <v>USA</v>
          </cell>
          <cell r="K1225">
            <v>36707</v>
          </cell>
        </row>
        <row r="1226">
          <cell r="A1226" t="str">
            <v>In service</v>
          </cell>
          <cell r="B1226" t="str">
            <v>Gulfstream Aerospace Gulfstream V</v>
          </cell>
          <cell r="C1226" t="str">
            <v xml:space="preserve"> </v>
          </cell>
          <cell r="D1226">
            <v>2002</v>
          </cell>
          <cell r="E1226" t="str">
            <v>Starbucks Capital Asset Leasing Co LLC</v>
          </cell>
          <cell r="F1226">
            <v>2</v>
          </cell>
          <cell r="G1226">
            <v>37557</v>
          </cell>
          <cell r="I1226" t="str">
            <v>North America</v>
          </cell>
          <cell r="J1226" t="str">
            <v>USA</v>
          </cell>
          <cell r="K1226">
            <v>36707</v>
          </cell>
        </row>
        <row r="1227">
          <cell r="A1227" t="str">
            <v>In service</v>
          </cell>
          <cell r="B1227" t="str">
            <v>Gulfstream Aerospace Gulfstream V</v>
          </cell>
          <cell r="C1227" t="str">
            <v xml:space="preserve"> </v>
          </cell>
          <cell r="D1227">
            <v>2002</v>
          </cell>
          <cell r="E1227" t="str">
            <v>Executive Jet Charter</v>
          </cell>
          <cell r="F1227">
            <v>2</v>
          </cell>
          <cell r="G1227">
            <v>37519</v>
          </cell>
          <cell r="I1227" t="str">
            <v>North America</v>
          </cell>
          <cell r="J1227" t="str">
            <v>USA</v>
          </cell>
          <cell r="K1227">
            <v>36707</v>
          </cell>
        </row>
        <row r="1228">
          <cell r="A1228" t="str">
            <v>In service</v>
          </cell>
          <cell r="B1228" t="str">
            <v>Gulfstream Aerospace Gulfstream V</v>
          </cell>
          <cell r="C1228" t="str">
            <v xml:space="preserve"> </v>
          </cell>
          <cell r="D1228">
            <v>2002</v>
          </cell>
          <cell r="E1228" t="str">
            <v>US Air Force</v>
          </cell>
          <cell r="F1228">
            <v>2</v>
          </cell>
          <cell r="G1228">
            <v>37636</v>
          </cell>
          <cell r="H1228" t="str">
            <v>C-37A</v>
          </cell>
          <cell r="I1228" t="str">
            <v>North America</v>
          </cell>
          <cell r="J1228" t="str">
            <v>USA</v>
          </cell>
          <cell r="K1228">
            <v>37328</v>
          </cell>
        </row>
        <row r="1229">
          <cell r="A1229" t="str">
            <v>In service</v>
          </cell>
          <cell r="B1229" t="str">
            <v>Gulfstream Aerospace Gulfstream V</v>
          </cell>
          <cell r="C1229" t="str">
            <v xml:space="preserve"> </v>
          </cell>
          <cell r="D1229">
            <v>2002</v>
          </cell>
          <cell r="E1229" t="str">
            <v>BG Aviation LLC</v>
          </cell>
          <cell r="F1229">
            <v>2</v>
          </cell>
          <cell r="G1229">
            <v>37524</v>
          </cell>
          <cell r="I1229" t="str">
            <v>North America</v>
          </cell>
          <cell r="J1229" t="str">
            <v>USA</v>
          </cell>
          <cell r="K1229">
            <v>36707</v>
          </cell>
        </row>
        <row r="1230">
          <cell r="A1230" t="str">
            <v>In service</v>
          </cell>
          <cell r="B1230" t="str">
            <v>Gulfstream Aerospace Gulfstream V</v>
          </cell>
          <cell r="C1230" t="str">
            <v xml:space="preserve"> </v>
          </cell>
          <cell r="D1230">
            <v>2002</v>
          </cell>
          <cell r="E1230" t="str">
            <v>Transworld Oil America</v>
          </cell>
          <cell r="F1230">
            <v>2</v>
          </cell>
          <cell r="G1230">
            <v>37516</v>
          </cell>
          <cell r="I1230" t="str">
            <v>North America</v>
          </cell>
          <cell r="J1230" t="str">
            <v>USA</v>
          </cell>
          <cell r="K1230">
            <v>36707</v>
          </cell>
        </row>
        <row r="1231">
          <cell r="A1231" t="str">
            <v>In service</v>
          </cell>
          <cell r="B1231" t="str">
            <v>Gulfstream Aerospace Gulfstream V</v>
          </cell>
          <cell r="C1231" t="str">
            <v xml:space="preserve"> </v>
          </cell>
          <cell r="D1231">
            <v>2002</v>
          </cell>
          <cell r="E1231" t="str">
            <v>North Carolina Air &amp; Travel LLC</v>
          </cell>
          <cell r="F1231">
            <v>2</v>
          </cell>
          <cell r="G1231">
            <v>37585</v>
          </cell>
          <cell r="I1231" t="str">
            <v>North America</v>
          </cell>
          <cell r="J1231" t="str">
            <v>USA</v>
          </cell>
          <cell r="K1231">
            <v>36707</v>
          </cell>
        </row>
        <row r="1232">
          <cell r="A1232" t="str">
            <v>In service</v>
          </cell>
          <cell r="B1232" t="str">
            <v>Gulfstream Aerospace Gulfstream V</v>
          </cell>
          <cell r="C1232" t="str">
            <v xml:space="preserve"> </v>
          </cell>
          <cell r="D1232">
            <v>2002</v>
          </cell>
          <cell r="E1232" t="str">
            <v>East Coast Brokerage Services LLC</v>
          </cell>
          <cell r="F1232">
            <v>2</v>
          </cell>
          <cell r="G1232">
            <v>37575</v>
          </cell>
          <cell r="I1232" t="str">
            <v>North America</v>
          </cell>
          <cell r="J1232" t="str">
            <v>USA</v>
          </cell>
          <cell r="K1232">
            <v>36707</v>
          </cell>
        </row>
        <row r="1233">
          <cell r="A1233" t="str">
            <v>In service</v>
          </cell>
          <cell r="B1233" t="str">
            <v>Gulfstream Aerospace Gulfstream V</v>
          </cell>
          <cell r="C1233" t="str">
            <v xml:space="preserve"> </v>
          </cell>
          <cell r="D1233">
            <v>2002</v>
          </cell>
          <cell r="E1233" t="str">
            <v>Aventis Pharmaceuticals Inc</v>
          </cell>
          <cell r="F1233">
            <v>2</v>
          </cell>
          <cell r="G1233">
            <v>37671</v>
          </cell>
          <cell r="I1233" t="str">
            <v>North America</v>
          </cell>
          <cell r="J1233" t="str">
            <v>USA</v>
          </cell>
          <cell r="K1233">
            <v>36707</v>
          </cell>
        </row>
        <row r="1234">
          <cell r="A1234" t="str">
            <v>In service</v>
          </cell>
          <cell r="B1234" t="str">
            <v>Gulfstream Aerospace Gulfstream V</v>
          </cell>
          <cell r="C1234" t="str">
            <v xml:space="preserve"> </v>
          </cell>
          <cell r="D1234">
            <v>2002</v>
          </cell>
          <cell r="E1234" t="str">
            <v>Greek Air Force</v>
          </cell>
          <cell r="F1234">
            <v>2</v>
          </cell>
          <cell r="G1234">
            <v>37680</v>
          </cell>
          <cell r="I1234" t="str">
            <v>Europe</v>
          </cell>
          <cell r="J1234" t="str">
            <v>Greece</v>
          </cell>
          <cell r="K1234">
            <v>37330</v>
          </cell>
        </row>
        <row r="1235">
          <cell r="A1235" t="str">
            <v>In service</v>
          </cell>
          <cell r="B1235" t="str">
            <v>Gulfstream Aerospace Gulfstream V</v>
          </cell>
          <cell r="C1235" t="str">
            <v xml:space="preserve"> </v>
          </cell>
          <cell r="D1235">
            <v>2002</v>
          </cell>
          <cell r="E1235" t="str">
            <v>BMA Charter</v>
          </cell>
          <cell r="F1235">
            <v>2</v>
          </cell>
          <cell r="G1235">
            <v>37610</v>
          </cell>
          <cell r="I1235" t="str">
            <v>Europe</v>
          </cell>
          <cell r="J1235" t="str">
            <v>Czech Republic</v>
          </cell>
          <cell r="K1235">
            <v>36707</v>
          </cell>
        </row>
        <row r="1236">
          <cell r="A1236" t="str">
            <v>In service</v>
          </cell>
          <cell r="B1236" t="str">
            <v>Gulfstream Aerospace Gulfstream V</v>
          </cell>
          <cell r="C1236" t="str">
            <v xml:space="preserve"> </v>
          </cell>
          <cell r="D1236">
            <v>2002</v>
          </cell>
          <cell r="E1236" t="str">
            <v>ITT Industries Inc</v>
          </cell>
          <cell r="F1236">
            <v>2</v>
          </cell>
          <cell r="G1236">
            <v>37706</v>
          </cell>
          <cell r="I1236" t="str">
            <v>North America</v>
          </cell>
          <cell r="J1236" t="str">
            <v>USA</v>
          </cell>
          <cell r="K1236">
            <v>36707</v>
          </cell>
        </row>
        <row r="1237">
          <cell r="A1237" t="str">
            <v>In service</v>
          </cell>
          <cell r="B1237" t="str">
            <v>Gulfstream Aerospace Gulfstream V</v>
          </cell>
          <cell r="C1237" t="str">
            <v xml:space="preserve"> </v>
          </cell>
          <cell r="D1237">
            <v>2002</v>
          </cell>
          <cell r="E1237" t="str">
            <v>JCB Aviation Department</v>
          </cell>
          <cell r="F1237">
            <v>2</v>
          </cell>
          <cell r="G1237">
            <v>37818</v>
          </cell>
          <cell r="I1237" t="str">
            <v>Europe</v>
          </cell>
          <cell r="J1237" t="str">
            <v>United Kingdom</v>
          </cell>
          <cell r="K1237">
            <v>36707</v>
          </cell>
        </row>
        <row r="1238">
          <cell r="A1238" t="str">
            <v>In service</v>
          </cell>
          <cell r="B1238" t="str">
            <v>Gulfstream Aerospace Gulfstream V</v>
          </cell>
          <cell r="C1238" t="str">
            <v xml:space="preserve"> </v>
          </cell>
          <cell r="D1238">
            <v>2002</v>
          </cell>
          <cell r="E1238" t="str">
            <v>New World Jet Corp</v>
          </cell>
          <cell r="F1238">
            <v>2</v>
          </cell>
          <cell r="G1238">
            <v>37705</v>
          </cell>
          <cell r="I1238" t="str">
            <v>North America</v>
          </cell>
          <cell r="J1238" t="str">
            <v>USA</v>
          </cell>
          <cell r="K1238">
            <v>36707</v>
          </cell>
        </row>
        <row r="1239">
          <cell r="A1239" t="str">
            <v>In service</v>
          </cell>
          <cell r="B1239" t="str">
            <v>Gulfstream Aerospace Gulfstream V</v>
          </cell>
          <cell r="C1239" t="str">
            <v xml:space="preserve"> </v>
          </cell>
          <cell r="D1239">
            <v>2002</v>
          </cell>
          <cell r="E1239" t="str">
            <v>Enterprise Aviation LLC</v>
          </cell>
          <cell r="F1239">
            <v>2</v>
          </cell>
          <cell r="G1239">
            <v>37686</v>
          </cell>
          <cell r="I1239" t="str">
            <v>North America</v>
          </cell>
          <cell r="J1239" t="str">
            <v>USA</v>
          </cell>
          <cell r="K1239">
            <v>37072</v>
          </cell>
        </row>
        <row r="1240">
          <cell r="A1240" t="str">
            <v>In service</v>
          </cell>
          <cell r="B1240" t="str">
            <v>Gulfstream Aerospace Gulfstream V</v>
          </cell>
          <cell r="C1240" t="str">
            <v xml:space="preserve"> </v>
          </cell>
          <cell r="D1240">
            <v>2003</v>
          </cell>
          <cell r="E1240" t="str">
            <v>Jetalliance Flugbetriebs</v>
          </cell>
          <cell r="F1240">
            <v>1</v>
          </cell>
          <cell r="G1240">
            <v>37887</v>
          </cell>
          <cell r="I1240" t="str">
            <v>Europe</v>
          </cell>
          <cell r="J1240" t="str">
            <v>Austria</v>
          </cell>
          <cell r="K1240">
            <v>37437</v>
          </cell>
        </row>
        <row r="1241">
          <cell r="A1241" t="str">
            <v>In service</v>
          </cell>
          <cell r="B1241" t="str">
            <v>Gulfstream Aerospace Gulfstream V</v>
          </cell>
          <cell r="C1241" t="str">
            <v xml:space="preserve"> </v>
          </cell>
          <cell r="D1241">
            <v>2002</v>
          </cell>
          <cell r="E1241" t="str">
            <v>Hewlett-Packard Co</v>
          </cell>
          <cell r="F1241">
            <v>2</v>
          </cell>
          <cell r="G1241">
            <v>37799</v>
          </cell>
          <cell r="I1241" t="str">
            <v>North America</v>
          </cell>
          <cell r="J1241" t="str">
            <v>USA</v>
          </cell>
          <cell r="K1241">
            <v>37605</v>
          </cell>
        </row>
        <row r="1242">
          <cell r="A1242" t="str">
            <v>In service</v>
          </cell>
          <cell r="B1242" t="str">
            <v>Gulfstream Aerospace Gulfstream V</v>
          </cell>
          <cell r="C1242" t="str">
            <v xml:space="preserve"> </v>
          </cell>
          <cell r="D1242">
            <v>2002</v>
          </cell>
          <cell r="E1242" t="str">
            <v>J B Ivley &amp; Co</v>
          </cell>
          <cell r="F1242">
            <v>2</v>
          </cell>
          <cell r="G1242">
            <v>37770</v>
          </cell>
          <cell r="I1242" t="str">
            <v>North America</v>
          </cell>
          <cell r="J1242" t="str">
            <v>USA</v>
          </cell>
          <cell r="K1242">
            <v>36707</v>
          </cell>
        </row>
        <row r="1243">
          <cell r="A1243" t="str">
            <v>In service</v>
          </cell>
          <cell r="B1243" t="str">
            <v>Gulfstream Aerospace Gulfstream V</v>
          </cell>
          <cell r="C1243" t="str">
            <v xml:space="preserve"> </v>
          </cell>
          <cell r="D1243">
            <v>2002</v>
          </cell>
          <cell r="E1243" t="str">
            <v>RDV Properties Inc</v>
          </cell>
          <cell r="F1243">
            <v>2</v>
          </cell>
          <cell r="G1243">
            <v>37763</v>
          </cell>
          <cell r="I1243" t="str">
            <v>North America</v>
          </cell>
          <cell r="J1243" t="str">
            <v>USA</v>
          </cell>
          <cell r="K1243">
            <v>36707</v>
          </cell>
        </row>
        <row r="1244">
          <cell r="A1244" t="str">
            <v>In service</v>
          </cell>
          <cell r="B1244" t="str">
            <v>Gulfstream Aerospace Gulfstream V</v>
          </cell>
          <cell r="C1244" t="str">
            <v xml:space="preserve"> </v>
          </cell>
          <cell r="D1244">
            <v>2002</v>
          </cell>
          <cell r="E1244" t="str">
            <v>AirFlite</v>
          </cell>
          <cell r="F1244">
            <v>2</v>
          </cell>
          <cell r="G1244">
            <v>37624</v>
          </cell>
          <cell r="I1244" t="str">
            <v>North America</v>
          </cell>
          <cell r="J1244" t="str">
            <v>USA</v>
          </cell>
          <cell r="K1244">
            <v>36707</v>
          </cell>
        </row>
        <row r="1245">
          <cell r="A1245" t="str">
            <v>In service</v>
          </cell>
          <cell r="B1245" t="str">
            <v>Gulfstream Aerospace Gulfstream V</v>
          </cell>
          <cell r="C1245" t="str">
            <v xml:space="preserve"> </v>
          </cell>
          <cell r="D1245">
            <v>2002</v>
          </cell>
          <cell r="E1245" t="str">
            <v>Hewlett-Packard Co</v>
          </cell>
          <cell r="F1245">
            <v>2</v>
          </cell>
          <cell r="G1245">
            <v>37792</v>
          </cell>
          <cell r="I1245" t="str">
            <v>North America</v>
          </cell>
          <cell r="J1245" t="str">
            <v>USA</v>
          </cell>
          <cell r="K1245">
            <v>37605</v>
          </cell>
        </row>
        <row r="1246">
          <cell r="A1246" t="str">
            <v>In service</v>
          </cell>
          <cell r="B1246" t="str">
            <v>Gulfstream Aerospace Gulfstream V</v>
          </cell>
          <cell r="C1246" t="str">
            <v xml:space="preserve"> </v>
          </cell>
          <cell r="D1246">
            <v>2002</v>
          </cell>
          <cell r="E1246" t="str">
            <v>Trout LLC</v>
          </cell>
          <cell r="F1246">
            <v>2</v>
          </cell>
          <cell r="G1246">
            <v>37566</v>
          </cell>
          <cell r="I1246" t="str">
            <v>North America</v>
          </cell>
          <cell r="J1246" t="str">
            <v>USA</v>
          </cell>
          <cell r="K1246">
            <v>36707</v>
          </cell>
        </row>
        <row r="1248">
          <cell r="A1248">
            <v>2002</v>
          </cell>
        </row>
        <row r="1249">
          <cell r="A1249" t="str">
            <v>Status</v>
          </cell>
          <cell r="B1249" t="str">
            <v>Mfr &amp; Type</v>
          </cell>
          <cell r="C1249" t="str">
            <v>Variant</v>
          </cell>
          <cell r="D1249" t="str">
            <v>BuildYear</v>
          </cell>
          <cell r="E1249" t="str">
            <v>Operator</v>
          </cell>
          <cell r="F1249" t="str">
            <v>Age</v>
          </cell>
          <cell r="G1249" t="str">
            <v>Delivered</v>
          </cell>
          <cell r="H1249" t="str">
            <v>MinorVariant</v>
          </cell>
          <cell r="I1249" t="str">
            <v>OperatorArea</v>
          </cell>
          <cell r="J1249" t="str">
            <v>OperatorCountry</v>
          </cell>
          <cell r="K1249" t="str">
            <v>Ordered</v>
          </cell>
        </row>
        <row r="1250">
          <cell r="A1250" t="str">
            <v>In service</v>
          </cell>
          <cell r="B1250" t="str">
            <v>Gulfstream Aerospace Gulfstream G550</v>
          </cell>
          <cell r="D1250">
            <v>2002</v>
          </cell>
          <cell r="E1250" t="str">
            <v>Gulfstream Aerospace Corp</v>
          </cell>
          <cell r="F1250">
            <v>0</v>
          </cell>
          <cell r="I1250" t="str">
            <v>North America</v>
          </cell>
          <cell r="J1250" t="str">
            <v>USA</v>
          </cell>
        </row>
        <row r="1251">
          <cell r="A1251" t="str">
            <v>In service</v>
          </cell>
          <cell r="B1251" t="str">
            <v>Gulfstream Aerospace Gulfstream I</v>
          </cell>
          <cell r="C1251" t="str">
            <v xml:space="preserve"> </v>
          </cell>
          <cell r="D1251">
            <v>1963</v>
          </cell>
          <cell r="E1251" t="str">
            <v>Sky Bus Inc &amp; Plane I Leasing Co Inc</v>
          </cell>
          <cell r="F1251">
            <v>39</v>
          </cell>
          <cell r="G1251">
            <v>23074</v>
          </cell>
          <cell r="I1251" t="str">
            <v>North America</v>
          </cell>
          <cell r="J1251" t="str">
            <v>USA</v>
          </cell>
          <cell r="K1251">
            <v>23026</v>
          </cell>
        </row>
        <row r="1252">
          <cell r="A1252" t="str">
            <v>In service</v>
          </cell>
          <cell r="B1252" t="str">
            <v>Gulfstream Aerospace Gulfstream I</v>
          </cell>
          <cell r="C1252" t="str">
            <v xml:space="preserve"> </v>
          </cell>
          <cell r="D1252">
            <v>1963</v>
          </cell>
          <cell r="E1252" t="str">
            <v>Procuraduria General de la Republica Nacional</v>
          </cell>
          <cell r="F1252">
            <v>39</v>
          </cell>
          <cell r="G1252">
            <v>23092</v>
          </cell>
          <cell r="I1252" t="str">
            <v>Latin America and Caribbean</v>
          </cell>
          <cell r="J1252" t="str">
            <v>Mexico</v>
          </cell>
          <cell r="K1252">
            <v>23026</v>
          </cell>
        </row>
        <row r="1253">
          <cell r="A1253" t="str">
            <v>In service</v>
          </cell>
          <cell r="B1253" t="str">
            <v>Gulfstream Aerospace Gulfstream I</v>
          </cell>
          <cell r="C1253" t="str">
            <v xml:space="preserve"> </v>
          </cell>
          <cell r="D1253">
            <v>1963</v>
          </cell>
          <cell r="E1253" t="str">
            <v>Petro-Canada Explorations</v>
          </cell>
          <cell r="F1253">
            <v>39</v>
          </cell>
          <cell r="G1253">
            <v>23109</v>
          </cell>
          <cell r="I1253" t="str">
            <v>North America</v>
          </cell>
          <cell r="J1253" t="str">
            <v>Canada</v>
          </cell>
          <cell r="K1253">
            <v>23026</v>
          </cell>
        </row>
        <row r="1254">
          <cell r="A1254" t="str">
            <v>In service</v>
          </cell>
          <cell r="B1254" t="str">
            <v>Gulfstream Aerospace Gulfstream I</v>
          </cell>
          <cell r="C1254" t="str">
            <v xml:space="preserve"> </v>
          </cell>
          <cell r="D1254">
            <v>1959</v>
          </cell>
          <cell r="E1254" t="str">
            <v>Sanders Lead Co Inc</v>
          </cell>
          <cell r="F1254">
            <v>43</v>
          </cell>
          <cell r="G1254">
            <v>21790</v>
          </cell>
          <cell r="I1254" t="str">
            <v>North America</v>
          </cell>
          <cell r="J1254" t="str">
            <v>USA</v>
          </cell>
          <cell r="K1254">
            <v>21001</v>
          </cell>
        </row>
        <row r="1255">
          <cell r="A1255" t="str">
            <v>In service</v>
          </cell>
          <cell r="B1255" t="str">
            <v>Gulfstream Aerospace Gulfstream I</v>
          </cell>
          <cell r="C1255" t="str">
            <v xml:space="preserve"> </v>
          </cell>
          <cell r="D1255">
            <v>1963</v>
          </cell>
          <cell r="E1255" t="str">
            <v>Phoenix Air</v>
          </cell>
          <cell r="F1255">
            <v>39</v>
          </cell>
          <cell r="G1255">
            <v>23328</v>
          </cell>
          <cell r="I1255" t="str">
            <v>North America</v>
          </cell>
          <cell r="J1255" t="str">
            <v>USA</v>
          </cell>
          <cell r="K1255">
            <v>23177</v>
          </cell>
        </row>
        <row r="1256">
          <cell r="A1256" t="str">
            <v>In service</v>
          </cell>
          <cell r="B1256" t="str">
            <v>Gulfstream Aerospace Gulfstream I</v>
          </cell>
          <cell r="C1256" t="str">
            <v xml:space="preserve"> </v>
          </cell>
          <cell r="D1256">
            <v>1964</v>
          </cell>
          <cell r="E1256" t="str">
            <v>Intertransit</v>
          </cell>
          <cell r="F1256">
            <v>38</v>
          </cell>
          <cell r="G1256">
            <v>23424</v>
          </cell>
          <cell r="I1256" t="str">
            <v>Africa</v>
          </cell>
          <cell r="J1256" t="str">
            <v>Angola</v>
          </cell>
          <cell r="K1256">
            <v>23192</v>
          </cell>
        </row>
        <row r="1257">
          <cell r="A1257" t="str">
            <v>In service</v>
          </cell>
          <cell r="B1257" t="str">
            <v>Gulfstream Aerospace Gulfstream I</v>
          </cell>
          <cell r="C1257" t="str">
            <v xml:space="preserve"> </v>
          </cell>
          <cell r="D1257">
            <v>1964</v>
          </cell>
          <cell r="E1257" t="str">
            <v>Bonanza Aerolineas</v>
          </cell>
          <cell r="F1257">
            <v>38</v>
          </cell>
          <cell r="G1257">
            <v>23455</v>
          </cell>
          <cell r="I1257" t="str">
            <v>Latin America and Caribbean</v>
          </cell>
          <cell r="J1257" t="str">
            <v>Mexico</v>
          </cell>
          <cell r="K1257">
            <v>23192</v>
          </cell>
        </row>
        <row r="1258">
          <cell r="A1258" t="str">
            <v>In service</v>
          </cell>
          <cell r="B1258" t="str">
            <v>Gulfstream Aerospace Gulfstream I</v>
          </cell>
          <cell r="C1258" t="str">
            <v xml:space="preserve"> </v>
          </cell>
          <cell r="D1258">
            <v>1964</v>
          </cell>
          <cell r="E1258" t="str">
            <v>Aerial Films Inc</v>
          </cell>
          <cell r="F1258">
            <v>38</v>
          </cell>
          <cell r="G1258">
            <v>23508</v>
          </cell>
          <cell r="I1258" t="str">
            <v>North America</v>
          </cell>
          <cell r="J1258" t="str">
            <v>USA</v>
          </cell>
          <cell r="K1258">
            <v>23391</v>
          </cell>
        </row>
        <row r="1259">
          <cell r="A1259" t="str">
            <v>In service</v>
          </cell>
          <cell r="B1259" t="str">
            <v>Gulfstream Aerospace Gulfstream I</v>
          </cell>
          <cell r="C1259" t="str">
            <v xml:space="preserve"> </v>
          </cell>
          <cell r="D1259">
            <v>1964</v>
          </cell>
          <cell r="E1259" t="str">
            <v>Indonesia Air Transport</v>
          </cell>
          <cell r="F1259">
            <v>38</v>
          </cell>
          <cell r="G1259">
            <v>23498</v>
          </cell>
          <cell r="I1259" t="str">
            <v>Asia</v>
          </cell>
          <cell r="J1259" t="str">
            <v>Indonesia</v>
          </cell>
          <cell r="K1259">
            <v>23422</v>
          </cell>
        </row>
        <row r="1260">
          <cell r="A1260" t="str">
            <v>In service</v>
          </cell>
          <cell r="B1260" t="str">
            <v>Gulfstream Aerospace Gulfstream I</v>
          </cell>
          <cell r="C1260" t="str">
            <v xml:space="preserve"> </v>
          </cell>
          <cell r="D1260">
            <v>1964</v>
          </cell>
          <cell r="E1260" t="str">
            <v>Aero Minerales SA</v>
          </cell>
          <cell r="F1260">
            <v>38</v>
          </cell>
          <cell r="G1260">
            <v>23594</v>
          </cell>
          <cell r="I1260" t="str">
            <v>Latin America and Caribbean</v>
          </cell>
          <cell r="J1260" t="str">
            <v>Mexico</v>
          </cell>
          <cell r="K1260">
            <v>23558</v>
          </cell>
        </row>
        <row r="1261">
          <cell r="A1261" t="str">
            <v>In service</v>
          </cell>
          <cell r="B1261" t="str">
            <v>Gulfstream Aerospace Gulfstream I</v>
          </cell>
          <cell r="C1261" t="str">
            <v xml:space="preserve"> </v>
          </cell>
          <cell r="D1261">
            <v>1964</v>
          </cell>
          <cell r="E1261" t="str">
            <v>Phoenix Air</v>
          </cell>
          <cell r="F1261">
            <v>38</v>
          </cell>
          <cell r="G1261">
            <v>23629</v>
          </cell>
          <cell r="I1261" t="str">
            <v>North America</v>
          </cell>
          <cell r="J1261" t="str">
            <v>USA</v>
          </cell>
          <cell r="K1261">
            <v>23558</v>
          </cell>
        </row>
        <row r="1262">
          <cell r="A1262" t="str">
            <v>In service</v>
          </cell>
          <cell r="B1262" t="str">
            <v>Gulfstream Aerospace Gulfstream I</v>
          </cell>
          <cell r="C1262" t="str">
            <v xml:space="preserve"> </v>
          </cell>
          <cell r="D1262">
            <v>1964</v>
          </cell>
          <cell r="E1262" t="str">
            <v>Compania Rural de Occidente Ltda</v>
          </cell>
          <cell r="F1262">
            <v>38</v>
          </cell>
          <cell r="G1262">
            <v>23722</v>
          </cell>
          <cell r="I1262" t="str">
            <v>Latin America and Caribbean</v>
          </cell>
          <cell r="J1262" t="str">
            <v>Colombia</v>
          </cell>
          <cell r="K1262">
            <v>23635</v>
          </cell>
        </row>
        <row r="1263">
          <cell r="A1263" t="str">
            <v>In service</v>
          </cell>
          <cell r="B1263" t="str">
            <v>Gulfstream Aerospace Gulfstream I</v>
          </cell>
          <cell r="C1263" t="str">
            <v xml:space="preserve"> </v>
          </cell>
          <cell r="D1263">
            <v>1964</v>
          </cell>
          <cell r="E1263" t="str">
            <v>Skyservice Airlines</v>
          </cell>
          <cell r="F1263">
            <v>38</v>
          </cell>
          <cell r="G1263">
            <v>23746</v>
          </cell>
          <cell r="I1263" t="str">
            <v>North America</v>
          </cell>
          <cell r="J1263" t="str">
            <v>Canada</v>
          </cell>
          <cell r="K1263">
            <v>23558</v>
          </cell>
        </row>
        <row r="1264">
          <cell r="A1264" t="str">
            <v>In service</v>
          </cell>
          <cell r="B1264" t="str">
            <v>Gulfstream Aerospace Gulfstream I</v>
          </cell>
          <cell r="C1264" t="str">
            <v xml:space="preserve"> </v>
          </cell>
          <cell r="D1264">
            <v>1965</v>
          </cell>
          <cell r="E1264" t="str">
            <v>Phoenix Air</v>
          </cell>
          <cell r="F1264">
            <v>37</v>
          </cell>
          <cell r="G1264">
            <v>23925</v>
          </cell>
          <cell r="I1264" t="str">
            <v>North America</v>
          </cell>
          <cell r="J1264" t="str">
            <v>USA</v>
          </cell>
          <cell r="K1264">
            <v>23665</v>
          </cell>
        </row>
        <row r="1265">
          <cell r="A1265" t="str">
            <v>In service</v>
          </cell>
          <cell r="B1265" t="str">
            <v>Gulfstream Aerospace Gulfstream I</v>
          </cell>
          <cell r="C1265" t="str">
            <v xml:space="preserve"> </v>
          </cell>
          <cell r="D1265">
            <v>1965</v>
          </cell>
          <cell r="E1265" t="str">
            <v>G-1 Leasing Corp</v>
          </cell>
          <cell r="F1265">
            <v>37</v>
          </cell>
          <cell r="G1265">
            <v>23872</v>
          </cell>
          <cell r="I1265" t="str">
            <v>North America</v>
          </cell>
          <cell r="J1265" t="str">
            <v>USA</v>
          </cell>
          <cell r="K1265">
            <v>23696</v>
          </cell>
        </row>
        <row r="1266">
          <cell r="A1266" t="str">
            <v>In service</v>
          </cell>
          <cell r="B1266" t="str">
            <v>Gulfstream Aerospace Gulfstream I</v>
          </cell>
          <cell r="C1266" t="str">
            <v xml:space="preserve"> </v>
          </cell>
          <cell r="D1266">
            <v>1965</v>
          </cell>
          <cell r="E1266" t="str">
            <v>Phoenix Air</v>
          </cell>
          <cell r="F1266">
            <v>37</v>
          </cell>
          <cell r="G1266">
            <v>24002</v>
          </cell>
          <cell r="I1266" t="str">
            <v>North America</v>
          </cell>
          <cell r="J1266" t="str">
            <v>USA</v>
          </cell>
          <cell r="K1266">
            <v>23788</v>
          </cell>
        </row>
        <row r="1267">
          <cell r="A1267" t="str">
            <v>In service</v>
          </cell>
          <cell r="B1267" t="str">
            <v>Gulfstream Aerospace Gulfstream I</v>
          </cell>
          <cell r="C1267" t="str">
            <v xml:space="preserve"> </v>
          </cell>
          <cell r="D1267">
            <v>1965</v>
          </cell>
          <cell r="E1267" t="str">
            <v>African Commuter Services</v>
          </cell>
          <cell r="F1267">
            <v>37</v>
          </cell>
          <cell r="G1267">
            <v>23960</v>
          </cell>
          <cell r="I1267" t="str">
            <v>Africa</v>
          </cell>
          <cell r="J1267" t="str">
            <v>Kenya</v>
          </cell>
          <cell r="K1267">
            <v>23908</v>
          </cell>
        </row>
        <row r="1268">
          <cell r="A1268" t="str">
            <v>In service</v>
          </cell>
          <cell r="B1268" t="str">
            <v>Gulfstream Aerospace Gulfstream I</v>
          </cell>
          <cell r="C1268" t="str">
            <v xml:space="preserve"> </v>
          </cell>
          <cell r="D1268">
            <v>1965</v>
          </cell>
          <cell r="E1268" t="str">
            <v>Aerial Films Inc</v>
          </cell>
          <cell r="F1268">
            <v>37</v>
          </cell>
          <cell r="G1268">
            <v>24226</v>
          </cell>
          <cell r="I1268" t="str">
            <v>North America</v>
          </cell>
          <cell r="J1268" t="str">
            <v>USA</v>
          </cell>
          <cell r="K1268">
            <v>24084</v>
          </cell>
        </row>
        <row r="1269">
          <cell r="A1269" t="str">
            <v>In service</v>
          </cell>
          <cell r="B1269" t="str">
            <v>Gulfstream Aerospace Gulfstream I</v>
          </cell>
          <cell r="C1269" t="str">
            <v xml:space="preserve"> </v>
          </cell>
          <cell r="D1269">
            <v>1965</v>
          </cell>
          <cell r="E1269" t="str">
            <v>Upfront &amp; Company Inc</v>
          </cell>
          <cell r="F1269">
            <v>37</v>
          </cell>
          <cell r="G1269">
            <v>24124</v>
          </cell>
          <cell r="I1269" t="str">
            <v>North America</v>
          </cell>
          <cell r="J1269" t="str">
            <v>USA</v>
          </cell>
          <cell r="K1269">
            <v>23877</v>
          </cell>
        </row>
        <row r="1270">
          <cell r="A1270" t="str">
            <v>In service</v>
          </cell>
          <cell r="B1270" t="str">
            <v>Gulfstream Aerospace Gulfstream I</v>
          </cell>
          <cell r="C1270" t="str">
            <v xml:space="preserve"> </v>
          </cell>
          <cell r="D1270">
            <v>1965</v>
          </cell>
          <cell r="E1270" t="str">
            <v>Erin Miel Inc</v>
          </cell>
          <cell r="F1270">
            <v>37</v>
          </cell>
          <cell r="G1270">
            <v>24268</v>
          </cell>
          <cell r="I1270" t="str">
            <v>North America</v>
          </cell>
          <cell r="J1270" t="str">
            <v>USA</v>
          </cell>
          <cell r="K1270">
            <v>24091</v>
          </cell>
        </row>
        <row r="1271">
          <cell r="A1271" t="str">
            <v>In service</v>
          </cell>
          <cell r="B1271" t="str">
            <v>Gulfstream Aerospace Gulfstream I</v>
          </cell>
          <cell r="C1271" t="str">
            <v xml:space="preserve"> </v>
          </cell>
          <cell r="D1271">
            <v>1965</v>
          </cell>
          <cell r="E1271" t="str">
            <v>Riverside International Airlines</v>
          </cell>
          <cell r="F1271">
            <v>37</v>
          </cell>
          <cell r="G1271">
            <v>24227</v>
          </cell>
          <cell r="I1271" t="str">
            <v>North America</v>
          </cell>
          <cell r="J1271" t="str">
            <v>USA</v>
          </cell>
          <cell r="K1271">
            <v>24122</v>
          </cell>
        </row>
        <row r="1272">
          <cell r="A1272" t="str">
            <v>In service</v>
          </cell>
          <cell r="B1272" t="str">
            <v>Gulfstream Aerospace Gulfstream I</v>
          </cell>
          <cell r="C1272" t="str">
            <v xml:space="preserve"> </v>
          </cell>
          <cell r="D1272">
            <v>1966</v>
          </cell>
          <cell r="E1272" t="str">
            <v>Termnet Merchant Services Inc</v>
          </cell>
          <cell r="F1272">
            <v>36</v>
          </cell>
          <cell r="G1272">
            <v>24208</v>
          </cell>
          <cell r="I1272" t="str">
            <v>North America</v>
          </cell>
          <cell r="J1272" t="str">
            <v>USA</v>
          </cell>
          <cell r="K1272">
            <v>24153</v>
          </cell>
        </row>
        <row r="1273">
          <cell r="A1273" t="str">
            <v>In service</v>
          </cell>
          <cell r="B1273" t="str">
            <v>Gulfstream Aerospace Gulfstream I</v>
          </cell>
          <cell r="C1273" t="str">
            <v xml:space="preserve"> </v>
          </cell>
          <cell r="D1273">
            <v>1966</v>
          </cell>
          <cell r="E1273" t="str">
            <v>Robinson Air Crane Inc</v>
          </cell>
          <cell r="F1273">
            <v>36</v>
          </cell>
          <cell r="G1273">
            <v>24352</v>
          </cell>
          <cell r="I1273" t="str">
            <v>North America</v>
          </cell>
          <cell r="J1273" t="str">
            <v>USA</v>
          </cell>
          <cell r="K1273">
            <v>24303</v>
          </cell>
        </row>
        <row r="1274">
          <cell r="A1274" t="str">
            <v>In service</v>
          </cell>
          <cell r="B1274" t="str">
            <v>Gulfstream Aerospace Gulfstream I</v>
          </cell>
          <cell r="C1274" t="str">
            <v xml:space="preserve"> </v>
          </cell>
          <cell r="D1274">
            <v>1959</v>
          </cell>
          <cell r="E1274" t="str">
            <v>Scott Aviation Inc</v>
          </cell>
          <cell r="F1274">
            <v>43</v>
          </cell>
          <cell r="G1274">
            <v>21849</v>
          </cell>
          <cell r="I1274" t="str">
            <v>North America</v>
          </cell>
          <cell r="J1274" t="str">
            <v>USA</v>
          </cell>
          <cell r="K1274">
            <v>21001</v>
          </cell>
        </row>
        <row r="1275">
          <cell r="A1275" t="str">
            <v>In service</v>
          </cell>
          <cell r="B1275" t="str">
            <v>Gulfstream Aerospace Gulfstream I</v>
          </cell>
          <cell r="C1275" t="str">
            <v xml:space="preserve"> </v>
          </cell>
          <cell r="D1275">
            <v>1968</v>
          </cell>
          <cell r="E1275" t="str">
            <v>Propair</v>
          </cell>
          <cell r="F1275">
            <v>34</v>
          </cell>
          <cell r="G1275">
            <v>24891</v>
          </cell>
          <cell r="I1275" t="str">
            <v>North America</v>
          </cell>
          <cell r="J1275" t="str">
            <v>Canada</v>
          </cell>
          <cell r="K1275">
            <v>24852</v>
          </cell>
        </row>
        <row r="1276">
          <cell r="A1276" t="str">
            <v>In service</v>
          </cell>
          <cell r="B1276" t="str">
            <v>Gulfstream Aerospace Gulfstream I</v>
          </cell>
          <cell r="C1276" t="str">
            <v xml:space="preserve"> </v>
          </cell>
          <cell r="D1276">
            <v>1968</v>
          </cell>
          <cell r="E1276" t="str">
            <v>Post Ekspres Prima</v>
          </cell>
          <cell r="F1276">
            <v>34</v>
          </cell>
          <cell r="G1276">
            <v>25038</v>
          </cell>
          <cell r="I1276" t="str">
            <v>Asia</v>
          </cell>
          <cell r="J1276" t="str">
            <v>Indonesia</v>
          </cell>
          <cell r="K1276">
            <v>24973</v>
          </cell>
        </row>
        <row r="1277">
          <cell r="A1277" t="str">
            <v>In service</v>
          </cell>
          <cell r="B1277" t="str">
            <v>Gulfstream Aerospace Gulfstream I</v>
          </cell>
          <cell r="C1277" t="str">
            <v xml:space="preserve"> </v>
          </cell>
          <cell r="D1277">
            <v>1968</v>
          </cell>
          <cell r="E1277" t="str">
            <v>Phoenix Air</v>
          </cell>
          <cell r="F1277">
            <v>34</v>
          </cell>
          <cell r="G1277">
            <v>25034</v>
          </cell>
          <cell r="I1277" t="str">
            <v>North America</v>
          </cell>
          <cell r="J1277" t="str">
            <v>USA</v>
          </cell>
          <cell r="K1277">
            <v>25004</v>
          </cell>
        </row>
        <row r="1278">
          <cell r="A1278" t="str">
            <v>In service</v>
          </cell>
          <cell r="B1278" t="str">
            <v>Gulfstream Aerospace Gulfstream I</v>
          </cell>
          <cell r="C1278" t="str">
            <v xml:space="preserve"> </v>
          </cell>
          <cell r="D1278">
            <v>1968</v>
          </cell>
          <cell r="E1278" t="str">
            <v>Tramon Air</v>
          </cell>
          <cell r="F1278">
            <v>34</v>
          </cell>
          <cell r="G1278">
            <v>32794</v>
          </cell>
          <cell r="I1278" t="str">
            <v>Africa</v>
          </cell>
          <cell r="J1278" t="str">
            <v>South Africa</v>
          </cell>
        </row>
        <row r="1279">
          <cell r="A1279" t="str">
            <v>In service</v>
          </cell>
          <cell r="B1279" t="str">
            <v>Gulfstream Aerospace Gulfstream I</v>
          </cell>
          <cell r="C1279" t="str">
            <v xml:space="preserve"> </v>
          </cell>
          <cell r="D1279">
            <v>1969</v>
          </cell>
          <cell r="E1279" t="str">
            <v>Conquest Air LLC</v>
          </cell>
          <cell r="F1279">
            <v>33</v>
          </cell>
          <cell r="G1279">
            <v>25269</v>
          </cell>
          <cell r="I1279" t="str">
            <v>North America</v>
          </cell>
          <cell r="J1279" t="str">
            <v>USA</v>
          </cell>
          <cell r="K1279">
            <v>25249</v>
          </cell>
        </row>
        <row r="1280">
          <cell r="A1280" t="str">
            <v>In service</v>
          </cell>
          <cell r="B1280" t="str">
            <v>Gulfstream Aerospace Gulfstream I</v>
          </cell>
          <cell r="C1280" t="str">
            <v xml:space="preserve"> </v>
          </cell>
          <cell r="D1280">
            <v>1969</v>
          </cell>
          <cell r="E1280" t="str">
            <v>Phoenix Air</v>
          </cell>
          <cell r="F1280">
            <v>33</v>
          </cell>
          <cell r="G1280">
            <v>25268</v>
          </cell>
          <cell r="I1280" t="str">
            <v>North America</v>
          </cell>
          <cell r="J1280" t="str">
            <v>USA</v>
          </cell>
          <cell r="K1280">
            <v>25249</v>
          </cell>
        </row>
        <row r="1281">
          <cell r="A1281" t="str">
            <v>In service</v>
          </cell>
          <cell r="B1281" t="str">
            <v>Gulfstream Aerospace Gulfstream I</v>
          </cell>
          <cell r="C1281" t="str">
            <v xml:space="preserve"> </v>
          </cell>
          <cell r="D1281">
            <v>1969</v>
          </cell>
          <cell r="E1281" t="str">
            <v>Platinum Air LLC</v>
          </cell>
          <cell r="F1281">
            <v>33</v>
          </cell>
          <cell r="G1281">
            <v>25357</v>
          </cell>
          <cell r="I1281" t="str">
            <v>North America</v>
          </cell>
          <cell r="J1281" t="str">
            <v>USA</v>
          </cell>
          <cell r="K1281">
            <v>25249</v>
          </cell>
        </row>
        <row r="1282">
          <cell r="A1282" t="str">
            <v>In service</v>
          </cell>
          <cell r="B1282" t="str">
            <v>Gulfstream Aerospace Gulfstream I</v>
          </cell>
          <cell r="C1282" t="str">
            <v xml:space="preserve"> </v>
          </cell>
          <cell r="D1282">
            <v>1959</v>
          </cell>
          <cell r="E1282" t="str">
            <v>Phoenix Air</v>
          </cell>
          <cell r="F1282">
            <v>43</v>
          </cell>
          <cell r="G1282">
            <v>21892</v>
          </cell>
          <cell r="I1282" t="str">
            <v>North America</v>
          </cell>
          <cell r="J1282" t="str">
            <v>USA</v>
          </cell>
          <cell r="K1282">
            <v>21200</v>
          </cell>
        </row>
        <row r="1283">
          <cell r="A1283" t="str">
            <v>In service</v>
          </cell>
          <cell r="B1283" t="str">
            <v>Gulfstream Aerospace Gulfstream I</v>
          </cell>
          <cell r="C1283" t="str">
            <v xml:space="preserve"> </v>
          </cell>
          <cell r="D1283">
            <v>1959</v>
          </cell>
          <cell r="E1283" t="str">
            <v>Phoenix Air</v>
          </cell>
          <cell r="F1283">
            <v>43</v>
          </cell>
          <cell r="G1283">
            <v>21912</v>
          </cell>
          <cell r="I1283" t="str">
            <v>North America</v>
          </cell>
          <cell r="J1283" t="str">
            <v>USA</v>
          </cell>
          <cell r="K1283">
            <v>21320</v>
          </cell>
        </row>
        <row r="1284">
          <cell r="A1284" t="str">
            <v>In service</v>
          </cell>
          <cell r="B1284" t="str">
            <v>Gulfstream Aerospace Gulfstream I</v>
          </cell>
          <cell r="C1284" t="str">
            <v xml:space="preserve"> </v>
          </cell>
          <cell r="D1284">
            <v>1963</v>
          </cell>
          <cell r="E1284" t="str">
            <v>Saicam Air (US) Inc</v>
          </cell>
          <cell r="F1284">
            <v>39</v>
          </cell>
          <cell r="I1284" t="str">
            <v>North America</v>
          </cell>
          <cell r="J1284" t="str">
            <v>USA</v>
          </cell>
        </row>
        <row r="1285">
          <cell r="A1285" t="str">
            <v>In service</v>
          </cell>
          <cell r="B1285" t="str">
            <v>Gulfstream Aerospace Gulfstream I</v>
          </cell>
          <cell r="C1285" t="str">
            <v xml:space="preserve"> </v>
          </cell>
          <cell r="D1285">
            <v>1964</v>
          </cell>
          <cell r="E1285" t="str">
            <v>SAP</v>
          </cell>
          <cell r="F1285">
            <v>38</v>
          </cell>
          <cell r="G1285">
            <v>23405</v>
          </cell>
          <cell r="I1285" t="str">
            <v>Latin America and Caribbean</v>
          </cell>
          <cell r="J1285" t="str">
            <v>Dominican Republic</v>
          </cell>
          <cell r="K1285">
            <v>23330</v>
          </cell>
        </row>
        <row r="1286">
          <cell r="A1286" t="str">
            <v>In service</v>
          </cell>
          <cell r="B1286" t="str">
            <v>Gulfstream Aerospace Gulfstream I</v>
          </cell>
          <cell r="C1286" t="str">
            <v xml:space="preserve"> </v>
          </cell>
          <cell r="D1286">
            <v>1960</v>
          </cell>
          <cell r="E1286" t="str">
            <v>CAA - Compagnie Africaine d'Aviation</v>
          </cell>
          <cell r="F1286">
            <v>42</v>
          </cell>
          <cell r="G1286">
            <v>21996</v>
          </cell>
          <cell r="I1286" t="str">
            <v>Africa</v>
          </cell>
          <cell r="J1286" t="str">
            <v>Congo (Democratic Republic)</v>
          </cell>
          <cell r="K1286">
            <v>21777</v>
          </cell>
        </row>
        <row r="1287">
          <cell r="A1287" t="str">
            <v>In service</v>
          </cell>
          <cell r="B1287" t="str">
            <v>Gulfstream Aerospace Gulfstream I</v>
          </cell>
          <cell r="C1287" t="str">
            <v xml:space="preserve"> </v>
          </cell>
          <cell r="D1287">
            <v>1960</v>
          </cell>
          <cell r="E1287" t="str">
            <v>Riverside International Airlines</v>
          </cell>
          <cell r="F1287">
            <v>42</v>
          </cell>
          <cell r="G1287">
            <v>22018</v>
          </cell>
          <cell r="I1287" t="str">
            <v>North America</v>
          </cell>
          <cell r="J1287" t="str">
            <v>USA</v>
          </cell>
          <cell r="K1287">
            <v>21990</v>
          </cell>
        </row>
        <row r="1288">
          <cell r="A1288" t="str">
            <v>In service</v>
          </cell>
          <cell r="B1288" t="str">
            <v>Gulfstream Aerospace Gulfstream I</v>
          </cell>
          <cell r="C1288" t="str">
            <v xml:space="preserve"> </v>
          </cell>
          <cell r="D1288">
            <v>1960</v>
          </cell>
          <cell r="E1288" t="str">
            <v>Gabon Express</v>
          </cell>
          <cell r="F1288">
            <v>42</v>
          </cell>
          <cell r="G1288">
            <v>22059</v>
          </cell>
          <cell r="I1288" t="str">
            <v>Africa</v>
          </cell>
          <cell r="J1288" t="str">
            <v>Gabon</v>
          </cell>
          <cell r="K1288">
            <v>21930</v>
          </cell>
        </row>
        <row r="1289">
          <cell r="A1289" t="str">
            <v>In service</v>
          </cell>
          <cell r="B1289" t="str">
            <v>Gulfstream Aerospace Gulfstream I</v>
          </cell>
          <cell r="C1289" t="str">
            <v xml:space="preserve"> </v>
          </cell>
          <cell r="D1289">
            <v>1960</v>
          </cell>
          <cell r="E1289" t="str">
            <v>Mississippi River Commission</v>
          </cell>
          <cell r="F1289">
            <v>42</v>
          </cell>
          <cell r="G1289">
            <v>22084</v>
          </cell>
          <cell r="I1289" t="str">
            <v>North America</v>
          </cell>
          <cell r="J1289" t="str">
            <v>USA</v>
          </cell>
          <cell r="K1289">
            <v>21990</v>
          </cell>
        </row>
        <row r="1290">
          <cell r="A1290" t="str">
            <v>In service</v>
          </cell>
          <cell r="B1290" t="str">
            <v>Gulfstream Aerospace Gulfstream I</v>
          </cell>
          <cell r="C1290" t="str">
            <v xml:space="preserve"> </v>
          </cell>
          <cell r="D1290">
            <v>1960</v>
          </cell>
          <cell r="E1290" t="str">
            <v>Mission Air Services LLC</v>
          </cell>
          <cell r="F1290">
            <v>42</v>
          </cell>
          <cell r="G1290">
            <v>22289</v>
          </cell>
          <cell r="I1290" t="str">
            <v>North America</v>
          </cell>
          <cell r="J1290" t="str">
            <v>USA</v>
          </cell>
          <cell r="K1290">
            <v>22082</v>
          </cell>
        </row>
        <row r="1291">
          <cell r="A1291" t="str">
            <v>In service</v>
          </cell>
          <cell r="B1291" t="str">
            <v>Gulfstream Aerospace Gulfstream I</v>
          </cell>
          <cell r="C1291" t="str">
            <v xml:space="preserve"> </v>
          </cell>
          <cell r="D1291">
            <v>1960</v>
          </cell>
          <cell r="E1291" t="str">
            <v>Celanese Mexicana SA</v>
          </cell>
          <cell r="F1291">
            <v>42</v>
          </cell>
          <cell r="G1291">
            <v>22269</v>
          </cell>
          <cell r="I1291" t="str">
            <v>Latin America and Caribbean</v>
          </cell>
          <cell r="J1291" t="str">
            <v>Mexico</v>
          </cell>
          <cell r="K1291">
            <v>22174</v>
          </cell>
        </row>
        <row r="1292">
          <cell r="A1292" t="str">
            <v>In service</v>
          </cell>
          <cell r="B1292" t="str">
            <v>Gulfstream Aerospace Gulfstream I</v>
          </cell>
          <cell r="C1292" t="str">
            <v xml:space="preserve"> </v>
          </cell>
          <cell r="D1292">
            <v>1961</v>
          </cell>
          <cell r="E1292" t="str">
            <v>US Immigration &amp; Naturalization Service</v>
          </cell>
          <cell r="F1292">
            <v>41</v>
          </cell>
          <cell r="G1292">
            <v>22406</v>
          </cell>
          <cell r="I1292" t="str">
            <v>North America</v>
          </cell>
          <cell r="J1292" t="str">
            <v>USA</v>
          </cell>
          <cell r="K1292">
            <v>22327</v>
          </cell>
        </row>
        <row r="1293">
          <cell r="A1293" t="str">
            <v>In service</v>
          </cell>
          <cell r="B1293" t="str">
            <v>Gulfstream Aerospace Gulfstream I</v>
          </cell>
          <cell r="C1293" t="str">
            <v xml:space="preserve"> </v>
          </cell>
          <cell r="D1293">
            <v>1959</v>
          </cell>
          <cell r="E1293" t="str">
            <v>Missionair Inc</v>
          </cell>
          <cell r="F1293">
            <v>43</v>
          </cell>
          <cell r="G1293">
            <v>21761</v>
          </cell>
          <cell r="I1293" t="str">
            <v>North America</v>
          </cell>
          <cell r="J1293" t="str">
            <v>USA</v>
          </cell>
          <cell r="K1293">
            <v>21001</v>
          </cell>
        </row>
        <row r="1294">
          <cell r="A1294" t="str">
            <v>In service</v>
          </cell>
          <cell r="B1294" t="str">
            <v>Gulfstream Aerospace Gulfstream I</v>
          </cell>
          <cell r="C1294" t="str">
            <v xml:space="preserve"> </v>
          </cell>
          <cell r="D1294">
            <v>1961</v>
          </cell>
          <cell r="E1294" t="str">
            <v>Battelle Pacific Northwest Laboratories</v>
          </cell>
          <cell r="F1294">
            <v>41</v>
          </cell>
          <cell r="G1294">
            <v>22599</v>
          </cell>
          <cell r="I1294" t="str">
            <v>North America</v>
          </cell>
          <cell r="J1294" t="str">
            <v>USA</v>
          </cell>
          <cell r="K1294">
            <v>22462</v>
          </cell>
        </row>
        <row r="1295">
          <cell r="A1295" t="str">
            <v>In service</v>
          </cell>
          <cell r="B1295" t="str">
            <v>Gulfstream Aerospace Gulfstream I</v>
          </cell>
          <cell r="C1295" t="str">
            <v xml:space="preserve"> </v>
          </cell>
          <cell r="D1295">
            <v>1961</v>
          </cell>
          <cell r="E1295" t="str">
            <v>Jet Sul Taxi Aereo</v>
          </cell>
          <cell r="F1295">
            <v>41</v>
          </cell>
          <cell r="G1295">
            <v>22629</v>
          </cell>
          <cell r="I1295" t="str">
            <v>Latin America and Caribbean</v>
          </cell>
          <cell r="J1295" t="str">
            <v>Brazil</v>
          </cell>
          <cell r="K1295">
            <v>22462</v>
          </cell>
        </row>
        <row r="1296">
          <cell r="A1296" t="str">
            <v>In service</v>
          </cell>
          <cell r="B1296" t="str">
            <v>Gulfstream Aerospace Gulfstream I</v>
          </cell>
          <cell r="C1296" t="str">
            <v xml:space="preserve"> </v>
          </cell>
          <cell r="D1296">
            <v>1961</v>
          </cell>
          <cell r="E1296" t="str">
            <v>TAC Air Services</v>
          </cell>
          <cell r="F1296">
            <v>41</v>
          </cell>
          <cell r="G1296">
            <v>22669</v>
          </cell>
          <cell r="I1296" t="str">
            <v>Africa</v>
          </cell>
          <cell r="J1296" t="str">
            <v>South Africa</v>
          </cell>
          <cell r="K1296">
            <v>22462</v>
          </cell>
        </row>
        <row r="1297">
          <cell r="A1297" t="str">
            <v>In service</v>
          </cell>
          <cell r="B1297" t="str">
            <v>Gulfstream Aerospace Gulfstream I</v>
          </cell>
          <cell r="C1297" t="str">
            <v xml:space="preserve"> </v>
          </cell>
          <cell r="D1297">
            <v>1961</v>
          </cell>
          <cell r="E1297" t="str">
            <v>Aerotaxi de Valledupar</v>
          </cell>
          <cell r="F1297">
            <v>41</v>
          </cell>
          <cell r="G1297">
            <v>22601</v>
          </cell>
          <cell r="I1297" t="str">
            <v>Latin America and Caribbean</v>
          </cell>
          <cell r="J1297" t="str">
            <v>Colombia</v>
          </cell>
          <cell r="K1297">
            <v>22462</v>
          </cell>
        </row>
        <row r="1298">
          <cell r="A1298" t="str">
            <v>In service</v>
          </cell>
          <cell r="B1298" t="str">
            <v>Gulfstream Aerospace Gulfstream I</v>
          </cell>
          <cell r="C1298" t="str">
            <v xml:space="preserve"> </v>
          </cell>
          <cell r="D1298">
            <v>1962</v>
          </cell>
          <cell r="E1298" t="str">
            <v>William C Ray &amp; David M Ray</v>
          </cell>
          <cell r="F1298">
            <v>40</v>
          </cell>
          <cell r="G1298">
            <v>22733</v>
          </cell>
          <cell r="I1298" t="str">
            <v>North America</v>
          </cell>
          <cell r="J1298" t="str">
            <v>USA</v>
          </cell>
          <cell r="K1298">
            <v>22462</v>
          </cell>
        </row>
        <row r="1299">
          <cell r="A1299" t="str">
            <v>In service</v>
          </cell>
          <cell r="B1299" t="str">
            <v>Gulfstream Aerospace Gulfstream I</v>
          </cell>
          <cell r="C1299" t="str">
            <v xml:space="preserve"> </v>
          </cell>
          <cell r="D1299">
            <v>1962</v>
          </cell>
          <cell r="E1299" t="str">
            <v>Tramon Air</v>
          </cell>
          <cell r="F1299">
            <v>40</v>
          </cell>
          <cell r="G1299">
            <v>22734</v>
          </cell>
          <cell r="I1299" t="str">
            <v>Africa</v>
          </cell>
          <cell r="J1299" t="str">
            <v>South Africa</v>
          </cell>
          <cell r="K1299">
            <v>22661</v>
          </cell>
        </row>
        <row r="1300">
          <cell r="A1300" t="str">
            <v>In service</v>
          </cell>
          <cell r="B1300" t="str">
            <v>Gulfstream Aerospace Gulfstream I</v>
          </cell>
          <cell r="C1300" t="str">
            <v xml:space="preserve"> </v>
          </cell>
          <cell r="D1300">
            <v>1962</v>
          </cell>
          <cell r="E1300" t="str">
            <v>Mission Air Capital Services LLC</v>
          </cell>
          <cell r="F1300">
            <v>40</v>
          </cell>
          <cell r="G1300">
            <v>22817</v>
          </cell>
          <cell r="I1300" t="str">
            <v>North America</v>
          </cell>
          <cell r="J1300" t="str">
            <v>USA</v>
          </cell>
          <cell r="K1300">
            <v>22720</v>
          </cell>
        </row>
        <row r="1301">
          <cell r="A1301" t="str">
            <v>In service</v>
          </cell>
          <cell r="B1301" t="str">
            <v>Gulfstream Aerospace Gulfstream I</v>
          </cell>
          <cell r="C1301" t="str">
            <v xml:space="preserve"> </v>
          </cell>
          <cell r="D1301">
            <v>1962</v>
          </cell>
          <cell r="E1301" t="str">
            <v>US Coast Guard</v>
          </cell>
          <cell r="F1301">
            <v>40</v>
          </cell>
          <cell r="G1301">
            <v>23076</v>
          </cell>
          <cell r="H1301" t="str">
            <v>VC-4A</v>
          </cell>
          <cell r="I1301" t="str">
            <v>North America</v>
          </cell>
          <cell r="J1301" t="str">
            <v>USA</v>
          </cell>
          <cell r="K1301">
            <v>22827</v>
          </cell>
        </row>
        <row r="1302">
          <cell r="A1302" t="str">
            <v>In service</v>
          </cell>
          <cell r="B1302" t="str">
            <v>Gulfstream Aerospace Gulfstream I</v>
          </cell>
          <cell r="C1302" t="str">
            <v xml:space="preserve"> </v>
          </cell>
          <cell r="D1302">
            <v>1962</v>
          </cell>
          <cell r="E1302" t="str">
            <v>N8E LLC</v>
          </cell>
          <cell r="F1302">
            <v>40</v>
          </cell>
          <cell r="G1302">
            <v>22962</v>
          </cell>
          <cell r="I1302" t="str">
            <v>North America</v>
          </cell>
          <cell r="J1302" t="str">
            <v>USA</v>
          </cell>
          <cell r="K1302">
            <v>22827</v>
          </cell>
        </row>
        <row r="1303">
          <cell r="A1303" t="str">
            <v>In service</v>
          </cell>
          <cell r="B1303" t="str">
            <v>Gulfstream Aerospace Gulfstream I</v>
          </cell>
          <cell r="C1303" t="str">
            <v xml:space="preserve"> </v>
          </cell>
          <cell r="D1303">
            <v>1962</v>
          </cell>
          <cell r="E1303" t="str">
            <v>Mission Air Support Inc</v>
          </cell>
          <cell r="F1303">
            <v>40</v>
          </cell>
          <cell r="G1303">
            <v>22976</v>
          </cell>
          <cell r="I1303" t="str">
            <v>North America</v>
          </cell>
          <cell r="J1303" t="str">
            <v>USA</v>
          </cell>
          <cell r="K1303">
            <v>22827</v>
          </cell>
        </row>
        <row r="1304">
          <cell r="A1304" t="str">
            <v>In service</v>
          </cell>
          <cell r="B1304" t="str">
            <v>Gulfstream Aerospace Gulfstream I</v>
          </cell>
          <cell r="C1304" t="str">
            <v xml:space="preserve"> </v>
          </cell>
          <cell r="D1304">
            <v>1962</v>
          </cell>
          <cell r="E1304" t="str">
            <v>NASA</v>
          </cell>
          <cell r="F1304">
            <v>40</v>
          </cell>
          <cell r="G1304">
            <v>23085</v>
          </cell>
          <cell r="I1304" t="str">
            <v>North America</v>
          </cell>
          <cell r="J1304" t="str">
            <v>USA</v>
          </cell>
          <cell r="K1304">
            <v>22827</v>
          </cell>
        </row>
        <row r="1305">
          <cell r="A1305" t="str">
            <v>In service</v>
          </cell>
          <cell r="B1305" t="str">
            <v>Gulfstream Aerospace Gulfstream I</v>
          </cell>
          <cell r="C1305" t="str">
            <v xml:space="preserve"> </v>
          </cell>
          <cell r="D1305">
            <v>1962</v>
          </cell>
          <cell r="E1305" t="str">
            <v>Phoenix Air</v>
          </cell>
          <cell r="F1305">
            <v>40</v>
          </cell>
          <cell r="G1305">
            <v>23000</v>
          </cell>
          <cell r="I1305" t="str">
            <v>North America</v>
          </cell>
          <cell r="J1305" t="str">
            <v>USA</v>
          </cell>
          <cell r="K1305">
            <v>22827</v>
          </cell>
        </row>
        <row r="1306">
          <cell r="A1306" t="str">
            <v>In service</v>
          </cell>
          <cell r="B1306" t="str">
            <v>Gulfstream Aerospace Gulfstream I</v>
          </cell>
          <cell r="C1306" t="str">
            <v>1C Commuter</v>
          </cell>
          <cell r="D1306">
            <v>1959</v>
          </cell>
          <cell r="E1306" t="str">
            <v>Phoenix Air</v>
          </cell>
          <cell r="F1306">
            <v>43</v>
          </cell>
          <cell r="G1306">
            <v>21919</v>
          </cell>
          <cell r="H1306" t="str">
            <v>1C</v>
          </cell>
          <cell r="I1306" t="str">
            <v>North America</v>
          </cell>
          <cell r="J1306" t="str">
            <v>USA</v>
          </cell>
          <cell r="K1306">
            <v>21412</v>
          </cell>
        </row>
        <row r="1307">
          <cell r="A1307" t="str">
            <v>In service</v>
          </cell>
          <cell r="B1307" t="str">
            <v>Gulfstream Aerospace Gulfstream I</v>
          </cell>
          <cell r="C1307" t="str">
            <v>Commuter</v>
          </cell>
          <cell r="D1307">
            <v>1963</v>
          </cell>
          <cell r="E1307" t="str">
            <v>Diwan Airservice</v>
          </cell>
          <cell r="F1307">
            <v>39</v>
          </cell>
          <cell r="G1307">
            <v>23357</v>
          </cell>
          <cell r="H1307" t="str">
            <v>Commuter</v>
          </cell>
          <cell r="I1307" t="str">
            <v>Europe</v>
          </cell>
          <cell r="J1307" t="str">
            <v>France</v>
          </cell>
          <cell r="K1307">
            <v>23269</v>
          </cell>
        </row>
        <row r="1308">
          <cell r="A1308" t="str">
            <v>In service</v>
          </cell>
          <cell r="B1308" t="str">
            <v>Gulfstream Aerospace Gulfstream I</v>
          </cell>
          <cell r="C1308" t="str">
            <v>Commuter</v>
          </cell>
          <cell r="D1308">
            <v>1964</v>
          </cell>
          <cell r="E1308" t="str">
            <v>Airquarius Air Charter</v>
          </cell>
          <cell r="F1308">
            <v>38</v>
          </cell>
          <cell r="G1308">
            <v>23585</v>
          </cell>
          <cell r="H1308" t="str">
            <v>Commuter</v>
          </cell>
          <cell r="I1308" t="str">
            <v>Africa</v>
          </cell>
          <cell r="J1308" t="str">
            <v>South Africa</v>
          </cell>
          <cell r="K1308">
            <v>23192</v>
          </cell>
        </row>
        <row r="1309">
          <cell r="A1309" t="str">
            <v>In service</v>
          </cell>
          <cell r="B1309" t="str">
            <v>Gulfstream Aerospace Gulfstream I</v>
          </cell>
          <cell r="C1309" t="str">
            <v>Commuter</v>
          </cell>
          <cell r="D1309">
            <v>1965</v>
          </cell>
          <cell r="E1309" t="str">
            <v>CAA - Compagnie Africaine d'Aviation</v>
          </cell>
          <cell r="F1309">
            <v>37</v>
          </cell>
          <cell r="G1309">
            <v>23881</v>
          </cell>
          <cell r="H1309" t="str">
            <v>Commuter</v>
          </cell>
          <cell r="I1309" t="str">
            <v>Africa</v>
          </cell>
          <cell r="J1309" t="str">
            <v>Congo (Democratic Republic)</v>
          </cell>
          <cell r="K1309">
            <v>23788</v>
          </cell>
        </row>
        <row r="1310">
          <cell r="A1310" t="str">
            <v>In service</v>
          </cell>
          <cell r="B1310" t="str">
            <v>Gulfstream Aerospace Gulfstream I</v>
          </cell>
          <cell r="C1310" t="str">
            <v>Commuter</v>
          </cell>
          <cell r="D1310">
            <v>1965</v>
          </cell>
          <cell r="E1310" t="str">
            <v>Intertransit</v>
          </cell>
          <cell r="F1310">
            <v>37</v>
          </cell>
          <cell r="G1310">
            <v>24131</v>
          </cell>
          <cell r="H1310" t="str">
            <v>Commuter</v>
          </cell>
          <cell r="I1310" t="str">
            <v>Africa</v>
          </cell>
          <cell r="J1310" t="str">
            <v>Angola</v>
          </cell>
          <cell r="K1310">
            <v>24091</v>
          </cell>
        </row>
        <row r="1311">
          <cell r="A1311" t="str">
            <v>In service</v>
          </cell>
          <cell r="B1311" t="str">
            <v>Gulfstream Aerospace Gulfstream I</v>
          </cell>
          <cell r="C1311" t="str">
            <v>Commuter</v>
          </cell>
          <cell r="D1311">
            <v>1967</v>
          </cell>
          <cell r="E1311" t="str">
            <v>Citra Aviation</v>
          </cell>
          <cell r="F1311">
            <v>35</v>
          </cell>
          <cell r="G1311">
            <v>24539</v>
          </cell>
          <cell r="H1311" t="str">
            <v>Commuter</v>
          </cell>
          <cell r="I1311" t="str">
            <v>Asia</v>
          </cell>
          <cell r="J1311" t="str">
            <v>Indonesia</v>
          </cell>
          <cell r="K1311">
            <v>24456</v>
          </cell>
        </row>
        <row r="1312">
          <cell r="A1312" t="str">
            <v>In service</v>
          </cell>
          <cell r="B1312" t="str">
            <v>Gulfstream Aerospace Gulfstream I</v>
          </cell>
          <cell r="C1312" t="str">
            <v>Commuter</v>
          </cell>
          <cell r="D1312">
            <v>1968</v>
          </cell>
          <cell r="E1312" t="str">
            <v>Aero Aar</v>
          </cell>
          <cell r="F1312">
            <v>34</v>
          </cell>
          <cell r="G1312">
            <v>25148</v>
          </cell>
          <cell r="H1312" t="str">
            <v>Commuter</v>
          </cell>
          <cell r="I1312" t="str">
            <v>Latin America and Caribbean</v>
          </cell>
          <cell r="J1312" t="str">
            <v>Venezuela</v>
          </cell>
          <cell r="K1312">
            <v>25126</v>
          </cell>
        </row>
        <row r="1313">
          <cell r="A1313" t="str">
            <v>In service</v>
          </cell>
          <cell r="B1313" t="str">
            <v>Gulfstream Aerospace Gulfstream I</v>
          </cell>
          <cell r="C1313" t="str">
            <v>Commuter</v>
          </cell>
          <cell r="D1313">
            <v>1959</v>
          </cell>
          <cell r="E1313" t="str">
            <v>Societe de Transport Aerien (Star)</v>
          </cell>
          <cell r="F1313">
            <v>43</v>
          </cell>
          <cell r="G1313">
            <v>21860</v>
          </cell>
          <cell r="H1313" t="str">
            <v>Commuter</v>
          </cell>
          <cell r="I1313" t="str">
            <v>Africa</v>
          </cell>
          <cell r="J1313" t="str">
            <v>Cameroon</v>
          </cell>
          <cell r="K1313">
            <v>21001</v>
          </cell>
        </row>
        <row r="1314">
          <cell r="A1314" t="str">
            <v>In service</v>
          </cell>
          <cell r="B1314" t="str">
            <v>Gulfstream Aerospace Gulfstream I</v>
          </cell>
          <cell r="C1314" t="str">
            <v>Commuter</v>
          </cell>
          <cell r="D1314">
            <v>1959</v>
          </cell>
          <cell r="E1314" t="str">
            <v>Merafe Aviation (Pty) Ltd</v>
          </cell>
          <cell r="F1314">
            <v>43</v>
          </cell>
          <cell r="G1314">
            <v>21732</v>
          </cell>
          <cell r="H1314" t="str">
            <v>Commuter</v>
          </cell>
          <cell r="I1314" t="str">
            <v>Africa</v>
          </cell>
          <cell r="J1314" t="str">
            <v>South Africa</v>
          </cell>
          <cell r="K1314">
            <v>21108</v>
          </cell>
        </row>
        <row r="1315">
          <cell r="A1315" t="str">
            <v>In service</v>
          </cell>
          <cell r="B1315" t="str">
            <v>Gulfstream Aerospace Gulfstream I</v>
          </cell>
          <cell r="C1315" t="str">
            <v>Commuter</v>
          </cell>
          <cell r="D1315">
            <v>1961</v>
          </cell>
          <cell r="E1315" t="str">
            <v>Alternanive Air Sa de CV</v>
          </cell>
          <cell r="F1315">
            <v>41</v>
          </cell>
          <cell r="G1315">
            <v>22469</v>
          </cell>
          <cell r="H1315" t="str">
            <v>Commuter</v>
          </cell>
          <cell r="I1315" t="str">
            <v>Latin America and Caribbean</v>
          </cell>
          <cell r="J1315" t="str">
            <v>Mexico</v>
          </cell>
          <cell r="K1315">
            <v>22386</v>
          </cell>
        </row>
        <row r="1316">
          <cell r="A1316" t="str">
            <v>In service</v>
          </cell>
          <cell r="B1316" t="str">
            <v>Gulfstream Aerospace Gulfstream I</v>
          </cell>
          <cell r="C1316" t="str">
            <v>Commuter</v>
          </cell>
          <cell r="D1316">
            <v>1961</v>
          </cell>
          <cell r="E1316" t="str">
            <v>Intertransit</v>
          </cell>
          <cell r="F1316">
            <v>41</v>
          </cell>
          <cell r="G1316">
            <v>22662</v>
          </cell>
          <cell r="H1316" t="str">
            <v>Commuter</v>
          </cell>
          <cell r="I1316" t="str">
            <v>Africa</v>
          </cell>
          <cell r="J1316" t="str">
            <v>Angola</v>
          </cell>
          <cell r="K1316">
            <v>22462</v>
          </cell>
        </row>
        <row r="1317">
          <cell r="A1317" t="str">
            <v>In service</v>
          </cell>
          <cell r="B1317" t="str">
            <v>Gulfstream Aerospace Gulfstream I</v>
          </cell>
          <cell r="C1317" t="str">
            <v>Freighter</v>
          </cell>
          <cell r="D1317">
            <v>1958</v>
          </cell>
          <cell r="E1317" t="str">
            <v>Flamingo Airlines</v>
          </cell>
          <cell r="F1317">
            <v>44</v>
          </cell>
          <cell r="G1317">
            <v>26724</v>
          </cell>
          <cell r="H1317" t="str">
            <v>Freighter</v>
          </cell>
          <cell r="I1317" t="str">
            <v>Africa</v>
          </cell>
          <cell r="J1317" t="str">
            <v>Kenya</v>
          </cell>
        </row>
        <row r="1318">
          <cell r="A1318" t="str">
            <v>In service</v>
          </cell>
          <cell r="B1318" t="str">
            <v>Gulfstream Aerospace Gulfstream I</v>
          </cell>
          <cell r="C1318" t="str">
            <v>Freighter</v>
          </cell>
          <cell r="D1318">
            <v>1964</v>
          </cell>
          <cell r="E1318" t="str">
            <v>King Air Services Partnership</v>
          </cell>
          <cell r="F1318">
            <v>38</v>
          </cell>
          <cell r="G1318">
            <v>23658</v>
          </cell>
          <cell r="H1318" t="str">
            <v>Freighter</v>
          </cell>
          <cell r="I1318" t="str">
            <v>Africa</v>
          </cell>
          <cell r="J1318" t="str">
            <v>South Africa</v>
          </cell>
          <cell r="K1318">
            <v>23573</v>
          </cell>
        </row>
        <row r="1319">
          <cell r="A1319" t="str">
            <v>In service</v>
          </cell>
          <cell r="B1319" t="str">
            <v>Gulfstream Aerospace Gulfstream I</v>
          </cell>
          <cell r="C1319" t="str">
            <v>Freighter</v>
          </cell>
          <cell r="D1319">
            <v>1965</v>
          </cell>
          <cell r="E1319" t="str">
            <v>Stellair</v>
          </cell>
          <cell r="F1319">
            <v>37</v>
          </cell>
          <cell r="G1319">
            <v>23966</v>
          </cell>
          <cell r="H1319" t="str">
            <v>Freighter</v>
          </cell>
          <cell r="I1319" t="str">
            <v>Europe</v>
          </cell>
          <cell r="J1319" t="str">
            <v>Spain</v>
          </cell>
          <cell r="K1319">
            <v>23757</v>
          </cell>
        </row>
        <row r="1320">
          <cell r="A1320" t="str">
            <v>In service</v>
          </cell>
          <cell r="B1320" t="str">
            <v>Gulfstream Aerospace Gulfstream I</v>
          </cell>
          <cell r="C1320" t="str">
            <v>Freighter</v>
          </cell>
          <cell r="D1320">
            <v>1969</v>
          </cell>
          <cell r="E1320" t="str">
            <v>Phoenix Air</v>
          </cell>
          <cell r="F1320">
            <v>33</v>
          </cell>
          <cell r="G1320">
            <v>25218</v>
          </cell>
          <cell r="H1320" t="str">
            <v>Freighter</v>
          </cell>
          <cell r="I1320" t="str">
            <v>North America</v>
          </cell>
          <cell r="J1320" t="str">
            <v>USA</v>
          </cell>
          <cell r="K1320">
            <v>24912</v>
          </cell>
        </row>
        <row r="1321">
          <cell r="A1321" t="str">
            <v>In service</v>
          </cell>
          <cell r="B1321" t="str">
            <v>Gulfstream Aerospace Gulfstream I</v>
          </cell>
          <cell r="C1321" t="str">
            <v>Freighter</v>
          </cell>
          <cell r="D1321">
            <v>1960</v>
          </cell>
          <cell r="E1321" t="str">
            <v>Stellair</v>
          </cell>
          <cell r="F1321">
            <v>42</v>
          </cell>
          <cell r="G1321">
            <v>22038</v>
          </cell>
          <cell r="H1321" t="str">
            <v>Freighter</v>
          </cell>
          <cell r="I1321" t="str">
            <v>Europe</v>
          </cell>
          <cell r="J1321" t="str">
            <v>Spain</v>
          </cell>
          <cell r="K1321">
            <v>21869</v>
          </cell>
        </row>
        <row r="1322">
          <cell r="A1322" t="str">
            <v>In service</v>
          </cell>
          <cell r="B1322" t="str">
            <v>Gulfstream Aerospace Gulfstream I</v>
          </cell>
          <cell r="C1322" t="str">
            <v>Freighter</v>
          </cell>
          <cell r="D1322">
            <v>1962</v>
          </cell>
          <cell r="E1322" t="str">
            <v>Phoenix Air</v>
          </cell>
          <cell r="F1322">
            <v>40</v>
          </cell>
          <cell r="G1322">
            <v>23008</v>
          </cell>
          <cell r="H1322" t="str">
            <v>Freighter</v>
          </cell>
          <cell r="I1322" t="str">
            <v>North America</v>
          </cell>
          <cell r="J1322" t="str">
            <v>USA</v>
          </cell>
          <cell r="K1322">
            <v>22827</v>
          </cell>
        </row>
        <row r="1323">
          <cell r="A1323" t="str">
            <v>In service</v>
          </cell>
          <cell r="B1323" t="str">
            <v>Gulfstream Aerospace Gulfstream II</v>
          </cell>
          <cell r="C1323" t="str">
            <v xml:space="preserve"> </v>
          </cell>
          <cell r="D1323">
            <v>1971</v>
          </cell>
          <cell r="E1323" t="str">
            <v>Aero Falcons LLC</v>
          </cell>
          <cell r="F1323">
            <v>31</v>
          </cell>
          <cell r="G1323">
            <v>26276</v>
          </cell>
          <cell r="I1323" t="str">
            <v>North America</v>
          </cell>
          <cell r="J1323" t="str">
            <v>USA</v>
          </cell>
          <cell r="K1323">
            <v>25384</v>
          </cell>
        </row>
        <row r="1324">
          <cell r="A1324" t="str">
            <v>In service</v>
          </cell>
          <cell r="B1324" t="str">
            <v>Gulfstream Aerospace Gulfstream II</v>
          </cell>
          <cell r="C1324" t="str">
            <v xml:space="preserve"> </v>
          </cell>
          <cell r="D1324">
            <v>1971</v>
          </cell>
          <cell r="E1324" t="str">
            <v>Geosar LLC</v>
          </cell>
          <cell r="F1324">
            <v>31</v>
          </cell>
          <cell r="G1324">
            <v>26301</v>
          </cell>
          <cell r="I1324" t="str">
            <v>North America</v>
          </cell>
          <cell r="J1324" t="str">
            <v>USA</v>
          </cell>
          <cell r="K1324">
            <v>26114</v>
          </cell>
        </row>
        <row r="1325">
          <cell r="A1325" t="str">
            <v>In service</v>
          </cell>
          <cell r="B1325" t="str">
            <v>Gulfstream Aerospace Gulfstream II</v>
          </cell>
          <cell r="C1325" t="str">
            <v xml:space="preserve"> </v>
          </cell>
          <cell r="D1325">
            <v>1968</v>
          </cell>
          <cell r="E1325" t="str">
            <v>Fairway Enterprises Inc</v>
          </cell>
          <cell r="F1325">
            <v>34</v>
          </cell>
          <cell r="G1325">
            <v>24873</v>
          </cell>
          <cell r="I1325" t="str">
            <v>North America</v>
          </cell>
          <cell r="J1325" t="str">
            <v>USA</v>
          </cell>
          <cell r="K1325">
            <v>24653</v>
          </cell>
        </row>
        <row r="1326">
          <cell r="A1326" t="str">
            <v>In service</v>
          </cell>
          <cell r="B1326" t="str">
            <v>Gulfstream Aerospace Gulfstream II</v>
          </cell>
          <cell r="C1326" t="str">
            <v xml:space="preserve"> </v>
          </cell>
          <cell r="D1326">
            <v>1972</v>
          </cell>
          <cell r="E1326" t="str">
            <v>Business Jet Enterprises LP</v>
          </cell>
          <cell r="F1326">
            <v>30</v>
          </cell>
          <cell r="G1326">
            <v>26413</v>
          </cell>
          <cell r="I1326" t="str">
            <v>North America</v>
          </cell>
          <cell r="J1326" t="str">
            <v>USA</v>
          </cell>
          <cell r="K1326">
            <v>25749</v>
          </cell>
        </row>
        <row r="1327">
          <cell r="A1327" t="str">
            <v>In service</v>
          </cell>
          <cell r="B1327" t="str">
            <v>Gulfstream Aerospace Gulfstream II</v>
          </cell>
          <cell r="C1327" t="str">
            <v xml:space="preserve"> </v>
          </cell>
          <cell r="D1327">
            <v>1972</v>
          </cell>
          <cell r="E1327" t="str">
            <v>Omnitrition de Mexico SA</v>
          </cell>
          <cell r="F1327">
            <v>30</v>
          </cell>
          <cell r="G1327">
            <v>26480</v>
          </cell>
          <cell r="I1327" t="str">
            <v>Latin America and Caribbean</v>
          </cell>
          <cell r="J1327" t="str">
            <v>Mexico</v>
          </cell>
          <cell r="K1327">
            <v>26114</v>
          </cell>
        </row>
        <row r="1328">
          <cell r="A1328" t="str">
            <v>In service</v>
          </cell>
          <cell r="B1328" t="str">
            <v>Gulfstream Aerospace Gulfstream II</v>
          </cell>
          <cell r="C1328" t="str">
            <v xml:space="preserve"> </v>
          </cell>
          <cell r="D1328">
            <v>1972</v>
          </cell>
          <cell r="E1328" t="str">
            <v>Trans Exec Air Service</v>
          </cell>
          <cell r="F1328">
            <v>30</v>
          </cell>
          <cell r="G1328">
            <v>26536</v>
          </cell>
          <cell r="I1328" t="str">
            <v>North America</v>
          </cell>
          <cell r="J1328" t="str">
            <v>USA</v>
          </cell>
          <cell r="K1328">
            <v>25749</v>
          </cell>
        </row>
        <row r="1329">
          <cell r="A1329" t="str">
            <v>In service</v>
          </cell>
          <cell r="B1329" t="str">
            <v>Gulfstream Aerospace Gulfstream II</v>
          </cell>
          <cell r="C1329" t="str">
            <v xml:space="preserve"> </v>
          </cell>
          <cell r="D1329">
            <v>1972</v>
          </cell>
          <cell r="E1329" t="str">
            <v>NASA</v>
          </cell>
          <cell r="F1329">
            <v>30</v>
          </cell>
          <cell r="G1329">
            <v>26576</v>
          </cell>
          <cell r="I1329" t="str">
            <v>North America</v>
          </cell>
          <cell r="J1329" t="str">
            <v>USA</v>
          </cell>
          <cell r="K1329">
            <v>26114</v>
          </cell>
        </row>
        <row r="1330">
          <cell r="A1330" t="str">
            <v>In service</v>
          </cell>
          <cell r="B1330" t="str">
            <v>Gulfstream Aerospace Gulfstream II</v>
          </cell>
          <cell r="C1330" t="str">
            <v xml:space="preserve"> </v>
          </cell>
          <cell r="D1330">
            <v>1972</v>
          </cell>
          <cell r="E1330" t="str">
            <v>R Lacy Inc</v>
          </cell>
          <cell r="F1330">
            <v>30</v>
          </cell>
          <cell r="G1330">
            <v>26669</v>
          </cell>
          <cell r="I1330" t="str">
            <v>North America</v>
          </cell>
          <cell r="J1330" t="str">
            <v>USA</v>
          </cell>
          <cell r="K1330">
            <v>26114</v>
          </cell>
        </row>
        <row r="1331">
          <cell r="A1331" t="str">
            <v>In service</v>
          </cell>
          <cell r="B1331" t="str">
            <v>Gulfstream Aerospace Gulfstream II</v>
          </cell>
          <cell r="C1331" t="str">
            <v xml:space="preserve"> </v>
          </cell>
          <cell r="D1331">
            <v>1973</v>
          </cell>
          <cell r="E1331" t="str">
            <v>Watson/Perando/Gary Williams/Parenti/Lewis/McManus</v>
          </cell>
          <cell r="F1331">
            <v>29</v>
          </cell>
          <cell r="G1331">
            <v>26757</v>
          </cell>
          <cell r="I1331" t="str">
            <v>North America</v>
          </cell>
          <cell r="J1331" t="str">
            <v>USA</v>
          </cell>
          <cell r="K1331">
            <v>26114</v>
          </cell>
        </row>
        <row r="1332">
          <cell r="A1332" t="str">
            <v>In service</v>
          </cell>
          <cell r="B1332" t="str">
            <v>Gulfstream Aerospace Gulfstream II</v>
          </cell>
          <cell r="C1332" t="str">
            <v xml:space="preserve"> </v>
          </cell>
          <cell r="D1332">
            <v>1973</v>
          </cell>
          <cell r="E1332" t="str">
            <v xml:space="preserve">New Light Church World Outreach &amp; Worship Centers </v>
          </cell>
          <cell r="F1332">
            <v>29</v>
          </cell>
          <cell r="G1332">
            <v>26801</v>
          </cell>
          <cell r="I1332" t="str">
            <v>North America</v>
          </cell>
          <cell r="J1332" t="str">
            <v>USA</v>
          </cell>
          <cell r="K1332">
            <v>26114</v>
          </cell>
        </row>
        <row r="1333">
          <cell r="A1333" t="str">
            <v>In service</v>
          </cell>
          <cell r="B1333" t="str">
            <v>Gulfstream Aerospace Gulfstream II</v>
          </cell>
          <cell r="C1333" t="str">
            <v xml:space="preserve"> </v>
          </cell>
          <cell r="D1333">
            <v>1968</v>
          </cell>
          <cell r="E1333" t="str">
            <v>LFP Inc</v>
          </cell>
          <cell r="F1333">
            <v>34</v>
          </cell>
          <cell r="G1333">
            <v>24960</v>
          </cell>
          <cell r="I1333" t="str">
            <v>North America</v>
          </cell>
          <cell r="J1333" t="str">
            <v>USA</v>
          </cell>
          <cell r="K1333">
            <v>23923</v>
          </cell>
        </row>
        <row r="1334">
          <cell r="A1334" t="str">
            <v>In service</v>
          </cell>
          <cell r="B1334" t="str">
            <v>Gulfstream Aerospace Gulfstream II</v>
          </cell>
          <cell r="C1334" t="str">
            <v xml:space="preserve"> </v>
          </cell>
          <cell r="D1334">
            <v>1973</v>
          </cell>
          <cell r="E1334" t="str">
            <v>Lorien Aviation Inc</v>
          </cell>
          <cell r="F1334">
            <v>29</v>
          </cell>
          <cell r="G1334">
            <v>26873</v>
          </cell>
          <cell r="I1334" t="str">
            <v>North America</v>
          </cell>
          <cell r="J1334" t="str">
            <v>USA</v>
          </cell>
          <cell r="K1334">
            <v>26480</v>
          </cell>
        </row>
        <row r="1335">
          <cell r="A1335" t="str">
            <v>In service</v>
          </cell>
          <cell r="B1335" t="str">
            <v>Gulfstream Aerospace Gulfstream II</v>
          </cell>
          <cell r="C1335" t="str">
            <v xml:space="preserve"> </v>
          </cell>
          <cell r="D1335">
            <v>1973</v>
          </cell>
          <cell r="E1335" t="str">
            <v>Cedarhurst Air Charter Inc</v>
          </cell>
          <cell r="F1335">
            <v>29</v>
          </cell>
          <cell r="G1335">
            <v>26896</v>
          </cell>
          <cell r="I1335" t="str">
            <v>North America</v>
          </cell>
          <cell r="J1335" t="str">
            <v>USA</v>
          </cell>
          <cell r="K1335">
            <v>26480</v>
          </cell>
        </row>
        <row r="1336">
          <cell r="A1336" t="str">
            <v>In service</v>
          </cell>
          <cell r="B1336" t="str">
            <v>Gulfstream Aerospace Gulfstream II</v>
          </cell>
          <cell r="C1336" t="str">
            <v xml:space="preserve"> </v>
          </cell>
          <cell r="D1336">
            <v>1973</v>
          </cell>
          <cell r="E1336" t="str">
            <v>EICO II Corp</v>
          </cell>
          <cell r="F1336">
            <v>29</v>
          </cell>
          <cell r="G1336">
            <v>26907</v>
          </cell>
          <cell r="I1336" t="str">
            <v>North America</v>
          </cell>
          <cell r="J1336" t="str">
            <v>USA</v>
          </cell>
          <cell r="K1336">
            <v>26114</v>
          </cell>
        </row>
        <row r="1337">
          <cell r="A1337" t="str">
            <v>In service</v>
          </cell>
          <cell r="B1337" t="str">
            <v>Gulfstream Aerospace Gulfstream II</v>
          </cell>
          <cell r="C1337" t="str">
            <v xml:space="preserve"> </v>
          </cell>
          <cell r="D1337">
            <v>1973</v>
          </cell>
          <cell r="E1337" t="str">
            <v>RMQ Ltd</v>
          </cell>
          <cell r="F1337">
            <v>29</v>
          </cell>
          <cell r="G1337">
            <v>26974</v>
          </cell>
          <cell r="I1337" t="str">
            <v>North America</v>
          </cell>
          <cell r="J1337" t="str">
            <v>USA</v>
          </cell>
          <cell r="K1337">
            <v>26480</v>
          </cell>
        </row>
        <row r="1338">
          <cell r="A1338" t="str">
            <v>In service</v>
          </cell>
          <cell r="B1338" t="str">
            <v>Gulfstream Aerospace Gulfstream II</v>
          </cell>
          <cell r="C1338" t="str">
            <v xml:space="preserve"> </v>
          </cell>
          <cell r="D1338">
            <v>1973</v>
          </cell>
          <cell r="E1338" t="str">
            <v>Walter Industries Inc</v>
          </cell>
          <cell r="F1338">
            <v>29</v>
          </cell>
          <cell r="G1338">
            <v>27008</v>
          </cell>
          <cell r="I1338" t="str">
            <v>North America</v>
          </cell>
          <cell r="J1338" t="str">
            <v>USA</v>
          </cell>
          <cell r="K1338">
            <v>26480</v>
          </cell>
        </row>
        <row r="1339">
          <cell r="A1339" t="str">
            <v>In service</v>
          </cell>
          <cell r="B1339" t="str">
            <v>Gulfstream Aerospace Gulfstream II</v>
          </cell>
          <cell r="C1339" t="str">
            <v xml:space="preserve"> </v>
          </cell>
          <cell r="D1339">
            <v>1974</v>
          </cell>
          <cell r="E1339" t="str">
            <v>Diamond Air Service</v>
          </cell>
          <cell r="F1339">
            <v>28</v>
          </cell>
          <cell r="G1339">
            <v>27196</v>
          </cell>
          <cell r="I1339" t="str">
            <v>Asia</v>
          </cell>
          <cell r="J1339" t="str">
            <v>Japan</v>
          </cell>
          <cell r="K1339">
            <v>26480</v>
          </cell>
        </row>
        <row r="1340">
          <cell r="A1340" t="str">
            <v>In service</v>
          </cell>
          <cell r="B1340" t="str">
            <v>Gulfstream Aerospace Gulfstream II</v>
          </cell>
          <cell r="C1340" t="str">
            <v xml:space="preserve"> </v>
          </cell>
          <cell r="D1340">
            <v>1974</v>
          </cell>
          <cell r="E1340" t="str">
            <v>RDC Marine Inc</v>
          </cell>
          <cell r="F1340">
            <v>28</v>
          </cell>
          <cell r="G1340">
            <v>27335</v>
          </cell>
          <cell r="I1340" t="str">
            <v>North America</v>
          </cell>
          <cell r="J1340" t="str">
            <v>USA</v>
          </cell>
          <cell r="K1340">
            <v>26845</v>
          </cell>
        </row>
        <row r="1341">
          <cell r="A1341" t="str">
            <v>In service</v>
          </cell>
          <cell r="B1341" t="str">
            <v>Gulfstream Aerospace Gulfstream II</v>
          </cell>
          <cell r="C1341" t="str">
            <v xml:space="preserve"> </v>
          </cell>
          <cell r="D1341">
            <v>1974</v>
          </cell>
          <cell r="E1341" t="str">
            <v>NASA</v>
          </cell>
          <cell r="F1341">
            <v>28</v>
          </cell>
          <cell r="G1341">
            <v>27269</v>
          </cell>
          <cell r="I1341" t="str">
            <v>North America</v>
          </cell>
          <cell r="J1341" t="str">
            <v>USA</v>
          </cell>
          <cell r="K1341">
            <v>26845</v>
          </cell>
        </row>
        <row r="1342">
          <cell r="A1342" t="str">
            <v>In service</v>
          </cell>
          <cell r="B1342" t="str">
            <v>Gulfstream Aerospace Gulfstream II</v>
          </cell>
          <cell r="C1342" t="str">
            <v xml:space="preserve"> </v>
          </cell>
          <cell r="D1342">
            <v>1974</v>
          </cell>
          <cell r="E1342" t="str">
            <v>Aviation Associates LLC</v>
          </cell>
          <cell r="F1342">
            <v>28</v>
          </cell>
          <cell r="G1342">
            <v>27156</v>
          </cell>
          <cell r="I1342" t="str">
            <v>North America</v>
          </cell>
          <cell r="J1342" t="str">
            <v>USA</v>
          </cell>
          <cell r="K1342">
            <v>26480</v>
          </cell>
        </row>
        <row r="1343">
          <cell r="A1343" t="str">
            <v>In service</v>
          </cell>
          <cell r="B1343" t="str">
            <v>Gulfstream Aerospace Gulfstream II</v>
          </cell>
          <cell r="C1343" t="str">
            <v xml:space="preserve"> </v>
          </cell>
          <cell r="D1343">
            <v>1974</v>
          </cell>
          <cell r="E1343" t="str">
            <v>NASA</v>
          </cell>
          <cell r="F1343">
            <v>28</v>
          </cell>
          <cell r="G1343">
            <v>27169</v>
          </cell>
          <cell r="I1343" t="str">
            <v>North America</v>
          </cell>
          <cell r="J1343" t="str">
            <v>USA</v>
          </cell>
          <cell r="K1343">
            <v>26845</v>
          </cell>
        </row>
        <row r="1344">
          <cell r="A1344" t="str">
            <v>In service</v>
          </cell>
          <cell r="B1344" t="str">
            <v>Gulfstream Aerospace Gulfstream II</v>
          </cell>
          <cell r="C1344" t="str">
            <v xml:space="preserve"> </v>
          </cell>
          <cell r="D1344">
            <v>1974</v>
          </cell>
          <cell r="E1344" t="str">
            <v>NASA</v>
          </cell>
          <cell r="F1344">
            <v>28</v>
          </cell>
          <cell r="G1344">
            <v>27193</v>
          </cell>
          <cell r="I1344" t="str">
            <v>North America</v>
          </cell>
          <cell r="J1344" t="str">
            <v>USA</v>
          </cell>
          <cell r="K1344">
            <v>26845</v>
          </cell>
        </row>
        <row r="1345">
          <cell r="A1345" t="str">
            <v>In service</v>
          </cell>
          <cell r="B1345" t="str">
            <v>Gulfstream Aerospace Gulfstream II</v>
          </cell>
          <cell r="C1345" t="str">
            <v xml:space="preserve"> </v>
          </cell>
          <cell r="D1345">
            <v>1968</v>
          </cell>
          <cell r="E1345" t="str">
            <v>The O'Leary Group Inc</v>
          </cell>
          <cell r="F1345">
            <v>34</v>
          </cell>
          <cell r="G1345">
            <v>25034</v>
          </cell>
          <cell r="I1345" t="str">
            <v>North America</v>
          </cell>
          <cell r="J1345" t="str">
            <v>USA</v>
          </cell>
          <cell r="K1345">
            <v>24653</v>
          </cell>
        </row>
        <row r="1346">
          <cell r="A1346" t="str">
            <v>In service</v>
          </cell>
          <cell r="B1346" t="str">
            <v>Gulfstream Aerospace Gulfstream II</v>
          </cell>
          <cell r="C1346" t="str">
            <v xml:space="preserve"> </v>
          </cell>
          <cell r="D1346">
            <v>1974</v>
          </cell>
          <cell r="E1346" t="str">
            <v>Little Caesar Enterprises Inc</v>
          </cell>
          <cell r="F1346">
            <v>28</v>
          </cell>
          <cell r="G1346">
            <v>27306</v>
          </cell>
          <cell r="I1346" t="str">
            <v>North America</v>
          </cell>
          <cell r="J1346" t="str">
            <v>USA</v>
          </cell>
        </row>
        <row r="1347">
          <cell r="A1347" t="str">
            <v>In service</v>
          </cell>
          <cell r="B1347" t="str">
            <v>Gulfstream Aerospace Gulfstream II</v>
          </cell>
          <cell r="C1347" t="str">
            <v xml:space="preserve"> </v>
          </cell>
          <cell r="D1347">
            <v>1974</v>
          </cell>
          <cell r="E1347" t="str">
            <v>Crenshaw Christian Center Church of Los Angeles</v>
          </cell>
          <cell r="F1347">
            <v>28</v>
          </cell>
          <cell r="G1347">
            <v>27339</v>
          </cell>
          <cell r="I1347" t="str">
            <v>North America</v>
          </cell>
          <cell r="J1347" t="str">
            <v>USA</v>
          </cell>
          <cell r="K1347">
            <v>26480</v>
          </cell>
        </row>
        <row r="1348">
          <cell r="A1348" t="str">
            <v>In service</v>
          </cell>
          <cell r="B1348" t="str">
            <v>Gulfstream Aerospace Gulfstream II</v>
          </cell>
          <cell r="C1348" t="str">
            <v xml:space="preserve"> </v>
          </cell>
          <cell r="D1348">
            <v>1974</v>
          </cell>
          <cell r="E1348" t="str">
            <v xml:space="preserve">Crown Aviation LLC </v>
          </cell>
          <cell r="F1348">
            <v>28</v>
          </cell>
          <cell r="G1348">
            <v>27210</v>
          </cell>
          <cell r="I1348" t="str">
            <v>North America</v>
          </cell>
          <cell r="J1348" t="str">
            <v>USA</v>
          </cell>
          <cell r="K1348">
            <v>26845</v>
          </cell>
        </row>
        <row r="1349">
          <cell r="A1349" t="str">
            <v>In service</v>
          </cell>
          <cell r="B1349" t="str">
            <v>Gulfstream Aerospace Gulfstream II</v>
          </cell>
          <cell r="C1349" t="str">
            <v xml:space="preserve"> </v>
          </cell>
          <cell r="D1349">
            <v>1975</v>
          </cell>
          <cell r="E1349" t="str">
            <v>Antair SA de CV</v>
          </cell>
          <cell r="F1349">
            <v>27</v>
          </cell>
          <cell r="G1349">
            <v>27505</v>
          </cell>
          <cell r="I1349" t="str">
            <v>Latin America and Caribbean</v>
          </cell>
          <cell r="J1349" t="str">
            <v>Mexico</v>
          </cell>
          <cell r="K1349">
            <v>26845</v>
          </cell>
        </row>
        <row r="1350">
          <cell r="A1350" t="str">
            <v>In service</v>
          </cell>
          <cell r="B1350" t="str">
            <v>Gulfstream Aerospace Gulfstream II</v>
          </cell>
          <cell r="C1350" t="str">
            <v xml:space="preserve"> </v>
          </cell>
          <cell r="D1350">
            <v>1975</v>
          </cell>
          <cell r="E1350" t="str">
            <v>Plan 15 Aviation LLC</v>
          </cell>
          <cell r="F1350">
            <v>27</v>
          </cell>
          <cell r="G1350">
            <v>27774</v>
          </cell>
          <cell r="I1350" t="str">
            <v>North America</v>
          </cell>
          <cell r="J1350" t="str">
            <v>USA</v>
          </cell>
          <cell r="K1350">
            <v>27210</v>
          </cell>
        </row>
        <row r="1351">
          <cell r="A1351" t="str">
            <v>In service</v>
          </cell>
          <cell r="B1351" t="str">
            <v>Gulfstream Aerospace Gulfstream II</v>
          </cell>
          <cell r="C1351" t="str">
            <v xml:space="preserve"> </v>
          </cell>
          <cell r="D1351">
            <v>1975</v>
          </cell>
          <cell r="E1351" t="str">
            <v>XTO Energy Inc</v>
          </cell>
          <cell r="F1351">
            <v>27</v>
          </cell>
          <cell r="G1351">
            <v>27699</v>
          </cell>
          <cell r="I1351" t="str">
            <v>North America</v>
          </cell>
          <cell r="J1351" t="str">
            <v>USA</v>
          </cell>
        </row>
        <row r="1352">
          <cell r="A1352" t="str">
            <v>In service</v>
          </cell>
          <cell r="B1352" t="str">
            <v>Gulfstream Aerospace Gulfstream II</v>
          </cell>
          <cell r="C1352" t="str">
            <v xml:space="preserve"> </v>
          </cell>
          <cell r="D1352">
            <v>1975</v>
          </cell>
          <cell r="E1352" t="str">
            <v>Saudi Arabian Airlines</v>
          </cell>
          <cell r="F1352">
            <v>27</v>
          </cell>
          <cell r="G1352">
            <v>27900</v>
          </cell>
          <cell r="I1352" t="str">
            <v>Middle East</v>
          </cell>
          <cell r="J1352" t="str">
            <v>Saudi Arabia</v>
          </cell>
          <cell r="K1352">
            <v>27210</v>
          </cell>
        </row>
        <row r="1353">
          <cell r="A1353" t="str">
            <v>In service</v>
          </cell>
          <cell r="B1353" t="str">
            <v>Gulfstream Aerospace Gulfstream II</v>
          </cell>
          <cell r="C1353" t="str">
            <v xml:space="preserve"> </v>
          </cell>
          <cell r="D1353">
            <v>1976</v>
          </cell>
          <cell r="E1353" t="str">
            <v>Federal Government of Nigeria</v>
          </cell>
          <cell r="F1353">
            <v>26</v>
          </cell>
          <cell r="G1353">
            <v>28074</v>
          </cell>
          <cell r="I1353" t="str">
            <v>Africa</v>
          </cell>
          <cell r="J1353" t="str">
            <v>Nigeria</v>
          </cell>
          <cell r="K1353">
            <v>27210</v>
          </cell>
        </row>
        <row r="1354">
          <cell r="A1354" t="str">
            <v>In service</v>
          </cell>
          <cell r="B1354" t="str">
            <v>Gulfstream Aerospace Gulfstream II</v>
          </cell>
          <cell r="C1354" t="str">
            <v xml:space="preserve"> </v>
          </cell>
          <cell r="D1354">
            <v>1976</v>
          </cell>
          <cell r="E1354" t="str">
            <v>Saudi CAA</v>
          </cell>
          <cell r="F1354">
            <v>26</v>
          </cell>
          <cell r="G1354">
            <v>28103</v>
          </cell>
          <cell r="I1354" t="str">
            <v>Middle East</v>
          </cell>
          <cell r="J1354" t="str">
            <v>Saudi Arabia</v>
          </cell>
        </row>
        <row r="1355">
          <cell r="A1355" t="str">
            <v>In service</v>
          </cell>
          <cell r="B1355" t="str">
            <v>Gulfstream Aerospace Gulfstream II</v>
          </cell>
          <cell r="C1355" t="str">
            <v xml:space="preserve"> </v>
          </cell>
          <cell r="D1355">
            <v>1968</v>
          </cell>
          <cell r="E1355" t="str">
            <v>Procuraduria General de la Republica Nacional</v>
          </cell>
          <cell r="F1355">
            <v>34</v>
          </cell>
          <cell r="G1355">
            <v>24981</v>
          </cell>
          <cell r="I1355" t="str">
            <v>Latin America and Caribbean</v>
          </cell>
          <cell r="J1355" t="str">
            <v>Mexico</v>
          </cell>
          <cell r="K1355">
            <v>23923</v>
          </cell>
        </row>
        <row r="1356">
          <cell r="A1356" t="str">
            <v>In service</v>
          </cell>
          <cell r="B1356" t="str">
            <v>Gulfstream Aerospace Gulfstream II</v>
          </cell>
          <cell r="C1356" t="str">
            <v xml:space="preserve"> </v>
          </cell>
          <cell r="D1356">
            <v>1976</v>
          </cell>
          <cell r="E1356" t="str">
            <v>Jet Aviation Private Fleet LLC</v>
          </cell>
          <cell r="F1356">
            <v>26</v>
          </cell>
          <cell r="G1356">
            <v>27858</v>
          </cell>
          <cell r="I1356" t="str">
            <v>North America</v>
          </cell>
          <cell r="J1356" t="str">
            <v>USA</v>
          </cell>
          <cell r="K1356">
            <v>27210</v>
          </cell>
        </row>
        <row r="1357">
          <cell r="A1357" t="str">
            <v>In service</v>
          </cell>
          <cell r="B1357" t="str">
            <v>Gulfstream Aerospace Gulfstream II</v>
          </cell>
          <cell r="C1357" t="str">
            <v xml:space="preserve"> </v>
          </cell>
          <cell r="D1357">
            <v>1976</v>
          </cell>
          <cell r="E1357" t="str">
            <v>Jet Place Inc</v>
          </cell>
          <cell r="F1357">
            <v>26</v>
          </cell>
          <cell r="G1357">
            <v>28047</v>
          </cell>
          <cell r="I1357" t="str">
            <v>North America</v>
          </cell>
          <cell r="J1357" t="str">
            <v>USA</v>
          </cell>
          <cell r="K1357">
            <v>27575</v>
          </cell>
        </row>
        <row r="1358">
          <cell r="A1358" t="str">
            <v>In service</v>
          </cell>
          <cell r="B1358" t="str">
            <v>Gulfstream Aerospace Gulfstream II</v>
          </cell>
          <cell r="C1358" t="str">
            <v xml:space="preserve"> </v>
          </cell>
          <cell r="D1358">
            <v>1976</v>
          </cell>
          <cell r="E1358" t="str">
            <v>Richard &amp; David Jacobs Group</v>
          </cell>
          <cell r="F1358">
            <v>26</v>
          </cell>
          <cell r="G1358">
            <v>28111</v>
          </cell>
          <cell r="I1358" t="str">
            <v>North America</v>
          </cell>
          <cell r="J1358" t="str">
            <v>USA</v>
          </cell>
        </row>
        <row r="1359">
          <cell r="A1359" t="str">
            <v>In service</v>
          </cell>
          <cell r="B1359" t="str">
            <v>Gulfstream Aerospace Gulfstream II</v>
          </cell>
          <cell r="C1359" t="str">
            <v xml:space="preserve"> </v>
          </cell>
          <cell r="D1359">
            <v>1976</v>
          </cell>
          <cell r="E1359" t="str">
            <v>Uniexpress Jet Services Ltd</v>
          </cell>
          <cell r="F1359">
            <v>26</v>
          </cell>
          <cell r="G1359">
            <v>28260</v>
          </cell>
          <cell r="I1359" t="str">
            <v>Latin America and Caribbean</v>
          </cell>
          <cell r="J1359" t="str">
            <v>Bermuda</v>
          </cell>
          <cell r="K1359">
            <v>27575</v>
          </cell>
        </row>
        <row r="1360">
          <cell r="A1360" t="str">
            <v>In service</v>
          </cell>
          <cell r="B1360" t="str">
            <v>Gulfstream Aerospace Gulfstream II</v>
          </cell>
          <cell r="C1360" t="str">
            <v xml:space="preserve"> </v>
          </cell>
          <cell r="D1360">
            <v>1976</v>
          </cell>
          <cell r="E1360" t="str">
            <v>Avstar Jet Charter &amp; Management Services Inc</v>
          </cell>
          <cell r="F1360">
            <v>26</v>
          </cell>
          <cell r="G1360">
            <v>28397</v>
          </cell>
          <cell r="I1360" t="str">
            <v>North America</v>
          </cell>
          <cell r="J1360" t="str">
            <v>USA</v>
          </cell>
        </row>
        <row r="1361">
          <cell r="A1361" t="str">
            <v>In service</v>
          </cell>
          <cell r="B1361" t="str">
            <v>Gulfstream Aerospace Gulfstream II</v>
          </cell>
          <cell r="C1361" t="str">
            <v xml:space="preserve"> </v>
          </cell>
          <cell r="D1361">
            <v>1976</v>
          </cell>
          <cell r="E1361" t="str">
            <v>Avion LLC</v>
          </cell>
          <cell r="F1361">
            <v>26</v>
          </cell>
          <cell r="G1361">
            <v>28020</v>
          </cell>
          <cell r="I1361" t="str">
            <v>North America</v>
          </cell>
          <cell r="J1361" t="str">
            <v>USA</v>
          </cell>
        </row>
        <row r="1362">
          <cell r="A1362" t="str">
            <v>In service</v>
          </cell>
          <cell r="B1362" t="str">
            <v>Gulfstream Aerospace Gulfstream II</v>
          </cell>
          <cell r="C1362" t="str">
            <v xml:space="preserve"> </v>
          </cell>
          <cell r="D1362">
            <v>1976</v>
          </cell>
          <cell r="E1362" t="str">
            <v>American Aircraft Leasing Inc</v>
          </cell>
          <cell r="F1362">
            <v>26</v>
          </cell>
          <cell r="G1362">
            <v>28083</v>
          </cell>
          <cell r="I1362" t="str">
            <v>North America</v>
          </cell>
          <cell r="J1362" t="str">
            <v>USA</v>
          </cell>
          <cell r="K1362">
            <v>27575</v>
          </cell>
        </row>
        <row r="1363">
          <cell r="A1363" t="str">
            <v>In service</v>
          </cell>
          <cell r="B1363" t="str">
            <v>Gulfstream Aerospace Gulfstream II</v>
          </cell>
          <cell r="C1363" t="str">
            <v xml:space="preserve"> </v>
          </cell>
          <cell r="D1363">
            <v>1976</v>
          </cell>
          <cell r="E1363" t="str">
            <v>GFS Manassas Air Services Inc</v>
          </cell>
          <cell r="F1363">
            <v>26</v>
          </cell>
          <cell r="G1363">
            <v>28098</v>
          </cell>
          <cell r="I1363" t="str">
            <v>North America</v>
          </cell>
          <cell r="J1363" t="str">
            <v>USA</v>
          </cell>
          <cell r="K1363">
            <v>27575</v>
          </cell>
        </row>
        <row r="1364">
          <cell r="A1364" t="str">
            <v>In service</v>
          </cell>
          <cell r="B1364" t="str">
            <v>Gulfstream Aerospace Gulfstream II</v>
          </cell>
          <cell r="C1364" t="str">
            <v xml:space="preserve"> </v>
          </cell>
          <cell r="D1364">
            <v>1976</v>
          </cell>
          <cell r="E1364" t="str">
            <v>Transpais Aereo SA de CV</v>
          </cell>
          <cell r="F1364">
            <v>26</v>
          </cell>
          <cell r="G1364">
            <v>28105</v>
          </cell>
          <cell r="I1364" t="str">
            <v>Latin America and Caribbean</v>
          </cell>
          <cell r="J1364" t="str">
            <v>Mexico</v>
          </cell>
          <cell r="K1364">
            <v>27575</v>
          </cell>
        </row>
        <row r="1365">
          <cell r="A1365" t="str">
            <v>In service</v>
          </cell>
          <cell r="B1365" t="str">
            <v>Gulfstream Aerospace Gulfstream II</v>
          </cell>
          <cell r="C1365" t="str">
            <v xml:space="preserve"> </v>
          </cell>
          <cell r="D1365">
            <v>1976</v>
          </cell>
          <cell r="E1365" t="str">
            <v>May Department Stores Co</v>
          </cell>
          <cell r="F1365">
            <v>26</v>
          </cell>
          <cell r="G1365">
            <v>28132</v>
          </cell>
          <cell r="I1365" t="str">
            <v>North America</v>
          </cell>
          <cell r="J1365" t="str">
            <v>USA</v>
          </cell>
          <cell r="K1365">
            <v>27575</v>
          </cell>
        </row>
        <row r="1366">
          <cell r="A1366" t="str">
            <v>In service</v>
          </cell>
          <cell r="B1366" t="str">
            <v>Gulfstream Aerospace Gulfstream II</v>
          </cell>
          <cell r="C1366" t="str">
            <v xml:space="preserve"> </v>
          </cell>
          <cell r="D1366">
            <v>1977</v>
          </cell>
          <cell r="E1366" t="str">
            <v>AH Jet Transport LLC</v>
          </cell>
          <cell r="F1366">
            <v>25</v>
          </cell>
          <cell r="G1366">
            <v>28150</v>
          </cell>
          <cell r="I1366" t="str">
            <v>North America</v>
          </cell>
          <cell r="J1366" t="str">
            <v>USA</v>
          </cell>
          <cell r="K1366">
            <v>27210</v>
          </cell>
        </row>
        <row r="1367">
          <cell r="A1367" t="str">
            <v>In service</v>
          </cell>
          <cell r="B1367" t="str">
            <v>Gulfstream Aerospace Gulfstream II</v>
          </cell>
          <cell r="C1367" t="str">
            <v xml:space="preserve"> </v>
          </cell>
          <cell r="D1367">
            <v>1968</v>
          </cell>
          <cell r="E1367" t="str">
            <v>Bell-Aire Aviation LLC</v>
          </cell>
          <cell r="F1367">
            <v>34</v>
          </cell>
          <cell r="G1367">
            <v>25009</v>
          </cell>
          <cell r="I1367" t="str">
            <v>North America</v>
          </cell>
          <cell r="J1367" t="str">
            <v>USA</v>
          </cell>
          <cell r="K1367">
            <v>24288</v>
          </cell>
        </row>
        <row r="1368">
          <cell r="A1368" t="str">
            <v>In service</v>
          </cell>
          <cell r="B1368" t="str">
            <v>Gulfstream Aerospace Gulfstream II</v>
          </cell>
          <cell r="C1368" t="str">
            <v xml:space="preserve"> </v>
          </cell>
          <cell r="D1368">
            <v>1977</v>
          </cell>
          <cell r="E1368" t="str">
            <v>B L Aviation Group</v>
          </cell>
          <cell r="F1368">
            <v>25</v>
          </cell>
          <cell r="G1368">
            <v>28352</v>
          </cell>
          <cell r="I1368" t="str">
            <v>North America</v>
          </cell>
          <cell r="J1368" t="str">
            <v>USA</v>
          </cell>
          <cell r="K1368">
            <v>27941</v>
          </cell>
        </row>
        <row r="1369">
          <cell r="A1369" t="str">
            <v>In service</v>
          </cell>
          <cell r="B1369" t="str">
            <v>Gulfstream Aerospace Gulfstream II</v>
          </cell>
          <cell r="C1369" t="str">
            <v xml:space="preserve"> </v>
          </cell>
          <cell r="D1369">
            <v>1977</v>
          </cell>
          <cell r="E1369" t="str">
            <v>Merle Norman Cosmetics Inc</v>
          </cell>
          <cell r="F1369">
            <v>25</v>
          </cell>
          <cell r="G1369">
            <v>28485</v>
          </cell>
          <cell r="I1369" t="str">
            <v>North America</v>
          </cell>
          <cell r="J1369" t="str">
            <v>USA</v>
          </cell>
          <cell r="K1369">
            <v>27941</v>
          </cell>
        </row>
        <row r="1370">
          <cell r="A1370" t="str">
            <v>In service</v>
          </cell>
          <cell r="B1370" t="str">
            <v>Gulfstream Aerospace Gulfstream II</v>
          </cell>
          <cell r="C1370" t="str">
            <v xml:space="preserve"> </v>
          </cell>
          <cell r="D1370">
            <v>1978</v>
          </cell>
          <cell r="E1370" t="str">
            <v>HBJ Leasing LLC</v>
          </cell>
          <cell r="F1370">
            <v>24</v>
          </cell>
          <cell r="G1370">
            <v>28510</v>
          </cell>
          <cell r="I1370" t="str">
            <v>North America</v>
          </cell>
          <cell r="J1370" t="str">
            <v>USA</v>
          </cell>
          <cell r="K1370">
            <v>27941</v>
          </cell>
        </row>
        <row r="1371">
          <cell r="A1371" t="str">
            <v>In service</v>
          </cell>
          <cell r="B1371" t="str">
            <v>Gulfstream Aerospace Gulfstream II</v>
          </cell>
          <cell r="C1371" t="str">
            <v xml:space="preserve"> </v>
          </cell>
          <cell r="D1371">
            <v>1978</v>
          </cell>
          <cell r="E1371" t="str">
            <v>RS Aircraft</v>
          </cell>
          <cell r="F1371">
            <v>24</v>
          </cell>
          <cell r="G1371">
            <v>28722</v>
          </cell>
          <cell r="I1371" t="str">
            <v>North America</v>
          </cell>
          <cell r="J1371" t="str">
            <v>USA</v>
          </cell>
          <cell r="K1371">
            <v>28671</v>
          </cell>
        </row>
        <row r="1372">
          <cell r="A1372" t="str">
            <v>In service</v>
          </cell>
          <cell r="B1372" t="str">
            <v>Gulfstream Aerospace Gulfstream II</v>
          </cell>
          <cell r="C1372" t="str">
            <v xml:space="preserve"> </v>
          </cell>
          <cell r="D1372">
            <v>1978</v>
          </cell>
          <cell r="E1372" t="str">
            <v>G &amp; L Aviation</v>
          </cell>
          <cell r="F1372">
            <v>24</v>
          </cell>
          <cell r="G1372">
            <v>28961</v>
          </cell>
          <cell r="I1372" t="str">
            <v>North America</v>
          </cell>
          <cell r="J1372" t="str">
            <v>USA</v>
          </cell>
        </row>
        <row r="1373">
          <cell r="A1373" t="str">
            <v>In service</v>
          </cell>
          <cell r="B1373" t="str">
            <v>Gulfstream Aerospace Gulfstream II</v>
          </cell>
          <cell r="C1373" t="str">
            <v xml:space="preserve"> </v>
          </cell>
          <cell r="D1373">
            <v>1978</v>
          </cell>
          <cell r="E1373" t="str">
            <v>NASA</v>
          </cell>
          <cell r="F1373">
            <v>24</v>
          </cell>
          <cell r="G1373">
            <v>28640</v>
          </cell>
          <cell r="I1373" t="str">
            <v>North America</v>
          </cell>
          <cell r="J1373" t="str">
            <v>USA</v>
          </cell>
        </row>
        <row r="1374">
          <cell r="A1374" t="str">
            <v>In service</v>
          </cell>
          <cell r="B1374" t="str">
            <v>Gulfstream Aerospace Gulfstream II</v>
          </cell>
          <cell r="C1374" t="str">
            <v xml:space="preserve"> </v>
          </cell>
          <cell r="D1374">
            <v>1968</v>
          </cell>
          <cell r="E1374" t="str">
            <v>General Electric Capital Corp</v>
          </cell>
          <cell r="F1374">
            <v>34</v>
          </cell>
          <cell r="G1374">
            <v>25238</v>
          </cell>
          <cell r="H1374" t="str">
            <v>VC-11A</v>
          </cell>
          <cell r="I1374" t="str">
            <v>North America</v>
          </cell>
          <cell r="J1374" t="str">
            <v>USA</v>
          </cell>
          <cell r="K1374">
            <v>24653</v>
          </cell>
        </row>
        <row r="1375">
          <cell r="A1375" t="str">
            <v>In service</v>
          </cell>
          <cell r="B1375" t="str">
            <v>Gulfstream Aerospace Gulfstream II</v>
          </cell>
          <cell r="C1375" t="str">
            <v xml:space="preserve"> </v>
          </cell>
          <cell r="D1375">
            <v>1978</v>
          </cell>
          <cell r="E1375" t="str">
            <v>Straight Arrow Publishers</v>
          </cell>
          <cell r="F1375">
            <v>24</v>
          </cell>
          <cell r="G1375">
            <v>28814</v>
          </cell>
          <cell r="I1375" t="str">
            <v>North America</v>
          </cell>
          <cell r="J1375" t="str">
            <v>USA</v>
          </cell>
        </row>
        <row r="1376">
          <cell r="A1376" t="str">
            <v>In service</v>
          </cell>
          <cell r="B1376" t="str">
            <v>Gulfstream Aerospace Gulfstream II</v>
          </cell>
          <cell r="C1376" t="str">
            <v xml:space="preserve"> </v>
          </cell>
          <cell r="D1376">
            <v>1968</v>
          </cell>
          <cell r="E1376" t="str">
            <v>Cedar Enterprises LLC</v>
          </cell>
          <cell r="F1376">
            <v>34</v>
          </cell>
          <cell r="G1376">
            <v>25069</v>
          </cell>
          <cell r="I1376" t="str">
            <v>North America</v>
          </cell>
          <cell r="J1376" t="str">
            <v>USA</v>
          </cell>
          <cell r="K1376">
            <v>24288</v>
          </cell>
        </row>
        <row r="1377">
          <cell r="A1377" t="str">
            <v>In service</v>
          </cell>
          <cell r="B1377" t="str">
            <v>Gulfstream Aerospace Gulfstream II</v>
          </cell>
          <cell r="C1377" t="str">
            <v xml:space="preserve"> </v>
          </cell>
          <cell r="D1377">
            <v>1979</v>
          </cell>
          <cell r="E1377" t="str">
            <v>Government of Chad</v>
          </cell>
          <cell r="F1377">
            <v>23</v>
          </cell>
          <cell r="G1377">
            <v>29218</v>
          </cell>
          <cell r="I1377" t="str">
            <v>Africa</v>
          </cell>
          <cell r="J1377" t="str">
            <v>Chad</v>
          </cell>
        </row>
        <row r="1378">
          <cell r="A1378" t="str">
            <v>In service</v>
          </cell>
          <cell r="B1378" t="str">
            <v>Gulfstream Aerospace Gulfstream II</v>
          </cell>
          <cell r="C1378" t="str">
            <v xml:space="preserve"> </v>
          </cell>
          <cell r="D1378">
            <v>1979</v>
          </cell>
          <cell r="E1378" t="str">
            <v>Government of Libya</v>
          </cell>
          <cell r="F1378">
            <v>23</v>
          </cell>
          <cell r="G1378">
            <v>29249</v>
          </cell>
          <cell r="I1378" t="str">
            <v>Africa</v>
          </cell>
          <cell r="J1378" t="str">
            <v>Libya</v>
          </cell>
        </row>
        <row r="1379">
          <cell r="A1379" t="str">
            <v>In service</v>
          </cell>
          <cell r="B1379" t="str">
            <v>Gulfstream Aerospace Gulfstream II</v>
          </cell>
          <cell r="C1379" t="str">
            <v xml:space="preserve"> </v>
          </cell>
          <cell r="D1379">
            <v>1968</v>
          </cell>
          <cell r="E1379" t="str">
            <v>Heritage Jets Inc</v>
          </cell>
          <cell r="F1379">
            <v>34</v>
          </cell>
          <cell r="G1379">
            <v>25070</v>
          </cell>
          <cell r="I1379" t="str">
            <v>North America</v>
          </cell>
          <cell r="J1379" t="str">
            <v>USA</v>
          </cell>
          <cell r="K1379">
            <v>24288</v>
          </cell>
        </row>
        <row r="1380">
          <cell r="A1380" t="str">
            <v>In service</v>
          </cell>
          <cell r="B1380" t="str">
            <v>Gulfstream Aerospace Gulfstream II</v>
          </cell>
          <cell r="C1380" t="str">
            <v xml:space="preserve"> </v>
          </cell>
          <cell r="D1380">
            <v>1979</v>
          </cell>
          <cell r="E1380" t="str">
            <v>Anadarko Petroleum Corp</v>
          </cell>
          <cell r="F1380">
            <v>23</v>
          </cell>
          <cell r="G1380">
            <v>29143</v>
          </cell>
          <cell r="I1380" t="str">
            <v>North America</v>
          </cell>
          <cell r="J1380" t="str">
            <v>USA</v>
          </cell>
          <cell r="K1380">
            <v>28671</v>
          </cell>
        </row>
        <row r="1381">
          <cell r="A1381" t="str">
            <v>In service</v>
          </cell>
          <cell r="B1381" t="str">
            <v>Gulfstream Aerospace Gulfstream II</v>
          </cell>
          <cell r="C1381" t="str">
            <v xml:space="preserve"> </v>
          </cell>
          <cell r="D1381">
            <v>1980</v>
          </cell>
          <cell r="E1381" t="str">
            <v>Badger Air Inc</v>
          </cell>
          <cell r="F1381">
            <v>22</v>
          </cell>
          <cell r="G1381">
            <v>29481</v>
          </cell>
          <cell r="I1381" t="str">
            <v>North America</v>
          </cell>
          <cell r="J1381" t="str">
            <v>USA</v>
          </cell>
          <cell r="K1381">
            <v>28671</v>
          </cell>
        </row>
        <row r="1382">
          <cell r="A1382" t="str">
            <v>In service</v>
          </cell>
          <cell r="B1382" t="str">
            <v>Gulfstream Aerospace Gulfstream II</v>
          </cell>
          <cell r="C1382" t="str">
            <v xml:space="preserve"> </v>
          </cell>
          <cell r="D1382">
            <v>1980</v>
          </cell>
          <cell r="E1382" t="str">
            <v>Haliburton Energy Services Inc</v>
          </cell>
          <cell r="F1382">
            <v>22</v>
          </cell>
          <cell r="G1382">
            <v>29235</v>
          </cell>
          <cell r="I1382" t="str">
            <v>North America</v>
          </cell>
          <cell r="J1382" t="str">
            <v>USA</v>
          </cell>
          <cell r="K1382">
            <v>29036</v>
          </cell>
        </row>
        <row r="1383">
          <cell r="A1383" t="str">
            <v>In service</v>
          </cell>
          <cell r="B1383" t="str">
            <v>Gulfstream Aerospace Gulfstream II</v>
          </cell>
          <cell r="C1383" t="str">
            <v xml:space="preserve"> </v>
          </cell>
          <cell r="D1383">
            <v>1968</v>
          </cell>
          <cell r="E1383" t="str">
            <v>KW Plastics Recycling Division Trust</v>
          </cell>
          <cell r="F1383">
            <v>34</v>
          </cell>
          <cell r="G1383">
            <v>25100</v>
          </cell>
          <cell r="I1383" t="str">
            <v>North America</v>
          </cell>
          <cell r="J1383" t="str">
            <v>USA</v>
          </cell>
          <cell r="K1383">
            <v>24653</v>
          </cell>
        </row>
        <row r="1384">
          <cell r="A1384" t="str">
            <v>In service</v>
          </cell>
          <cell r="B1384" t="str">
            <v>Gulfstream Aerospace Gulfstream II</v>
          </cell>
          <cell r="C1384" t="str">
            <v xml:space="preserve"> </v>
          </cell>
          <cell r="D1384">
            <v>1967</v>
          </cell>
          <cell r="E1384" t="str">
            <v>Avstar Jet Charter &amp; Management Services Inc</v>
          </cell>
          <cell r="F1384">
            <v>35</v>
          </cell>
          <cell r="G1384">
            <v>24866</v>
          </cell>
          <cell r="I1384" t="str">
            <v>North America</v>
          </cell>
          <cell r="J1384" t="str">
            <v>USA</v>
          </cell>
          <cell r="K1384">
            <v>24288</v>
          </cell>
        </row>
        <row r="1385">
          <cell r="A1385" t="str">
            <v>In service</v>
          </cell>
          <cell r="B1385" t="str">
            <v>Gulfstream Aerospace Gulfstream II</v>
          </cell>
          <cell r="C1385" t="str">
            <v xml:space="preserve"> </v>
          </cell>
          <cell r="D1385">
            <v>1968</v>
          </cell>
          <cell r="E1385" t="str">
            <v>Air Force Material Command</v>
          </cell>
          <cell r="F1385">
            <v>34</v>
          </cell>
          <cell r="G1385">
            <v>25125</v>
          </cell>
          <cell r="I1385" t="str">
            <v>North America</v>
          </cell>
          <cell r="J1385" t="str">
            <v>USA</v>
          </cell>
          <cell r="K1385">
            <v>24288</v>
          </cell>
        </row>
        <row r="1386">
          <cell r="A1386" t="str">
            <v>In service</v>
          </cell>
          <cell r="B1386" t="str">
            <v>Gulfstream Aerospace Gulfstream II</v>
          </cell>
          <cell r="C1386" t="str">
            <v xml:space="preserve"> </v>
          </cell>
          <cell r="D1386">
            <v>1968</v>
          </cell>
          <cell r="E1386" t="str">
            <v>Rutherford Moran Oil Corp</v>
          </cell>
          <cell r="F1386">
            <v>34</v>
          </cell>
          <cell r="G1386">
            <v>25177</v>
          </cell>
          <cell r="I1386" t="str">
            <v>North America</v>
          </cell>
          <cell r="J1386" t="str">
            <v>USA</v>
          </cell>
          <cell r="K1386">
            <v>24288</v>
          </cell>
        </row>
        <row r="1387">
          <cell r="A1387" t="str">
            <v>In service</v>
          </cell>
          <cell r="B1387" t="str">
            <v>Gulfstream Aerospace Gulfstream II</v>
          </cell>
          <cell r="C1387" t="str">
            <v xml:space="preserve"> </v>
          </cell>
          <cell r="D1387">
            <v>1969</v>
          </cell>
          <cell r="E1387" t="str">
            <v>Nashville Jet Charters Inc</v>
          </cell>
          <cell r="F1387">
            <v>33</v>
          </cell>
          <cell r="G1387">
            <v>25234</v>
          </cell>
          <cell r="I1387" t="str">
            <v>North America</v>
          </cell>
          <cell r="J1387" t="str">
            <v>USA</v>
          </cell>
          <cell r="K1387">
            <v>24653</v>
          </cell>
        </row>
        <row r="1388">
          <cell r="A1388" t="str">
            <v>In service</v>
          </cell>
          <cell r="B1388" t="str">
            <v>Gulfstream Aerospace Gulfstream II</v>
          </cell>
          <cell r="C1388" t="str">
            <v xml:space="preserve"> </v>
          </cell>
          <cell r="D1388">
            <v>1969</v>
          </cell>
          <cell r="E1388" t="str">
            <v>Stafford Aviation LLC</v>
          </cell>
          <cell r="F1388">
            <v>33</v>
          </cell>
          <cell r="G1388">
            <v>25515</v>
          </cell>
          <cell r="I1388" t="str">
            <v>North America</v>
          </cell>
          <cell r="J1388" t="str">
            <v>USA</v>
          </cell>
          <cell r="K1388">
            <v>25019</v>
          </cell>
        </row>
        <row r="1389">
          <cell r="A1389" t="str">
            <v>In service</v>
          </cell>
          <cell r="B1389" t="str">
            <v>Gulfstream Aerospace Gulfstream II</v>
          </cell>
          <cell r="C1389" t="str">
            <v xml:space="preserve"> </v>
          </cell>
          <cell r="D1389">
            <v>1967</v>
          </cell>
          <cell r="E1389" t="str">
            <v>General Electric Capital Corp</v>
          </cell>
          <cell r="F1389">
            <v>35</v>
          </cell>
          <cell r="G1389">
            <v>24812</v>
          </cell>
          <cell r="I1389" t="str">
            <v>North America</v>
          </cell>
          <cell r="J1389" t="str">
            <v>USA</v>
          </cell>
          <cell r="K1389">
            <v>23923</v>
          </cell>
        </row>
        <row r="1390">
          <cell r="A1390" t="str">
            <v>In service</v>
          </cell>
          <cell r="B1390" t="str">
            <v>Gulfstream Aerospace Gulfstream II</v>
          </cell>
          <cell r="C1390" t="str">
            <v xml:space="preserve"> </v>
          </cell>
          <cell r="D1390">
            <v>1969</v>
          </cell>
          <cell r="E1390" t="str">
            <v>Air Tiger Inc</v>
          </cell>
          <cell r="F1390">
            <v>33</v>
          </cell>
          <cell r="G1390">
            <v>25293</v>
          </cell>
          <cell r="I1390" t="str">
            <v>North America</v>
          </cell>
          <cell r="J1390" t="str">
            <v>USA</v>
          </cell>
          <cell r="K1390">
            <v>24653</v>
          </cell>
        </row>
        <row r="1391">
          <cell r="A1391" t="str">
            <v>In service</v>
          </cell>
          <cell r="B1391" t="str">
            <v>Gulfstream Aerospace Gulfstream II</v>
          </cell>
          <cell r="C1391" t="str">
            <v xml:space="preserve"> </v>
          </cell>
          <cell r="D1391">
            <v>1969</v>
          </cell>
          <cell r="E1391" t="str">
            <v>SFG Equipment Leasing Corp I</v>
          </cell>
          <cell r="F1391">
            <v>33</v>
          </cell>
          <cell r="G1391">
            <v>25324</v>
          </cell>
          <cell r="I1391" t="str">
            <v>North America</v>
          </cell>
          <cell r="J1391" t="str">
            <v>USA</v>
          </cell>
          <cell r="K1391">
            <v>24653</v>
          </cell>
        </row>
        <row r="1392">
          <cell r="A1392" t="str">
            <v>In service</v>
          </cell>
          <cell r="B1392" t="str">
            <v>Gulfstream Aerospace Gulfstream II</v>
          </cell>
          <cell r="C1392" t="str">
            <v xml:space="preserve"> </v>
          </cell>
          <cell r="D1392">
            <v>1969</v>
          </cell>
          <cell r="E1392" t="str">
            <v>Drummond Co Inc</v>
          </cell>
          <cell r="F1392">
            <v>33</v>
          </cell>
          <cell r="G1392">
            <v>25335</v>
          </cell>
          <cell r="I1392" t="str">
            <v>North America</v>
          </cell>
          <cell r="J1392" t="str">
            <v>USA</v>
          </cell>
          <cell r="K1392">
            <v>24653</v>
          </cell>
        </row>
        <row r="1393">
          <cell r="A1393" t="str">
            <v>In service</v>
          </cell>
          <cell r="B1393" t="str">
            <v>Gulfstream Aerospace Gulfstream II</v>
          </cell>
          <cell r="C1393" t="str">
            <v xml:space="preserve"> </v>
          </cell>
          <cell r="D1393">
            <v>1967</v>
          </cell>
          <cell r="E1393" t="str">
            <v>Pincervale Ltd</v>
          </cell>
          <cell r="F1393">
            <v>35</v>
          </cell>
          <cell r="G1393">
            <v>24866</v>
          </cell>
          <cell r="I1393" t="str">
            <v>North America</v>
          </cell>
          <cell r="J1393" t="str">
            <v>USA</v>
          </cell>
          <cell r="K1393">
            <v>24288</v>
          </cell>
        </row>
        <row r="1394">
          <cell r="A1394" t="str">
            <v>In service</v>
          </cell>
          <cell r="B1394" t="str">
            <v>Gulfstream Aerospace Gulfstream II</v>
          </cell>
          <cell r="C1394" t="str">
            <v xml:space="preserve"> </v>
          </cell>
          <cell r="D1394">
            <v>1969</v>
          </cell>
          <cell r="E1394" t="str">
            <v>Kipp Ginsberg Trust</v>
          </cell>
          <cell r="F1394">
            <v>33</v>
          </cell>
          <cell r="G1394">
            <v>25409</v>
          </cell>
          <cell r="I1394" t="str">
            <v>North America</v>
          </cell>
          <cell r="J1394" t="str">
            <v>USA</v>
          </cell>
          <cell r="K1394">
            <v>24653</v>
          </cell>
        </row>
        <row r="1395">
          <cell r="A1395" t="str">
            <v>In service</v>
          </cell>
          <cell r="B1395" t="str">
            <v>Gulfstream Aerospace Gulfstream II</v>
          </cell>
          <cell r="C1395" t="str">
            <v xml:space="preserve"> </v>
          </cell>
          <cell r="D1395">
            <v>1969</v>
          </cell>
          <cell r="E1395" t="str">
            <v>Aviation Enterprises Inc</v>
          </cell>
          <cell r="F1395">
            <v>33</v>
          </cell>
          <cell r="G1395">
            <v>25433</v>
          </cell>
          <cell r="I1395" t="str">
            <v>North America</v>
          </cell>
          <cell r="J1395" t="str">
            <v>USA</v>
          </cell>
          <cell r="K1395">
            <v>24653</v>
          </cell>
        </row>
        <row r="1396">
          <cell r="A1396" t="str">
            <v>In service</v>
          </cell>
          <cell r="B1396" t="str">
            <v>Gulfstream Aerospace Gulfstream II</v>
          </cell>
          <cell r="C1396" t="str">
            <v xml:space="preserve"> </v>
          </cell>
          <cell r="D1396">
            <v>1969</v>
          </cell>
          <cell r="E1396" t="str">
            <v>JHS Leasing of Tampa Inc</v>
          </cell>
          <cell r="F1396">
            <v>33</v>
          </cell>
          <cell r="G1396">
            <v>25441</v>
          </cell>
          <cell r="I1396" t="str">
            <v>North America</v>
          </cell>
          <cell r="J1396" t="str">
            <v>USA</v>
          </cell>
          <cell r="K1396">
            <v>24653</v>
          </cell>
        </row>
        <row r="1397">
          <cell r="A1397" t="str">
            <v>In service</v>
          </cell>
          <cell r="B1397" t="str">
            <v>Gulfstream Aerospace Gulfstream II</v>
          </cell>
          <cell r="C1397" t="str">
            <v xml:space="preserve"> </v>
          </cell>
          <cell r="D1397">
            <v>1969</v>
          </cell>
          <cell r="E1397" t="str">
            <v>Scott Aviation Inc</v>
          </cell>
          <cell r="F1397">
            <v>33</v>
          </cell>
          <cell r="G1397">
            <v>25458</v>
          </cell>
          <cell r="I1397" t="str">
            <v>North America</v>
          </cell>
          <cell r="J1397" t="str">
            <v>USA</v>
          </cell>
          <cell r="K1397">
            <v>24653</v>
          </cell>
        </row>
        <row r="1398">
          <cell r="A1398" t="str">
            <v>In service</v>
          </cell>
          <cell r="B1398" t="str">
            <v>Gulfstream Aerospace Gulfstream II</v>
          </cell>
          <cell r="C1398" t="str">
            <v xml:space="preserve"> </v>
          </cell>
          <cell r="D1398">
            <v>1969</v>
          </cell>
          <cell r="E1398" t="str">
            <v>7-N Aircorp</v>
          </cell>
          <cell r="F1398">
            <v>33</v>
          </cell>
          <cell r="G1398">
            <v>25489</v>
          </cell>
          <cell r="I1398" t="str">
            <v>North America</v>
          </cell>
          <cell r="J1398" t="str">
            <v>USA</v>
          </cell>
          <cell r="K1398">
            <v>24653</v>
          </cell>
        </row>
        <row r="1399">
          <cell r="A1399" t="str">
            <v>In service</v>
          </cell>
          <cell r="B1399" t="str">
            <v>Gulfstream Aerospace Gulfstream II</v>
          </cell>
          <cell r="C1399" t="str">
            <v xml:space="preserve"> </v>
          </cell>
          <cell r="D1399">
            <v>1969</v>
          </cell>
          <cell r="E1399" t="str">
            <v>Gulfstream Aerospace Corp</v>
          </cell>
          <cell r="F1399">
            <v>33</v>
          </cell>
          <cell r="G1399">
            <v>25559</v>
          </cell>
          <cell r="I1399" t="str">
            <v>North America</v>
          </cell>
          <cell r="J1399" t="str">
            <v>USA</v>
          </cell>
          <cell r="K1399">
            <v>24653</v>
          </cell>
        </row>
        <row r="1400">
          <cell r="A1400" t="str">
            <v>In service</v>
          </cell>
          <cell r="B1400" t="str">
            <v>Gulfstream Aerospace Gulfstream II</v>
          </cell>
          <cell r="C1400" t="str">
            <v xml:space="preserve"> </v>
          </cell>
          <cell r="D1400">
            <v>1970</v>
          </cell>
          <cell r="E1400" t="str">
            <v>Hendrick Motorsports Inc</v>
          </cell>
          <cell r="F1400">
            <v>32</v>
          </cell>
          <cell r="G1400">
            <v>25703</v>
          </cell>
          <cell r="I1400" t="str">
            <v>North America</v>
          </cell>
          <cell r="J1400" t="str">
            <v>USA</v>
          </cell>
          <cell r="K1400">
            <v>25019</v>
          </cell>
        </row>
        <row r="1401">
          <cell r="A1401" t="str">
            <v>In service</v>
          </cell>
          <cell r="B1401" t="str">
            <v>Gulfstream Aerospace Gulfstream II</v>
          </cell>
          <cell r="C1401" t="str">
            <v xml:space="preserve"> </v>
          </cell>
          <cell r="D1401">
            <v>1970</v>
          </cell>
          <cell r="E1401" t="str">
            <v>Southern Leasing LLC</v>
          </cell>
          <cell r="F1401">
            <v>32</v>
          </cell>
          <cell r="G1401">
            <v>25630</v>
          </cell>
          <cell r="I1401" t="str">
            <v>North America</v>
          </cell>
          <cell r="J1401" t="str">
            <v>USA</v>
          </cell>
          <cell r="K1401">
            <v>25019</v>
          </cell>
        </row>
        <row r="1402">
          <cell r="A1402" t="str">
            <v>In service</v>
          </cell>
          <cell r="B1402" t="str">
            <v>Gulfstream Aerospace Gulfstream II</v>
          </cell>
          <cell r="C1402" t="str">
            <v xml:space="preserve"> </v>
          </cell>
          <cell r="D1402">
            <v>1970</v>
          </cell>
          <cell r="E1402" t="str">
            <v>Scott Aviation Inc</v>
          </cell>
          <cell r="F1402">
            <v>32</v>
          </cell>
          <cell r="G1402">
            <v>25703</v>
          </cell>
          <cell r="I1402" t="str">
            <v>North America</v>
          </cell>
          <cell r="J1402" t="str">
            <v>USA</v>
          </cell>
          <cell r="K1402">
            <v>25019</v>
          </cell>
        </row>
        <row r="1403">
          <cell r="A1403" t="str">
            <v>In service</v>
          </cell>
          <cell r="B1403" t="str">
            <v>Gulfstream Aerospace Gulfstream II</v>
          </cell>
          <cell r="C1403" t="str">
            <v>B</v>
          </cell>
          <cell r="D1403">
            <v>1971</v>
          </cell>
          <cell r="E1403" t="str">
            <v>The Clorox Co</v>
          </cell>
          <cell r="F1403">
            <v>31</v>
          </cell>
          <cell r="G1403">
            <v>26213</v>
          </cell>
          <cell r="H1403" t="str">
            <v>IIB</v>
          </cell>
          <cell r="I1403" t="str">
            <v>North America</v>
          </cell>
          <cell r="J1403" t="str">
            <v>USA</v>
          </cell>
          <cell r="K1403">
            <v>25384</v>
          </cell>
        </row>
        <row r="1404">
          <cell r="A1404" t="str">
            <v>In service</v>
          </cell>
          <cell r="B1404" t="str">
            <v>Gulfstream Aerospace Gulfstream II</v>
          </cell>
          <cell r="C1404" t="str">
            <v>B</v>
          </cell>
          <cell r="D1404">
            <v>1972</v>
          </cell>
          <cell r="E1404" t="str">
            <v>New World Aircraft GIIB-119</v>
          </cell>
          <cell r="F1404">
            <v>30</v>
          </cell>
          <cell r="G1404">
            <v>26606</v>
          </cell>
          <cell r="H1404" t="str">
            <v>IIB</v>
          </cell>
          <cell r="I1404" t="str">
            <v>North America</v>
          </cell>
          <cell r="J1404" t="str">
            <v>USA</v>
          </cell>
          <cell r="K1404">
            <v>25749</v>
          </cell>
        </row>
        <row r="1405">
          <cell r="A1405" t="str">
            <v>In service</v>
          </cell>
          <cell r="B1405" t="str">
            <v>Gulfstream Aerospace Gulfstream II</v>
          </cell>
          <cell r="C1405" t="str">
            <v>B</v>
          </cell>
          <cell r="D1405">
            <v>1973</v>
          </cell>
          <cell r="E1405" t="str">
            <v>Richard F Scruggs PA</v>
          </cell>
          <cell r="F1405">
            <v>29</v>
          </cell>
          <cell r="G1405">
            <v>26693</v>
          </cell>
          <cell r="H1405" t="str">
            <v>IIB</v>
          </cell>
          <cell r="I1405" t="str">
            <v>North America</v>
          </cell>
          <cell r="J1405" t="str">
            <v>USA</v>
          </cell>
          <cell r="K1405">
            <v>26480</v>
          </cell>
        </row>
        <row r="1406">
          <cell r="A1406" t="str">
            <v>In service</v>
          </cell>
          <cell r="B1406" t="str">
            <v>Gulfstream Aerospace Gulfstream II</v>
          </cell>
          <cell r="C1406" t="str">
            <v>B</v>
          </cell>
          <cell r="D1406">
            <v>1973</v>
          </cell>
          <cell r="E1406" t="str">
            <v>Aviation Technologies Inc</v>
          </cell>
          <cell r="F1406">
            <v>29</v>
          </cell>
          <cell r="G1406">
            <v>26743</v>
          </cell>
          <cell r="H1406" t="str">
            <v>HALO II</v>
          </cell>
          <cell r="I1406" t="str">
            <v>North America</v>
          </cell>
          <cell r="J1406" t="str">
            <v>USA</v>
          </cell>
          <cell r="K1406">
            <v>26114</v>
          </cell>
        </row>
        <row r="1407">
          <cell r="A1407" t="str">
            <v>In service</v>
          </cell>
          <cell r="B1407" t="str">
            <v>Gulfstream Aerospace Gulfstream II</v>
          </cell>
          <cell r="C1407" t="str">
            <v>B</v>
          </cell>
          <cell r="D1407">
            <v>1973</v>
          </cell>
          <cell r="E1407" t="str">
            <v>Tech Aircraft LLC</v>
          </cell>
          <cell r="F1407">
            <v>29</v>
          </cell>
          <cell r="G1407">
            <v>26854</v>
          </cell>
          <cell r="H1407" t="str">
            <v>IIB</v>
          </cell>
          <cell r="I1407" t="str">
            <v>North America</v>
          </cell>
          <cell r="J1407" t="str">
            <v>USA</v>
          </cell>
          <cell r="K1407">
            <v>26480</v>
          </cell>
        </row>
        <row r="1408">
          <cell r="A1408" t="str">
            <v>In service</v>
          </cell>
          <cell r="B1408" t="str">
            <v>Gulfstream Aerospace Gulfstream II</v>
          </cell>
          <cell r="C1408" t="str">
            <v>B</v>
          </cell>
          <cell r="D1408">
            <v>1973</v>
          </cell>
          <cell r="E1408" t="str">
            <v>Freeman Holdings Aircraft LLC</v>
          </cell>
          <cell r="F1408">
            <v>29</v>
          </cell>
          <cell r="G1408">
            <v>27054</v>
          </cell>
          <cell r="H1408" t="str">
            <v>IIB</v>
          </cell>
          <cell r="I1408" t="str">
            <v>North America</v>
          </cell>
          <cell r="J1408" t="str">
            <v>USA</v>
          </cell>
          <cell r="K1408">
            <v>26480</v>
          </cell>
        </row>
        <row r="1409">
          <cell r="A1409" t="str">
            <v>In service</v>
          </cell>
          <cell r="B1409" t="str">
            <v>Gulfstream Aerospace Gulfstream II</v>
          </cell>
          <cell r="C1409" t="str">
            <v>B</v>
          </cell>
          <cell r="D1409">
            <v>1974</v>
          </cell>
          <cell r="E1409" t="str">
            <v>Tikchik LLC</v>
          </cell>
          <cell r="F1409">
            <v>28</v>
          </cell>
          <cell r="G1409">
            <v>27173</v>
          </cell>
          <cell r="H1409" t="str">
            <v>IIB</v>
          </cell>
          <cell r="I1409" t="str">
            <v>North America</v>
          </cell>
          <cell r="J1409" t="str">
            <v>USA</v>
          </cell>
          <cell r="K1409">
            <v>26480</v>
          </cell>
        </row>
        <row r="1410">
          <cell r="A1410" t="str">
            <v>In service</v>
          </cell>
          <cell r="B1410" t="str">
            <v>Gulfstream Aerospace Gulfstream II</v>
          </cell>
          <cell r="C1410" t="str">
            <v>B</v>
          </cell>
          <cell r="D1410">
            <v>1974</v>
          </cell>
          <cell r="E1410" t="str">
            <v>Air Resources Corp</v>
          </cell>
          <cell r="F1410">
            <v>28</v>
          </cell>
          <cell r="G1410">
            <v>27224</v>
          </cell>
          <cell r="H1410" t="str">
            <v>IIB</v>
          </cell>
          <cell r="I1410" t="str">
            <v>North America</v>
          </cell>
          <cell r="J1410" t="str">
            <v>USA</v>
          </cell>
          <cell r="K1410">
            <v>27210</v>
          </cell>
        </row>
        <row r="1411">
          <cell r="A1411" t="str">
            <v>In service</v>
          </cell>
          <cell r="B1411" t="str">
            <v>Gulfstream Aerospace Gulfstream II</v>
          </cell>
          <cell r="C1411" t="str">
            <v>B</v>
          </cell>
          <cell r="D1411">
            <v>1974</v>
          </cell>
          <cell r="E1411" t="str">
            <v>Hyperion Air Inc</v>
          </cell>
          <cell r="F1411">
            <v>28</v>
          </cell>
          <cell r="G1411">
            <v>27320</v>
          </cell>
          <cell r="H1411" t="str">
            <v>IIB</v>
          </cell>
          <cell r="I1411" t="str">
            <v>North America</v>
          </cell>
          <cell r="J1411" t="str">
            <v>USA</v>
          </cell>
        </row>
        <row r="1412">
          <cell r="A1412" t="str">
            <v>In service</v>
          </cell>
          <cell r="B1412" t="str">
            <v>Gulfstream Aerospace Gulfstream II</v>
          </cell>
          <cell r="C1412" t="str">
            <v>B</v>
          </cell>
          <cell r="D1412">
            <v>1974</v>
          </cell>
          <cell r="E1412" t="str">
            <v>CDL Aviation Inc</v>
          </cell>
          <cell r="F1412">
            <v>28</v>
          </cell>
          <cell r="G1412">
            <v>27369</v>
          </cell>
          <cell r="H1412" t="str">
            <v>IIB</v>
          </cell>
          <cell r="I1412" t="str">
            <v>North America</v>
          </cell>
          <cell r="J1412" t="str">
            <v>USA</v>
          </cell>
          <cell r="K1412">
            <v>26480</v>
          </cell>
        </row>
        <row r="1413">
          <cell r="A1413" t="str">
            <v>In service</v>
          </cell>
          <cell r="B1413" t="str">
            <v>Gulfstream Aerospace Gulfstream II</v>
          </cell>
          <cell r="C1413" t="str">
            <v>B</v>
          </cell>
          <cell r="D1413">
            <v>1974</v>
          </cell>
          <cell r="E1413" t="str">
            <v>477 Aviation LLC</v>
          </cell>
          <cell r="F1413">
            <v>28</v>
          </cell>
          <cell r="G1413">
            <v>27378</v>
          </cell>
          <cell r="H1413" t="str">
            <v>IIB</v>
          </cell>
          <cell r="I1413" t="str">
            <v>North America</v>
          </cell>
          <cell r="J1413" t="str">
            <v>USA</v>
          </cell>
          <cell r="K1413">
            <v>26480</v>
          </cell>
        </row>
        <row r="1414">
          <cell r="A1414" t="str">
            <v>In service</v>
          </cell>
          <cell r="B1414" t="str">
            <v>Gulfstream Aerospace Gulfstream II</v>
          </cell>
          <cell r="C1414" t="str">
            <v>B</v>
          </cell>
          <cell r="D1414">
            <v>1974</v>
          </cell>
          <cell r="E1414" t="str">
            <v>Yellowstone Aviation LLC</v>
          </cell>
          <cell r="F1414">
            <v>28</v>
          </cell>
          <cell r="G1414">
            <v>27417</v>
          </cell>
          <cell r="H1414" t="str">
            <v>IIB</v>
          </cell>
          <cell r="I1414" t="str">
            <v>North America</v>
          </cell>
          <cell r="J1414" t="str">
            <v>USA</v>
          </cell>
          <cell r="K1414">
            <v>26845</v>
          </cell>
        </row>
        <row r="1415">
          <cell r="A1415" t="str">
            <v>In service</v>
          </cell>
          <cell r="B1415" t="str">
            <v>Gulfstream Aerospace Gulfstream II</v>
          </cell>
          <cell r="C1415" t="str">
            <v>B</v>
          </cell>
          <cell r="D1415">
            <v>1968</v>
          </cell>
          <cell r="E1415" t="str">
            <v>Charles Fry Electronics Inc</v>
          </cell>
          <cell r="F1415">
            <v>34</v>
          </cell>
          <cell r="G1415">
            <v>24975</v>
          </cell>
          <cell r="H1415" t="str">
            <v>IIB</v>
          </cell>
          <cell r="I1415" t="str">
            <v>North America</v>
          </cell>
          <cell r="J1415" t="str">
            <v>USA</v>
          </cell>
          <cell r="K1415">
            <v>24288</v>
          </cell>
        </row>
        <row r="1416">
          <cell r="A1416" t="str">
            <v>In service</v>
          </cell>
          <cell r="B1416" t="str">
            <v>Gulfstream Aerospace Gulfstream II</v>
          </cell>
          <cell r="C1416" t="str">
            <v>B</v>
          </cell>
          <cell r="D1416">
            <v>1975</v>
          </cell>
          <cell r="E1416" t="str">
            <v>Coastal Corp</v>
          </cell>
          <cell r="F1416">
            <v>27</v>
          </cell>
          <cell r="G1416">
            <v>27589</v>
          </cell>
          <cell r="H1416" t="str">
            <v>IIB</v>
          </cell>
          <cell r="I1416" t="str">
            <v>North America</v>
          </cell>
          <cell r="J1416" t="str">
            <v>USA</v>
          </cell>
        </row>
        <row r="1417">
          <cell r="A1417" t="str">
            <v>In service</v>
          </cell>
          <cell r="B1417" t="str">
            <v>Gulfstream Aerospace Gulfstream II</v>
          </cell>
          <cell r="C1417" t="str">
            <v>B</v>
          </cell>
          <cell r="D1417">
            <v>1975</v>
          </cell>
          <cell r="E1417" t="str">
            <v>Deniston Enterprises Inc</v>
          </cell>
          <cell r="F1417">
            <v>27</v>
          </cell>
          <cell r="G1417">
            <v>27603</v>
          </cell>
          <cell r="H1417" t="str">
            <v>IIB</v>
          </cell>
          <cell r="I1417" t="str">
            <v>North America</v>
          </cell>
          <cell r="J1417" t="str">
            <v>USA</v>
          </cell>
          <cell r="K1417">
            <v>27210</v>
          </cell>
        </row>
        <row r="1418">
          <cell r="A1418" t="str">
            <v>In service</v>
          </cell>
          <cell r="B1418" t="str">
            <v>Gulfstream Aerospace Gulfstream II</v>
          </cell>
          <cell r="C1418" t="str">
            <v>B</v>
          </cell>
          <cell r="D1418">
            <v>1976</v>
          </cell>
          <cell r="E1418" t="str">
            <v>El Paso CGP ABCO Aviation Co</v>
          </cell>
          <cell r="F1418">
            <v>26</v>
          </cell>
          <cell r="G1418">
            <v>28026</v>
          </cell>
          <cell r="H1418" t="str">
            <v>IIB</v>
          </cell>
          <cell r="I1418" t="str">
            <v>North America</v>
          </cell>
          <cell r="J1418" t="str">
            <v>USA</v>
          </cell>
          <cell r="K1418">
            <v>27575</v>
          </cell>
        </row>
        <row r="1419">
          <cell r="A1419" t="str">
            <v>In service</v>
          </cell>
          <cell r="B1419" t="str">
            <v>Gulfstream Aerospace Gulfstream II</v>
          </cell>
          <cell r="C1419" t="str">
            <v>B</v>
          </cell>
          <cell r="D1419">
            <v>1977</v>
          </cell>
          <cell r="E1419" t="str">
            <v>Bopper Airways LLC</v>
          </cell>
          <cell r="F1419">
            <v>25</v>
          </cell>
          <cell r="G1419">
            <v>28177</v>
          </cell>
          <cell r="H1419" t="str">
            <v>IIB</v>
          </cell>
          <cell r="I1419" t="str">
            <v>North America</v>
          </cell>
          <cell r="J1419" t="str">
            <v>USA</v>
          </cell>
          <cell r="K1419">
            <v>27941</v>
          </cell>
        </row>
        <row r="1420">
          <cell r="A1420" t="str">
            <v>In service</v>
          </cell>
          <cell r="B1420" t="str">
            <v>Gulfstream Aerospace Gulfstream II</v>
          </cell>
          <cell r="C1420" t="str">
            <v>B</v>
          </cell>
          <cell r="D1420">
            <v>1977</v>
          </cell>
          <cell r="E1420" t="str">
            <v>C &amp; L Aviation LLC</v>
          </cell>
          <cell r="F1420">
            <v>25</v>
          </cell>
          <cell r="G1420">
            <v>28199</v>
          </cell>
          <cell r="H1420" t="str">
            <v>IIB</v>
          </cell>
          <cell r="I1420" t="str">
            <v>North America</v>
          </cell>
          <cell r="J1420" t="str">
            <v>USA</v>
          </cell>
          <cell r="K1420">
            <v>27941</v>
          </cell>
        </row>
        <row r="1421">
          <cell r="A1421" t="str">
            <v>In service</v>
          </cell>
          <cell r="B1421" t="str">
            <v>Gulfstream Aerospace Gulfstream II</v>
          </cell>
          <cell r="C1421" t="str">
            <v>B</v>
          </cell>
          <cell r="D1421">
            <v>1977</v>
          </cell>
          <cell r="E1421" t="str">
            <v>United Breweries</v>
          </cell>
          <cell r="F1421">
            <v>25</v>
          </cell>
          <cell r="G1421">
            <v>28383</v>
          </cell>
          <cell r="H1421" t="str">
            <v>IIB</v>
          </cell>
          <cell r="I1421" t="str">
            <v>Asia</v>
          </cell>
          <cell r="J1421" t="str">
            <v>India</v>
          </cell>
          <cell r="K1421">
            <v>27575</v>
          </cell>
        </row>
        <row r="1422">
          <cell r="A1422" t="str">
            <v>In service</v>
          </cell>
          <cell r="B1422" t="str">
            <v>Gulfstream Aerospace Gulfstream II</v>
          </cell>
          <cell r="C1422" t="str">
            <v>B</v>
          </cell>
          <cell r="D1422">
            <v>1968</v>
          </cell>
          <cell r="E1422" t="str">
            <v>Hi-Flite Inc</v>
          </cell>
          <cell r="F1422">
            <v>34</v>
          </cell>
          <cell r="G1422">
            <v>25058</v>
          </cell>
          <cell r="H1422" t="str">
            <v>IIB</v>
          </cell>
          <cell r="I1422" t="str">
            <v>North America</v>
          </cell>
          <cell r="J1422" t="str">
            <v>USA</v>
          </cell>
          <cell r="K1422">
            <v>24288</v>
          </cell>
        </row>
        <row r="1423">
          <cell r="A1423" t="str">
            <v>In service</v>
          </cell>
          <cell r="B1423" t="str">
            <v>Gulfstream Aerospace Gulfstream II</v>
          </cell>
          <cell r="C1423" t="str">
            <v>B</v>
          </cell>
          <cell r="D1423">
            <v>1978</v>
          </cell>
          <cell r="E1423" t="str">
            <v>CHI Aviation Inc</v>
          </cell>
          <cell r="F1423">
            <v>24</v>
          </cell>
          <cell r="G1423">
            <v>28574</v>
          </cell>
          <cell r="H1423" t="str">
            <v>IIB</v>
          </cell>
          <cell r="I1423" t="str">
            <v>North America</v>
          </cell>
          <cell r="J1423" t="str">
            <v>USA</v>
          </cell>
          <cell r="K1423">
            <v>27941</v>
          </cell>
        </row>
        <row r="1424">
          <cell r="A1424" t="str">
            <v>In service</v>
          </cell>
          <cell r="B1424" t="str">
            <v>Gulfstream Aerospace Gulfstream II</v>
          </cell>
          <cell r="C1424" t="str">
            <v>B</v>
          </cell>
          <cell r="D1424">
            <v>1978</v>
          </cell>
          <cell r="E1424" t="str">
            <v>Eastman Chemical Co</v>
          </cell>
          <cell r="F1424">
            <v>24</v>
          </cell>
          <cell r="G1424">
            <v>28804</v>
          </cell>
          <cell r="H1424" t="str">
            <v>IIB</v>
          </cell>
          <cell r="I1424" t="str">
            <v>North America</v>
          </cell>
          <cell r="J1424" t="str">
            <v>USA</v>
          </cell>
          <cell r="K1424">
            <v>28306</v>
          </cell>
        </row>
        <row r="1425">
          <cell r="A1425" t="str">
            <v>In service</v>
          </cell>
          <cell r="B1425" t="str">
            <v>Gulfstream Aerospace Gulfstream II</v>
          </cell>
          <cell r="C1425" t="str">
            <v>B</v>
          </cell>
          <cell r="D1425">
            <v>1979</v>
          </cell>
          <cell r="E1425" t="str">
            <v>Gestair</v>
          </cell>
          <cell r="F1425">
            <v>23</v>
          </cell>
          <cell r="G1425">
            <v>28870</v>
          </cell>
          <cell r="H1425" t="str">
            <v>IIB</v>
          </cell>
          <cell r="I1425" t="str">
            <v>Europe</v>
          </cell>
          <cell r="J1425" t="str">
            <v>Spain</v>
          </cell>
          <cell r="K1425">
            <v>28306</v>
          </cell>
        </row>
        <row r="1426">
          <cell r="A1426" t="str">
            <v>In service</v>
          </cell>
          <cell r="B1426" t="str">
            <v>Gulfstream Aerospace Gulfstream II</v>
          </cell>
          <cell r="C1426" t="str">
            <v>B</v>
          </cell>
          <cell r="D1426">
            <v>1979</v>
          </cell>
          <cell r="E1426" t="str">
            <v>222 Aviation LLC</v>
          </cell>
          <cell r="F1426">
            <v>23</v>
          </cell>
          <cell r="G1426">
            <v>29042</v>
          </cell>
          <cell r="H1426" t="str">
            <v>IIB</v>
          </cell>
          <cell r="I1426" t="str">
            <v>North America</v>
          </cell>
          <cell r="J1426" t="str">
            <v>USA</v>
          </cell>
        </row>
        <row r="1427">
          <cell r="A1427" t="str">
            <v>In service</v>
          </cell>
          <cell r="B1427" t="str">
            <v>Gulfstream Aerospace Gulfstream II</v>
          </cell>
          <cell r="C1427" t="str">
            <v>B</v>
          </cell>
          <cell r="D1427">
            <v>1979</v>
          </cell>
          <cell r="E1427" t="str">
            <v>Tricycle Aviation LLC</v>
          </cell>
          <cell r="F1427">
            <v>23</v>
          </cell>
          <cell r="G1427">
            <v>29174</v>
          </cell>
          <cell r="H1427" t="str">
            <v>IIB</v>
          </cell>
          <cell r="I1427" t="str">
            <v>North America</v>
          </cell>
          <cell r="J1427" t="str">
            <v>USA</v>
          </cell>
          <cell r="K1427">
            <v>28306</v>
          </cell>
        </row>
        <row r="1428">
          <cell r="A1428" t="str">
            <v>In service</v>
          </cell>
          <cell r="B1428" t="str">
            <v>Gulfstream Aerospace Gulfstream II</v>
          </cell>
          <cell r="C1428" t="str">
            <v>B</v>
          </cell>
          <cell r="D1428">
            <v>1979</v>
          </cell>
          <cell r="E1428" t="str">
            <v>Wilmington Aero Ventures IV Inc</v>
          </cell>
          <cell r="F1428">
            <v>23</v>
          </cell>
          <cell r="G1428">
            <v>29235</v>
          </cell>
          <cell r="H1428" t="str">
            <v>IIB</v>
          </cell>
          <cell r="I1428" t="str">
            <v>North America</v>
          </cell>
          <cell r="J1428" t="str">
            <v>USA</v>
          </cell>
          <cell r="K1428">
            <v>28671</v>
          </cell>
        </row>
        <row r="1429">
          <cell r="A1429" t="str">
            <v>In service</v>
          </cell>
          <cell r="B1429" t="str">
            <v>Gulfstream Aerospace Gulfstream II</v>
          </cell>
          <cell r="C1429" t="str">
            <v>B</v>
          </cell>
          <cell r="D1429">
            <v>1980</v>
          </cell>
          <cell r="E1429" t="str">
            <v>North American Financial Corp</v>
          </cell>
          <cell r="F1429">
            <v>22</v>
          </cell>
          <cell r="G1429">
            <v>29479</v>
          </cell>
          <cell r="H1429" t="str">
            <v>IIB</v>
          </cell>
          <cell r="I1429" t="str">
            <v>North America</v>
          </cell>
          <cell r="J1429" t="str">
            <v>USA</v>
          </cell>
          <cell r="K1429">
            <v>28671</v>
          </cell>
        </row>
        <row r="1430">
          <cell r="A1430" t="str">
            <v>In service</v>
          </cell>
          <cell r="B1430" t="str">
            <v>Gulfstream Aerospace Gulfstream II</v>
          </cell>
          <cell r="C1430" t="str">
            <v>B</v>
          </cell>
          <cell r="D1430">
            <v>1968</v>
          </cell>
          <cell r="E1430" t="str">
            <v>C Hank Rhon</v>
          </cell>
          <cell r="F1430">
            <v>34</v>
          </cell>
          <cell r="G1430">
            <v>25142</v>
          </cell>
          <cell r="H1430" t="str">
            <v>IIB</v>
          </cell>
          <cell r="I1430" t="str">
            <v>Latin America and Caribbean</v>
          </cell>
          <cell r="J1430" t="str">
            <v>Mexico</v>
          </cell>
          <cell r="K1430">
            <v>24288</v>
          </cell>
        </row>
        <row r="1431">
          <cell r="A1431" t="str">
            <v>In service</v>
          </cell>
          <cell r="B1431" t="str">
            <v>Gulfstream Aerospace Gulfstream II</v>
          </cell>
          <cell r="C1431" t="str">
            <v>B</v>
          </cell>
          <cell r="D1431">
            <v>1968</v>
          </cell>
          <cell r="E1431" t="str">
            <v>N97EC LLC</v>
          </cell>
          <cell r="F1431">
            <v>34</v>
          </cell>
          <cell r="G1431">
            <v>25151</v>
          </cell>
          <cell r="H1431" t="str">
            <v>IIB</v>
          </cell>
          <cell r="I1431" t="str">
            <v>North America</v>
          </cell>
          <cell r="J1431" t="str">
            <v>USA</v>
          </cell>
          <cell r="K1431">
            <v>24653</v>
          </cell>
        </row>
        <row r="1432">
          <cell r="A1432" t="str">
            <v>In service</v>
          </cell>
          <cell r="B1432" t="str">
            <v>Gulfstream Aerospace Gulfstream II</v>
          </cell>
          <cell r="C1432" t="str">
            <v>B</v>
          </cell>
          <cell r="D1432">
            <v>1968</v>
          </cell>
          <cell r="E1432" t="str">
            <v>Aeromet Inc</v>
          </cell>
          <cell r="F1432">
            <v>34</v>
          </cell>
          <cell r="G1432">
            <v>25163</v>
          </cell>
          <cell r="H1432" t="str">
            <v>HALO I</v>
          </cell>
          <cell r="I1432" t="str">
            <v>North America</v>
          </cell>
          <cell r="J1432" t="str">
            <v>USA</v>
          </cell>
          <cell r="K1432">
            <v>25019</v>
          </cell>
        </row>
        <row r="1433">
          <cell r="A1433" t="str">
            <v>In service</v>
          </cell>
          <cell r="B1433" t="str">
            <v>Gulfstream Aerospace Gulfstream II</v>
          </cell>
          <cell r="C1433" t="str">
            <v>B</v>
          </cell>
          <cell r="D1433">
            <v>1967</v>
          </cell>
          <cell r="E1433" t="str">
            <v>RGR Technologies Inc</v>
          </cell>
          <cell r="F1433">
            <v>35</v>
          </cell>
          <cell r="G1433">
            <v>24850</v>
          </cell>
          <cell r="H1433" t="str">
            <v>IIB</v>
          </cell>
          <cell r="I1433" t="str">
            <v>North America</v>
          </cell>
          <cell r="J1433" t="str">
            <v>USA</v>
          </cell>
          <cell r="K1433">
            <v>23923</v>
          </cell>
        </row>
        <row r="1434">
          <cell r="A1434" t="str">
            <v>In service</v>
          </cell>
          <cell r="B1434" t="str">
            <v>Gulfstream Aerospace Gulfstream II</v>
          </cell>
          <cell r="C1434" t="str">
            <v>B</v>
          </cell>
          <cell r="D1434">
            <v>1968</v>
          </cell>
          <cell r="E1434" t="str">
            <v>B&amp;G Leasing LLC</v>
          </cell>
          <cell r="F1434">
            <v>34</v>
          </cell>
          <cell r="G1434">
            <v>25205</v>
          </cell>
          <cell r="H1434" t="str">
            <v>IIB</v>
          </cell>
          <cell r="I1434" t="str">
            <v>North America</v>
          </cell>
          <cell r="J1434" t="str">
            <v>USA</v>
          </cell>
          <cell r="K1434">
            <v>24653</v>
          </cell>
        </row>
        <row r="1435">
          <cell r="A1435" t="str">
            <v>In service</v>
          </cell>
          <cell r="B1435" t="str">
            <v>Gulfstream Aerospace Gulfstream II</v>
          </cell>
          <cell r="C1435" t="str">
            <v>B</v>
          </cell>
          <cell r="D1435">
            <v>1969</v>
          </cell>
          <cell r="E1435" t="str">
            <v>Hudson Capital Group Inc</v>
          </cell>
          <cell r="F1435">
            <v>33</v>
          </cell>
          <cell r="G1435">
            <v>25274</v>
          </cell>
          <cell r="H1435" t="str">
            <v>IIB</v>
          </cell>
          <cell r="I1435" t="str">
            <v>North America</v>
          </cell>
          <cell r="J1435" t="str">
            <v>USA</v>
          </cell>
          <cell r="K1435">
            <v>24653</v>
          </cell>
        </row>
        <row r="1436">
          <cell r="A1436" t="str">
            <v>In service</v>
          </cell>
          <cell r="B1436" t="str">
            <v>Gulfstream Aerospace Gulfstream II</v>
          </cell>
          <cell r="C1436" t="str">
            <v>B</v>
          </cell>
          <cell r="D1436">
            <v>1969</v>
          </cell>
          <cell r="E1436" t="str">
            <v>Coastal Corp</v>
          </cell>
          <cell r="F1436">
            <v>33</v>
          </cell>
          <cell r="G1436">
            <v>25328</v>
          </cell>
          <cell r="H1436" t="str">
            <v>IIB</v>
          </cell>
          <cell r="I1436" t="str">
            <v>North America</v>
          </cell>
          <cell r="J1436" t="str">
            <v>USA</v>
          </cell>
          <cell r="K1436">
            <v>24653</v>
          </cell>
        </row>
        <row r="1437">
          <cell r="A1437" t="str">
            <v>In service</v>
          </cell>
          <cell r="B1437" t="str">
            <v>Gulfstream Aerospace Gulfstream II</v>
          </cell>
          <cell r="C1437" t="str">
            <v>B</v>
          </cell>
          <cell r="D1437">
            <v>1969</v>
          </cell>
          <cell r="E1437" t="str">
            <v>New World Aviation Inc</v>
          </cell>
          <cell r="F1437">
            <v>33</v>
          </cell>
          <cell r="G1437">
            <v>25421</v>
          </cell>
          <cell r="H1437" t="str">
            <v>IIB</v>
          </cell>
          <cell r="I1437" t="str">
            <v>North America</v>
          </cell>
          <cell r="J1437" t="str">
            <v>USA</v>
          </cell>
          <cell r="K1437">
            <v>25019</v>
          </cell>
        </row>
        <row r="1438">
          <cell r="A1438" t="str">
            <v>In service</v>
          </cell>
          <cell r="B1438" t="str">
            <v>Gulfstream Aerospace Gulfstream II</v>
          </cell>
          <cell r="C1438" t="str">
            <v>B</v>
          </cell>
          <cell r="D1438">
            <v>1969</v>
          </cell>
          <cell r="E1438" t="str">
            <v xml:space="preserve">FINOVA Capital Corp </v>
          </cell>
          <cell r="F1438">
            <v>33</v>
          </cell>
          <cell r="G1438">
            <v>25492</v>
          </cell>
          <cell r="H1438" t="str">
            <v>IIB</v>
          </cell>
          <cell r="I1438" t="str">
            <v>North America</v>
          </cell>
          <cell r="J1438" t="str">
            <v>USA</v>
          </cell>
          <cell r="K1438">
            <v>25019</v>
          </cell>
        </row>
        <row r="1439">
          <cell r="A1439" t="str">
            <v>In service</v>
          </cell>
          <cell r="B1439" t="str">
            <v>Gulfstream Aerospace Gulfstream II</v>
          </cell>
          <cell r="C1439" t="str">
            <v>B</v>
          </cell>
          <cell r="D1439">
            <v>1969</v>
          </cell>
          <cell r="E1439" t="str">
            <v>ConocoPhillips Co</v>
          </cell>
          <cell r="F1439">
            <v>33</v>
          </cell>
          <cell r="G1439">
            <v>25514</v>
          </cell>
          <cell r="H1439" t="str">
            <v>IIB</v>
          </cell>
          <cell r="I1439" t="str">
            <v>North America</v>
          </cell>
          <cell r="J1439" t="str">
            <v>USA</v>
          </cell>
          <cell r="K1439">
            <v>25019</v>
          </cell>
        </row>
        <row r="1440">
          <cell r="A1440" t="str">
            <v>In service</v>
          </cell>
          <cell r="B1440" t="str">
            <v>Gulfstream Aerospace Gulfstream II</v>
          </cell>
          <cell r="C1440" t="str">
            <v>B</v>
          </cell>
          <cell r="D1440">
            <v>1969</v>
          </cell>
          <cell r="E1440" t="str">
            <v>New World Aircraft GIIB-075 LLC</v>
          </cell>
          <cell r="F1440">
            <v>33</v>
          </cell>
          <cell r="G1440">
            <v>25541</v>
          </cell>
          <cell r="H1440" t="str">
            <v>IIB</v>
          </cell>
          <cell r="I1440" t="str">
            <v>North America</v>
          </cell>
          <cell r="J1440" t="str">
            <v>USA</v>
          </cell>
          <cell r="K1440">
            <v>25019</v>
          </cell>
        </row>
        <row r="1441">
          <cell r="A1441" t="str">
            <v>In service</v>
          </cell>
          <cell r="B1441" t="str">
            <v>Gulfstream Aerospace Gulfstream II</v>
          </cell>
          <cell r="C1441" t="str">
            <v>B</v>
          </cell>
          <cell r="D1441">
            <v>1969</v>
          </cell>
          <cell r="E1441" t="str">
            <v>Pace LLC</v>
          </cell>
          <cell r="F1441">
            <v>33</v>
          </cell>
          <cell r="G1441">
            <v>26360</v>
          </cell>
          <cell r="H1441" t="str">
            <v>IIB</v>
          </cell>
          <cell r="I1441" t="str">
            <v>North America</v>
          </cell>
          <cell r="J1441" t="str">
            <v>USA</v>
          </cell>
          <cell r="K1441">
            <v>25749</v>
          </cell>
        </row>
        <row r="1442">
          <cell r="A1442" t="str">
            <v>In service</v>
          </cell>
          <cell r="B1442" t="str">
            <v>Gulfstream Aerospace Gulfstream II</v>
          </cell>
          <cell r="C1442" t="str">
            <v>B</v>
          </cell>
          <cell r="D1442">
            <v>1970</v>
          </cell>
          <cell r="E1442" t="str">
            <v>NMP Enterprises LLC</v>
          </cell>
          <cell r="F1442">
            <v>32</v>
          </cell>
          <cell r="G1442">
            <v>25660</v>
          </cell>
          <cell r="H1442" t="str">
            <v>IIB</v>
          </cell>
          <cell r="I1442" t="str">
            <v>North America</v>
          </cell>
          <cell r="J1442" t="str">
            <v>USA</v>
          </cell>
          <cell r="K1442">
            <v>25019</v>
          </cell>
        </row>
        <row r="1443">
          <cell r="A1443" t="str">
            <v>In service</v>
          </cell>
          <cell r="B1443" t="str">
            <v>Gulfstream Aerospace Gulfstream II</v>
          </cell>
          <cell r="C1443" t="str">
            <v>B</v>
          </cell>
          <cell r="D1443">
            <v>1970</v>
          </cell>
          <cell r="E1443" t="str">
            <v>Letica Corp</v>
          </cell>
          <cell r="F1443">
            <v>32</v>
          </cell>
          <cell r="G1443">
            <v>25679</v>
          </cell>
          <cell r="H1443" t="str">
            <v>IIB</v>
          </cell>
          <cell r="I1443" t="str">
            <v>North America</v>
          </cell>
          <cell r="J1443" t="str">
            <v>USA</v>
          </cell>
          <cell r="K1443">
            <v>25384</v>
          </cell>
        </row>
        <row r="1444">
          <cell r="A1444" t="str">
            <v>In service</v>
          </cell>
          <cell r="B1444" t="str">
            <v>Gulfstream Aerospace Gulfstream II</v>
          </cell>
          <cell r="C1444" t="str">
            <v>B</v>
          </cell>
          <cell r="D1444">
            <v>1968</v>
          </cell>
          <cell r="E1444" t="str">
            <v>Eastman Chemical Co</v>
          </cell>
          <cell r="F1444">
            <v>34</v>
          </cell>
          <cell r="G1444">
            <v>24862</v>
          </cell>
          <cell r="H1444" t="str">
            <v>IIB</v>
          </cell>
          <cell r="I1444" t="str">
            <v>North America</v>
          </cell>
          <cell r="J1444" t="str">
            <v>USA</v>
          </cell>
          <cell r="K1444">
            <v>23923</v>
          </cell>
        </row>
        <row r="1445">
          <cell r="A1445" t="str">
            <v>In service</v>
          </cell>
          <cell r="B1445" t="str">
            <v>Gulfstream Aerospace Gulfstream II</v>
          </cell>
          <cell r="C1445" t="str">
            <v>B</v>
          </cell>
          <cell r="D1445">
            <v>1970</v>
          </cell>
          <cell r="E1445" t="str">
            <v>113CS LLC</v>
          </cell>
          <cell r="F1445">
            <v>32</v>
          </cell>
          <cell r="G1445">
            <v>26038</v>
          </cell>
          <cell r="H1445" t="str">
            <v>IIB</v>
          </cell>
          <cell r="I1445" t="str">
            <v>North America</v>
          </cell>
          <cell r="J1445" t="str">
            <v>USA</v>
          </cell>
          <cell r="K1445">
            <v>25384</v>
          </cell>
        </row>
        <row r="1446">
          <cell r="A1446" t="str">
            <v>In service</v>
          </cell>
          <cell r="B1446" t="str">
            <v>Gulfstream Aerospace Gulfstream II</v>
          </cell>
          <cell r="C1446" t="str">
            <v>B</v>
          </cell>
          <cell r="D1446">
            <v>1970</v>
          </cell>
          <cell r="E1446" t="str">
            <v>Avjet Corp</v>
          </cell>
          <cell r="F1446">
            <v>32</v>
          </cell>
          <cell r="G1446">
            <v>25983</v>
          </cell>
          <cell r="H1446" t="str">
            <v>IIB</v>
          </cell>
          <cell r="I1446" t="str">
            <v>North America</v>
          </cell>
          <cell r="J1446" t="str">
            <v>USA</v>
          </cell>
          <cell r="K1446">
            <v>25384</v>
          </cell>
        </row>
        <row r="1447">
          <cell r="A1447" t="str">
            <v>In service</v>
          </cell>
          <cell r="B1447" t="str">
            <v>Gulfstream Aerospace Gulfstream II</v>
          </cell>
          <cell r="C1447" t="str">
            <v>SP</v>
          </cell>
          <cell r="D1447">
            <v>1966</v>
          </cell>
          <cell r="E1447" t="str">
            <v>Motorola Inc</v>
          </cell>
          <cell r="F1447">
            <v>36</v>
          </cell>
          <cell r="G1447">
            <v>25839</v>
          </cell>
          <cell r="H1447" t="str">
            <v>IISP</v>
          </cell>
          <cell r="I1447" t="str">
            <v>North America</v>
          </cell>
          <cell r="J1447" t="str">
            <v>USA</v>
          </cell>
        </row>
        <row r="1448">
          <cell r="A1448" t="str">
            <v>In service</v>
          </cell>
          <cell r="B1448" t="str">
            <v>Gulfstream Aerospace Gulfstream II</v>
          </cell>
          <cell r="C1448" t="str">
            <v>SP</v>
          </cell>
          <cell r="D1448">
            <v>1968</v>
          </cell>
          <cell r="E1448" t="str">
            <v>CX Air LLC</v>
          </cell>
          <cell r="F1448">
            <v>34</v>
          </cell>
          <cell r="G1448">
            <v>24876</v>
          </cell>
          <cell r="H1448" t="str">
            <v>IISP</v>
          </cell>
          <cell r="I1448" t="str">
            <v>North America</v>
          </cell>
          <cell r="J1448" t="str">
            <v>USA</v>
          </cell>
          <cell r="K1448">
            <v>24288</v>
          </cell>
        </row>
        <row r="1449">
          <cell r="A1449" t="str">
            <v>In service</v>
          </cell>
          <cell r="B1449" t="str">
            <v>Gulfstream Aerospace Gulfstream II</v>
          </cell>
          <cell r="C1449" t="str">
            <v>SP</v>
          </cell>
          <cell r="D1449">
            <v>1970</v>
          </cell>
          <cell r="E1449" t="str">
            <v>KFLP Air LLC</v>
          </cell>
          <cell r="F1449">
            <v>32</v>
          </cell>
          <cell r="G1449">
            <v>26151</v>
          </cell>
          <cell r="H1449" t="str">
            <v>IISP</v>
          </cell>
          <cell r="I1449" t="str">
            <v>North America</v>
          </cell>
          <cell r="J1449" t="str">
            <v>USA</v>
          </cell>
          <cell r="K1449">
            <v>25384</v>
          </cell>
        </row>
        <row r="1450">
          <cell r="A1450" t="str">
            <v>In service</v>
          </cell>
          <cell r="B1450" t="str">
            <v>Gulfstream Aerospace Gulfstream II</v>
          </cell>
          <cell r="C1450" t="str">
            <v>SP</v>
          </cell>
          <cell r="D1450">
            <v>1970</v>
          </cell>
          <cell r="E1450" t="str">
            <v>Jetex International Inc</v>
          </cell>
          <cell r="F1450">
            <v>32</v>
          </cell>
          <cell r="G1450">
            <v>25930</v>
          </cell>
          <cell r="H1450" t="str">
            <v>IISP</v>
          </cell>
          <cell r="I1450" t="str">
            <v>North America</v>
          </cell>
          <cell r="J1450" t="str">
            <v>USA</v>
          </cell>
          <cell r="K1450">
            <v>25019</v>
          </cell>
        </row>
        <row r="1451">
          <cell r="A1451" t="str">
            <v>In service</v>
          </cell>
          <cell r="B1451" t="str">
            <v>Gulfstream Aerospace Gulfstream II</v>
          </cell>
          <cell r="C1451" t="str">
            <v>SP</v>
          </cell>
          <cell r="D1451">
            <v>1971</v>
          </cell>
          <cell r="E1451" t="str">
            <v>Newport/Signal Air Inc</v>
          </cell>
          <cell r="F1451">
            <v>31</v>
          </cell>
          <cell r="G1451">
            <v>26282</v>
          </cell>
          <cell r="H1451" t="str">
            <v>IISP</v>
          </cell>
          <cell r="I1451" t="str">
            <v>North America</v>
          </cell>
          <cell r="J1451" t="str">
            <v>USA</v>
          </cell>
          <cell r="K1451">
            <v>25384</v>
          </cell>
        </row>
        <row r="1452">
          <cell r="A1452" t="str">
            <v>In service</v>
          </cell>
          <cell r="B1452" t="str">
            <v>Gulfstream Aerospace Gulfstream II</v>
          </cell>
          <cell r="C1452" t="str">
            <v>SP</v>
          </cell>
          <cell r="D1452">
            <v>1972</v>
          </cell>
          <cell r="E1452" t="str">
            <v>Private Jet Inc</v>
          </cell>
          <cell r="F1452">
            <v>30</v>
          </cell>
          <cell r="G1452">
            <v>26333</v>
          </cell>
          <cell r="H1452" t="str">
            <v>IISP</v>
          </cell>
          <cell r="I1452" t="str">
            <v>North America</v>
          </cell>
          <cell r="J1452" t="str">
            <v>USA</v>
          </cell>
          <cell r="K1452">
            <v>25749</v>
          </cell>
        </row>
        <row r="1453">
          <cell r="A1453" t="str">
            <v>In service</v>
          </cell>
          <cell r="B1453" t="str">
            <v>Gulfstream Aerospace Gulfstream II</v>
          </cell>
          <cell r="C1453" t="str">
            <v>SP</v>
          </cell>
          <cell r="D1453">
            <v>1972</v>
          </cell>
          <cell r="E1453" t="str">
            <v>Dealaero Inc</v>
          </cell>
          <cell r="F1453">
            <v>30</v>
          </cell>
          <cell r="G1453">
            <v>26353</v>
          </cell>
          <cell r="H1453" t="str">
            <v>IISP</v>
          </cell>
          <cell r="I1453" t="str">
            <v>North America</v>
          </cell>
          <cell r="J1453" t="str">
            <v>USA</v>
          </cell>
          <cell r="K1453">
            <v>25749</v>
          </cell>
        </row>
        <row r="1454">
          <cell r="A1454" t="str">
            <v>In service</v>
          </cell>
          <cell r="B1454" t="str">
            <v>Gulfstream Aerospace Gulfstream II</v>
          </cell>
          <cell r="C1454" t="str">
            <v>SP</v>
          </cell>
          <cell r="D1454">
            <v>1972</v>
          </cell>
          <cell r="E1454" t="str">
            <v>Starflite Management Group Inc</v>
          </cell>
          <cell r="F1454">
            <v>30</v>
          </cell>
          <cell r="G1454">
            <v>26381</v>
          </cell>
          <cell r="H1454" t="str">
            <v>IISP</v>
          </cell>
          <cell r="I1454" t="str">
            <v>North America</v>
          </cell>
          <cell r="J1454" t="str">
            <v>USA</v>
          </cell>
          <cell r="K1454">
            <v>26114</v>
          </cell>
        </row>
        <row r="1455">
          <cell r="A1455" t="str">
            <v>In service</v>
          </cell>
          <cell r="B1455" t="str">
            <v>Gulfstream Aerospace Gulfstream II</v>
          </cell>
          <cell r="C1455" t="str">
            <v>SP</v>
          </cell>
          <cell r="D1455">
            <v>1972</v>
          </cell>
          <cell r="E1455" t="str">
            <v>Flightworks</v>
          </cell>
          <cell r="F1455">
            <v>30</v>
          </cell>
          <cell r="G1455">
            <v>26473</v>
          </cell>
          <cell r="H1455" t="str">
            <v>IISP</v>
          </cell>
          <cell r="I1455" t="str">
            <v>North America</v>
          </cell>
          <cell r="J1455" t="str">
            <v>USA</v>
          </cell>
          <cell r="K1455">
            <v>25749</v>
          </cell>
        </row>
        <row r="1456">
          <cell r="A1456" t="str">
            <v>In service</v>
          </cell>
          <cell r="B1456" t="str">
            <v>Gulfstream Aerospace Gulfstream II</v>
          </cell>
          <cell r="C1456" t="str">
            <v>SP</v>
          </cell>
          <cell r="D1456">
            <v>1972</v>
          </cell>
          <cell r="E1456" t="str">
            <v>FG Aviation Inc</v>
          </cell>
          <cell r="F1456">
            <v>30</v>
          </cell>
          <cell r="G1456">
            <v>26461</v>
          </cell>
          <cell r="H1456" t="str">
            <v>IISP</v>
          </cell>
          <cell r="I1456" t="str">
            <v>North America</v>
          </cell>
          <cell r="J1456" t="str">
            <v>USA</v>
          </cell>
          <cell r="K1456">
            <v>25749</v>
          </cell>
        </row>
        <row r="1457">
          <cell r="A1457" t="str">
            <v>In service</v>
          </cell>
          <cell r="B1457" t="str">
            <v>Gulfstream Aerospace Gulfstream II</v>
          </cell>
          <cell r="C1457" t="str">
            <v>SP</v>
          </cell>
          <cell r="D1457">
            <v>1972</v>
          </cell>
          <cell r="E1457" t="str">
            <v>Benco Inc</v>
          </cell>
          <cell r="F1457">
            <v>30</v>
          </cell>
          <cell r="G1457">
            <v>26505</v>
          </cell>
          <cell r="H1457" t="str">
            <v>IISP</v>
          </cell>
          <cell r="I1457" t="str">
            <v>North America</v>
          </cell>
          <cell r="J1457" t="str">
            <v>USA</v>
          </cell>
          <cell r="K1457">
            <v>26114</v>
          </cell>
        </row>
        <row r="1458">
          <cell r="A1458" t="str">
            <v>In service</v>
          </cell>
          <cell r="B1458" t="str">
            <v>Gulfstream Aerospace Gulfstream II</v>
          </cell>
          <cell r="C1458" t="str">
            <v>SP</v>
          </cell>
          <cell r="D1458">
            <v>1972</v>
          </cell>
          <cell r="E1458" t="str">
            <v>Crown Controls Corp</v>
          </cell>
          <cell r="F1458">
            <v>30</v>
          </cell>
          <cell r="G1458">
            <v>26564</v>
          </cell>
          <cell r="H1458" t="str">
            <v>IISP</v>
          </cell>
          <cell r="I1458" t="str">
            <v>North America</v>
          </cell>
          <cell r="J1458" t="str">
            <v>USA</v>
          </cell>
          <cell r="K1458">
            <v>25749</v>
          </cell>
        </row>
        <row r="1459">
          <cell r="A1459" t="str">
            <v>In service</v>
          </cell>
          <cell r="B1459" t="str">
            <v>Gulfstream Aerospace Gulfstream II</v>
          </cell>
          <cell r="C1459" t="str">
            <v>SP</v>
          </cell>
          <cell r="D1459">
            <v>1968</v>
          </cell>
          <cell r="E1459" t="str">
            <v>R Squared LLC</v>
          </cell>
          <cell r="F1459">
            <v>34</v>
          </cell>
          <cell r="G1459">
            <v>24932</v>
          </cell>
          <cell r="H1459" t="str">
            <v>IISP</v>
          </cell>
          <cell r="I1459" t="str">
            <v>North America</v>
          </cell>
          <cell r="J1459" t="str">
            <v>USA</v>
          </cell>
          <cell r="K1459">
            <v>24288</v>
          </cell>
        </row>
        <row r="1460">
          <cell r="A1460" t="str">
            <v>In service</v>
          </cell>
          <cell r="B1460" t="str">
            <v>Gulfstream Aerospace Gulfstream II</v>
          </cell>
          <cell r="C1460" t="str">
            <v>SP</v>
          </cell>
          <cell r="D1460">
            <v>1972</v>
          </cell>
          <cell r="E1460" t="str">
            <v>Skyservice Airlines</v>
          </cell>
          <cell r="F1460">
            <v>30</v>
          </cell>
          <cell r="G1460">
            <v>26632</v>
          </cell>
          <cell r="H1460" t="str">
            <v>IISP</v>
          </cell>
          <cell r="I1460" t="str">
            <v>North America</v>
          </cell>
          <cell r="J1460" t="str">
            <v>Canada</v>
          </cell>
          <cell r="K1460">
            <v>25749</v>
          </cell>
        </row>
        <row r="1461">
          <cell r="A1461" t="str">
            <v>In service</v>
          </cell>
          <cell r="B1461" t="str">
            <v>Gulfstream Aerospace Gulfstream II</v>
          </cell>
          <cell r="C1461" t="str">
            <v>SP</v>
          </cell>
          <cell r="D1461">
            <v>1972</v>
          </cell>
          <cell r="E1461" t="str">
            <v>Trayton Aviation LLC</v>
          </cell>
          <cell r="F1461">
            <v>30</v>
          </cell>
          <cell r="G1461">
            <v>26650</v>
          </cell>
          <cell r="H1461" t="str">
            <v>IISP</v>
          </cell>
          <cell r="I1461" t="str">
            <v>North America</v>
          </cell>
          <cell r="J1461" t="str">
            <v>USA</v>
          </cell>
          <cell r="K1461">
            <v>26114</v>
          </cell>
        </row>
        <row r="1462">
          <cell r="A1462" t="str">
            <v>In service</v>
          </cell>
          <cell r="B1462" t="str">
            <v>Gulfstream Aerospace Gulfstream II</v>
          </cell>
          <cell r="C1462" t="str">
            <v>SP</v>
          </cell>
          <cell r="D1462">
            <v>1973</v>
          </cell>
          <cell r="E1462" t="str">
            <v>Evergreen International Aviation Inc</v>
          </cell>
          <cell r="F1462">
            <v>29</v>
          </cell>
          <cell r="G1462">
            <v>26974</v>
          </cell>
          <cell r="H1462" t="str">
            <v>IISP</v>
          </cell>
          <cell r="I1462" t="str">
            <v>North America</v>
          </cell>
          <cell r="J1462" t="str">
            <v>USA</v>
          </cell>
          <cell r="K1462">
            <v>25749</v>
          </cell>
        </row>
        <row r="1463">
          <cell r="A1463" t="str">
            <v>In service</v>
          </cell>
          <cell r="B1463" t="str">
            <v>Gulfstream Aerospace Gulfstream II</v>
          </cell>
          <cell r="C1463" t="str">
            <v>SP</v>
          </cell>
          <cell r="D1463">
            <v>1973</v>
          </cell>
          <cell r="E1463" t="str">
            <v>Executive Fliteways Inc</v>
          </cell>
          <cell r="F1463">
            <v>29</v>
          </cell>
          <cell r="G1463">
            <v>26837</v>
          </cell>
          <cell r="H1463" t="str">
            <v>IISP</v>
          </cell>
          <cell r="I1463" t="str">
            <v>North America</v>
          </cell>
          <cell r="J1463" t="str">
            <v>USA</v>
          </cell>
          <cell r="K1463">
            <v>26114</v>
          </cell>
        </row>
        <row r="1464">
          <cell r="A1464" t="str">
            <v>In service</v>
          </cell>
          <cell r="B1464" t="str">
            <v>Gulfstream Aerospace Gulfstream II</v>
          </cell>
          <cell r="C1464" t="str">
            <v>SP</v>
          </cell>
          <cell r="D1464">
            <v>1973</v>
          </cell>
          <cell r="E1464" t="str">
            <v>JT Aviation Corp</v>
          </cell>
          <cell r="F1464">
            <v>29</v>
          </cell>
          <cell r="G1464">
            <v>26938</v>
          </cell>
          <cell r="H1464" t="str">
            <v>IISP</v>
          </cell>
          <cell r="I1464" t="str">
            <v>North America</v>
          </cell>
          <cell r="J1464" t="str">
            <v>USA</v>
          </cell>
          <cell r="K1464">
            <v>26114</v>
          </cell>
        </row>
        <row r="1465">
          <cell r="A1465" t="str">
            <v>In service</v>
          </cell>
          <cell r="B1465" t="str">
            <v>Gulfstream Aerospace Gulfstream II</v>
          </cell>
          <cell r="C1465" t="str">
            <v>SP</v>
          </cell>
          <cell r="D1465">
            <v>1973</v>
          </cell>
          <cell r="E1465" t="str">
            <v>Aeromundo Ejecutivo SA de CV</v>
          </cell>
          <cell r="F1465">
            <v>29</v>
          </cell>
          <cell r="G1465">
            <v>26960</v>
          </cell>
          <cell r="H1465" t="str">
            <v>IISP</v>
          </cell>
          <cell r="I1465" t="str">
            <v>Latin America and Caribbean</v>
          </cell>
          <cell r="J1465" t="str">
            <v>Mexico</v>
          </cell>
          <cell r="K1465">
            <v>26480</v>
          </cell>
        </row>
        <row r="1466">
          <cell r="A1466" t="str">
            <v>In service</v>
          </cell>
          <cell r="B1466" t="str">
            <v>Gulfstream Aerospace Gulfstream II</v>
          </cell>
          <cell r="C1466" t="str">
            <v>SP</v>
          </cell>
          <cell r="D1466">
            <v>1974</v>
          </cell>
          <cell r="E1466" t="str">
            <v>Bison Air Corp</v>
          </cell>
          <cell r="F1466">
            <v>28</v>
          </cell>
          <cell r="G1466">
            <v>27316</v>
          </cell>
          <cell r="H1466" t="str">
            <v>IISP</v>
          </cell>
          <cell r="I1466" t="str">
            <v>North America</v>
          </cell>
          <cell r="J1466" t="str">
            <v>USA</v>
          </cell>
          <cell r="K1466">
            <v>26480</v>
          </cell>
        </row>
        <row r="1467">
          <cell r="A1467" t="str">
            <v>In service</v>
          </cell>
          <cell r="B1467" t="str">
            <v>Gulfstream Aerospace Gulfstream II</v>
          </cell>
          <cell r="C1467" t="str">
            <v>SP</v>
          </cell>
          <cell r="D1467">
            <v>1975</v>
          </cell>
          <cell r="E1467" t="str">
            <v>Amador LLC</v>
          </cell>
          <cell r="F1467">
            <v>27</v>
          </cell>
          <cell r="G1467">
            <v>27451</v>
          </cell>
          <cell r="H1467" t="str">
            <v>IISP</v>
          </cell>
          <cell r="I1467" t="str">
            <v>North America</v>
          </cell>
          <cell r="J1467" t="str">
            <v>USA</v>
          </cell>
          <cell r="K1467">
            <v>26845</v>
          </cell>
        </row>
        <row r="1468">
          <cell r="A1468" t="str">
            <v>In service</v>
          </cell>
          <cell r="B1468" t="str">
            <v>Gulfstream Aerospace Gulfstream II</v>
          </cell>
          <cell r="C1468" t="str">
            <v>SP</v>
          </cell>
          <cell r="D1468">
            <v>1975</v>
          </cell>
          <cell r="E1468" t="str">
            <v>Bentley AutoJet LLC</v>
          </cell>
          <cell r="F1468">
            <v>27</v>
          </cell>
          <cell r="G1468">
            <v>27733</v>
          </cell>
          <cell r="H1468" t="str">
            <v>IISP</v>
          </cell>
          <cell r="I1468" t="str">
            <v>North America</v>
          </cell>
          <cell r="J1468" t="str">
            <v>USA</v>
          </cell>
        </row>
        <row r="1469">
          <cell r="A1469" t="str">
            <v>In service</v>
          </cell>
          <cell r="B1469" t="str">
            <v>Gulfstream Aerospace Gulfstream II</v>
          </cell>
          <cell r="C1469" t="str">
            <v>SP</v>
          </cell>
          <cell r="D1469">
            <v>1975</v>
          </cell>
          <cell r="E1469" t="str">
            <v>Federal Aviation Services Corp</v>
          </cell>
          <cell r="F1469">
            <v>27</v>
          </cell>
          <cell r="G1469">
            <v>27500</v>
          </cell>
          <cell r="H1469" t="str">
            <v>IISP</v>
          </cell>
          <cell r="I1469" t="str">
            <v>North America</v>
          </cell>
          <cell r="J1469" t="str">
            <v>USA</v>
          </cell>
          <cell r="K1469">
            <v>26845</v>
          </cell>
        </row>
        <row r="1470">
          <cell r="A1470" t="str">
            <v>In service</v>
          </cell>
          <cell r="B1470" t="str">
            <v>Gulfstream Aerospace Gulfstream II</v>
          </cell>
          <cell r="C1470" t="str">
            <v>SP</v>
          </cell>
          <cell r="D1470">
            <v>1975</v>
          </cell>
          <cell r="E1470" t="str">
            <v>Gavilan Corp</v>
          </cell>
          <cell r="F1470">
            <v>27</v>
          </cell>
          <cell r="G1470">
            <v>27888</v>
          </cell>
          <cell r="H1470" t="str">
            <v>IISP</v>
          </cell>
          <cell r="I1470" t="str">
            <v>North America</v>
          </cell>
          <cell r="J1470" t="str">
            <v>USA</v>
          </cell>
        </row>
        <row r="1471">
          <cell r="A1471" t="str">
            <v>In service</v>
          </cell>
          <cell r="B1471" t="str">
            <v>Gulfstream Aerospace Gulfstream II</v>
          </cell>
          <cell r="C1471" t="str">
            <v>SP</v>
          </cell>
          <cell r="D1471">
            <v>1975</v>
          </cell>
          <cell r="E1471" t="str">
            <v>Horizon Natural Resources Holding Co LLC</v>
          </cell>
          <cell r="F1471">
            <v>27</v>
          </cell>
          <cell r="G1471">
            <v>27755</v>
          </cell>
          <cell r="H1471" t="str">
            <v>IISP</v>
          </cell>
          <cell r="I1471" t="str">
            <v>North America</v>
          </cell>
          <cell r="J1471" t="str">
            <v>USA</v>
          </cell>
          <cell r="K1471">
            <v>27210</v>
          </cell>
        </row>
        <row r="1472">
          <cell r="A1472" t="str">
            <v>In service</v>
          </cell>
          <cell r="B1472" t="str">
            <v>Gulfstream Aerospace Gulfstream II</v>
          </cell>
          <cell r="C1472" t="str">
            <v>SP</v>
          </cell>
          <cell r="D1472">
            <v>1975</v>
          </cell>
          <cell r="E1472" t="str">
            <v>Blue Sky Group Inc</v>
          </cell>
          <cell r="F1472">
            <v>27</v>
          </cell>
          <cell r="G1472">
            <v>27786</v>
          </cell>
          <cell r="H1472" t="str">
            <v>IISP</v>
          </cell>
          <cell r="I1472" t="str">
            <v>North America</v>
          </cell>
          <cell r="J1472" t="str">
            <v>USA</v>
          </cell>
        </row>
        <row r="1473">
          <cell r="A1473" t="str">
            <v>In service</v>
          </cell>
          <cell r="B1473" t="str">
            <v>Gulfstream Aerospace Gulfstream II</v>
          </cell>
          <cell r="C1473" t="str">
            <v>SP</v>
          </cell>
          <cell r="D1473">
            <v>1975</v>
          </cell>
          <cell r="E1473" t="str">
            <v>Euro Airways Inc</v>
          </cell>
          <cell r="F1473">
            <v>27</v>
          </cell>
          <cell r="G1473">
            <v>27634</v>
          </cell>
          <cell r="H1473" t="str">
            <v>IISP</v>
          </cell>
          <cell r="I1473" t="str">
            <v>North America</v>
          </cell>
          <cell r="J1473" t="str">
            <v>USA</v>
          </cell>
          <cell r="K1473">
            <v>26845</v>
          </cell>
        </row>
        <row r="1474">
          <cell r="A1474" t="str">
            <v>In service</v>
          </cell>
          <cell r="B1474" t="str">
            <v>Gulfstream Aerospace Gulfstream II</v>
          </cell>
          <cell r="C1474" t="str">
            <v>SP</v>
          </cell>
          <cell r="D1474">
            <v>1975</v>
          </cell>
          <cell r="E1474" t="str">
            <v>D Squared LLC</v>
          </cell>
          <cell r="F1474">
            <v>27</v>
          </cell>
          <cell r="G1474">
            <v>27823</v>
          </cell>
          <cell r="H1474" t="str">
            <v>IISP</v>
          </cell>
          <cell r="I1474" t="str">
            <v>North America</v>
          </cell>
          <cell r="J1474" t="str">
            <v>USA</v>
          </cell>
          <cell r="K1474">
            <v>27210</v>
          </cell>
        </row>
        <row r="1475">
          <cell r="A1475" t="str">
            <v>In service</v>
          </cell>
          <cell r="B1475" t="str">
            <v>Gulfstream Aerospace Gulfstream II</v>
          </cell>
          <cell r="C1475" t="str">
            <v>SP</v>
          </cell>
          <cell r="D1475">
            <v>1968</v>
          </cell>
          <cell r="E1475" t="str">
            <v>Cypress Aviation LLC</v>
          </cell>
          <cell r="F1475">
            <v>34</v>
          </cell>
          <cell r="G1475">
            <v>24968</v>
          </cell>
          <cell r="H1475" t="str">
            <v>IISP</v>
          </cell>
          <cell r="I1475" t="str">
            <v>North America</v>
          </cell>
          <cell r="J1475" t="str">
            <v>USA</v>
          </cell>
          <cell r="K1475">
            <v>24288</v>
          </cell>
        </row>
        <row r="1476">
          <cell r="A1476" t="str">
            <v>In service</v>
          </cell>
          <cell r="B1476" t="str">
            <v>Gulfstream Aerospace Gulfstream II</v>
          </cell>
          <cell r="C1476" t="str">
            <v>SP</v>
          </cell>
          <cell r="D1476">
            <v>1975</v>
          </cell>
          <cell r="E1476" t="str">
            <v>S/A Holdings LLC</v>
          </cell>
          <cell r="F1476">
            <v>27</v>
          </cell>
          <cell r="G1476">
            <v>27711</v>
          </cell>
          <cell r="H1476" t="str">
            <v>IISP</v>
          </cell>
          <cell r="I1476" t="str">
            <v>North America</v>
          </cell>
          <cell r="J1476" t="str">
            <v>USA</v>
          </cell>
          <cell r="K1476">
            <v>26845</v>
          </cell>
        </row>
        <row r="1477">
          <cell r="A1477" t="str">
            <v>In service</v>
          </cell>
          <cell r="B1477" t="str">
            <v>Gulfstream Aerospace Gulfstream II</v>
          </cell>
          <cell r="C1477" t="str">
            <v>SP</v>
          </cell>
          <cell r="D1477">
            <v>1975</v>
          </cell>
          <cell r="E1477" t="str">
            <v>Jetmark Aviation LLC</v>
          </cell>
          <cell r="F1477">
            <v>27</v>
          </cell>
          <cell r="G1477">
            <v>27751</v>
          </cell>
          <cell r="H1477" t="str">
            <v>IISP</v>
          </cell>
          <cell r="I1477" t="str">
            <v>North America</v>
          </cell>
          <cell r="J1477" t="str">
            <v>USA</v>
          </cell>
          <cell r="K1477">
            <v>27210</v>
          </cell>
        </row>
        <row r="1478">
          <cell r="A1478" t="str">
            <v>In service</v>
          </cell>
          <cell r="B1478" t="str">
            <v>Gulfstream Aerospace Gulfstream II</v>
          </cell>
          <cell r="C1478" t="str">
            <v>SP</v>
          </cell>
          <cell r="D1478">
            <v>1975</v>
          </cell>
          <cell r="E1478" t="str">
            <v>Policia Federal Preventiva de Mexico</v>
          </cell>
          <cell r="F1478">
            <v>27</v>
          </cell>
          <cell r="G1478">
            <v>27973</v>
          </cell>
          <cell r="H1478" t="str">
            <v>IISP</v>
          </cell>
          <cell r="I1478" t="str">
            <v>Latin America and Caribbean</v>
          </cell>
          <cell r="J1478" t="str">
            <v>Mexico</v>
          </cell>
          <cell r="K1478">
            <v>27575</v>
          </cell>
        </row>
        <row r="1479">
          <cell r="A1479" t="str">
            <v>In service</v>
          </cell>
          <cell r="B1479" t="str">
            <v>Gulfstream Aerospace Gulfstream II</v>
          </cell>
          <cell r="C1479" t="str">
            <v>SP</v>
          </cell>
          <cell r="D1479">
            <v>1976</v>
          </cell>
          <cell r="E1479" t="str">
            <v>Frank Group LLC &amp; Capital Aircraft Group LLC</v>
          </cell>
          <cell r="F1479">
            <v>26</v>
          </cell>
          <cell r="G1479">
            <v>27789</v>
          </cell>
          <cell r="H1479" t="str">
            <v>IISP</v>
          </cell>
          <cell r="I1479" t="str">
            <v>North America</v>
          </cell>
          <cell r="J1479" t="str">
            <v>USA</v>
          </cell>
          <cell r="K1479">
            <v>27210</v>
          </cell>
        </row>
        <row r="1480">
          <cell r="A1480" t="str">
            <v>In service</v>
          </cell>
          <cell r="B1480" t="str">
            <v>Gulfstream Aerospace Gulfstream II</v>
          </cell>
          <cell r="C1480" t="str">
            <v>SP</v>
          </cell>
          <cell r="D1480">
            <v>1976</v>
          </cell>
          <cell r="E1480" t="str">
            <v>Flightworks</v>
          </cell>
          <cell r="F1480">
            <v>26</v>
          </cell>
          <cell r="G1480">
            <v>27852</v>
          </cell>
          <cell r="H1480" t="str">
            <v>IISP</v>
          </cell>
          <cell r="I1480" t="str">
            <v>North America</v>
          </cell>
          <cell r="J1480" t="str">
            <v>USA</v>
          </cell>
          <cell r="K1480">
            <v>27210</v>
          </cell>
        </row>
        <row r="1481">
          <cell r="A1481" t="str">
            <v>In service</v>
          </cell>
          <cell r="B1481" t="str">
            <v>Gulfstream Aerospace Gulfstream II</v>
          </cell>
          <cell r="C1481" t="str">
            <v>SP</v>
          </cell>
          <cell r="D1481">
            <v>1976</v>
          </cell>
          <cell r="E1481" t="str">
            <v>G II Jet Partners LLC</v>
          </cell>
          <cell r="F1481">
            <v>26</v>
          </cell>
          <cell r="G1481">
            <v>28074</v>
          </cell>
          <cell r="H1481" t="str">
            <v>IISP</v>
          </cell>
          <cell r="I1481" t="str">
            <v>North America</v>
          </cell>
          <cell r="J1481" t="str">
            <v>USA</v>
          </cell>
          <cell r="K1481">
            <v>27575</v>
          </cell>
        </row>
        <row r="1482">
          <cell r="A1482" t="str">
            <v>In service</v>
          </cell>
          <cell r="B1482" t="str">
            <v>Gulfstream Aerospace Gulfstream II</v>
          </cell>
          <cell r="C1482" t="str">
            <v>SP</v>
          </cell>
          <cell r="D1482">
            <v>1976</v>
          </cell>
          <cell r="E1482" t="str">
            <v>NASA</v>
          </cell>
          <cell r="F1482">
            <v>26</v>
          </cell>
          <cell r="G1482">
            <v>27947</v>
          </cell>
          <cell r="H1482" t="str">
            <v>IISP</v>
          </cell>
          <cell r="I1482" t="str">
            <v>North America</v>
          </cell>
          <cell r="J1482" t="str">
            <v>USA</v>
          </cell>
        </row>
        <row r="1483">
          <cell r="A1483" t="str">
            <v>In service</v>
          </cell>
          <cell r="B1483" t="str">
            <v>Gulfstream Aerospace Gulfstream II</v>
          </cell>
          <cell r="C1483" t="str">
            <v>SP</v>
          </cell>
          <cell r="D1483">
            <v>1968</v>
          </cell>
          <cell r="E1483" t="str">
            <v>ChanceCarson Inc</v>
          </cell>
          <cell r="F1483">
            <v>34</v>
          </cell>
          <cell r="G1483">
            <v>24992</v>
          </cell>
          <cell r="H1483" t="str">
            <v>IISP</v>
          </cell>
          <cell r="I1483" t="str">
            <v>North America</v>
          </cell>
          <cell r="J1483" t="str">
            <v>USA</v>
          </cell>
          <cell r="K1483">
            <v>24288</v>
          </cell>
        </row>
        <row r="1484">
          <cell r="A1484" t="str">
            <v>In service</v>
          </cell>
          <cell r="B1484" t="str">
            <v>Gulfstream Aerospace Gulfstream II</v>
          </cell>
          <cell r="C1484" t="str">
            <v>SP</v>
          </cell>
          <cell r="D1484">
            <v>1976</v>
          </cell>
          <cell r="E1484" t="str">
            <v>Air PIP Inc &amp; CF Air LLC</v>
          </cell>
          <cell r="F1484">
            <v>26</v>
          </cell>
          <cell r="G1484">
            <v>28033</v>
          </cell>
          <cell r="H1484" t="str">
            <v>IISP</v>
          </cell>
          <cell r="I1484" t="str">
            <v>North America</v>
          </cell>
          <cell r="J1484" t="str">
            <v>USA</v>
          </cell>
          <cell r="K1484">
            <v>27575</v>
          </cell>
        </row>
        <row r="1485">
          <cell r="A1485" t="str">
            <v>In service</v>
          </cell>
          <cell r="B1485" t="str">
            <v>Gulfstream Aerospace Gulfstream II</v>
          </cell>
          <cell r="C1485" t="str">
            <v>SP</v>
          </cell>
          <cell r="D1485">
            <v>1976</v>
          </cell>
          <cell r="E1485" t="str">
            <v>Kenair Inc</v>
          </cell>
          <cell r="F1485">
            <v>26</v>
          </cell>
          <cell r="G1485">
            <v>28048</v>
          </cell>
          <cell r="H1485" t="str">
            <v>IISP</v>
          </cell>
          <cell r="I1485" t="str">
            <v>North America</v>
          </cell>
          <cell r="J1485" t="str">
            <v>USA</v>
          </cell>
          <cell r="K1485">
            <v>27575</v>
          </cell>
        </row>
        <row r="1486">
          <cell r="A1486" t="str">
            <v>In service</v>
          </cell>
          <cell r="B1486" t="str">
            <v>Gulfstream Aerospace Gulfstream II</v>
          </cell>
          <cell r="C1486" t="str">
            <v>SP</v>
          </cell>
          <cell r="D1486">
            <v>1976</v>
          </cell>
          <cell r="E1486" t="str">
            <v>Stockwood Inc</v>
          </cell>
          <cell r="F1486">
            <v>26</v>
          </cell>
          <cell r="G1486">
            <v>28069</v>
          </cell>
          <cell r="H1486" t="str">
            <v>IISP</v>
          </cell>
          <cell r="I1486" t="str">
            <v>North America</v>
          </cell>
          <cell r="J1486" t="str">
            <v>USA</v>
          </cell>
          <cell r="K1486">
            <v>27210</v>
          </cell>
        </row>
        <row r="1487">
          <cell r="A1487" t="str">
            <v>In service</v>
          </cell>
          <cell r="B1487" t="str">
            <v>Gulfstream Aerospace Gulfstream II</v>
          </cell>
          <cell r="C1487" t="str">
            <v>SP</v>
          </cell>
          <cell r="D1487">
            <v>1967</v>
          </cell>
          <cell r="E1487" t="str">
            <v>Guild Investments LLC</v>
          </cell>
          <cell r="F1487">
            <v>35</v>
          </cell>
          <cell r="G1487">
            <v>32344</v>
          </cell>
          <cell r="H1487" t="str">
            <v>IISP</v>
          </cell>
          <cell r="I1487" t="str">
            <v>North America</v>
          </cell>
          <cell r="J1487" t="str">
            <v>USA</v>
          </cell>
        </row>
        <row r="1488">
          <cell r="A1488" t="str">
            <v>In service</v>
          </cell>
          <cell r="B1488" t="str">
            <v>Gulfstream Aerospace Gulfstream II</v>
          </cell>
          <cell r="C1488" t="str">
            <v>SP</v>
          </cell>
          <cell r="D1488">
            <v>1977</v>
          </cell>
          <cell r="E1488" t="str">
            <v>Not Yours LLC</v>
          </cell>
          <cell r="F1488">
            <v>25</v>
          </cell>
          <cell r="G1488">
            <v>28430</v>
          </cell>
          <cell r="H1488" t="str">
            <v>IISP</v>
          </cell>
          <cell r="I1488" t="str">
            <v>North America</v>
          </cell>
          <cell r="J1488" t="str">
            <v>USA</v>
          </cell>
          <cell r="K1488">
            <v>27575</v>
          </cell>
        </row>
        <row r="1489">
          <cell r="A1489" t="str">
            <v>In service</v>
          </cell>
          <cell r="B1489" t="str">
            <v>Gulfstream Aerospace Gulfstream II</v>
          </cell>
          <cell r="C1489" t="str">
            <v>SP</v>
          </cell>
          <cell r="D1489">
            <v>1977</v>
          </cell>
          <cell r="E1489" t="str">
            <v>J W Connolly &amp; Shirley B Connolly</v>
          </cell>
          <cell r="F1489">
            <v>25</v>
          </cell>
          <cell r="G1489">
            <v>28706</v>
          </cell>
          <cell r="H1489" t="str">
            <v>IISP</v>
          </cell>
          <cell r="I1489" t="str">
            <v>North America</v>
          </cell>
          <cell r="J1489" t="str">
            <v>USA</v>
          </cell>
          <cell r="K1489">
            <v>28306</v>
          </cell>
        </row>
        <row r="1490">
          <cell r="A1490" t="str">
            <v>In service</v>
          </cell>
          <cell r="B1490" t="str">
            <v>Gulfstream Aerospace Gulfstream II</v>
          </cell>
          <cell r="C1490" t="str">
            <v>SP</v>
          </cell>
          <cell r="D1490">
            <v>1977</v>
          </cell>
          <cell r="E1490" t="str">
            <v>Apex Oil Co Inc</v>
          </cell>
          <cell r="F1490">
            <v>25</v>
          </cell>
          <cell r="G1490">
            <v>28600</v>
          </cell>
          <cell r="H1490" t="str">
            <v>IISP</v>
          </cell>
          <cell r="I1490" t="str">
            <v>North America</v>
          </cell>
          <cell r="J1490" t="str">
            <v>USA</v>
          </cell>
          <cell r="K1490">
            <v>28306</v>
          </cell>
        </row>
        <row r="1491">
          <cell r="A1491" t="str">
            <v>In service</v>
          </cell>
          <cell r="B1491" t="str">
            <v>Gulfstream Aerospace Gulfstream II</v>
          </cell>
          <cell r="C1491" t="str">
            <v>SP</v>
          </cell>
          <cell r="D1491">
            <v>1977</v>
          </cell>
          <cell r="E1491" t="str">
            <v>Aspen I LLC</v>
          </cell>
          <cell r="F1491">
            <v>25</v>
          </cell>
          <cell r="G1491">
            <v>28377</v>
          </cell>
          <cell r="H1491" t="str">
            <v>IISP</v>
          </cell>
          <cell r="I1491" t="str">
            <v>North America</v>
          </cell>
          <cell r="J1491" t="str">
            <v>USA</v>
          </cell>
          <cell r="K1491">
            <v>27575</v>
          </cell>
        </row>
        <row r="1492">
          <cell r="A1492" t="str">
            <v>In service</v>
          </cell>
          <cell r="B1492" t="str">
            <v>Gulfstream Aerospace Gulfstream II</v>
          </cell>
          <cell r="C1492" t="str">
            <v>SP</v>
          </cell>
          <cell r="D1492">
            <v>1977</v>
          </cell>
          <cell r="E1492" t="str">
            <v>ER Aviation LLC</v>
          </cell>
          <cell r="F1492">
            <v>25</v>
          </cell>
          <cell r="G1492">
            <v>28360</v>
          </cell>
          <cell r="H1492" t="str">
            <v>IISP</v>
          </cell>
          <cell r="I1492" t="str">
            <v>North America</v>
          </cell>
          <cell r="J1492" t="str">
            <v>USA</v>
          </cell>
          <cell r="K1492">
            <v>27941</v>
          </cell>
        </row>
        <row r="1493">
          <cell r="A1493" t="str">
            <v>In service</v>
          </cell>
          <cell r="B1493" t="str">
            <v>Gulfstream Aerospace Gulfstream II</v>
          </cell>
          <cell r="C1493" t="str">
            <v>SP</v>
          </cell>
          <cell r="D1493">
            <v>1977</v>
          </cell>
          <cell r="E1493" t="str">
            <v>W Polisseni Inc</v>
          </cell>
          <cell r="F1493">
            <v>25</v>
          </cell>
          <cell r="G1493">
            <v>28618</v>
          </cell>
          <cell r="H1493" t="str">
            <v>IISP</v>
          </cell>
          <cell r="I1493" t="str">
            <v>North America</v>
          </cell>
          <cell r="J1493" t="str">
            <v>USA</v>
          </cell>
          <cell r="K1493">
            <v>27941</v>
          </cell>
        </row>
        <row r="1494">
          <cell r="A1494" t="str">
            <v>In service</v>
          </cell>
          <cell r="B1494" t="str">
            <v>Gulfstream Aerospace Gulfstream II</v>
          </cell>
          <cell r="C1494" t="str">
            <v>SP</v>
          </cell>
          <cell r="D1494">
            <v>1977</v>
          </cell>
          <cell r="E1494" t="str">
            <v>Ditco Air Ltd</v>
          </cell>
          <cell r="F1494">
            <v>25</v>
          </cell>
          <cell r="G1494">
            <v>28622</v>
          </cell>
          <cell r="H1494" t="str">
            <v>IISP</v>
          </cell>
          <cell r="I1494" t="str">
            <v>Middle East</v>
          </cell>
          <cell r="J1494" t="str">
            <v>Saudi Arabia</v>
          </cell>
          <cell r="K1494">
            <v>28306</v>
          </cell>
        </row>
        <row r="1495">
          <cell r="A1495" t="str">
            <v>In service</v>
          </cell>
          <cell r="B1495" t="str">
            <v>Gulfstream Aerospace Gulfstream II</v>
          </cell>
          <cell r="C1495" t="str">
            <v>SP</v>
          </cell>
          <cell r="D1495">
            <v>1977</v>
          </cell>
          <cell r="E1495" t="str">
            <v>JI Aviation Inc</v>
          </cell>
          <cell r="F1495">
            <v>25</v>
          </cell>
          <cell r="G1495">
            <v>28454</v>
          </cell>
          <cell r="H1495" t="str">
            <v>IISP</v>
          </cell>
          <cell r="I1495" t="str">
            <v>North America</v>
          </cell>
          <cell r="J1495" t="str">
            <v>USA</v>
          </cell>
          <cell r="K1495">
            <v>27941</v>
          </cell>
        </row>
        <row r="1496">
          <cell r="A1496" t="str">
            <v>In service</v>
          </cell>
          <cell r="B1496" t="str">
            <v>Gulfstream Aerospace Gulfstream II</v>
          </cell>
          <cell r="C1496" t="str">
            <v>SP</v>
          </cell>
          <cell r="D1496">
            <v>1977</v>
          </cell>
          <cell r="E1496" t="str">
            <v>Krystal Air LLC</v>
          </cell>
          <cell r="F1496">
            <v>25</v>
          </cell>
          <cell r="G1496">
            <v>28692</v>
          </cell>
          <cell r="H1496" t="str">
            <v>IISP</v>
          </cell>
          <cell r="I1496" t="str">
            <v>North America</v>
          </cell>
          <cell r="J1496" t="str">
            <v>USA</v>
          </cell>
          <cell r="K1496">
            <v>27941</v>
          </cell>
        </row>
        <row r="1497">
          <cell r="A1497" t="str">
            <v>In service</v>
          </cell>
          <cell r="B1497" t="str">
            <v>Gulfstream Aerospace Gulfstream II</v>
          </cell>
          <cell r="C1497" t="str">
            <v>SP</v>
          </cell>
          <cell r="D1497">
            <v>1968</v>
          </cell>
          <cell r="E1497" t="str">
            <v>Rutter Aviation LLC</v>
          </cell>
          <cell r="F1497">
            <v>34</v>
          </cell>
          <cell r="G1497">
            <v>25009</v>
          </cell>
          <cell r="H1497" t="str">
            <v>IISP</v>
          </cell>
          <cell r="I1497" t="str">
            <v>North America</v>
          </cell>
          <cell r="J1497" t="str">
            <v>USA</v>
          </cell>
          <cell r="K1497">
            <v>24288</v>
          </cell>
        </row>
        <row r="1498">
          <cell r="A1498" t="str">
            <v>In service</v>
          </cell>
          <cell r="B1498" t="str">
            <v>Gulfstream Aerospace Gulfstream II</v>
          </cell>
          <cell r="C1498" t="str">
            <v>SP</v>
          </cell>
          <cell r="D1498">
            <v>1978</v>
          </cell>
          <cell r="E1498" t="str">
            <v>NASA</v>
          </cell>
          <cell r="F1498">
            <v>24</v>
          </cell>
          <cell r="G1498">
            <v>28608</v>
          </cell>
          <cell r="H1498" t="str">
            <v>IISP</v>
          </cell>
          <cell r="I1498" t="str">
            <v>North America</v>
          </cell>
          <cell r="J1498" t="str">
            <v>USA</v>
          </cell>
          <cell r="K1498">
            <v>27941</v>
          </cell>
        </row>
        <row r="1499">
          <cell r="A1499" t="str">
            <v>In service</v>
          </cell>
          <cell r="B1499" t="str">
            <v>Gulfstream Aerospace Gulfstream II</v>
          </cell>
          <cell r="C1499" t="str">
            <v>SP</v>
          </cell>
          <cell r="D1499">
            <v>1978</v>
          </cell>
          <cell r="E1499" t="str">
            <v>Lancaster Aviation Inc</v>
          </cell>
          <cell r="F1499">
            <v>24</v>
          </cell>
          <cell r="G1499">
            <v>28630</v>
          </cell>
          <cell r="H1499" t="str">
            <v>IISP</v>
          </cell>
          <cell r="I1499" t="str">
            <v>North America</v>
          </cell>
          <cell r="J1499" t="str">
            <v>USA</v>
          </cell>
          <cell r="K1499">
            <v>27941</v>
          </cell>
        </row>
        <row r="1500">
          <cell r="A1500" t="str">
            <v>In service</v>
          </cell>
          <cell r="B1500" t="str">
            <v>Gulfstream Aerospace Gulfstream II</v>
          </cell>
          <cell r="C1500" t="str">
            <v>SP</v>
          </cell>
          <cell r="D1500">
            <v>1978</v>
          </cell>
          <cell r="E1500" t="str">
            <v>Frontier Oil Corp</v>
          </cell>
          <cell r="F1500">
            <v>24</v>
          </cell>
          <cell r="G1500">
            <v>29060</v>
          </cell>
          <cell r="H1500" t="str">
            <v>IISP</v>
          </cell>
          <cell r="I1500" t="str">
            <v>North America</v>
          </cell>
          <cell r="J1500" t="str">
            <v>USA</v>
          </cell>
          <cell r="K1500">
            <v>28671</v>
          </cell>
        </row>
        <row r="1501">
          <cell r="A1501" t="str">
            <v>In service</v>
          </cell>
          <cell r="B1501" t="str">
            <v>Gulfstream Aerospace Gulfstream II</v>
          </cell>
          <cell r="C1501" t="str">
            <v>SP</v>
          </cell>
          <cell r="D1501">
            <v>1978</v>
          </cell>
          <cell r="E1501" t="str">
            <v>Rich-Air/American Money Management/et al</v>
          </cell>
          <cell r="F1501">
            <v>24</v>
          </cell>
          <cell r="G1501">
            <v>28717</v>
          </cell>
          <cell r="H1501" t="str">
            <v>IISP</v>
          </cell>
          <cell r="I1501" t="str">
            <v>North America</v>
          </cell>
          <cell r="J1501" t="str">
            <v>USA</v>
          </cell>
          <cell r="K1501">
            <v>27941</v>
          </cell>
        </row>
        <row r="1502">
          <cell r="A1502" t="str">
            <v>In service</v>
          </cell>
          <cell r="B1502" t="str">
            <v>Gulfstream Aerospace Gulfstream II</v>
          </cell>
          <cell r="C1502" t="str">
            <v>SP</v>
          </cell>
          <cell r="D1502">
            <v>1978</v>
          </cell>
          <cell r="E1502" t="str">
            <v>Clay Lacy Aviation</v>
          </cell>
          <cell r="F1502">
            <v>24</v>
          </cell>
          <cell r="G1502">
            <v>28722</v>
          </cell>
          <cell r="H1502" t="str">
            <v>IISP</v>
          </cell>
          <cell r="I1502" t="str">
            <v>North America</v>
          </cell>
          <cell r="J1502" t="str">
            <v>USA</v>
          </cell>
          <cell r="K1502">
            <v>27941</v>
          </cell>
        </row>
        <row r="1503">
          <cell r="A1503" t="str">
            <v>In service</v>
          </cell>
          <cell r="B1503" t="str">
            <v>Gulfstream Aerospace Gulfstream II</v>
          </cell>
          <cell r="C1503" t="str">
            <v>SP</v>
          </cell>
          <cell r="D1503">
            <v>1978</v>
          </cell>
          <cell r="E1503" t="str">
            <v>Willis Stein Advisors LLC</v>
          </cell>
          <cell r="F1503">
            <v>24</v>
          </cell>
          <cell r="G1503">
            <v>28958</v>
          </cell>
          <cell r="H1503" t="str">
            <v>IISP</v>
          </cell>
          <cell r="I1503" t="str">
            <v>North America</v>
          </cell>
          <cell r="J1503" t="str">
            <v>USA</v>
          </cell>
          <cell r="K1503">
            <v>28306</v>
          </cell>
        </row>
        <row r="1504">
          <cell r="A1504" t="str">
            <v>In service</v>
          </cell>
          <cell r="B1504" t="str">
            <v>Gulfstream Aerospace Gulfstream II</v>
          </cell>
          <cell r="C1504" t="str">
            <v>SP</v>
          </cell>
          <cell r="D1504">
            <v>1979</v>
          </cell>
          <cell r="E1504" t="str">
            <v>MK Aviation LLC</v>
          </cell>
          <cell r="F1504">
            <v>23</v>
          </cell>
          <cell r="G1504">
            <v>28901</v>
          </cell>
          <cell r="H1504" t="str">
            <v>IISP</v>
          </cell>
          <cell r="I1504" t="str">
            <v>North America</v>
          </cell>
          <cell r="J1504" t="str">
            <v>USA</v>
          </cell>
        </row>
        <row r="1505">
          <cell r="A1505" t="str">
            <v>In service</v>
          </cell>
          <cell r="B1505" t="str">
            <v>Gulfstream Aerospace Gulfstream II</v>
          </cell>
          <cell r="C1505" t="str">
            <v>SP</v>
          </cell>
          <cell r="D1505">
            <v>1979</v>
          </cell>
          <cell r="E1505" t="str">
            <v>Flynn Financial Corp</v>
          </cell>
          <cell r="F1505">
            <v>23</v>
          </cell>
          <cell r="G1505">
            <v>29245</v>
          </cell>
          <cell r="H1505" t="str">
            <v>IISP</v>
          </cell>
          <cell r="I1505" t="str">
            <v>North America</v>
          </cell>
          <cell r="J1505" t="str">
            <v>USA</v>
          </cell>
          <cell r="K1505">
            <v>28671</v>
          </cell>
        </row>
        <row r="1506">
          <cell r="A1506" t="str">
            <v>In service</v>
          </cell>
          <cell r="B1506" t="str">
            <v>Gulfstream Aerospace Gulfstream II</v>
          </cell>
          <cell r="C1506" t="str">
            <v>SP</v>
          </cell>
          <cell r="D1506">
            <v>1979</v>
          </cell>
          <cell r="E1506" t="str">
            <v>MG-75 Inc</v>
          </cell>
          <cell r="F1506">
            <v>23</v>
          </cell>
          <cell r="G1506">
            <v>29082</v>
          </cell>
          <cell r="H1506" t="str">
            <v>IISP</v>
          </cell>
          <cell r="I1506" t="str">
            <v>North America</v>
          </cell>
          <cell r="J1506" t="str">
            <v>USA</v>
          </cell>
          <cell r="K1506">
            <v>28306</v>
          </cell>
        </row>
        <row r="1507">
          <cell r="A1507" t="str">
            <v>In service</v>
          </cell>
          <cell r="B1507" t="str">
            <v>Gulfstream Aerospace Gulfstream II</v>
          </cell>
          <cell r="C1507" t="str">
            <v>SP</v>
          </cell>
          <cell r="D1507">
            <v>1979</v>
          </cell>
          <cell r="E1507" t="str">
            <v>ConAero Inc</v>
          </cell>
          <cell r="F1507">
            <v>23</v>
          </cell>
          <cell r="G1507">
            <v>29306</v>
          </cell>
          <cell r="H1507" t="str">
            <v>IISP</v>
          </cell>
          <cell r="I1507" t="str">
            <v>North America</v>
          </cell>
          <cell r="J1507" t="str">
            <v>USA</v>
          </cell>
          <cell r="K1507">
            <v>28671</v>
          </cell>
        </row>
        <row r="1508">
          <cell r="A1508" t="str">
            <v>In service</v>
          </cell>
          <cell r="B1508" t="str">
            <v>Gulfstream Aerospace Gulfstream II</v>
          </cell>
          <cell r="C1508" t="str">
            <v>SP</v>
          </cell>
          <cell r="D1508">
            <v>1979</v>
          </cell>
          <cell r="E1508" t="str">
            <v>Consolidated Oil &amp; Gas</v>
          </cell>
          <cell r="F1508">
            <v>23</v>
          </cell>
          <cell r="G1508">
            <v>29174</v>
          </cell>
          <cell r="H1508" t="str">
            <v>IISP</v>
          </cell>
          <cell r="I1508" t="str">
            <v>North America</v>
          </cell>
          <cell r="J1508" t="str">
            <v>USA</v>
          </cell>
          <cell r="K1508">
            <v>29036</v>
          </cell>
        </row>
        <row r="1509">
          <cell r="A1509" t="str">
            <v>In service</v>
          </cell>
          <cell r="B1509" t="str">
            <v>Gulfstream Aerospace Gulfstream II</v>
          </cell>
          <cell r="C1509" t="str">
            <v>SP</v>
          </cell>
          <cell r="D1509">
            <v>1968</v>
          </cell>
          <cell r="E1509" t="str">
            <v>Hazben Inc</v>
          </cell>
          <cell r="F1509">
            <v>34</v>
          </cell>
          <cell r="G1509">
            <v>25084</v>
          </cell>
          <cell r="H1509" t="str">
            <v>IISP</v>
          </cell>
          <cell r="I1509" t="str">
            <v>North America</v>
          </cell>
          <cell r="J1509" t="str">
            <v>USA</v>
          </cell>
          <cell r="K1509">
            <v>24288</v>
          </cell>
        </row>
        <row r="1510">
          <cell r="A1510" t="str">
            <v>In service</v>
          </cell>
          <cell r="B1510" t="str">
            <v>Gulfstream Aerospace Gulfstream II</v>
          </cell>
          <cell r="C1510" t="str">
            <v>SP</v>
          </cell>
          <cell r="D1510">
            <v>1968</v>
          </cell>
          <cell r="E1510" t="str">
            <v>Aero Air LLC</v>
          </cell>
          <cell r="F1510">
            <v>34</v>
          </cell>
          <cell r="G1510">
            <v>25084</v>
          </cell>
          <cell r="H1510" t="str">
            <v>IISP</v>
          </cell>
          <cell r="I1510" t="str">
            <v>North America</v>
          </cell>
          <cell r="J1510" t="str">
            <v>USA</v>
          </cell>
          <cell r="K1510">
            <v>24653</v>
          </cell>
        </row>
        <row r="1511">
          <cell r="A1511" t="str">
            <v>In service</v>
          </cell>
          <cell r="B1511" t="str">
            <v>Gulfstream Aerospace Gulfstream II</v>
          </cell>
          <cell r="C1511" t="str">
            <v>SP</v>
          </cell>
          <cell r="D1511">
            <v>1968</v>
          </cell>
          <cell r="E1511" t="str">
            <v>Bondstone Corp</v>
          </cell>
          <cell r="F1511">
            <v>34</v>
          </cell>
          <cell r="G1511">
            <v>25113</v>
          </cell>
          <cell r="H1511" t="str">
            <v>IISP</v>
          </cell>
          <cell r="I1511" t="str">
            <v>North America</v>
          </cell>
          <cell r="J1511" t="str">
            <v>USA</v>
          </cell>
          <cell r="K1511">
            <v>24288</v>
          </cell>
        </row>
        <row r="1512">
          <cell r="A1512" t="str">
            <v>In service</v>
          </cell>
          <cell r="B1512" t="str">
            <v>Gulfstream Aerospace Gulfstream II</v>
          </cell>
          <cell r="C1512" t="str">
            <v>SP</v>
          </cell>
          <cell r="D1512">
            <v>1968</v>
          </cell>
          <cell r="E1512" t="str">
            <v>FTO Co Inc</v>
          </cell>
          <cell r="F1512">
            <v>34</v>
          </cell>
          <cell r="G1512">
            <v>25153</v>
          </cell>
          <cell r="H1512" t="str">
            <v>IISP</v>
          </cell>
          <cell r="I1512" t="str">
            <v>North America</v>
          </cell>
          <cell r="J1512" t="str">
            <v>USA</v>
          </cell>
          <cell r="K1512">
            <v>24288</v>
          </cell>
        </row>
        <row r="1513">
          <cell r="A1513" t="str">
            <v>In service</v>
          </cell>
          <cell r="B1513" t="str">
            <v>Gulfstream Aerospace Gulfstream II</v>
          </cell>
          <cell r="C1513" t="str">
            <v>SP</v>
          </cell>
          <cell r="D1513">
            <v>1968</v>
          </cell>
          <cell r="E1513" t="str">
            <v>Aspen I LLC</v>
          </cell>
          <cell r="F1513">
            <v>34</v>
          </cell>
          <cell r="G1513">
            <v>25190</v>
          </cell>
          <cell r="H1513" t="str">
            <v>IISP</v>
          </cell>
          <cell r="I1513" t="str">
            <v>North America</v>
          </cell>
          <cell r="J1513" t="str">
            <v>USA</v>
          </cell>
          <cell r="K1513">
            <v>24288</v>
          </cell>
        </row>
        <row r="1514">
          <cell r="A1514" t="str">
            <v>In service</v>
          </cell>
          <cell r="B1514" t="str">
            <v>Gulfstream Aerospace Gulfstream II</v>
          </cell>
          <cell r="C1514" t="str">
            <v>SP</v>
          </cell>
          <cell r="D1514">
            <v>1968</v>
          </cell>
          <cell r="E1514" t="str">
            <v>Pennsylvania Marine Services Inc</v>
          </cell>
          <cell r="F1514">
            <v>34</v>
          </cell>
          <cell r="G1514">
            <v>25192</v>
          </cell>
          <cell r="H1514" t="str">
            <v>IISP</v>
          </cell>
          <cell r="I1514" t="str">
            <v>North America</v>
          </cell>
          <cell r="J1514" t="str">
            <v>USA</v>
          </cell>
          <cell r="K1514">
            <v>24288</v>
          </cell>
        </row>
        <row r="1515">
          <cell r="A1515" t="str">
            <v>In service</v>
          </cell>
          <cell r="B1515" t="str">
            <v>Gulfstream Aerospace Gulfstream II</v>
          </cell>
          <cell r="C1515" t="str">
            <v>SP</v>
          </cell>
          <cell r="D1515">
            <v>1969</v>
          </cell>
          <cell r="E1515" t="str">
            <v>Martin Sprocket &amp; Gear Inc</v>
          </cell>
          <cell r="F1515">
            <v>33</v>
          </cell>
          <cell r="G1515">
            <v>25247</v>
          </cell>
          <cell r="H1515" t="str">
            <v>IISP</v>
          </cell>
          <cell r="I1515" t="str">
            <v>North America</v>
          </cell>
          <cell r="J1515" t="str">
            <v>USA</v>
          </cell>
          <cell r="K1515">
            <v>24653</v>
          </cell>
        </row>
        <row r="1516">
          <cell r="A1516" t="str">
            <v>In service</v>
          </cell>
          <cell r="B1516" t="str">
            <v>Gulfstream Aerospace Gulfstream II</v>
          </cell>
          <cell r="C1516" t="str">
            <v>SP</v>
          </cell>
          <cell r="D1516">
            <v>1969</v>
          </cell>
          <cell r="E1516" t="str">
            <v>Robert E Torray &amp; Co</v>
          </cell>
          <cell r="F1516">
            <v>33</v>
          </cell>
          <cell r="G1516">
            <v>25956</v>
          </cell>
          <cell r="H1516" t="str">
            <v>IISP</v>
          </cell>
          <cell r="I1516" t="str">
            <v>North America</v>
          </cell>
          <cell r="J1516" t="str">
            <v>USA</v>
          </cell>
        </row>
        <row r="1517">
          <cell r="A1517" t="str">
            <v>In service</v>
          </cell>
          <cell r="B1517" t="str">
            <v>Gulfstream Aerospace Gulfstream II</v>
          </cell>
          <cell r="C1517" t="str">
            <v>SP</v>
          </cell>
          <cell r="D1517">
            <v>1969</v>
          </cell>
          <cell r="E1517" t="str">
            <v>Hubbard Broadcasting Inc</v>
          </cell>
          <cell r="F1517">
            <v>33</v>
          </cell>
          <cell r="G1517">
            <v>25308</v>
          </cell>
          <cell r="H1517" t="str">
            <v>IISP</v>
          </cell>
          <cell r="I1517" t="str">
            <v>North America</v>
          </cell>
          <cell r="J1517" t="str">
            <v>USA</v>
          </cell>
          <cell r="K1517">
            <v>24653</v>
          </cell>
        </row>
        <row r="1518">
          <cell r="A1518" t="str">
            <v>In service</v>
          </cell>
          <cell r="B1518" t="str">
            <v>Gulfstream Aerospace Gulfstream II</v>
          </cell>
          <cell r="C1518" t="str">
            <v>SP</v>
          </cell>
          <cell r="D1518">
            <v>1969</v>
          </cell>
          <cell r="E1518" t="str">
            <v>World Heir Inc</v>
          </cell>
          <cell r="F1518">
            <v>33</v>
          </cell>
          <cell r="G1518">
            <v>25321</v>
          </cell>
          <cell r="H1518" t="str">
            <v>IISP</v>
          </cell>
          <cell r="I1518" t="str">
            <v>North America</v>
          </cell>
          <cell r="J1518" t="str">
            <v>USA</v>
          </cell>
          <cell r="K1518">
            <v>24653</v>
          </cell>
        </row>
        <row r="1519">
          <cell r="A1519" t="str">
            <v>In service</v>
          </cell>
          <cell r="B1519" t="str">
            <v>Gulfstream Aerospace Gulfstream II</v>
          </cell>
          <cell r="C1519" t="str">
            <v>SP</v>
          </cell>
          <cell r="D1519">
            <v>1969</v>
          </cell>
          <cell r="E1519" t="str">
            <v>Oxy Petroleum Inc</v>
          </cell>
          <cell r="F1519">
            <v>33</v>
          </cell>
          <cell r="G1519">
            <v>25343</v>
          </cell>
          <cell r="H1519" t="str">
            <v>IISP</v>
          </cell>
          <cell r="I1519" t="str">
            <v>North America</v>
          </cell>
          <cell r="J1519" t="str">
            <v>USA</v>
          </cell>
          <cell r="K1519">
            <v>24653</v>
          </cell>
        </row>
        <row r="1520">
          <cell r="A1520" t="str">
            <v>In service</v>
          </cell>
          <cell r="B1520" t="str">
            <v>Gulfstream Aerospace Gulfstream II</v>
          </cell>
          <cell r="C1520" t="str">
            <v>SP</v>
          </cell>
          <cell r="D1520">
            <v>1969</v>
          </cell>
          <cell r="E1520" t="str">
            <v>Bellevue Jet Partners LLC</v>
          </cell>
          <cell r="F1520">
            <v>33</v>
          </cell>
          <cell r="G1520">
            <v>25357</v>
          </cell>
          <cell r="H1520" t="str">
            <v>IISP</v>
          </cell>
          <cell r="I1520" t="str">
            <v>North America</v>
          </cell>
          <cell r="J1520" t="str">
            <v>USA</v>
          </cell>
          <cell r="K1520">
            <v>24653</v>
          </cell>
        </row>
        <row r="1521">
          <cell r="A1521" t="str">
            <v>In service</v>
          </cell>
          <cell r="B1521" t="str">
            <v>Gulfstream Aerospace Gulfstream II</v>
          </cell>
          <cell r="C1521" t="str">
            <v>SP</v>
          </cell>
          <cell r="D1521">
            <v>1969</v>
          </cell>
          <cell r="E1521" t="str">
            <v>The Air Group Inc</v>
          </cell>
          <cell r="F1521">
            <v>33</v>
          </cell>
          <cell r="G1521">
            <v>25381</v>
          </cell>
          <cell r="H1521" t="str">
            <v>IISP</v>
          </cell>
          <cell r="I1521" t="str">
            <v>North America</v>
          </cell>
          <cell r="J1521" t="str">
            <v>USA</v>
          </cell>
          <cell r="K1521">
            <v>24653</v>
          </cell>
        </row>
        <row r="1522">
          <cell r="A1522" t="str">
            <v>In service</v>
          </cell>
          <cell r="B1522" t="str">
            <v>Gulfstream Aerospace Gulfstream II</v>
          </cell>
          <cell r="C1522" t="str">
            <v>SP</v>
          </cell>
          <cell r="D1522">
            <v>1969</v>
          </cell>
          <cell r="E1522" t="str">
            <v>Flightworks</v>
          </cell>
          <cell r="F1522">
            <v>33</v>
          </cell>
          <cell r="G1522">
            <v>25392</v>
          </cell>
          <cell r="H1522" t="str">
            <v>IISP</v>
          </cell>
          <cell r="I1522" t="str">
            <v>North America</v>
          </cell>
          <cell r="J1522" t="str">
            <v>USA</v>
          </cell>
          <cell r="K1522">
            <v>24653</v>
          </cell>
        </row>
        <row r="1523">
          <cell r="A1523" t="str">
            <v>In service</v>
          </cell>
          <cell r="B1523" t="str">
            <v>Gulfstream Aerospace Gulfstream II</v>
          </cell>
          <cell r="C1523" t="str">
            <v>SP</v>
          </cell>
          <cell r="D1523">
            <v>1969</v>
          </cell>
          <cell r="E1523" t="str">
            <v>VOZ LLC</v>
          </cell>
          <cell r="F1523">
            <v>33</v>
          </cell>
          <cell r="G1523">
            <v>25441</v>
          </cell>
          <cell r="H1523" t="str">
            <v>IISP</v>
          </cell>
          <cell r="I1523" t="str">
            <v>North America</v>
          </cell>
          <cell r="J1523" t="str">
            <v>USA</v>
          </cell>
          <cell r="K1523">
            <v>24653</v>
          </cell>
        </row>
        <row r="1524">
          <cell r="A1524" t="str">
            <v>In service</v>
          </cell>
          <cell r="B1524" t="str">
            <v>Gulfstream Aerospace Gulfstream II</v>
          </cell>
          <cell r="C1524" t="str">
            <v>SP</v>
          </cell>
          <cell r="D1524">
            <v>1969</v>
          </cell>
          <cell r="E1524" t="str">
            <v>B L Aviation Group</v>
          </cell>
          <cell r="F1524">
            <v>33</v>
          </cell>
          <cell r="G1524">
            <v>25474</v>
          </cell>
          <cell r="H1524" t="str">
            <v>IISP</v>
          </cell>
          <cell r="I1524" t="str">
            <v>North America</v>
          </cell>
          <cell r="J1524" t="str">
            <v>USA</v>
          </cell>
          <cell r="K1524">
            <v>25019</v>
          </cell>
        </row>
        <row r="1525">
          <cell r="A1525" t="str">
            <v>In service</v>
          </cell>
          <cell r="B1525" t="str">
            <v>Gulfstream Aerospace Gulfstream II</v>
          </cell>
          <cell r="C1525" t="str">
            <v>SP</v>
          </cell>
          <cell r="D1525">
            <v>1967</v>
          </cell>
          <cell r="E1525" t="str">
            <v>Jet Aviation West Palm Beach</v>
          </cell>
          <cell r="F1525">
            <v>35</v>
          </cell>
          <cell r="G1525">
            <v>24927</v>
          </cell>
          <cell r="H1525" t="str">
            <v>IISP</v>
          </cell>
          <cell r="I1525" t="str">
            <v>North America</v>
          </cell>
          <cell r="J1525" t="str">
            <v>USA</v>
          </cell>
          <cell r="K1525">
            <v>24288</v>
          </cell>
        </row>
        <row r="1526">
          <cell r="A1526" t="str">
            <v>In service</v>
          </cell>
          <cell r="B1526" t="str">
            <v>Gulfstream Aerospace Gulfstream II</v>
          </cell>
          <cell r="C1526" t="str">
            <v>SP</v>
          </cell>
          <cell r="D1526">
            <v>1969</v>
          </cell>
          <cell r="E1526" t="str">
            <v>C &amp; A Aircraft LLC</v>
          </cell>
          <cell r="F1526">
            <v>33</v>
          </cell>
          <cell r="G1526">
            <v>25531</v>
          </cell>
          <cell r="H1526" t="str">
            <v>IISP</v>
          </cell>
          <cell r="I1526" t="str">
            <v>North America</v>
          </cell>
          <cell r="J1526" t="str">
            <v>USA</v>
          </cell>
          <cell r="K1526">
            <v>25019</v>
          </cell>
        </row>
        <row r="1527">
          <cell r="A1527" t="str">
            <v>In service</v>
          </cell>
          <cell r="B1527" t="str">
            <v>Gulfstream Aerospace Gulfstream II</v>
          </cell>
          <cell r="C1527" t="str">
            <v>SP</v>
          </cell>
          <cell r="D1527">
            <v>1969</v>
          </cell>
          <cell r="E1527" t="str">
            <v>Aspen I LLC</v>
          </cell>
          <cell r="F1527">
            <v>33</v>
          </cell>
          <cell r="G1527">
            <v>25549</v>
          </cell>
          <cell r="H1527" t="str">
            <v>IISP</v>
          </cell>
          <cell r="I1527" t="str">
            <v>North America</v>
          </cell>
          <cell r="J1527" t="str">
            <v>USA</v>
          </cell>
          <cell r="K1527">
            <v>25019</v>
          </cell>
        </row>
        <row r="1528">
          <cell r="A1528" t="str">
            <v>In service</v>
          </cell>
          <cell r="B1528" t="str">
            <v>Gulfstream Aerospace Gulfstream II</v>
          </cell>
          <cell r="C1528" t="str">
            <v>SP</v>
          </cell>
          <cell r="D1528">
            <v>1969</v>
          </cell>
          <cell r="E1528" t="str">
            <v>Aviation Company Inc</v>
          </cell>
          <cell r="F1528">
            <v>33</v>
          </cell>
          <cell r="G1528">
            <v>25599</v>
          </cell>
          <cell r="H1528" t="str">
            <v>IISP</v>
          </cell>
          <cell r="I1528" t="str">
            <v>North America</v>
          </cell>
          <cell r="J1528" t="str">
            <v>USA</v>
          </cell>
          <cell r="K1528">
            <v>25019</v>
          </cell>
        </row>
        <row r="1529">
          <cell r="A1529" t="str">
            <v>In service</v>
          </cell>
          <cell r="B1529" t="str">
            <v>Gulfstream Aerospace Gulfstream II</v>
          </cell>
          <cell r="C1529" t="str">
            <v>SP</v>
          </cell>
          <cell r="D1529">
            <v>1967</v>
          </cell>
          <cell r="E1529" t="str">
            <v>MidSouth Services Inc</v>
          </cell>
          <cell r="F1529">
            <v>35</v>
          </cell>
          <cell r="G1529">
            <v>24824</v>
          </cell>
          <cell r="H1529" t="str">
            <v>IISP</v>
          </cell>
          <cell r="I1529" t="str">
            <v>North America</v>
          </cell>
          <cell r="J1529" t="str">
            <v>USA</v>
          </cell>
          <cell r="K1529">
            <v>23923</v>
          </cell>
        </row>
        <row r="1530">
          <cell r="A1530" t="str">
            <v>In service</v>
          </cell>
          <cell r="B1530" t="str">
            <v>Gulfstream Aerospace Gulfstream II</v>
          </cell>
          <cell r="C1530" t="str">
            <v>SP</v>
          </cell>
          <cell r="D1530">
            <v>1970</v>
          </cell>
          <cell r="E1530" t="str">
            <v>M S Airplane LLC</v>
          </cell>
          <cell r="F1530">
            <v>32</v>
          </cell>
          <cell r="G1530">
            <v>25609</v>
          </cell>
          <cell r="H1530" t="str">
            <v>IISP</v>
          </cell>
          <cell r="I1530" t="str">
            <v>North America</v>
          </cell>
          <cell r="J1530" t="str">
            <v>USA</v>
          </cell>
          <cell r="K1530">
            <v>25019</v>
          </cell>
        </row>
        <row r="1531">
          <cell r="A1531" t="str">
            <v>In service</v>
          </cell>
          <cell r="B1531" t="str">
            <v>Gulfstream Aerospace Gulfstream II</v>
          </cell>
          <cell r="C1531" t="str">
            <v>SP</v>
          </cell>
          <cell r="D1531">
            <v>1970</v>
          </cell>
          <cell r="E1531" t="str">
            <v>Constellation Products Inc</v>
          </cell>
          <cell r="F1531">
            <v>32</v>
          </cell>
          <cell r="G1531">
            <v>25616</v>
          </cell>
          <cell r="H1531" t="str">
            <v>IISP</v>
          </cell>
          <cell r="I1531" t="str">
            <v>North America</v>
          </cell>
          <cell r="J1531" t="str">
            <v>USA</v>
          </cell>
          <cell r="K1531">
            <v>25019</v>
          </cell>
        </row>
        <row r="1532">
          <cell r="A1532" t="str">
            <v>In service</v>
          </cell>
          <cell r="B1532" t="str">
            <v>Gulfstream Aerospace Gulfstream II</v>
          </cell>
          <cell r="C1532" t="str">
            <v>SP</v>
          </cell>
          <cell r="D1532">
            <v>1970</v>
          </cell>
          <cell r="E1532" t="str">
            <v>Alpha Flight Co LLC</v>
          </cell>
          <cell r="F1532">
            <v>32</v>
          </cell>
          <cell r="G1532">
            <v>25640</v>
          </cell>
          <cell r="H1532" t="str">
            <v>IISP</v>
          </cell>
          <cell r="I1532" t="str">
            <v>North America</v>
          </cell>
          <cell r="J1532" t="str">
            <v>USA</v>
          </cell>
          <cell r="K1532">
            <v>25019</v>
          </cell>
        </row>
        <row r="1533">
          <cell r="A1533" t="str">
            <v>In service</v>
          </cell>
          <cell r="B1533" t="str">
            <v>Gulfstream Aerospace Gulfstream II</v>
          </cell>
          <cell r="C1533" t="str">
            <v>SP</v>
          </cell>
          <cell r="D1533">
            <v>1970</v>
          </cell>
          <cell r="E1533" t="str">
            <v>Jet Place Inc</v>
          </cell>
          <cell r="F1533">
            <v>32</v>
          </cell>
          <cell r="G1533">
            <v>25688</v>
          </cell>
          <cell r="H1533" t="str">
            <v>IISP</v>
          </cell>
          <cell r="I1533" t="str">
            <v>North America</v>
          </cell>
          <cell r="J1533" t="str">
            <v>USA</v>
          </cell>
          <cell r="K1533">
            <v>25019</v>
          </cell>
        </row>
        <row r="1534">
          <cell r="A1534" t="str">
            <v>In service</v>
          </cell>
          <cell r="B1534" t="str">
            <v>Gulfstream Aerospace Gulfstream II</v>
          </cell>
          <cell r="C1534" t="str">
            <v>SP</v>
          </cell>
          <cell r="D1534">
            <v>1970</v>
          </cell>
          <cell r="E1534" t="str">
            <v>Aero Air LLC</v>
          </cell>
          <cell r="F1534">
            <v>32</v>
          </cell>
          <cell r="G1534">
            <v>25941</v>
          </cell>
          <cell r="H1534" t="str">
            <v>IISP</v>
          </cell>
          <cell r="I1534" t="str">
            <v>North America</v>
          </cell>
          <cell r="J1534" t="str">
            <v>USA</v>
          </cell>
          <cell r="K1534">
            <v>25384</v>
          </cell>
        </row>
        <row r="1535">
          <cell r="A1535" t="str">
            <v>In service</v>
          </cell>
          <cell r="B1535" t="str">
            <v>Gulfstream Aerospace Gulfstream II</v>
          </cell>
          <cell r="C1535" t="str">
            <v>SP</v>
          </cell>
          <cell r="D1535">
            <v>1970</v>
          </cell>
          <cell r="E1535" t="str">
            <v>Triple Diamond Gulfstream LLC</v>
          </cell>
          <cell r="F1535">
            <v>32</v>
          </cell>
          <cell r="G1535">
            <v>25742</v>
          </cell>
          <cell r="H1535" t="str">
            <v>IISP</v>
          </cell>
          <cell r="I1535" t="str">
            <v>North America</v>
          </cell>
          <cell r="J1535" t="str">
            <v>USA</v>
          </cell>
          <cell r="K1535">
            <v>25019</v>
          </cell>
        </row>
        <row r="1536">
          <cell r="A1536" t="str">
            <v>In service</v>
          </cell>
          <cell r="B1536" t="str">
            <v>Gulfstream Aerospace Gulfstream II</v>
          </cell>
          <cell r="C1536" t="str">
            <v>SP</v>
          </cell>
          <cell r="D1536">
            <v>1970</v>
          </cell>
          <cell r="E1536" t="str">
            <v>Avjet Corp</v>
          </cell>
          <cell r="F1536">
            <v>32</v>
          </cell>
          <cell r="G1536">
            <v>26039</v>
          </cell>
          <cell r="H1536" t="str">
            <v>IISP</v>
          </cell>
          <cell r="I1536" t="str">
            <v>North America</v>
          </cell>
          <cell r="J1536" t="str">
            <v>USA</v>
          </cell>
          <cell r="K1536">
            <v>25384</v>
          </cell>
        </row>
        <row r="1537">
          <cell r="A1537" t="str">
            <v>In service</v>
          </cell>
          <cell r="B1537" t="str">
            <v>Gulfstream Aerospace Gulfstream II</v>
          </cell>
          <cell r="C1537" t="str">
            <v>SP</v>
          </cell>
          <cell r="D1537">
            <v>1970</v>
          </cell>
          <cell r="E1537" t="str">
            <v>Aspen I LLC</v>
          </cell>
          <cell r="F1537">
            <v>32</v>
          </cell>
          <cell r="G1537">
            <v>25773</v>
          </cell>
          <cell r="H1537" t="str">
            <v>SP</v>
          </cell>
          <cell r="I1537" t="str">
            <v>North America</v>
          </cell>
          <cell r="J1537" t="str">
            <v>USA</v>
          </cell>
          <cell r="K1537">
            <v>25019</v>
          </cell>
        </row>
        <row r="1538">
          <cell r="A1538" t="str">
            <v>In service</v>
          </cell>
          <cell r="B1538" t="str">
            <v>Gulfstream Aerospace Gulfstream II</v>
          </cell>
          <cell r="C1538" t="str">
            <v>SP</v>
          </cell>
          <cell r="D1538">
            <v>1970</v>
          </cell>
          <cell r="E1538" t="str">
            <v>Ronso SA de CV</v>
          </cell>
          <cell r="F1538">
            <v>32</v>
          </cell>
          <cell r="G1538">
            <v>26088</v>
          </cell>
          <cell r="H1538" t="str">
            <v>IISP</v>
          </cell>
          <cell r="I1538" t="str">
            <v>Latin America and Caribbean</v>
          </cell>
          <cell r="J1538" t="str">
            <v>Mexico</v>
          </cell>
          <cell r="K1538">
            <v>25749</v>
          </cell>
        </row>
        <row r="1539">
          <cell r="A1539" t="str">
            <v>In service</v>
          </cell>
          <cell r="B1539" t="str">
            <v>Gulfstream Aerospace Gulfstream II</v>
          </cell>
          <cell r="C1539" t="str">
            <v>SP</v>
          </cell>
          <cell r="D1539">
            <v>1970</v>
          </cell>
          <cell r="E1539" t="str">
            <v>Air Lake Lines Inc</v>
          </cell>
          <cell r="F1539">
            <v>32</v>
          </cell>
          <cell r="G1539">
            <v>26214</v>
          </cell>
          <cell r="H1539" t="str">
            <v>IISP</v>
          </cell>
          <cell r="I1539" t="str">
            <v>North America</v>
          </cell>
          <cell r="J1539" t="str">
            <v>USA</v>
          </cell>
          <cell r="K1539">
            <v>25749</v>
          </cell>
        </row>
        <row r="1540">
          <cell r="A1540" t="str">
            <v>In service</v>
          </cell>
          <cell r="B1540" t="str">
            <v>Gulfstream Aerospace Gulfstream II</v>
          </cell>
          <cell r="C1540" t="str">
            <v>SP</v>
          </cell>
          <cell r="D1540">
            <v>1971</v>
          </cell>
          <cell r="E1540" t="str">
            <v>Flightworks</v>
          </cell>
          <cell r="F1540">
            <v>31</v>
          </cell>
          <cell r="G1540">
            <v>26108</v>
          </cell>
          <cell r="H1540" t="str">
            <v>IISP</v>
          </cell>
          <cell r="I1540" t="str">
            <v>North America</v>
          </cell>
          <cell r="J1540" t="str">
            <v>USA</v>
          </cell>
          <cell r="K1540">
            <v>25749</v>
          </cell>
        </row>
        <row r="1541">
          <cell r="A1541" t="str">
            <v>In service</v>
          </cell>
          <cell r="B1541" t="str">
            <v>Gulfstream Aerospace Gulfstream II</v>
          </cell>
          <cell r="C1541" t="str">
            <v>Stage III Hushkit</v>
          </cell>
          <cell r="D1541">
            <v>1971</v>
          </cell>
          <cell r="E1541" t="str">
            <v>Quiet Technology Aerospace Inc</v>
          </cell>
          <cell r="F1541">
            <v>31</v>
          </cell>
          <cell r="G1541">
            <v>26282</v>
          </cell>
          <cell r="I1541" t="str">
            <v>North America</v>
          </cell>
          <cell r="J1541" t="str">
            <v>USA</v>
          </cell>
          <cell r="K1541">
            <v>25749</v>
          </cell>
        </row>
        <row r="1542">
          <cell r="A1542" t="str">
            <v>In service</v>
          </cell>
          <cell r="B1542" t="str">
            <v>Gulfstream Aerospace Gulfstream II</v>
          </cell>
          <cell r="C1542" t="str">
            <v>Stage III Hushkit</v>
          </cell>
          <cell r="D1542">
            <v>1978</v>
          </cell>
          <cell r="E1542" t="str">
            <v>Really Quiet LLC</v>
          </cell>
          <cell r="F1542">
            <v>24</v>
          </cell>
          <cell r="G1542">
            <v>29075</v>
          </cell>
          <cell r="I1542" t="str">
            <v>North America</v>
          </cell>
          <cell r="J1542" t="str">
            <v>USA</v>
          </cell>
          <cell r="K1542">
            <v>28671</v>
          </cell>
        </row>
        <row r="1543">
          <cell r="A1543" t="str">
            <v>In service</v>
          </cell>
          <cell r="B1543" t="str">
            <v>Gulfstream Aerospace Gulfstream II</v>
          </cell>
          <cell r="C1543" t="str">
            <v>Stage III Hushkit</v>
          </cell>
          <cell r="D1543">
            <v>1969</v>
          </cell>
          <cell r="E1543" t="str">
            <v>Priester Aviation</v>
          </cell>
          <cell r="F1543">
            <v>33</v>
          </cell>
          <cell r="G1543">
            <v>25422</v>
          </cell>
          <cell r="I1543" t="str">
            <v>North America</v>
          </cell>
          <cell r="J1543" t="str">
            <v>USA</v>
          </cell>
          <cell r="K1543">
            <v>25019</v>
          </cell>
        </row>
        <row r="1544">
          <cell r="A1544" t="str">
            <v>In service</v>
          </cell>
          <cell r="B1544" t="str">
            <v>Gulfstream Aerospace Gulfstream II</v>
          </cell>
          <cell r="C1544" t="str">
            <v>TT</v>
          </cell>
          <cell r="D1544">
            <v>1976</v>
          </cell>
          <cell r="E1544" t="str">
            <v>Moroccan Ministry of Defence</v>
          </cell>
          <cell r="F1544">
            <v>26</v>
          </cell>
          <cell r="G1544">
            <v>28228</v>
          </cell>
          <cell r="H1544" t="str">
            <v>IITT</v>
          </cell>
          <cell r="I1544" t="str">
            <v>Africa</v>
          </cell>
          <cell r="J1544" t="str">
            <v>Morocco</v>
          </cell>
        </row>
        <row r="1545">
          <cell r="A1545" t="str">
            <v>In service</v>
          </cell>
          <cell r="B1545" t="str">
            <v>Gulfstream Aerospace Gulfstream II</v>
          </cell>
          <cell r="C1545" t="str">
            <v>TT</v>
          </cell>
          <cell r="D1545">
            <v>1977</v>
          </cell>
          <cell r="E1545" t="str">
            <v>Saudi Arabian Airlines</v>
          </cell>
          <cell r="F1545">
            <v>25</v>
          </cell>
          <cell r="G1545">
            <v>28477</v>
          </cell>
          <cell r="H1545" t="str">
            <v>IITT</v>
          </cell>
          <cell r="I1545" t="str">
            <v>Middle East</v>
          </cell>
          <cell r="J1545" t="str">
            <v>Saudi Arabia</v>
          </cell>
          <cell r="K1545">
            <v>27941</v>
          </cell>
        </row>
        <row r="1546">
          <cell r="A1546" t="str">
            <v>In service</v>
          </cell>
          <cell r="B1546" t="str">
            <v>Gulfstream Aerospace Gulfstream II</v>
          </cell>
          <cell r="C1546" t="str">
            <v>TT</v>
          </cell>
          <cell r="D1546">
            <v>1977</v>
          </cell>
          <cell r="E1546" t="str">
            <v>Government of Bahrain</v>
          </cell>
          <cell r="F1546">
            <v>25</v>
          </cell>
          <cell r="G1546">
            <v>28529</v>
          </cell>
          <cell r="H1546" t="str">
            <v>IITT</v>
          </cell>
          <cell r="I1546" t="str">
            <v>Middle East</v>
          </cell>
          <cell r="J1546" t="str">
            <v>Bahrain</v>
          </cell>
          <cell r="K1546">
            <v>27941</v>
          </cell>
        </row>
        <row r="1547">
          <cell r="A1547" t="str">
            <v>In service</v>
          </cell>
          <cell r="B1547" t="str">
            <v>Gulfstream Aerospace Gulfstream II</v>
          </cell>
          <cell r="C1547" t="str">
            <v>TT</v>
          </cell>
          <cell r="D1547">
            <v>1977</v>
          </cell>
          <cell r="E1547" t="str">
            <v>Saudi Arabian Airlines</v>
          </cell>
          <cell r="F1547">
            <v>25</v>
          </cell>
          <cell r="G1547">
            <v>28487</v>
          </cell>
          <cell r="H1547" t="str">
            <v>IITT</v>
          </cell>
          <cell r="I1547" t="str">
            <v>Middle East</v>
          </cell>
          <cell r="J1547" t="str">
            <v>Saudi Arabia</v>
          </cell>
          <cell r="K1547">
            <v>27941</v>
          </cell>
        </row>
        <row r="1548">
          <cell r="A1548" t="str">
            <v>In service</v>
          </cell>
          <cell r="B1548" t="str">
            <v>Gulfstream Aerospace Gulfstream II</v>
          </cell>
          <cell r="C1548" t="str">
            <v>TT</v>
          </cell>
          <cell r="D1548">
            <v>1977</v>
          </cell>
          <cell r="E1548" t="str">
            <v>Lear 35 LLC</v>
          </cell>
          <cell r="F1548">
            <v>25</v>
          </cell>
          <cell r="G1548">
            <v>28625</v>
          </cell>
          <cell r="H1548" t="str">
            <v>IITT</v>
          </cell>
          <cell r="I1548" t="str">
            <v>North America</v>
          </cell>
          <cell r="J1548" t="str">
            <v>USA</v>
          </cell>
          <cell r="K1548">
            <v>27941</v>
          </cell>
        </row>
        <row r="1549">
          <cell r="A1549" t="str">
            <v>In service</v>
          </cell>
          <cell r="B1549" t="str">
            <v>Gulfstream Aerospace Gulfstream II</v>
          </cell>
          <cell r="C1549" t="str">
            <v>TT</v>
          </cell>
          <cell r="D1549">
            <v>1978</v>
          </cell>
          <cell r="E1549" t="str">
            <v>Harth Trading Establishment</v>
          </cell>
          <cell r="F1549">
            <v>24</v>
          </cell>
          <cell r="G1549">
            <v>28536</v>
          </cell>
          <cell r="H1549" t="str">
            <v>IITT</v>
          </cell>
          <cell r="I1549" t="str">
            <v>Middle East</v>
          </cell>
          <cell r="J1549" t="str">
            <v>Saudi Arabia</v>
          </cell>
          <cell r="K1549">
            <v>28306</v>
          </cell>
        </row>
        <row r="1550">
          <cell r="A1550" t="str">
            <v>In service</v>
          </cell>
          <cell r="B1550" t="str">
            <v>Gulfstream Aerospace Gulfstream II</v>
          </cell>
          <cell r="C1550" t="str">
            <v>TT</v>
          </cell>
          <cell r="D1550">
            <v>1978</v>
          </cell>
          <cell r="E1550" t="str">
            <v>PAM Aviation LLC</v>
          </cell>
          <cell r="F1550">
            <v>24</v>
          </cell>
          <cell r="G1550">
            <v>28778</v>
          </cell>
          <cell r="H1550" t="str">
            <v>IITT</v>
          </cell>
          <cell r="I1550" t="str">
            <v>North America</v>
          </cell>
          <cell r="J1550" t="str">
            <v>USA</v>
          </cell>
          <cell r="K1550">
            <v>27941</v>
          </cell>
        </row>
        <row r="1551">
          <cell r="A1551" t="str">
            <v>In service</v>
          </cell>
          <cell r="B1551" t="str">
            <v>Gulfstream Aerospace Gulfstream II</v>
          </cell>
          <cell r="C1551" t="str">
            <v>TT</v>
          </cell>
          <cell r="D1551">
            <v>1978</v>
          </cell>
          <cell r="E1551" t="str">
            <v>Jet-A-Way Charter LLC</v>
          </cell>
          <cell r="F1551">
            <v>24</v>
          </cell>
          <cell r="G1551">
            <v>28829</v>
          </cell>
          <cell r="H1551" t="str">
            <v>IITT</v>
          </cell>
          <cell r="I1551" t="str">
            <v>North America</v>
          </cell>
          <cell r="J1551" t="str">
            <v>USA</v>
          </cell>
          <cell r="K1551">
            <v>27941</v>
          </cell>
        </row>
        <row r="1552">
          <cell r="A1552" t="str">
            <v>In service</v>
          </cell>
          <cell r="B1552" t="str">
            <v>Gulfstream Aerospace Gulfstream II</v>
          </cell>
          <cell r="C1552" t="str">
            <v>TT</v>
          </cell>
          <cell r="D1552">
            <v>1978</v>
          </cell>
          <cell r="E1552" t="str">
            <v>R&amp;G Aviation LLC</v>
          </cell>
          <cell r="F1552">
            <v>24</v>
          </cell>
          <cell r="G1552">
            <v>29105</v>
          </cell>
          <cell r="H1552" t="str">
            <v>IITT</v>
          </cell>
          <cell r="I1552" t="str">
            <v>North America</v>
          </cell>
          <cell r="J1552" t="str">
            <v>USA</v>
          </cell>
          <cell r="K1552">
            <v>28671</v>
          </cell>
        </row>
        <row r="1553">
          <cell r="A1553" t="str">
            <v>In service</v>
          </cell>
          <cell r="B1553" t="str">
            <v>Gulfstream Aerospace Gulfstream II</v>
          </cell>
          <cell r="C1553" t="str">
            <v>TT</v>
          </cell>
          <cell r="D1553">
            <v>1978</v>
          </cell>
          <cell r="E1553" t="str">
            <v>Newcastle Corp</v>
          </cell>
          <cell r="F1553">
            <v>24</v>
          </cell>
          <cell r="G1553">
            <v>28843</v>
          </cell>
          <cell r="H1553" t="str">
            <v>IITT</v>
          </cell>
          <cell r="I1553" t="str">
            <v>North America</v>
          </cell>
          <cell r="J1553" t="str">
            <v>USA</v>
          </cell>
          <cell r="K1553">
            <v>28306</v>
          </cell>
        </row>
        <row r="1554">
          <cell r="A1554" t="str">
            <v>In service</v>
          </cell>
          <cell r="B1554" t="str">
            <v>Gulfstream Aerospace Gulfstream II</v>
          </cell>
          <cell r="C1554" t="str">
            <v>TT</v>
          </cell>
          <cell r="D1554">
            <v>1979</v>
          </cell>
          <cell r="E1554" t="str">
            <v>Haliburton Energy Services Inc</v>
          </cell>
          <cell r="F1554">
            <v>23</v>
          </cell>
          <cell r="G1554">
            <v>28901</v>
          </cell>
          <cell r="H1554" t="str">
            <v>IITT</v>
          </cell>
          <cell r="I1554" t="str">
            <v>North America</v>
          </cell>
          <cell r="J1554" t="str">
            <v>USA</v>
          </cell>
          <cell r="K1554">
            <v>28306</v>
          </cell>
        </row>
        <row r="1555">
          <cell r="A1555" t="str">
            <v>In service</v>
          </cell>
          <cell r="B1555" t="str">
            <v>Gulfstream Aerospace Gulfstream II</v>
          </cell>
          <cell r="C1555" t="str">
            <v>TT</v>
          </cell>
          <cell r="D1555">
            <v>1979</v>
          </cell>
          <cell r="E1555" t="str">
            <v>Saudi Arabian Airlines</v>
          </cell>
          <cell r="F1555">
            <v>23</v>
          </cell>
          <cell r="G1555">
            <v>29246</v>
          </cell>
          <cell r="H1555" t="str">
            <v>IITT</v>
          </cell>
          <cell r="I1555" t="str">
            <v>Middle East</v>
          </cell>
          <cell r="J1555" t="str">
            <v>Saudi Arabia</v>
          </cell>
          <cell r="K1555">
            <v>29036</v>
          </cell>
        </row>
        <row r="1556">
          <cell r="A1556" t="str">
            <v>In service</v>
          </cell>
          <cell r="B1556" t="str">
            <v>Gulfstream Aerospace Gulfstream II</v>
          </cell>
          <cell r="C1556" t="str">
            <v>TT</v>
          </cell>
          <cell r="D1556">
            <v>1979</v>
          </cell>
          <cell r="E1556" t="str">
            <v>Geneva International Ltd</v>
          </cell>
          <cell r="F1556">
            <v>23</v>
          </cell>
          <cell r="G1556">
            <v>29181</v>
          </cell>
          <cell r="H1556" t="str">
            <v>IITT</v>
          </cell>
          <cell r="I1556" t="str">
            <v>North America</v>
          </cell>
          <cell r="J1556" t="str">
            <v>USA</v>
          </cell>
          <cell r="K1556">
            <v>28671</v>
          </cell>
        </row>
        <row r="1557">
          <cell r="A1557" t="str">
            <v>In service</v>
          </cell>
          <cell r="B1557" t="str">
            <v>Gulfstream Aerospace Gulfstream II</v>
          </cell>
          <cell r="C1557" t="str">
            <v>TT</v>
          </cell>
          <cell r="D1557">
            <v>1979</v>
          </cell>
          <cell r="E1557" t="str">
            <v>Eli Lilly International Corp</v>
          </cell>
          <cell r="F1557">
            <v>23</v>
          </cell>
          <cell r="G1557">
            <v>29174</v>
          </cell>
          <cell r="H1557" t="str">
            <v>IITT</v>
          </cell>
          <cell r="I1557" t="str">
            <v>North America</v>
          </cell>
          <cell r="J1557" t="str">
            <v>USA</v>
          </cell>
          <cell r="K1557">
            <v>28306</v>
          </cell>
        </row>
        <row r="1558">
          <cell r="A1558" t="str">
            <v>In service</v>
          </cell>
          <cell r="B1558" t="str">
            <v>Gulfstream Aerospace Gulfstream III</v>
          </cell>
          <cell r="C1558" t="str">
            <v xml:space="preserve"> </v>
          </cell>
          <cell r="D1558">
            <v>1979</v>
          </cell>
          <cell r="E1558" t="str">
            <v>247LG LLC</v>
          </cell>
          <cell r="F1558">
            <v>23</v>
          </cell>
          <cell r="G1558">
            <v>29216</v>
          </cell>
          <cell r="I1558" t="str">
            <v>North America</v>
          </cell>
          <cell r="J1558" t="str">
            <v>USA</v>
          </cell>
          <cell r="K1558">
            <v>28671</v>
          </cell>
        </row>
        <row r="1559">
          <cell r="A1559" t="str">
            <v>In service</v>
          </cell>
          <cell r="B1559" t="str">
            <v>Gulfstream Aerospace Gulfstream III</v>
          </cell>
          <cell r="C1559" t="str">
            <v xml:space="preserve"> </v>
          </cell>
          <cell r="D1559">
            <v>1980</v>
          </cell>
          <cell r="E1559" t="str">
            <v>B H G Flights LLC</v>
          </cell>
          <cell r="F1559">
            <v>22</v>
          </cell>
          <cell r="G1559">
            <v>29591</v>
          </cell>
          <cell r="I1559" t="str">
            <v>North America</v>
          </cell>
          <cell r="J1559" t="str">
            <v>USA</v>
          </cell>
          <cell r="K1559">
            <v>29036</v>
          </cell>
        </row>
        <row r="1560">
          <cell r="A1560" t="str">
            <v>In service</v>
          </cell>
          <cell r="B1560" t="str">
            <v>Gulfstream Aerospace Gulfstream III</v>
          </cell>
          <cell r="C1560" t="str">
            <v xml:space="preserve"> </v>
          </cell>
          <cell r="D1560">
            <v>1980</v>
          </cell>
          <cell r="E1560" t="str">
            <v>Regal Aviation LLC</v>
          </cell>
          <cell r="F1560">
            <v>22</v>
          </cell>
          <cell r="G1560">
            <v>29462</v>
          </cell>
          <cell r="I1560" t="str">
            <v>North America</v>
          </cell>
          <cell r="J1560" t="str">
            <v>USA</v>
          </cell>
          <cell r="K1560">
            <v>29036</v>
          </cell>
        </row>
        <row r="1561">
          <cell r="A1561" t="str">
            <v>In service</v>
          </cell>
          <cell r="B1561" t="str">
            <v>Gulfstream Aerospace Gulfstream III</v>
          </cell>
          <cell r="C1561" t="str">
            <v xml:space="preserve"> </v>
          </cell>
          <cell r="D1561">
            <v>1980</v>
          </cell>
          <cell r="E1561" t="str">
            <v>S T Aviation LLC</v>
          </cell>
          <cell r="F1561">
            <v>22</v>
          </cell>
          <cell r="G1561">
            <v>29361</v>
          </cell>
          <cell r="I1561" t="str">
            <v>North America</v>
          </cell>
          <cell r="J1561" t="str">
            <v>USA</v>
          </cell>
          <cell r="K1561">
            <v>29036</v>
          </cell>
        </row>
        <row r="1562">
          <cell r="A1562" t="str">
            <v>In service</v>
          </cell>
          <cell r="B1562" t="str">
            <v>Gulfstream Aerospace Gulfstream III</v>
          </cell>
          <cell r="C1562" t="str">
            <v xml:space="preserve"> </v>
          </cell>
          <cell r="D1562">
            <v>1980</v>
          </cell>
          <cell r="E1562" t="str">
            <v>Tutor-Saliba Corp</v>
          </cell>
          <cell r="F1562">
            <v>22</v>
          </cell>
          <cell r="G1562">
            <v>29395</v>
          </cell>
          <cell r="I1562" t="str">
            <v>North America</v>
          </cell>
          <cell r="J1562" t="str">
            <v>USA</v>
          </cell>
          <cell r="K1562">
            <v>28671</v>
          </cell>
        </row>
        <row r="1563">
          <cell r="A1563" t="str">
            <v>In service</v>
          </cell>
          <cell r="B1563" t="str">
            <v>Gulfstream Aerospace Gulfstream III</v>
          </cell>
          <cell r="C1563" t="str">
            <v xml:space="preserve"> </v>
          </cell>
          <cell r="D1563">
            <v>1980</v>
          </cell>
          <cell r="E1563" t="str">
            <v>JT Aviation Corp</v>
          </cell>
          <cell r="F1563">
            <v>22</v>
          </cell>
          <cell r="G1563">
            <v>29408</v>
          </cell>
          <cell r="I1563" t="str">
            <v>North America</v>
          </cell>
          <cell r="J1563" t="str">
            <v>USA</v>
          </cell>
          <cell r="K1563">
            <v>28671</v>
          </cell>
        </row>
        <row r="1564">
          <cell r="A1564" t="str">
            <v>In service</v>
          </cell>
          <cell r="B1564" t="str">
            <v>Gulfstream Aerospace Gulfstream III</v>
          </cell>
          <cell r="C1564" t="str">
            <v xml:space="preserve"> </v>
          </cell>
          <cell r="D1564">
            <v>1980</v>
          </cell>
          <cell r="E1564" t="str">
            <v>Homedics Inc</v>
          </cell>
          <cell r="F1564">
            <v>22</v>
          </cell>
          <cell r="G1564">
            <v>29438</v>
          </cell>
          <cell r="I1564" t="str">
            <v>North America</v>
          </cell>
          <cell r="J1564" t="str">
            <v>USA</v>
          </cell>
          <cell r="K1564">
            <v>28671</v>
          </cell>
        </row>
        <row r="1565">
          <cell r="A1565" t="str">
            <v>In service</v>
          </cell>
          <cell r="B1565" t="str">
            <v>Gulfstream Aerospace Gulfstream III</v>
          </cell>
          <cell r="C1565" t="str">
            <v xml:space="preserve"> </v>
          </cell>
          <cell r="D1565">
            <v>1980</v>
          </cell>
          <cell r="E1565" t="str">
            <v>Falconcrest Aviation LLC</v>
          </cell>
          <cell r="F1565">
            <v>22</v>
          </cell>
          <cell r="G1565">
            <v>29451</v>
          </cell>
          <cell r="I1565" t="str">
            <v>North America</v>
          </cell>
          <cell r="J1565" t="str">
            <v>USA</v>
          </cell>
          <cell r="K1565">
            <v>28671</v>
          </cell>
        </row>
        <row r="1566">
          <cell r="A1566" t="str">
            <v>In service</v>
          </cell>
          <cell r="B1566" t="str">
            <v>Gulfstream Aerospace Gulfstream III</v>
          </cell>
          <cell r="C1566" t="str">
            <v xml:space="preserve"> </v>
          </cell>
          <cell r="D1566">
            <v>1980</v>
          </cell>
          <cell r="E1566" t="str">
            <v>Corporate Flight Inc</v>
          </cell>
          <cell r="F1566">
            <v>22</v>
          </cell>
          <cell r="G1566">
            <v>29437</v>
          </cell>
          <cell r="I1566" t="str">
            <v>North America</v>
          </cell>
          <cell r="J1566" t="str">
            <v>USA</v>
          </cell>
          <cell r="K1566">
            <v>28671</v>
          </cell>
        </row>
        <row r="1567">
          <cell r="A1567" t="str">
            <v>In service</v>
          </cell>
          <cell r="B1567" t="str">
            <v>Gulfstream Aerospace Gulfstream III</v>
          </cell>
          <cell r="C1567" t="str">
            <v xml:space="preserve"> </v>
          </cell>
          <cell r="D1567">
            <v>1980</v>
          </cell>
          <cell r="E1567" t="str">
            <v>NASA</v>
          </cell>
          <cell r="F1567">
            <v>22</v>
          </cell>
          <cell r="G1567">
            <v>29481</v>
          </cell>
          <cell r="I1567" t="str">
            <v>North America</v>
          </cell>
          <cell r="J1567" t="str">
            <v>USA</v>
          </cell>
          <cell r="K1567">
            <v>28671</v>
          </cell>
        </row>
        <row r="1568">
          <cell r="A1568" t="str">
            <v>In service</v>
          </cell>
          <cell r="B1568" t="str">
            <v>Gulfstream Aerospace Gulfstream III</v>
          </cell>
          <cell r="C1568" t="str">
            <v xml:space="preserve"> </v>
          </cell>
          <cell r="D1568">
            <v>1980</v>
          </cell>
          <cell r="E1568" t="str">
            <v>Water Over Mountains Holdings LLC</v>
          </cell>
          <cell r="F1568">
            <v>22</v>
          </cell>
          <cell r="G1568">
            <v>29459</v>
          </cell>
          <cell r="I1568" t="str">
            <v>North America</v>
          </cell>
          <cell r="J1568" t="str">
            <v>USA</v>
          </cell>
          <cell r="K1568">
            <v>28671</v>
          </cell>
        </row>
        <row r="1569">
          <cell r="A1569" t="str">
            <v>In service</v>
          </cell>
          <cell r="B1569" t="str">
            <v>Gulfstream Aerospace Gulfstream III</v>
          </cell>
          <cell r="C1569" t="str">
            <v xml:space="preserve"> </v>
          </cell>
          <cell r="D1569">
            <v>1980</v>
          </cell>
          <cell r="E1569" t="str">
            <v>Cove Partners LLC</v>
          </cell>
          <cell r="F1569">
            <v>22</v>
          </cell>
          <cell r="G1569">
            <v>29497</v>
          </cell>
          <cell r="I1569" t="str">
            <v>North America</v>
          </cell>
          <cell r="J1569" t="str">
            <v>USA</v>
          </cell>
          <cell r="K1569">
            <v>28306</v>
          </cell>
        </row>
        <row r="1570">
          <cell r="A1570" t="str">
            <v>In service</v>
          </cell>
          <cell r="B1570" t="str">
            <v>Gulfstream Aerospace Gulfstream III</v>
          </cell>
          <cell r="C1570" t="str">
            <v xml:space="preserve"> </v>
          </cell>
          <cell r="D1570">
            <v>1980</v>
          </cell>
          <cell r="E1570" t="str">
            <v>Nea One LLC/Jetwest Int'l/NAA LLC et al</v>
          </cell>
          <cell r="F1570">
            <v>22</v>
          </cell>
          <cell r="G1570">
            <v>29514</v>
          </cell>
          <cell r="I1570" t="str">
            <v>North America</v>
          </cell>
          <cell r="J1570" t="str">
            <v>USA</v>
          </cell>
          <cell r="K1570">
            <v>28306</v>
          </cell>
        </row>
        <row r="1571">
          <cell r="A1571" t="str">
            <v>In service</v>
          </cell>
          <cell r="B1571" t="str">
            <v>Gulfstream Aerospace Gulfstream III</v>
          </cell>
          <cell r="C1571" t="str">
            <v xml:space="preserve"> </v>
          </cell>
          <cell r="D1571">
            <v>1980</v>
          </cell>
          <cell r="E1571" t="str">
            <v>Phelps Dodge Corp</v>
          </cell>
          <cell r="F1571">
            <v>22</v>
          </cell>
          <cell r="G1571">
            <v>29570</v>
          </cell>
          <cell r="I1571" t="str">
            <v>North America</v>
          </cell>
          <cell r="J1571" t="str">
            <v>USA</v>
          </cell>
          <cell r="K1571">
            <v>29036</v>
          </cell>
        </row>
        <row r="1572">
          <cell r="A1572" t="str">
            <v>In service</v>
          </cell>
          <cell r="B1572" t="str">
            <v>Gulfstream Aerospace Gulfstream III</v>
          </cell>
          <cell r="C1572" t="str">
            <v xml:space="preserve"> </v>
          </cell>
          <cell r="D1572">
            <v>1980</v>
          </cell>
          <cell r="E1572" t="str">
            <v>Chouest Air Inc</v>
          </cell>
          <cell r="F1572">
            <v>22</v>
          </cell>
          <cell r="G1572">
            <v>29571</v>
          </cell>
          <cell r="I1572" t="str">
            <v>North America</v>
          </cell>
          <cell r="J1572" t="str">
            <v>USA</v>
          </cell>
          <cell r="K1572">
            <v>28671</v>
          </cell>
        </row>
        <row r="1573">
          <cell r="A1573" t="str">
            <v>In service</v>
          </cell>
          <cell r="B1573" t="str">
            <v>Gulfstream Aerospace Gulfstream III</v>
          </cell>
          <cell r="C1573" t="str">
            <v xml:space="preserve"> </v>
          </cell>
          <cell r="D1573">
            <v>1980</v>
          </cell>
          <cell r="E1573" t="str">
            <v>Dallah Avco</v>
          </cell>
          <cell r="F1573">
            <v>22</v>
          </cell>
          <cell r="G1573">
            <v>29578</v>
          </cell>
          <cell r="I1573" t="str">
            <v>Middle East</v>
          </cell>
          <cell r="J1573" t="str">
            <v>Saudi Arabia</v>
          </cell>
          <cell r="K1573">
            <v>28671</v>
          </cell>
        </row>
        <row r="1574">
          <cell r="A1574" t="str">
            <v>In service</v>
          </cell>
          <cell r="B1574" t="str">
            <v>Gulfstream Aerospace Gulfstream III</v>
          </cell>
          <cell r="C1574" t="str">
            <v xml:space="preserve"> </v>
          </cell>
          <cell r="D1574">
            <v>1980</v>
          </cell>
          <cell r="E1574" t="str">
            <v>Avjet Corp</v>
          </cell>
          <cell r="F1574">
            <v>22</v>
          </cell>
          <cell r="G1574">
            <v>29578</v>
          </cell>
          <cell r="I1574" t="str">
            <v>North America</v>
          </cell>
          <cell r="J1574" t="str">
            <v>USA</v>
          </cell>
          <cell r="K1574">
            <v>28671</v>
          </cell>
        </row>
        <row r="1575">
          <cell r="A1575" t="str">
            <v>In service</v>
          </cell>
          <cell r="B1575" t="str">
            <v>Gulfstream Aerospace Gulfstream III</v>
          </cell>
          <cell r="C1575" t="str">
            <v xml:space="preserve"> </v>
          </cell>
          <cell r="D1575">
            <v>1981</v>
          </cell>
          <cell r="E1575" t="str">
            <v>SK Travel LLC</v>
          </cell>
          <cell r="F1575">
            <v>21</v>
          </cell>
          <cell r="G1575">
            <v>29620</v>
          </cell>
          <cell r="I1575" t="str">
            <v>North America</v>
          </cell>
          <cell r="J1575" t="str">
            <v>USA</v>
          </cell>
          <cell r="K1575">
            <v>29402</v>
          </cell>
        </row>
        <row r="1576">
          <cell r="A1576" t="str">
            <v>In service</v>
          </cell>
          <cell r="B1576" t="str">
            <v>Gulfstream Aerospace Gulfstream III</v>
          </cell>
          <cell r="C1576" t="str">
            <v xml:space="preserve"> </v>
          </cell>
          <cell r="D1576">
            <v>1981</v>
          </cell>
          <cell r="E1576" t="str">
            <v>Ziff Aircraft Services Inc</v>
          </cell>
          <cell r="F1576">
            <v>21</v>
          </cell>
          <cell r="G1576">
            <v>29649</v>
          </cell>
          <cell r="I1576" t="str">
            <v>North America</v>
          </cell>
          <cell r="J1576" t="str">
            <v>USA</v>
          </cell>
          <cell r="K1576">
            <v>29036</v>
          </cell>
        </row>
        <row r="1577">
          <cell r="A1577" t="str">
            <v>In service</v>
          </cell>
          <cell r="B1577" t="str">
            <v>Gulfstream Aerospace Gulfstream III</v>
          </cell>
          <cell r="C1577" t="str">
            <v xml:space="preserve"> </v>
          </cell>
          <cell r="D1577">
            <v>1981</v>
          </cell>
          <cell r="E1577" t="str">
            <v>L&amp;L Manufacturing Co</v>
          </cell>
          <cell r="F1577">
            <v>21</v>
          </cell>
          <cell r="G1577">
            <v>29668</v>
          </cell>
          <cell r="I1577" t="str">
            <v>North America</v>
          </cell>
          <cell r="J1577" t="str">
            <v>USA</v>
          </cell>
          <cell r="K1577">
            <v>29036</v>
          </cell>
        </row>
        <row r="1578">
          <cell r="A1578" t="str">
            <v>In service</v>
          </cell>
          <cell r="B1578" t="str">
            <v>Gulfstream Aerospace Gulfstream III</v>
          </cell>
          <cell r="C1578" t="str">
            <v xml:space="preserve"> </v>
          </cell>
          <cell r="D1578">
            <v>1981</v>
          </cell>
          <cell r="E1578" t="str">
            <v>Jet Aviation Private Fleet LLC</v>
          </cell>
          <cell r="F1578">
            <v>21</v>
          </cell>
          <cell r="G1578">
            <v>29685</v>
          </cell>
          <cell r="I1578" t="str">
            <v>North America</v>
          </cell>
          <cell r="J1578" t="str">
            <v>USA</v>
          </cell>
          <cell r="K1578">
            <v>29402</v>
          </cell>
        </row>
        <row r="1579">
          <cell r="A1579" t="str">
            <v>In service</v>
          </cell>
          <cell r="B1579" t="str">
            <v>Gulfstream Aerospace Gulfstream III</v>
          </cell>
          <cell r="C1579" t="str">
            <v xml:space="preserve"> </v>
          </cell>
          <cell r="D1579">
            <v>1981</v>
          </cell>
          <cell r="E1579" t="str">
            <v>Sirvair Corp</v>
          </cell>
          <cell r="F1579">
            <v>21</v>
          </cell>
          <cell r="G1579">
            <v>29710</v>
          </cell>
          <cell r="I1579" t="str">
            <v>North America</v>
          </cell>
          <cell r="J1579" t="str">
            <v>USA</v>
          </cell>
          <cell r="K1579">
            <v>29036</v>
          </cell>
        </row>
        <row r="1580">
          <cell r="A1580" t="str">
            <v>In service</v>
          </cell>
          <cell r="B1580" t="str">
            <v>Gulfstream Aerospace Gulfstream III</v>
          </cell>
          <cell r="C1580" t="str">
            <v xml:space="preserve"> </v>
          </cell>
          <cell r="D1580">
            <v>1981</v>
          </cell>
          <cell r="E1580" t="str">
            <v>Cityair LLC</v>
          </cell>
          <cell r="F1580">
            <v>21</v>
          </cell>
          <cell r="G1580">
            <v>29730</v>
          </cell>
          <cell r="I1580" t="str">
            <v>North America</v>
          </cell>
          <cell r="J1580" t="str">
            <v>USA</v>
          </cell>
          <cell r="K1580">
            <v>28306</v>
          </cell>
        </row>
        <row r="1581">
          <cell r="A1581" t="str">
            <v>In service</v>
          </cell>
          <cell r="B1581" t="str">
            <v>Gulfstream Aerospace Gulfstream III</v>
          </cell>
          <cell r="C1581" t="str">
            <v xml:space="preserve"> </v>
          </cell>
          <cell r="D1581">
            <v>1981</v>
          </cell>
          <cell r="E1581" t="str">
            <v>Northeastern Aviation Corp</v>
          </cell>
          <cell r="F1581">
            <v>21</v>
          </cell>
          <cell r="G1581">
            <v>29715</v>
          </cell>
          <cell r="I1581" t="str">
            <v>North America</v>
          </cell>
          <cell r="J1581" t="str">
            <v>USA</v>
          </cell>
          <cell r="K1581">
            <v>29036</v>
          </cell>
        </row>
        <row r="1582">
          <cell r="A1582" t="str">
            <v>In service</v>
          </cell>
          <cell r="B1582" t="str">
            <v>Gulfstream Aerospace Gulfstream III</v>
          </cell>
          <cell r="C1582" t="str">
            <v xml:space="preserve"> </v>
          </cell>
          <cell r="D1582">
            <v>1981</v>
          </cell>
          <cell r="E1582" t="str">
            <v>Presidential Aviation I Inc</v>
          </cell>
          <cell r="F1582">
            <v>21</v>
          </cell>
          <cell r="G1582">
            <v>29769</v>
          </cell>
          <cell r="I1582" t="str">
            <v>North America</v>
          </cell>
          <cell r="J1582" t="str">
            <v>USA</v>
          </cell>
          <cell r="K1582">
            <v>29036</v>
          </cell>
        </row>
        <row r="1583">
          <cell r="A1583" t="str">
            <v>In service</v>
          </cell>
          <cell r="B1583" t="str">
            <v>Gulfstream Aerospace Gulfstream III</v>
          </cell>
          <cell r="C1583" t="str">
            <v xml:space="preserve"> </v>
          </cell>
          <cell r="D1583">
            <v>1981</v>
          </cell>
          <cell r="E1583" t="str">
            <v>Martin Aviation</v>
          </cell>
          <cell r="F1583">
            <v>21</v>
          </cell>
          <cell r="G1583">
            <v>29781</v>
          </cell>
          <cell r="I1583" t="str">
            <v>North America</v>
          </cell>
          <cell r="J1583" t="str">
            <v>USA</v>
          </cell>
          <cell r="K1583">
            <v>29036</v>
          </cell>
        </row>
        <row r="1584">
          <cell r="A1584" t="str">
            <v>In service</v>
          </cell>
          <cell r="B1584" t="str">
            <v>Gulfstream Aerospace Gulfstream III</v>
          </cell>
          <cell r="C1584" t="str">
            <v xml:space="preserve"> </v>
          </cell>
          <cell r="D1584">
            <v>1981</v>
          </cell>
          <cell r="E1584" t="str">
            <v>Golden Bear International</v>
          </cell>
          <cell r="F1584">
            <v>21</v>
          </cell>
          <cell r="G1584">
            <v>29773</v>
          </cell>
          <cell r="I1584" t="str">
            <v>North America</v>
          </cell>
          <cell r="J1584" t="str">
            <v>USA</v>
          </cell>
          <cell r="K1584">
            <v>29036</v>
          </cell>
        </row>
        <row r="1585">
          <cell r="A1585" t="str">
            <v>In service</v>
          </cell>
          <cell r="B1585" t="str">
            <v>Gulfstream Aerospace Gulfstream III</v>
          </cell>
          <cell r="C1585" t="str">
            <v xml:space="preserve"> </v>
          </cell>
          <cell r="D1585">
            <v>1981</v>
          </cell>
          <cell r="E1585" t="str">
            <v>Royal Commission for Jubail &amp; Yanbu</v>
          </cell>
          <cell r="F1585">
            <v>21</v>
          </cell>
          <cell r="G1585">
            <v>29826</v>
          </cell>
          <cell r="I1585" t="str">
            <v>Middle East</v>
          </cell>
          <cell r="J1585" t="str">
            <v>Saudi Arabia</v>
          </cell>
          <cell r="K1585">
            <v>29036</v>
          </cell>
        </row>
        <row r="1586">
          <cell r="A1586" t="str">
            <v>In service</v>
          </cell>
          <cell r="B1586" t="str">
            <v>Gulfstream Aerospace Gulfstream III</v>
          </cell>
          <cell r="C1586" t="str">
            <v xml:space="preserve"> </v>
          </cell>
          <cell r="D1586">
            <v>1981</v>
          </cell>
          <cell r="E1586" t="str">
            <v>Aether Systems Inc</v>
          </cell>
          <cell r="F1586">
            <v>21</v>
          </cell>
          <cell r="G1586">
            <v>29837</v>
          </cell>
          <cell r="I1586" t="str">
            <v>North America</v>
          </cell>
          <cell r="J1586" t="str">
            <v>USA</v>
          </cell>
          <cell r="K1586">
            <v>29036</v>
          </cell>
        </row>
        <row r="1587">
          <cell r="A1587" t="str">
            <v>In service</v>
          </cell>
          <cell r="B1587" t="str">
            <v>Gulfstream Aerospace Gulfstream III</v>
          </cell>
          <cell r="C1587" t="str">
            <v xml:space="preserve"> </v>
          </cell>
          <cell r="D1587">
            <v>1981</v>
          </cell>
          <cell r="E1587" t="str">
            <v>Coca Cola Bottling Co Consolidated</v>
          </cell>
          <cell r="F1587">
            <v>21</v>
          </cell>
          <cell r="G1587">
            <v>29859</v>
          </cell>
          <cell r="I1587" t="str">
            <v>North America</v>
          </cell>
          <cell r="J1587" t="str">
            <v>USA</v>
          </cell>
          <cell r="K1587">
            <v>29036</v>
          </cell>
        </row>
        <row r="1588">
          <cell r="A1588" t="str">
            <v>In service</v>
          </cell>
          <cell r="B1588" t="str">
            <v>Gulfstream Aerospace Gulfstream III</v>
          </cell>
          <cell r="C1588" t="str">
            <v xml:space="preserve"> </v>
          </cell>
          <cell r="D1588">
            <v>1981</v>
          </cell>
          <cell r="E1588" t="str">
            <v>The Air Group Inc</v>
          </cell>
          <cell r="F1588">
            <v>21</v>
          </cell>
          <cell r="G1588">
            <v>29868</v>
          </cell>
          <cell r="I1588" t="str">
            <v>North America</v>
          </cell>
          <cell r="J1588" t="str">
            <v>USA</v>
          </cell>
          <cell r="K1588">
            <v>29402</v>
          </cell>
        </row>
        <row r="1589">
          <cell r="A1589" t="str">
            <v>In service</v>
          </cell>
          <cell r="B1589" t="str">
            <v>Gulfstream Aerospace Gulfstream III</v>
          </cell>
          <cell r="C1589" t="str">
            <v xml:space="preserve"> </v>
          </cell>
          <cell r="D1589">
            <v>1981</v>
          </cell>
          <cell r="E1589" t="str">
            <v>ITT Flight Operations Inc</v>
          </cell>
          <cell r="F1589">
            <v>21</v>
          </cell>
          <cell r="G1589">
            <v>29896</v>
          </cell>
          <cell r="I1589" t="str">
            <v>North America</v>
          </cell>
          <cell r="J1589" t="str">
            <v>USA</v>
          </cell>
          <cell r="K1589">
            <v>29036</v>
          </cell>
        </row>
        <row r="1590">
          <cell r="A1590" t="str">
            <v>In service</v>
          </cell>
          <cell r="B1590" t="str">
            <v>Gulfstream Aerospace Gulfstream III</v>
          </cell>
          <cell r="C1590" t="str">
            <v xml:space="preserve"> </v>
          </cell>
          <cell r="D1590">
            <v>1981</v>
          </cell>
          <cell r="E1590" t="str">
            <v>DX Service Co Inc &amp; DX Aviation Inc</v>
          </cell>
          <cell r="F1590">
            <v>21</v>
          </cell>
          <cell r="G1590">
            <v>29889</v>
          </cell>
          <cell r="I1590" t="str">
            <v>North America</v>
          </cell>
          <cell r="J1590" t="str">
            <v>USA</v>
          </cell>
          <cell r="K1590">
            <v>29036</v>
          </cell>
        </row>
        <row r="1591">
          <cell r="A1591" t="str">
            <v>In service</v>
          </cell>
          <cell r="B1591" t="str">
            <v>Gulfstream Aerospace Gulfstream III</v>
          </cell>
          <cell r="C1591" t="str">
            <v xml:space="preserve"> </v>
          </cell>
          <cell r="D1591">
            <v>1981</v>
          </cell>
          <cell r="E1591" t="str">
            <v>LP B LLC</v>
          </cell>
          <cell r="F1591">
            <v>21</v>
          </cell>
          <cell r="G1591">
            <v>29902</v>
          </cell>
          <cell r="I1591" t="str">
            <v>North America</v>
          </cell>
          <cell r="J1591" t="str">
            <v>USA</v>
          </cell>
          <cell r="K1591">
            <v>29036</v>
          </cell>
        </row>
        <row r="1592">
          <cell r="A1592" t="str">
            <v>In service</v>
          </cell>
          <cell r="B1592" t="str">
            <v>Gulfstream Aerospace Gulfstream III</v>
          </cell>
          <cell r="C1592" t="str">
            <v xml:space="preserve"> </v>
          </cell>
          <cell r="D1592">
            <v>1981</v>
          </cell>
          <cell r="E1592" t="str">
            <v>Safeway Inc</v>
          </cell>
          <cell r="F1592">
            <v>21</v>
          </cell>
          <cell r="G1592">
            <v>29929</v>
          </cell>
          <cell r="I1592" t="str">
            <v>North America</v>
          </cell>
          <cell r="J1592" t="str">
            <v>USA</v>
          </cell>
          <cell r="K1592">
            <v>29036</v>
          </cell>
        </row>
        <row r="1593">
          <cell r="A1593" t="str">
            <v>In service</v>
          </cell>
          <cell r="B1593" t="str">
            <v>Gulfstream Aerospace Gulfstream III</v>
          </cell>
          <cell r="C1593" t="str">
            <v xml:space="preserve"> </v>
          </cell>
          <cell r="D1593">
            <v>1981</v>
          </cell>
          <cell r="E1593" t="str">
            <v>Salt Aire Associates LLC and Mill Creek Systems LL</v>
          </cell>
          <cell r="F1593">
            <v>21</v>
          </cell>
          <cell r="G1593">
            <v>29933</v>
          </cell>
          <cell r="I1593" t="str">
            <v>North America</v>
          </cell>
          <cell r="J1593" t="str">
            <v>USA</v>
          </cell>
          <cell r="K1593">
            <v>29402</v>
          </cell>
        </row>
        <row r="1594">
          <cell r="A1594" t="str">
            <v>In service</v>
          </cell>
          <cell r="B1594" t="str">
            <v>Gulfstream Aerospace Gulfstream III</v>
          </cell>
          <cell r="C1594" t="str">
            <v xml:space="preserve"> </v>
          </cell>
          <cell r="D1594">
            <v>1981</v>
          </cell>
          <cell r="E1594" t="str">
            <v>First Down Enterprises &amp; Bumi Aviation LLC</v>
          </cell>
          <cell r="F1594">
            <v>21</v>
          </cell>
          <cell r="G1594">
            <v>29950</v>
          </cell>
          <cell r="I1594" t="str">
            <v>North America</v>
          </cell>
          <cell r="J1594" t="str">
            <v>USA</v>
          </cell>
          <cell r="K1594">
            <v>29036</v>
          </cell>
        </row>
        <row r="1595">
          <cell r="A1595" t="str">
            <v>In service</v>
          </cell>
          <cell r="B1595" t="str">
            <v>Gulfstream Aerospace Gulfstream III</v>
          </cell>
          <cell r="C1595" t="str">
            <v xml:space="preserve"> </v>
          </cell>
          <cell r="D1595">
            <v>1981</v>
          </cell>
          <cell r="E1595" t="str">
            <v>Paragon Leasing LLC</v>
          </cell>
          <cell r="F1595">
            <v>21</v>
          </cell>
          <cell r="G1595">
            <v>29943</v>
          </cell>
          <cell r="I1595" t="str">
            <v>North America</v>
          </cell>
          <cell r="J1595" t="str">
            <v>USA</v>
          </cell>
          <cell r="K1595">
            <v>29943</v>
          </cell>
        </row>
        <row r="1596">
          <cell r="A1596" t="str">
            <v>In service</v>
          </cell>
          <cell r="B1596" t="str">
            <v>Gulfstream Aerospace Gulfstream III</v>
          </cell>
          <cell r="C1596" t="str">
            <v xml:space="preserve"> </v>
          </cell>
          <cell r="D1596">
            <v>1981</v>
          </cell>
          <cell r="E1596" t="str">
            <v>Pegasus North Inc</v>
          </cell>
          <cell r="F1596">
            <v>21</v>
          </cell>
          <cell r="G1596">
            <v>29950</v>
          </cell>
          <cell r="I1596" t="str">
            <v>North America</v>
          </cell>
          <cell r="J1596" t="str">
            <v>USA</v>
          </cell>
          <cell r="K1596">
            <v>29036</v>
          </cell>
        </row>
        <row r="1597">
          <cell r="A1597" t="str">
            <v>In service</v>
          </cell>
          <cell r="B1597" t="str">
            <v>Gulfstream Aerospace Gulfstream III</v>
          </cell>
          <cell r="C1597" t="str">
            <v xml:space="preserve"> </v>
          </cell>
          <cell r="D1597">
            <v>1982</v>
          </cell>
          <cell r="E1597" t="str">
            <v>Trans-Exec Air Services Inc</v>
          </cell>
          <cell r="F1597">
            <v>20</v>
          </cell>
          <cell r="G1597">
            <v>29987</v>
          </cell>
          <cell r="I1597" t="str">
            <v>North America</v>
          </cell>
          <cell r="J1597" t="str">
            <v>USA</v>
          </cell>
          <cell r="K1597">
            <v>29402</v>
          </cell>
        </row>
        <row r="1598">
          <cell r="A1598" t="str">
            <v>In service</v>
          </cell>
          <cell r="B1598" t="str">
            <v>Gulfstream Aerospace Gulfstream III</v>
          </cell>
          <cell r="C1598" t="str">
            <v xml:space="preserve"> </v>
          </cell>
          <cell r="D1598">
            <v>1982</v>
          </cell>
          <cell r="E1598" t="str">
            <v>Department of Energy Albuquerque operations Office</v>
          </cell>
          <cell r="F1598">
            <v>20</v>
          </cell>
          <cell r="G1598">
            <v>30002</v>
          </cell>
          <cell r="I1598" t="str">
            <v>North America</v>
          </cell>
          <cell r="J1598" t="str">
            <v>USA</v>
          </cell>
          <cell r="K1598">
            <v>29402</v>
          </cell>
        </row>
        <row r="1599">
          <cell r="A1599" t="str">
            <v>In service</v>
          </cell>
          <cell r="B1599" t="str">
            <v>Gulfstream Aerospace Gulfstream III</v>
          </cell>
          <cell r="C1599" t="str">
            <v xml:space="preserve"> </v>
          </cell>
          <cell r="D1599">
            <v>1982</v>
          </cell>
          <cell r="E1599" t="str">
            <v>Shaw Managed Services Inc</v>
          </cell>
          <cell r="F1599">
            <v>20</v>
          </cell>
          <cell r="G1599">
            <v>30130</v>
          </cell>
          <cell r="I1599" t="str">
            <v>North America</v>
          </cell>
          <cell r="J1599" t="str">
            <v>USA</v>
          </cell>
          <cell r="K1599">
            <v>29767</v>
          </cell>
        </row>
        <row r="1600">
          <cell r="A1600" t="str">
            <v>In service</v>
          </cell>
          <cell r="B1600" t="str">
            <v>Gulfstream Aerospace Gulfstream III</v>
          </cell>
          <cell r="C1600" t="str">
            <v xml:space="preserve"> </v>
          </cell>
          <cell r="D1600">
            <v>1982</v>
          </cell>
          <cell r="E1600" t="str">
            <v>Saudi Oger</v>
          </cell>
          <cell r="F1600">
            <v>20</v>
          </cell>
          <cell r="G1600">
            <v>30035</v>
          </cell>
          <cell r="I1600" t="str">
            <v>Middle East</v>
          </cell>
          <cell r="J1600" t="str">
            <v>Saudi Arabia</v>
          </cell>
          <cell r="K1600">
            <v>29402</v>
          </cell>
        </row>
        <row r="1601">
          <cell r="A1601" t="str">
            <v>In service</v>
          </cell>
          <cell r="B1601" t="str">
            <v>Gulfstream Aerospace Gulfstream III</v>
          </cell>
          <cell r="C1601" t="str">
            <v xml:space="preserve"> </v>
          </cell>
          <cell r="D1601">
            <v>1982</v>
          </cell>
          <cell r="E1601" t="str">
            <v>GC Asset Management LLC</v>
          </cell>
          <cell r="F1601">
            <v>20</v>
          </cell>
          <cell r="G1601">
            <v>30050</v>
          </cell>
          <cell r="I1601" t="str">
            <v>North America</v>
          </cell>
          <cell r="J1601" t="str">
            <v>USA</v>
          </cell>
          <cell r="K1601">
            <v>29402</v>
          </cell>
        </row>
        <row r="1602">
          <cell r="A1602" t="str">
            <v>In service</v>
          </cell>
          <cell r="B1602" t="str">
            <v>Gulfstream Aerospace Gulfstream III</v>
          </cell>
          <cell r="C1602" t="str">
            <v xml:space="preserve"> </v>
          </cell>
          <cell r="D1602">
            <v>1982</v>
          </cell>
          <cell r="E1602" t="str">
            <v>From the Heart Church Ministries</v>
          </cell>
          <cell r="F1602">
            <v>20</v>
          </cell>
          <cell r="G1602">
            <v>30050</v>
          </cell>
          <cell r="I1602" t="str">
            <v>North America</v>
          </cell>
          <cell r="J1602" t="str">
            <v>USA</v>
          </cell>
          <cell r="K1602">
            <v>29402</v>
          </cell>
        </row>
        <row r="1603">
          <cell r="A1603" t="str">
            <v>In service</v>
          </cell>
          <cell r="B1603" t="str">
            <v>Gulfstream Aerospace Gulfstream III</v>
          </cell>
          <cell r="C1603" t="str">
            <v xml:space="preserve"> </v>
          </cell>
          <cell r="D1603">
            <v>1982</v>
          </cell>
          <cell r="E1603" t="str">
            <v>Entepreneurial Asset Management LLC</v>
          </cell>
          <cell r="F1603">
            <v>20</v>
          </cell>
          <cell r="G1603">
            <v>30062</v>
          </cell>
          <cell r="I1603" t="str">
            <v>North America</v>
          </cell>
          <cell r="J1603" t="str">
            <v>USA</v>
          </cell>
          <cell r="K1603">
            <v>29402</v>
          </cell>
        </row>
        <row r="1604">
          <cell r="A1604" t="str">
            <v>In service</v>
          </cell>
          <cell r="B1604" t="str">
            <v>Gulfstream Aerospace Gulfstream III</v>
          </cell>
          <cell r="C1604" t="str">
            <v xml:space="preserve"> </v>
          </cell>
          <cell r="D1604">
            <v>1982</v>
          </cell>
          <cell r="E1604" t="str">
            <v>Amerada Hess Corp</v>
          </cell>
          <cell r="F1604">
            <v>20</v>
          </cell>
          <cell r="G1604">
            <v>30072</v>
          </cell>
          <cell r="I1604" t="str">
            <v>North America</v>
          </cell>
          <cell r="J1604" t="str">
            <v>USA</v>
          </cell>
          <cell r="K1604">
            <v>29402</v>
          </cell>
        </row>
        <row r="1605">
          <cell r="A1605" t="str">
            <v>In service</v>
          </cell>
          <cell r="B1605" t="str">
            <v>Gulfstream Aerospace Gulfstream III</v>
          </cell>
          <cell r="C1605" t="str">
            <v xml:space="preserve"> </v>
          </cell>
          <cell r="D1605">
            <v>1982</v>
          </cell>
          <cell r="E1605" t="str">
            <v>YONA Aviation Corp</v>
          </cell>
          <cell r="F1605">
            <v>20</v>
          </cell>
          <cell r="G1605">
            <v>30082</v>
          </cell>
          <cell r="I1605" t="str">
            <v>North America</v>
          </cell>
          <cell r="J1605" t="str">
            <v>USA</v>
          </cell>
          <cell r="K1605">
            <v>29402</v>
          </cell>
        </row>
        <row r="1606">
          <cell r="A1606" t="str">
            <v>In service</v>
          </cell>
          <cell r="B1606" t="str">
            <v>Gulfstream Aerospace Gulfstream III</v>
          </cell>
          <cell r="C1606" t="str">
            <v xml:space="preserve"> </v>
          </cell>
          <cell r="D1606">
            <v>1982</v>
          </cell>
          <cell r="E1606" t="str">
            <v>Mexican Air Force</v>
          </cell>
          <cell r="F1606">
            <v>20</v>
          </cell>
          <cell r="G1606">
            <v>30089</v>
          </cell>
          <cell r="I1606" t="str">
            <v>Latin America and Caribbean</v>
          </cell>
          <cell r="J1606" t="str">
            <v>Mexico</v>
          </cell>
          <cell r="K1606">
            <v>29402</v>
          </cell>
        </row>
        <row r="1607">
          <cell r="A1607" t="str">
            <v>In service</v>
          </cell>
          <cell r="B1607" t="str">
            <v>Gulfstream Aerospace Gulfstream III</v>
          </cell>
          <cell r="C1607" t="str">
            <v xml:space="preserve"> </v>
          </cell>
          <cell r="D1607">
            <v>1982</v>
          </cell>
          <cell r="E1607" t="str">
            <v>MTF Corp</v>
          </cell>
          <cell r="F1607">
            <v>20</v>
          </cell>
          <cell r="G1607">
            <v>30102</v>
          </cell>
          <cell r="I1607" t="str">
            <v>North America</v>
          </cell>
          <cell r="J1607" t="str">
            <v>USA</v>
          </cell>
          <cell r="K1607">
            <v>29767</v>
          </cell>
        </row>
        <row r="1608">
          <cell r="A1608" t="str">
            <v>In service</v>
          </cell>
          <cell r="B1608" t="str">
            <v>Gulfstream Aerospace Gulfstream III</v>
          </cell>
          <cell r="C1608" t="str">
            <v xml:space="preserve"> </v>
          </cell>
          <cell r="D1608">
            <v>1982</v>
          </cell>
          <cell r="E1608" t="str">
            <v>Newshelf 696 (Pty) Ltd</v>
          </cell>
          <cell r="F1608">
            <v>20</v>
          </cell>
          <cell r="G1608">
            <v>30117</v>
          </cell>
          <cell r="I1608" t="str">
            <v>Africa</v>
          </cell>
          <cell r="J1608" t="str">
            <v>South Africa</v>
          </cell>
          <cell r="K1608">
            <v>29402</v>
          </cell>
        </row>
        <row r="1609">
          <cell r="A1609" t="str">
            <v>In service</v>
          </cell>
          <cell r="B1609" t="str">
            <v>Gulfstream Aerospace Gulfstream III</v>
          </cell>
          <cell r="C1609" t="str">
            <v xml:space="preserve"> </v>
          </cell>
          <cell r="D1609">
            <v>1982</v>
          </cell>
          <cell r="E1609" t="str">
            <v>Academy of Art College</v>
          </cell>
          <cell r="F1609">
            <v>20</v>
          </cell>
          <cell r="G1609">
            <v>30148</v>
          </cell>
          <cell r="I1609" t="str">
            <v>North America</v>
          </cell>
          <cell r="J1609" t="str">
            <v>USA</v>
          </cell>
          <cell r="K1609">
            <v>29402</v>
          </cell>
        </row>
        <row r="1610">
          <cell r="A1610" t="str">
            <v>In service</v>
          </cell>
          <cell r="B1610" t="str">
            <v>Gulfstream Aerospace Gulfstream III</v>
          </cell>
          <cell r="C1610" t="str">
            <v xml:space="preserve"> </v>
          </cell>
          <cell r="D1610">
            <v>1982</v>
          </cell>
          <cell r="E1610" t="str">
            <v>MGM Mirage</v>
          </cell>
          <cell r="F1610">
            <v>20</v>
          </cell>
          <cell r="G1610">
            <v>30818</v>
          </cell>
          <cell r="I1610" t="str">
            <v>North America</v>
          </cell>
          <cell r="J1610" t="str">
            <v>USA</v>
          </cell>
        </row>
        <row r="1611">
          <cell r="A1611" t="str">
            <v>In service</v>
          </cell>
          <cell r="B1611" t="str">
            <v>Gulfstream Aerospace Gulfstream III</v>
          </cell>
          <cell r="C1611" t="str">
            <v xml:space="preserve"> </v>
          </cell>
          <cell r="D1611">
            <v>1982</v>
          </cell>
          <cell r="E1611" t="str">
            <v>International Jet Charter</v>
          </cell>
          <cell r="F1611">
            <v>20</v>
          </cell>
          <cell r="G1611">
            <v>30140</v>
          </cell>
          <cell r="I1611" t="str">
            <v>North America</v>
          </cell>
          <cell r="J1611" t="str">
            <v>USA</v>
          </cell>
          <cell r="K1611">
            <v>29402</v>
          </cell>
        </row>
        <row r="1612">
          <cell r="A1612" t="str">
            <v>In service</v>
          </cell>
          <cell r="B1612" t="str">
            <v>Gulfstream Aerospace Gulfstream III</v>
          </cell>
          <cell r="C1612" t="str">
            <v xml:space="preserve"> </v>
          </cell>
          <cell r="D1612">
            <v>1982</v>
          </cell>
          <cell r="E1612" t="str">
            <v>Crystal Jet Aviation Inc</v>
          </cell>
          <cell r="F1612">
            <v>20</v>
          </cell>
          <cell r="G1612">
            <v>30159</v>
          </cell>
          <cell r="I1612" t="str">
            <v>North America</v>
          </cell>
          <cell r="J1612" t="str">
            <v>USA</v>
          </cell>
          <cell r="K1612">
            <v>29767</v>
          </cell>
        </row>
        <row r="1613">
          <cell r="A1613" t="str">
            <v>In service</v>
          </cell>
          <cell r="B1613" t="str">
            <v>Gulfstream Aerospace Gulfstream III</v>
          </cell>
          <cell r="C1613" t="str">
            <v xml:space="preserve"> </v>
          </cell>
          <cell r="D1613">
            <v>1982</v>
          </cell>
          <cell r="E1613" t="str">
            <v>Jet Aviation Private Fleet LLC</v>
          </cell>
          <cell r="F1613">
            <v>20</v>
          </cell>
          <cell r="G1613">
            <v>30307</v>
          </cell>
          <cell r="I1613" t="str">
            <v>North America</v>
          </cell>
          <cell r="J1613" t="str">
            <v>USA</v>
          </cell>
          <cell r="K1613">
            <v>29402</v>
          </cell>
        </row>
        <row r="1614">
          <cell r="A1614" t="str">
            <v>In service</v>
          </cell>
          <cell r="B1614" t="str">
            <v>Gulfstream Aerospace Gulfstream III</v>
          </cell>
          <cell r="C1614" t="str">
            <v xml:space="preserve"> </v>
          </cell>
          <cell r="D1614">
            <v>1982</v>
          </cell>
          <cell r="E1614" t="str">
            <v>Anadarko Petroleum Corp</v>
          </cell>
          <cell r="F1614">
            <v>20</v>
          </cell>
          <cell r="G1614">
            <v>30181</v>
          </cell>
          <cell r="I1614" t="str">
            <v>North America</v>
          </cell>
          <cell r="J1614" t="str">
            <v>USA</v>
          </cell>
          <cell r="K1614">
            <v>29767</v>
          </cell>
        </row>
        <row r="1615">
          <cell r="A1615" t="str">
            <v>In service</v>
          </cell>
          <cell r="B1615" t="str">
            <v>Gulfstream Aerospace Gulfstream III</v>
          </cell>
          <cell r="C1615" t="str">
            <v xml:space="preserve"> </v>
          </cell>
          <cell r="D1615">
            <v>1982</v>
          </cell>
          <cell r="E1615" t="str">
            <v>Lazy Lane Farms Inc &amp; Perpetual Corp</v>
          </cell>
          <cell r="F1615">
            <v>20</v>
          </cell>
          <cell r="G1615">
            <v>30189</v>
          </cell>
          <cell r="I1615" t="str">
            <v>North America</v>
          </cell>
          <cell r="J1615" t="str">
            <v>USA</v>
          </cell>
          <cell r="K1615">
            <v>29767</v>
          </cell>
        </row>
        <row r="1616">
          <cell r="A1616" t="str">
            <v>In service</v>
          </cell>
          <cell r="B1616" t="str">
            <v>Gulfstream Aerospace Gulfstream III</v>
          </cell>
          <cell r="C1616" t="str">
            <v xml:space="preserve"> </v>
          </cell>
          <cell r="D1616">
            <v>1982</v>
          </cell>
          <cell r="E1616" t="str">
            <v>Atsinger Aviation LLC</v>
          </cell>
          <cell r="F1616">
            <v>20</v>
          </cell>
          <cell r="G1616">
            <v>30203</v>
          </cell>
          <cell r="I1616" t="str">
            <v>North America</v>
          </cell>
          <cell r="J1616" t="str">
            <v>USA</v>
          </cell>
          <cell r="K1616">
            <v>29402</v>
          </cell>
        </row>
        <row r="1617">
          <cell r="A1617" t="str">
            <v>In service</v>
          </cell>
          <cell r="B1617" t="str">
            <v>Gulfstream Aerospace Gulfstream III</v>
          </cell>
          <cell r="C1617" t="str">
            <v xml:space="preserve"> </v>
          </cell>
          <cell r="D1617">
            <v>1982</v>
          </cell>
          <cell r="E1617" t="str">
            <v>Saudi Arabian Airlines</v>
          </cell>
          <cell r="F1617">
            <v>20</v>
          </cell>
          <cell r="G1617">
            <v>30215</v>
          </cell>
          <cell r="I1617" t="str">
            <v>Middle East</v>
          </cell>
          <cell r="J1617" t="str">
            <v>Saudi Arabia</v>
          </cell>
          <cell r="K1617">
            <v>28306</v>
          </cell>
        </row>
        <row r="1618">
          <cell r="A1618" t="str">
            <v>In service</v>
          </cell>
          <cell r="B1618" t="str">
            <v>Gulfstream Aerospace Gulfstream III</v>
          </cell>
          <cell r="C1618" t="str">
            <v xml:space="preserve"> </v>
          </cell>
          <cell r="D1618">
            <v>1982</v>
          </cell>
          <cell r="E1618" t="str">
            <v>Government of Morocco</v>
          </cell>
          <cell r="F1618">
            <v>20</v>
          </cell>
          <cell r="G1618">
            <v>30227</v>
          </cell>
          <cell r="I1618" t="str">
            <v>Africa</v>
          </cell>
          <cell r="J1618" t="str">
            <v>Morocco</v>
          </cell>
          <cell r="K1618">
            <v>28306</v>
          </cell>
        </row>
        <row r="1619">
          <cell r="A1619" t="str">
            <v>In service</v>
          </cell>
          <cell r="B1619" t="str">
            <v>Gulfstream Aerospace Gulfstream III</v>
          </cell>
          <cell r="C1619" t="str">
            <v xml:space="preserve"> </v>
          </cell>
          <cell r="D1619">
            <v>1982</v>
          </cell>
          <cell r="E1619" t="str">
            <v>JetAlliance</v>
          </cell>
          <cell r="F1619">
            <v>20</v>
          </cell>
          <cell r="G1619">
            <v>30224</v>
          </cell>
          <cell r="I1619" t="str">
            <v>North America</v>
          </cell>
          <cell r="J1619" t="str">
            <v>USA</v>
          </cell>
          <cell r="K1619">
            <v>29402</v>
          </cell>
        </row>
        <row r="1620">
          <cell r="A1620" t="str">
            <v>In service</v>
          </cell>
          <cell r="B1620" t="str">
            <v>Gulfstream Aerospace Gulfstream III</v>
          </cell>
          <cell r="C1620" t="str">
            <v xml:space="preserve"> </v>
          </cell>
          <cell r="D1620">
            <v>1982</v>
          </cell>
          <cell r="E1620" t="str">
            <v>Flo-Sun Aircraft Inc</v>
          </cell>
          <cell r="F1620">
            <v>20</v>
          </cell>
          <cell r="G1620">
            <v>30237</v>
          </cell>
          <cell r="I1620" t="str">
            <v>North America</v>
          </cell>
          <cell r="J1620" t="str">
            <v>USA</v>
          </cell>
          <cell r="K1620">
            <v>29402</v>
          </cell>
        </row>
        <row r="1621">
          <cell r="A1621" t="str">
            <v>In service</v>
          </cell>
          <cell r="B1621" t="str">
            <v>Gulfstream Aerospace Gulfstream III</v>
          </cell>
          <cell r="C1621" t="str">
            <v xml:space="preserve"> </v>
          </cell>
          <cell r="D1621">
            <v>1982</v>
          </cell>
          <cell r="E1621" t="str">
            <v>Chartright Air</v>
          </cell>
          <cell r="F1621">
            <v>20</v>
          </cell>
          <cell r="G1621">
            <v>30242</v>
          </cell>
          <cell r="I1621" t="str">
            <v>North America</v>
          </cell>
          <cell r="J1621" t="str">
            <v>Canada</v>
          </cell>
          <cell r="K1621">
            <v>29767</v>
          </cell>
        </row>
        <row r="1622">
          <cell r="A1622" t="str">
            <v>In service</v>
          </cell>
          <cell r="B1622" t="str">
            <v>Gulfstream Aerospace Gulfstream III</v>
          </cell>
          <cell r="C1622" t="str">
            <v xml:space="preserve"> </v>
          </cell>
          <cell r="D1622">
            <v>1982</v>
          </cell>
          <cell r="E1622" t="str">
            <v>Jetaway Air Service LLC</v>
          </cell>
          <cell r="F1622">
            <v>20</v>
          </cell>
          <cell r="G1622">
            <v>30245</v>
          </cell>
          <cell r="I1622" t="str">
            <v>North America</v>
          </cell>
          <cell r="J1622" t="str">
            <v>USA</v>
          </cell>
          <cell r="K1622">
            <v>29402</v>
          </cell>
        </row>
        <row r="1623">
          <cell r="A1623" t="str">
            <v>In service</v>
          </cell>
          <cell r="B1623" t="str">
            <v>Gulfstream Aerospace Gulfstream III</v>
          </cell>
          <cell r="C1623" t="str">
            <v xml:space="preserve"> </v>
          </cell>
          <cell r="D1623">
            <v>1982</v>
          </cell>
          <cell r="E1623" t="str">
            <v>Mainko LLC</v>
          </cell>
          <cell r="F1623">
            <v>20</v>
          </cell>
          <cell r="G1623">
            <v>30257</v>
          </cell>
          <cell r="I1623" t="str">
            <v>North America</v>
          </cell>
          <cell r="J1623" t="str">
            <v>USA</v>
          </cell>
          <cell r="K1623">
            <v>29767</v>
          </cell>
        </row>
        <row r="1624">
          <cell r="A1624" t="str">
            <v>In service</v>
          </cell>
          <cell r="B1624" t="str">
            <v>Gulfstream Aerospace Gulfstream III</v>
          </cell>
          <cell r="C1624" t="str">
            <v xml:space="preserve"> </v>
          </cell>
          <cell r="D1624">
            <v>1982</v>
          </cell>
          <cell r="E1624" t="str">
            <v>Avjet Corp</v>
          </cell>
          <cell r="F1624">
            <v>20</v>
          </cell>
          <cell r="G1624">
            <v>30298</v>
          </cell>
          <cell r="I1624" t="str">
            <v>North America</v>
          </cell>
          <cell r="J1624" t="str">
            <v>USA</v>
          </cell>
          <cell r="K1624">
            <v>29767</v>
          </cell>
        </row>
        <row r="1625">
          <cell r="A1625" t="str">
            <v>In service</v>
          </cell>
          <cell r="B1625" t="str">
            <v>Gulfstream Aerospace Gulfstream III</v>
          </cell>
          <cell r="C1625" t="str">
            <v xml:space="preserve"> </v>
          </cell>
          <cell r="D1625">
            <v>1982</v>
          </cell>
          <cell r="E1625" t="str">
            <v>Keystone Foods Corp</v>
          </cell>
          <cell r="F1625">
            <v>20</v>
          </cell>
          <cell r="G1625">
            <v>30275</v>
          </cell>
          <cell r="I1625" t="str">
            <v>North America</v>
          </cell>
          <cell r="J1625" t="str">
            <v>USA</v>
          </cell>
          <cell r="K1625">
            <v>29767</v>
          </cell>
        </row>
        <row r="1626">
          <cell r="A1626" t="str">
            <v>In service</v>
          </cell>
          <cell r="B1626" t="str">
            <v>Gulfstream Aerospace Gulfstream III</v>
          </cell>
          <cell r="C1626" t="str">
            <v xml:space="preserve"> </v>
          </cell>
          <cell r="D1626">
            <v>1982</v>
          </cell>
          <cell r="E1626" t="str">
            <v>Roberts Aviation LLC</v>
          </cell>
          <cell r="F1626">
            <v>20</v>
          </cell>
          <cell r="G1626">
            <v>30288</v>
          </cell>
          <cell r="I1626" t="str">
            <v>North America</v>
          </cell>
          <cell r="J1626" t="str">
            <v>USA</v>
          </cell>
          <cell r="K1626">
            <v>29767</v>
          </cell>
        </row>
        <row r="1627">
          <cell r="A1627" t="str">
            <v>In service</v>
          </cell>
          <cell r="B1627" t="str">
            <v>Gulfstream Aerospace Gulfstream III</v>
          </cell>
          <cell r="C1627" t="str">
            <v xml:space="preserve"> </v>
          </cell>
          <cell r="D1627">
            <v>1982</v>
          </cell>
          <cell r="E1627" t="str">
            <v>Parke Aviation Corp</v>
          </cell>
          <cell r="F1627">
            <v>20</v>
          </cell>
          <cell r="G1627">
            <v>30288</v>
          </cell>
          <cell r="I1627" t="str">
            <v>North America</v>
          </cell>
          <cell r="J1627" t="str">
            <v>USA</v>
          </cell>
          <cell r="K1627">
            <v>29767</v>
          </cell>
        </row>
        <row r="1628">
          <cell r="A1628" t="str">
            <v>In service</v>
          </cell>
          <cell r="B1628" t="str">
            <v>Gulfstream Aerospace Gulfstream III</v>
          </cell>
          <cell r="C1628" t="str">
            <v xml:space="preserve"> </v>
          </cell>
          <cell r="D1628">
            <v>1982</v>
          </cell>
          <cell r="E1628" t="str">
            <v>Bonzi Aviation Inc</v>
          </cell>
          <cell r="F1628">
            <v>20</v>
          </cell>
          <cell r="G1628">
            <v>30295</v>
          </cell>
          <cell r="I1628" t="str">
            <v>North America</v>
          </cell>
          <cell r="J1628" t="str">
            <v>USA</v>
          </cell>
          <cell r="K1628">
            <v>29402</v>
          </cell>
        </row>
        <row r="1629">
          <cell r="A1629" t="str">
            <v>In service</v>
          </cell>
          <cell r="B1629" t="str">
            <v>Gulfstream Aerospace Gulfstream III</v>
          </cell>
          <cell r="C1629" t="str">
            <v xml:space="preserve"> </v>
          </cell>
          <cell r="D1629">
            <v>1982</v>
          </cell>
          <cell r="E1629" t="str">
            <v>Northwestern Aircraft Capital Corp</v>
          </cell>
          <cell r="F1629">
            <v>20</v>
          </cell>
          <cell r="G1629">
            <v>30315</v>
          </cell>
          <cell r="I1629" t="str">
            <v>North America</v>
          </cell>
          <cell r="J1629" t="str">
            <v>USA</v>
          </cell>
          <cell r="K1629">
            <v>29402</v>
          </cell>
        </row>
        <row r="1630">
          <cell r="A1630" t="str">
            <v>In service</v>
          </cell>
          <cell r="B1630" t="str">
            <v>Gulfstream Aerospace Gulfstream III</v>
          </cell>
          <cell r="C1630" t="str">
            <v xml:space="preserve"> </v>
          </cell>
          <cell r="D1630">
            <v>1982</v>
          </cell>
          <cell r="E1630" t="str">
            <v>Ashton Capital Corp</v>
          </cell>
          <cell r="F1630">
            <v>20</v>
          </cell>
          <cell r="G1630">
            <v>30313</v>
          </cell>
          <cell r="I1630" t="str">
            <v>North America</v>
          </cell>
          <cell r="J1630" t="str">
            <v>USA</v>
          </cell>
          <cell r="K1630">
            <v>29402</v>
          </cell>
        </row>
        <row r="1631">
          <cell r="A1631" t="str">
            <v>In service</v>
          </cell>
          <cell r="B1631" t="str">
            <v>Gulfstream Aerospace Gulfstream III</v>
          </cell>
          <cell r="C1631" t="str">
            <v xml:space="preserve"> </v>
          </cell>
          <cell r="D1631">
            <v>1982</v>
          </cell>
          <cell r="E1631" t="str">
            <v>Automotive Air Charter</v>
          </cell>
          <cell r="F1631">
            <v>20</v>
          </cell>
          <cell r="G1631">
            <v>30313</v>
          </cell>
          <cell r="I1631" t="str">
            <v>North America</v>
          </cell>
          <cell r="J1631" t="str">
            <v>USA</v>
          </cell>
          <cell r="K1631">
            <v>29767</v>
          </cell>
        </row>
        <row r="1632">
          <cell r="A1632" t="str">
            <v>In service</v>
          </cell>
          <cell r="B1632" t="str">
            <v>Gulfstream Aerospace Gulfstream III</v>
          </cell>
          <cell r="C1632" t="str">
            <v xml:space="preserve"> </v>
          </cell>
          <cell r="D1632">
            <v>1982</v>
          </cell>
          <cell r="E1632" t="str">
            <v>Sonoram Charters LLC</v>
          </cell>
          <cell r="F1632">
            <v>20</v>
          </cell>
          <cell r="G1632">
            <v>30337</v>
          </cell>
          <cell r="I1632" t="str">
            <v>North America</v>
          </cell>
          <cell r="J1632" t="str">
            <v>USA</v>
          </cell>
          <cell r="K1632">
            <v>29767</v>
          </cell>
        </row>
        <row r="1633">
          <cell r="A1633" t="str">
            <v>In service</v>
          </cell>
          <cell r="B1633" t="str">
            <v>Gulfstream Aerospace Gulfstream III</v>
          </cell>
          <cell r="C1633" t="str">
            <v xml:space="preserve"> </v>
          </cell>
          <cell r="D1633">
            <v>1983</v>
          </cell>
          <cell r="E1633" t="str">
            <v>LOR Inc</v>
          </cell>
          <cell r="F1633">
            <v>19</v>
          </cell>
          <cell r="G1633">
            <v>30347</v>
          </cell>
          <cell r="I1633" t="str">
            <v>North America</v>
          </cell>
          <cell r="J1633" t="str">
            <v>USA</v>
          </cell>
          <cell r="K1633">
            <v>29767</v>
          </cell>
        </row>
        <row r="1634">
          <cell r="A1634" t="str">
            <v>In service</v>
          </cell>
          <cell r="B1634" t="str">
            <v>Gulfstream Aerospace Gulfstream III</v>
          </cell>
          <cell r="C1634" t="str">
            <v xml:space="preserve"> </v>
          </cell>
          <cell r="D1634">
            <v>1983</v>
          </cell>
          <cell r="E1634" t="str">
            <v>SCS Investments Inc</v>
          </cell>
          <cell r="F1634">
            <v>19</v>
          </cell>
          <cell r="G1634">
            <v>30369</v>
          </cell>
          <cell r="I1634" t="str">
            <v>North America</v>
          </cell>
          <cell r="J1634" t="str">
            <v>USA</v>
          </cell>
          <cell r="K1634">
            <v>29767</v>
          </cell>
        </row>
        <row r="1635">
          <cell r="A1635" t="str">
            <v>In service</v>
          </cell>
          <cell r="B1635" t="str">
            <v>Gulfstream Aerospace Gulfstream III</v>
          </cell>
          <cell r="C1635" t="str">
            <v xml:space="preserve"> </v>
          </cell>
          <cell r="D1635">
            <v>1983</v>
          </cell>
          <cell r="E1635" t="str">
            <v>Zulu Enterprises LLC/National 36 LLC et al</v>
          </cell>
          <cell r="F1635">
            <v>19</v>
          </cell>
          <cell r="G1635">
            <v>30391</v>
          </cell>
          <cell r="I1635" t="str">
            <v>North America</v>
          </cell>
          <cell r="J1635" t="str">
            <v>USA</v>
          </cell>
          <cell r="K1635">
            <v>29767</v>
          </cell>
        </row>
        <row r="1636">
          <cell r="A1636" t="str">
            <v>In service</v>
          </cell>
          <cell r="B1636" t="str">
            <v>Gulfstream Aerospace Gulfstream III</v>
          </cell>
          <cell r="C1636" t="str">
            <v xml:space="preserve"> </v>
          </cell>
          <cell r="D1636">
            <v>1983</v>
          </cell>
          <cell r="E1636" t="str">
            <v>Saudi Aeromedical Evacuation</v>
          </cell>
          <cell r="F1636">
            <v>19</v>
          </cell>
          <cell r="G1636">
            <v>30431</v>
          </cell>
          <cell r="I1636" t="str">
            <v>Middle East</v>
          </cell>
          <cell r="J1636" t="str">
            <v>Saudi Arabia</v>
          </cell>
          <cell r="K1636">
            <v>29767</v>
          </cell>
        </row>
        <row r="1637">
          <cell r="A1637" t="str">
            <v>In service</v>
          </cell>
          <cell r="B1637" t="str">
            <v>Gulfstream Aerospace Gulfstream III</v>
          </cell>
          <cell r="C1637" t="str">
            <v xml:space="preserve"> </v>
          </cell>
          <cell r="D1637">
            <v>1983</v>
          </cell>
          <cell r="E1637" t="str">
            <v>Mexican Air Force</v>
          </cell>
          <cell r="F1637">
            <v>19</v>
          </cell>
          <cell r="G1637">
            <v>30406</v>
          </cell>
          <cell r="I1637" t="str">
            <v>Latin America and Caribbean</v>
          </cell>
          <cell r="J1637" t="str">
            <v>Mexico</v>
          </cell>
          <cell r="K1637">
            <v>30132</v>
          </cell>
        </row>
        <row r="1638">
          <cell r="A1638" t="str">
            <v>In service</v>
          </cell>
          <cell r="B1638" t="str">
            <v>Gulfstream Aerospace Gulfstream III</v>
          </cell>
          <cell r="C1638" t="str">
            <v xml:space="preserve"> </v>
          </cell>
          <cell r="D1638">
            <v>1983</v>
          </cell>
          <cell r="E1638" t="str">
            <v>RMQ Ltd</v>
          </cell>
          <cell r="F1638">
            <v>19</v>
          </cell>
          <cell r="G1638">
            <v>30381</v>
          </cell>
          <cell r="I1638" t="str">
            <v>North America</v>
          </cell>
          <cell r="J1638" t="str">
            <v>USA</v>
          </cell>
          <cell r="K1638">
            <v>29767</v>
          </cell>
        </row>
        <row r="1639">
          <cell r="A1639" t="str">
            <v>In service</v>
          </cell>
          <cell r="B1639" t="str">
            <v>Gulfstream Aerospace Gulfstream III</v>
          </cell>
          <cell r="C1639" t="str">
            <v xml:space="preserve"> </v>
          </cell>
          <cell r="D1639">
            <v>1983</v>
          </cell>
          <cell r="E1639" t="str">
            <v>Continental Aviation Services Inc</v>
          </cell>
          <cell r="F1639">
            <v>19</v>
          </cell>
          <cell r="G1639">
            <v>30418</v>
          </cell>
          <cell r="I1639" t="str">
            <v>North America</v>
          </cell>
          <cell r="J1639" t="str">
            <v>USA</v>
          </cell>
          <cell r="K1639">
            <v>30132</v>
          </cell>
        </row>
        <row r="1640">
          <cell r="A1640" t="str">
            <v>In service</v>
          </cell>
          <cell r="B1640" t="str">
            <v>Gulfstream Aerospace Gulfstream III</v>
          </cell>
          <cell r="C1640" t="str">
            <v xml:space="preserve"> </v>
          </cell>
          <cell r="D1640">
            <v>1983</v>
          </cell>
          <cell r="E1640" t="str">
            <v>Pacific Diversified Investments Inc</v>
          </cell>
          <cell r="F1640">
            <v>19</v>
          </cell>
          <cell r="G1640">
            <v>30409</v>
          </cell>
          <cell r="I1640" t="str">
            <v>North America</v>
          </cell>
          <cell r="J1640" t="str">
            <v>USA</v>
          </cell>
          <cell r="K1640">
            <v>29767</v>
          </cell>
        </row>
        <row r="1641">
          <cell r="A1641" t="str">
            <v>In service</v>
          </cell>
          <cell r="B1641" t="str">
            <v>Gulfstream Aerospace Gulfstream III</v>
          </cell>
          <cell r="C1641" t="str">
            <v xml:space="preserve"> </v>
          </cell>
          <cell r="D1641">
            <v>1983</v>
          </cell>
          <cell r="E1641" t="str">
            <v>JetAlliance</v>
          </cell>
          <cell r="F1641">
            <v>19</v>
          </cell>
          <cell r="G1641">
            <v>30467</v>
          </cell>
          <cell r="I1641" t="str">
            <v>North America</v>
          </cell>
          <cell r="J1641" t="str">
            <v>USA</v>
          </cell>
          <cell r="K1641">
            <v>29767</v>
          </cell>
        </row>
        <row r="1642">
          <cell r="A1642" t="str">
            <v>In service</v>
          </cell>
          <cell r="B1642" t="str">
            <v>Gulfstream Aerospace Gulfstream III</v>
          </cell>
          <cell r="C1642" t="str">
            <v xml:space="preserve"> </v>
          </cell>
          <cell r="D1642">
            <v>1983</v>
          </cell>
          <cell r="E1642" t="str">
            <v>Aircraft Network LLC</v>
          </cell>
          <cell r="F1642">
            <v>19</v>
          </cell>
          <cell r="G1642">
            <v>30467</v>
          </cell>
          <cell r="I1642" t="str">
            <v>North America</v>
          </cell>
          <cell r="J1642" t="str">
            <v>USA</v>
          </cell>
          <cell r="K1642">
            <v>29767</v>
          </cell>
        </row>
        <row r="1643">
          <cell r="A1643" t="str">
            <v>In service</v>
          </cell>
          <cell r="B1643" t="str">
            <v>Gulfstream Aerospace Gulfstream III</v>
          </cell>
          <cell r="C1643" t="str">
            <v xml:space="preserve"> </v>
          </cell>
          <cell r="D1643">
            <v>1983</v>
          </cell>
          <cell r="E1643" t="str">
            <v>A &amp; F Aircraft Leasing LLC</v>
          </cell>
          <cell r="F1643">
            <v>19</v>
          </cell>
          <cell r="G1643">
            <v>30497</v>
          </cell>
          <cell r="I1643" t="str">
            <v>North America</v>
          </cell>
          <cell r="J1643" t="str">
            <v>USA</v>
          </cell>
          <cell r="K1643">
            <v>29767</v>
          </cell>
        </row>
        <row r="1644">
          <cell r="A1644" t="str">
            <v>In service</v>
          </cell>
          <cell r="B1644" t="str">
            <v>Gulfstream Aerospace Gulfstream III</v>
          </cell>
          <cell r="C1644" t="str">
            <v xml:space="preserve"> </v>
          </cell>
          <cell r="D1644">
            <v>1983</v>
          </cell>
          <cell r="E1644" t="str">
            <v>Nexxus Products</v>
          </cell>
          <cell r="F1644">
            <v>19</v>
          </cell>
          <cell r="G1644">
            <v>30589</v>
          </cell>
          <cell r="I1644" t="str">
            <v>North America</v>
          </cell>
          <cell r="J1644" t="str">
            <v>USA</v>
          </cell>
          <cell r="K1644">
            <v>29767</v>
          </cell>
        </row>
        <row r="1645">
          <cell r="A1645" t="str">
            <v>In service</v>
          </cell>
          <cell r="B1645" t="str">
            <v>Gulfstream Aerospace Gulfstream III</v>
          </cell>
          <cell r="C1645" t="str">
            <v xml:space="preserve"> </v>
          </cell>
          <cell r="D1645">
            <v>1983</v>
          </cell>
          <cell r="E1645" t="str">
            <v>Northwestern Aircraft Capital Corp</v>
          </cell>
          <cell r="F1645">
            <v>19</v>
          </cell>
          <cell r="G1645">
            <v>30497</v>
          </cell>
          <cell r="I1645" t="str">
            <v>North America</v>
          </cell>
          <cell r="J1645" t="str">
            <v>USA</v>
          </cell>
          <cell r="K1645">
            <v>29767</v>
          </cell>
        </row>
        <row r="1646">
          <cell r="A1646" t="str">
            <v>In service</v>
          </cell>
          <cell r="B1646" t="str">
            <v>Gulfstream Aerospace Gulfstream III</v>
          </cell>
          <cell r="C1646" t="str">
            <v xml:space="preserve"> </v>
          </cell>
          <cell r="D1646">
            <v>1983</v>
          </cell>
          <cell r="E1646" t="str">
            <v>Bentley Aviation LLC</v>
          </cell>
          <cell r="F1646">
            <v>19</v>
          </cell>
          <cell r="G1646">
            <v>30497</v>
          </cell>
          <cell r="I1646" t="str">
            <v>North America</v>
          </cell>
          <cell r="J1646" t="str">
            <v>USA</v>
          </cell>
          <cell r="K1646">
            <v>29767</v>
          </cell>
        </row>
        <row r="1647">
          <cell r="A1647" t="str">
            <v>In service</v>
          </cell>
          <cell r="B1647" t="str">
            <v>Gulfstream Aerospace Gulfstream III</v>
          </cell>
          <cell r="C1647" t="str">
            <v xml:space="preserve"> </v>
          </cell>
          <cell r="D1647">
            <v>1983</v>
          </cell>
          <cell r="E1647" t="str">
            <v>Citadel Broadcasting Corp</v>
          </cell>
          <cell r="F1647">
            <v>19</v>
          </cell>
          <cell r="G1647">
            <v>30528</v>
          </cell>
          <cell r="I1647" t="str">
            <v>North America</v>
          </cell>
          <cell r="J1647" t="str">
            <v>USA</v>
          </cell>
          <cell r="K1647">
            <v>30132</v>
          </cell>
        </row>
        <row r="1648">
          <cell r="A1648" t="str">
            <v>In service</v>
          </cell>
          <cell r="B1648" t="str">
            <v>Gulfstream Aerospace Gulfstream III</v>
          </cell>
          <cell r="C1648" t="str">
            <v xml:space="preserve"> </v>
          </cell>
          <cell r="D1648">
            <v>1983</v>
          </cell>
          <cell r="E1648" t="str">
            <v>Crescent Ridge Aviation Inc</v>
          </cell>
          <cell r="F1648">
            <v>19</v>
          </cell>
          <cell r="G1648">
            <v>30528</v>
          </cell>
          <cell r="I1648" t="str">
            <v>North America</v>
          </cell>
          <cell r="J1648" t="str">
            <v>USA</v>
          </cell>
          <cell r="K1648">
            <v>30132</v>
          </cell>
        </row>
        <row r="1649">
          <cell r="A1649" t="str">
            <v>In service</v>
          </cell>
          <cell r="B1649" t="str">
            <v>Gulfstream Aerospace Gulfstream III</v>
          </cell>
          <cell r="C1649" t="str">
            <v xml:space="preserve"> </v>
          </cell>
          <cell r="D1649">
            <v>1983</v>
          </cell>
          <cell r="E1649" t="str">
            <v>Nu Skin USA Inc</v>
          </cell>
          <cell r="F1649">
            <v>19</v>
          </cell>
          <cell r="G1649">
            <v>30559</v>
          </cell>
          <cell r="I1649" t="str">
            <v>North America</v>
          </cell>
          <cell r="J1649" t="str">
            <v>USA</v>
          </cell>
          <cell r="K1649">
            <v>29767</v>
          </cell>
        </row>
        <row r="1650">
          <cell r="A1650" t="str">
            <v>In service</v>
          </cell>
          <cell r="B1650" t="str">
            <v>Gulfstream Aerospace Gulfstream III</v>
          </cell>
          <cell r="C1650" t="str">
            <v xml:space="preserve"> </v>
          </cell>
          <cell r="D1650">
            <v>1983</v>
          </cell>
          <cell r="E1650" t="str">
            <v>Emerson Fitipaldi</v>
          </cell>
          <cell r="F1650">
            <v>19</v>
          </cell>
          <cell r="G1650">
            <v>30559</v>
          </cell>
          <cell r="I1650" t="str">
            <v>North America</v>
          </cell>
          <cell r="J1650" t="str">
            <v>USA</v>
          </cell>
          <cell r="K1650">
            <v>29767</v>
          </cell>
        </row>
        <row r="1651">
          <cell r="A1651" t="str">
            <v>In service</v>
          </cell>
          <cell r="B1651" t="str">
            <v>Gulfstream Aerospace Gulfstream III</v>
          </cell>
          <cell r="C1651" t="str">
            <v xml:space="preserve"> </v>
          </cell>
          <cell r="D1651">
            <v>1983</v>
          </cell>
          <cell r="E1651" t="str">
            <v>JGL Aviation LLC</v>
          </cell>
          <cell r="F1651">
            <v>19</v>
          </cell>
          <cell r="G1651">
            <v>30559</v>
          </cell>
          <cell r="I1651" t="str">
            <v>North America</v>
          </cell>
          <cell r="J1651" t="str">
            <v>USA</v>
          </cell>
          <cell r="K1651">
            <v>30132</v>
          </cell>
        </row>
        <row r="1652">
          <cell r="A1652" t="str">
            <v>In service</v>
          </cell>
          <cell r="B1652" t="str">
            <v>Gulfstream Aerospace Gulfstream III</v>
          </cell>
          <cell r="C1652" t="str">
            <v xml:space="preserve"> </v>
          </cell>
          <cell r="D1652">
            <v>1983</v>
          </cell>
          <cell r="E1652" t="str">
            <v>Servicios Aereos Norte Sur SA</v>
          </cell>
          <cell r="F1652">
            <v>19</v>
          </cell>
          <cell r="G1652">
            <v>30589</v>
          </cell>
          <cell r="I1652" t="str">
            <v>Latin America and Caribbean</v>
          </cell>
          <cell r="J1652" t="str">
            <v>Mexico</v>
          </cell>
          <cell r="K1652">
            <v>29767</v>
          </cell>
        </row>
        <row r="1653">
          <cell r="A1653" t="str">
            <v>In service</v>
          </cell>
          <cell r="B1653" t="str">
            <v>Gulfstream Aerospace Gulfstream III</v>
          </cell>
          <cell r="C1653" t="str">
            <v xml:space="preserve"> </v>
          </cell>
          <cell r="D1653">
            <v>1983</v>
          </cell>
          <cell r="E1653" t="str">
            <v>Jet Star LLC</v>
          </cell>
          <cell r="F1653">
            <v>19</v>
          </cell>
          <cell r="G1653">
            <v>30589</v>
          </cell>
          <cell r="I1653" t="str">
            <v>North America</v>
          </cell>
          <cell r="J1653" t="str">
            <v>USA</v>
          </cell>
          <cell r="K1653">
            <v>30132</v>
          </cell>
        </row>
        <row r="1654">
          <cell r="A1654" t="str">
            <v>In service</v>
          </cell>
          <cell r="B1654" t="str">
            <v>Gulfstream Aerospace Gulfstream III</v>
          </cell>
          <cell r="C1654" t="str">
            <v xml:space="preserve"> </v>
          </cell>
          <cell r="D1654">
            <v>1983</v>
          </cell>
          <cell r="E1654" t="str">
            <v>448 Alliance Corp</v>
          </cell>
          <cell r="F1654">
            <v>19</v>
          </cell>
          <cell r="G1654">
            <v>30589</v>
          </cell>
          <cell r="I1654" t="str">
            <v>North America</v>
          </cell>
          <cell r="J1654" t="str">
            <v>USA</v>
          </cell>
          <cell r="K1654">
            <v>29767</v>
          </cell>
        </row>
        <row r="1655">
          <cell r="A1655" t="str">
            <v>In service</v>
          </cell>
          <cell r="B1655" t="str">
            <v>Gulfstream Aerospace Gulfstream III</v>
          </cell>
          <cell r="C1655" t="str">
            <v xml:space="preserve"> </v>
          </cell>
          <cell r="D1655">
            <v>1983</v>
          </cell>
          <cell r="E1655" t="str">
            <v>United States Steel Corp</v>
          </cell>
          <cell r="F1655">
            <v>19</v>
          </cell>
          <cell r="G1655">
            <v>30620</v>
          </cell>
          <cell r="I1655" t="str">
            <v>North America</v>
          </cell>
          <cell r="J1655" t="str">
            <v>USA</v>
          </cell>
          <cell r="K1655">
            <v>29767</v>
          </cell>
        </row>
        <row r="1656">
          <cell r="A1656" t="str">
            <v>In service</v>
          </cell>
          <cell r="B1656" t="str">
            <v>Gulfstream Aerospace Gulfstream III</v>
          </cell>
          <cell r="C1656" t="str">
            <v xml:space="preserve"> </v>
          </cell>
          <cell r="D1656">
            <v>1983</v>
          </cell>
          <cell r="E1656" t="str">
            <v>Mary Kay Inc</v>
          </cell>
          <cell r="F1656">
            <v>19</v>
          </cell>
          <cell r="G1656">
            <v>30620</v>
          </cell>
          <cell r="I1656" t="str">
            <v>North America</v>
          </cell>
          <cell r="J1656" t="str">
            <v>USA</v>
          </cell>
          <cell r="K1656">
            <v>30132</v>
          </cell>
        </row>
        <row r="1657">
          <cell r="A1657" t="str">
            <v>In service</v>
          </cell>
          <cell r="B1657" t="str">
            <v>Gulfstream Aerospace Gulfstream III</v>
          </cell>
          <cell r="C1657" t="str">
            <v xml:space="preserve"> </v>
          </cell>
          <cell r="D1657">
            <v>1983</v>
          </cell>
          <cell r="E1657" t="str">
            <v>A&amp;A Aviation Inc</v>
          </cell>
          <cell r="F1657">
            <v>19</v>
          </cell>
          <cell r="G1657">
            <v>30650</v>
          </cell>
          <cell r="I1657" t="str">
            <v>North America</v>
          </cell>
          <cell r="J1657" t="str">
            <v>USA</v>
          </cell>
          <cell r="K1657">
            <v>30132</v>
          </cell>
        </row>
        <row r="1658">
          <cell r="A1658" t="str">
            <v>In service</v>
          </cell>
          <cell r="B1658" t="str">
            <v>Gulfstream Aerospace Gulfstream III</v>
          </cell>
          <cell r="C1658" t="str">
            <v xml:space="preserve"> </v>
          </cell>
          <cell r="D1658">
            <v>1983</v>
          </cell>
          <cell r="E1658" t="str">
            <v>Saudi Arabian Airlines</v>
          </cell>
          <cell r="F1658">
            <v>19</v>
          </cell>
          <cell r="G1658">
            <v>30650</v>
          </cell>
          <cell r="I1658" t="str">
            <v>Middle East</v>
          </cell>
          <cell r="J1658" t="str">
            <v>Saudi Arabia</v>
          </cell>
          <cell r="K1658">
            <v>29767</v>
          </cell>
        </row>
        <row r="1659">
          <cell r="A1659" t="str">
            <v>In service</v>
          </cell>
          <cell r="B1659" t="str">
            <v>Gulfstream Aerospace Gulfstream III</v>
          </cell>
          <cell r="C1659" t="str">
            <v xml:space="preserve"> </v>
          </cell>
          <cell r="D1659">
            <v>1983</v>
          </cell>
          <cell r="E1659" t="str">
            <v>Deeside Trading Co Ltd</v>
          </cell>
          <cell r="F1659">
            <v>19</v>
          </cell>
          <cell r="G1659">
            <v>30650</v>
          </cell>
          <cell r="I1659" t="str">
            <v>North America</v>
          </cell>
          <cell r="J1659" t="str">
            <v>USA</v>
          </cell>
          <cell r="K1659">
            <v>29767</v>
          </cell>
        </row>
        <row r="1660">
          <cell r="A1660" t="str">
            <v>In service</v>
          </cell>
          <cell r="B1660" t="str">
            <v>Gulfstream Aerospace Gulfstream III</v>
          </cell>
          <cell r="C1660" t="str">
            <v xml:space="preserve"> </v>
          </cell>
          <cell r="D1660">
            <v>1983</v>
          </cell>
          <cell r="E1660" t="str">
            <v>Oxy Petroleum Inc</v>
          </cell>
          <cell r="F1660">
            <v>19</v>
          </cell>
          <cell r="G1660">
            <v>30650</v>
          </cell>
          <cell r="I1660" t="str">
            <v>North America</v>
          </cell>
          <cell r="J1660" t="str">
            <v>USA</v>
          </cell>
          <cell r="K1660">
            <v>30132</v>
          </cell>
        </row>
        <row r="1661">
          <cell r="A1661" t="str">
            <v>In service</v>
          </cell>
          <cell r="B1661" t="str">
            <v>Gulfstream Aerospace Gulfstream III</v>
          </cell>
          <cell r="C1661" t="str">
            <v xml:space="preserve"> </v>
          </cell>
          <cell r="D1661">
            <v>1983</v>
          </cell>
          <cell r="E1661" t="str">
            <v>ACG3 LLC</v>
          </cell>
          <cell r="F1661">
            <v>19</v>
          </cell>
          <cell r="G1661">
            <v>30681</v>
          </cell>
          <cell r="I1661" t="str">
            <v>North America</v>
          </cell>
          <cell r="J1661" t="str">
            <v>USA</v>
          </cell>
          <cell r="K1661">
            <v>29767</v>
          </cell>
        </row>
        <row r="1662">
          <cell r="A1662" t="str">
            <v>In service</v>
          </cell>
          <cell r="B1662" t="str">
            <v>Gulfstream Aerospace Gulfstream III</v>
          </cell>
          <cell r="C1662" t="str">
            <v xml:space="preserve"> </v>
          </cell>
          <cell r="D1662">
            <v>1983</v>
          </cell>
          <cell r="E1662" t="str">
            <v>Harwinton Aviation LLC</v>
          </cell>
          <cell r="F1662">
            <v>19</v>
          </cell>
          <cell r="G1662">
            <v>30681</v>
          </cell>
          <cell r="I1662" t="str">
            <v>North America</v>
          </cell>
          <cell r="J1662" t="str">
            <v>USA</v>
          </cell>
          <cell r="K1662">
            <v>29767</v>
          </cell>
        </row>
        <row r="1663">
          <cell r="A1663" t="str">
            <v>In service</v>
          </cell>
          <cell r="B1663" t="str">
            <v>Gulfstream Aerospace Gulfstream III</v>
          </cell>
          <cell r="C1663" t="str">
            <v xml:space="preserve"> </v>
          </cell>
          <cell r="D1663">
            <v>1983</v>
          </cell>
          <cell r="E1663" t="str">
            <v>Nadir Industries Ltd</v>
          </cell>
          <cell r="F1663">
            <v>19</v>
          </cell>
          <cell r="G1663">
            <v>30712</v>
          </cell>
          <cell r="I1663" t="str">
            <v>Unknown area</v>
          </cell>
          <cell r="J1663" t="str">
            <v>Unknown Country</v>
          </cell>
          <cell r="K1663">
            <v>30132</v>
          </cell>
        </row>
        <row r="1664">
          <cell r="A1664" t="str">
            <v>In service</v>
          </cell>
          <cell r="B1664" t="str">
            <v>Gulfstream Aerospace Gulfstream III</v>
          </cell>
          <cell r="C1664" t="str">
            <v xml:space="preserve"> </v>
          </cell>
          <cell r="D1664">
            <v>1983</v>
          </cell>
          <cell r="E1664" t="str">
            <v>Teratorn LLC</v>
          </cell>
          <cell r="F1664">
            <v>19</v>
          </cell>
          <cell r="G1664">
            <v>30712</v>
          </cell>
          <cell r="I1664" t="str">
            <v>North America</v>
          </cell>
          <cell r="J1664" t="str">
            <v>USA</v>
          </cell>
          <cell r="K1664">
            <v>30132</v>
          </cell>
        </row>
        <row r="1665">
          <cell r="A1665" t="str">
            <v>In service</v>
          </cell>
          <cell r="B1665" t="str">
            <v>Gulfstream Aerospace Gulfstream III</v>
          </cell>
          <cell r="C1665" t="str">
            <v xml:space="preserve"> </v>
          </cell>
          <cell r="D1665">
            <v>1983</v>
          </cell>
          <cell r="E1665" t="str">
            <v>JT Aviation Corp</v>
          </cell>
          <cell r="F1665">
            <v>19</v>
          </cell>
          <cell r="G1665">
            <v>30712</v>
          </cell>
          <cell r="I1665" t="str">
            <v>North America</v>
          </cell>
          <cell r="J1665" t="str">
            <v>USA</v>
          </cell>
          <cell r="K1665">
            <v>30132</v>
          </cell>
        </row>
        <row r="1666">
          <cell r="A1666" t="str">
            <v>In service</v>
          </cell>
          <cell r="B1666" t="str">
            <v>Gulfstream Aerospace Gulfstream III</v>
          </cell>
          <cell r="C1666" t="str">
            <v xml:space="preserve"> </v>
          </cell>
          <cell r="D1666">
            <v>1983</v>
          </cell>
          <cell r="E1666" t="str">
            <v>World Heir Inc</v>
          </cell>
          <cell r="F1666">
            <v>19</v>
          </cell>
          <cell r="G1666">
            <v>30741</v>
          </cell>
          <cell r="I1666" t="str">
            <v>North America</v>
          </cell>
          <cell r="J1666" t="str">
            <v>USA</v>
          </cell>
          <cell r="K1666">
            <v>30132</v>
          </cell>
        </row>
        <row r="1667">
          <cell r="A1667" t="str">
            <v>In service</v>
          </cell>
          <cell r="B1667" t="str">
            <v>Gulfstream Aerospace Gulfstream III</v>
          </cell>
          <cell r="C1667" t="str">
            <v xml:space="preserve"> </v>
          </cell>
          <cell r="D1667">
            <v>1984</v>
          </cell>
          <cell r="E1667" t="str">
            <v>Indian Air Force</v>
          </cell>
          <cell r="F1667">
            <v>18</v>
          </cell>
          <cell r="G1667">
            <v>31928</v>
          </cell>
          <cell r="H1667" t="str">
            <v>SRA-1</v>
          </cell>
          <cell r="I1667" t="str">
            <v>Asia</v>
          </cell>
          <cell r="J1667" t="str">
            <v>India</v>
          </cell>
        </row>
        <row r="1668">
          <cell r="A1668" t="str">
            <v>In service</v>
          </cell>
          <cell r="B1668" t="str">
            <v>Gulfstream Aerospace Gulfstream III</v>
          </cell>
          <cell r="C1668" t="str">
            <v xml:space="preserve"> </v>
          </cell>
          <cell r="D1668">
            <v>1984</v>
          </cell>
          <cell r="E1668" t="str">
            <v>Fertitta Enterprises</v>
          </cell>
          <cell r="F1668">
            <v>18</v>
          </cell>
          <cell r="G1668">
            <v>30741</v>
          </cell>
          <cell r="I1668" t="str">
            <v>North America</v>
          </cell>
          <cell r="J1668" t="str">
            <v>USA</v>
          </cell>
          <cell r="K1668">
            <v>30132</v>
          </cell>
        </row>
        <row r="1669">
          <cell r="A1669" t="str">
            <v>In service</v>
          </cell>
          <cell r="B1669" t="str">
            <v>Gulfstream Aerospace Gulfstream III</v>
          </cell>
          <cell r="C1669" t="str">
            <v xml:space="preserve"> </v>
          </cell>
          <cell r="D1669">
            <v>1984</v>
          </cell>
          <cell r="E1669" t="str">
            <v>Owen-Illinois Leasing Inc</v>
          </cell>
          <cell r="F1669">
            <v>18</v>
          </cell>
          <cell r="G1669">
            <v>30772</v>
          </cell>
          <cell r="I1669" t="str">
            <v>North America</v>
          </cell>
          <cell r="J1669" t="str">
            <v>USA</v>
          </cell>
          <cell r="K1669">
            <v>30132</v>
          </cell>
        </row>
        <row r="1670">
          <cell r="A1670" t="str">
            <v>In service</v>
          </cell>
          <cell r="B1670" t="str">
            <v>Gulfstream Aerospace Gulfstream III</v>
          </cell>
          <cell r="C1670" t="str">
            <v xml:space="preserve"> </v>
          </cell>
          <cell r="D1670">
            <v>1984</v>
          </cell>
          <cell r="E1670" t="str">
            <v>ChevronTexaco Corp</v>
          </cell>
          <cell r="F1670">
            <v>18</v>
          </cell>
          <cell r="G1670">
            <v>30772</v>
          </cell>
          <cell r="I1670" t="str">
            <v>North America</v>
          </cell>
          <cell r="J1670" t="str">
            <v>USA</v>
          </cell>
          <cell r="K1670">
            <v>30132</v>
          </cell>
        </row>
        <row r="1671">
          <cell r="A1671" t="str">
            <v>In service</v>
          </cell>
          <cell r="B1671" t="str">
            <v>Gulfstream Aerospace Gulfstream III</v>
          </cell>
          <cell r="C1671" t="str">
            <v xml:space="preserve"> </v>
          </cell>
          <cell r="D1671">
            <v>1984</v>
          </cell>
          <cell r="E1671" t="str">
            <v>Texas Aviation Sales &amp; Leasing LLC</v>
          </cell>
          <cell r="F1671">
            <v>18</v>
          </cell>
          <cell r="G1671">
            <v>30772</v>
          </cell>
          <cell r="I1671" t="str">
            <v>North America</v>
          </cell>
          <cell r="J1671" t="str">
            <v>USA</v>
          </cell>
          <cell r="K1671">
            <v>30132</v>
          </cell>
        </row>
        <row r="1672">
          <cell r="A1672" t="str">
            <v>In service</v>
          </cell>
          <cell r="B1672" t="str">
            <v>Gulfstream Aerospace Gulfstream III</v>
          </cell>
          <cell r="C1672" t="str">
            <v xml:space="preserve"> </v>
          </cell>
          <cell r="D1672">
            <v>1984</v>
          </cell>
          <cell r="E1672" t="str">
            <v>Sonic Financial Corp</v>
          </cell>
          <cell r="F1672">
            <v>18</v>
          </cell>
          <cell r="G1672">
            <v>30772</v>
          </cell>
          <cell r="I1672" t="str">
            <v>North America</v>
          </cell>
          <cell r="J1672" t="str">
            <v>USA</v>
          </cell>
          <cell r="K1672">
            <v>30132</v>
          </cell>
        </row>
        <row r="1673">
          <cell r="A1673" t="str">
            <v>In service</v>
          </cell>
          <cell r="B1673" t="str">
            <v>Gulfstream Aerospace Gulfstream III</v>
          </cell>
          <cell r="C1673" t="str">
            <v xml:space="preserve"> </v>
          </cell>
          <cell r="D1673">
            <v>1984</v>
          </cell>
          <cell r="E1673" t="str">
            <v>New World Jet Corp</v>
          </cell>
          <cell r="F1673">
            <v>18</v>
          </cell>
          <cell r="G1673">
            <v>30802</v>
          </cell>
          <cell r="I1673" t="str">
            <v>North America</v>
          </cell>
          <cell r="J1673" t="str">
            <v>USA</v>
          </cell>
          <cell r="K1673">
            <v>30497</v>
          </cell>
        </row>
        <row r="1674">
          <cell r="A1674" t="str">
            <v>In service</v>
          </cell>
          <cell r="B1674" t="str">
            <v>Gulfstream Aerospace Gulfstream III</v>
          </cell>
          <cell r="C1674" t="str">
            <v xml:space="preserve"> </v>
          </cell>
          <cell r="D1674">
            <v>1984</v>
          </cell>
          <cell r="E1674" t="str">
            <v>C&amp;S Aviation Ltd</v>
          </cell>
          <cell r="F1674">
            <v>18</v>
          </cell>
          <cell r="G1674">
            <v>30833</v>
          </cell>
          <cell r="I1674" t="str">
            <v>North America</v>
          </cell>
          <cell r="J1674" t="str">
            <v>USA</v>
          </cell>
          <cell r="K1674">
            <v>30497</v>
          </cell>
        </row>
        <row r="1675">
          <cell r="A1675" t="str">
            <v>In service</v>
          </cell>
          <cell r="B1675" t="str">
            <v>Gulfstream Aerospace Gulfstream III</v>
          </cell>
          <cell r="C1675" t="str">
            <v xml:space="preserve"> </v>
          </cell>
          <cell r="D1675">
            <v>1984</v>
          </cell>
          <cell r="E1675" t="str">
            <v>Papa Grande Aviation LLC</v>
          </cell>
          <cell r="F1675">
            <v>18</v>
          </cell>
          <cell r="G1675">
            <v>30833</v>
          </cell>
          <cell r="I1675" t="str">
            <v>North America</v>
          </cell>
          <cell r="J1675" t="str">
            <v>USA</v>
          </cell>
          <cell r="K1675">
            <v>30132</v>
          </cell>
        </row>
        <row r="1676">
          <cell r="A1676" t="str">
            <v>In service</v>
          </cell>
          <cell r="B1676" t="str">
            <v>Gulfstream Aerospace Gulfstream III</v>
          </cell>
          <cell r="C1676" t="str">
            <v xml:space="preserve"> </v>
          </cell>
          <cell r="D1676">
            <v>1984</v>
          </cell>
          <cell r="E1676" t="str">
            <v>Harbour Group Industries Inc</v>
          </cell>
          <cell r="F1676">
            <v>18</v>
          </cell>
          <cell r="G1676">
            <v>30833</v>
          </cell>
          <cell r="I1676" t="str">
            <v>North America</v>
          </cell>
          <cell r="J1676" t="str">
            <v>USA</v>
          </cell>
          <cell r="K1676">
            <v>30132</v>
          </cell>
        </row>
        <row r="1677">
          <cell r="A1677" t="str">
            <v>In service</v>
          </cell>
          <cell r="B1677" t="str">
            <v>Gulfstream Aerospace Gulfstream III</v>
          </cell>
          <cell r="C1677" t="str">
            <v xml:space="preserve"> </v>
          </cell>
          <cell r="D1677">
            <v>1984</v>
          </cell>
          <cell r="E1677" t="str">
            <v>Tenet Healthcare Corp</v>
          </cell>
          <cell r="F1677">
            <v>18</v>
          </cell>
          <cell r="G1677">
            <v>30833</v>
          </cell>
          <cell r="I1677" t="str">
            <v>North America</v>
          </cell>
          <cell r="J1677" t="str">
            <v>USA</v>
          </cell>
          <cell r="K1677">
            <v>30132</v>
          </cell>
        </row>
        <row r="1678">
          <cell r="A1678" t="str">
            <v>In service</v>
          </cell>
          <cell r="B1678" t="str">
            <v>Gulfstream Aerospace Gulfstream III</v>
          </cell>
          <cell r="C1678" t="str">
            <v xml:space="preserve"> </v>
          </cell>
          <cell r="D1678">
            <v>1984</v>
          </cell>
          <cell r="E1678" t="str">
            <v>Monarch Flight Inc</v>
          </cell>
          <cell r="F1678">
            <v>18</v>
          </cell>
          <cell r="G1678">
            <v>30863</v>
          </cell>
          <cell r="I1678" t="str">
            <v>North America</v>
          </cell>
          <cell r="J1678" t="str">
            <v>USA</v>
          </cell>
          <cell r="K1678">
            <v>30132</v>
          </cell>
        </row>
        <row r="1679">
          <cell r="A1679" t="str">
            <v>In service</v>
          </cell>
          <cell r="B1679" t="str">
            <v>Gulfstream Aerospace Gulfstream III</v>
          </cell>
          <cell r="C1679" t="str">
            <v xml:space="preserve"> </v>
          </cell>
          <cell r="D1679">
            <v>1984</v>
          </cell>
          <cell r="E1679" t="str">
            <v>New World Jet Corp</v>
          </cell>
          <cell r="F1679">
            <v>18</v>
          </cell>
          <cell r="G1679">
            <v>30863</v>
          </cell>
          <cell r="I1679" t="str">
            <v>North America</v>
          </cell>
          <cell r="J1679" t="str">
            <v>USA</v>
          </cell>
          <cell r="K1679">
            <v>30132</v>
          </cell>
        </row>
        <row r="1680">
          <cell r="A1680" t="str">
            <v>In service</v>
          </cell>
          <cell r="B1680" t="str">
            <v>Gulfstream Aerospace Gulfstream III</v>
          </cell>
          <cell r="C1680" t="str">
            <v xml:space="preserve"> </v>
          </cell>
          <cell r="D1680">
            <v>1984</v>
          </cell>
          <cell r="E1680" t="str">
            <v>Time Warner Entertainment</v>
          </cell>
          <cell r="F1680">
            <v>18</v>
          </cell>
          <cell r="G1680">
            <v>30863</v>
          </cell>
          <cell r="I1680" t="str">
            <v>North America</v>
          </cell>
          <cell r="J1680" t="str">
            <v>USA</v>
          </cell>
          <cell r="K1680">
            <v>30132</v>
          </cell>
        </row>
        <row r="1681">
          <cell r="A1681" t="str">
            <v>In service</v>
          </cell>
          <cell r="B1681" t="str">
            <v>Gulfstream Aerospace Gulfstream III</v>
          </cell>
          <cell r="C1681" t="str">
            <v xml:space="preserve"> </v>
          </cell>
          <cell r="D1681">
            <v>1984</v>
          </cell>
          <cell r="E1681" t="str">
            <v>World Healing Center Church Inc</v>
          </cell>
          <cell r="F1681">
            <v>18</v>
          </cell>
          <cell r="G1681">
            <v>30863</v>
          </cell>
          <cell r="I1681" t="str">
            <v>North America</v>
          </cell>
          <cell r="J1681" t="str">
            <v>USA</v>
          </cell>
          <cell r="K1681">
            <v>30132</v>
          </cell>
        </row>
        <row r="1682">
          <cell r="A1682" t="str">
            <v>In service</v>
          </cell>
          <cell r="B1682" t="str">
            <v>Gulfstream Aerospace Gulfstream III</v>
          </cell>
          <cell r="C1682" t="str">
            <v xml:space="preserve"> </v>
          </cell>
          <cell r="D1682">
            <v>1984</v>
          </cell>
          <cell r="E1682" t="str">
            <v>KOMAR Aviation LLC</v>
          </cell>
          <cell r="F1682">
            <v>18</v>
          </cell>
          <cell r="G1682">
            <v>30894</v>
          </cell>
          <cell r="I1682" t="str">
            <v>North America</v>
          </cell>
          <cell r="J1682" t="str">
            <v>USA</v>
          </cell>
          <cell r="K1682">
            <v>30132</v>
          </cell>
        </row>
        <row r="1683">
          <cell r="A1683" t="str">
            <v>In service</v>
          </cell>
          <cell r="B1683" t="str">
            <v>Gulfstream Aerospace Gulfstream III</v>
          </cell>
          <cell r="C1683" t="str">
            <v xml:space="preserve"> </v>
          </cell>
          <cell r="D1683">
            <v>1984</v>
          </cell>
          <cell r="E1683" t="str">
            <v>Sinclair Oil Corp</v>
          </cell>
          <cell r="F1683">
            <v>18</v>
          </cell>
          <cell r="G1683">
            <v>30925</v>
          </cell>
          <cell r="I1683" t="str">
            <v>North America</v>
          </cell>
          <cell r="J1683" t="str">
            <v>USA</v>
          </cell>
          <cell r="K1683">
            <v>30132</v>
          </cell>
        </row>
        <row r="1684">
          <cell r="A1684" t="str">
            <v>In service</v>
          </cell>
          <cell r="B1684" t="str">
            <v>Gulfstream Aerospace Gulfstream III</v>
          </cell>
          <cell r="C1684" t="str">
            <v xml:space="preserve"> </v>
          </cell>
          <cell r="D1684">
            <v>1984</v>
          </cell>
          <cell r="E1684" t="str">
            <v>Automotive Air Charter</v>
          </cell>
          <cell r="F1684">
            <v>18</v>
          </cell>
          <cell r="G1684">
            <v>30925</v>
          </cell>
          <cell r="I1684" t="str">
            <v>North America</v>
          </cell>
          <cell r="J1684" t="str">
            <v>USA</v>
          </cell>
          <cell r="K1684">
            <v>30132</v>
          </cell>
        </row>
        <row r="1685">
          <cell r="A1685" t="str">
            <v>In service</v>
          </cell>
          <cell r="B1685" t="str">
            <v>Gulfstream Aerospace Gulfstream III</v>
          </cell>
          <cell r="C1685" t="str">
            <v xml:space="preserve"> </v>
          </cell>
          <cell r="D1685">
            <v>1984</v>
          </cell>
          <cell r="E1685" t="str">
            <v>Government of Egypt</v>
          </cell>
          <cell r="F1685">
            <v>18</v>
          </cell>
          <cell r="G1685">
            <v>30955</v>
          </cell>
          <cell r="I1685" t="str">
            <v>Africa</v>
          </cell>
          <cell r="J1685" t="str">
            <v>Egypt</v>
          </cell>
          <cell r="K1685">
            <v>30132</v>
          </cell>
        </row>
        <row r="1686">
          <cell r="A1686" t="str">
            <v>In service</v>
          </cell>
          <cell r="B1686" t="str">
            <v>Gulfstream Aerospace Gulfstream III</v>
          </cell>
          <cell r="C1686" t="str">
            <v xml:space="preserve"> </v>
          </cell>
          <cell r="D1686">
            <v>1984</v>
          </cell>
          <cell r="E1686" t="str">
            <v>Consortium of AOL Time Warner Companies</v>
          </cell>
          <cell r="F1686">
            <v>18</v>
          </cell>
          <cell r="G1686">
            <v>30955</v>
          </cell>
          <cell r="I1686" t="str">
            <v>North America</v>
          </cell>
          <cell r="J1686" t="str">
            <v>USA</v>
          </cell>
          <cell r="K1686">
            <v>30132</v>
          </cell>
        </row>
        <row r="1687">
          <cell r="A1687" t="str">
            <v>In service</v>
          </cell>
          <cell r="B1687" t="str">
            <v>Gulfstream Aerospace Gulfstream III</v>
          </cell>
          <cell r="C1687" t="str">
            <v xml:space="preserve"> </v>
          </cell>
          <cell r="D1687">
            <v>1984</v>
          </cell>
          <cell r="E1687" t="str">
            <v>United States Steel Corp</v>
          </cell>
          <cell r="F1687">
            <v>18</v>
          </cell>
          <cell r="G1687">
            <v>30955</v>
          </cell>
          <cell r="I1687" t="str">
            <v>North America</v>
          </cell>
          <cell r="J1687" t="str">
            <v>USA</v>
          </cell>
          <cell r="K1687">
            <v>30132</v>
          </cell>
        </row>
        <row r="1688">
          <cell r="A1688" t="str">
            <v>In service</v>
          </cell>
          <cell r="B1688" t="str">
            <v>Gulfstream Aerospace Gulfstream III</v>
          </cell>
          <cell r="C1688" t="str">
            <v xml:space="preserve"> </v>
          </cell>
          <cell r="D1688">
            <v>1984</v>
          </cell>
          <cell r="E1688" t="str">
            <v>Government of Egypt</v>
          </cell>
          <cell r="F1688">
            <v>18</v>
          </cell>
          <cell r="G1688">
            <v>30986</v>
          </cell>
          <cell r="I1688" t="str">
            <v>Africa</v>
          </cell>
          <cell r="J1688" t="str">
            <v>Egypt</v>
          </cell>
          <cell r="K1688">
            <v>30132</v>
          </cell>
        </row>
        <row r="1689">
          <cell r="A1689" t="str">
            <v>In service</v>
          </cell>
          <cell r="B1689" t="str">
            <v>Gulfstream Aerospace Gulfstream III</v>
          </cell>
          <cell r="C1689" t="str">
            <v xml:space="preserve"> </v>
          </cell>
          <cell r="D1689">
            <v>1984</v>
          </cell>
          <cell r="E1689" t="str">
            <v>DirecTV Group Inc</v>
          </cell>
          <cell r="F1689">
            <v>18</v>
          </cell>
          <cell r="G1689">
            <v>30986</v>
          </cell>
          <cell r="I1689" t="str">
            <v>North America</v>
          </cell>
          <cell r="J1689" t="str">
            <v>USA</v>
          </cell>
          <cell r="K1689">
            <v>30497</v>
          </cell>
        </row>
        <row r="1690">
          <cell r="A1690" t="str">
            <v>In service</v>
          </cell>
          <cell r="B1690" t="str">
            <v>Gulfstream Aerospace Gulfstream III</v>
          </cell>
          <cell r="C1690" t="str">
            <v xml:space="preserve"> </v>
          </cell>
          <cell r="D1690">
            <v>1984</v>
          </cell>
          <cell r="E1690" t="str">
            <v>DKH Services LLC</v>
          </cell>
          <cell r="F1690">
            <v>18</v>
          </cell>
          <cell r="G1690">
            <v>30986</v>
          </cell>
          <cell r="I1690" t="str">
            <v>North America</v>
          </cell>
          <cell r="J1690" t="str">
            <v>USA</v>
          </cell>
          <cell r="K1690">
            <v>30497</v>
          </cell>
        </row>
        <row r="1691">
          <cell r="A1691" t="str">
            <v>In service</v>
          </cell>
          <cell r="B1691" t="str">
            <v>Gulfstream Aerospace Gulfstream III</v>
          </cell>
          <cell r="C1691" t="str">
            <v xml:space="preserve"> </v>
          </cell>
          <cell r="D1691">
            <v>1984</v>
          </cell>
          <cell r="E1691" t="str">
            <v>SM 5105 LLC</v>
          </cell>
          <cell r="F1691">
            <v>18</v>
          </cell>
          <cell r="G1691">
            <v>31016</v>
          </cell>
          <cell r="I1691" t="str">
            <v>North America</v>
          </cell>
          <cell r="J1691" t="str">
            <v>USA</v>
          </cell>
          <cell r="K1691">
            <v>30132</v>
          </cell>
        </row>
        <row r="1692">
          <cell r="A1692" t="str">
            <v>In service</v>
          </cell>
          <cell r="B1692" t="str">
            <v>Gulfstream Aerospace Gulfstream III</v>
          </cell>
          <cell r="C1692" t="str">
            <v xml:space="preserve"> </v>
          </cell>
          <cell r="D1692">
            <v>1984</v>
          </cell>
          <cell r="E1692" t="str">
            <v>Air Sterling LLC</v>
          </cell>
          <cell r="F1692">
            <v>18</v>
          </cell>
          <cell r="G1692">
            <v>31047</v>
          </cell>
          <cell r="I1692" t="str">
            <v>North America</v>
          </cell>
          <cell r="J1692" t="str">
            <v>USA</v>
          </cell>
          <cell r="K1692">
            <v>30497</v>
          </cell>
        </row>
        <row r="1693">
          <cell r="A1693" t="str">
            <v>In service</v>
          </cell>
          <cell r="B1693" t="str">
            <v>Gulfstream Aerospace Gulfstream III</v>
          </cell>
          <cell r="C1693" t="str">
            <v xml:space="preserve"> </v>
          </cell>
          <cell r="D1693">
            <v>1984</v>
          </cell>
          <cell r="E1693" t="str">
            <v>New World Jet Corp</v>
          </cell>
          <cell r="F1693">
            <v>18</v>
          </cell>
          <cell r="G1693">
            <v>31016</v>
          </cell>
          <cell r="I1693" t="str">
            <v>North America</v>
          </cell>
          <cell r="J1693" t="str">
            <v>USA</v>
          </cell>
          <cell r="K1693">
            <v>30132</v>
          </cell>
        </row>
        <row r="1694">
          <cell r="A1694" t="str">
            <v>In service</v>
          </cell>
          <cell r="B1694" t="str">
            <v>Gulfstream Aerospace Gulfstream III</v>
          </cell>
          <cell r="C1694" t="str">
            <v xml:space="preserve"> </v>
          </cell>
          <cell r="D1694">
            <v>1984</v>
          </cell>
          <cell r="E1694" t="str">
            <v>WMA Aviation LLC</v>
          </cell>
          <cell r="F1694">
            <v>18</v>
          </cell>
          <cell r="G1694">
            <v>31047</v>
          </cell>
          <cell r="I1694" t="str">
            <v>North America</v>
          </cell>
          <cell r="J1694" t="str">
            <v>USA</v>
          </cell>
          <cell r="K1694">
            <v>30497</v>
          </cell>
        </row>
        <row r="1695">
          <cell r="A1695" t="str">
            <v>In service</v>
          </cell>
          <cell r="B1695" t="str">
            <v>Gulfstream Aerospace Gulfstream III</v>
          </cell>
          <cell r="C1695" t="str">
            <v xml:space="preserve"> </v>
          </cell>
          <cell r="D1695">
            <v>1984</v>
          </cell>
          <cell r="E1695" t="str">
            <v>Jet Place Inc</v>
          </cell>
          <cell r="F1695">
            <v>18</v>
          </cell>
          <cell r="G1695">
            <v>31047</v>
          </cell>
          <cell r="I1695" t="str">
            <v>North America</v>
          </cell>
          <cell r="J1695" t="str">
            <v>USA</v>
          </cell>
          <cell r="K1695">
            <v>30132</v>
          </cell>
        </row>
        <row r="1696">
          <cell r="A1696" t="str">
            <v>In service</v>
          </cell>
          <cell r="B1696" t="str">
            <v>Gulfstream Aerospace Gulfstream III</v>
          </cell>
          <cell r="C1696" t="str">
            <v xml:space="preserve"> </v>
          </cell>
          <cell r="D1696">
            <v>1984</v>
          </cell>
          <cell r="E1696" t="str">
            <v>Bay Hawk LLC</v>
          </cell>
          <cell r="F1696">
            <v>18</v>
          </cell>
          <cell r="G1696">
            <v>31136</v>
          </cell>
          <cell r="I1696" t="str">
            <v>North America</v>
          </cell>
          <cell r="J1696" t="str">
            <v>USA</v>
          </cell>
          <cell r="K1696">
            <v>30497</v>
          </cell>
        </row>
        <row r="1697">
          <cell r="A1697" t="str">
            <v>In service</v>
          </cell>
          <cell r="B1697" t="str">
            <v>Gulfstream Aerospace Gulfstream III</v>
          </cell>
          <cell r="C1697" t="str">
            <v xml:space="preserve"> </v>
          </cell>
          <cell r="D1697">
            <v>1984</v>
          </cell>
          <cell r="E1697" t="str">
            <v>Corporate Fleet Services</v>
          </cell>
          <cell r="F1697">
            <v>18</v>
          </cell>
          <cell r="G1697">
            <v>31047</v>
          </cell>
          <cell r="I1697" t="str">
            <v>North America</v>
          </cell>
          <cell r="J1697" t="str">
            <v>USA</v>
          </cell>
          <cell r="K1697">
            <v>30132</v>
          </cell>
        </row>
        <row r="1698">
          <cell r="A1698" t="str">
            <v>In service</v>
          </cell>
          <cell r="B1698" t="str">
            <v>Gulfstream Aerospace Gulfstream III</v>
          </cell>
          <cell r="C1698" t="str">
            <v xml:space="preserve"> </v>
          </cell>
          <cell r="D1698">
            <v>1985</v>
          </cell>
          <cell r="E1698" t="str">
            <v>D'Artagnan LLC</v>
          </cell>
          <cell r="F1698">
            <v>17</v>
          </cell>
          <cell r="G1698">
            <v>31670</v>
          </cell>
          <cell r="I1698" t="str">
            <v>North America</v>
          </cell>
          <cell r="J1698" t="str">
            <v>USA</v>
          </cell>
          <cell r="K1698">
            <v>30863</v>
          </cell>
        </row>
        <row r="1699">
          <cell r="A1699" t="str">
            <v>In service</v>
          </cell>
          <cell r="B1699" t="str">
            <v>Gulfstream Aerospace Gulfstream III</v>
          </cell>
          <cell r="C1699" t="str">
            <v xml:space="preserve"> </v>
          </cell>
          <cell r="D1699">
            <v>1985</v>
          </cell>
          <cell r="E1699" t="str">
            <v>Tesoro Petroleum Co Inc</v>
          </cell>
          <cell r="F1699">
            <v>17</v>
          </cell>
          <cell r="G1699">
            <v>31137</v>
          </cell>
          <cell r="I1699" t="str">
            <v>North America</v>
          </cell>
          <cell r="J1699" t="str">
            <v>USA</v>
          </cell>
          <cell r="K1699">
            <v>30497</v>
          </cell>
        </row>
        <row r="1700">
          <cell r="A1700" t="str">
            <v>In service</v>
          </cell>
          <cell r="B1700" t="str">
            <v>Gulfstream Aerospace Gulfstream III</v>
          </cell>
          <cell r="C1700" t="str">
            <v xml:space="preserve"> </v>
          </cell>
          <cell r="D1700">
            <v>1985</v>
          </cell>
          <cell r="E1700" t="str">
            <v>Mandalay Resort Group</v>
          </cell>
          <cell r="F1700">
            <v>17</v>
          </cell>
          <cell r="G1700">
            <v>31137</v>
          </cell>
          <cell r="I1700" t="str">
            <v>North America</v>
          </cell>
          <cell r="J1700" t="str">
            <v>USA</v>
          </cell>
          <cell r="K1700">
            <v>30497</v>
          </cell>
        </row>
        <row r="1701">
          <cell r="A1701" t="str">
            <v>In service</v>
          </cell>
          <cell r="B1701" t="str">
            <v>Gulfstream Aerospace Gulfstream III</v>
          </cell>
          <cell r="C1701" t="str">
            <v xml:space="preserve"> </v>
          </cell>
          <cell r="D1701">
            <v>1985</v>
          </cell>
          <cell r="E1701" t="str">
            <v>Verizon Southwest Inc</v>
          </cell>
          <cell r="F1701">
            <v>17</v>
          </cell>
          <cell r="G1701">
            <v>31137</v>
          </cell>
          <cell r="I1701" t="str">
            <v>North America</v>
          </cell>
          <cell r="J1701" t="str">
            <v>USA</v>
          </cell>
          <cell r="K1701">
            <v>30497</v>
          </cell>
        </row>
        <row r="1702">
          <cell r="A1702" t="str">
            <v>In service</v>
          </cell>
          <cell r="B1702" t="str">
            <v>Gulfstream Aerospace Gulfstream III</v>
          </cell>
          <cell r="C1702" t="str">
            <v xml:space="preserve"> </v>
          </cell>
          <cell r="D1702">
            <v>1985</v>
          </cell>
          <cell r="E1702" t="str">
            <v>MidSouth Services Inc</v>
          </cell>
          <cell r="F1702">
            <v>17</v>
          </cell>
          <cell r="G1702">
            <v>31259</v>
          </cell>
          <cell r="I1702" t="str">
            <v>North America</v>
          </cell>
          <cell r="J1702" t="str">
            <v>USA</v>
          </cell>
          <cell r="K1702">
            <v>30863</v>
          </cell>
        </row>
        <row r="1703">
          <cell r="A1703" t="str">
            <v>In service</v>
          </cell>
          <cell r="B1703" t="str">
            <v>Gulfstream Aerospace Gulfstream III</v>
          </cell>
          <cell r="C1703" t="str">
            <v xml:space="preserve"> </v>
          </cell>
          <cell r="D1703">
            <v>1985</v>
          </cell>
          <cell r="E1703" t="str">
            <v>Parkside Aviation Corp</v>
          </cell>
          <cell r="F1703">
            <v>17</v>
          </cell>
          <cell r="G1703">
            <v>31198</v>
          </cell>
          <cell r="I1703" t="str">
            <v>North America</v>
          </cell>
          <cell r="J1703" t="str">
            <v>USA</v>
          </cell>
          <cell r="K1703">
            <v>30497</v>
          </cell>
        </row>
        <row r="1704">
          <cell r="A1704" t="str">
            <v>In service</v>
          </cell>
          <cell r="B1704" t="str">
            <v>Gulfstream Aerospace Gulfstream III</v>
          </cell>
          <cell r="C1704" t="str">
            <v xml:space="preserve"> </v>
          </cell>
          <cell r="D1704">
            <v>1985</v>
          </cell>
          <cell r="E1704" t="str">
            <v>Flying Eagle Aviation Inc</v>
          </cell>
          <cell r="F1704">
            <v>17</v>
          </cell>
          <cell r="G1704">
            <v>31228</v>
          </cell>
          <cell r="I1704" t="str">
            <v>North America</v>
          </cell>
          <cell r="J1704" t="str">
            <v>USA</v>
          </cell>
          <cell r="K1704">
            <v>30497</v>
          </cell>
        </row>
        <row r="1705">
          <cell r="A1705" t="str">
            <v>In service</v>
          </cell>
          <cell r="B1705" t="str">
            <v>Gulfstream Aerospace Gulfstream III</v>
          </cell>
          <cell r="C1705" t="str">
            <v xml:space="preserve"> </v>
          </cell>
          <cell r="D1705">
            <v>1985</v>
          </cell>
          <cell r="E1705" t="str">
            <v>Government of Ivory Coast</v>
          </cell>
          <cell r="F1705">
            <v>17</v>
          </cell>
          <cell r="G1705">
            <v>31228</v>
          </cell>
          <cell r="I1705" t="str">
            <v>Africa</v>
          </cell>
          <cell r="J1705" t="str">
            <v>Ivory Coast</v>
          </cell>
          <cell r="K1705">
            <v>30497</v>
          </cell>
        </row>
        <row r="1706">
          <cell r="A1706" t="str">
            <v>In service</v>
          </cell>
          <cell r="B1706" t="str">
            <v>Gulfstream Aerospace Gulfstream III</v>
          </cell>
          <cell r="C1706" t="str">
            <v xml:space="preserve"> </v>
          </cell>
          <cell r="D1706">
            <v>1985</v>
          </cell>
          <cell r="E1706" t="str">
            <v>Globair Bermuda</v>
          </cell>
          <cell r="F1706">
            <v>17</v>
          </cell>
          <cell r="G1706">
            <v>31259</v>
          </cell>
          <cell r="I1706" t="str">
            <v>Latin America and Caribbean</v>
          </cell>
          <cell r="J1706" t="str">
            <v>Bermuda</v>
          </cell>
          <cell r="K1706">
            <v>30497</v>
          </cell>
        </row>
        <row r="1707">
          <cell r="A1707" t="str">
            <v>In service</v>
          </cell>
          <cell r="B1707" t="str">
            <v>Gulfstream Aerospace Gulfstream III</v>
          </cell>
          <cell r="C1707" t="str">
            <v xml:space="preserve"> </v>
          </cell>
          <cell r="D1707">
            <v>1985</v>
          </cell>
          <cell r="E1707" t="str">
            <v>Caesar's Entertainment Inc</v>
          </cell>
          <cell r="F1707">
            <v>17</v>
          </cell>
          <cell r="G1707">
            <v>31381</v>
          </cell>
          <cell r="I1707" t="str">
            <v>North America</v>
          </cell>
          <cell r="J1707" t="str">
            <v>USA</v>
          </cell>
          <cell r="K1707">
            <v>30497</v>
          </cell>
        </row>
        <row r="1708">
          <cell r="A1708" t="str">
            <v>In service</v>
          </cell>
          <cell r="B1708" t="str">
            <v>Gulfstream Aerospace Gulfstream III</v>
          </cell>
          <cell r="C1708" t="str">
            <v xml:space="preserve"> </v>
          </cell>
          <cell r="D1708">
            <v>1985</v>
          </cell>
          <cell r="E1708" t="str">
            <v>TAZ Charter Services LLC</v>
          </cell>
          <cell r="F1708">
            <v>17</v>
          </cell>
          <cell r="G1708">
            <v>31381</v>
          </cell>
          <cell r="I1708" t="str">
            <v>North America</v>
          </cell>
          <cell r="J1708" t="str">
            <v>USA</v>
          </cell>
          <cell r="K1708">
            <v>30863</v>
          </cell>
        </row>
        <row r="1709">
          <cell r="A1709" t="str">
            <v>In service</v>
          </cell>
          <cell r="B1709" t="str">
            <v>Gulfstream Aerospace Gulfstream III</v>
          </cell>
          <cell r="C1709" t="str">
            <v xml:space="preserve"> </v>
          </cell>
          <cell r="D1709">
            <v>1985</v>
          </cell>
          <cell r="E1709" t="str">
            <v>Mercury Communications Inc</v>
          </cell>
          <cell r="F1709">
            <v>17</v>
          </cell>
          <cell r="G1709">
            <v>31517</v>
          </cell>
          <cell r="I1709" t="str">
            <v>North America</v>
          </cell>
          <cell r="J1709" t="str">
            <v>USA</v>
          </cell>
          <cell r="K1709">
            <v>30863</v>
          </cell>
        </row>
        <row r="1710">
          <cell r="A1710" t="str">
            <v>In service</v>
          </cell>
          <cell r="B1710" t="str">
            <v>Gulfstream Aerospace Gulfstream III</v>
          </cell>
          <cell r="C1710" t="str">
            <v xml:space="preserve"> </v>
          </cell>
          <cell r="D1710">
            <v>1985</v>
          </cell>
          <cell r="E1710" t="str">
            <v>Hill Air Corp</v>
          </cell>
          <cell r="F1710">
            <v>17</v>
          </cell>
          <cell r="G1710">
            <v>31517</v>
          </cell>
          <cell r="I1710" t="str">
            <v>North America</v>
          </cell>
          <cell r="J1710" t="str">
            <v>USA</v>
          </cell>
          <cell r="K1710">
            <v>31228</v>
          </cell>
        </row>
        <row r="1711">
          <cell r="A1711" t="str">
            <v>In service</v>
          </cell>
          <cell r="B1711" t="str">
            <v>Gulfstream Aerospace Gulfstream III</v>
          </cell>
          <cell r="C1711" t="str">
            <v xml:space="preserve"> </v>
          </cell>
          <cell r="D1711">
            <v>1985</v>
          </cell>
          <cell r="E1711" t="str">
            <v>Thompson Tractor Co</v>
          </cell>
          <cell r="F1711">
            <v>17</v>
          </cell>
          <cell r="G1711">
            <v>31344</v>
          </cell>
          <cell r="I1711" t="str">
            <v>North America</v>
          </cell>
          <cell r="J1711" t="str">
            <v>USA</v>
          </cell>
          <cell r="K1711">
            <v>30863</v>
          </cell>
        </row>
        <row r="1712">
          <cell r="A1712" t="str">
            <v>In service</v>
          </cell>
          <cell r="B1712" t="str">
            <v>Gulfstream Aerospace Gulfstream III</v>
          </cell>
          <cell r="C1712" t="str">
            <v xml:space="preserve"> </v>
          </cell>
          <cell r="D1712">
            <v>1985</v>
          </cell>
          <cell r="E1712" t="str">
            <v>Huffair Inc</v>
          </cell>
          <cell r="F1712">
            <v>17</v>
          </cell>
          <cell r="G1712">
            <v>31412</v>
          </cell>
          <cell r="I1712" t="str">
            <v>North America</v>
          </cell>
          <cell r="J1712" t="str">
            <v>USA</v>
          </cell>
        </row>
        <row r="1713">
          <cell r="A1713" t="str">
            <v>In service</v>
          </cell>
          <cell r="B1713" t="str">
            <v>Gulfstream Aerospace Gulfstream III</v>
          </cell>
          <cell r="C1713" t="str">
            <v xml:space="preserve"> </v>
          </cell>
          <cell r="D1713">
            <v>1985</v>
          </cell>
          <cell r="E1713" t="str">
            <v>Government of Angola</v>
          </cell>
          <cell r="F1713">
            <v>17</v>
          </cell>
          <cell r="G1713">
            <v>31547</v>
          </cell>
          <cell r="I1713" t="str">
            <v>Africa</v>
          </cell>
          <cell r="J1713" t="str">
            <v>Angola</v>
          </cell>
          <cell r="K1713">
            <v>30863</v>
          </cell>
        </row>
        <row r="1714">
          <cell r="A1714" t="str">
            <v>In service</v>
          </cell>
          <cell r="B1714" t="str">
            <v>Gulfstream Aerospace Gulfstream III</v>
          </cell>
          <cell r="C1714" t="str">
            <v xml:space="preserve"> </v>
          </cell>
          <cell r="D1714">
            <v>1986</v>
          </cell>
          <cell r="E1714" t="str">
            <v>Italian Air Force</v>
          </cell>
          <cell r="F1714">
            <v>16</v>
          </cell>
          <cell r="G1714">
            <v>31761</v>
          </cell>
          <cell r="I1714" t="str">
            <v>Europe</v>
          </cell>
          <cell r="J1714" t="str">
            <v>Italy</v>
          </cell>
          <cell r="K1714">
            <v>30863</v>
          </cell>
        </row>
        <row r="1715">
          <cell r="A1715" t="str">
            <v>In service</v>
          </cell>
          <cell r="B1715" t="str">
            <v>Gulfstream Aerospace Gulfstream III</v>
          </cell>
          <cell r="C1715" t="str">
            <v xml:space="preserve"> </v>
          </cell>
          <cell r="D1715">
            <v>1986</v>
          </cell>
          <cell r="E1715" t="str">
            <v>Bausch &amp; Lomb Inc</v>
          </cell>
          <cell r="F1715">
            <v>16</v>
          </cell>
          <cell r="G1715">
            <v>31674</v>
          </cell>
          <cell r="I1715" t="str">
            <v>North America</v>
          </cell>
          <cell r="J1715" t="str">
            <v>USA</v>
          </cell>
          <cell r="K1715">
            <v>31228</v>
          </cell>
        </row>
        <row r="1716">
          <cell r="A1716" t="str">
            <v>In service</v>
          </cell>
          <cell r="B1716" t="str">
            <v>Gulfstream Aerospace Gulfstream III</v>
          </cell>
          <cell r="C1716" t="str">
            <v xml:space="preserve"> </v>
          </cell>
          <cell r="D1716">
            <v>1986</v>
          </cell>
          <cell r="E1716" t="str">
            <v>Parkview Acquisitions Inc</v>
          </cell>
          <cell r="F1716">
            <v>16</v>
          </cell>
          <cell r="G1716">
            <v>31523</v>
          </cell>
          <cell r="I1716" t="str">
            <v>North America</v>
          </cell>
          <cell r="J1716" t="str">
            <v>USA</v>
          </cell>
          <cell r="K1716">
            <v>30863</v>
          </cell>
        </row>
        <row r="1717">
          <cell r="A1717" t="str">
            <v>In service</v>
          </cell>
          <cell r="B1717" t="str">
            <v>Gulfstream Aerospace Gulfstream III</v>
          </cell>
          <cell r="C1717" t="str">
            <v xml:space="preserve"> </v>
          </cell>
          <cell r="D1717">
            <v>1986</v>
          </cell>
          <cell r="E1717" t="str">
            <v>Rida Aviation Ltd</v>
          </cell>
          <cell r="F1717">
            <v>16</v>
          </cell>
          <cell r="G1717">
            <v>31560</v>
          </cell>
          <cell r="I1717" t="str">
            <v>Latin America and Caribbean</v>
          </cell>
          <cell r="J1717" t="str">
            <v>Bermuda</v>
          </cell>
          <cell r="K1717">
            <v>31228</v>
          </cell>
        </row>
        <row r="1718">
          <cell r="A1718" t="str">
            <v>In service</v>
          </cell>
          <cell r="B1718" t="str">
            <v>Gulfstream Aerospace Gulfstream III</v>
          </cell>
          <cell r="C1718" t="str">
            <v xml:space="preserve"> </v>
          </cell>
          <cell r="D1718">
            <v>1986</v>
          </cell>
          <cell r="E1718" t="str">
            <v>McWane Inc</v>
          </cell>
          <cell r="F1718">
            <v>16</v>
          </cell>
          <cell r="G1718">
            <v>31774</v>
          </cell>
          <cell r="I1718" t="str">
            <v>North America</v>
          </cell>
          <cell r="J1718" t="str">
            <v>USA</v>
          </cell>
        </row>
        <row r="1719">
          <cell r="A1719" t="str">
            <v>In service</v>
          </cell>
          <cell r="B1719" t="str">
            <v>Gulfstream Aerospace Gulfstream III</v>
          </cell>
          <cell r="C1719" t="str">
            <v xml:space="preserve"> </v>
          </cell>
          <cell r="D1719">
            <v>1986</v>
          </cell>
          <cell r="E1719" t="str">
            <v>Government of Cameroon</v>
          </cell>
          <cell r="F1719">
            <v>16</v>
          </cell>
          <cell r="G1719">
            <v>31578</v>
          </cell>
          <cell r="I1719" t="str">
            <v>Africa</v>
          </cell>
          <cell r="J1719" t="str">
            <v>Cameroon</v>
          </cell>
          <cell r="K1719">
            <v>30863</v>
          </cell>
        </row>
        <row r="1720">
          <cell r="A1720" t="str">
            <v>In service</v>
          </cell>
          <cell r="B1720" t="str">
            <v>Gulfstream Aerospace Gulfstream III</v>
          </cell>
          <cell r="C1720" t="str">
            <v xml:space="preserve"> </v>
          </cell>
          <cell r="D1720">
            <v>1986</v>
          </cell>
          <cell r="E1720" t="str">
            <v>Walter McPhail</v>
          </cell>
          <cell r="F1720">
            <v>16</v>
          </cell>
          <cell r="G1720">
            <v>31670</v>
          </cell>
          <cell r="I1720" t="str">
            <v>North America</v>
          </cell>
          <cell r="J1720" t="str">
            <v>USA</v>
          </cell>
          <cell r="K1720">
            <v>30863</v>
          </cell>
        </row>
        <row r="1721">
          <cell r="A1721" t="str">
            <v>In service</v>
          </cell>
          <cell r="B1721" t="str">
            <v>Gulfstream Aerospace Gulfstream III</v>
          </cell>
          <cell r="C1721" t="str">
            <v xml:space="preserve"> </v>
          </cell>
          <cell r="D1721">
            <v>1986</v>
          </cell>
          <cell r="E1721" t="str">
            <v>Commerce Leasing Co</v>
          </cell>
          <cell r="F1721">
            <v>16</v>
          </cell>
          <cell r="G1721">
            <v>31729</v>
          </cell>
          <cell r="I1721" t="str">
            <v>North America</v>
          </cell>
          <cell r="J1721" t="str">
            <v>USA</v>
          </cell>
          <cell r="K1721">
            <v>31228</v>
          </cell>
        </row>
        <row r="1722">
          <cell r="A1722" t="str">
            <v>In service</v>
          </cell>
          <cell r="B1722" t="str">
            <v>Gulfstream Aerospace Gulfstream III</v>
          </cell>
          <cell r="C1722" t="str">
            <v xml:space="preserve"> </v>
          </cell>
          <cell r="D1722">
            <v>1986</v>
          </cell>
          <cell r="E1722" t="str">
            <v>Countrywide Home Loans Inc</v>
          </cell>
          <cell r="F1722">
            <v>16</v>
          </cell>
          <cell r="G1722">
            <v>31700</v>
          </cell>
          <cell r="I1722" t="str">
            <v>North America</v>
          </cell>
          <cell r="J1722" t="str">
            <v>USA</v>
          </cell>
          <cell r="K1722">
            <v>31228</v>
          </cell>
        </row>
        <row r="1723">
          <cell r="A1723" t="str">
            <v>In service</v>
          </cell>
          <cell r="B1723" t="str">
            <v>Gulfstream Aerospace Gulfstream III</v>
          </cell>
          <cell r="C1723" t="str">
            <v xml:space="preserve"> </v>
          </cell>
          <cell r="D1723">
            <v>1986</v>
          </cell>
          <cell r="E1723" t="str">
            <v>Franklin/Templeton Travel Inc</v>
          </cell>
          <cell r="F1723">
            <v>16</v>
          </cell>
          <cell r="G1723">
            <v>31702</v>
          </cell>
          <cell r="I1723" t="str">
            <v>North America</v>
          </cell>
          <cell r="J1723" t="str">
            <v>USA</v>
          </cell>
          <cell r="K1723">
            <v>31228</v>
          </cell>
        </row>
        <row r="1724">
          <cell r="A1724" t="str">
            <v>In service</v>
          </cell>
          <cell r="B1724" t="str">
            <v>Gulfstream Aerospace Gulfstream III</v>
          </cell>
          <cell r="C1724" t="str">
            <v xml:space="preserve"> </v>
          </cell>
          <cell r="D1724">
            <v>1986</v>
          </cell>
          <cell r="E1724" t="str">
            <v>Ferrell Schultz Aviation LLC</v>
          </cell>
          <cell r="F1724">
            <v>16</v>
          </cell>
          <cell r="G1724">
            <v>31728</v>
          </cell>
          <cell r="I1724" t="str">
            <v>North America</v>
          </cell>
          <cell r="J1724" t="str">
            <v>USA</v>
          </cell>
          <cell r="K1724">
            <v>31228</v>
          </cell>
        </row>
        <row r="1725">
          <cell r="A1725" t="str">
            <v>In service</v>
          </cell>
          <cell r="B1725" t="str">
            <v>Gulfstream Aerospace Gulfstream III</v>
          </cell>
          <cell r="C1725" t="str">
            <v xml:space="preserve"> </v>
          </cell>
          <cell r="D1725">
            <v>1986</v>
          </cell>
          <cell r="E1725" t="str">
            <v>TC Aviation Inc</v>
          </cell>
          <cell r="F1725">
            <v>16</v>
          </cell>
          <cell r="G1725">
            <v>32126</v>
          </cell>
          <cell r="I1725" t="str">
            <v>North America</v>
          </cell>
          <cell r="J1725" t="str">
            <v>USA</v>
          </cell>
          <cell r="K1725">
            <v>31593</v>
          </cell>
        </row>
        <row r="1726">
          <cell r="A1726" t="str">
            <v>In service</v>
          </cell>
          <cell r="B1726" t="str">
            <v>Gulfstream Aerospace Gulfstream III</v>
          </cell>
          <cell r="C1726" t="str">
            <v xml:space="preserve"> </v>
          </cell>
          <cell r="D1726">
            <v>1986</v>
          </cell>
          <cell r="E1726" t="str">
            <v>Ghana Air Force</v>
          </cell>
          <cell r="F1726">
            <v>16</v>
          </cell>
          <cell r="G1726">
            <v>31770</v>
          </cell>
          <cell r="I1726" t="str">
            <v>Africa</v>
          </cell>
          <cell r="J1726" t="str">
            <v>Ghana</v>
          </cell>
        </row>
        <row r="1727">
          <cell r="A1727" t="str">
            <v>In service</v>
          </cell>
          <cell r="B1727" t="str">
            <v>Gulfstream Aerospace Gulfstream III</v>
          </cell>
          <cell r="C1727" t="str">
            <v xml:space="preserve"> </v>
          </cell>
          <cell r="D1727">
            <v>1987</v>
          </cell>
          <cell r="E1727" t="str">
            <v xml:space="preserve">Independent Aviation Services Ltd Coutts (Cayman) </v>
          </cell>
          <cell r="F1727">
            <v>15</v>
          </cell>
          <cell r="G1727">
            <v>32134</v>
          </cell>
          <cell r="I1727" t="str">
            <v>Latin America and Caribbean</v>
          </cell>
          <cell r="J1727" t="str">
            <v>Cayman Islands</v>
          </cell>
        </row>
        <row r="1728">
          <cell r="A1728" t="str">
            <v>In service</v>
          </cell>
          <cell r="B1728" t="str">
            <v>Gulfstream Aerospace Gulfstream III</v>
          </cell>
          <cell r="C1728" t="str">
            <v xml:space="preserve"> </v>
          </cell>
          <cell r="D1728">
            <v>1981</v>
          </cell>
          <cell r="E1728" t="str">
            <v>Nie Planes LLC</v>
          </cell>
          <cell r="F1728">
            <v>21</v>
          </cell>
          <cell r="G1728">
            <v>29654</v>
          </cell>
          <cell r="I1728" t="str">
            <v>North America</v>
          </cell>
          <cell r="J1728" t="str">
            <v>USA</v>
          </cell>
          <cell r="K1728">
            <v>29036</v>
          </cell>
        </row>
        <row r="1729">
          <cell r="A1729" t="str">
            <v>In service</v>
          </cell>
          <cell r="B1729" t="str">
            <v>Gulfstream Aerospace Gulfstream III</v>
          </cell>
          <cell r="C1729" t="str">
            <v>(SCD)</v>
          </cell>
          <cell r="D1729">
            <v>1979</v>
          </cell>
          <cell r="E1729" t="str">
            <v>Royal Danish Air Force</v>
          </cell>
          <cell r="F1729">
            <v>23</v>
          </cell>
          <cell r="G1729">
            <v>30056</v>
          </cell>
          <cell r="H1729" t="str">
            <v>(SCD)</v>
          </cell>
          <cell r="I1729" t="str">
            <v>Europe</v>
          </cell>
          <cell r="J1729" t="str">
            <v>Denmark</v>
          </cell>
        </row>
        <row r="1730">
          <cell r="A1730" t="str">
            <v>In service</v>
          </cell>
          <cell r="B1730" t="str">
            <v>Gulfstream Aerospace Gulfstream III</v>
          </cell>
          <cell r="C1730" t="str">
            <v>(SCD)</v>
          </cell>
          <cell r="D1730">
            <v>1980</v>
          </cell>
          <cell r="E1730" t="str">
            <v>Royal Danish Air Force</v>
          </cell>
          <cell r="F1730">
            <v>22</v>
          </cell>
          <cell r="G1730">
            <v>29465</v>
          </cell>
          <cell r="H1730" t="str">
            <v>(SCD)</v>
          </cell>
          <cell r="I1730" t="str">
            <v>Europe</v>
          </cell>
          <cell r="J1730" t="str">
            <v>Denmark</v>
          </cell>
          <cell r="K1730">
            <v>29036</v>
          </cell>
        </row>
        <row r="1731">
          <cell r="A1731" t="str">
            <v>In service</v>
          </cell>
          <cell r="B1731" t="str">
            <v>Gulfstream Aerospace Gulfstream III</v>
          </cell>
          <cell r="C1731" t="str">
            <v>(SCD)</v>
          </cell>
          <cell r="D1731">
            <v>1986</v>
          </cell>
          <cell r="E1731" t="str">
            <v>Indian Air Force</v>
          </cell>
          <cell r="F1731">
            <v>16</v>
          </cell>
          <cell r="G1731">
            <v>31770</v>
          </cell>
          <cell r="H1731" t="str">
            <v>(SCD)</v>
          </cell>
          <cell r="I1731" t="str">
            <v>Asia</v>
          </cell>
          <cell r="J1731" t="str">
            <v>India</v>
          </cell>
        </row>
        <row r="1732">
          <cell r="A1732" t="str">
            <v>In service</v>
          </cell>
          <cell r="B1732" t="str">
            <v>Gulfstream Aerospace Gulfstream III</v>
          </cell>
          <cell r="C1732" t="str">
            <v>(SCD)</v>
          </cell>
          <cell r="D1732">
            <v>1986</v>
          </cell>
          <cell r="E1732" t="str">
            <v>Indian Air Force</v>
          </cell>
          <cell r="F1732">
            <v>16</v>
          </cell>
          <cell r="G1732">
            <v>31776</v>
          </cell>
          <cell r="H1732" t="str">
            <v>(SCD)</v>
          </cell>
          <cell r="I1732" t="str">
            <v>Asia</v>
          </cell>
          <cell r="J1732" t="str">
            <v>India</v>
          </cell>
        </row>
        <row r="1733">
          <cell r="A1733" t="str">
            <v>In service</v>
          </cell>
          <cell r="B1733" t="str">
            <v>Gulfstream Aerospace Gulfstream III</v>
          </cell>
          <cell r="C1733" t="str">
            <v>C-20A</v>
          </cell>
          <cell r="D1733">
            <v>1983</v>
          </cell>
          <cell r="E1733" t="str">
            <v>US Air Force</v>
          </cell>
          <cell r="F1733">
            <v>19</v>
          </cell>
          <cell r="G1733">
            <v>30619</v>
          </cell>
          <cell r="H1733" t="str">
            <v>C-20A</v>
          </cell>
          <cell r="I1733" t="str">
            <v>North America</v>
          </cell>
          <cell r="J1733" t="str">
            <v>USA</v>
          </cell>
          <cell r="K1733">
            <v>30474</v>
          </cell>
        </row>
        <row r="1734">
          <cell r="A1734" t="str">
            <v>In service</v>
          </cell>
          <cell r="B1734" t="str">
            <v>Gulfstream Aerospace Gulfstream III</v>
          </cell>
          <cell r="C1734" t="str">
            <v>C-20A</v>
          </cell>
          <cell r="D1734">
            <v>1983</v>
          </cell>
          <cell r="E1734" t="str">
            <v>US Air Force</v>
          </cell>
          <cell r="F1734">
            <v>19</v>
          </cell>
          <cell r="G1734">
            <v>30589</v>
          </cell>
          <cell r="H1734" t="str">
            <v>C-20A</v>
          </cell>
          <cell r="I1734" t="str">
            <v>North America</v>
          </cell>
          <cell r="J1734" t="str">
            <v>USA</v>
          </cell>
          <cell r="K1734">
            <v>30474</v>
          </cell>
        </row>
        <row r="1735">
          <cell r="A1735" t="str">
            <v>In service</v>
          </cell>
          <cell r="B1735" t="str">
            <v>Gulfstream Aerospace Gulfstream III</v>
          </cell>
          <cell r="C1735" t="str">
            <v>C-20A</v>
          </cell>
          <cell r="D1735">
            <v>1983</v>
          </cell>
          <cell r="E1735" t="str">
            <v>US Air Force</v>
          </cell>
          <cell r="F1735">
            <v>19</v>
          </cell>
          <cell r="G1735">
            <v>30650</v>
          </cell>
          <cell r="H1735" t="str">
            <v>C-20A</v>
          </cell>
          <cell r="I1735" t="str">
            <v>North America</v>
          </cell>
          <cell r="J1735" t="str">
            <v>USA</v>
          </cell>
          <cell r="K1735">
            <v>30474</v>
          </cell>
        </row>
        <row r="1736">
          <cell r="A1736" t="str">
            <v>In service</v>
          </cell>
          <cell r="B1736" t="str">
            <v>Gulfstream Aerospace Gulfstream III</v>
          </cell>
          <cell r="C1736" t="str">
            <v>C-20B</v>
          </cell>
          <cell r="D1736">
            <v>1985</v>
          </cell>
          <cell r="E1736" t="str">
            <v>Regal Aviation LLC</v>
          </cell>
          <cell r="F1736">
            <v>17</v>
          </cell>
          <cell r="G1736">
            <v>31851</v>
          </cell>
          <cell r="I1736" t="str">
            <v>North America</v>
          </cell>
          <cell r="J1736" t="str">
            <v>USA</v>
          </cell>
          <cell r="K1736">
            <v>31427</v>
          </cell>
        </row>
        <row r="1737">
          <cell r="A1737" t="str">
            <v>In service</v>
          </cell>
          <cell r="B1737" t="str">
            <v>Gulfstream Aerospace Gulfstream III</v>
          </cell>
          <cell r="C1737" t="str">
            <v>C-20B</v>
          </cell>
          <cell r="D1737">
            <v>1985</v>
          </cell>
          <cell r="E1737" t="str">
            <v>US Air Force</v>
          </cell>
          <cell r="F1737">
            <v>17</v>
          </cell>
          <cell r="G1737">
            <v>31882</v>
          </cell>
          <cell r="H1737" t="str">
            <v>C-20B</v>
          </cell>
          <cell r="I1737" t="str">
            <v>North America</v>
          </cell>
          <cell r="J1737" t="str">
            <v>USA</v>
          </cell>
          <cell r="K1737">
            <v>31427</v>
          </cell>
        </row>
        <row r="1738">
          <cell r="A1738" t="str">
            <v>In service</v>
          </cell>
          <cell r="B1738" t="str">
            <v>Gulfstream Aerospace Gulfstream III</v>
          </cell>
          <cell r="C1738" t="str">
            <v>C-20B</v>
          </cell>
          <cell r="D1738">
            <v>1985</v>
          </cell>
          <cell r="E1738" t="str">
            <v>US Air Force</v>
          </cell>
          <cell r="F1738">
            <v>17</v>
          </cell>
          <cell r="G1738">
            <v>31912</v>
          </cell>
          <cell r="H1738" t="str">
            <v>C-20B</v>
          </cell>
          <cell r="I1738" t="str">
            <v>North America</v>
          </cell>
          <cell r="J1738" t="str">
            <v>USA</v>
          </cell>
          <cell r="K1738">
            <v>31427</v>
          </cell>
        </row>
        <row r="1739">
          <cell r="A1739" t="str">
            <v>In service</v>
          </cell>
          <cell r="B1739" t="str">
            <v>Gulfstream Aerospace Gulfstream III</v>
          </cell>
          <cell r="C1739" t="str">
            <v>C-20B</v>
          </cell>
          <cell r="D1739">
            <v>1985</v>
          </cell>
          <cell r="E1739" t="str">
            <v>US Air Force</v>
          </cell>
          <cell r="F1739">
            <v>17</v>
          </cell>
          <cell r="G1739">
            <v>32004</v>
          </cell>
          <cell r="H1739" t="str">
            <v>C-20B</v>
          </cell>
          <cell r="I1739" t="str">
            <v>North America</v>
          </cell>
          <cell r="J1739" t="str">
            <v>USA</v>
          </cell>
          <cell r="K1739">
            <v>31427</v>
          </cell>
        </row>
        <row r="1740">
          <cell r="A1740" t="str">
            <v>In service</v>
          </cell>
          <cell r="B1740" t="str">
            <v>Gulfstream Aerospace Gulfstream III</v>
          </cell>
          <cell r="C1740" t="str">
            <v>C-20B</v>
          </cell>
          <cell r="D1740">
            <v>1985</v>
          </cell>
          <cell r="E1740" t="str">
            <v>US Air Force</v>
          </cell>
          <cell r="F1740">
            <v>17</v>
          </cell>
          <cell r="G1740">
            <v>32035</v>
          </cell>
          <cell r="H1740" t="str">
            <v>C-20B</v>
          </cell>
          <cell r="I1740" t="str">
            <v>North America</v>
          </cell>
          <cell r="J1740" t="str">
            <v>USA</v>
          </cell>
          <cell r="K1740">
            <v>31427</v>
          </cell>
        </row>
        <row r="1741">
          <cell r="A1741" t="str">
            <v>In service</v>
          </cell>
          <cell r="B1741" t="str">
            <v>Gulfstream Aerospace Gulfstream III</v>
          </cell>
          <cell r="C1741" t="str">
            <v>C-20B</v>
          </cell>
          <cell r="D1741">
            <v>1985</v>
          </cell>
          <cell r="E1741" t="str">
            <v>US Coast Guard</v>
          </cell>
          <cell r="F1741">
            <v>17</v>
          </cell>
          <cell r="G1741">
            <v>32065</v>
          </cell>
          <cell r="H1741" t="str">
            <v>C-20B</v>
          </cell>
          <cell r="I1741" t="str">
            <v>North America</v>
          </cell>
          <cell r="J1741" t="str">
            <v>USA</v>
          </cell>
          <cell r="K1741">
            <v>31427</v>
          </cell>
        </row>
        <row r="1742">
          <cell r="A1742" t="str">
            <v>In service</v>
          </cell>
          <cell r="B1742" t="str">
            <v>Gulfstream Aerospace Gulfstream III</v>
          </cell>
          <cell r="C1742" t="str">
            <v>C-20B</v>
          </cell>
          <cell r="D1742">
            <v>1985</v>
          </cell>
          <cell r="E1742" t="str">
            <v>US Air Force</v>
          </cell>
          <cell r="F1742">
            <v>17</v>
          </cell>
          <cell r="G1742">
            <v>31517</v>
          </cell>
          <cell r="H1742" t="str">
            <v>C-20B</v>
          </cell>
          <cell r="I1742" t="str">
            <v>North America</v>
          </cell>
          <cell r="J1742" t="str">
            <v>USA</v>
          </cell>
          <cell r="K1742">
            <v>31427</v>
          </cell>
        </row>
        <row r="1743">
          <cell r="A1743" t="str">
            <v>In service</v>
          </cell>
          <cell r="B1743" t="str">
            <v>Gulfstream Aerospace Gulfstream III</v>
          </cell>
          <cell r="C1743" t="str">
            <v>C-20C</v>
          </cell>
          <cell r="D1743">
            <v>1985</v>
          </cell>
          <cell r="E1743" t="str">
            <v>US Army</v>
          </cell>
          <cell r="F1743">
            <v>17</v>
          </cell>
          <cell r="G1743">
            <v>31593</v>
          </cell>
          <cell r="H1743" t="str">
            <v>C-20C</v>
          </cell>
          <cell r="I1743" t="str">
            <v>North America</v>
          </cell>
          <cell r="J1743" t="str">
            <v>USA</v>
          </cell>
          <cell r="K1743">
            <v>30863</v>
          </cell>
        </row>
        <row r="1744">
          <cell r="A1744" t="str">
            <v>In service</v>
          </cell>
          <cell r="B1744" t="str">
            <v>Gulfstream Aerospace Gulfstream III</v>
          </cell>
          <cell r="C1744" t="str">
            <v>C-20C</v>
          </cell>
          <cell r="D1744">
            <v>1985</v>
          </cell>
          <cell r="E1744" t="str">
            <v>US Army</v>
          </cell>
          <cell r="F1744">
            <v>17</v>
          </cell>
          <cell r="G1744">
            <v>31593</v>
          </cell>
          <cell r="H1744" t="str">
            <v>C-20C</v>
          </cell>
          <cell r="I1744" t="str">
            <v>North America</v>
          </cell>
          <cell r="J1744" t="str">
            <v>USA</v>
          </cell>
          <cell r="K1744">
            <v>30863</v>
          </cell>
        </row>
        <row r="1745">
          <cell r="A1745" t="str">
            <v>In service</v>
          </cell>
          <cell r="B1745" t="str">
            <v>Gulfstream Aerospace Gulfstream III</v>
          </cell>
          <cell r="C1745" t="str">
            <v>C-20C</v>
          </cell>
          <cell r="D1745">
            <v>1985</v>
          </cell>
          <cell r="E1745" t="str">
            <v>US Air Force</v>
          </cell>
          <cell r="F1745">
            <v>17</v>
          </cell>
          <cell r="G1745">
            <v>31973</v>
          </cell>
          <cell r="H1745" t="str">
            <v>C-20C</v>
          </cell>
          <cell r="I1745" t="str">
            <v>North America</v>
          </cell>
          <cell r="J1745" t="str">
            <v>USA</v>
          </cell>
          <cell r="K1745">
            <v>31593</v>
          </cell>
        </row>
        <row r="1746">
          <cell r="A1746" t="str">
            <v>In service</v>
          </cell>
          <cell r="B1746" t="str">
            <v>Gulfstream Aerospace Gulfstream III</v>
          </cell>
          <cell r="C1746" t="str">
            <v>C-20D</v>
          </cell>
          <cell r="D1746">
            <v>1986</v>
          </cell>
          <cell r="E1746" t="str">
            <v>US Navy</v>
          </cell>
          <cell r="F1746">
            <v>16</v>
          </cell>
          <cell r="G1746">
            <v>31578</v>
          </cell>
          <cell r="H1746" t="str">
            <v>C-20D</v>
          </cell>
          <cell r="I1746" t="str">
            <v>North America</v>
          </cell>
          <cell r="J1746" t="str">
            <v>USA</v>
          </cell>
          <cell r="K1746">
            <v>30863</v>
          </cell>
        </row>
        <row r="1747">
          <cell r="A1747" t="str">
            <v>In service</v>
          </cell>
          <cell r="B1747" t="str">
            <v>Gulfstream Aerospace Gulfstream III</v>
          </cell>
          <cell r="C1747" t="str">
            <v>C-20D</v>
          </cell>
          <cell r="D1747">
            <v>1986</v>
          </cell>
          <cell r="E1747" t="str">
            <v>US Navy</v>
          </cell>
          <cell r="F1747">
            <v>16</v>
          </cell>
          <cell r="G1747">
            <v>31578</v>
          </cell>
          <cell r="H1747" t="str">
            <v>C-20D</v>
          </cell>
          <cell r="I1747" t="str">
            <v>North America</v>
          </cell>
          <cell r="J1747" t="str">
            <v>USA</v>
          </cell>
          <cell r="K1747">
            <v>30863</v>
          </cell>
        </row>
        <row r="1748">
          <cell r="A1748" t="str">
            <v>In service</v>
          </cell>
          <cell r="B1748" t="str">
            <v>Gulfstream Aerospace Gulfstream III</v>
          </cell>
          <cell r="C1748" t="str">
            <v>C-20E</v>
          </cell>
          <cell r="D1748">
            <v>1987</v>
          </cell>
          <cell r="E1748" t="str">
            <v>US Army</v>
          </cell>
          <cell r="F1748">
            <v>15</v>
          </cell>
          <cell r="G1748">
            <v>32278</v>
          </cell>
          <cell r="H1748" t="str">
            <v>C-20E</v>
          </cell>
          <cell r="I1748" t="str">
            <v>North America</v>
          </cell>
          <cell r="J1748" t="str">
            <v>USA</v>
          </cell>
          <cell r="K1748">
            <v>31593</v>
          </cell>
        </row>
        <row r="1749">
          <cell r="A1749" t="str">
            <v>In service</v>
          </cell>
          <cell r="B1749" t="str">
            <v>Gulfstream Aerospace Gulfstream III</v>
          </cell>
          <cell r="C1749" t="str">
            <v>C-20E</v>
          </cell>
          <cell r="D1749">
            <v>1987</v>
          </cell>
          <cell r="E1749" t="str">
            <v>US Army</v>
          </cell>
          <cell r="F1749">
            <v>15</v>
          </cell>
          <cell r="G1749">
            <v>32278</v>
          </cell>
          <cell r="H1749" t="str">
            <v>C-20E</v>
          </cell>
          <cell r="I1749" t="str">
            <v>North America</v>
          </cell>
          <cell r="J1749" t="str">
            <v>USA</v>
          </cell>
          <cell r="K1749">
            <v>31593</v>
          </cell>
        </row>
        <row r="1750">
          <cell r="A1750" t="str">
            <v>In service</v>
          </cell>
          <cell r="B1750" t="str">
            <v>Gulfstream Aerospace Gulfstream IV</v>
          </cell>
          <cell r="C1750" t="str">
            <v xml:space="preserve"> </v>
          </cell>
          <cell r="D1750">
            <v>1985</v>
          </cell>
          <cell r="E1750" t="str">
            <v>Emmis Operating Co</v>
          </cell>
          <cell r="F1750">
            <v>17</v>
          </cell>
          <cell r="G1750">
            <v>31396</v>
          </cell>
          <cell r="I1750" t="str">
            <v>North America</v>
          </cell>
          <cell r="J1750" t="str">
            <v>USA</v>
          </cell>
        </row>
        <row r="1751">
          <cell r="A1751" t="str">
            <v>In service</v>
          </cell>
          <cell r="B1751" t="str">
            <v>Gulfstream Aerospace Gulfstream IV</v>
          </cell>
          <cell r="C1751" t="str">
            <v xml:space="preserve"> </v>
          </cell>
          <cell r="D1751">
            <v>1986</v>
          </cell>
          <cell r="E1751" t="str">
            <v>Flight Options</v>
          </cell>
          <cell r="F1751">
            <v>16</v>
          </cell>
          <cell r="G1751">
            <v>31756</v>
          </cell>
          <cell r="I1751" t="str">
            <v>North America</v>
          </cell>
          <cell r="J1751" t="str">
            <v>USA</v>
          </cell>
          <cell r="K1751">
            <v>30863</v>
          </cell>
        </row>
        <row r="1752">
          <cell r="A1752" t="str">
            <v>In service</v>
          </cell>
          <cell r="B1752" t="str">
            <v>Gulfstream Aerospace Gulfstream IV</v>
          </cell>
          <cell r="C1752" t="str">
            <v xml:space="preserve"> </v>
          </cell>
          <cell r="D1752">
            <v>1986</v>
          </cell>
          <cell r="E1752" t="str">
            <v>DRW Financial Inc</v>
          </cell>
          <cell r="F1752">
            <v>16</v>
          </cell>
          <cell r="G1752">
            <v>31775</v>
          </cell>
          <cell r="I1752" t="str">
            <v>North America</v>
          </cell>
          <cell r="J1752" t="str">
            <v>USA</v>
          </cell>
          <cell r="K1752">
            <v>30863</v>
          </cell>
        </row>
        <row r="1753">
          <cell r="A1753" t="str">
            <v>In service</v>
          </cell>
          <cell r="B1753" t="str">
            <v>Gulfstream Aerospace Gulfstream IV</v>
          </cell>
          <cell r="C1753" t="str">
            <v xml:space="preserve"> </v>
          </cell>
          <cell r="D1753">
            <v>1986</v>
          </cell>
          <cell r="E1753" t="str">
            <v>G IV Corp</v>
          </cell>
          <cell r="F1753">
            <v>16</v>
          </cell>
          <cell r="G1753">
            <v>31608</v>
          </cell>
          <cell r="I1753" t="str">
            <v>North America</v>
          </cell>
          <cell r="J1753" t="str">
            <v>USA</v>
          </cell>
          <cell r="K1753">
            <v>30863</v>
          </cell>
        </row>
        <row r="1754">
          <cell r="A1754" t="str">
            <v>In service</v>
          </cell>
          <cell r="B1754" t="str">
            <v>Gulfstream Aerospace Gulfstream IV</v>
          </cell>
          <cell r="C1754" t="str">
            <v xml:space="preserve"> </v>
          </cell>
          <cell r="D1754">
            <v>1986</v>
          </cell>
          <cell r="E1754" t="str">
            <v>Paramount Aviation II LLC</v>
          </cell>
          <cell r="F1754">
            <v>16</v>
          </cell>
          <cell r="G1754">
            <v>31653</v>
          </cell>
          <cell r="I1754" t="str">
            <v>North America</v>
          </cell>
          <cell r="J1754" t="str">
            <v>USA</v>
          </cell>
          <cell r="K1754">
            <v>31228</v>
          </cell>
        </row>
        <row r="1755">
          <cell r="A1755" t="str">
            <v>In service</v>
          </cell>
          <cell r="B1755" t="str">
            <v>Gulfstream Aerospace Gulfstream IV</v>
          </cell>
          <cell r="C1755" t="str">
            <v xml:space="preserve"> </v>
          </cell>
          <cell r="D1755">
            <v>1986</v>
          </cell>
          <cell r="E1755" t="str">
            <v>Shako Air International Inc</v>
          </cell>
          <cell r="F1755">
            <v>16</v>
          </cell>
          <cell r="G1755">
            <v>31700</v>
          </cell>
          <cell r="I1755" t="str">
            <v>North America</v>
          </cell>
          <cell r="J1755" t="str">
            <v>USA</v>
          </cell>
          <cell r="K1755">
            <v>30863</v>
          </cell>
        </row>
        <row r="1756">
          <cell r="A1756" t="str">
            <v>In service</v>
          </cell>
          <cell r="B1756" t="str">
            <v>Gulfstream Aerospace Gulfstream IV</v>
          </cell>
          <cell r="C1756" t="str">
            <v xml:space="preserve"> </v>
          </cell>
          <cell r="D1756">
            <v>1986</v>
          </cell>
          <cell r="E1756" t="str">
            <v>Wilton Investment LC</v>
          </cell>
          <cell r="F1756">
            <v>16</v>
          </cell>
          <cell r="G1756">
            <v>31715</v>
          </cell>
          <cell r="I1756" t="str">
            <v>North America</v>
          </cell>
          <cell r="J1756" t="str">
            <v>USA</v>
          </cell>
          <cell r="K1756">
            <v>30863</v>
          </cell>
        </row>
        <row r="1757">
          <cell r="A1757" t="str">
            <v>In service</v>
          </cell>
          <cell r="B1757" t="str">
            <v>Gulfstream Aerospace Gulfstream IV</v>
          </cell>
          <cell r="C1757" t="str">
            <v xml:space="preserve"> </v>
          </cell>
          <cell r="D1757">
            <v>1986</v>
          </cell>
          <cell r="E1757" t="str">
            <v>E I Aviation Inc</v>
          </cell>
          <cell r="F1757">
            <v>16</v>
          </cell>
          <cell r="G1757">
            <v>31749</v>
          </cell>
          <cell r="I1757" t="str">
            <v>North America</v>
          </cell>
          <cell r="J1757" t="str">
            <v>USA</v>
          </cell>
          <cell r="K1757">
            <v>30863</v>
          </cell>
        </row>
        <row r="1758">
          <cell r="A1758" t="str">
            <v>In service</v>
          </cell>
          <cell r="B1758" t="str">
            <v>Gulfstream Aerospace Gulfstream IV</v>
          </cell>
          <cell r="C1758" t="str">
            <v xml:space="preserve"> </v>
          </cell>
          <cell r="D1758">
            <v>1986</v>
          </cell>
          <cell r="E1758" t="str">
            <v>Weeks Davies Aviation Inc</v>
          </cell>
          <cell r="F1758">
            <v>16</v>
          </cell>
          <cell r="G1758">
            <v>31957</v>
          </cell>
          <cell r="I1758" t="str">
            <v>North America</v>
          </cell>
          <cell r="J1758" t="str">
            <v>USA</v>
          </cell>
          <cell r="K1758">
            <v>30863</v>
          </cell>
        </row>
        <row r="1759">
          <cell r="A1759" t="str">
            <v>In service</v>
          </cell>
          <cell r="B1759" t="str">
            <v>Gulfstream Aerospace Gulfstream IV</v>
          </cell>
          <cell r="C1759" t="str">
            <v xml:space="preserve"> </v>
          </cell>
          <cell r="D1759">
            <v>1986</v>
          </cell>
          <cell r="E1759" t="str">
            <v>Royal Netherlands Air Force</v>
          </cell>
          <cell r="F1759">
            <v>16</v>
          </cell>
          <cell r="G1759">
            <v>31766</v>
          </cell>
          <cell r="I1759" t="str">
            <v>Europe</v>
          </cell>
          <cell r="J1759" t="str">
            <v>Netherlands</v>
          </cell>
          <cell r="K1759">
            <v>30863</v>
          </cell>
        </row>
        <row r="1760">
          <cell r="A1760" t="str">
            <v>In service</v>
          </cell>
          <cell r="B1760" t="str">
            <v>Gulfstream Aerospace Gulfstream IV</v>
          </cell>
          <cell r="C1760" t="str">
            <v xml:space="preserve"> </v>
          </cell>
          <cell r="D1760">
            <v>1986</v>
          </cell>
          <cell r="E1760" t="str">
            <v>Fairmont Aviation LLC</v>
          </cell>
          <cell r="F1760">
            <v>16</v>
          </cell>
          <cell r="G1760">
            <v>31787</v>
          </cell>
          <cell r="I1760" t="str">
            <v>North America</v>
          </cell>
          <cell r="J1760" t="str">
            <v>USA</v>
          </cell>
          <cell r="K1760">
            <v>31228</v>
          </cell>
        </row>
        <row r="1761">
          <cell r="A1761" t="str">
            <v>In service</v>
          </cell>
          <cell r="B1761" t="str">
            <v>Gulfstream Aerospace Gulfstream IV</v>
          </cell>
          <cell r="C1761" t="str">
            <v xml:space="preserve"> </v>
          </cell>
          <cell r="D1761">
            <v>1987</v>
          </cell>
          <cell r="E1761" t="str">
            <v>Dubai Air Wing</v>
          </cell>
          <cell r="F1761">
            <v>15</v>
          </cell>
          <cell r="G1761">
            <v>32115</v>
          </cell>
          <cell r="I1761" t="str">
            <v>Middle East</v>
          </cell>
          <cell r="J1761" t="str">
            <v>United Arab Emirates</v>
          </cell>
          <cell r="K1761">
            <v>30863</v>
          </cell>
        </row>
        <row r="1762">
          <cell r="A1762" t="str">
            <v>In service</v>
          </cell>
          <cell r="B1762" t="str">
            <v>Gulfstream Aerospace Gulfstream IV</v>
          </cell>
          <cell r="C1762" t="str">
            <v xml:space="preserve"> </v>
          </cell>
          <cell r="D1762">
            <v>1987</v>
          </cell>
          <cell r="E1762" t="str">
            <v>MacAndrews &amp; Forbes Group LLC</v>
          </cell>
          <cell r="F1762">
            <v>15</v>
          </cell>
          <cell r="G1762">
            <v>31868</v>
          </cell>
          <cell r="I1762" t="str">
            <v>North America</v>
          </cell>
          <cell r="J1762" t="str">
            <v>USA</v>
          </cell>
          <cell r="K1762">
            <v>31228</v>
          </cell>
        </row>
        <row r="1763">
          <cell r="A1763" t="str">
            <v>In service</v>
          </cell>
          <cell r="B1763" t="str">
            <v>Gulfstream Aerospace Gulfstream IV</v>
          </cell>
          <cell r="C1763" t="str">
            <v xml:space="preserve"> </v>
          </cell>
          <cell r="D1763">
            <v>1987</v>
          </cell>
          <cell r="E1763" t="str">
            <v>Fidelity National Financial inc</v>
          </cell>
          <cell r="F1763">
            <v>15</v>
          </cell>
          <cell r="G1763">
            <v>31883</v>
          </cell>
          <cell r="I1763" t="str">
            <v>North America</v>
          </cell>
          <cell r="J1763" t="str">
            <v>USA</v>
          </cell>
          <cell r="K1763">
            <v>31228</v>
          </cell>
        </row>
        <row r="1764">
          <cell r="A1764" t="str">
            <v>In service</v>
          </cell>
          <cell r="B1764" t="str">
            <v>Gulfstream Aerospace Gulfstream IV</v>
          </cell>
          <cell r="C1764" t="str">
            <v xml:space="preserve"> </v>
          </cell>
          <cell r="D1764">
            <v>1987</v>
          </cell>
          <cell r="E1764" t="str">
            <v>Swedish Air Force</v>
          </cell>
          <cell r="F1764">
            <v>15</v>
          </cell>
          <cell r="G1764">
            <v>31888</v>
          </cell>
          <cell r="H1764" t="str">
            <v>TP-102</v>
          </cell>
          <cell r="I1764" t="str">
            <v>Europe</v>
          </cell>
          <cell r="J1764" t="str">
            <v>Sweden</v>
          </cell>
          <cell r="K1764">
            <v>31228</v>
          </cell>
        </row>
        <row r="1765">
          <cell r="A1765" t="str">
            <v>In service</v>
          </cell>
          <cell r="B1765" t="str">
            <v>Gulfstream Aerospace Gulfstream IV</v>
          </cell>
          <cell r="C1765" t="str">
            <v xml:space="preserve"> </v>
          </cell>
          <cell r="D1765">
            <v>1987</v>
          </cell>
          <cell r="E1765" t="str">
            <v>Rashid Engineering</v>
          </cell>
          <cell r="F1765">
            <v>15</v>
          </cell>
          <cell r="G1765">
            <v>32006</v>
          </cell>
          <cell r="I1765" t="str">
            <v>Middle East</v>
          </cell>
          <cell r="J1765" t="str">
            <v>Saudi Arabia</v>
          </cell>
          <cell r="K1765">
            <v>31228</v>
          </cell>
        </row>
        <row r="1766">
          <cell r="A1766" t="str">
            <v>In service</v>
          </cell>
          <cell r="B1766" t="str">
            <v>Gulfstream Aerospace Gulfstream IV</v>
          </cell>
          <cell r="C1766" t="str">
            <v xml:space="preserve"> </v>
          </cell>
          <cell r="D1766">
            <v>1987</v>
          </cell>
          <cell r="E1766" t="str">
            <v>Guardian Industries Corp</v>
          </cell>
          <cell r="F1766">
            <v>15</v>
          </cell>
          <cell r="G1766">
            <v>31919</v>
          </cell>
          <cell r="I1766" t="str">
            <v>North America</v>
          </cell>
          <cell r="J1766" t="str">
            <v>USA</v>
          </cell>
          <cell r="K1766">
            <v>31228</v>
          </cell>
        </row>
        <row r="1767">
          <cell r="A1767" t="str">
            <v>In service</v>
          </cell>
          <cell r="B1767" t="str">
            <v>Gulfstream Aerospace Gulfstream IV</v>
          </cell>
          <cell r="C1767" t="str">
            <v xml:space="preserve"> </v>
          </cell>
          <cell r="D1767">
            <v>1987</v>
          </cell>
          <cell r="E1767" t="str">
            <v>Sugra Ltd</v>
          </cell>
          <cell r="F1767">
            <v>15</v>
          </cell>
          <cell r="G1767">
            <v>32203</v>
          </cell>
          <cell r="I1767" t="str">
            <v>Latin America and Caribbean</v>
          </cell>
          <cell r="J1767" t="str">
            <v>Bermuda</v>
          </cell>
          <cell r="K1767">
            <v>31593</v>
          </cell>
        </row>
        <row r="1768">
          <cell r="A1768" t="str">
            <v>In service</v>
          </cell>
          <cell r="B1768" t="str">
            <v>Gulfstream Aerospace Gulfstream IV</v>
          </cell>
          <cell r="C1768" t="str">
            <v xml:space="preserve"> </v>
          </cell>
          <cell r="D1768">
            <v>1987</v>
          </cell>
          <cell r="E1768" t="str">
            <v>Summit Aviation Inc &amp; Quest Software Inc</v>
          </cell>
          <cell r="F1768">
            <v>15</v>
          </cell>
          <cell r="G1768">
            <v>31992</v>
          </cell>
          <cell r="I1768" t="str">
            <v>North America</v>
          </cell>
          <cell r="J1768" t="str">
            <v>USA</v>
          </cell>
          <cell r="K1768">
            <v>31228</v>
          </cell>
        </row>
        <row r="1769">
          <cell r="A1769" t="str">
            <v>In service</v>
          </cell>
          <cell r="B1769" t="str">
            <v>Gulfstream Aerospace Gulfstream IV</v>
          </cell>
          <cell r="C1769" t="str">
            <v xml:space="preserve"> </v>
          </cell>
          <cell r="D1769">
            <v>1987</v>
          </cell>
          <cell r="E1769" t="str">
            <v>Government of Ivory Coast</v>
          </cell>
          <cell r="F1769">
            <v>15</v>
          </cell>
          <cell r="G1769">
            <v>32126</v>
          </cell>
          <cell r="I1769" t="str">
            <v>Africa</v>
          </cell>
          <cell r="J1769" t="str">
            <v>Ivory Coast</v>
          </cell>
          <cell r="K1769">
            <v>31228</v>
          </cell>
        </row>
        <row r="1770">
          <cell r="A1770" t="str">
            <v>In service</v>
          </cell>
          <cell r="B1770" t="str">
            <v>Gulfstream Aerospace Gulfstream IV</v>
          </cell>
          <cell r="C1770" t="str">
            <v xml:space="preserve"> </v>
          </cell>
          <cell r="D1770">
            <v>1987</v>
          </cell>
          <cell r="E1770" t="str">
            <v>The Air Group Inc</v>
          </cell>
          <cell r="F1770">
            <v>15</v>
          </cell>
          <cell r="G1770">
            <v>31957</v>
          </cell>
          <cell r="I1770" t="str">
            <v>North America</v>
          </cell>
          <cell r="J1770" t="str">
            <v>USA</v>
          </cell>
          <cell r="K1770">
            <v>31228</v>
          </cell>
        </row>
        <row r="1771">
          <cell r="A1771" t="str">
            <v>In service</v>
          </cell>
          <cell r="B1771" t="str">
            <v>Gulfstream Aerospace Gulfstream IV</v>
          </cell>
          <cell r="C1771" t="str">
            <v xml:space="preserve"> </v>
          </cell>
          <cell r="D1771">
            <v>1987</v>
          </cell>
          <cell r="E1771" t="str">
            <v>Gestair</v>
          </cell>
          <cell r="F1771">
            <v>15</v>
          </cell>
          <cell r="G1771">
            <v>32134</v>
          </cell>
          <cell r="I1771" t="str">
            <v>Europe</v>
          </cell>
          <cell r="J1771" t="str">
            <v>Spain</v>
          </cell>
          <cell r="K1771">
            <v>31228</v>
          </cell>
        </row>
        <row r="1772">
          <cell r="A1772" t="str">
            <v>In service</v>
          </cell>
          <cell r="B1772" t="str">
            <v>Gulfstream Aerospace Gulfstream IV</v>
          </cell>
          <cell r="C1772" t="str">
            <v xml:space="preserve"> </v>
          </cell>
          <cell r="D1772">
            <v>1987</v>
          </cell>
          <cell r="E1772" t="str">
            <v>Paul Davril Inc</v>
          </cell>
          <cell r="F1772">
            <v>15</v>
          </cell>
          <cell r="G1772">
            <v>32233</v>
          </cell>
          <cell r="I1772" t="str">
            <v>North America</v>
          </cell>
          <cell r="J1772" t="str">
            <v>USA</v>
          </cell>
          <cell r="K1772">
            <v>31228</v>
          </cell>
        </row>
        <row r="1773">
          <cell r="A1773" t="str">
            <v>In service</v>
          </cell>
          <cell r="B1773" t="str">
            <v>Gulfstream Aerospace Gulfstream IV</v>
          </cell>
          <cell r="C1773" t="str">
            <v xml:space="preserve"> </v>
          </cell>
          <cell r="D1773">
            <v>1987</v>
          </cell>
          <cell r="E1773" t="str">
            <v>MBNA Corp</v>
          </cell>
          <cell r="F1773">
            <v>15</v>
          </cell>
          <cell r="G1773">
            <v>31993</v>
          </cell>
          <cell r="I1773" t="str">
            <v>North America</v>
          </cell>
          <cell r="J1773" t="str">
            <v>USA</v>
          </cell>
          <cell r="K1773">
            <v>30863</v>
          </cell>
        </row>
        <row r="1774">
          <cell r="A1774" t="str">
            <v>In service</v>
          </cell>
          <cell r="B1774" t="str">
            <v>Gulfstream Aerospace Gulfstream IV</v>
          </cell>
          <cell r="C1774" t="str">
            <v xml:space="preserve"> </v>
          </cell>
          <cell r="D1774">
            <v>1987</v>
          </cell>
          <cell r="E1774" t="str">
            <v>Morita Inc</v>
          </cell>
          <cell r="F1774">
            <v>15</v>
          </cell>
          <cell r="G1774">
            <v>32016</v>
          </cell>
          <cell r="I1774" t="str">
            <v>North America</v>
          </cell>
          <cell r="J1774" t="str">
            <v>USA</v>
          </cell>
          <cell r="K1774">
            <v>31228</v>
          </cell>
        </row>
        <row r="1775">
          <cell r="A1775" t="str">
            <v>In service</v>
          </cell>
          <cell r="B1775" t="str">
            <v>Gulfstream Aerospace Gulfstream IV</v>
          </cell>
          <cell r="C1775" t="str">
            <v xml:space="preserve"> </v>
          </cell>
          <cell r="D1775">
            <v>1987</v>
          </cell>
          <cell r="E1775" t="str">
            <v>Bombardier Capital Inc</v>
          </cell>
          <cell r="F1775">
            <v>15</v>
          </cell>
          <cell r="G1775">
            <v>32024</v>
          </cell>
          <cell r="I1775" t="str">
            <v>North America</v>
          </cell>
          <cell r="J1775" t="str">
            <v>USA</v>
          </cell>
          <cell r="K1775">
            <v>31228</v>
          </cell>
        </row>
        <row r="1776">
          <cell r="A1776" t="str">
            <v>In service</v>
          </cell>
          <cell r="B1776" t="str">
            <v>Gulfstream Aerospace Gulfstream IV</v>
          </cell>
          <cell r="C1776" t="str">
            <v xml:space="preserve"> </v>
          </cell>
          <cell r="D1776">
            <v>1987</v>
          </cell>
          <cell r="E1776" t="str">
            <v>Veridian Aviation Services</v>
          </cell>
          <cell r="F1776">
            <v>15</v>
          </cell>
          <cell r="G1776">
            <v>32055</v>
          </cell>
          <cell r="I1776" t="str">
            <v>North America</v>
          </cell>
          <cell r="J1776" t="str">
            <v>USA</v>
          </cell>
          <cell r="K1776">
            <v>31228</v>
          </cell>
        </row>
        <row r="1777">
          <cell r="A1777" t="str">
            <v>In service</v>
          </cell>
          <cell r="B1777" t="str">
            <v>Gulfstream Aerospace Gulfstream IV</v>
          </cell>
          <cell r="C1777" t="str">
            <v xml:space="preserve"> </v>
          </cell>
          <cell r="D1777">
            <v>1987</v>
          </cell>
          <cell r="E1777" t="str">
            <v>Government of Turkey</v>
          </cell>
          <cell r="F1777">
            <v>15</v>
          </cell>
          <cell r="G1777">
            <v>32286</v>
          </cell>
          <cell r="I1777" t="str">
            <v>Europe</v>
          </cell>
          <cell r="J1777" t="str">
            <v>Turkey</v>
          </cell>
          <cell r="K1777">
            <v>31593</v>
          </cell>
        </row>
        <row r="1778">
          <cell r="A1778" t="str">
            <v>In service</v>
          </cell>
          <cell r="B1778" t="str">
            <v>Gulfstream Aerospace Gulfstream IV</v>
          </cell>
          <cell r="C1778" t="str">
            <v xml:space="preserve"> </v>
          </cell>
          <cell r="D1778">
            <v>1987</v>
          </cell>
          <cell r="E1778" t="str">
            <v>SAH Enterprises Inc</v>
          </cell>
          <cell r="F1778">
            <v>15</v>
          </cell>
          <cell r="G1778">
            <v>32134</v>
          </cell>
          <cell r="I1778" t="str">
            <v>North America</v>
          </cell>
          <cell r="J1778" t="str">
            <v>USA</v>
          </cell>
          <cell r="K1778">
            <v>31228</v>
          </cell>
        </row>
        <row r="1779">
          <cell r="A1779" t="str">
            <v>In service</v>
          </cell>
          <cell r="B1779" t="str">
            <v>Gulfstream Aerospace Gulfstream IV</v>
          </cell>
          <cell r="C1779" t="str">
            <v xml:space="preserve"> </v>
          </cell>
          <cell r="D1779">
            <v>1987</v>
          </cell>
          <cell r="E1779" t="str">
            <v>Specialised Transportation (Bermuda) Ltd</v>
          </cell>
          <cell r="F1779">
            <v>15</v>
          </cell>
          <cell r="G1779">
            <v>32078</v>
          </cell>
          <cell r="I1779" t="str">
            <v>Latin America and Caribbean</v>
          </cell>
          <cell r="J1779" t="str">
            <v>Bermuda</v>
          </cell>
          <cell r="K1779">
            <v>31228</v>
          </cell>
        </row>
        <row r="1780">
          <cell r="A1780" t="str">
            <v>In service</v>
          </cell>
          <cell r="B1780" t="str">
            <v>Gulfstream Aerospace Gulfstream IV</v>
          </cell>
          <cell r="C1780" t="str">
            <v xml:space="preserve"> </v>
          </cell>
          <cell r="D1780">
            <v>1987</v>
          </cell>
          <cell r="E1780" t="str">
            <v>WNP Aviation Inc</v>
          </cell>
          <cell r="F1780">
            <v>15</v>
          </cell>
          <cell r="G1780">
            <v>32188</v>
          </cell>
          <cell r="I1780" t="str">
            <v>North America</v>
          </cell>
          <cell r="J1780" t="str">
            <v>USA</v>
          </cell>
          <cell r="K1780">
            <v>31593</v>
          </cell>
        </row>
        <row r="1781">
          <cell r="A1781" t="str">
            <v>In service</v>
          </cell>
          <cell r="B1781" t="str">
            <v>Gulfstream Aerospace Gulfstream IV</v>
          </cell>
          <cell r="C1781" t="str">
            <v xml:space="preserve"> </v>
          </cell>
          <cell r="D1781">
            <v>1987</v>
          </cell>
          <cell r="E1781" t="str">
            <v>Saudi Arabian Airlines</v>
          </cell>
          <cell r="F1781">
            <v>15</v>
          </cell>
          <cell r="G1781">
            <v>32827</v>
          </cell>
          <cell r="I1781" t="str">
            <v>Middle East</v>
          </cell>
          <cell r="J1781" t="str">
            <v>Saudi Arabia</v>
          </cell>
          <cell r="K1781">
            <v>31593</v>
          </cell>
        </row>
        <row r="1782">
          <cell r="A1782" t="str">
            <v>In service</v>
          </cell>
          <cell r="B1782" t="str">
            <v>Gulfstream Aerospace Gulfstream IV</v>
          </cell>
          <cell r="C1782" t="str">
            <v xml:space="preserve"> </v>
          </cell>
          <cell r="D1782">
            <v>1987</v>
          </cell>
          <cell r="E1782" t="str">
            <v>Netjets Middle East</v>
          </cell>
          <cell r="F1782">
            <v>15</v>
          </cell>
          <cell r="G1782">
            <v>31847</v>
          </cell>
          <cell r="I1782" t="str">
            <v>Middle East</v>
          </cell>
          <cell r="J1782" t="str">
            <v>Saudi Arabia</v>
          </cell>
          <cell r="K1782">
            <v>31228</v>
          </cell>
        </row>
        <row r="1783">
          <cell r="A1783" t="str">
            <v>In service</v>
          </cell>
          <cell r="B1783" t="str">
            <v>Gulfstream Aerospace Gulfstream IV</v>
          </cell>
          <cell r="C1783" t="str">
            <v xml:space="preserve"> </v>
          </cell>
          <cell r="D1783">
            <v>1987</v>
          </cell>
          <cell r="E1783" t="str">
            <v>NIKE Inc</v>
          </cell>
          <cell r="F1783">
            <v>15</v>
          </cell>
          <cell r="G1783">
            <v>32278</v>
          </cell>
          <cell r="I1783" t="str">
            <v>North America</v>
          </cell>
          <cell r="J1783" t="str">
            <v>USA</v>
          </cell>
          <cell r="K1783">
            <v>31593</v>
          </cell>
        </row>
        <row r="1784">
          <cell r="A1784" t="str">
            <v>In service</v>
          </cell>
          <cell r="B1784" t="str">
            <v>Gulfstream Aerospace Gulfstream IV</v>
          </cell>
          <cell r="C1784" t="str">
            <v xml:space="preserve"> </v>
          </cell>
          <cell r="D1784">
            <v>1987</v>
          </cell>
          <cell r="E1784" t="str">
            <v>Tenet Healthcare Corp</v>
          </cell>
          <cell r="F1784">
            <v>15</v>
          </cell>
          <cell r="G1784">
            <v>33527</v>
          </cell>
          <cell r="I1784" t="str">
            <v>North America</v>
          </cell>
          <cell r="J1784" t="str">
            <v>USA</v>
          </cell>
        </row>
        <row r="1785">
          <cell r="A1785" t="str">
            <v>In service</v>
          </cell>
          <cell r="B1785" t="str">
            <v>Gulfstream Aerospace Gulfstream IV</v>
          </cell>
          <cell r="C1785" t="str">
            <v xml:space="preserve"> </v>
          </cell>
          <cell r="D1785">
            <v>1988</v>
          </cell>
          <cell r="E1785" t="str">
            <v>Saudi Arabian Airlines</v>
          </cell>
          <cell r="F1785">
            <v>14</v>
          </cell>
          <cell r="G1785">
            <v>32777</v>
          </cell>
          <cell r="I1785" t="str">
            <v>Middle East</v>
          </cell>
          <cell r="J1785" t="str">
            <v>Saudi Arabia</v>
          </cell>
          <cell r="K1785">
            <v>31593</v>
          </cell>
        </row>
        <row r="1786">
          <cell r="A1786" t="str">
            <v>In service</v>
          </cell>
          <cell r="B1786" t="str">
            <v>Gulfstream Aerospace Gulfstream IV</v>
          </cell>
          <cell r="C1786" t="str">
            <v xml:space="preserve"> </v>
          </cell>
          <cell r="D1786">
            <v>1987</v>
          </cell>
          <cell r="E1786" t="str">
            <v>ITT Industries Inc</v>
          </cell>
          <cell r="F1786">
            <v>15</v>
          </cell>
          <cell r="G1786">
            <v>32160</v>
          </cell>
          <cell r="I1786" t="str">
            <v>North America</v>
          </cell>
          <cell r="J1786" t="str">
            <v>USA</v>
          </cell>
          <cell r="K1786">
            <v>31228</v>
          </cell>
        </row>
        <row r="1787">
          <cell r="A1787" t="str">
            <v>In service</v>
          </cell>
          <cell r="B1787" t="str">
            <v>Gulfstream Aerospace Gulfstream IV</v>
          </cell>
          <cell r="C1787" t="str">
            <v xml:space="preserve"> </v>
          </cell>
          <cell r="D1787">
            <v>1987</v>
          </cell>
          <cell r="E1787" t="str">
            <v>Raytheon Middle East Systems</v>
          </cell>
          <cell r="F1787">
            <v>15</v>
          </cell>
          <cell r="G1787">
            <v>32309</v>
          </cell>
          <cell r="I1787" t="str">
            <v>Middle East</v>
          </cell>
          <cell r="J1787" t="str">
            <v>Saudi Arabia</v>
          </cell>
          <cell r="K1787">
            <v>31593</v>
          </cell>
        </row>
        <row r="1788">
          <cell r="A1788" t="str">
            <v>In service</v>
          </cell>
          <cell r="B1788" t="str">
            <v>Gulfstream Aerospace Gulfstream IV</v>
          </cell>
          <cell r="C1788" t="str">
            <v xml:space="preserve"> </v>
          </cell>
          <cell r="D1788">
            <v>1987</v>
          </cell>
          <cell r="E1788" t="str">
            <v>Saudi Arabian Airlines</v>
          </cell>
          <cell r="F1788">
            <v>15</v>
          </cell>
          <cell r="G1788">
            <v>32827</v>
          </cell>
          <cell r="I1788" t="str">
            <v>Middle East</v>
          </cell>
          <cell r="J1788" t="str">
            <v>Saudi Arabia</v>
          </cell>
          <cell r="K1788">
            <v>31593</v>
          </cell>
        </row>
        <row r="1789">
          <cell r="A1789" t="str">
            <v>In service</v>
          </cell>
          <cell r="B1789" t="str">
            <v>Gulfstream Aerospace Gulfstream IV</v>
          </cell>
          <cell r="C1789" t="str">
            <v xml:space="preserve"> </v>
          </cell>
          <cell r="D1789">
            <v>1988</v>
          </cell>
          <cell r="E1789" t="str">
            <v>Pharmacia Corp</v>
          </cell>
          <cell r="F1789">
            <v>14</v>
          </cell>
          <cell r="G1789">
            <v>32335</v>
          </cell>
          <cell r="I1789" t="str">
            <v>North America</v>
          </cell>
          <cell r="J1789" t="str">
            <v>USA</v>
          </cell>
          <cell r="K1789">
            <v>31593</v>
          </cell>
        </row>
        <row r="1790">
          <cell r="A1790" t="str">
            <v>In service</v>
          </cell>
          <cell r="B1790" t="str">
            <v>Gulfstream Aerospace Gulfstream IV</v>
          </cell>
          <cell r="C1790" t="str">
            <v xml:space="preserve"> </v>
          </cell>
          <cell r="D1790">
            <v>1987</v>
          </cell>
          <cell r="E1790" t="str">
            <v>620 Inc</v>
          </cell>
          <cell r="F1790">
            <v>15</v>
          </cell>
          <cell r="G1790">
            <v>32188</v>
          </cell>
          <cell r="I1790" t="str">
            <v>North America</v>
          </cell>
          <cell r="J1790" t="str">
            <v>USA</v>
          </cell>
          <cell r="K1790">
            <v>31593</v>
          </cell>
        </row>
        <row r="1791">
          <cell r="A1791" t="str">
            <v>In service</v>
          </cell>
          <cell r="B1791" t="str">
            <v>Gulfstream Aerospace Gulfstream IV</v>
          </cell>
          <cell r="C1791" t="str">
            <v xml:space="preserve"> </v>
          </cell>
          <cell r="D1791">
            <v>1987</v>
          </cell>
          <cell r="E1791" t="str">
            <v>New World Jet Corp</v>
          </cell>
          <cell r="F1791">
            <v>15</v>
          </cell>
          <cell r="G1791">
            <v>32188</v>
          </cell>
          <cell r="I1791" t="str">
            <v>North America</v>
          </cell>
          <cell r="J1791" t="str">
            <v>USA</v>
          </cell>
          <cell r="K1791">
            <v>31593</v>
          </cell>
        </row>
        <row r="1792">
          <cell r="A1792" t="str">
            <v>In service</v>
          </cell>
          <cell r="B1792" t="str">
            <v>Gulfstream Aerospace Gulfstream IV</v>
          </cell>
          <cell r="C1792" t="str">
            <v xml:space="preserve"> </v>
          </cell>
          <cell r="D1792">
            <v>1987</v>
          </cell>
          <cell r="E1792" t="str">
            <v>Rutter Aviation LLC</v>
          </cell>
          <cell r="F1792">
            <v>15</v>
          </cell>
          <cell r="G1792">
            <v>34288</v>
          </cell>
          <cell r="I1792" t="str">
            <v>North America</v>
          </cell>
          <cell r="J1792" t="str">
            <v>USA</v>
          </cell>
        </row>
        <row r="1793">
          <cell r="A1793" t="str">
            <v>In service</v>
          </cell>
          <cell r="B1793" t="str">
            <v>Gulfstream Aerospace Gulfstream IV</v>
          </cell>
          <cell r="C1793" t="str">
            <v xml:space="preserve"> </v>
          </cell>
          <cell r="D1793">
            <v>1988</v>
          </cell>
          <cell r="E1793" t="str">
            <v>Government of Turkey</v>
          </cell>
          <cell r="F1793">
            <v>14</v>
          </cell>
          <cell r="G1793">
            <v>32378</v>
          </cell>
          <cell r="I1793" t="str">
            <v>Europe</v>
          </cell>
          <cell r="J1793" t="str">
            <v>Turkey</v>
          </cell>
          <cell r="K1793">
            <v>31593</v>
          </cell>
        </row>
        <row r="1794">
          <cell r="A1794" t="str">
            <v>In service</v>
          </cell>
          <cell r="B1794" t="str">
            <v>Gulfstream Aerospace Gulfstream IV</v>
          </cell>
          <cell r="C1794" t="str">
            <v xml:space="preserve"> </v>
          </cell>
          <cell r="D1794">
            <v>1988</v>
          </cell>
          <cell r="E1794" t="str">
            <v>Timberland Aviation Inc</v>
          </cell>
          <cell r="F1794">
            <v>14</v>
          </cell>
          <cell r="G1794">
            <v>32380</v>
          </cell>
          <cell r="I1794" t="str">
            <v>North America</v>
          </cell>
          <cell r="J1794" t="str">
            <v>USA</v>
          </cell>
          <cell r="K1794">
            <v>31593</v>
          </cell>
        </row>
        <row r="1795">
          <cell r="A1795" t="str">
            <v>In service</v>
          </cell>
          <cell r="B1795" t="str">
            <v>Gulfstream Aerospace Gulfstream IV</v>
          </cell>
          <cell r="C1795" t="str">
            <v xml:space="preserve"> </v>
          </cell>
          <cell r="D1795">
            <v>1987</v>
          </cell>
          <cell r="E1795" t="str">
            <v>Mariner Management LLC</v>
          </cell>
          <cell r="F1795">
            <v>15</v>
          </cell>
          <cell r="G1795">
            <v>32204</v>
          </cell>
          <cell r="I1795" t="str">
            <v>North America</v>
          </cell>
          <cell r="J1795" t="str">
            <v>USA</v>
          </cell>
          <cell r="K1795">
            <v>31593</v>
          </cell>
        </row>
        <row r="1796">
          <cell r="A1796" t="str">
            <v>In service</v>
          </cell>
          <cell r="B1796" t="str">
            <v>Gulfstream Aerospace Gulfstream IV</v>
          </cell>
          <cell r="C1796" t="str">
            <v xml:space="preserve"> </v>
          </cell>
          <cell r="D1796">
            <v>1988</v>
          </cell>
          <cell r="E1796" t="str">
            <v>KaiserAir Inc</v>
          </cell>
          <cell r="F1796">
            <v>14</v>
          </cell>
          <cell r="G1796">
            <v>32552</v>
          </cell>
          <cell r="I1796" t="str">
            <v>North America</v>
          </cell>
          <cell r="J1796" t="str">
            <v>USA</v>
          </cell>
          <cell r="K1796">
            <v>31958</v>
          </cell>
        </row>
        <row r="1797">
          <cell r="A1797" t="str">
            <v>In service</v>
          </cell>
          <cell r="B1797" t="str">
            <v>Gulfstream Aerospace Gulfstream IV</v>
          </cell>
          <cell r="C1797" t="str">
            <v xml:space="preserve"> </v>
          </cell>
          <cell r="D1797">
            <v>1988</v>
          </cell>
          <cell r="E1797" t="str">
            <v>Government of Egypt</v>
          </cell>
          <cell r="F1797">
            <v>14</v>
          </cell>
          <cell r="G1797">
            <v>32462</v>
          </cell>
          <cell r="I1797" t="str">
            <v>Africa</v>
          </cell>
          <cell r="J1797" t="str">
            <v>Egypt</v>
          </cell>
          <cell r="K1797">
            <v>31593</v>
          </cell>
        </row>
        <row r="1798">
          <cell r="A1798" t="str">
            <v>In service</v>
          </cell>
          <cell r="B1798" t="str">
            <v>Gulfstream Aerospace Gulfstream IV</v>
          </cell>
          <cell r="C1798" t="str">
            <v xml:space="preserve"> </v>
          </cell>
          <cell r="D1798">
            <v>1988</v>
          </cell>
          <cell r="E1798" t="str">
            <v>113CS LLC</v>
          </cell>
          <cell r="F1798">
            <v>14</v>
          </cell>
          <cell r="G1798">
            <v>32519</v>
          </cell>
          <cell r="I1798" t="str">
            <v>North America</v>
          </cell>
          <cell r="J1798" t="str">
            <v>USA</v>
          </cell>
          <cell r="K1798">
            <v>31958</v>
          </cell>
        </row>
        <row r="1799">
          <cell r="A1799" t="str">
            <v>In service</v>
          </cell>
          <cell r="B1799" t="str">
            <v>Gulfstream Aerospace Gulfstream IV</v>
          </cell>
          <cell r="C1799" t="str">
            <v xml:space="preserve"> </v>
          </cell>
          <cell r="D1799">
            <v>1987</v>
          </cell>
          <cell r="E1799" t="str">
            <v>ITT Flight Operations Inc</v>
          </cell>
          <cell r="F1799">
            <v>15</v>
          </cell>
          <cell r="G1799">
            <v>32233</v>
          </cell>
          <cell r="I1799" t="str">
            <v>North America</v>
          </cell>
          <cell r="J1799" t="str">
            <v>USA</v>
          </cell>
          <cell r="K1799">
            <v>31228</v>
          </cell>
        </row>
        <row r="1800">
          <cell r="A1800" t="str">
            <v>In service</v>
          </cell>
          <cell r="B1800" t="str">
            <v>Gulfstream Aerospace Gulfstream IV</v>
          </cell>
          <cell r="C1800" t="str">
            <v xml:space="preserve"> </v>
          </cell>
          <cell r="D1800">
            <v>1987</v>
          </cell>
          <cell r="E1800" t="str">
            <v>Aero Air LLC</v>
          </cell>
          <cell r="F1800">
            <v>15</v>
          </cell>
          <cell r="G1800">
            <v>32259</v>
          </cell>
          <cell r="I1800" t="str">
            <v>North America</v>
          </cell>
          <cell r="J1800" t="str">
            <v>USA</v>
          </cell>
          <cell r="K1800">
            <v>31593</v>
          </cell>
        </row>
        <row r="1801">
          <cell r="A1801" t="str">
            <v>In service</v>
          </cell>
          <cell r="B1801" t="str">
            <v>Gulfstream Aerospace Gulfstream IV</v>
          </cell>
          <cell r="C1801" t="str">
            <v xml:space="preserve"> </v>
          </cell>
          <cell r="D1801">
            <v>1988</v>
          </cell>
          <cell r="E1801" t="str">
            <v>Mirage Leasing Corp</v>
          </cell>
          <cell r="F1801">
            <v>14</v>
          </cell>
          <cell r="G1801">
            <v>32741</v>
          </cell>
          <cell r="I1801" t="str">
            <v>North America</v>
          </cell>
          <cell r="J1801" t="str">
            <v>USA</v>
          </cell>
          <cell r="K1801">
            <v>31958</v>
          </cell>
        </row>
        <row r="1802">
          <cell r="A1802" t="str">
            <v>In service</v>
          </cell>
          <cell r="B1802" t="str">
            <v>Gulfstream Aerospace Gulfstream IV</v>
          </cell>
          <cell r="C1802" t="str">
            <v xml:space="preserve"> </v>
          </cell>
          <cell r="D1802">
            <v>1988</v>
          </cell>
          <cell r="E1802" t="str">
            <v>JM Family Enterprises Inc</v>
          </cell>
          <cell r="F1802">
            <v>14</v>
          </cell>
          <cell r="G1802">
            <v>32278</v>
          </cell>
          <cell r="I1802" t="str">
            <v>North America</v>
          </cell>
          <cell r="J1802" t="str">
            <v>USA</v>
          </cell>
          <cell r="K1802">
            <v>31593</v>
          </cell>
        </row>
        <row r="1803">
          <cell r="A1803" t="str">
            <v>In service</v>
          </cell>
          <cell r="B1803" t="str">
            <v>Gulfstream Aerospace Gulfstream IV</v>
          </cell>
          <cell r="C1803" t="str">
            <v xml:space="preserve"> </v>
          </cell>
          <cell r="D1803">
            <v>1988</v>
          </cell>
          <cell r="E1803" t="str">
            <v>Ark-Air Flight Inc</v>
          </cell>
          <cell r="F1803">
            <v>14</v>
          </cell>
          <cell r="G1803">
            <v>32275</v>
          </cell>
          <cell r="I1803" t="str">
            <v>North America</v>
          </cell>
          <cell r="J1803" t="str">
            <v>USA</v>
          </cell>
          <cell r="K1803">
            <v>31593</v>
          </cell>
        </row>
        <row r="1804">
          <cell r="A1804" t="str">
            <v>In service</v>
          </cell>
          <cell r="B1804" t="str">
            <v>Gulfstream Aerospace Gulfstream IV</v>
          </cell>
          <cell r="C1804" t="str">
            <v xml:space="preserve"> </v>
          </cell>
          <cell r="D1804">
            <v>1988</v>
          </cell>
          <cell r="E1804" t="str">
            <v>Netjets Middle East</v>
          </cell>
          <cell r="F1804">
            <v>14</v>
          </cell>
          <cell r="G1804">
            <v>32731</v>
          </cell>
          <cell r="I1804" t="str">
            <v>Middle East</v>
          </cell>
          <cell r="J1804" t="str">
            <v>Saudi Arabia</v>
          </cell>
          <cell r="K1804">
            <v>31958</v>
          </cell>
        </row>
        <row r="1805">
          <cell r="A1805" t="str">
            <v>In service</v>
          </cell>
          <cell r="B1805" t="str">
            <v>Gulfstream Aerospace Gulfstream IV</v>
          </cell>
          <cell r="C1805" t="str">
            <v xml:space="preserve"> </v>
          </cell>
          <cell r="D1805">
            <v>1988</v>
          </cell>
          <cell r="E1805" t="str">
            <v>STN Aviation Inc</v>
          </cell>
          <cell r="F1805">
            <v>14</v>
          </cell>
          <cell r="G1805">
            <v>32294</v>
          </cell>
          <cell r="I1805" t="str">
            <v>North America</v>
          </cell>
          <cell r="J1805" t="str">
            <v>USA</v>
          </cell>
          <cell r="K1805">
            <v>31228</v>
          </cell>
        </row>
        <row r="1806">
          <cell r="A1806" t="str">
            <v>In service</v>
          </cell>
          <cell r="B1806" t="str">
            <v>Gulfstream Aerospace Gulfstream IV</v>
          </cell>
          <cell r="C1806" t="str">
            <v xml:space="preserve"> </v>
          </cell>
          <cell r="D1806">
            <v>1988</v>
          </cell>
          <cell r="E1806" t="str">
            <v>DWAL LLC</v>
          </cell>
          <cell r="F1806">
            <v>14</v>
          </cell>
          <cell r="G1806">
            <v>32297</v>
          </cell>
          <cell r="I1806" t="str">
            <v>North America</v>
          </cell>
          <cell r="J1806" t="str">
            <v>USA</v>
          </cell>
          <cell r="K1806">
            <v>31228</v>
          </cell>
        </row>
        <row r="1807">
          <cell r="A1807" t="str">
            <v>In service</v>
          </cell>
          <cell r="B1807" t="str">
            <v>Gulfstream Aerospace Gulfstream IV</v>
          </cell>
          <cell r="C1807" t="str">
            <v xml:space="preserve"> </v>
          </cell>
          <cell r="D1807">
            <v>1988</v>
          </cell>
          <cell r="E1807" t="str">
            <v>KC Aviation Inc</v>
          </cell>
          <cell r="F1807">
            <v>14</v>
          </cell>
          <cell r="G1807">
            <v>32310</v>
          </cell>
          <cell r="I1807" t="str">
            <v>North America</v>
          </cell>
          <cell r="J1807" t="str">
            <v>USA</v>
          </cell>
          <cell r="K1807">
            <v>31593</v>
          </cell>
        </row>
        <row r="1808">
          <cell r="A1808" t="str">
            <v>In service</v>
          </cell>
          <cell r="B1808" t="str">
            <v>Gulfstream Aerospace Gulfstream IV</v>
          </cell>
          <cell r="C1808" t="str">
            <v xml:space="preserve"> </v>
          </cell>
          <cell r="D1808">
            <v>1989</v>
          </cell>
          <cell r="E1808" t="str">
            <v>Worldwide Services Ltd</v>
          </cell>
          <cell r="F1808">
            <v>13</v>
          </cell>
          <cell r="G1808">
            <v>32626</v>
          </cell>
          <cell r="I1808" t="str">
            <v>North America</v>
          </cell>
          <cell r="J1808" t="str">
            <v>USA</v>
          </cell>
          <cell r="K1808">
            <v>31958</v>
          </cell>
        </row>
        <row r="1809">
          <cell r="A1809" t="str">
            <v>In service</v>
          </cell>
          <cell r="B1809" t="str">
            <v>Gulfstream Aerospace Gulfstream IV</v>
          </cell>
          <cell r="C1809" t="str">
            <v xml:space="preserve"> </v>
          </cell>
          <cell r="D1809">
            <v>1988</v>
          </cell>
          <cell r="E1809" t="str">
            <v>Reliance Transport &amp; Travel LT</v>
          </cell>
          <cell r="F1809">
            <v>14</v>
          </cell>
          <cell r="G1809">
            <v>32463</v>
          </cell>
          <cell r="I1809" t="str">
            <v>Asia</v>
          </cell>
          <cell r="J1809" t="str">
            <v>India</v>
          </cell>
          <cell r="K1809">
            <v>31593</v>
          </cell>
        </row>
        <row r="1810">
          <cell r="A1810" t="str">
            <v>In service</v>
          </cell>
          <cell r="B1810" t="str">
            <v>Gulfstream Aerospace Gulfstream IV</v>
          </cell>
          <cell r="C1810" t="str">
            <v xml:space="preserve"> </v>
          </cell>
          <cell r="D1810">
            <v>1988</v>
          </cell>
          <cell r="E1810" t="str">
            <v>Prince Karim Aga Khan</v>
          </cell>
          <cell r="F1810">
            <v>14</v>
          </cell>
          <cell r="G1810">
            <v>32330</v>
          </cell>
          <cell r="I1810" t="str">
            <v>Europe</v>
          </cell>
          <cell r="J1810" t="str">
            <v>Switzerland</v>
          </cell>
          <cell r="K1810">
            <v>31958</v>
          </cell>
        </row>
        <row r="1811">
          <cell r="A1811" t="str">
            <v>In service</v>
          </cell>
          <cell r="B1811" t="str">
            <v>Gulfstream Aerospace Gulfstream IV</v>
          </cell>
          <cell r="C1811" t="str">
            <v xml:space="preserve"> </v>
          </cell>
          <cell r="D1811">
            <v>1988</v>
          </cell>
          <cell r="E1811" t="str">
            <v>MSF Aviation Ltd</v>
          </cell>
          <cell r="F1811">
            <v>14</v>
          </cell>
          <cell r="G1811">
            <v>32337</v>
          </cell>
          <cell r="I1811" t="str">
            <v>Latin America and Caribbean</v>
          </cell>
          <cell r="J1811" t="str">
            <v>Cayman Islands</v>
          </cell>
          <cell r="K1811">
            <v>31593</v>
          </cell>
        </row>
        <row r="1812">
          <cell r="A1812" t="str">
            <v>In service</v>
          </cell>
          <cell r="B1812" t="str">
            <v>Gulfstream Aerospace Gulfstream IV</v>
          </cell>
          <cell r="C1812" t="str">
            <v xml:space="preserve"> </v>
          </cell>
          <cell r="D1812">
            <v>1988</v>
          </cell>
          <cell r="E1812" t="str">
            <v>LCH Co LLC</v>
          </cell>
          <cell r="F1812">
            <v>14</v>
          </cell>
          <cell r="G1812">
            <v>32489</v>
          </cell>
          <cell r="I1812" t="str">
            <v>North America</v>
          </cell>
          <cell r="J1812" t="str">
            <v>USA</v>
          </cell>
          <cell r="K1812">
            <v>31593</v>
          </cell>
        </row>
        <row r="1813">
          <cell r="A1813" t="str">
            <v>In service</v>
          </cell>
          <cell r="B1813" t="str">
            <v>Gulfstream Aerospace Gulfstream IV</v>
          </cell>
          <cell r="C1813" t="str">
            <v xml:space="preserve"> </v>
          </cell>
          <cell r="D1813">
            <v>1988</v>
          </cell>
          <cell r="E1813" t="str">
            <v>Petersen Aviation</v>
          </cell>
          <cell r="F1813">
            <v>14</v>
          </cell>
          <cell r="G1813">
            <v>32346</v>
          </cell>
          <cell r="I1813" t="str">
            <v>North America</v>
          </cell>
          <cell r="J1813" t="str">
            <v>USA</v>
          </cell>
          <cell r="K1813">
            <v>31593</v>
          </cell>
        </row>
        <row r="1814">
          <cell r="A1814" t="str">
            <v>In service</v>
          </cell>
          <cell r="B1814" t="str">
            <v>Gulfstream Aerospace Gulfstream IV</v>
          </cell>
          <cell r="C1814" t="str">
            <v xml:space="preserve"> </v>
          </cell>
          <cell r="D1814">
            <v>1988</v>
          </cell>
          <cell r="E1814" t="str">
            <v>ConocoPhillips Co</v>
          </cell>
          <cell r="F1814">
            <v>14</v>
          </cell>
          <cell r="G1814">
            <v>32324</v>
          </cell>
          <cell r="I1814" t="str">
            <v>North America</v>
          </cell>
          <cell r="J1814" t="str">
            <v>USA</v>
          </cell>
          <cell r="K1814">
            <v>31593</v>
          </cell>
        </row>
        <row r="1815">
          <cell r="A1815" t="str">
            <v>In service</v>
          </cell>
          <cell r="B1815" t="str">
            <v>Gulfstream Aerospace Gulfstream IV</v>
          </cell>
          <cell r="C1815" t="str">
            <v xml:space="preserve"> </v>
          </cell>
          <cell r="D1815">
            <v>1988</v>
          </cell>
          <cell r="E1815" t="str">
            <v>Loral SpaceCom Corp</v>
          </cell>
          <cell r="F1815">
            <v>14</v>
          </cell>
          <cell r="G1815">
            <v>32353</v>
          </cell>
          <cell r="I1815" t="str">
            <v>North America</v>
          </cell>
          <cell r="J1815" t="str">
            <v>USA</v>
          </cell>
          <cell r="K1815">
            <v>31593</v>
          </cell>
        </row>
        <row r="1816">
          <cell r="A1816" t="str">
            <v>In service</v>
          </cell>
          <cell r="B1816" t="str">
            <v>Gulfstream Aerospace Gulfstream IV</v>
          </cell>
          <cell r="C1816" t="str">
            <v xml:space="preserve"> </v>
          </cell>
          <cell r="D1816">
            <v>1989</v>
          </cell>
          <cell r="E1816" t="str">
            <v>Prudential Insurance Company of America</v>
          </cell>
          <cell r="F1816">
            <v>13</v>
          </cell>
          <cell r="G1816">
            <v>32821</v>
          </cell>
          <cell r="I1816" t="str">
            <v>North America</v>
          </cell>
          <cell r="J1816" t="str">
            <v>USA</v>
          </cell>
          <cell r="K1816">
            <v>31958</v>
          </cell>
        </row>
        <row r="1817">
          <cell r="A1817" t="str">
            <v>In service</v>
          </cell>
          <cell r="B1817" t="str">
            <v>Gulfstream Aerospace Gulfstream IV</v>
          </cell>
          <cell r="C1817" t="str">
            <v xml:space="preserve"> </v>
          </cell>
          <cell r="D1817">
            <v>1988</v>
          </cell>
          <cell r="E1817" t="str">
            <v>Saudi ARAMCO Aviation</v>
          </cell>
          <cell r="F1817">
            <v>14</v>
          </cell>
          <cell r="G1817">
            <v>32388</v>
          </cell>
          <cell r="I1817" t="str">
            <v>Middle East</v>
          </cell>
          <cell r="J1817" t="str">
            <v>Saudi Arabia</v>
          </cell>
          <cell r="K1817">
            <v>31228</v>
          </cell>
        </row>
        <row r="1818">
          <cell r="A1818" t="str">
            <v>In service</v>
          </cell>
          <cell r="B1818" t="str">
            <v>Gulfstream Aerospace Gulfstream IV</v>
          </cell>
          <cell r="C1818" t="str">
            <v xml:space="preserve"> </v>
          </cell>
          <cell r="D1818">
            <v>1988</v>
          </cell>
          <cell r="E1818" t="str">
            <v>Saudi ARAMCO Aviation</v>
          </cell>
          <cell r="F1818">
            <v>14</v>
          </cell>
          <cell r="G1818">
            <v>32400</v>
          </cell>
          <cell r="I1818" t="str">
            <v>Middle East</v>
          </cell>
          <cell r="J1818" t="str">
            <v>Saudi Arabia</v>
          </cell>
          <cell r="K1818">
            <v>31228</v>
          </cell>
        </row>
        <row r="1819">
          <cell r="A1819" t="str">
            <v>In service</v>
          </cell>
          <cell r="B1819" t="str">
            <v>Gulfstream Aerospace Gulfstream IV</v>
          </cell>
          <cell r="C1819" t="str">
            <v xml:space="preserve"> </v>
          </cell>
          <cell r="D1819">
            <v>1988</v>
          </cell>
          <cell r="E1819" t="str">
            <v>FAA / US DoT</v>
          </cell>
          <cell r="F1819">
            <v>14</v>
          </cell>
          <cell r="G1819">
            <v>32674</v>
          </cell>
          <cell r="I1819" t="str">
            <v>North America</v>
          </cell>
          <cell r="J1819" t="str">
            <v>USA</v>
          </cell>
          <cell r="K1819">
            <v>31943</v>
          </cell>
        </row>
        <row r="1820">
          <cell r="A1820" t="str">
            <v>In service</v>
          </cell>
          <cell r="B1820" t="str">
            <v>Gulfstream Aerospace Gulfstream IV</v>
          </cell>
          <cell r="C1820" t="str">
            <v xml:space="preserve"> </v>
          </cell>
          <cell r="D1820">
            <v>1989</v>
          </cell>
          <cell r="E1820" t="str">
            <v>Crescent Heights of America Inc</v>
          </cell>
          <cell r="F1820">
            <v>13</v>
          </cell>
          <cell r="G1820">
            <v>32652</v>
          </cell>
          <cell r="I1820" t="str">
            <v>North America</v>
          </cell>
          <cell r="J1820" t="str">
            <v>USA</v>
          </cell>
          <cell r="K1820">
            <v>31958</v>
          </cell>
        </row>
        <row r="1821">
          <cell r="A1821" t="str">
            <v>In service</v>
          </cell>
          <cell r="B1821" t="str">
            <v>Gulfstream Aerospace Gulfstream IV</v>
          </cell>
          <cell r="C1821" t="str">
            <v xml:space="preserve"> </v>
          </cell>
          <cell r="D1821">
            <v>1988</v>
          </cell>
          <cell r="E1821" t="str">
            <v>Solar II Inc</v>
          </cell>
          <cell r="F1821">
            <v>14</v>
          </cell>
          <cell r="G1821">
            <v>32423</v>
          </cell>
          <cell r="I1821" t="str">
            <v>North America</v>
          </cell>
          <cell r="J1821" t="str">
            <v>USA</v>
          </cell>
          <cell r="K1821">
            <v>31593</v>
          </cell>
        </row>
        <row r="1822">
          <cell r="A1822" t="str">
            <v>In service</v>
          </cell>
          <cell r="B1822" t="str">
            <v>Gulfstream Aerospace Gulfstream IV</v>
          </cell>
          <cell r="C1822" t="str">
            <v xml:space="preserve"> </v>
          </cell>
          <cell r="D1822">
            <v>1989</v>
          </cell>
          <cell r="E1822" t="str">
            <v>Natascha Establishment Ltd</v>
          </cell>
          <cell r="F1822">
            <v>13</v>
          </cell>
          <cell r="G1822">
            <v>32609</v>
          </cell>
          <cell r="I1822" t="str">
            <v>Latin America and Caribbean</v>
          </cell>
          <cell r="J1822" t="str">
            <v>Bermuda</v>
          </cell>
          <cell r="K1822">
            <v>31958</v>
          </cell>
        </row>
        <row r="1823">
          <cell r="A1823" t="str">
            <v>In service</v>
          </cell>
          <cell r="B1823" t="str">
            <v>Gulfstream Aerospace Gulfstream IV</v>
          </cell>
          <cell r="C1823" t="str">
            <v xml:space="preserve"> </v>
          </cell>
          <cell r="D1823">
            <v>1988</v>
          </cell>
          <cell r="E1823" t="str">
            <v>Liamaj Aviation Inc</v>
          </cell>
          <cell r="F1823">
            <v>14</v>
          </cell>
          <cell r="G1823">
            <v>32426</v>
          </cell>
          <cell r="I1823" t="str">
            <v>North America</v>
          </cell>
          <cell r="J1823" t="str">
            <v>USA</v>
          </cell>
          <cell r="K1823">
            <v>31958</v>
          </cell>
        </row>
        <row r="1824">
          <cell r="A1824" t="str">
            <v>In service</v>
          </cell>
          <cell r="B1824" t="str">
            <v>Gulfstream Aerospace Gulfstream IV</v>
          </cell>
          <cell r="C1824" t="str">
            <v xml:space="preserve"> </v>
          </cell>
          <cell r="D1824">
            <v>1989</v>
          </cell>
          <cell r="E1824" t="str">
            <v>Templeton Asset Management Ltd</v>
          </cell>
          <cell r="F1824">
            <v>13</v>
          </cell>
          <cell r="G1824">
            <v>32829</v>
          </cell>
          <cell r="I1824" t="str">
            <v>Asia</v>
          </cell>
          <cell r="J1824" t="str">
            <v>Singapore</v>
          </cell>
          <cell r="K1824">
            <v>31958</v>
          </cell>
        </row>
        <row r="1825">
          <cell r="A1825" t="str">
            <v>In service</v>
          </cell>
          <cell r="B1825" t="str">
            <v>Gulfstream Aerospace Gulfstream IV</v>
          </cell>
          <cell r="C1825" t="str">
            <v xml:space="preserve"> </v>
          </cell>
          <cell r="D1825">
            <v>1988</v>
          </cell>
          <cell r="E1825" t="str">
            <v>Dankjold Reed Aviation LLC</v>
          </cell>
          <cell r="F1825">
            <v>14</v>
          </cell>
          <cell r="G1825">
            <v>32447</v>
          </cell>
          <cell r="I1825" t="str">
            <v>North America</v>
          </cell>
          <cell r="J1825" t="str">
            <v>USA</v>
          </cell>
          <cell r="K1825">
            <v>31593</v>
          </cell>
        </row>
        <row r="1826">
          <cell r="A1826" t="str">
            <v>In service</v>
          </cell>
          <cell r="B1826" t="str">
            <v>Gulfstream Aerospace Gulfstream IV</v>
          </cell>
          <cell r="C1826" t="str">
            <v xml:space="preserve"> </v>
          </cell>
          <cell r="D1826">
            <v>1989</v>
          </cell>
          <cell r="E1826" t="str">
            <v>Shell Aircraft Ltd</v>
          </cell>
          <cell r="F1826">
            <v>13</v>
          </cell>
          <cell r="G1826">
            <v>32805</v>
          </cell>
          <cell r="I1826" t="str">
            <v>Europe</v>
          </cell>
          <cell r="J1826" t="str">
            <v>United Kingdom</v>
          </cell>
          <cell r="K1826">
            <v>31958</v>
          </cell>
        </row>
        <row r="1827">
          <cell r="A1827" t="str">
            <v>In service</v>
          </cell>
          <cell r="B1827" t="str">
            <v>Gulfstream Aerospace Gulfstream IV</v>
          </cell>
          <cell r="C1827" t="str">
            <v xml:space="preserve"> </v>
          </cell>
          <cell r="D1827">
            <v>1989</v>
          </cell>
          <cell r="E1827" t="str">
            <v>Wham Leasing Corp</v>
          </cell>
          <cell r="F1827">
            <v>13</v>
          </cell>
          <cell r="G1827">
            <v>32689</v>
          </cell>
          <cell r="I1827" t="str">
            <v>North America</v>
          </cell>
          <cell r="J1827" t="str">
            <v>USA</v>
          </cell>
          <cell r="K1827">
            <v>32324</v>
          </cell>
        </row>
        <row r="1828">
          <cell r="A1828" t="str">
            <v>In service</v>
          </cell>
          <cell r="B1828" t="str">
            <v>Gulfstream Aerospace Gulfstream IV</v>
          </cell>
          <cell r="C1828" t="str">
            <v xml:space="preserve"> </v>
          </cell>
          <cell r="D1828">
            <v>1988</v>
          </cell>
          <cell r="E1828" t="str">
            <v>Oxy Petroleum Inc</v>
          </cell>
          <cell r="F1828">
            <v>14</v>
          </cell>
          <cell r="G1828">
            <v>32478</v>
          </cell>
          <cell r="I1828" t="str">
            <v>North America</v>
          </cell>
          <cell r="J1828" t="str">
            <v>USA</v>
          </cell>
          <cell r="K1828">
            <v>31593</v>
          </cell>
        </row>
        <row r="1829">
          <cell r="A1829" t="str">
            <v>In service</v>
          </cell>
          <cell r="B1829" t="str">
            <v>Gulfstream Aerospace Gulfstream IV</v>
          </cell>
          <cell r="C1829" t="str">
            <v xml:space="preserve"> </v>
          </cell>
          <cell r="D1829">
            <v>1988</v>
          </cell>
          <cell r="E1829" t="str">
            <v>Management Investments Enterprises LLC</v>
          </cell>
          <cell r="F1829">
            <v>14</v>
          </cell>
          <cell r="G1829">
            <v>32476</v>
          </cell>
          <cell r="I1829" t="str">
            <v>North America</v>
          </cell>
          <cell r="J1829" t="str">
            <v>USA</v>
          </cell>
          <cell r="K1829">
            <v>31958</v>
          </cell>
        </row>
        <row r="1830">
          <cell r="A1830" t="str">
            <v>In service</v>
          </cell>
          <cell r="B1830" t="str">
            <v>Gulfstream Aerospace Gulfstream IV</v>
          </cell>
          <cell r="C1830" t="str">
            <v xml:space="preserve"> </v>
          </cell>
          <cell r="D1830">
            <v>1988</v>
          </cell>
          <cell r="E1830" t="str">
            <v>Burlington Resources Oil &amp; Gas Co</v>
          </cell>
          <cell r="F1830">
            <v>14</v>
          </cell>
          <cell r="G1830">
            <v>32498</v>
          </cell>
          <cell r="I1830" t="str">
            <v>North America</v>
          </cell>
          <cell r="J1830" t="str">
            <v>USA</v>
          </cell>
          <cell r="K1830">
            <v>31958</v>
          </cell>
        </row>
        <row r="1831">
          <cell r="A1831" t="str">
            <v>In service</v>
          </cell>
          <cell r="B1831" t="str">
            <v>Gulfstream Aerospace Gulfstream IV</v>
          </cell>
          <cell r="C1831" t="str">
            <v xml:space="preserve"> </v>
          </cell>
          <cell r="D1831">
            <v>1988</v>
          </cell>
          <cell r="E1831" t="str">
            <v>Crown Ltd</v>
          </cell>
          <cell r="F1831">
            <v>14</v>
          </cell>
          <cell r="G1831">
            <v>32766</v>
          </cell>
          <cell r="I1831" t="str">
            <v>Australasia</v>
          </cell>
          <cell r="J1831" t="str">
            <v>Australia</v>
          </cell>
          <cell r="K1831">
            <v>31958</v>
          </cell>
        </row>
        <row r="1832">
          <cell r="A1832" t="str">
            <v>In service</v>
          </cell>
          <cell r="B1832" t="str">
            <v>Gulfstream Aerospace Gulfstream IV</v>
          </cell>
          <cell r="C1832" t="str">
            <v xml:space="preserve"> </v>
          </cell>
          <cell r="D1832">
            <v>1989</v>
          </cell>
          <cell r="E1832" t="str">
            <v>Sit-Set Aviation AG</v>
          </cell>
          <cell r="F1832">
            <v>13</v>
          </cell>
          <cell r="G1832">
            <v>32746</v>
          </cell>
          <cell r="I1832" t="str">
            <v>Europe</v>
          </cell>
          <cell r="J1832" t="str">
            <v>Switzerland</v>
          </cell>
          <cell r="K1832">
            <v>31958</v>
          </cell>
        </row>
        <row r="1833">
          <cell r="A1833" t="str">
            <v>In service</v>
          </cell>
          <cell r="B1833" t="str">
            <v>Gulfstream Aerospace Gulfstream IV</v>
          </cell>
          <cell r="C1833" t="str">
            <v xml:space="preserve"> </v>
          </cell>
          <cell r="D1833">
            <v>1988</v>
          </cell>
          <cell r="E1833" t="str">
            <v>Petersen Aviation</v>
          </cell>
          <cell r="F1833">
            <v>14</v>
          </cell>
          <cell r="G1833">
            <v>32506</v>
          </cell>
          <cell r="I1833" t="str">
            <v>North America</v>
          </cell>
          <cell r="J1833" t="str">
            <v>USA</v>
          </cell>
          <cell r="K1833">
            <v>31958</v>
          </cell>
        </row>
        <row r="1834">
          <cell r="A1834" t="str">
            <v>In service</v>
          </cell>
          <cell r="B1834" t="str">
            <v>Gulfstream Aerospace Gulfstream IV</v>
          </cell>
          <cell r="C1834" t="str">
            <v xml:space="preserve"> </v>
          </cell>
          <cell r="D1834">
            <v>1988</v>
          </cell>
          <cell r="E1834" t="str">
            <v>Stockwood Inc</v>
          </cell>
          <cell r="F1834">
            <v>14</v>
          </cell>
          <cell r="G1834">
            <v>32506</v>
          </cell>
          <cell r="I1834" t="str">
            <v>North America</v>
          </cell>
          <cell r="J1834" t="str">
            <v>USA</v>
          </cell>
          <cell r="K1834">
            <v>31958</v>
          </cell>
        </row>
        <row r="1835">
          <cell r="A1835" t="str">
            <v>In service</v>
          </cell>
          <cell r="B1835" t="str">
            <v>Gulfstream Aerospace Gulfstream IV</v>
          </cell>
          <cell r="C1835" t="str">
            <v xml:space="preserve"> </v>
          </cell>
          <cell r="D1835">
            <v>1989</v>
          </cell>
          <cell r="E1835" t="str">
            <v>Bombardier Capital Inc</v>
          </cell>
          <cell r="F1835">
            <v>13</v>
          </cell>
          <cell r="G1835">
            <v>32561</v>
          </cell>
          <cell r="I1835" t="str">
            <v>North America</v>
          </cell>
          <cell r="J1835" t="str">
            <v>USA</v>
          </cell>
          <cell r="K1835">
            <v>31958</v>
          </cell>
        </row>
        <row r="1836">
          <cell r="A1836" t="str">
            <v>In service</v>
          </cell>
          <cell r="B1836" t="str">
            <v>Gulfstream Aerospace Gulfstream IV</v>
          </cell>
          <cell r="C1836" t="str">
            <v xml:space="preserve"> </v>
          </cell>
          <cell r="D1836">
            <v>1989</v>
          </cell>
          <cell r="E1836" t="str">
            <v>Chilean Air Force</v>
          </cell>
          <cell r="F1836">
            <v>13</v>
          </cell>
          <cell r="G1836">
            <v>32566</v>
          </cell>
          <cell r="I1836" t="str">
            <v>Latin America and Caribbean</v>
          </cell>
          <cell r="J1836" t="str">
            <v>Chile</v>
          </cell>
          <cell r="K1836">
            <v>31593</v>
          </cell>
        </row>
        <row r="1837">
          <cell r="A1837" t="str">
            <v>In service</v>
          </cell>
          <cell r="B1837" t="str">
            <v>Gulfstream Aerospace Gulfstream IV</v>
          </cell>
          <cell r="C1837" t="str">
            <v xml:space="preserve"> </v>
          </cell>
          <cell r="D1837">
            <v>1989</v>
          </cell>
          <cell r="E1837" t="str">
            <v>JetFly Aviation Ltd</v>
          </cell>
          <cell r="F1837">
            <v>13</v>
          </cell>
          <cell r="G1837">
            <v>32947</v>
          </cell>
          <cell r="I1837" t="str">
            <v>Latin America and Caribbean</v>
          </cell>
          <cell r="J1837" t="str">
            <v>Cayman Islands</v>
          </cell>
          <cell r="K1837">
            <v>32324</v>
          </cell>
        </row>
        <row r="1838">
          <cell r="A1838" t="str">
            <v>In service</v>
          </cell>
          <cell r="B1838" t="str">
            <v>Gulfstream Aerospace Gulfstream IV</v>
          </cell>
          <cell r="C1838" t="str">
            <v xml:space="preserve"> </v>
          </cell>
          <cell r="D1838">
            <v>1989</v>
          </cell>
          <cell r="E1838" t="str">
            <v>General Electric Company</v>
          </cell>
          <cell r="F1838">
            <v>13</v>
          </cell>
          <cell r="G1838">
            <v>32583</v>
          </cell>
          <cell r="I1838" t="str">
            <v>North America</v>
          </cell>
          <cell r="J1838" t="str">
            <v>USA</v>
          </cell>
          <cell r="K1838">
            <v>31958</v>
          </cell>
        </row>
        <row r="1839">
          <cell r="A1839" t="str">
            <v>In service</v>
          </cell>
          <cell r="B1839" t="str">
            <v>Gulfstream Aerospace Gulfstream IV</v>
          </cell>
          <cell r="C1839" t="str">
            <v xml:space="preserve"> </v>
          </cell>
          <cell r="D1839">
            <v>1989</v>
          </cell>
          <cell r="E1839" t="str">
            <v>NBL LLC</v>
          </cell>
          <cell r="F1839">
            <v>13</v>
          </cell>
          <cell r="G1839">
            <v>32590</v>
          </cell>
          <cell r="I1839" t="str">
            <v>North America</v>
          </cell>
          <cell r="J1839" t="str">
            <v>USA</v>
          </cell>
          <cell r="K1839">
            <v>31958</v>
          </cell>
        </row>
        <row r="1840">
          <cell r="A1840" t="str">
            <v>In service</v>
          </cell>
          <cell r="B1840" t="str">
            <v>Gulfstream Aerospace Gulfstream IV</v>
          </cell>
          <cell r="C1840" t="str">
            <v xml:space="preserve"> </v>
          </cell>
          <cell r="D1840">
            <v>1989</v>
          </cell>
          <cell r="E1840" t="str">
            <v>Madiville Holdings Corp</v>
          </cell>
          <cell r="F1840">
            <v>13</v>
          </cell>
          <cell r="G1840">
            <v>32857</v>
          </cell>
          <cell r="I1840" t="str">
            <v>North America</v>
          </cell>
          <cell r="J1840" t="str">
            <v>USA</v>
          </cell>
          <cell r="K1840">
            <v>31958</v>
          </cell>
        </row>
        <row r="1841">
          <cell r="A1841" t="str">
            <v>In service</v>
          </cell>
          <cell r="B1841" t="str">
            <v>Gulfstream Aerospace Gulfstream IV</v>
          </cell>
          <cell r="C1841" t="str">
            <v xml:space="preserve"> </v>
          </cell>
          <cell r="D1841">
            <v>1989</v>
          </cell>
          <cell r="E1841" t="str">
            <v>Flying Investments LP</v>
          </cell>
          <cell r="F1841">
            <v>13</v>
          </cell>
          <cell r="G1841">
            <v>32611</v>
          </cell>
          <cell r="I1841" t="str">
            <v>Unknown area</v>
          </cell>
          <cell r="J1841" t="str">
            <v>Unknown Country</v>
          </cell>
          <cell r="K1841">
            <v>31958</v>
          </cell>
        </row>
        <row r="1842">
          <cell r="A1842" t="str">
            <v>In service</v>
          </cell>
          <cell r="B1842" t="str">
            <v>Gulfstream Aerospace Gulfstream IV</v>
          </cell>
          <cell r="C1842" t="str">
            <v xml:space="preserve"> </v>
          </cell>
          <cell r="D1842">
            <v>1989</v>
          </cell>
          <cell r="E1842" t="str">
            <v>Eli Lilly International Corp</v>
          </cell>
          <cell r="F1842">
            <v>13</v>
          </cell>
          <cell r="G1842">
            <v>32619</v>
          </cell>
          <cell r="I1842" t="str">
            <v>North America</v>
          </cell>
          <cell r="J1842" t="str">
            <v>USA</v>
          </cell>
          <cell r="K1842">
            <v>31958</v>
          </cell>
        </row>
        <row r="1843">
          <cell r="A1843" t="str">
            <v>In service</v>
          </cell>
          <cell r="B1843" t="str">
            <v>Gulfstream Aerospace Gulfstream IV</v>
          </cell>
          <cell r="C1843" t="str">
            <v xml:space="preserve"> </v>
          </cell>
          <cell r="D1843">
            <v>1989</v>
          </cell>
          <cell r="E1843" t="str">
            <v>Rolls-Royce</v>
          </cell>
          <cell r="F1843">
            <v>13</v>
          </cell>
          <cell r="G1843">
            <v>32857</v>
          </cell>
          <cell r="I1843" t="str">
            <v>Europe</v>
          </cell>
          <cell r="J1843" t="str">
            <v>United Kingdom</v>
          </cell>
          <cell r="K1843">
            <v>31958</v>
          </cell>
        </row>
        <row r="1844">
          <cell r="A1844" t="str">
            <v>In service</v>
          </cell>
          <cell r="B1844" t="str">
            <v>Gulfstream Aerospace Gulfstream IV</v>
          </cell>
          <cell r="C1844" t="str">
            <v xml:space="preserve"> </v>
          </cell>
          <cell r="D1844">
            <v>1989</v>
          </cell>
          <cell r="E1844" t="str">
            <v>ABT Flight Inc</v>
          </cell>
          <cell r="F1844">
            <v>13</v>
          </cell>
          <cell r="G1844">
            <v>32637</v>
          </cell>
          <cell r="I1844" t="str">
            <v>North America</v>
          </cell>
          <cell r="J1844" t="str">
            <v>USA</v>
          </cell>
          <cell r="K1844">
            <v>31958</v>
          </cell>
        </row>
        <row r="1845">
          <cell r="A1845" t="str">
            <v>In service</v>
          </cell>
          <cell r="B1845" t="str">
            <v>Gulfstream Aerospace Gulfstream IV</v>
          </cell>
          <cell r="C1845" t="str">
            <v xml:space="preserve"> </v>
          </cell>
          <cell r="D1845">
            <v>1989</v>
          </cell>
          <cell r="E1845" t="str">
            <v>Wings Venture Ltd</v>
          </cell>
          <cell r="F1845">
            <v>13</v>
          </cell>
          <cell r="G1845">
            <v>32660</v>
          </cell>
          <cell r="I1845" t="str">
            <v>North America</v>
          </cell>
          <cell r="J1845" t="str">
            <v>USA</v>
          </cell>
          <cell r="K1845">
            <v>31958</v>
          </cell>
        </row>
        <row r="1846">
          <cell r="A1846" t="str">
            <v>In service</v>
          </cell>
          <cell r="B1846" t="str">
            <v>Gulfstream Aerospace Gulfstream IV</v>
          </cell>
          <cell r="C1846" t="str">
            <v xml:space="preserve"> </v>
          </cell>
          <cell r="D1846">
            <v>1989</v>
          </cell>
          <cell r="E1846" t="str">
            <v>CKE Associates LLC</v>
          </cell>
          <cell r="F1846">
            <v>13</v>
          </cell>
          <cell r="G1846">
            <v>32780</v>
          </cell>
          <cell r="I1846" t="str">
            <v>North America</v>
          </cell>
          <cell r="J1846" t="str">
            <v>USA</v>
          </cell>
          <cell r="K1846">
            <v>31958</v>
          </cell>
        </row>
        <row r="1847">
          <cell r="A1847" t="str">
            <v>In service</v>
          </cell>
          <cell r="B1847" t="str">
            <v>Gulfstream Aerospace Gulfstream IV</v>
          </cell>
          <cell r="C1847" t="str">
            <v xml:space="preserve"> </v>
          </cell>
          <cell r="D1847">
            <v>1989</v>
          </cell>
          <cell r="E1847" t="str">
            <v>GC Pacific Landing Corp</v>
          </cell>
          <cell r="F1847">
            <v>13</v>
          </cell>
          <cell r="G1847">
            <v>32668</v>
          </cell>
          <cell r="I1847" t="str">
            <v>Latin America and Caribbean</v>
          </cell>
          <cell r="J1847" t="str">
            <v>Bermuda</v>
          </cell>
          <cell r="K1847">
            <v>31958</v>
          </cell>
        </row>
        <row r="1848">
          <cell r="A1848" t="str">
            <v>In service</v>
          </cell>
          <cell r="B1848" t="str">
            <v>Gulfstream Aerospace Gulfstream IV</v>
          </cell>
          <cell r="C1848" t="str">
            <v xml:space="preserve"> </v>
          </cell>
          <cell r="D1848">
            <v>1989</v>
          </cell>
          <cell r="E1848" t="str">
            <v>General Electric Company</v>
          </cell>
          <cell r="F1848">
            <v>13</v>
          </cell>
          <cell r="G1848">
            <v>32675</v>
          </cell>
          <cell r="I1848" t="str">
            <v>North America</v>
          </cell>
          <cell r="J1848" t="str">
            <v>USA</v>
          </cell>
          <cell r="K1848">
            <v>31958</v>
          </cell>
        </row>
        <row r="1849">
          <cell r="A1849" t="str">
            <v>In service</v>
          </cell>
          <cell r="B1849" t="str">
            <v>Gulfstream Aerospace Gulfstream IV</v>
          </cell>
          <cell r="C1849" t="str">
            <v xml:space="preserve"> </v>
          </cell>
          <cell r="D1849">
            <v>1989</v>
          </cell>
          <cell r="E1849" t="str">
            <v>BP Amoco Corp</v>
          </cell>
          <cell r="F1849">
            <v>13</v>
          </cell>
          <cell r="G1849">
            <v>32687</v>
          </cell>
          <cell r="I1849" t="str">
            <v>North America</v>
          </cell>
          <cell r="J1849" t="str">
            <v>USA</v>
          </cell>
          <cell r="K1849">
            <v>31958</v>
          </cell>
        </row>
        <row r="1850">
          <cell r="A1850" t="str">
            <v>In service</v>
          </cell>
          <cell r="B1850" t="str">
            <v>Gulfstream Aerospace Gulfstream IV</v>
          </cell>
          <cell r="C1850" t="str">
            <v xml:space="preserve"> </v>
          </cell>
          <cell r="D1850">
            <v>1989</v>
          </cell>
          <cell r="E1850" t="str">
            <v>Barrick Gold Corp</v>
          </cell>
          <cell r="F1850">
            <v>13</v>
          </cell>
          <cell r="G1850">
            <v>32692</v>
          </cell>
          <cell r="I1850" t="str">
            <v>North America</v>
          </cell>
          <cell r="J1850" t="str">
            <v>Canada</v>
          </cell>
          <cell r="K1850">
            <v>31958</v>
          </cell>
        </row>
        <row r="1851">
          <cell r="A1851" t="str">
            <v>In service</v>
          </cell>
          <cell r="B1851" t="str">
            <v>Gulfstream Aerospace Gulfstream IV</v>
          </cell>
          <cell r="C1851" t="str">
            <v xml:space="preserve"> </v>
          </cell>
          <cell r="D1851">
            <v>1989</v>
          </cell>
          <cell r="E1851" t="str">
            <v>MC Group</v>
          </cell>
          <cell r="F1851">
            <v>13</v>
          </cell>
          <cell r="G1851">
            <v>32884</v>
          </cell>
          <cell r="I1851" t="str">
            <v>North America</v>
          </cell>
          <cell r="J1851" t="str">
            <v>USA</v>
          </cell>
          <cell r="K1851">
            <v>32324</v>
          </cell>
        </row>
        <row r="1852">
          <cell r="A1852" t="str">
            <v>In service</v>
          </cell>
          <cell r="B1852" t="str">
            <v>Gulfstream Aerospace Gulfstream IV</v>
          </cell>
          <cell r="C1852" t="str">
            <v xml:space="preserve"> </v>
          </cell>
          <cell r="D1852">
            <v>1989</v>
          </cell>
          <cell r="E1852" t="str">
            <v>Eli Lilly International Corp</v>
          </cell>
          <cell r="F1852">
            <v>13</v>
          </cell>
          <cell r="G1852">
            <v>32722</v>
          </cell>
          <cell r="I1852" t="str">
            <v>North America</v>
          </cell>
          <cell r="J1852" t="str">
            <v>USA</v>
          </cell>
          <cell r="K1852">
            <v>31958</v>
          </cell>
        </row>
        <row r="1853">
          <cell r="A1853" t="str">
            <v>In service</v>
          </cell>
          <cell r="B1853" t="str">
            <v>Gulfstream Aerospace Gulfstream IV</v>
          </cell>
          <cell r="C1853" t="str">
            <v xml:space="preserve"> </v>
          </cell>
          <cell r="D1853">
            <v>1990</v>
          </cell>
          <cell r="E1853" t="str">
            <v>Sultanate of Johore Malaysia</v>
          </cell>
          <cell r="F1853">
            <v>12</v>
          </cell>
          <cell r="G1853">
            <v>33312</v>
          </cell>
          <cell r="I1853" t="str">
            <v>Asia</v>
          </cell>
          <cell r="J1853" t="str">
            <v>Malaysia</v>
          </cell>
          <cell r="K1853">
            <v>32689</v>
          </cell>
        </row>
        <row r="1854">
          <cell r="A1854" t="str">
            <v>In service</v>
          </cell>
          <cell r="B1854" t="str">
            <v>Gulfstream Aerospace Gulfstream IV</v>
          </cell>
          <cell r="C1854" t="str">
            <v xml:space="preserve"> </v>
          </cell>
          <cell r="D1854">
            <v>1989</v>
          </cell>
          <cell r="E1854" t="str">
            <v>Ford Aviation LLC</v>
          </cell>
          <cell r="F1854">
            <v>13</v>
          </cell>
          <cell r="G1854">
            <v>32919</v>
          </cell>
          <cell r="I1854" t="str">
            <v>North America</v>
          </cell>
          <cell r="J1854" t="str">
            <v>USA</v>
          </cell>
          <cell r="K1854">
            <v>32324</v>
          </cell>
        </row>
        <row r="1855">
          <cell r="A1855" t="str">
            <v>In service</v>
          </cell>
          <cell r="B1855" t="str">
            <v>Gulfstream Aerospace Gulfstream IV</v>
          </cell>
          <cell r="C1855" t="str">
            <v xml:space="preserve"> </v>
          </cell>
          <cell r="D1855">
            <v>1989</v>
          </cell>
          <cell r="E1855" t="str">
            <v>News Limited</v>
          </cell>
          <cell r="F1855">
            <v>13</v>
          </cell>
          <cell r="G1855">
            <v>32736</v>
          </cell>
          <cell r="I1855" t="str">
            <v>Australasia</v>
          </cell>
          <cell r="J1855" t="str">
            <v>Australia</v>
          </cell>
          <cell r="K1855">
            <v>31958</v>
          </cell>
        </row>
        <row r="1856">
          <cell r="A1856" t="str">
            <v>In service</v>
          </cell>
          <cell r="B1856" t="str">
            <v>Gulfstream Aerospace Gulfstream IV</v>
          </cell>
          <cell r="C1856" t="str">
            <v xml:space="preserve"> </v>
          </cell>
          <cell r="D1856">
            <v>1990</v>
          </cell>
          <cell r="E1856" t="str">
            <v>Gestair</v>
          </cell>
          <cell r="F1856">
            <v>12</v>
          </cell>
          <cell r="G1856">
            <v>33312</v>
          </cell>
          <cell r="I1856" t="str">
            <v>Europe</v>
          </cell>
          <cell r="J1856" t="str">
            <v>Spain</v>
          </cell>
          <cell r="K1856">
            <v>32689</v>
          </cell>
        </row>
        <row r="1857">
          <cell r="A1857" t="str">
            <v>In service</v>
          </cell>
          <cell r="B1857" t="str">
            <v>Gulfstream Aerospace Gulfstream IV</v>
          </cell>
          <cell r="C1857" t="str">
            <v xml:space="preserve"> </v>
          </cell>
          <cell r="D1857">
            <v>1989</v>
          </cell>
          <cell r="E1857" t="str">
            <v>G-IV 1000 LLC</v>
          </cell>
          <cell r="F1857">
            <v>13</v>
          </cell>
          <cell r="G1857">
            <v>32744</v>
          </cell>
          <cell r="I1857" t="str">
            <v>North America</v>
          </cell>
          <cell r="J1857" t="str">
            <v>USA</v>
          </cell>
          <cell r="K1857">
            <v>31958</v>
          </cell>
        </row>
        <row r="1858">
          <cell r="A1858" t="str">
            <v>In service</v>
          </cell>
          <cell r="B1858" t="str">
            <v>Gulfstream Aerospace Gulfstream IV</v>
          </cell>
          <cell r="C1858" t="str">
            <v xml:space="preserve"> </v>
          </cell>
          <cell r="D1858">
            <v>1989</v>
          </cell>
          <cell r="E1858" t="str">
            <v>Apex Oil Co Inc</v>
          </cell>
          <cell r="F1858">
            <v>13</v>
          </cell>
          <cell r="G1858">
            <v>32762</v>
          </cell>
          <cell r="I1858" t="str">
            <v>North America</v>
          </cell>
          <cell r="J1858" t="str">
            <v>USA</v>
          </cell>
          <cell r="K1858">
            <v>31958</v>
          </cell>
        </row>
        <row r="1859">
          <cell r="A1859" t="str">
            <v>In service</v>
          </cell>
          <cell r="B1859" t="str">
            <v>Gulfstream Aerospace Gulfstream IV</v>
          </cell>
          <cell r="C1859" t="str">
            <v xml:space="preserve"> </v>
          </cell>
          <cell r="D1859">
            <v>1989</v>
          </cell>
          <cell r="E1859" t="str">
            <v>United Technologies Corp</v>
          </cell>
          <cell r="F1859">
            <v>13</v>
          </cell>
          <cell r="G1859">
            <v>32770</v>
          </cell>
          <cell r="I1859" t="str">
            <v>North America</v>
          </cell>
          <cell r="J1859" t="str">
            <v>USA</v>
          </cell>
          <cell r="K1859">
            <v>31958</v>
          </cell>
        </row>
        <row r="1860">
          <cell r="A1860" t="str">
            <v>In service</v>
          </cell>
          <cell r="B1860" t="str">
            <v>Gulfstream Aerospace Gulfstream IV</v>
          </cell>
          <cell r="C1860" t="str">
            <v xml:space="preserve"> </v>
          </cell>
          <cell r="D1860">
            <v>1989</v>
          </cell>
          <cell r="E1860" t="str">
            <v>Garthorpe Inc</v>
          </cell>
          <cell r="F1860">
            <v>13</v>
          </cell>
          <cell r="G1860">
            <v>32787</v>
          </cell>
          <cell r="I1860" t="str">
            <v>North America</v>
          </cell>
          <cell r="J1860" t="str">
            <v>USA</v>
          </cell>
          <cell r="K1860">
            <v>32324</v>
          </cell>
        </row>
        <row r="1861">
          <cell r="A1861" t="str">
            <v>In service</v>
          </cell>
          <cell r="B1861" t="str">
            <v>Gulfstream Aerospace Gulfstream IV</v>
          </cell>
          <cell r="C1861" t="str">
            <v xml:space="preserve"> </v>
          </cell>
          <cell r="D1861">
            <v>1989</v>
          </cell>
          <cell r="E1861" t="str">
            <v>Lexair Ltd/LG Euro Holdings LLC/et al</v>
          </cell>
          <cell r="F1861">
            <v>13</v>
          </cell>
          <cell r="G1861">
            <v>33012</v>
          </cell>
          <cell r="I1861" t="str">
            <v>North America</v>
          </cell>
          <cell r="J1861" t="str">
            <v>USA</v>
          </cell>
          <cell r="K1861">
            <v>32324</v>
          </cell>
        </row>
        <row r="1862">
          <cell r="A1862" t="str">
            <v>In service</v>
          </cell>
          <cell r="B1862" t="str">
            <v>Gulfstream Aerospace Gulfstream IV</v>
          </cell>
          <cell r="C1862" t="str">
            <v xml:space="preserve"> </v>
          </cell>
          <cell r="D1862">
            <v>1989</v>
          </cell>
          <cell r="E1862" t="str">
            <v>Meridian Services Inc</v>
          </cell>
          <cell r="F1862">
            <v>13</v>
          </cell>
          <cell r="G1862">
            <v>32799</v>
          </cell>
          <cell r="I1862" t="str">
            <v>North America</v>
          </cell>
          <cell r="J1862" t="str">
            <v>USA</v>
          </cell>
          <cell r="K1862">
            <v>31958</v>
          </cell>
        </row>
        <row r="1863">
          <cell r="A1863" t="str">
            <v>In service</v>
          </cell>
          <cell r="B1863" t="str">
            <v>Gulfstream Aerospace Gulfstream IV</v>
          </cell>
          <cell r="C1863" t="str">
            <v xml:space="preserve"> </v>
          </cell>
          <cell r="D1863">
            <v>1989</v>
          </cell>
          <cell r="E1863" t="str">
            <v>National City Leasing Corp</v>
          </cell>
          <cell r="F1863">
            <v>13</v>
          </cell>
          <cell r="G1863">
            <v>33100</v>
          </cell>
          <cell r="I1863" t="str">
            <v>North America</v>
          </cell>
          <cell r="J1863" t="str">
            <v>USA</v>
          </cell>
          <cell r="K1863">
            <v>32324</v>
          </cell>
        </row>
        <row r="1864">
          <cell r="A1864" t="str">
            <v>In service</v>
          </cell>
          <cell r="B1864" t="str">
            <v>Gulfstream Aerospace Gulfstream IV</v>
          </cell>
          <cell r="C1864" t="str">
            <v xml:space="preserve"> </v>
          </cell>
          <cell r="D1864">
            <v>1991</v>
          </cell>
          <cell r="E1864" t="str">
            <v>Fayair</v>
          </cell>
          <cell r="F1864">
            <v>11</v>
          </cell>
          <cell r="G1864">
            <v>33520</v>
          </cell>
          <cell r="I1864" t="str">
            <v>Europe</v>
          </cell>
          <cell r="J1864" t="str">
            <v>United Kingdom</v>
          </cell>
          <cell r="K1864">
            <v>32689</v>
          </cell>
        </row>
        <row r="1865">
          <cell r="A1865" t="str">
            <v>In service</v>
          </cell>
          <cell r="B1865" t="str">
            <v>Gulfstream Aerospace Gulfstream IV</v>
          </cell>
          <cell r="C1865" t="str">
            <v xml:space="preserve"> </v>
          </cell>
          <cell r="D1865">
            <v>1989</v>
          </cell>
          <cell r="E1865" t="str">
            <v>Julio Inglesias</v>
          </cell>
          <cell r="F1865">
            <v>13</v>
          </cell>
          <cell r="G1865">
            <v>32834</v>
          </cell>
          <cell r="I1865" t="str">
            <v>Europe</v>
          </cell>
          <cell r="J1865" t="str">
            <v>Spain</v>
          </cell>
          <cell r="K1865">
            <v>32324</v>
          </cell>
        </row>
        <row r="1866">
          <cell r="A1866" t="str">
            <v>In service</v>
          </cell>
          <cell r="B1866" t="str">
            <v>Gulfstream Aerospace Gulfstream IV</v>
          </cell>
          <cell r="C1866" t="str">
            <v xml:space="preserve"> </v>
          </cell>
          <cell r="D1866">
            <v>1990</v>
          </cell>
          <cell r="E1866" t="str">
            <v>Chargers Football Co LLC</v>
          </cell>
          <cell r="F1866">
            <v>12</v>
          </cell>
          <cell r="G1866">
            <v>33082</v>
          </cell>
          <cell r="I1866" t="str">
            <v>North America</v>
          </cell>
          <cell r="J1866" t="str">
            <v>USA</v>
          </cell>
          <cell r="K1866">
            <v>32324</v>
          </cell>
        </row>
        <row r="1867">
          <cell r="A1867" t="str">
            <v>In service</v>
          </cell>
          <cell r="B1867" t="str">
            <v>Gulfstream Aerospace Gulfstream IV</v>
          </cell>
          <cell r="C1867" t="str">
            <v xml:space="preserve"> </v>
          </cell>
          <cell r="D1867">
            <v>1989</v>
          </cell>
          <cell r="E1867" t="str">
            <v>Aero Toy Store LLC</v>
          </cell>
          <cell r="F1867">
            <v>13</v>
          </cell>
          <cell r="G1867">
            <v>32843</v>
          </cell>
          <cell r="I1867" t="str">
            <v>North America</v>
          </cell>
          <cell r="J1867" t="str">
            <v>USA</v>
          </cell>
          <cell r="K1867">
            <v>32324</v>
          </cell>
        </row>
        <row r="1868">
          <cell r="A1868" t="str">
            <v>In service</v>
          </cell>
          <cell r="B1868" t="str">
            <v>Gulfstream Aerospace Gulfstream IV</v>
          </cell>
          <cell r="C1868" t="str">
            <v xml:space="preserve"> </v>
          </cell>
          <cell r="D1868">
            <v>1989</v>
          </cell>
          <cell r="E1868" t="str">
            <v>MBNA Corp</v>
          </cell>
          <cell r="F1868">
            <v>13</v>
          </cell>
          <cell r="G1868">
            <v>32849</v>
          </cell>
          <cell r="I1868" t="str">
            <v>North America</v>
          </cell>
          <cell r="J1868" t="str">
            <v>USA</v>
          </cell>
          <cell r="K1868">
            <v>31958</v>
          </cell>
        </row>
        <row r="1869">
          <cell r="A1869" t="str">
            <v>In service</v>
          </cell>
          <cell r="B1869" t="str">
            <v>Gulfstream Aerospace Gulfstream IV</v>
          </cell>
          <cell r="C1869" t="str">
            <v xml:space="preserve"> </v>
          </cell>
          <cell r="D1869">
            <v>1990</v>
          </cell>
          <cell r="E1869" t="str">
            <v>ALBA Servici Aerotrasporti SpA</v>
          </cell>
          <cell r="F1869">
            <v>12</v>
          </cell>
          <cell r="G1869">
            <v>33222</v>
          </cell>
          <cell r="I1869" t="str">
            <v>Europe</v>
          </cell>
          <cell r="J1869" t="str">
            <v>Italy</v>
          </cell>
          <cell r="K1869">
            <v>32324</v>
          </cell>
        </row>
        <row r="1870">
          <cell r="A1870" t="str">
            <v>In service</v>
          </cell>
          <cell r="B1870" t="str">
            <v>Gulfstream Aerospace Gulfstream IV</v>
          </cell>
          <cell r="C1870" t="str">
            <v xml:space="preserve"> </v>
          </cell>
          <cell r="D1870">
            <v>1990</v>
          </cell>
          <cell r="E1870" t="str">
            <v>Whirlpool Corp</v>
          </cell>
          <cell r="F1870">
            <v>12</v>
          </cell>
          <cell r="G1870">
            <v>33162</v>
          </cell>
          <cell r="I1870" t="str">
            <v>North America</v>
          </cell>
          <cell r="J1870" t="str">
            <v>USA</v>
          </cell>
          <cell r="K1870">
            <v>32324</v>
          </cell>
        </row>
        <row r="1871">
          <cell r="A1871" t="str">
            <v>In service</v>
          </cell>
          <cell r="B1871" t="str">
            <v>Gulfstream Aerospace Gulfstream IV</v>
          </cell>
          <cell r="C1871" t="str">
            <v xml:space="preserve"> </v>
          </cell>
          <cell r="D1871">
            <v>1989</v>
          </cell>
          <cell r="E1871" t="str">
            <v>LVH Corp</v>
          </cell>
          <cell r="F1871">
            <v>13</v>
          </cell>
          <cell r="G1871">
            <v>32869</v>
          </cell>
          <cell r="I1871" t="str">
            <v>North America</v>
          </cell>
          <cell r="J1871" t="str">
            <v>USA</v>
          </cell>
          <cell r="K1871">
            <v>31958</v>
          </cell>
        </row>
        <row r="1872">
          <cell r="A1872" t="str">
            <v>In service</v>
          </cell>
          <cell r="B1872" t="str">
            <v>Gulfstream Aerospace Gulfstream IV</v>
          </cell>
          <cell r="C1872" t="str">
            <v xml:space="preserve"> </v>
          </cell>
          <cell r="D1872">
            <v>1990</v>
          </cell>
          <cell r="E1872" t="str">
            <v>Federal Government of Nigeria</v>
          </cell>
          <cell r="F1872">
            <v>12</v>
          </cell>
          <cell r="G1872">
            <v>33192</v>
          </cell>
          <cell r="I1872" t="str">
            <v>Africa</v>
          </cell>
          <cell r="J1872" t="str">
            <v>Nigeria</v>
          </cell>
          <cell r="K1872">
            <v>31958</v>
          </cell>
        </row>
        <row r="1873">
          <cell r="A1873" t="str">
            <v>In service</v>
          </cell>
          <cell r="B1873" t="str">
            <v>Gulfstream Aerospace Gulfstream IV</v>
          </cell>
          <cell r="C1873" t="str">
            <v xml:space="preserve"> </v>
          </cell>
          <cell r="D1873">
            <v>1990</v>
          </cell>
          <cell r="E1873" t="str">
            <v>AEC International Ltd</v>
          </cell>
          <cell r="F1873">
            <v>12</v>
          </cell>
          <cell r="G1873">
            <v>32912</v>
          </cell>
          <cell r="I1873" t="str">
            <v>Latin America and Caribbean</v>
          </cell>
          <cell r="J1873" t="str">
            <v>Bermuda</v>
          </cell>
          <cell r="K1873">
            <v>32689</v>
          </cell>
        </row>
        <row r="1874">
          <cell r="A1874" t="str">
            <v>In service</v>
          </cell>
          <cell r="B1874" t="str">
            <v>Gulfstream Aerospace Gulfstream IV</v>
          </cell>
          <cell r="C1874" t="str">
            <v xml:space="preserve"> </v>
          </cell>
          <cell r="D1874">
            <v>1990</v>
          </cell>
          <cell r="E1874" t="str">
            <v>Saudi Arabian Airlines</v>
          </cell>
          <cell r="F1874">
            <v>12</v>
          </cell>
          <cell r="G1874">
            <v>33297</v>
          </cell>
          <cell r="I1874" t="str">
            <v>Middle East</v>
          </cell>
          <cell r="J1874" t="str">
            <v>Saudi Arabia</v>
          </cell>
          <cell r="K1874">
            <v>32324</v>
          </cell>
        </row>
        <row r="1875">
          <cell r="A1875" t="str">
            <v>In service</v>
          </cell>
          <cell r="B1875" t="str">
            <v>Gulfstream Aerospace Gulfstream IV</v>
          </cell>
          <cell r="C1875" t="str">
            <v xml:space="preserve"> </v>
          </cell>
          <cell r="D1875">
            <v>1990</v>
          </cell>
          <cell r="E1875" t="str">
            <v>Monaco Coach Corp</v>
          </cell>
          <cell r="F1875">
            <v>12</v>
          </cell>
          <cell r="G1875">
            <v>33131</v>
          </cell>
          <cell r="I1875" t="str">
            <v>North America</v>
          </cell>
          <cell r="J1875" t="str">
            <v>USA</v>
          </cell>
          <cell r="K1875">
            <v>32324</v>
          </cell>
        </row>
        <row r="1876">
          <cell r="A1876" t="str">
            <v>In service</v>
          </cell>
          <cell r="B1876" t="str">
            <v>Gulfstream Aerospace Gulfstream IV</v>
          </cell>
          <cell r="C1876" t="str">
            <v xml:space="preserve"> </v>
          </cell>
          <cell r="D1876">
            <v>1990</v>
          </cell>
          <cell r="E1876" t="str">
            <v>Lockheed Martin Corp</v>
          </cell>
          <cell r="F1876">
            <v>12</v>
          </cell>
          <cell r="G1876">
            <v>32954</v>
          </cell>
          <cell r="I1876" t="str">
            <v>North America</v>
          </cell>
          <cell r="J1876" t="str">
            <v>USA</v>
          </cell>
          <cell r="K1876">
            <v>32324</v>
          </cell>
        </row>
        <row r="1877">
          <cell r="A1877" t="str">
            <v>In service</v>
          </cell>
          <cell r="B1877" t="str">
            <v>Gulfstream Aerospace Gulfstream IV</v>
          </cell>
          <cell r="C1877" t="str">
            <v xml:space="preserve"> </v>
          </cell>
          <cell r="D1877">
            <v>1990</v>
          </cell>
          <cell r="E1877" t="str">
            <v>The Coca-Cola Co</v>
          </cell>
          <cell r="F1877">
            <v>12</v>
          </cell>
          <cell r="G1877">
            <v>32969</v>
          </cell>
          <cell r="I1877" t="str">
            <v>North America</v>
          </cell>
          <cell r="J1877" t="str">
            <v>USA</v>
          </cell>
          <cell r="K1877">
            <v>32324</v>
          </cell>
        </row>
        <row r="1878">
          <cell r="A1878" t="str">
            <v>In service</v>
          </cell>
          <cell r="B1878" t="str">
            <v>Gulfstream Aerospace Gulfstream IV</v>
          </cell>
          <cell r="C1878" t="str">
            <v xml:space="preserve"> </v>
          </cell>
          <cell r="D1878">
            <v>1991</v>
          </cell>
          <cell r="E1878" t="str">
            <v>Scout Aviation LLC</v>
          </cell>
          <cell r="F1878">
            <v>11</v>
          </cell>
          <cell r="G1878">
            <v>33434</v>
          </cell>
          <cell r="I1878" t="str">
            <v>North America</v>
          </cell>
          <cell r="J1878" t="str">
            <v>USA</v>
          </cell>
          <cell r="K1878">
            <v>32689</v>
          </cell>
        </row>
        <row r="1879">
          <cell r="A1879" t="str">
            <v>In service</v>
          </cell>
          <cell r="B1879" t="str">
            <v>Gulfstream Aerospace Gulfstream IV</v>
          </cell>
          <cell r="C1879" t="str">
            <v xml:space="preserve"> </v>
          </cell>
          <cell r="D1879">
            <v>1990</v>
          </cell>
          <cell r="E1879" t="str">
            <v>Copley Press Inc</v>
          </cell>
          <cell r="F1879">
            <v>12</v>
          </cell>
          <cell r="G1879">
            <v>33192</v>
          </cell>
          <cell r="I1879" t="str">
            <v>North America</v>
          </cell>
          <cell r="J1879" t="str">
            <v>USA</v>
          </cell>
          <cell r="K1879">
            <v>32324</v>
          </cell>
        </row>
        <row r="1880">
          <cell r="A1880" t="str">
            <v>In service</v>
          </cell>
          <cell r="B1880" t="str">
            <v>Gulfstream Aerospace Gulfstream IV</v>
          </cell>
          <cell r="C1880" t="str">
            <v xml:space="preserve"> </v>
          </cell>
          <cell r="D1880">
            <v>1990</v>
          </cell>
          <cell r="E1880" t="str">
            <v>Gulfstream Aerospace Corp</v>
          </cell>
          <cell r="F1880">
            <v>12</v>
          </cell>
          <cell r="G1880">
            <v>33193</v>
          </cell>
          <cell r="I1880" t="str">
            <v>North America</v>
          </cell>
          <cell r="J1880" t="str">
            <v>USA</v>
          </cell>
          <cell r="K1880">
            <v>32324</v>
          </cell>
        </row>
        <row r="1881">
          <cell r="A1881" t="str">
            <v>In service</v>
          </cell>
          <cell r="B1881" t="str">
            <v>Gulfstream Aerospace Gulfstream IV</v>
          </cell>
          <cell r="C1881" t="str">
            <v xml:space="preserve"> </v>
          </cell>
          <cell r="D1881">
            <v>1990</v>
          </cell>
          <cell r="E1881" t="str">
            <v>Earth Star Inc</v>
          </cell>
          <cell r="F1881">
            <v>12</v>
          </cell>
          <cell r="G1881">
            <v>33253</v>
          </cell>
          <cell r="I1881" t="str">
            <v>North America</v>
          </cell>
          <cell r="J1881" t="str">
            <v>USA</v>
          </cell>
          <cell r="K1881">
            <v>32689</v>
          </cell>
        </row>
        <row r="1882">
          <cell r="A1882" t="str">
            <v>In service</v>
          </cell>
          <cell r="B1882" t="str">
            <v>Gulfstream Aerospace Gulfstream IV</v>
          </cell>
          <cell r="C1882" t="str">
            <v xml:space="preserve"> </v>
          </cell>
          <cell r="D1882">
            <v>1990</v>
          </cell>
          <cell r="E1882" t="str">
            <v>Schering Plough Corp</v>
          </cell>
          <cell r="F1882">
            <v>12</v>
          </cell>
          <cell r="G1882">
            <v>33207</v>
          </cell>
          <cell r="I1882" t="str">
            <v>North America</v>
          </cell>
          <cell r="J1882" t="str">
            <v>USA</v>
          </cell>
          <cell r="K1882">
            <v>32324</v>
          </cell>
        </row>
        <row r="1883">
          <cell r="A1883" t="str">
            <v>In service</v>
          </cell>
          <cell r="B1883" t="str">
            <v>Gulfstream Aerospace Gulfstream IV</v>
          </cell>
          <cell r="C1883" t="str">
            <v xml:space="preserve"> </v>
          </cell>
          <cell r="D1883">
            <v>1990</v>
          </cell>
          <cell r="E1883" t="str">
            <v xml:space="preserve">I M S Health Transportation Services </v>
          </cell>
          <cell r="F1883">
            <v>12</v>
          </cell>
          <cell r="G1883">
            <v>33161</v>
          </cell>
          <cell r="I1883" t="str">
            <v>North America</v>
          </cell>
          <cell r="J1883" t="str">
            <v>USA</v>
          </cell>
          <cell r="K1883">
            <v>32324</v>
          </cell>
        </row>
        <row r="1884">
          <cell r="A1884" t="str">
            <v>In service</v>
          </cell>
          <cell r="B1884" t="str">
            <v>Gulfstream Aerospace Gulfstream IV</v>
          </cell>
          <cell r="C1884" t="str">
            <v xml:space="preserve"> </v>
          </cell>
          <cell r="D1884">
            <v>1991</v>
          </cell>
          <cell r="E1884" t="str">
            <v>Exxon Mobil Corp</v>
          </cell>
          <cell r="F1884">
            <v>11</v>
          </cell>
          <cell r="G1884">
            <v>33249</v>
          </cell>
          <cell r="I1884" t="str">
            <v>North America</v>
          </cell>
          <cell r="J1884" t="str">
            <v>USA</v>
          </cell>
          <cell r="K1884">
            <v>32689</v>
          </cell>
        </row>
        <row r="1885">
          <cell r="A1885" t="str">
            <v>In service</v>
          </cell>
          <cell r="B1885" t="str">
            <v>Gulfstream Aerospace Gulfstream IV</v>
          </cell>
          <cell r="C1885" t="str">
            <v xml:space="preserve"> </v>
          </cell>
          <cell r="D1885">
            <v>1991</v>
          </cell>
          <cell r="E1885" t="str">
            <v>Silver State Aviation/Moroccan Adv/et al</v>
          </cell>
          <cell r="F1885">
            <v>11</v>
          </cell>
          <cell r="G1885">
            <v>33253</v>
          </cell>
          <cell r="I1885" t="str">
            <v>North America</v>
          </cell>
          <cell r="J1885" t="str">
            <v>USA</v>
          </cell>
          <cell r="K1885">
            <v>32689</v>
          </cell>
        </row>
        <row r="1886">
          <cell r="A1886" t="str">
            <v>In service</v>
          </cell>
          <cell r="B1886" t="str">
            <v>Gulfstream Aerospace Gulfstream IV</v>
          </cell>
          <cell r="C1886" t="str">
            <v xml:space="preserve"> </v>
          </cell>
          <cell r="D1886">
            <v>1990</v>
          </cell>
          <cell r="E1886" t="str">
            <v>McDonalds Corp</v>
          </cell>
          <cell r="F1886">
            <v>12</v>
          </cell>
          <cell r="G1886">
            <v>33053</v>
          </cell>
          <cell r="I1886" t="str">
            <v>North America</v>
          </cell>
          <cell r="J1886" t="str">
            <v>USA</v>
          </cell>
          <cell r="K1886">
            <v>32324</v>
          </cell>
        </row>
        <row r="1887">
          <cell r="A1887" t="str">
            <v>In service</v>
          </cell>
          <cell r="B1887" t="str">
            <v>Gulfstream Aerospace Gulfstream IV</v>
          </cell>
          <cell r="C1887" t="str">
            <v xml:space="preserve"> </v>
          </cell>
          <cell r="D1887">
            <v>1990</v>
          </cell>
          <cell r="E1887" t="str">
            <v>Ronin LLC</v>
          </cell>
          <cell r="F1887">
            <v>12</v>
          </cell>
          <cell r="G1887">
            <v>33087</v>
          </cell>
          <cell r="I1887" t="str">
            <v>North America</v>
          </cell>
          <cell r="J1887" t="str">
            <v>USA</v>
          </cell>
          <cell r="K1887">
            <v>32324</v>
          </cell>
        </row>
        <row r="1888">
          <cell r="A1888" t="str">
            <v>In service</v>
          </cell>
          <cell r="B1888" t="str">
            <v>Gulfstream Aerospace Gulfstream IV</v>
          </cell>
          <cell r="C1888" t="str">
            <v xml:space="preserve"> </v>
          </cell>
          <cell r="D1888">
            <v>1991</v>
          </cell>
          <cell r="E1888" t="str">
            <v>Jetstream Inc</v>
          </cell>
          <cell r="F1888">
            <v>11</v>
          </cell>
          <cell r="G1888">
            <v>33343</v>
          </cell>
          <cell r="I1888" t="str">
            <v>North America</v>
          </cell>
          <cell r="J1888" t="str">
            <v>USA</v>
          </cell>
          <cell r="K1888">
            <v>33054</v>
          </cell>
        </row>
        <row r="1889">
          <cell r="A1889" t="str">
            <v>In service</v>
          </cell>
          <cell r="B1889" t="str">
            <v>Gulfstream Aerospace Gulfstream IV</v>
          </cell>
          <cell r="C1889" t="str">
            <v xml:space="preserve"> </v>
          </cell>
          <cell r="D1889">
            <v>1991</v>
          </cell>
          <cell r="E1889" t="str">
            <v>Saudi Arabian Airlines</v>
          </cell>
          <cell r="F1889">
            <v>11</v>
          </cell>
          <cell r="G1889">
            <v>33320</v>
          </cell>
          <cell r="I1889" t="str">
            <v>Middle East</v>
          </cell>
          <cell r="J1889" t="str">
            <v>Saudi Arabia</v>
          </cell>
          <cell r="K1889">
            <v>32689</v>
          </cell>
        </row>
        <row r="1890">
          <cell r="A1890" t="str">
            <v>In service</v>
          </cell>
          <cell r="B1890" t="str">
            <v>Gulfstream Aerospace Gulfstream IV</v>
          </cell>
          <cell r="C1890" t="str">
            <v xml:space="preserve"> </v>
          </cell>
          <cell r="D1890">
            <v>1991</v>
          </cell>
          <cell r="E1890" t="str">
            <v>Metrojet</v>
          </cell>
          <cell r="F1890">
            <v>11</v>
          </cell>
          <cell r="G1890">
            <v>33284</v>
          </cell>
          <cell r="I1890" t="str">
            <v>Asia</v>
          </cell>
          <cell r="J1890" t="str">
            <v>Hong Kong</v>
          </cell>
          <cell r="K1890">
            <v>32689</v>
          </cell>
        </row>
        <row r="1891">
          <cell r="A1891" t="str">
            <v>In service</v>
          </cell>
          <cell r="B1891" t="str">
            <v>Gulfstream Aerospace Gulfstream IV</v>
          </cell>
          <cell r="C1891" t="str">
            <v xml:space="preserve"> </v>
          </cell>
          <cell r="D1891">
            <v>1991</v>
          </cell>
          <cell r="E1891" t="str">
            <v>Countrywide Home Loans Inc</v>
          </cell>
          <cell r="F1891">
            <v>11</v>
          </cell>
          <cell r="G1891">
            <v>33399</v>
          </cell>
          <cell r="I1891" t="str">
            <v>North America</v>
          </cell>
          <cell r="J1891" t="str">
            <v>USA</v>
          </cell>
          <cell r="K1891">
            <v>32689</v>
          </cell>
        </row>
        <row r="1892">
          <cell r="A1892" t="str">
            <v>In service</v>
          </cell>
          <cell r="B1892" t="str">
            <v>Gulfstream Aerospace Gulfstream IV</v>
          </cell>
          <cell r="C1892" t="str">
            <v xml:space="preserve"> </v>
          </cell>
          <cell r="D1892">
            <v>1990</v>
          </cell>
          <cell r="E1892" t="str">
            <v>New World Aircraft GIV-1146 LLC</v>
          </cell>
          <cell r="F1892">
            <v>12</v>
          </cell>
          <cell r="G1892">
            <v>33337</v>
          </cell>
          <cell r="I1892" t="str">
            <v>North America</v>
          </cell>
          <cell r="J1892" t="str">
            <v>USA</v>
          </cell>
          <cell r="K1892">
            <v>32689</v>
          </cell>
        </row>
        <row r="1893">
          <cell r="A1893" t="str">
            <v>In service</v>
          </cell>
          <cell r="B1893" t="str">
            <v>Gulfstream Aerospace Gulfstream IV</v>
          </cell>
          <cell r="C1893" t="str">
            <v xml:space="preserve"> </v>
          </cell>
          <cell r="D1893">
            <v>1990</v>
          </cell>
          <cell r="E1893" t="str">
            <v>Koloa Aviation LLC</v>
          </cell>
          <cell r="F1893">
            <v>12</v>
          </cell>
          <cell r="G1893">
            <v>33161</v>
          </cell>
          <cell r="I1893" t="str">
            <v>North America</v>
          </cell>
          <cell r="J1893" t="str">
            <v>USA</v>
          </cell>
          <cell r="K1893">
            <v>32324</v>
          </cell>
        </row>
        <row r="1894">
          <cell r="A1894" t="str">
            <v>In service</v>
          </cell>
          <cell r="B1894" t="str">
            <v>Gulfstream Aerospace Gulfstream IV</v>
          </cell>
          <cell r="C1894" t="str">
            <v xml:space="preserve"> </v>
          </cell>
          <cell r="D1894">
            <v>1991</v>
          </cell>
          <cell r="E1894" t="str">
            <v>SR Transportation Services SA</v>
          </cell>
          <cell r="F1894">
            <v>11</v>
          </cell>
          <cell r="G1894">
            <v>33511</v>
          </cell>
          <cell r="I1894" t="str">
            <v>Europe</v>
          </cell>
          <cell r="J1894" t="str">
            <v>Switzerland</v>
          </cell>
          <cell r="K1894">
            <v>32689</v>
          </cell>
        </row>
        <row r="1895">
          <cell r="A1895" t="str">
            <v>In service</v>
          </cell>
          <cell r="B1895" t="str">
            <v>Gulfstream Aerospace Gulfstream IV</v>
          </cell>
          <cell r="C1895" t="str">
            <v xml:space="preserve"> </v>
          </cell>
          <cell r="D1895">
            <v>1990</v>
          </cell>
          <cell r="E1895" t="str">
            <v>Blum Capital Partners LP</v>
          </cell>
          <cell r="F1895">
            <v>12</v>
          </cell>
          <cell r="G1895">
            <v>33069</v>
          </cell>
          <cell r="I1895" t="str">
            <v>North America</v>
          </cell>
          <cell r="J1895" t="str">
            <v>USA</v>
          </cell>
          <cell r="K1895">
            <v>32689</v>
          </cell>
        </row>
        <row r="1896">
          <cell r="A1896" t="str">
            <v>In service</v>
          </cell>
          <cell r="B1896" t="str">
            <v>Gulfstream Aerospace Gulfstream IV</v>
          </cell>
          <cell r="C1896" t="str">
            <v xml:space="preserve"> </v>
          </cell>
          <cell r="D1896">
            <v>1991</v>
          </cell>
          <cell r="E1896" t="str">
            <v>RL Aviation LLC</v>
          </cell>
          <cell r="F1896">
            <v>11</v>
          </cell>
          <cell r="G1896">
            <v>33587</v>
          </cell>
          <cell r="I1896" t="str">
            <v>North America</v>
          </cell>
          <cell r="J1896" t="str">
            <v>USA</v>
          </cell>
          <cell r="K1896">
            <v>32689</v>
          </cell>
        </row>
        <row r="1897">
          <cell r="A1897" t="str">
            <v>In service</v>
          </cell>
          <cell r="B1897" t="str">
            <v>Gulfstream Aerospace Gulfstream IV</v>
          </cell>
          <cell r="C1897" t="str">
            <v xml:space="preserve"> </v>
          </cell>
          <cell r="D1897">
            <v>1990</v>
          </cell>
          <cell r="E1897" t="str">
            <v>S T Aviation LLC</v>
          </cell>
          <cell r="F1897">
            <v>12</v>
          </cell>
          <cell r="G1897">
            <v>33222</v>
          </cell>
          <cell r="I1897" t="str">
            <v>North America</v>
          </cell>
          <cell r="J1897" t="str">
            <v>USA</v>
          </cell>
          <cell r="K1897">
            <v>32324</v>
          </cell>
        </row>
        <row r="1898">
          <cell r="A1898" t="str">
            <v>In service</v>
          </cell>
          <cell r="B1898" t="str">
            <v>Gulfstream Aerospace Gulfstream IV</v>
          </cell>
          <cell r="C1898" t="str">
            <v xml:space="preserve"> </v>
          </cell>
          <cell r="D1898">
            <v>1990</v>
          </cell>
          <cell r="E1898" t="str">
            <v>International Group Inc</v>
          </cell>
          <cell r="F1898">
            <v>12</v>
          </cell>
          <cell r="G1898">
            <v>33203</v>
          </cell>
          <cell r="I1898" t="str">
            <v>North America</v>
          </cell>
          <cell r="J1898" t="str">
            <v>USA</v>
          </cell>
          <cell r="K1898">
            <v>32324</v>
          </cell>
        </row>
        <row r="1899">
          <cell r="A1899" t="str">
            <v>In service</v>
          </cell>
          <cell r="B1899" t="str">
            <v>Gulfstream Aerospace Gulfstream IV</v>
          </cell>
          <cell r="C1899" t="str">
            <v xml:space="preserve"> </v>
          </cell>
          <cell r="D1899">
            <v>1990</v>
          </cell>
          <cell r="E1899" t="str">
            <v>International Home Foods Inc</v>
          </cell>
          <cell r="F1899">
            <v>12</v>
          </cell>
          <cell r="G1899">
            <v>33224</v>
          </cell>
          <cell r="I1899" t="str">
            <v>North America</v>
          </cell>
          <cell r="J1899" t="str">
            <v>USA</v>
          </cell>
          <cell r="K1899">
            <v>32324</v>
          </cell>
        </row>
        <row r="1900">
          <cell r="A1900" t="str">
            <v>In service</v>
          </cell>
          <cell r="B1900" t="str">
            <v>Gulfstream Aerospace Gulfstream IV</v>
          </cell>
          <cell r="C1900" t="str">
            <v xml:space="preserve"> </v>
          </cell>
          <cell r="D1900">
            <v>1990</v>
          </cell>
          <cell r="E1900" t="str">
            <v>DSC Communications Corp</v>
          </cell>
          <cell r="F1900">
            <v>12</v>
          </cell>
          <cell r="G1900">
            <v>33225</v>
          </cell>
          <cell r="I1900" t="str">
            <v>North America</v>
          </cell>
          <cell r="J1900" t="str">
            <v>USA</v>
          </cell>
        </row>
        <row r="1901">
          <cell r="A1901" t="str">
            <v>In service</v>
          </cell>
          <cell r="B1901" t="str">
            <v>Gulfstream Aerospace Gulfstream IV</v>
          </cell>
          <cell r="C1901" t="str">
            <v xml:space="preserve"> </v>
          </cell>
          <cell r="D1901">
            <v>1990</v>
          </cell>
          <cell r="E1901" t="str">
            <v>BP Amoco Corp</v>
          </cell>
          <cell r="F1901">
            <v>12</v>
          </cell>
          <cell r="G1901">
            <v>33235</v>
          </cell>
          <cell r="I1901" t="str">
            <v>North America</v>
          </cell>
          <cell r="J1901" t="str">
            <v>USA</v>
          </cell>
          <cell r="K1901">
            <v>32324</v>
          </cell>
        </row>
        <row r="1902">
          <cell r="A1902" t="str">
            <v>In service</v>
          </cell>
          <cell r="B1902" t="str">
            <v>Gulfstream Aerospace Gulfstream IV</v>
          </cell>
          <cell r="C1902" t="str">
            <v xml:space="preserve"> </v>
          </cell>
          <cell r="D1902">
            <v>1990</v>
          </cell>
          <cell r="E1902" t="str">
            <v>Gandel Group Pty Ltd</v>
          </cell>
          <cell r="F1902">
            <v>12</v>
          </cell>
          <cell r="G1902">
            <v>33260</v>
          </cell>
          <cell r="I1902" t="str">
            <v>Australasia</v>
          </cell>
          <cell r="J1902" t="str">
            <v>Australia</v>
          </cell>
          <cell r="K1902">
            <v>33054</v>
          </cell>
        </row>
        <row r="1903">
          <cell r="A1903" t="str">
            <v>In service</v>
          </cell>
          <cell r="B1903" t="str">
            <v>Gulfstream Aerospace Gulfstream IV</v>
          </cell>
          <cell r="C1903" t="str">
            <v xml:space="preserve"> </v>
          </cell>
          <cell r="D1903">
            <v>1991</v>
          </cell>
          <cell r="E1903" t="str">
            <v>Kuwait Int'l Aircraft Leasing Sales &amp; Possession</v>
          </cell>
          <cell r="F1903">
            <v>11</v>
          </cell>
          <cell r="G1903">
            <v>33529</v>
          </cell>
          <cell r="I1903" t="str">
            <v>Middle East</v>
          </cell>
          <cell r="J1903" t="str">
            <v>Kuwait</v>
          </cell>
          <cell r="K1903">
            <v>32689</v>
          </cell>
        </row>
        <row r="1904">
          <cell r="A1904" t="str">
            <v>In service</v>
          </cell>
          <cell r="B1904" t="str">
            <v>Gulfstream Aerospace Gulfstream IV</v>
          </cell>
          <cell r="C1904" t="str">
            <v xml:space="preserve"> </v>
          </cell>
          <cell r="D1904">
            <v>1991</v>
          </cell>
          <cell r="E1904" t="str">
            <v>North American Air Charter Inc</v>
          </cell>
          <cell r="F1904">
            <v>11</v>
          </cell>
          <cell r="G1904">
            <v>33288</v>
          </cell>
          <cell r="I1904" t="str">
            <v>North America</v>
          </cell>
          <cell r="J1904" t="str">
            <v>USA</v>
          </cell>
          <cell r="K1904">
            <v>32689</v>
          </cell>
        </row>
        <row r="1905">
          <cell r="A1905" t="str">
            <v>In service</v>
          </cell>
          <cell r="B1905" t="str">
            <v>Gulfstream Aerospace Gulfstream IV</v>
          </cell>
          <cell r="C1905" t="str">
            <v xml:space="preserve"> </v>
          </cell>
          <cell r="D1905">
            <v>1991</v>
          </cell>
          <cell r="E1905" t="str">
            <v>Jetclub AG</v>
          </cell>
          <cell r="F1905">
            <v>11</v>
          </cell>
          <cell r="G1905">
            <v>33591</v>
          </cell>
          <cell r="I1905" t="str">
            <v>Europe</v>
          </cell>
          <cell r="J1905" t="str">
            <v>Switzerland</v>
          </cell>
          <cell r="K1905">
            <v>32689</v>
          </cell>
        </row>
        <row r="1906">
          <cell r="A1906" t="str">
            <v>In service</v>
          </cell>
          <cell r="B1906" t="str">
            <v>Gulfstream Aerospace Gulfstream IV</v>
          </cell>
          <cell r="C1906" t="str">
            <v xml:space="preserve"> </v>
          </cell>
          <cell r="D1906">
            <v>1991</v>
          </cell>
          <cell r="E1906" t="str">
            <v>Irish Air Corps</v>
          </cell>
          <cell r="F1906">
            <v>11</v>
          </cell>
          <cell r="G1906">
            <v>33591</v>
          </cell>
          <cell r="I1906" t="str">
            <v>Europe</v>
          </cell>
          <cell r="J1906" t="str">
            <v>Ireland</v>
          </cell>
          <cell r="K1906">
            <v>33054</v>
          </cell>
        </row>
        <row r="1907">
          <cell r="A1907" t="str">
            <v>In service</v>
          </cell>
          <cell r="B1907" t="str">
            <v>Gulfstream Aerospace Gulfstream IV</v>
          </cell>
          <cell r="C1907" t="str">
            <v xml:space="preserve"> </v>
          </cell>
          <cell r="D1907">
            <v>1992</v>
          </cell>
          <cell r="E1907" t="str">
            <v>Executive Fliteways Inc</v>
          </cell>
          <cell r="F1907">
            <v>10</v>
          </cell>
          <cell r="G1907">
            <v>33616</v>
          </cell>
          <cell r="I1907" t="str">
            <v>North America</v>
          </cell>
          <cell r="J1907" t="str">
            <v>USA</v>
          </cell>
          <cell r="K1907">
            <v>32689</v>
          </cell>
        </row>
        <row r="1908">
          <cell r="A1908" t="str">
            <v>In service</v>
          </cell>
          <cell r="B1908" t="str">
            <v>Gulfstream Aerospace Gulfstream IV</v>
          </cell>
          <cell r="C1908" t="str">
            <v xml:space="preserve"> </v>
          </cell>
          <cell r="D1908">
            <v>1991</v>
          </cell>
          <cell r="E1908" t="str">
            <v>Turkish Air Force</v>
          </cell>
          <cell r="F1908">
            <v>11</v>
          </cell>
          <cell r="G1908">
            <v>33587</v>
          </cell>
          <cell r="I1908" t="str">
            <v>Europe</v>
          </cell>
          <cell r="J1908" t="str">
            <v>Turkey</v>
          </cell>
        </row>
        <row r="1909">
          <cell r="A1909" t="str">
            <v>In service</v>
          </cell>
          <cell r="B1909" t="str">
            <v>Gulfstream Aerospace Gulfstream IV</v>
          </cell>
          <cell r="C1909" t="str">
            <v xml:space="preserve"> </v>
          </cell>
          <cell r="D1909">
            <v>1991</v>
          </cell>
          <cell r="E1909" t="str">
            <v>Wells Fargo &amp; Co</v>
          </cell>
          <cell r="F1909">
            <v>11</v>
          </cell>
          <cell r="G1909">
            <v>33353</v>
          </cell>
          <cell r="I1909" t="str">
            <v>North America</v>
          </cell>
          <cell r="J1909" t="str">
            <v>USA</v>
          </cell>
          <cell r="K1909">
            <v>32689</v>
          </cell>
        </row>
        <row r="1910">
          <cell r="A1910" t="str">
            <v>In service</v>
          </cell>
          <cell r="B1910" t="str">
            <v>Gulfstream Aerospace Gulfstream IV</v>
          </cell>
          <cell r="C1910" t="str">
            <v xml:space="preserve"> </v>
          </cell>
          <cell r="D1910">
            <v>1991</v>
          </cell>
          <cell r="E1910" t="str">
            <v>International Business Machines (IBM) Corp</v>
          </cell>
          <cell r="F1910">
            <v>11</v>
          </cell>
          <cell r="G1910">
            <v>33284</v>
          </cell>
          <cell r="I1910" t="str">
            <v>North America</v>
          </cell>
          <cell r="J1910" t="str">
            <v>USA</v>
          </cell>
        </row>
        <row r="1911">
          <cell r="A1911" t="str">
            <v>In service</v>
          </cell>
          <cell r="B1911" t="str">
            <v>Gulfstream Aerospace Gulfstream IV</v>
          </cell>
          <cell r="C1911" t="str">
            <v xml:space="preserve"> </v>
          </cell>
          <cell r="D1911">
            <v>1991</v>
          </cell>
          <cell r="E1911" t="str">
            <v>Saudi Arabian Airlines</v>
          </cell>
          <cell r="F1911">
            <v>11</v>
          </cell>
          <cell r="G1911">
            <v>33526</v>
          </cell>
          <cell r="I1911" t="str">
            <v>Middle East</v>
          </cell>
          <cell r="J1911" t="str">
            <v>Saudi Arabia</v>
          </cell>
        </row>
        <row r="1912">
          <cell r="A1912" t="str">
            <v>In service</v>
          </cell>
          <cell r="B1912" t="str">
            <v>Gulfstream Aerospace Gulfstream IV</v>
          </cell>
          <cell r="C1912" t="str">
            <v xml:space="preserve"> </v>
          </cell>
          <cell r="D1912">
            <v>1991</v>
          </cell>
          <cell r="E1912" t="str">
            <v>Sara Lee Corp</v>
          </cell>
          <cell r="F1912">
            <v>11</v>
          </cell>
          <cell r="G1912">
            <v>33399</v>
          </cell>
          <cell r="I1912" t="str">
            <v>North America</v>
          </cell>
          <cell r="J1912" t="str">
            <v>USA</v>
          </cell>
          <cell r="K1912">
            <v>32689</v>
          </cell>
        </row>
        <row r="1913">
          <cell r="A1913" t="str">
            <v>In service</v>
          </cell>
          <cell r="B1913" t="str">
            <v>Gulfstream Aerospace Gulfstream IV</v>
          </cell>
          <cell r="C1913" t="str">
            <v xml:space="preserve"> </v>
          </cell>
          <cell r="D1913">
            <v>1991</v>
          </cell>
          <cell r="E1913" t="str">
            <v>Oman Royal Flight</v>
          </cell>
          <cell r="F1913">
            <v>11</v>
          </cell>
          <cell r="G1913">
            <v>33395</v>
          </cell>
          <cell r="I1913" t="str">
            <v>Middle East</v>
          </cell>
          <cell r="J1913" t="str">
            <v>Oman</v>
          </cell>
        </row>
        <row r="1914">
          <cell r="A1914" t="str">
            <v>In service</v>
          </cell>
          <cell r="B1914" t="str">
            <v>Gulfstream Aerospace Gulfstream IV</v>
          </cell>
          <cell r="C1914" t="str">
            <v xml:space="preserve"> </v>
          </cell>
          <cell r="D1914">
            <v>1991</v>
          </cell>
          <cell r="E1914" t="str">
            <v>Dreamworks LLC</v>
          </cell>
          <cell r="F1914">
            <v>11</v>
          </cell>
          <cell r="G1914">
            <v>33441</v>
          </cell>
          <cell r="I1914" t="str">
            <v>North America</v>
          </cell>
          <cell r="J1914" t="str">
            <v>USA</v>
          </cell>
          <cell r="K1914">
            <v>32689</v>
          </cell>
        </row>
        <row r="1915">
          <cell r="A1915" t="str">
            <v>In service</v>
          </cell>
          <cell r="B1915" t="str">
            <v>Gulfstream Aerospace Gulfstream IV</v>
          </cell>
          <cell r="C1915" t="str">
            <v xml:space="preserve"> </v>
          </cell>
          <cell r="D1915">
            <v>1991</v>
          </cell>
          <cell r="E1915" t="str">
            <v>J Porter Enterprises Inc</v>
          </cell>
          <cell r="F1915">
            <v>11</v>
          </cell>
          <cell r="G1915">
            <v>33504</v>
          </cell>
          <cell r="I1915" t="str">
            <v>North America</v>
          </cell>
          <cell r="J1915" t="str">
            <v>USA</v>
          </cell>
          <cell r="K1915">
            <v>33054</v>
          </cell>
        </row>
        <row r="1916">
          <cell r="A1916" t="str">
            <v>In service</v>
          </cell>
          <cell r="B1916" t="str">
            <v>Gulfstream Aerospace Gulfstream IV</v>
          </cell>
          <cell r="C1916" t="str">
            <v xml:space="preserve"> </v>
          </cell>
          <cell r="D1916">
            <v>1991</v>
          </cell>
          <cell r="E1916" t="str">
            <v>SC Leasing Corp Inc</v>
          </cell>
          <cell r="F1916">
            <v>11</v>
          </cell>
          <cell r="G1916">
            <v>33470</v>
          </cell>
          <cell r="I1916" t="str">
            <v>North America</v>
          </cell>
          <cell r="J1916" t="str">
            <v>USA</v>
          </cell>
          <cell r="K1916">
            <v>32689</v>
          </cell>
        </row>
        <row r="1917">
          <cell r="A1917" t="str">
            <v>In service</v>
          </cell>
          <cell r="B1917" t="str">
            <v>Gulfstream Aerospace Gulfstream IV</v>
          </cell>
          <cell r="C1917" t="str">
            <v xml:space="preserve"> </v>
          </cell>
          <cell r="D1917">
            <v>1991</v>
          </cell>
          <cell r="E1917" t="str">
            <v>Assembly Pointe Aviation</v>
          </cell>
          <cell r="F1917">
            <v>11</v>
          </cell>
          <cell r="G1917">
            <v>33526</v>
          </cell>
          <cell r="I1917" t="str">
            <v>North America</v>
          </cell>
          <cell r="J1917" t="str">
            <v>USA</v>
          </cell>
          <cell r="K1917">
            <v>32689</v>
          </cell>
        </row>
        <row r="1918">
          <cell r="A1918" t="str">
            <v>In service</v>
          </cell>
          <cell r="B1918" t="str">
            <v>Gulfstream Aerospace Gulfstream IV</v>
          </cell>
          <cell r="C1918" t="str">
            <v xml:space="preserve"> </v>
          </cell>
          <cell r="D1918">
            <v>1992</v>
          </cell>
          <cell r="E1918" t="str">
            <v>Government of Botswana</v>
          </cell>
          <cell r="F1918">
            <v>10</v>
          </cell>
          <cell r="G1918">
            <v>33636</v>
          </cell>
          <cell r="I1918" t="str">
            <v>Africa</v>
          </cell>
          <cell r="J1918" t="str">
            <v>Botswana</v>
          </cell>
          <cell r="K1918">
            <v>33192</v>
          </cell>
        </row>
        <row r="1919">
          <cell r="A1919" t="str">
            <v>In service</v>
          </cell>
          <cell r="B1919" t="str">
            <v>Gulfstream Aerospace Gulfstream IV</v>
          </cell>
          <cell r="C1919" t="str">
            <v xml:space="preserve"> </v>
          </cell>
          <cell r="D1919">
            <v>1992</v>
          </cell>
          <cell r="E1919" t="str">
            <v>Paramount Pictures Corp</v>
          </cell>
          <cell r="F1919">
            <v>10</v>
          </cell>
          <cell r="G1919">
            <v>33862</v>
          </cell>
          <cell r="I1919" t="str">
            <v>North America</v>
          </cell>
          <cell r="J1919" t="str">
            <v>USA</v>
          </cell>
          <cell r="K1919">
            <v>33054</v>
          </cell>
        </row>
        <row r="1920">
          <cell r="A1920" t="str">
            <v>In service</v>
          </cell>
          <cell r="B1920" t="str">
            <v>Gulfstream Aerospace Gulfstream IV</v>
          </cell>
          <cell r="C1920" t="str">
            <v xml:space="preserve"> </v>
          </cell>
          <cell r="D1920">
            <v>1992</v>
          </cell>
          <cell r="E1920" t="str">
            <v>NM Rothschild &amp; Sons Ltd</v>
          </cell>
          <cell r="F1920">
            <v>10</v>
          </cell>
          <cell r="G1920">
            <v>33936</v>
          </cell>
          <cell r="I1920" t="str">
            <v>Europe</v>
          </cell>
          <cell r="J1920" t="str">
            <v>United Kingdom</v>
          </cell>
          <cell r="K1920">
            <v>33054</v>
          </cell>
        </row>
        <row r="1921">
          <cell r="A1921" t="str">
            <v>In service</v>
          </cell>
          <cell r="B1921" t="str">
            <v>Gulfstream Aerospace Gulfstream IV</v>
          </cell>
          <cell r="C1921" t="str">
            <v xml:space="preserve"> </v>
          </cell>
          <cell r="D1921">
            <v>1992</v>
          </cell>
          <cell r="E1921" t="str">
            <v>The Air Group Inc</v>
          </cell>
          <cell r="F1921">
            <v>10</v>
          </cell>
          <cell r="G1921">
            <v>33798</v>
          </cell>
          <cell r="I1921" t="str">
            <v>North America</v>
          </cell>
          <cell r="J1921" t="str">
            <v>USA</v>
          </cell>
          <cell r="K1921">
            <v>33054</v>
          </cell>
        </row>
        <row r="1922">
          <cell r="A1922" t="str">
            <v>In service</v>
          </cell>
          <cell r="B1922" t="str">
            <v>Gulfstream Aerospace Gulfstream IV</v>
          </cell>
          <cell r="C1922" t="str">
            <v xml:space="preserve"> </v>
          </cell>
          <cell r="D1922">
            <v>1992</v>
          </cell>
          <cell r="E1922" t="str">
            <v>The Coca-Cola Co</v>
          </cell>
          <cell r="F1922">
            <v>10</v>
          </cell>
          <cell r="G1922">
            <v>34010</v>
          </cell>
          <cell r="I1922" t="str">
            <v>North America</v>
          </cell>
          <cell r="J1922" t="str">
            <v>USA</v>
          </cell>
          <cell r="K1922">
            <v>33419</v>
          </cell>
        </row>
        <row r="1923">
          <cell r="A1923" t="str">
            <v>In service</v>
          </cell>
          <cell r="B1923" t="str">
            <v>Gulfstream Aerospace Gulfstream IV</v>
          </cell>
          <cell r="C1923" t="str">
            <v xml:space="preserve"> </v>
          </cell>
          <cell r="D1923">
            <v>1992</v>
          </cell>
          <cell r="E1923" t="str">
            <v>JFM Inc</v>
          </cell>
          <cell r="F1923">
            <v>10</v>
          </cell>
          <cell r="G1923">
            <v>33678</v>
          </cell>
          <cell r="I1923" t="str">
            <v>North America</v>
          </cell>
          <cell r="J1923" t="str">
            <v>USA</v>
          </cell>
          <cell r="K1923">
            <v>33054</v>
          </cell>
        </row>
        <row r="1924">
          <cell r="A1924" t="str">
            <v>In service</v>
          </cell>
          <cell r="B1924" t="str">
            <v>Gulfstream Aerospace Gulfstream IV</v>
          </cell>
          <cell r="C1924" t="str">
            <v xml:space="preserve"> </v>
          </cell>
          <cell r="D1924">
            <v>1991</v>
          </cell>
          <cell r="E1924" t="str">
            <v>JM Family Enterprises Inc</v>
          </cell>
          <cell r="F1924">
            <v>11</v>
          </cell>
          <cell r="G1924">
            <v>33557</v>
          </cell>
          <cell r="I1924" t="str">
            <v>North America</v>
          </cell>
          <cell r="J1924" t="str">
            <v>USA</v>
          </cell>
          <cell r="K1924">
            <v>32689</v>
          </cell>
        </row>
        <row r="1925">
          <cell r="A1925" t="str">
            <v>In service</v>
          </cell>
          <cell r="B1925" t="str">
            <v>Gulfstream Aerospace Gulfstream IV</v>
          </cell>
          <cell r="C1925" t="str">
            <v xml:space="preserve"> </v>
          </cell>
          <cell r="D1925">
            <v>1992</v>
          </cell>
          <cell r="E1925" t="str">
            <v>UNICCO Service Co</v>
          </cell>
          <cell r="F1925">
            <v>10</v>
          </cell>
          <cell r="G1925">
            <v>33759</v>
          </cell>
          <cell r="I1925" t="str">
            <v>North America</v>
          </cell>
          <cell r="J1925" t="str">
            <v>USA</v>
          </cell>
          <cell r="K1925">
            <v>33054</v>
          </cell>
        </row>
        <row r="1926">
          <cell r="A1926" t="str">
            <v>In service</v>
          </cell>
          <cell r="B1926" t="str">
            <v>Gulfstream Aerospace Gulfstream IV</v>
          </cell>
          <cell r="C1926" t="str">
            <v xml:space="preserve"> </v>
          </cell>
          <cell r="D1926">
            <v>1992</v>
          </cell>
          <cell r="E1926" t="str">
            <v>Crown Credit Co Ltd</v>
          </cell>
          <cell r="F1926">
            <v>10</v>
          </cell>
          <cell r="G1926">
            <v>33812</v>
          </cell>
          <cell r="I1926" t="str">
            <v>North America</v>
          </cell>
          <cell r="J1926" t="str">
            <v>USA</v>
          </cell>
          <cell r="K1926">
            <v>33054</v>
          </cell>
        </row>
        <row r="1927">
          <cell r="A1927" t="str">
            <v>In service</v>
          </cell>
          <cell r="B1927" t="str">
            <v>Gulfstream Aerospace Gulfstream IV</v>
          </cell>
          <cell r="C1927" t="str">
            <v xml:space="preserve"> </v>
          </cell>
          <cell r="D1927">
            <v>1992</v>
          </cell>
          <cell r="E1927" t="str">
            <v>Moss Trust</v>
          </cell>
          <cell r="F1927">
            <v>10</v>
          </cell>
          <cell r="G1927">
            <v>33680</v>
          </cell>
          <cell r="I1927" t="str">
            <v>North America</v>
          </cell>
          <cell r="J1927" t="str">
            <v>USA</v>
          </cell>
          <cell r="K1927">
            <v>33054</v>
          </cell>
        </row>
        <row r="1928">
          <cell r="A1928" t="str">
            <v>In service</v>
          </cell>
          <cell r="B1928" t="str">
            <v>Gulfstream Aerospace Gulfstream IV</v>
          </cell>
          <cell r="C1928" t="str">
            <v xml:space="preserve"> </v>
          </cell>
          <cell r="D1928">
            <v>1992</v>
          </cell>
          <cell r="E1928" t="str">
            <v>711 Air Corp</v>
          </cell>
          <cell r="F1928">
            <v>10</v>
          </cell>
          <cell r="G1928">
            <v>34150</v>
          </cell>
          <cell r="I1928" t="str">
            <v>North America</v>
          </cell>
          <cell r="J1928" t="str">
            <v>USA</v>
          </cell>
          <cell r="K1928">
            <v>33419</v>
          </cell>
        </row>
        <row r="1929">
          <cell r="A1929" t="str">
            <v>In service</v>
          </cell>
          <cell r="B1929" t="str">
            <v>Gulfstream Aerospace Gulfstream IV</v>
          </cell>
          <cell r="C1929" t="str">
            <v xml:space="preserve"> </v>
          </cell>
          <cell r="D1929">
            <v>1992</v>
          </cell>
          <cell r="E1929" t="str">
            <v>Korean Air</v>
          </cell>
          <cell r="F1929">
            <v>10</v>
          </cell>
          <cell r="G1929">
            <v>34655</v>
          </cell>
          <cell r="I1929" t="str">
            <v>Asia</v>
          </cell>
          <cell r="J1929" t="str">
            <v>South Korea</v>
          </cell>
          <cell r="K1929">
            <v>33785</v>
          </cell>
        </row>
        <row r="1930">
          <cell r="A1930" t="str">
            <v>In service</v>
          </cell>
          <cell r="B1930" t="str">
            <v>Gulfstream Aerospace Gulfstream IV</v>
          </cell>
          <cell r="C1930" t="str">
            <v xml:space="preserve"> </v>
          </cell>
          <cell r="D1930">
            <v>1992</v>
          </cell>
          <cell r="E1930" t="str">
            <v>Japan Civil Aviation Bureau</v>
          </cell>
          <cell r="F1930">
            <v>10</v>
          </cell>
          <cell r="G1930">
            <v>34237</v>
          </cell>
          <cell r="I1930" t="str">
            <v>Asia</v>
          </cell>
          <cell r="J1930" t="str">
            <v>Japan</v>
          </cell>
          <cell r="K1930">
            <v>34150</v>
          </cell>
        </row>
        <row r="1931">
          <cell r="A1931" t="str">
            <v>In service</v>
          </cell>
          <cell r="B1931" t="str">
            <v>Gulfstream Aerospace Gulfstream IV</v>
          </cell>
          <cell r="C1931" t="str">
            <v xml:space="preserve"> </v>
          </cell>
          <cell r="D1931">
            <v>1992</v>
          </cell>
          <cell r="E1931" t="str">
            <v>MBNA Corp</v>
          </cell>
          <cell r="F1931">
            <v>10</v>
          </cell>
          <cell r="G1931">
            <v>34124</v>
          </cell>
          <cell r="I1931" t="str">
            <v>North America</v>
          </cell>
          <cell r="J1931" t="str">
            <v>USA</v>
          </cell>
          <cell r="K1931">
            <v>33419</v>
          </cell>
        </row>
        <row r="1932">
          <cell r="A1932" t="str">
            <v>In service</v>
          </cell>
          <cell r="B1932" t="str">
            <v>Gulfstream Aerospace Gulfstream IV</v>
          </cell>
          <cell r="C1932" t="str">
            <v xml:space="preserve"> </v>
          </cell>
          <cell r="D1932">
            <v>1993</v>
          </cell>
          <cell r="E1932" t="str">
            <v>Newcourt Capital USA Inc</v>
          </cell>
          <cell r="F1932">
            <v>9</v>
          </cell>
          <cell r="G1932">
            <v>34059</v>
          </cell>
          <cell r="I1932" t="str">
            <v>North America</v>
          </cell>
          <cell r="J1932" t="str">
            <v>Canada</v>
          </cell>
          <cell r="K1932">
            <v>33419</v>
          </cell>
        </row>
        <row r="1933">
          <cell r="A1933" t="str">
            <v>In service</v>
          </cell>
          <cell r="B1933" t="str">
            <v>Gulfstream Aerospace Gulfstream IV</v>
          </cell>
          <cell r="C1933" t="str">
            <v xml:space="preserve"> </v>
          </cell>
          <cell r="D1933">
            <v>1992</v>
          </cell>
          <cell r="E1933" t="str">
            <v>Eastman Kodak Co</v>
          </cell>
          <cell r="F1933">
            <v>10</v>
          </cell>
          <cell r="G1933">
            <v>33926</v>
          </cell>
          <cell r="I1933" t="str">
            <v>North America</v>
          </cell>
          <cell r="J1933" t="str">
            <v>USA</v>
          </cell>
          <cell r="K1933">
            <v>33054</v>
          </cell>
        </row>
        <row r="1934">
          <cell r="A1934" t="str">
            <v>In service</v>
          </cell>
          <cell r="B1934" t="str">
            <v>Gulfstream Aerospace Gulfstream IV</v>
          </cell>
          <cell r="C1934" t="str">
            <v xml:space="preserve"> </v>
          </cell>
          <cell r="D1934">
            <v>1992</v>
          </cell>
          <cell r="E1934" t="str">
            <v>Automotive Air Charter</v>
          </cell>
          <cell r="F1934">
            <v>10</v>
          </cell>
          <cell r="G1934">
            <v>33926</v>
          </cell>
          <cell r="I1934" t="str">
            <v>North America</v>
          </cell>
          <cell r="J1934" t="str">
            <v>USA</v>
          </cell>
          <cell r="K1934">
            <v>33054</v>
          </cell>
        </row>
        <row r="1935">
          <cell r="A1935" t="str">
            <v>In service</v>
          </cell>
          <cell r="B1935" t="str">
            <v>Gulfstream Aerospace Gulfstream IV</v>
          </cell>
          <cell r="C1935" t="str">
            <v xml:space="preserve"> </v>
          </cell>
          <cell r="D1935">
            <v>1993</v>
          </cell>
          <cell r="E1935" t="str">
            <v>Red White &amp; Blue Pictures</v>
          </cell>
          <cell r="F1935">
            <v>9</v>
          </cell>
          <cell r="G1935">
            <v>34074</v>
          </cell>
          <cell r="I1935" t="str">
            <v>North America</v>
          </cell>
          <cell r="J1935" t="str">
            <v>USA</v>
          </cell>
          <cell r="K1935">
            <v>33419</v>
          </cell>
        </row>
        <row r="1936">
          <cell r="A1936" t="str">
            <v>In service</v>
          </cell>
          <cell r="B1936" t="str">
            <v>Gulfstream Aerospace Gulfstream IV</v>
          </cell>
          <cell r="C1936" t="str">
            <v xml:space="preserve"> </v>
          </cell>
          <cell r="D1936">
            <v>1992</v>
          </cell>
          <cell r="E1936" t="str">
            <v>Oman Royal Flight</v>
          </cell>
          <cell r="F1936">
            <v>10</v>
          </cell>
          <cell r="G1936">
            <v>33947</v>
          </cell>
          <cell r="I1936" t="str">
            <v>Middle East</v>
          </cell>
          <cell r="J1936" t="str">
            <v>Oman</v>
          </cell>
          <cell r="K1936">
            <v>33054</v>
          </cell>
        </row>
        <row r="1937">
          <cell r="A1937" t="str">
            <v>In service</v>
          </cell>
          <cell r="B1937" t="str">
            <v>Gulfstream Aerospace Gulfstream IV</v>
          </cell>
          <cell r="C1937" t="str">
            <v xml:space="preserve"> </v>
          </cell>
          <cell r="D1937">
            <v>1992</v>
          </cell>
          <cell r="E1937" t="str">
            <v>Moon Doggie Aircraft Services Corp</v>
          </cell>
          <cell r="F1937">
            <v>10</v>
          </cell>
          <cell r="G1937">
            <v>33830</v>
          </cell>
          <cell r="I1937" t="str">
            <v>North America</v>
          </cell>
          <cell r="J1937" t="str">
            <v>USA</v>
          </cell>
          <cell r="K1937">
            <v>33054</v>
          </cell>
        </row>
        <row r="1938">
          <cell r="A1938" t="str">
            <v>In service</v>
          </cell>
          <cell r="B1938" t="str">
            <v>Gulfstream Aerospace Gulfstream IV</v>
          </cell>
          <cell r="C1938" t="str">
            <v xml:space="preserve"> </v>
          </cell>
          <cell r="D1938">
            <v>1992</v>
          </cell>
          <cell r="E1938" t="str">
            <v>Viad Corp</v>
          </cell>
          <cell r="F1938">
            <v>10</v>
          </cell>
          <cell r="G1938">
            <v>33872</v>
          </cell>
          <cell r="I1938" t="str">
            <v>North America</v>
          </cell>
          <cell r="J1938" t="str">
            <v>USA</v>
          </cell>
          <cell r="K1938">
            <v>33054</v>
          </cell>
        </row>
        <row r="1939">
          <cell r="A1939" t="str">
            <v>In service</v>
          </cell>
          <cell r="B1939" t="str">
            <v>Gulfstream Aerospace Gulfstream IV</v>
          </cell>
          <cell r="C1939" t="str">
            <v xml:space="preserve"> </v>
          </cell>
          <cell r="D1939">
            <v>1993</v>
          </cell>
          <cell r="E1939" t="str">
            <v>Gama Aviation SA</v>
          </cell>
          <cell r="F1939">
            <v>9</v>
          </cell>
          <cell r="G1939">
            <v>34165</v>
          </cell>
          <cell r="I1939" t="str">
            <v>Europe</v>
          </cell>
          <cell r="J1939" t="str">
            <v>Switzerland</v>
          </cell>
          <cell r="K1939">
            <v>33419</v>
          </cell>
        </row>
        <row r="1940">
          <cell r="A1940" t="str">
            <v>In service</v>
          </cell>
          <cell r="B1940" t="str">
            <v>Gulfstream Aerospace Gulfstream IV</v>
          </cell>
          <cell r="C1940" t="str">
            <v xml:space="preserve"> </v>
          </cell>
          <cell r="D1940">
            <v>1993</v>
          </cell>
          <cell r="E1940" t="str">
            <v>AT&amp;T Corp</v>
          </cell>
          <cell r="F1940">
            <v>9</v>
          </cell>
          <cell r="G1940">
            <v>34213</v>
          </cell>
          <cell r="I1940" t="str">
            <v>North America</v>
          </cell>
          <cell r="J1940" t="str">
            <v>USA</v>
          </cell>
          <cell r="K1940">
            <v>33054</v>
          </cell>
        </row>
        <row r="1941">
          <cell r="A1941" t="str">
            <v>In service</v>
          </cell>
          <cell r="B1941" t="str">
            <v>Gulfstream Aerospace Gulfstream IV</v>
          </cell>
          <cell r="C1941" t="str">
            <v xml:space="preserve"> </v>
          </cell>
          <cell r="D1941">
            <v>1992</v>
          </cell>
          <cell r="E1941" t="str">
            <v>Cox Communications Inc</v>
          </cell>
          <cell r="F1941">
            <v>10</v>
          </cell>
          <cell r="G1941">
            <v>33938</v>
          </cell>
          <cell r="I1941" t="str">
            <v>North America</v>
          </cell>
          <cell r="J1941" t="str">
            <v>USA</v>
          </cell>
          <cell r="K1941">
            <v>33054</v>
          </cell>
        </row>
        <row r="1942">
          <cell r="A1942" t="str">
            <v>In service</v>
          </cell>
          <cell r="B1942" t="str">
            <v>Gulfstream Aerospace Gulfstream IV</v>
          </cell>
          <cell r="C1942" t="str">
            <v xml:space="preserve"> </v>
          </cell>
          <cell r="D1942">
            <v>1993</v>
          </cell>
          <cell r="E1942" t="str">
            <v>711 Air Corp</v>
          </cell>
          <cell r="F1942">
            <v>9</v>
          </cell>
          <cell r="G1942">
            <v>34204</v>
          </cell>
          <cell r="I1942" t="str">
            <v>North America</v>
          </cell>
          <cell r="J1942" t="str">
            <v>USA</v>
          </cell>
          <cell r="K1942">
            <v>33419</v>
          </cell>
        </row>
        <row r="1943">
          <cell r="A1943" t="str">
            <v>In service</v>
          </cell>
          <cell r="B1943" t="str">
            <v>Gulfstream Aerospace Gulfstream IV</v>
          </cell>
          <cell r="C1943" t="str">
            <v xml:space="preserve"> </v>
          </cell>
          <cell r="D1943">
            <v>1993</v>
          </cell>
          <cell r="E1943" t="str">
            <v>Great Buy Inc</v>
          </cell>
          <cell r="F1943">
            <v>9</v>
          </cell>
          <cell r="G1943">
            <v>34229</v>
          </cell>
          <cell r="I1943" t="str">
            <v>North America</v>
          </cell>
          <cell r="J1943" t="str">
            <v>USA</v>
          </cell>
          <cell r="K1943">
            <v>33419</v>
          </cell>
        </row>
        <row r="1944">
          <cell r="A1944" t="str">
            <v>In service</v>
          </cell>
          <cell r="B1944" t="str">
            <v>Gulfstream Aerospace Gulfstream IV</v>
          </cell>
          <cell r="C1944" t="str">
            <v xml:space="preserve"> </v>
          </cell>
          <cell r="D1944">
            <v>1993</v>
          </cell>
          <cell r="E1944" t="str">
            <v>H J Heinz Co</v>
          </cell>
          <cell r="F1944">
            <v>9</v>
          </cell>
          <cell r="G1944">
            <v>34380</v>
          </cell>
          <cell r="I1944" t="str">
            <v>North America</v>
          </cell>
          <cell r="J1944" t="str">
            <v>USA</v>
          </cell>
        </row>
        <row r="1945">
          <cell r="A1945" t="str">
            <v>In service</v>
          </cell>
          <cell r="B1945" t="str">
            <v>Gulfstream Aerospace Gulfstream IV</v>
          </cell>
          <cell r="C1945" t="str">
            <v xml:space="preserve"> </v>
          </cell>
          <cell r="D1945">
            <v>1992</v>
          </cell>
          <cell r="E1945" t="str">
            <v>PK Aire Inc</v>
          </cell>
          <cell r="F1945">
            <v>10</v>
          </cell>
          <cell r="G1945">
            <v>33962</v>
          </cell>
          <cell r="I1945" t="str">
            <v>North America</v>
          </cell>
          <cell r="J1945" t="str">
            <v>USA</v>
          </cell>
          <cell r="K1945">
            <v>33054</v>
          </cell>
        </row>
        <row r="1946">
          <cell r="A1946" t="str">
            <v>In service</v>
          </cell>
          <cell r="B1946" t="str">
            <v>Gulfstream Aerospace Gulfstream IV</v>
          </cell>
          <cell r="C1946" t="str">
            <v xml:space="preserve"> </v>
          </cell>
          <cell r="D1946">
            <v>1993</v>
          </cell>
          <cell r="E1946" t="str">
            <v>Bombardier Capital Inc</v>
          </cell>
          <cell r="F1946">
            <v>9</v>
          </cell>
          <cell r="G1946">
            <v>34488</v>
          </cell>
          <cell r="I1946" t="str">
            <v>North America</v>
          </cell>
          <cell r="J1946" t="str">
            <v>USA</v>
          </cell>
          <cell r="K1946">
            <v>33785</v>
          </cell>
        </row>
        <row r="1947">
          <cell r="A1947" t="str">
            <v>In service</v>
          </cell>
          <cell r="B1947" t="str">
            <v>Gulfstream Aerospace Gulfstream IV</v>
          </cell>
          <cell r="C1947" t="str">
            <v xml:space="preserve"> </v>
          </cell>
          <cell r="D1947">
            <v>1993</v>
          </cell>
          <cell r="E1947" t="str">
            <v>Hewlett-Packard Co</v>
          </cell>
          <cell r="F1947">
            <v>9</v>
          </cell>
          <cell r="G1947">
            <v>34194</v>
          </cell>
          <cell r="I1947" t="str">
            <v>North America</v>
          </cell>
          <cell r="J1947" t="str">
            <v>USA</v>
          </cell>
          <cell r="K1947">
            <v>33419</v>
          </cell>
        </row>
        <row r="1948">
          <cell r="A1948" t="str">
            <v>In service</v>
          </cell>
          <cell r="B1948" t="str">
            <v>Gulfstream Aerospace Gulfstream IV</v>
          </cell>
          <cell r="C1948" t="str">
            <v xml:space="preserve"> </v>
          </cell>
          <cell r="D1948">
            <v>1993</v>
          </cell>
          <cell r="E1948" t="str">
            <v>News America Inc</v>
          </cell>
          <cell r="F1948">
            <v>9</v>
          </cell>
          <cell r="G1948">
            <v>34369</v>
          </cell>
          <cell r="I1948" t="str">
            <v>North America</v>
          </cell>
          <cell r="J1948" t="str">
            <v>USA</v>
          </cell>
          <cell r="K1948">
            <v>34150</v>
          </cell>
        </row>
        <row r="1949">
          <cell r="A1949" t="str">
            <v>In service</v>
          </cell>
          <cell r="B1949" t="str">
            <v>Gulfstream Aerospace Gulfstream IV</v>
          </cell>
          <cell r="C1949" t="str">
            <v xml:space="preserve"> </v>
          </cell>
          <cell r="D1949">
            <v>1993</v>
          </cell>
          <cell r="E1949" t="str">
            <v>Exxon Mobil Corp</v>
          </cell>
          <cell r="F1949">
            <v>9</v>
          </cell>
          <cell r="G1949">
            <v>34227</v>
          </cell>
          <cell r="I1949" t="str">
            <v>North America</v>
          </cell>
          <cell r="J1949" t="str">
            <v>USA</v>
          </cell>
          <cell r="K1949">
            <v>33419</v>
          </cell>
        </row>
        <row r="1950">
          <cell r="A1950" t="str">
            <v>In service</v>
          </cell>
          <cell r="B1950" t="str">
            <v>Gulfstream Aerospace Gulfstream IV</v>
          </cell>
          <cell r="C1950" t="str">
            <v xml:space="preserve"> </v>
          </cell>
          <cell r="D1950">
            <v>1993</v>
          </cell>
          <cell r="E1950" t="str">
            <v>Hewlett-Packard Co</v>
          </cell>
          <cell r="F1950">
            <v>9</v>
          </cell>
          <cell r="G1950">
            <v>34311</v>
          </cell>
          <cell r="I1950" t="str">
            <v>North America</v>
          </cell>
          <cell r="J1950" t="str">
            <v>USA</v>
          </cell>
          <cell r="K1950">
            <v>33419</v>
          </cell>
        </row>
        <row r="1951">
          <cell r="A1951" t="str">
            <v>In service</v>
          </cell>
          <cell r="B1951" t="str">
            <v>Gulfstream Aerospace Gulfstream IV</v>
          </cell>
          <cell r="C1951" t="str">
            <v xml:space="preserve"> </v>
          </cell>
          <cell r="D1951">
            <v>1993</v>
          </cell>
          <cell r="E1951" t="str">
            <v>Time Warner Inc</v>
          </cell>
          <cell r="F1951">
            <v>9</v>
          </cell>
          <cell r="G1951">
            <v>34380</v>
          </cell>
          <cell r="I1951" t="str">
            <v>North America</v>
          </cell>
          <cell r="J1951" t="str">
            <v>USA</v>
          </cell>
          <cell r="K1951">
            <v>33785</v>
          </cell>
        </row>
        <row r="1952">
          <cell r="A1952" t="str">
            <v>In service</v>
          </cell>
          <cell r="B1952" t="str">
            <v>Gulfstream Aerospace Gulfstream IV</v>
          </cell>
          <cell r="C1952" t="str">
            <v xml:space="preserve"> </v>
          </cell>
          <cell r="D1952">
            <v>1993</v>
          </cell>
          <cell r="E1952" t="str">
            <v>Flight Operations Inc</v>
          </cell>
          <cell r="F1952">
            <v>9</v>
          </cell>
          <cell r="G1952">
            <v>34349</v>
          </cell>
          <cell r="I1952" t="str">
            <v>North America</v>
          </cell>
          <cell r="J1952" t="str">
            <v>USA</v>
          </cell>
          <cell r="K1952">
            <v>33785</v>
          </cell>
        </row>
        <row r="1953">
          <cell r="A1953" t="str">
            <v>In service</v>
          </cell>
          <cell r="B1953" t="str">
            <v>Gulfstream Aerospace Gulfstream IV</v>
          </cell>
          <cell r="C1953" t="str">
            <v xml:space="preserve"> </v>
          </cell>
          <cell r="D1953">
            <v>1993</v>
          </cell>
          <cell r="E1953" t="str">
            <v>N171JC LLC</v>
          </cell>
          <cell r="F1953">
            <v>9</v>
          </cell>
          <cell r="G1953">
            <v>34380</v>
          </cell>
          <cell r="I1953" t="str">
            <v>North America</v>
          </cell>
          <cell r="J1953" t="str">
            <v>USA</v>
          </cell>
          <cell r="K1953">
            <v>33785</v>
          </cell>
        </row>
        <row r="1954">
          <cell r="A1954" t="str">
            <v>In service</v>
          </cell>
          <cell r="B1954" t="str">
            <v>Gulfstream Aerospace Gulfstream IV</v>
          </cell>
          <cell r="C1954" t="str">
            <v xml:space="preserve"> </v>
          </cell>
          <cell r="D1954">
            <v>1993</v>
          </cell>
          <cell r="E1954" t="str">
            <v>H J Heinz Co</v>
          </cell>
          <cell r="F1954">
            <v>9</v>
          </cell>
          <cell r="G1954">
            <v>34682</v>
          </cell>
          <cell r="I1954" t="str">
            <v>North America</v>
          </cell>
          <cell r="J1954" t="str">
            <v>USA</v>
          </cell>
          <cell r="K1954">
            <v>33785</v>
          </cell>
        </row>
        <row r="1955">
          <cell r="A1955" t="str">
            <v>In service</v>
          </cell>
          <cell r="B1955" t="str">
            <v>Gulfstream Aerospace Gulfstream IV</v>
          </cell>
          <cell r="C1955" t="str">
            <v xml:space="preserve"> </v>
          </cell>
          <cell r="D1955">
            <v>1993</v>
          </cell>
          <cell r="E1955" t="str">
            <v>SDA Enterprises Inc</v>
          </cell>
          <cell r="F1955">
            <v>9</v>
          </cell>
          <cell r="G1955">
            <v>34318</v>
          </cell>
          <cell r="I1955" t="str">
            <v>North America</v>
          </cell>
          <cell r="J1955" t="str">
            <v>USA</v>
          </cell>
          <cell r="K1955">
            <v>33419</v>
          </cell>
        </row>
        <row r="1956">
          <cell r="A1956" t="str">
            <v>In service</v>
          </cell>
          <cell r="B1956" t="str">
            <v>Gulfstream Aerospace Gulfstream IV</v>
          </cell>
          <cell r="C1956" t="str">
            <v xml:space="preserve"> </v>
          </cell>
          <cell r="D1956">
            <v>1993</v>
          </cell>
          <cell r="E1956" t="str">
            <v>Silver Stream Aviation LLC</v>
          </cell>
          <cell r="F1956">
            <v>9</v>
          </cell>
          <cell r="G1956">
            <v>34212</v>
          </cell>
          <cell r="I1956" t="str">
            <v>North America</v>
          </cell>
          <cell r="J1956" t="str">
            <v>USA</v>
          </cell>
          <cell r="K1956">
            <v>33419</v>
          </cell>
        </row>
        <row r="1957">
          <cell r="A1957" t="str">
            <v>In service</v>
          </cell>
          <cell r="B1957" t="str">
            <v>Gulfstream Aerospace Gulfstream IV</v>
          </cell>
          <cell r="C1957" t="str">
            <v xml:space="preserve"> </v>
          </cell>
          <cell r="D1957">
            <v>1993</v>
          </cell>
          <cell r="E1957" t="str">
            <v>OMG American Inc</v>
          </cell>
          <cell r="F1957">
            <v>9</v>
          </cell>
          <cell r="G1957">
            <v>34515</v>
          </cell>
          <cell r="I1957" t="str">
            <v>North America</v>
          </cell>
          <cell r="J1957" t="str">
            <v>USA</v>
          </cell>
          <cell r="K1957">
            <v>33785</v>
          </cell>
        </row>
        <row r="1958">
          <cell r="A1958" t="str">
            <v>In service</v>
          </cell>
          <cell r="B1958" t="str">
            <v>Gulfstream Aerospace Gulfstream IV</v>
          </cell>
          <cell r="C1958" t="str">
            <v xml:space="preserve"> </v>
          </cell>
          <cell r="D1958">
            <v>1993</v>
          </cell>
          <cell r="E1958" t="str">
            <v>Automotive Air Charter</v>
          </cell>
          <cell r="F1958">
            <v>9</v>
          </cell>
          <cell r="G1958">
            <v>34452</v>
          </cell>
          <cell r="I1958" t="str">
            <v>North America</v>
          </cell>
          <cell r="J1958" t="str">
            <v>USA</v>
          </cell>
          <cell r="K1958">
            <v>33785</v>
          </cell>
        </row>
        <row r="1959">
          <cell r="A1959" t="str">
            <v>In service</v>
          </cell>
          <cell r="B1959" t="str">
            <v>Gulfstream Aerospace Gulfstream IV</v>
          </cell>
          <cell r="C1959" t="str">
            <v xml:space="preserve"> </v>
          </cell>
          <cell r="D1959">
            <v>1993</v>
          </cell>
          <cell r="E1959" t="str">
            <v>Trans Exec Air Service</v>
          </cell>
          <cell r="F1959">
            <v>9</v>
          </cell>
          <cell r="G1959">
            <v>34561</v>
          </cell>
          <cell r="I1959" t="str">
            <v>North America</v>
          </cell>
          <cell r="J1959" t="str">
            <v>USA</v>
          </cell>
          <cell r="K1959">
            <v>33785</v>
          </cell>
        </row>
        <row r="1960">
          <cell r="A1960" t="str">
            <v>In service</v>
          </cell>
          <cell r="B1960" t="str">
            <v>Gulfstream Aerospace Gulfstream IV</v>
          </cell>
          <cell r="C1960" t="str">
            <v>C-20F</v>
          </cell>
          <cell r="D1960">
            <v>1991</v>
          </cell>
          <cell r="E1960" t="str">
            <v>US Army</v>
          </cell>
          <cell r="F1960">
            <v>11</v>
          </cell>
          <cell r="G1960">
            <v>33411</v>
          </cell>
          <cell r="H1960" t="str">
            <v>C-20F</v>
          </cell>
          <cell r="I1960" t="str">
            <v>North America</v>
          </cell>
          <cell r="J1960" t="str">
            <v>USA</v>
          </cell>
        </row>
        <row r="1961">
          <cell r="A1961" t="str">
            <v>In service</v>
          </cell>
          <cell r="B1961" t="str">
            <v>Gulfstream Aerospace Gulfstream IV</v>
          </cell>
          <cell r="C1961" t="str">
            <v>C-20G</v>
          </cell>
          <cell r="D1961">
            <v>1994</v>
          </cell>
          <cell r="E1961" t="str">
            <v>US Air Force</v>
          </cell>
          <cell r="F1961">
            <v>8</v>
          </cell>
          <cell r="G1961">
            <v>34622</v>
          </cell>
          <cell r="H1961" t="str">
            <v>C-20G</v>
          </cell>
          <cell r="I1961" t="str">
            <v>North America</v>
          </cell>
          <cell r="J1961" t="str">
            <v>USA</v>
          </cell>
          <cell r="K1961">
            <v>34150</v>
          </cell>
        </row>
        <row r="1962">
          <cell r="A1962" t="str">
            <v>In service</v>
          </cell>
          <cell r="B1962" t="str">
            <v>Gulfstream Aerospace Gulfstream IV</v>
          </cell>
          <cell r="C1962" t="str">
            <v>C-20G</v>
          </cell>
          <cell r="D1962">
            <v>1992</v>
          </cell>
          <cell r="E1962" t="str">
            <v>US Navy</v>
          </cell>
          <cell r="F1962">
            <v>10</v>
          </cell>
          <cell r="G1962">
            <v>34369</v>
          </cell>
          <cell r="H1962" t="str">
            <v>C-20G</v>
          </cell>
          <cell r="I1962" t="str">
            <v>North America</v>
          </cell>
          <cell r="J1962" t="str">
            <v>USA</v>
          </cell>
          <cell r="K1962">
            <v>33284</v>
          </cell>
        </row>
        <row r="1963">
          <cell r="A1963" t="str">
            <v>In service</v>
          </cell>
          <cell r="B1963" t="str">
            <v>Gulfstream Aerospace Gulfstream IV</v>
          </cell>
          <cell r="C1963" t="str">
            <v>C-20G</v>
          </cell>
          <cell r="D1963">
            <v>1992</v>
          </cell>
          <cell r="E1963" t="str">
            <v>US Navy</v>
          </cell>
          <cell r="F1963">
            <v>10</v>
          </cell>
          <cell r="G1963">
            <v>34515</v>
          </cell>
          <cell r="H1963" t="str">
            <v>C-20G</v>
          </cell>
          <cell r="I1963" t="str">
            <v>North America</v>
          </cell>
          <cell r="J1963" t="str">
            <v>USA</v>
          </cell>
          <cell r="K1963">
            <v>33284</v>
          </cell>
        </row>
        <row r="1964">
          <cell r="A1964" t="str">
            <v>In service</v>
          </cell>
          <cell r="B1964" t="str">
            <v>Gulfstream Aerospace Gulfstream IV</v>
          </cell>
          <cell r="C1964" t="str">
            <v>C-20G</v>
          </cell>
          <cell r="D1964">
            <v>1992</v>
          </cell>
          <cell r="E1964" t="str">
            <v>US Navy</v>
          </cell>
          <cell r="F1964">
            <v>10</v>
          </cell>
          <cell r="G1964">
            <v>34683</v>
          </cell>
          <cell r="H1964" t="str">
            <v>C-20G</v>
          </cell>
          <cell r="I1964" t="str">
            <v>North America</v>
          </cell>
          <cell r="J1964" t="str">
            <v>USA</v>
          </cell>
          <cell r="K1964">
            <v>33785</v>
          </cell>
        </row>
        <row r="1965">
          <cell r="A1965" t="str">
            <v>In service</v>
          </cell>
          <cell r="B1965" t="str">
            <v>Gulfstream Aerospace Gulfstream IV</v>
          </cell>
          <cell r="C1965" t="str">
            <v>C-20G</v>
          </cell>
          <cell r="D1965">
            <v>1992</v>
          </cell>
          <cell r="E1965" t="str">
            <v>US Marine Corps</v>
          </cell>
          <cell r="F1965">
            <v>10</v>
          </cell>
          <cell r="G1965">
            <v>34653</v>
          </cell>
          <cell r="H1965" t="str">
            <v>C-20G</v>
          </cell>
          <cell r="I1965" t="str">
            <v>North America</v>
          </cell>
          <cell r="J1965" t="str">
            <v>USA</v>
          </cell>
          <cell r="K1965">
            <v>33785</v>
          </cell>
        </row>
        <row r="1966">
          <cell r="A1966" t="str">
            <v>In service</v>
          </cell>
          <cell r="B1966" t="str">
            <v>Gulfstream Aerospace Gulfstream IV</v>
          </cell>
          <cell r="C1966" t="str">
            <v>C-20G</v>
          </cell>
          <cell r="D1966">
            <v>1992</v>
          </cell>
          <cell r="E1966" t="str">
            <v>US Marine Corps</v>
          </cell>
          <cell r="F1966">
            <v>10</v>
          </cell>
          <cell r="G1966">
            <v>34653</v>
          </cell>
          <cell r="H1966" t="str">
            <v>C-20G</v>
          </cell>
          <cell r="I1966" t="str">
            <v>North America</v>
          </cell>
          <cell r="J1966" t="str">
            <v>USA</v>
          </cell>
          <cell r="K1966">
            <v>33785</v>
          </cell>
        </row>
        <row r="1967">
          <cell r="A1967" t="str">
            <v>In service</v>
          </cell>
          <cell r="B1967" t="str">
            <v>Gulfstream Aerospace Gulfstream IV</v>
          </cell>
          <cell r="C1967" t="str">
            <v>C-20H</v>
          </cell>
          <cell r="D1967">
            <v>1995</v>
          </cell>
          <cell r="E1967" t="str">
            <v>US Air Force</v>
          </cell>
          <cell r="F1967">
            <v>7</v>
          </cell>
          <cell r="G1967">
            <v>35110</v>
          </cell>
          <cell r="H1967" t="str">
            <v>C-20H</v>
          </cell>
          <cell r="I1967" t="str">
            <v>North America</v>
          </cell>
          <cell r="J1967" t="str">
            <v>USA</v>
          </cell>
          <cell r="K1967">
            <v>33785</v>
          </cell>
        </row>
        <row r="1968">
          <cell r="A1968" t="str">
            <v>In service</v>
          </cell>
          <cell r="B1968" t="str">
            <v>Gulfstream Aerospace Gulfstream IV</v>
          </cell>
          <cell r="C1968" t="str">
            <v>S 102B</v>
          </cell>
          <cell r="D1968">
            <v>1993</v>
          </cell>
          <cell r="E1968" t="str">
            <v>Swedish Air Force</v>
          </cell>
          <cell r="F1968">
            <v>9</v>
          </cell>
          <cell r="G1968">
            <v>34935</v>
          </cell>
          <cell r="H1968" t="str">
            <v>S 102B</v>
          </cell>
          <cell r="I1968" t="str">
            <v>Europe</v>
          </cell>
          <cell r="J1968" t="str">
            <v>Sweden</v>
          </cell>
          <cell r="K1968">
            <v>33784</v>
          </cell>
        </row>
        <row r="1969">
          <cell r="A1969" t="str">
            <v>In service</v>
          </cell>
          <cell r="B1969" t="str">
            <v>Gulfstream Aerospace Gulfstream IV</v>
          </cell>
          <cell r="C1969" t="str">
            <v>S 102B</v>
          </cell>
          <cell r="D1969">
            <v>1993</v>
          </cell>
          <cell r="E1969" t="str">
            <v>Swedish Air Force</v>
          </cell>
          <cell r="F1969">
            <v>9</v>
          </cell>
          <cell r="G1969">
            <v>34987</v>
          </cell>
          <cell r="H1969" t="str">
            <v>S 102B</v>
          </cell>
          <cell r="I1969" t="str">
            <v>Europe</v>
          </cell>
          <cell r="J1969" t="str">
            <v>Sweden</v>
          </cell>
          <cell r="K1969">
            <v>33784</v>
          </cell>
        </row>
        <row r="1970">
          <cell r="A1970" t="str">
            <v>In service</v>
          </cell>
          <cell r="B1970" t="str">
            <v>Gulfstream Aerospace Gulfstream IV</v>
          </cell>
          <cell r="C1970" t="str">
            <v>SP</v>
          </cell>
          <cell r="D1970">
            <v>1991</v>
          </cell>
          <cell r="E1970" t="str">
            <v>Jetclub AG</v>
          </cell>
          <cell r="F1970">
            <v>11</v>
          </cell>
          <cell r="G1970">
            <v>34380</v>
          </cell>
          <cell r="H1970" t="str">
            <v>SP</v>
          </cell>
          <cell r="I1970" t="str">
            <v>Europe</v>
          </cell>
          <cell r="J1970" t="str">
            <v>Switzerland</v>
          </cell>
        </row>
        <row r="1971">
          <cell r="A1971" t="str">
            <v>In service</v>
          </cell>
          <cell r="B1971" t="str">
            <v>Gulfstream Aerospace Gulfstream IV</v>
          </cell>
          <cell r="C1971" t="str">
            <v>SP</v>
          </cell>
          <cell r="D1971">
            <v>1992</v>
          </cell>
          <cell r="E1971" t="str">
            <v>The Air Group Inc</v>
          </cell>
          <cell r="F1971">
            <v>10</v>
          </cell>
          <cell r="G1971">
            <v>33785</v>
          </cell>
          <cell r="H1971" t="str">
            <v>SP</v>
          </cell>
          <cell r="I1971" t="str">
            <v>North America</v>
          </cell>
          <cell r="J1971" t="str">
            <v>USA</v>
          </cell>
        </row>
        <row r="1972">
          <cell r="A1972" t="str">
            <v>In service</v>
          </cell>
          <cell r="B1972" t="str">
            <v>Gulfstream Aerospace Gulfstream IV</v>
          </cell>
          <cell r="C1972" t="str">
            <v>SP</v>
          </cell>
          <cell r="D1972">
            <v>1992</v>
          </cell>
          <cell r="E1972" t="str">
            <v>Zeno Air Inc</v>
          </cell>
          <cell r="F1972">
            <v>10</v>
          </cell>
          <cell r="G1972">
            <v>33907</v>
          </cell>
          <cell r="H1972" t="str">
            <v>SP</v>
          </cell>
          <cell r="I1972" t="str">
            <v>North America</v>
          </cell>
          <cell r="J1972" t="str">
            <v>USA</v>
          </cell>
          <cell r="K1972">
            <v>33419</v>
          </cell>
        </row>
        <row r="1973">
          <cell r="A1973" t="str">
            <v>In service</v>
          </cell>
          <cell r="B1973" t="str">
            <v>Gulfstream Aerospace Gulfstream IV</v>
          </cell>
          <cell r="C1973" t="str">
            <v>SP</v>
          </cell>
          <cell r="D1973">
            <v>1993</v>
          </cell>
          <cell r="E1973" t="str">
            <v>USA Video Distribution LLC &amp; Nineteen Forty CC Inc</v>
          </cell>
          <cell r="F1973">
            <v>9</v>
          </cell>
          <cell r="G1973">
            <v>34200</v>
          </cell>
          <cell r="H1973" t="str">
            <v>SP</v>
          </cell>
          <cell r="I1973" t="str">
            <v>North America</v>
          </cell>
          <cell r="J1973" t="str">
            <v>USA</v>
          </cell>
          <cell r="K1973">
            <v>33785</v>
          </cell>
        </row>
        <row r="1974">
          <cell r="A1974" t="str">
            <v>In service</v>
          </cell>
          <cell r="B1974" t="str">
            <v>Gulfstream Aerospace Gulfstream IV</v>
          </cell>
          <cell r="C1974" t="str">
            <v>SP</v>
          </cell>
          <cell r="D1974">
            <v>1993</v>
          </cell>
          <cell r="E1974" t="str">
            <v>Executive Jet Charter</v>
          </cell>
          <cell r="F1974">
            <v>9</v>
          </cell>
          <cell r="G1974">
            <v>34058</v>
          </cell>
          <cell r="H1974" t="str">
            <v>SP</v>
          </cell>
          <cell r="I1974" t="str">
            <v>North America</v>
          </cell>
          <cell r="J1974" t="str">
            <v>USA</v>
          </cell>
          <cell r="K1974">
            <v>33419</v>
          </cell>
        </row>
        <row r="1975">
          <cell r="A1975" t="str">
            <v>In service</v>
          </cell>
          <cell r="B1975" t="str">
            <v>Gulfstream Aerospace Gulfstream IV</v>
          </cell>
          <cell r="C1975" t="str">
            <v>SP</v>
          </cell>
          <cell r="D1975">
            <v>1993</v>
          </cell>
          <cell r="E1975" t="str">
            <v>Georgetown Interstate Aviation Inc</v>
          </cell>
          <cell r="F1975">
            <v>9</v>
          </cell>
          <cell r="G1975">
            <v>34096</v>
          </cell>
          <cell r="H1975" t="str">
            <v>SP</v>
          </cell>
          <cell r="I1975" t="str">
            <v>North America</v>
          </cell>
          <cell r="J1975" t="str">
            <v>USA</v>
          </cell>
          <cell r="K1975">
            <v>33419</v>
          </cell>
        </row>
        <row r="1976">
          <cell r="A1976" t="str">
            <v>In service</v>
          </cell>
          <cell r="B1976" t="str">
            <v>Gulfstream Aerospace Gulfstream IV</v>
          </cell>
          <cell r="C1976" t="str">
            <v>SP</v>
          </cell>
          <cell r="D1976">
            <v>1993</v>
          </cell>
          <cell r="E1976" t="str">
            <v>AON Service Corporation</v>
          </cell>
          <cell r="F1976">
            <v>9</v>
          </cell>
          <cell r="G1976">
            <v>34495</v>
          </cell>
          <cell r="H1976" t="str">
            <v>SP</v>
          </cell>
          <cell r="I1976" t="str">
            <v>North America</v>
          </cell>
          <cell r="J1976" t="str">
            <v>USA</v>
          </cell>
          <cell r="K1976">
            <v>33785</v>
          </cell>
        </row>
        <row r="1977">
          <cell r="A1977" t="str">
            <v>In service</v>
          </cell>
          <cell r="B1977" t="str">
            <v>Gulfstream Aerospace Gulfstream IV</v>
          </cell>
          <cell r="C1977" t="str">
            <v>SP</v>
          </cell>
          <cell r="D1977">
            <v>1993</v>
          </cell>
          <cell r="E1977" t="str">
            <v>CSC Transport Inc</v>
          </cell>
          <cell r="F1977">
            <v>9</v>
          </cell>
          <cell r="G1977">
            <v>34564</v>
          </cell>
          <cell r="H1977" t="str">
            <v>SP</v>
          </cell>
          <cell r="I1977" t="str">
            <v>North America</v>
          </cell>
          <cell r="J1977" t="str">
            <v>USA</v>
          </cell>
          <cell r="K1977">
            <v>33785</v>
          </cell>
        </row>
        <row r="1978">
          <cell r="A1978" t="str">
            <v>In service</v>
          </cell>
          <cell r="B1978" t="str">
            <v>Gulfstream Aerospace Gulfstream IV</v>
          </cell>
          <cell r="C1978" t="str">
            <v>SP</v>
          </cell>
          <cell r="D1978">
            <v>1993</v>
          </cell>
          <cell r="E1978" t="str">
            <v>Dacion Corp</v>
          </cell>
          <cell r="F1978">
            <v>9</v>
          </cell>
          <cell r="G1978">
            <v>34333</v>
          </cell>
          <cell r="H1978" t="str">
            <v>SP</v>
          </cell>
          <cell r="I1978" t="str">
            <v>North America</v>
          </cell>
          <cell r="J1978" t="str">
            <v>USA</v>
          </cell>
          <cell r="K1978">
            <v>33419</v>
          </cell>
        </row>
        <row r="1979">
          <cell r="A1979" t="str">
            <v>In service</v>
          </cell>
          <cell r="B1979" t="str">
            <v>Gulfstream Aerospace Gulfstream IV</v>
          </cell>
          <cell r="C1979" t="str">
            <v>SP</v>
          </cell>
          <cell r="D1979">
            <v>1993</v>
          </cell>
          <cell r="E1979" t="str">
            <v>KaiserAir Inc</v>
          </cell>
          <cell r="F1979">
            <v>9</v>
          </cell>
          <cell r="G1979">
            <v>34522</v>
          </cell>
          <cell r="H1979" t="str">
            <v>SP</v>
          </cell>
          <cell r="I1979" t="str">
            <v>North America</v>
          </cell>
          <cell r="J1979" t="str">
            <v>USA</v>
          </cell>
          <cell r="K1979">
            <v>33785</v>
          </cell>
        </row>
        <row r="1980">
          <cell r="A1980" t="str">
            <v>In service</v>
          </cell>
          <cell r="B1980" t="str">
            <v>Gulfstream Aerospace Gulfstream IV</v>
          </cell>
          <cell r="C1980" t="str">
            <v>SP</v>
          </cell>
          <cell r="D1980">
            <v>1994</v>
          </cell>
          <cell r="E1980" t="str">
            <v>Jet Aviation Business Jets</v>
          </cell>
          <cell r="F1980">
            <v>8</v>
          </cell>
          <cell r="G1980">
            <v>34590</v>
          </cell>
          <cell r="H1980" t="str">
            <v>SP</v>
          </cell>
          <cell r="I1980" t="str">
            <v>Europe</v>
          </cell>
          <cell r="J1980" t="str">
            <v>Switzerland</v>
          </cell>
          <cell r="K1980">
            <v>33785</v>
          </cell>
        </row>
        <row r="1981">
          <cell r="A1981" t="str">
            <v>In service</v>
          </cell>
          <cell r="B1981" t="str">
            <v>Gulfstream Aerospace Gulfstream IV</v>
          </cell>
          <cell r="C1981" t="str">
            <v>SP</v>
          </cell>
          <cell r="D1981">
            <v>1994</v>
          </cell>
          <cell r="E1981" t="str">
            <v>Sirio</v>
          </cell>
          <cell r="F1981">
            <v>8</v>
          </cell>
          <cell r="G1981">
            <v>34592</v>
          </cell>
          <cell r="H1981" t="str">
            <v>SP</v>
          </cell>
          <cell r="I1981" t="str">
            <v>Europe</v>
          </cell>
          <cell r="J1981" t="str">
            <v>Italy</v>
          </cell>
          <cell r="K1981">
            <v>34150</v>
          </cell>
        </row>
        <row r="1982">
          <cell r="A1982" t="str">
            <v>In service</v>
          </cell>
          <cell r="B1982" t="str">
            <v>Gulfstream Aerospace Gulfstream IV</v>
          </cell>
          <cell r="C1982" t="str">
            <v>SP</v>
          </cell>
          <cell r="D1982">
            <v>1994</v>
          </cell>
          <cell r="E1982" t="str">
            <v>Exxon Mobil Corp</v>
          </cell>
          <cell r="F1982">
            <v>8</v>
          </cell>
          <cell r="G1982">
            <v>34611</v>
          </cell>
          <cell r="H1982" t="str">
            <v>SP</v>
          </cell>
          <cell r="I1982" t="str">
            <v>North America</v>
          </cell>
          <cell r="J1982" t="str">
            <v>USA</v>
          </cell>
          <cell r="K1982">
            <v>33785</v>
          </cell>
        </row>
        <row r="1983">
          <cell r="A1983" t="str">
            <v>In service</v>
          </cell>
          <cell r="B1983" t="str">
            <v>Gulfstream Aerospace Gulfstream IV</v>
          </cell>
          <cell r="C1983" t="str">
            <v>SP</v>
          </cell>
          <cell r="D1983">
            <v>1994</v>
          </cell>
          <cell r="E1983" t="str">
            <v>Gannett Co Inc</v>
          </cell>
          <cell r="F1983">
            <v>8</v>
          </cell>
          <cell r="G1983">
            <v>34773</v>
          </cell>
          <cell r="H1983" t="str">
            <v>SP</v>
          </cell>
          <cell r="I1983" t="str">
            <v>North America</v>
          </cell>
          <cell r="J1983" t="str">
            <v>USA</v>
          </cell>
          <cell r="K1983">
            <v>34150</v>
          </cell>
        </row>
        <row r="1984">
          <cell r="A1984" t="str">
            <v>In service</v>
          </cell>
          <cell r="B1984" t="str">
            <v>Gulfstream Aerospace Gulfstream IV</v>
          </cell>
          <cell r="C1984" t="str">
            <v>SP</v>
          </cell>
          <cell r="D1984">
            <v>1994</v>
          </cell>
          <cell r="E1984" t="str">
            <v>Whirlpool Corp</v>
          </cell>
          <cell r="F1984">
            <v>8</v>
          </cell>
          <cell r="G1984">
            <v>34421</v>
          </cell>
          <cell r="H1984" t="str">
            <v>SP</v>
          </cell>
          <cell r="I1984" t="str">
            <v>North America</v>
          </cell>
          <cell r="J1984" t="str">
            <v>USA</v>
          </cell>
          <cell r="K1984">
            <v>33785</v>
          </cell>
        </row>
        <row r="1985">
          <cell r="A1985" t="str">
            <v>In service</v>
          </cell>
          <cell r="B1985" t="str">
            <v>Gulfstream Aerospace Gulfstream IV</v>
          </cell>
          <cell r="C1985" t="str">
            <v>SP</v>
          </cell>
          <cell r="D1985">
            <v>1994</v>
          </cell>
          <cell r="E1985" t="str">
            <v>Leucadia Aviation Inc</v>
          </cell>
          <cell r="F1985">
            <v>8</v>
          </cell>
          <cell r="G1985">
            <v>34764</v>
          </cell>
          <cell r="H1985" t="str">
            <v>SP</v>
          </cell>
          <cell r="I1985" t="str">
            <v>North America</v>
          </cell>
          <cell r="J1985" t="str">
            <v>USA</v>
          </cell>
          <cell r="K1985">
            <v>34515</v>
          </cell>
        </row>
        <row r="1986">
          <cell r="A1986" t="str">
            <v>In service</v>
          </cell>
          <cell r="B1986" t="str">
            <v>Gulfstream Aerospace Gulfstream IV</v>
          </cell>
          <cell r="C1986" t="str">
            <v>SP</v>
          </cell>
          <cell r="D1986">
            <v>1994</v>
          </cell>
          <cell r="E1986" t="str">
            <v>Hoescht Marion Roussel Inc</v>
          </cell>
          <cell r="F1986">
            <v>8</v>
          </cell>
          <cell r="G1986">
            <v>34653</v>
          </cell>
          <cell r="H1986" t="str">
            <v>SP</v>
          </cell>
          <cell r="I1986" t="str">
            <v>North America</v>
          </cell>
          <cell r="J1986" t="str">
            <v>USA</v>
          </cell>
          <cell r="K1986">
            <v>33785</v>
          </cell>
        </row>
        <row r="1987">
          <cell r="A1987" t="str">
            <v>In service</v>
          </cell>
          <cell r="B1987" t="str">
            <v>Gulfstream Aerospace Gulfstream IV</v>
          </cell>
          <cell r="C1987" t="str">
            <v>SP</v>
          </cell>
          <cell r="D1987">
            <v>1994</v>
          </cell>
          <cell r="E1987" t="str">
            <v>New Cingular Wireless Flight Operations LLC</v>
          </cell>
          <cell r="F1987">
            <v>8</v>
          </cell>
          <cell r="G1987">
            <v>34696</v>
          </cell>
          <cell r="H1987" t="str">
            <v>SP</v>
          </cell>
          <cell r="I1987" t="str">
            <v>North America</v>
          </cell>
          <cell r="J1987" t="str">
            <v>USA</v>
          </cell>
          <cell r="K1987">
            <v>33785</v>
          </cell>
        </row>
        <row r="1988">
          <cell r="A1988" t="str">
            <v>In service</v>
          </cell>
          <cell r="B1988" t="str">
            <v>Gulfstream Aerospace Gulfstream IV</v>
          </cell>
          <cell r="C1988" t="str">
            <v>SP</v>
          </cell>
          <cell r="D1988">
            <v>1994</v>
          </cell>
          <cell r="E1988" t="str">
            <v>Computer Associates International Inc</v>
          </cell>
          <cell r="F1988">
            <v>8</v>
          </cell>
          <cell r="G1988">
            <v>34782</v>
          </cell>
          <cell r="H1988" t="str">
            <v>SP</v>
          </cell>
          <cell r="I1988" t="str">
            <v>North America</v>
          </cell>
          <cell r="J1988" t="str">
            <v>USA</v>
          </cell>
          <cell r="K1988">
            <v>34150</v>
          </cell>
        </row>
        <row r="1989">
          <cell r="A1989" t="str">
            <v>In service</v>
          </cell>
          <cell r="B1989" t="str">
            <v>Gulfstream Aerospace Gulfstream IV</v>
          </cell>
          <cell r="C1989" t="str">
            <v>SP</v>
          </cell>
          <cell r="D1989">
            <v>1994</v>
          </cell>
          <cell r="E1989" t="str">
            <v>Brokerage &amp; Management Corp</v>
          </cell>
          <cell r="F1989">
            <v>8</v>
          </cell>
          <cell r="G1989">
            <v>34859</v>
          </cell>
          <cell r="H1989" t="str">
            <v>SP</v>
          </cell>
          <cell r="I1989" t="str">
            <v>North America</v>
          </cell>
          <cell r="J1989" t="str">
            <v>USA</v>
          </cell>
          <cell r="K1989">
            <v>34150</v>
          </cell>
        </row>
        <row r="1990">
          <cell r="A1990" t="str">
            <v>In service</v>
          </cell>
          <cell r="B1990" t="str">
            <v>Gulfstream Aerospace Gulfstream IV</v>
          </cell>
          <cell r="C1990" t="str">
            <v>SP</v>
          </cell>
          <cell r="D1990">
            <v>1995</v>
          </cell>
          <cell r="E1990" t="str">
            <v>Huizenga Holdings</v>
          </cell>
          <cell r="F1990">
            <v>7</v>
          </cell>
          <cell r="G1990">
            <v>35292</v>
          </cell>
          <cell r="H1990" t="str">
            <v>SP</v>
          </cell>
          <cell r="I1990" t="str">
            <v>North America</v>
          </cell>
          <cell r="J1990" t="str">
            <v>USA</v>
          </cell>
        </row>
        <row r="1991">
          <cell r="A1991" t="str">
            <v>In service</v>
          </cell>
          <cell r="B1991" t="str">
            <v>Gulfstream Aerospace Gulfstream IV</v>
          </cell>
          <cell r="C1991" t="str">
            <v>SP</v>
          </cell>
          <cell r="D1991">
            <v>1994</v>
          </cell>
          <cell r="E1991" t="str">
            <v>Japan Civil Aviation Bureau</v>
          </cell>
          <cell r="F1991">
            <v>8</v>
          </cell>
          <cell r="G1991">
            <v>35016</v>
          </cell>
          <cell r="H1991" t="str">
            <v>SP</v>
          </cell>
          <cell r="I1991" t="str">
            <v>Asia</v>
          </cell>
          <cell r="J1991" t="str">
            <v>Japan</v>
          </cell>
          <cell r="K1991">
            <v>34150</v>
          </cell>
        </row>
        <row r="1992">
          <cell r="A1992" t="str">
            <v>In service</v>
          </cell>
          <cell r="B1992" t="str">
            <v>Gulfstream Aerospace Gulfstream IV</v>
          </cell>
          <cell r="C1992" t="str">
            <v>SP</v>
          </cell>
          <cell r="D1992">
            <v>1994</v>
          </cell>
          <cell r="E1992" t="str">
            <v>Unocal</v>
          </cell>
          <cell r="F1992">
            <v>8</v>
          </cell>
          <cell r="G1992">
            <v>34829</v>
          </cell>
          <cell r="H1992" t="str">
            <v>SP</v>
          </cell>
          <cell r="I1992" t="str">
            <v>North America</v>
          </cell>
          <cell r="J1992" t="str">
            <v>USA</v>
          </cell>
          <cell r="K1992">
            <v>34515</v>
          </cell>
        </row>
        <row r="1993">
          <cell r="A1993" t="str">
            <v>In service</v>
          </cell>
          <cell r="B1993" t="str">
            <v>Gulfstream Aerospace Gulfstream IV</v>
          </cell>
          <cell r="C1993" t="str">
            <v>SP</v>
          </cell>
          <cell r="D1993">
            <v>1994</v>
          </cell>
          <cell r="E1993" t="str">
            <v>US Department of Commerce - NOAA</v>
          </cell>
          <cell r="F1993">
            <v>8</v>
          </cell>
          <cell r="G1993">
            <v>34682</v>
          </cell>
          <cell r="H1993" t="str">
            <v>SP</v>
          </cell>
          <cell r="I1993" t="str">
            <v>North America</v>
          </cell>
          <cell r="J1993" t="str">
            <v>USA</v>
          </cell>
          <cell r="K1993">
            <v>33785</v>
          </cell>
        </row>
        <row r="1994">
          <cell r="A1994" t="str">
            <v>In service</v>
          </cell>
          <cell r="B1994" t="str">
            <v>Gulfstream Aerospace Gulfstream IV</v>
          </cell>
          <cell r="C1994" t="str">
            <v>SP</v>
          </cell>
          <cell r="D1994">
            <v>1994</v>
          </cell>
          <cell r="E1994" t="str">
            <v>Petersen Aviation</v>
          </cell>
          <cell r="F1994">
            <v>8</v>
          </cell>
          <cell r="G1994">
            <v>34871</v>
          </cell>
          <cell r="H1994" t="str">
            <v>SP</v>
          </cell>
          <cell r="I1994" t="str">
            <v>North America</v>
          </cell>
          <cell r="J1994" t="str">
            <v>USA</v>
          </cell>
          <cell r="K1994">
            <v>34150</v>
          </cell>
        </row>
        <row r="1995">
          <cell r="A1995" t="str">
            <v>In service</v>
          </cell>
          <cell r="B1995" t="str">
            <v>Gulfstream Aerospace Gulfstream IV</v>
          </cell>
          <cell r="C1995" t="str">
            <v>SP</v>
          </cell>
          <cell r="D1995">
            <v>1994</v>
          </cell>
          <cell r="E1995" t="str">
            <v>Reebok International Ltd</v>
          </cell>
          <cell r="F1995">
            <v>8</v>
          </cell>
          <cell r="G1995">
            <v>34698</v>
          </cell>
          <cell r="H1995" t="str">
            <v>SP</v>
          </cell>
          <cell r="I1995" t="str">
            <v>North America</v>
          </cell>
          <cell r="J1995" t="str">
            <v>USA</v>
          </cell>
          <cell r="K1995">
            <v>33785</v>
          </cell>
        </row>
        <row r="1996">
          <cell r="A1996" t="str">
            <v>In service</v>
          </cell>
          <cell r="B1996" t="str">
            <v>Gulfstream Aerospace Gulfstream IV</v>
          </cell>
          <cell r="C1996" t="str">
            <v>SP</v>
          </cell>
          <cell r="D1996">
            <v>1994</v>
          </cell>
          <cell r="E1996" t="str">
            <v>The Laredo National Bank</v>
          </cell>
          <cell r="F1996">
            <v>8</v>
          </cell>
          <cell r="G1996">
            <v>34963</v>
          </cell>
          <cell r="H1996" t="str">
            <v>SP</v>
          </cell>
          <cell r="I1996" t="str">
            <v>North America</v>
          </cell>
          <cell r="J1996" t="str">
            <v>USA</v>
          </cell>
          <cell r="K1996">
            <v>34150</v>
          </cell>
        </row>
        <row r="1997">
          <cell r="A1997" t="str">
            <v>In service</v>
          </cell>
          <cell r="B1997" t="str">
            <v>Gulfstream Aerospace Gulfstream IV</v>
          </cell>
          <cell r="C1997" t="str">
            <v>SP</v>
          </cell>
          <cell r="D1997">
            <v>1994</v>
          </cell>
          <cell r="E1997" t="str">
            <v>Jet Flight Corp</v>
          </cell>
          <cell r="F1997">
            <v>8</v>
          </cell>
          <cell r="G1997">
            <v>35004</v>
          </cell>
          <cell r="H1997" t="str">
            <v>SP</v>
          </cell>
          <cell r="I1997" t="str">
            <v>North America</v>
          </cell>
          <cell r="J1997" t="str">
            <v>USA</v>
          </cell>
          <cell r="K1997">
            <v>34150</v>
          </cell>
        </row>
        <row r="1998">
          <cell r="A1998" t="str">
            <v>In service</v>
          </cell>
          <cell r="B1998" t="str">
            <v>Gulfstream Aerospace Gulfstream IV</v>
          </cell>
          <cell r="C1998" t="str">
            <v>SP</v>
          </cell>
          <cell r="D1998">
            <v>1994</v>
          </cell>
          <cell r="E1998" t="str">
            <v>Triarc Company</v>
          </cell>
          <cell r="F1998">
            <v>8</v>
          </cell>
          <cell r="G1998">
            <v>34972</v>
          </cell>
          <cell r="H1998" t="str">
            <v>SP</v>
          </cell>
          <cell r="I1998" t="str">
            <v>North America</v>
          </cell>
          <cell r="J1998" t="str">
            <v>USA</v>
          </cell>
          <cell r="K1998">
            <v>34150</v>
          </cell>
        </row>
        <row r="1999">
          <cell r="A1999" t="str">
            <v>In service</v>
          </cell>
          <cell r="B1999" t="str">
            <v>Gulfstream Aerospace Gulfstream IV</v>
          </cell>
          <cell r="C1999" t="str">
            <v>SP</v>
          </cell>
          <cell r="D1999">
            <v>1994</v>
          </cell>
          <cell r="E1999" t="str">
            <v>The Coca-Cola Co</v>
          </cell>
          <cell r="F1999">
            <v>8</v>
          </cell>
          <cell r="G1999">
            <v>34901</v>
          </cell>
          <cell r="H1999" t="str">
            <v>SP</v>
          </cell>
          <cell r="I1999" t="str">
            <v>North America</v>
          </cell>
          <cell r="J1999" t="str">
            <v>USA</v>
          </cell>
          <cell r="K1999">
            <v>34150</v>
          </cell>
        </row>
        <row r="2000">
          <cell r="A2000" t="str">
            <v>In service</v>
          </cell>
          <cell r="B2000" t="str">
            <v>Gulfstream Aerospace Gulfstream IV</v>
          </cell>
          <cell r="C2000" t="str">
            <v>SP</v>
          </cell>
          <cell r="D2000">
            <v>1995</v>
          </cell>
          <cell r="E2000" t="str">
            <v>JS Aviation LLC</v>
          </cell>
          <cell r="F2000">
            <v>7</v>
          </cell>
          <cell r="G2000">
            <v>34926</v>
          </cell>
          <cell r="H2000" t="str">
            <v>SP</v>
          </cell>
          <cell r="I2000" t="str">
            <v>North America</v>
          </cell>
          <cell r="J2000" t="str">
            <v>USA</v>
          </cell>
          <cell r="K2000">
            <v>34150</v>
          </cell>
        </row>
        <row r="2001">
          <cell r="A2001" t="str">
            <v>In service</v>
          </cell>
          <cell r="B2001" t="str">
            <v>Gulfstream Aerospace Gulfstream IV</v>
          </cell>
          <cell r="C2001" t="str">
            <v>SP</v>
          </cell>
          <cell r="D2001">
            <v>1994</v>
          </cell>
          <cell r="E2001" t="str">
            <v>Gulfstream Aerospace Corp</v>
          </cell>
          <cell r="F2001">
            <v>8</v>
          </cell>
          <cell r="G2001">
            <v>34729</v>
          </cell>
          <cell r="H2001" t="str">
            <v>SP</v>
          </cell>
          <cell r="I2001" t="str">
            <v>North America</v>
          </cell>
          <cell r="J2001" t="str">
            <v>USA</v>
          </cell>
          <cell r="K2001">
            <v>34150</v>
          </cell>
        </row>
        <row r="2002">
          <cell r="A2002" t="str">
            <v>In service</v>
          </cell>
          <cell r="B2002" t="str">
            <v>Gulfstream Aerospace Gulfstream IV</v>
          </cell>
          <cell r="C2002" t="str">
            <v>SP</v>
          </cell>
          <cell r="D2002">
            <v>1994</v>
          </cell>
          <cell r="E2002" t="str">
            <v>Pfizer Inc</v>
          </cell>
          <cell r="F2002">
            <v>8</v>
          </cell>
          <cell r="G2002">
            <v>34941</v>
          </cell>
          <cell r="H2002" t="str">
            <v>SP</v>
          </cell>
          <cell r="I2002" t="str">
            <v>North America</v>
          </cell>
          <cell r="J2002" t="str">
            <v>USA</v>
          </cell>
          <cell r="K2002">
            <v>34150</v>
          </cell>
        </row>
        <row r="2003">
          <cell r="A2003" t="str">
            <v>In service</v>
          </cell>
          <cell r="B2003" t="str">
            <v>Gulfstream Aerospace Gulfstream IV</v>
          </cell>
          <cell r="C2003" t="str">
            <v>SP</v>
          </cell>
          <cell r="D2003">
            <v>1995</v>
          </cell>
          <cell r="E2003" t="str">
            <v>E I DuPont de Nemours &amp; Co</v>
          </cell>
          <cell r="F2003">
            <v>7</v>
          </cell>
          <cell r="G2003">
            <v>34950</v>
          </cell>
          <cell r="H2003" t="str">
            <v>SP</v>
          </cell>
          <cell r="I2003" t="str">
            <v>North America</v>
          </cell>
          <cell r="J2003" t="str">
            <v>USA</v>
          </cell>
          <cell r="K2003">
            <v>34150</v>
          </cell>
        </row>
        <row r="2004">
          <cell r="A2004" t="str">
            <v>In service</v>
          </cell>
          <cell r="B2004" t="str">
            <v>Gulfstream Aerospace Gulfstream IV</v>
          </cell>
          <cell r="C2004" t="str">
            <v>SP</v>
          </cell>
          <cell r="D2004">
            <v>1995</v>
          </cell>
          <cell r="E2004" t="str">
            <v>The Proctor &amp; Gamble Co</v>
          </cell>
          <cell r="F2004">
            <v>7</v>
          </cell>
          <cell r="G2004">
            <v>34975</v>
          </cell>
          <cell r="H2004" t="str">
            <v>SP</v>
          </cell>
          <cell r="I2004" t="str">
            <v>North America</v>
          </cell>
          <cell r="J2004" t="str">
            <v>USA</v>
          </cell>
          <cell r="K2004">
            <v>34150</v>
          </cell>
        </row>
        <row r="2005">
          <cell r="A2005" t="str">
            <v>In service</v>
          </cell>
          <cell r="B2005" t="str">
            <v>Gulfstream Aerospace Gulfstream IV</v>
          </cell>
          <cell r="C2005" t="str">
            <v>SP</v>
          </cell>
          <cell r="D2005">
            <v>1995</v>
          </cell>
          <cell r="E2005" t="str">
            <v>The Proctor &amp; Gamble Co</v>
          </cell>
          <cell r="F2005">
            <v>7</v>
          </cell>
          <cell r="G2005">
            <v>34999</v>
          </cell>
          <cell r="H2005" t="str">
            <v>SP</v>
          </cell>
          <cell r="I2005" t="str">
            <v>North America</v>
          </cell>
          <cell r="J2005" t="str">
            <v>USA</v>
          </cell>
          <cell r="K2005">
            <v>34150</v>
          </cell>
        </row>
        <row r="2006">
          <cell r="A2006" t="str">
            <v>In service</v>
          </cell>
          <cell r="B2006" t="str">
            <v>Gulfstream Aerospace Gulfstream IV</v>
          </cell>
          <cell r="C2006" t="str">
            <v>SP</v>
          </cell>
          <cell r="D2006">
            <v>1995</v>
          </cell>
          <cell r="E2006" t="str">
            <v>P Dussman Inc</v>
          </cell>
          <cell r="F2006">
            <v>7</v>
          </cell>
          <cell r="G2006">
            <v>34758</v>
          </cell>
          <cell r="H2006" t="str">
            <v>SP</v>
          </cell>
          <cell r="I2006" t="str">
            <v>North America</v>
          </cell>
          <cell r="J2006" t="str">
            <v>USA</v>
          </cell>
          <cell r="K2006">
            <v>34150</v>
          </cell>
        </row>
        <row r="2007">
          <cell r="A2007" t="str">
            <v>In service</v>
          </cell>
          <cell r="B2007" t="str">
            <v>Gulfstream Aerospace Gulfstream IV</v>
          </cell>
          <cell r="C2007" t="str">
            <v>SP</v>
          </cell>
          <cell r="D2007">
            <v>1995</v>
          </cell>
          <cell r="E2007" t="str">
            <v>Netjets International</v>
          </cell>
          <cell r="F2007">
            <v>7</v>
          </cell>
          <cell r="G2007">
            <v>35039</v>
          </cell>
          <cell r="H2007" t="str">
            <v>SP</v>
          </cell>
          <cell r="I2007" t="str">
            <v>North America</v>
          </cell>
          <cell r="J2007" t="str">
            <v>USA</v>
          </cell>
          <cell r="K2007">
            <v>34716</v>
          </cell>
        </row>
        <row r="2008">
          <cell r="A2008" t="str">
            <v>In service</v>
          </cell>
          <cell r="B2008" t="str">
            <v>Gulfstream Aerospace Gulfstream IV</v>
          </cell>
          <cell r="C2008" t="str">
            <v>SP</v>
          </cell>
          <cell r="D2008">
            <v>1995</v>
          </cell>
          <cell r="E2008" t="str">
            <v>DSA Aviation LLC</v>
          </cell>
          <cell r="F2008">
            <v>7</v>
          </cell>
          <cell r="G2008">
            <v>34927</v>
          </cell>
          <cell r="H2008" t="str">
            <v>SP</v>
          </cell>
          <cell r="I2008" t="str">
            <v>North America</v>
          </cell>
          <cell r="J2008" t="str">
            <v>USA</v>
          </cell>
          <cell r="K2008">
            <v>34150</v>
          </cell>
        </row>
        <row r="2009">
          <cell r="A2009" t="str">
            <v>In service</v>
          </cell>
          <cell r="B2009" t="str">
            <v>Gulfstream Aerospace Gulfstream IV</v>
          </cell>
          <cell r="C2009" t="str">
            <v>SP</v>
          </cell>
          <cell r="D2009">
            <v>1995</v>
          </cell>
          <cell r="E2009" t="str">
            <v>Netjets International</v>
          </cell>
          <cell r="F2009">
            <v>7</v>
          </cell>
          <cell r="G2009">
            <v>35061</v>
          </cell>
          <cell r="H2009" t="str">
            <v>SP</v>
          </cell>
          <cell r="I2009" t="str">
            <v>North America</v>
          </cell>
          <cell r="J2009" t="str">
            <v>USA</v>
          </cell>
          <cell r="K2009">
            <v>34716</v>
          </cell>
        </row>
        <row r="2010">
          <cell r="A2010" t="str">
            <v>In service</v>
          </cell>
          <cell r="B2010" t="str">
            <v>Gulfstream Aerospace Gulfstream IV</v>
          </cell>
          <cell r="C2010" t="str">
            <v>SP</v>
          </cell>
          <cell r="D2010">
            <v>1995</v>
          </cell>
          <cell r="E2010" t="str">
            <v>Harpo Inc</v>
          </cell>
          <cell r="F2010">
            <v>7</v>
          </cell>
          <cell r="G2010">
            <v>35046</v>
          </cell>
          <cell r="H2010" t="str">
            <v>SP</v>
          </cell>
          <cell r="I2010" t="str">
            <v>North America</v>
          </cell>
          <cell r="J2010" t="str">
            <v>USA</v>
          </cell>
          <cell r="K2010">
            <v>34150</v>
          </cell>
        </row>
        <row r="2011">
          <cell r="A2011" t="str">
            <v>In service</v>
          </cell>
          <cell r="B2011" t="str">
            <v>Gulfstream Aerospace Gulfstream IV</v>
          </cell>
          <cell r="C2011" t="str">
            <v>SP</v>
          </cell>
          <cell r="D2011">
            <v>1995</v>
          </cell>
          <cell r="E2011" t="str">
            <v>Leucadia Aviation Inc</v>
          </cell>
          <cell r="F2011">
            <v>7</v>
          </cell>
          <cell r="G2011">
            <v>35046</v>
          </cell>
          <cell r="H2011" t="str">
            <v>SP</v>
          </cell>
          <cell r="I2011" t="str">
            <v>North America</v>
          </cell>
          <cell r="J2011" t="str">
            <v>USA</v>
          </cell>
          <cell r="K2011">
            <v>34895</v>
          </cell>
        </row>
        <row r="2012">
          <cell r="A2012" t="str">
            <v>In service</v>
          </cell>
          <cell r="B2012" t="str">
            <v>Gulfstream Aerospace Gulfstream IV</v>
          </cell>
          <cell r="C2012" t="str">
            <v>SP</v>
          </cell>
          <cell r="D2012">
            <v>1995</v>
          </cell>
          <cell r="E2012" t="str">
            <v>Peregrine Aviation LLC</v>
          </cell>
          <cell r="F2012">
            <v>7</v>
          </cell>
          <cell r="G2012">
            <v>35053</v>
          </cell>
          <cell r="H2012" t="str">
            <v>SP</v>
          </cell>
          <cell r="I2012" t="str">
            <v>North America</v>
          </cell>
          <cell r="J2012" t="str">
            <v>USA</v>
          </cell>
          <cell r="K2012">
            <v>34895</v>
          </cell>
        </row>
        <row r="2013">
          <cell r="A2013" t="str">
            <v>In service</v>
          </cell>
          <cell r="B2013" t="str">
            <v>Gulfstream Aerospace Gulfstream IV</v>
          </cell>
          <cell r="C2013" t="str">
            <v>SP</v>
          </cell>
          <cell r="D2013">
            <v>1995</v>
          </cell>
          <cell r="E2013" t="str">
            <v>Tenet Healthcare Corp</v>
          </cell>
          <cell r="F2013">
            <v>7</v>
          </cell>
          <cell r="G2013">
            <v>34871</v>
          </cell>
          <cell r="H2013" t="str">
            <v>SP</v>
          </cell>
          <cell r="I2013" t="str">
            <v>North America</v>
          </cell>
          <cell r="J2013" t="str">
            <v>USA</v>
          </cell>
          <cell r="K2013">
            <v>34515</v>
          </cell>
        </row>
        <row r="2014">
          <cell r="A2014" t="str">
            <v>In service</v>
          </cell>
          <cell r="B2014" t="str">
            <v>Gulfstream Aerospace Gulfstream IV</v>
          </cell>
          <cell r="C2014" t="str">
            <v>SP</v>
          </cell>
          <cell r="D2014">
            <v>1995</v>
          </cell>
          <cell r="E2014" t="str">
            <v>Executive Fliteways Inc</v>
          </cell>
          <cell r="F2014">
            <v>7</v>
          </cell>
          <cell r="G2014">
            <v>35053</v>
          </cell>
          <cell r="H2014" t="str">
            <v>SP</v>
          </cell>
          <cell r="I2014" t="str">
            <v>North America</v>
          </cell>
          <cell r="J2014" t="str">
            <v>USA</v>
          </cell>
          <cell r="K2014">
            <v>34515</v>
          </cell>
        </row>
        <row r="2015">
          <cell r="A2015" t="str">
            <v>In service</v>
          </cell>
          <cell r="B2015" t="str">
            <v>Gulfstream Aerospace Gulfstream IV</v>
          </cell>
          <cell r="C2015" t="str">
            <v>SP</v>
          </cell>
          <cell r="D2015">
            <v>1995</v>
          </cell>
          <cell r="E2015" t="str">
            <v>Jstar Corp</v>
          </cell>
          <cell r="F2015">
            <v>7</v>
          </cell>
          <cell r="G2015">
            <v>34942</v>
          </cell>
          <cell r="H2015" t="str">
            <v>SP</v>
          </cell>
          <cell r="I2015" t="str">
            <v>North America</v>
          </cell>
          <cell r="J2015" t="str">
            <v>USA</v>
          </cell>
          <cell r="K2015">
            <v>34515</v>
          </cell>
        </row>
        <row r="2016">
          <cell r="A2016" t="str">
            <v>In service</v>
          </cell>
          <cell r="B2016" t="str">
            <v>Gulfstream Aerospace Gulfstream IV</v>
          </cell>
          <cell r="C2016" t="str">
            <v>SP</v>
          </cell>
          <cell r="D2016">
            <v>1995</v>
          </cell>
          <cell r="E2016" t="str">
            <v>Berwind Corp</v>
          </cell>
          <cell r="F2016">
            <v>7</v>
          </cell>
          <cell r="G2016">
            <v>34935</v>
          </cell>
          <cell r="H2016" t="str">
            <v>SP</v>
          </cell>
          <cell r="I2016" t="str">
            <v>North America</v>
          </cell>
          <cell r="J2016" t="str">
            <v>USA</v>
          </cell>
          <cell r="K2016">
            <v>34515</v>
          </cell>
        </row>
        <row r="2017">
          <cell r="A2017" t="str">
            <v>In service</v>
          </cell>
          <cell r="B2017" t="str">
            <v>Gulfstream Aerospace Gulfstream IV</v>
          </cell>
          <cell r="C2017" t="str">
            <v>SP</v>
          </cell>
          <cell r="D2017">
            <v>1995</v>
          </cell>
          <cell r="E2017" t="str">
            <v>Swedish Air Force</v>
          </cell>
          <cell r="F2017">
            <v>7</v>
          </cell>
          <cell r="G2017">
            <v>35150</v>
          </cell>
          <cell r="H2017" t="str">
            <v>TP-102</v>
          </cell>
          <cell r="I2017" t="str">
            <v>Europe</v>
          </cell>
          <cell r="J2017" t="str">
            <v>Sweden</v>
          </cell>
          <cell r="K2017">
            <v>34515</v>
          </cell>
        </row>
        <row r="2018">
          <cell r="A2018" t="str">
            <v>In service</v>
          </cell>
          <cell r="B2018" t="str">
            <v>Gulfstream Aerospace Gulfstream IV</v>
          </cell>
          <cell r="C2018" t="str">
            <v>SP</v>
          </cell>
          <cell r="D2018">
            <v>1995</v>
          </cell>
          <cell r="E2018" t="str">
            <v>Netjets International</v>
          </cell>
          <cell r="F2018">
            <v>7</v>
          </cell>
          <cell r="G2018">
            <v>35149</v>
          </cell>
          <cell r="H2018" t="str">
            <v>SP</v>
          </cell>
          <cell r="I2018" t="str">
            <v>North America</v>
          </cell>
          <cell r="J2018" t="str">
            <v>USA</v>
          </cell>
          <cell r="K2018">
            <v>34716</v>
          </cell>
        </row>
        <row r="2019">
          <cell r="A2019" t="str">
            <v>In service</v>
          </cell>
          <cell r="B2019" t="str">
            <v>Gulfstream Aerospace Gulfstream IV</v>
          </cell>
          <cell r="C2019" t="str">
            <v>SP</v>
          </cell>
          <cell r="D2019">
            <v>1995</v>
          </cell>
          <cell r="E2019" t="str">
            <v>Citadel Investment Group LLC</v>
          </cell>
          <cell r="F2019">
            <v>7</v>
          </cell>
          <cell r="G2019">
            <v>35153</v>
          </cell>
          <cell r="H2019" t="str">
            <v>SP</v>
          </cell>
          <cell r="I2019" t="str">
            <v>North America</v>
          </cell>
          <cell r="J2019" t="str">
            <v>USA</v>
          </cell>
          <cell r="K2019">
            <v>34515</v>
          </cell>
        </row>
        <row r="2020">
          <cell r="A2020" t="str">
            <v>In service</v>
          </cell>
          <cell r="B2020" t="str">
            <v>Gulfstream Aerospace Gulfstream IV</v>
          </cell>
          <cell r="C2020" t="str">
            <v>SP</v>
          </cell>
          <cell r="D2020">
            <v>1996</v>
          </cell>
          <cell r="E2020" t="str">
            <v>American Home Products Inc</v>
          </cell>
          <cell r="F2020">
            <v>6</v>
          </cell>
          <cell r="G2020">
            <v>35200</v>
          </cell>
          <cell r="H2020" t="str">
            <v>SP</v>
          </cell>
          <cell r="I2020" t="str">
            <v>North America</v>
          </cell>
          <cell r="J2020" t="str">
            <v>USA</v>
          </cell>
          <cell r="K2020">
            <v>34880</v>
          </cell>
        </row>
        <row r="2021">
          <cell r="A2021" t="str">
            <v>In service</v>
          </cell>
          <cell r="B2021" t="str">
            <v>Gulfstream Aerospace Gulfstream IV</v>
          </cell>
          <cell r="C2021" t="str">
            <v>SP</v>
          </cell>
          <cell r="D2021">
            <v>1996</v>
          </cell>
          <cell r="E2021" t="str">
            <v>Lucent Technologies Inc</v>
          </cell>
          <cell r="F2021">
            <v>6</v>
          </cell>
          <cell r="G2021">
            <v>35200</v>
          </cell>
          <cell r="H2021" t="str">
            <v>SP</v>
          </cell>
          <cell r="I2021" t="str">
            <v>North America</v>
          </cell>
          <cell r="J2021" t="str">
            <v>USA</v>
          </cell>
          <cell r="K2021">
            <v>34515</v>
          </cell>
        </row>
        <row r="2022">
          <cell r="A2022" t="str">
            <v>In service</v>
          </cell>
          <cell r="B2022" t="str">
            <v>Gulfstream Aerospace Gulfstream IV</v>
          </cell>
          <cell r="C2022" t="str">
            <v>SP</v>
          </cell>
          <cell r="D2022">
            <v>1995</v>
          </cell>
          <cell r="E2022" t="str">
            <v>J C Penney Company Inc</v>
          </cell>
          <cell r="F2022">
            <v>7</v>
          </cell>
          <cell r="G2022">
            <v>35240</v>
          </cell>
          <cell r="H2022" t="str">
            <v>SP</v>
          </cell>
          <cell r="I2022" t="str">
            <v>North America</v>
          </cell>
          <cell r="J2022" t="str">
            <v>USA</v>
          </cell>
          <cell r="K2022">
            <v>34515</v>
          </cell>
        </row>
        <row r="2023">
          <cell r="A2023" t="str">
            <v>In service</v>
          </cell>
          <cell r="B2023" t="str">
            <v>Gulfstream Aerospace Gulfstream IV</v>
          </cell>
          <cell r="C2023" t="str">
            <v>SP</v>
          </cell>
          <cell r="D2023">
            <v>1995</v>
          </cell>
          <cell r="E2023" t="str">
            <v>Open Road Airways Inc</v>
          </cell>
          <cell r="F2023">
            <v>7</v>
          </cell>
          <cell r="G2023">
            <v>35051</v>
          </cell>
          <cell r="H2023" t="str">
            <v>SP</v>
          </cell>
          <cell r="I2023" t="str">
            <v>North America</v>
          </cell>
          <cell r="J2023" t="str">
            <v>USA</v>
          </cell>
          <cell r="K2023">
            <v>34503</v>
          </cell>
        </row>
        <row r="2024">
          <cell r="A2024" t="str">
            <v>In service</v>
          </cell>
          <cell r="B2024" t="str">
            <v>Gulfstream Aerospace Gulfstream IV</v>
          </cell>
          <cell r="C2024" t="str">
            <v>SP</v>
          </cell>
          <cell r="D2024">
            <v>1996</v>
          </cell>
          <cell r="E2024" t="str">
            <v>Netjets International</v>
          </cell>
          <cell r="F2024">
            <v>6</v>
          </cell>
          <cell r="G2024">
            <v>35237</v>
          </cell>
          <cell r="H2024" t="str">
            <v>SP</v>
          </cell>
          <cell r="I2024" t="str">
            <v>North America</v>
          </cell>
          <cell r="J2024" t="str">
            <v>USA</v>
          </cell>
          <cell r="K2024">
            <v>34716</v>
          </cell>
        </row>
        <row r="2025">
          <cell r="A2025" t="str">
            <v>In service</v>
          </cell>
          <cell r="B2025" t="str">
            <v>Gulfstream Aerospace Gulfstream IV</v>
          </cell>
          <cell r="C2025" t="str">
            <v>SP</v>
          </cell>
          <cell r="D2025">
            <v>1996</v>
          </cell>
          <cell r="E2025" t="str">
            <v>The Air Group Inc</v>
          </cell>
          <cell r="F2025">
            <v>6</v>
          </cell>
          <cell r="G2025">
            <v>35231</v>
          </cell>
          <cell r="H2025" t="str">
            <v>SP</v>
          </cell>
          <cell r="I2025" t="str">
            <v>North America</v>
          </cell>
          <cell r="J2025" t="str">
            <v>USA</v>
          </cell>
          <cell r="K2025">
            <v>34515</v>
          </cell>
        </row>
        <row r="2026">
          <cell r="A2026" t="str">
            <v>In service</v>
          </cell>
          <cell r="B2026" t="str">
            <v>Gulfstream Aerospace Gulfstream IV</v>
          </cell>
          <cell r="C2026" t="str">
            <v>SP</v>
          </cell>
          <cell r="D2026">
            <v>1996</v>
          </cell>
          <cell r="E2026" t="str">
            <v>Colleen Corp</v>
          </cell>
          <cell r="F2026">
            <v>6</v>
          </cell>
          <cell r="G2026">
            <v>35195</v>
          </cell>
          <cell r="H2026" t="str">
            <v>SP</v>
          </cell>
          <cell r="I2026" t="str">
            <v>North America</v>
          </cell>
          <cell r="J2026" t="str">
            <v>USA</v>
          </cell>
          <cell r="K2026">
            <v>34515</v>
          </cell>
        </row>
        <row r="2027">
          <cell r="A2027" t="str">
            <v>In service</v>
          </cell>
          <cell r="B2027" t="str">
            <v>Gulfstream Aerospace Gulfstream IV</v>
          </cell>
          <cell r="C2027" t="str">
            <v>SP</v>
          </cell>
          <cell r="D2027">
            <v>1996</v>
          </cell>
          <cell r="E2027" t="str">
            <v>ChevronTexaco Corp</v>
          </cell>
          <cell r="F2027">
            <v>6</v>
          </cell>
          <cell r="G2027">
            <v>35123</v>
          </cell>
          <cell r="H2027" t="str">
            <v>SP</v>
          </cell>
          <cell r="I2027" t="str">
            <v>North America</v>
          </cell>
          <cell r="J2027" t="str">
            <v>USA</v>
          </cell>
          <cell r="K2027">
            <v>34515</v>
          </cell>
        </row>
        <row r="2028">
          <cell r="A2028" t="str">
            <v>In service</v>
          </cell>
          <cell r="B2028" t="str">
            <v>Gulfstream Aerospace Gulfstream IV</v>
          </cell>
          <cell r="C2028" t="str">
            <v>SP</v>
          </cell>
          <cell r="D2028">
            <v>1996</v>
          </cell>
          <cell r="E2028" t="str">
            <v>Anadarko Petroleum Corp</v>
          </cell>
          <cell r="F2028">
            <v>6</v>
          </cell>
          <cell r="G2028">
            <v>35129</v>
          </cell>
          <cell r="H2028" t="str">
            <v>SP</v>
          </cell>
          <cell r="I2028" t="str">
            <v>North America</v>
          </cell>
          <cell r="J2028" t="str">
            <v>USA</v>
          </cell>
          <cell r="K2028">
            <v>34515</v>
          </cell>
        </row>
        <row r="2029">
          <cell r="A2029" t="str">
            <v>In service</v>
          </cell>
          <cell r="B2029" t="str">
            <v>Gulfstream Aerospace Gulfstream IV</v>
          </cell>
          <cell r="C2029" t="str">
            <v>SP</v>
          </cell>
          <cell r="D2029">
            <v>1996</v>
          </cell>
          <cell r="E2029" t="str">
            <v>General Dynamics Corp</v>
          </cell>
          <cell r="F2029">
            <v>6</v>
          </cell>
          <cell r="G2029">
            <v>35430</v>
          </cell>
          <cell r="H2029" t="str">
            <v>SP</v>
          </cell>
          <cell r="I2029" t="str">
            <v>North America</v>
          </cell>
          <cell r="J2029" t="str">
            <v>USA</v>
          </cell>
        </row>
        <row r="2030">
          <cell r="A2030" t="str">
            <v>In service</v>
          </cell>
          <cell r="B2030" t="str">
            <v>Gulfstream Aerospace Gulfstream IV</v>
          </cell>
          <cell r="C2030" t="str">
            <v>SP</v>
          </cell>
          <cell r="D2030">
            <v>1996</v>
          </cell>
          <cell r="E2030" t="str">
            <v>Netjets International</v>
          </cell>
          <cell r="F2030">
            <v>6</v>
          </cell>
          <cell r="G2030">
            <v>35277</v>
          </cell>
          <cell r="H2030" t="str">
            <v>SP</v>
          </cell>
          <cell r="I2030" t="str">
            <v>North America</v>
          </cell>
          <cell r="J2030" t="str">
            <v>USA</v>
          </cell>
          <cell r="K2030">
            <v>34716</v>
          </cell>
        </row>
        <row r="2031">
          <cell r="A2031" t="str">
            <v>In service</v>
          </cell>
          <cell r="B2031" t="str">
            <v>Gulfstream Aerospace Gulfstream IV</v>
          </cell>
          <cell r="C2031" t="str">
            <v>SP</v>
          </cell>
          <cell r="D2031">
            <v>1996</v>
          </cell>
          <cell r="E2031" t="str">
            <v>Government of Algeria</v>
          </cell>
          <cell r="F2031">
            <v>6</v>
          </cell>
          <cell r="G2031">
            <v>35353</v>
          </cell>
          <cell r="H2031" t="str">
            <v>SP</v>
          </cell>
          <cell r="I2031" t="str">
            <v>Africa</v>
          </cell>
          <cell r="J2031" t="str">
            <v>Algeria</v>
          </cell>
          <cell r="K2031">
            <v>35246</v>
          </cell>
        </row>
        <row r="2032">
          <cell r="A2032" t="str">
            <v>In service</v>
          </cell>
          <cell r="B2032" t="str">
            <v>Gulfstream Aerospace Gulfstream IV</v>
          </cell>
          <cell r="C2032" t="str">
            <v>SP</v>
          </cell>
          <cell r="D2032">
            <v>1996</v>
          </cell>
          <cell r="E2032" t="str">
            <v>MCI Transcom Corp</v>
          </cell>
          <cell r="F2032">
            <v>6</v>
          </cell>
          <cell r="G2032">
            <v>35328</v>
          </cell>
          <cell r="H2032" t="str">
            <v>SP</v>
          </cell>
          <cell r="I2032" t="str">
            <v>North America</v>
          </cell>
          <cell r="J2032" t="str">
            <v>USA</v>
          </cell>
          <cell r="K2032">
            <v>34515</v>
          </cell>
        </row>
        <row r="2033">
          <cell r="A2033" t="str">
            <v>In service</v>
          </cell>
          <cell r="B2033" t="str">
            <v>Gulfstream Aerospace Gulfstream IV</v>
          </cell>
          <cell r="C2033" t="str">
            <v>SP</v>
          </cell>
          <cell r="D2033">
            <v>1996</v>
          </cell>
          <cell r="E2033" t="str">
            <v>Bank of America NA</v>
          </cell>
          <cell r="F2033">
            <v>6</v>
          </cell>
          <cell r="G2033">
            <v>35366</v>
          </cell>
          <cell r="H2033" t="str">
            <v>SP</v>
          </cell>
          <cell r="I2033" t="str">
            <v>North America</v>
          </cell>
          <cell r="J2033" t="str">
            <v>USA</v>
          </cell>
          <cell r="K2033">
            <v>34515</v>
          </cell>
        </row>
        <row r="2034">
          <cell r="A2034" t="str">
            <v>In service</v>
          </cell>
          <cell r="B2034" t="str">
            <v>Gulfstream Aerospace Gulfstream IV</v>
          </cell>
          <cell r="C2034" t="str">
            <v>SP</v>
          </cell>
          <cell r="D2034">
            <v>1996</v>
          </cell>
          <cell r="E2034" t="str">
            <v>Government of Algeria</v>
          </cell>
          <cell r="F2034">
            <v>6</v>
          </cell>
          <cell r="G2034">
            <v>35384</v>
          </cell>
          <cell r="H2034" t="str">
            <v>SP</v>
          </cell>
          <cell r="I2034" t="str">
            <v>Africa</v>
          </cell>
          <cell r="J2034" t="str">
            <v>Algeria</v>
          </cell>
          <cell r="K2034">
            <v>35246</v>
          </cell>
        </row>
        <row r="2035">
          <cell r="A2035" t="str">
            <v>In service</v>
          </cell>
          <cell r="B2035" t="str">
            <v>Gulfstream Aerospace Gulfstream IV</v>
          </cell>
          <cell r="C2035" t="str">
            <v>SP</v>
          </cell>
          <cell r="D2035">
            <v>1996</v>
          </cell>
          <cell r="E2035" t="str">
            <v>GTE Service Corp</v>
          </cell>
          <cell r="F2035">
            <v>6</v>
          </cell>
          <cell r="G2035">
            <v>35381</v>
          </cell>
          <cell r="H2035" t="str">
            <v>SP</v>
          </cell>
          <cell r="I2035" t="str">
            <v>North America</v>
          </cell>
          <cell r="J2035" t="str">
            <v>USA</v>
          </cell>
          <cell r="K2035">
            <v>34515</v>
          </cell>
        </row>
        <row r="2036">
          <cell r="A2036" t="str">
            <v>In service</v>
          </cell>
          <cell r="B2036" t="str">
            <v>Gulfstream Aerospace Gulfstream IV</v>
          </cell>
          <cell r="C2036" t="str">
            <v>SP</v>
          </cell>
          <cell r="D2036">
            <v>1996</v>
          </cell>
          <cell r="E2036" t="str">
            <v>Netjets International</v>
          </cell>
          <cell r="F2036">
            <v>6</v>
          </cell>
          <cell r="G2036">
            <v>35383</v>
          </cell>
          <cell r="H2036" t="str">
            <v>SP</v>
          </cell>
          <cell r="I2036" t="str">
            <v>North America</v>
          </cell>
          <cell r="J2036" t="str">
            <v>USA</v>
          </cell>
          <cell r="K2036">
            <v>34716</v>
          </cell>
        </row>
        <row r="2037">
          <cell r="A2037" t="str">
            <v>In service</v>
          </cell>
          <cell r="B2037" t="str">
            <v>Gulfstream Aerospace Gulfstream IV</v>
          </cell>
          <cell r="C2037" t="str">
            <v>SP</v>
          </cell>
          <cell r="D2037">
            <v>1996</v>
          </cell>
          <cell r="E2037" t="str">
            <v>Mawarid Ltd</v>
          </cell>
          <cell r="F2037">
            <v>6</v>
          </cell>
          <cell r="G2037">
            <v>35384</v>
          </cell>
          <cell r="H2037" t="str">
            <v>SP</v>
          </cell>
          <cell r="I2037" t="str">
            <v>Middle East</v>
          </cell>
          <cell r="J2037" t="str">
            <v>Saudi Arabia</v>
          </cell>
          <cell r="K2037">
            <v>34880</v>
          </cell>
        </row>
        <row r="2038">
          <cell r="A2038" t="str">
            <v>In service</v>
          </cell>
          <cell r="B2038" t="str">
            <v>Gulfstream Aerospace Gulfstream IV</v>
          </cell>
          <cell r="C2038" t="str">
            <v>SP</v>
          </cell>
          <cell r="D2038">
            <v>1997</v>
          </cell>
          <cell r="E2038" t="str">
            <v>Netjets International</v>
          </cell>
          <cell r="F2038">
            <v>5</v>
          </cell>
          <cell r="G2038">
            <v>35446</v>
          </cell>
          <cell r="H2038" t="str">
            <v>SP</v>
          </cell>
          <cell r="I2038" t="str">
            <v>North America</v>
          </cell>
          <cell r="J2038" t="str">
            <v>USA</v>
          </cell>
          <cell r="K2038">
            <v>34716</v>
          </cell>
        </row>
        <row r="2039">
          <cell r="A2039" t="str">
            <v>In service</v>
          </cell>
          <cell r="B2039" t="str">
            <v>Gulfstream Aerospace Gulfstream IV</v>
          </cell>
          <cell r="C2039" t="str">
            <v>SP</v>
          </cell>
          <cell r="D2039">
            <v>1996</v>
          </cell>
          <cell r="E2039" t="str">
            <v>Shoreline Aviation Inc</v>
          </cell>
          <cell r="F2039">
            <v>6</v>
          </cell>
          <cell r="G2039">
            <v>35282</v>
          </cell>
          <cell r="H2039" t="str">
            <v>SP</v>
          </cell>
          <cell r="I2039" t="str">
            <v>North America</v>
          </cell>
          <cell r="J2039" t="str">
            <v>USA</v>
          </cell>
          <cell r="K2039">
            <v>34515</v>
          </cell>
        </row>
        <row r="2040">
          <cell r="A2040" t="str">
            <v>In service</v>
          </cell>
          <cell r="B2040" t="str">
            <v>Gulfstream Aerospace Gulfstream IV</v>
          </cell>
          <cell r="C2040" t="str">
            <v>SP</v>
          </cell>
          <cell r="D2040">
            <v>1996</v>
          </cell>
          <cell r="E2040" t="str">
            <v>Aguilla Del Sur SA</v>
          </cell>
          <cell r="F2040">
            <v>6</v>
          </cell>
          <cell r="G2040">
            <v>35476</v>
          </cell>
          <cell r="H2040" t="str">
            <v>SP</v>
          </cell>
          <cell r="I2040" t="str">
            <v>Latin America and Caribbean</v>
          </cell>
          <cell r="J2040" t="str">
            <v>Argentina</v>
          </cell>
          <cell r="K2040">
            <v>35246</v>
          </cell>
        </row>
        <row r="2041">
          <cell r="A2041" t="str">
            <v>In service</v>
          </cell>
          <cell r="B2041" t="str">
            <v>Gulfstream Aerospace Gulfstream IV</v>
          </cell>
          <cell r="C2041" t="str">
            <v>SP</v>
          </cell>
          <cell r="D2041">
            <v>1996</v>
          </cell>
          <cell r="E2041" t="str">
            <v>Swiflite Aircraft Corp</v>
          </cell>
          <cell r="F2041">
            <v>6</v>
          </cell>
          <cell r="G2041">
            <v>35480</v>
          </cell>
          <cell r="H2041" t="str">
            <v>SP</v>
          </cell>
          <cell r="I2041" t="str">
            <v>North America</v>
          </cell>
          <cell r="J2041" t="str">
            <v>USA</v>
          </cell>
          <cell r="K2041">
            <v>35246</v>
          </cell>
        </row>
        <row r="2042">
          <cell r="A2042" t="str">
            <v>In service</v>
          </cell>
          <cell r="B2042" t="str">
            <v>Gulfstream Aerospace Gulfstream IV</v>
          </cell>
          <cell r="C2042" t="str">
            <v>SP</v>
          </cell>
          <cell r="D2042">
            <v>1997</v>
          </cell>
          <cell r="E2042" t="str">
            <v>Netjets International</v>
          </cell>
          <cell r="F2042">
            <v>5</v>
          </cell>
          <cell r="G2042">
            <v>35515</v>
          </cell>
          <cell r="H2042" t="str">
            <v>SP</v>
          </cell>
          <cell r="I2042" t="str">
            <v>North America</v>
          </cell>
          <cell r="J2042" t="str">
            <v>USA</v>
          </cell>
          <cell r="K2042">
            <v>35311</v>
          </cell>
        </row>
        <row r="2043">
          <cell r="A2043" t="str">
            <v>In service</v>
          </cell>
          <cell r="B2043" t="str">
            <v>Gulfstream Aerospace Gulfstream IV</v>
          </cell>
          <cell r="C2043" t="str">
            <v>SP</v>
          </cell>
          <cell r="D2043">
            <v>1996</v>
          </cell>
          <cell r="E2043" t="str">
            <v>Aventis Pharmaceuticals Inc</v>
          </cell>
          <cell r="F2043">
            <v>6</v>
          </cell>
          <cell r="G2043">
            <v>35506</v>
          </cell>
          <cell r="H2043" t="str">
            <v>SP</v>
          </cell>
          <cell r="I2043" t="str">
            <v>North America</v>
          </cell>
          <cell r="J2043" t="str">
            <v>USA</v>
          </cell>
          <cell r="K2043">
            <v>35246</v>
          </cell>
        </row>
        <row r="2044">
          <cell r="A2044" t="str">
            <v>In service</v>
          </cell>
          <cell r="B2044" t="str">
            <v>Gulfstream Aerospace Gulfstream IV</v>
          </cell>
          <cell r="C2044" t="str">
            <v>SP</v>
          </cell>
          <cell r="D2044">
            <v>1997</v>
          </cell>
          <cell r="E2044" t="str">
            <v>American Express</v>
          </cell>
          <cell r="F2044">
            <v>5</v>
          </cell>
          <cell r="G2044">
            <v>35598</v>
          </cell>
          <cell r="H2044" t="str">
            <v>SP</v>
          </cell>
          <cell r="I2044" t="str">
            <v>North America</v>
          </cell>
          <cell r="J2044" t="str">
            <v>USA</v>
          </cell>
          <cell r="K2044">
            <v>35414</v>
          </cell>
        </row>
        <row r="2045">
          <cell r="A2045" t="str">
            <v>In service</v>
          </cell>
          <cell r="B2045" t="str">
            <v>Gulfstream Aerospace Gulfstream IV</v>
          </cell>
          <cell r="C2045" t="str">
            <v>SP</v>
          </cell>
          <cell r="D2045">
            <v>1997</v>
          </cell>
          <cell r="E2045" t="str">
            <v>American Express</v>
          </cell>
          <cell r="F2045">
            <v>5</v>
          </cell>
          <cell r="G2045">
            <v>35611</v>
          </cell>
          <cell r="H2045" t="str">
            <v>SP</v>
          </cell>
          <cell r="I2045" t="str">
            <v>North America</v>
          </cell>
          <cell r="J2045" t="str">
            <v>USA</v>
          </cell>
          <cell r="K2045">
            <v>35414</v>
          </cell>
        </row>
        <row r="2046">
          <cell r="A2046" t="str">
            <v>In service</v>
          </cell>
          <cell r="B2046" t="str">
            <v>Gulfstream Aerospace Gulfstream IV</v>
          </cell>
          <cell r="C2046" t="str">
            <v>SP</v>
          </cell>
          <cell r="D2046">
            <v>1997</v>
          </cell>
          <cell r="E2046" t="str">
            <v>Netjets International</v>
          </cell>
          <cell r="F2046">
            <v>5</v>
          </cell>
          <cell r="G2046">
            <v>35605</v>
          </cell>
          <cell r="H2046" t="str">
            <v>SP</v>
          </cell>
          <cell r="I2046" t="str">
            <v>North America</v>
          </cell>
          <cell r="J2046" t="str">
            <v>USA</v>
          </cell>
          <cell r="K2046">
            <v>35311</v>
          </cell>
        </row>
        <row r="2047">
          <cell r="A2047" t="str">
            <v>In service</v>
          </cell>
          <cell r="B2047" t="str">
            <v>Gulfstream Aerospace Gulfstream IV</v>
          </cell>
          <cell r="C2047" t="str">
            <v>SP</v>
          </cell>
          <cell r="D2047">
            <v>1997</v>
          </cell>
          <cell r="E2047" t="str">
            <v>Sprint-United Management Co</v>
          </cell>
          <cell r="F2047">
            <v>5</v>
          </cell>
          <cell r="G2047">
            <v>35604</v>
          </cell>
          <cell r="H2047" t="str">
            <v>SP</v>
          </cell>
          <cell r="I2047" t="str">
            <v>North America</v>
          </cell>
          <cell r="J2047" t="str">
            <v>USA</v>
          </cell>
          <cell r="K2047">
            <v>35414</v>
          </cell>
        </row>
        <row r="2048">
          <cell r="A2048" t="str">
            <v>In service</v>
          </cell>
          <cell r="B2048" t="str">
            <v>Gulfstream Aerospace Gulfstream IV</v>
          </cell>
          <cell r="C2048" t="str">
            <v>SP</v>
          </cell>
          <cell r="D2048">
            <v>1997</v>
          </cell>
          <cell r="E2048" t="str">
            <v>New World Jet Corp</v>
          </cell>
          <cell r="F2048">
            <v>5</v>
          </cell>
          <cell r="G2048">
            <v>35692</v>
          </cell>
          <cell r="H2048" t="str">
            <v>SP</v>
          </cell>
          <cell r="I2048" t="str">
            <v>North America</v>
          </cell>
          <cell r="J2048" t="str">
            <v>USA</v>
          </cell>
          <cell r="K2048">
            <v>34880</v>
          </cell>
        </row>
        <row r="2049">
          <cell r="A2049" t="str">
            <v>In service</v>
          </cell>
          <cell r="B2049" t="str">
            <v>Gulfstream Aerospace Gulfstream IV</v>
          </cell>
          <cell r="C2049" t="str">
            <v>SP</v>
          </cell>
          <cell r="D2049">
            <v>1997</v>
          </cell>
          <cell r="E2049" t="str">
            <v>American Express</v>
          </cell>
          <cell r="F2049">
            <v>5</v>
          </cell>
          <cell r="G2049">
            <v>35644</v>
          </cell>
          <cell r="H2049" t="str">
            <v>SP</v>
          </cell>
          <cell r="I2049" t="str">
            <v>North America</v>
          </cell>
          <cell r="J2049" t="str">
            <v>USA</v>
          </cell>
          <cell r="K2049">
            <v>35414</v>
          </cell>
        </row>
        <row r="2050">
          <cell r="A2050" t="str">
            <v>In service</v>
          </cell>
          <cell r="B2050" t="str">
            <v>Gulfstream Aerospace Gulfstream IV</v>
          </cell>
          <cell r="C2050" t="str">
            <v>SP</v>
          </cell>
          <cell r="D2050">
            <v>1997</v>
          </cell>
          <cell r="E2050" t="str">
            <v>Netjets International</v>
          </cell>
          <cell r="F2050">
            <v>5</v>
          </cell>
          <cell r="G2050">
            <v>35698</v>
          </cell>
          <cell r="H2050" t="str">
            <v>SP</v>
          </cell>
          <cell r="I2050" t="str">
            <v>North America</v>
          </cell>
          <cell r="J2050" t="str">
            <v>USA</v>
          </cell>
          <cell r="K2050">
            <v>35311</v>
          </cell>
        </row>
        <row r="2051">
          <cell r="A2051" t="str">
            <v>In service</v>
          </cell>
          <cell r="B2051" t="str">
            <v>Gulfstream Aerospace Gulfstream IV</v>
          </cell>
          <cell r="C2051" t="str">
            <v>SP</v>
          </cell>
          <cell r="D2051">
            <v>1997</v>
          </cell>
          <cell r="E2051" t="str">
            <v>ConAgra Foods Inc</v>
          </cell>
          <cell r="F2051">
            <v>5</v>
          </cell>
          <cell r="G2051">
            <v>35650</v>
          </cell>
          <cell r="H2051" t="str">
            <v>SP</v>
          </cell>
          <cell r="I2051" t="str">
            <v>North America</v>
          </cell>
          <cell r="J2051" t="str">
            <v>USA</v>
          </cell>
          <cell r="K2051">
            <v>35246</v>
          </cell>
        </row>
        <row r="2052">
          <cell r="A2052" t="str">
            <v>In service</v>
          </cell>
          <cell r="B2052" t="str">
            <v>Gulfstream Aerospace Gulfstream IV</v>
          </cell>
          <cell r="C2052" t="str">
            <v>SP</v>
          </cell>
          <cell r="D2052">
            <v>1997</v>
          </cell>
          <cell r="E2052" t="str">
            <v>Owens-Illinois Inc</v>
          </cell>
          <cell r="F2052">
            <v>5</v>
          </cell>
          <cell r="G2052">
            <v>35794</v>
          </cell>
          <cell r="H2052" t="str">
            <v>SP</v>
          </cell>
          <cell r="I2052" t="str">
            <v>North America</v>
          </cell>
          <cell r="J2052" t="str">
            <v>USA</v>
          </cell>
          <cell r="K2052">
            <v>35246</v>
          </cell>
        </row>
        <row r="2053">
          <cell r="A2053" t="str">
            <v>In service</v>
          </cell>
          <cell r="B2053" t="str">
            <v>Gulfstream Aerospace Gulfstream IV</v>
          </cell>
          <cell r="C2053" t="str">
            <v>SP</v>
          </cell>
          <cell r="D2053">
            <v>1997</v>
          </cell>
          <cell r="E2053" t="str">
            <v>Netjets International</v>
          </cell>
          <cell r="F2053">
            <v>5</v>
          </cell>
          <cell r="G2053">
            <v>35782</v>
          </cell>
          <cell r="H2053" t="str">
            <v>SP</v>
          </cell>
          <cell r="I2053" t="str">
            <v>North America</v>
          </cell>
          <cell r="J2053" t="str">
            <v>USA</v>
          </cell>
          <cell r="K2053">
            <v>35311</v>
          </cell>
        </row>
        <row r="2054">
          <cell r="A2054" t="str">
            <v>In service</v>
          </cell>
          <cell r="B2054" t="str">
            <v>Gulfstream Aerospace Gulfstream IV</v>
          </cell>
          <cell r="C2054" t="str">
            <v>SP</v>
          </cell>
          <cell r="D2054">
            <v>1997</v>
          </cell>
          <cell r="E2054" t="str">
            <v>Jet Club Ltd Bermuda</v>
          </cell>
          <cell r="F2054">
            <v>5</v>
          </cell>
          <cell r="G2054">
            <v>35832</v>
          </cell>
          <cell r="H2054" t="str">
            <v>SP</v>
          </cell>
          <cell r="I2054" t="str">
            <v>Latin America and Caribbean</v>
          </cell>
          <cell r="J2054" t="str">
            <v>Bermuda</v>
          </cell>
          <cell r="K2054">
            <v>35246</v>
          </cell>
        </row>
        <row r="2055">
          <cell r="A2055" t="str">
            <v>In service</v>
          </cell>
          <cell r="B2055" t="str">
            <v>Gulfstream Aerospace Gulfstream IV</v>
          </cell>
          <cell r="C2055" t="str">
            <v>SP</v>
          </cell>
          <cell r="D2055">
            <v>1997</v>
          </cell>
          <cell r="E2055" t="str">
            <v>Lucent Technologies Inc</v>
          </cell>
          <cell r="F2055">
            <v>5</v>
          </cell>
          <cell r="G2055">
            <v>35807</v>
          </cell>
          <cell r="H2055" t="str">
            <v>SP</v>
          </cell>
          <cell r="I2055" t="str">
            <v>North America</v>
          </cell>
          <cell r="J2055" t="str">
            <v>USA</v>
          </cell>
          <cell r="K2055">
            <v>35246</v>
          </cell>
        </row>
        <row r="2056">
          <cell r="A2056" t="str">
            <v>In service</v>
          </cell>
          <cell r="B2056" t="str">
            <v>Gulfstream Aerospace Gulfstream IV</v>
          </cell>
          <cell r="C2056" t="str">
            <v>SP</v>
          </cell>
          <cell r="D2056">
            <v>1997</v>
          </cell>
          <cell r="E2056" t="str">
            <v>United States Automobile Assoc</v>
          </cell>
          <cell r="F2056">
            <v>5</v>
          </cell>
          <cell r="G2056">
            <v>35793</v>
          </cell>
          <cell r="H2056" t="str">
            <v>SP</v>
          </cell>
          <cell r="I2056" t="str">
            <v>North America</v>
          </cell>
          <cell r="J2056" t="str">
            <v>USA</v>
          </cell>
          <cell r="K2056">
            <v>35246</v>
          </cell>
        </row>
        <row r="2057">
          <cell r="A2057" t="str">
            <v>In service</v>
          </cell>
          <cell r="B2057" t="str">
            <v>Gulfstream Aerospace Gulfstream IV</v>
          </cell>
          <cell r="C2057" t="str">
            <v>SP</v>
          </cell>
          <cell r="D2057">
            <v>1997</v>
          </cell>
          <cell r="E2057" t="str">
            <v>Oaktree Capital Management Inc</v>
          </cell>
          <cell r="F2057">
            <v>5</v>
          </cell>
          <cell r="G2057">
            <v>35783</v>
          </cell>
          <cell r="H2057" t="str">
            <v>SP</v>
          </cell>
          <cell r="I2057" t="str">
            <v>North America</v>
          </cell>
          <cell r="J2057" t="str">
            <v>USA</v>
          </cell>
          <cell r="K2057">
            <v>35246</v>
          </cell>
        </row>
        <row r="2058">
          <cell r="A2058" t="str">
            <v>In service</v>
          </cell>
          <cell r="B2058" t="str">
            <v>Gulfstream Aerospace Gulfstream IV</v>
          </cell>
          <cell r="C2058" t="str">
            <v>SP</v>
          </cell>
          <cell r="D2058">
            <v>1997</v>
          </cell>
          <cell r="E2058" t="str">
            <v>Netjets International</v>
          </cell>
          <cell r="F2058">
            <v>5</v>
          </cell>
          <cell r="G2058">
            <v>35794</v>
          </cell>
          <cell r="H2058" t="str">
            <v>SP</v>
          </cell>
          <cell r="I2058" t="str">
            <v>North America</v>
          </cell>
          <cell r="J2058" t="str">
            <v>USA</v>
          </cell>
          <cell r="K2058">
            <v>35311</v>
          </cell>
        </row>
        <row r="2059">
          <cell r="A2059" t="str">
            <v>In service</v>
          </cell>
          <cell r="B2059" t="str">
            <v>Gulfstream Aerospace Gulfstream IV</v>
          </cell>
          <cell r="C2059" t="str">
            <v>SP</v>
          </cell>
          <cell r="D2059">
            <v>1997</v>
          </cell>
          <cell r="E2059" t="str">
            <v>LKM Inc &amp; Eeyore Aviation LLC</v>
          </cell>
          <cell r="F2059">
            <v>5</v>
          </cell>
          <cell r="G2059">
            <v>35821</v>
          </cell>
          <cell r="H2059" t="str">
            <v>SP</v>
          </cell>
          <cell r="I2059" t="str">
            <v>North America</v>
          </cell>
          <cell r="J2059" t="str">
            <v>USA</v>
          </cell>
          <cell r="K2059">
            <v>35246</v>
          </cell>
        </row>
        <row r="2060">
          <cell r="A2060" t="str">
            <v>In service</v>
          </cell>
          <cell r="B2060" t="str">
            <v>Gulfstream Aerospace Gulfstream IV</v>
          </cell>
          <cell r="C2060" t="str">
            <v>SP</v>
          </cell>
          <cell r="D2060">
            <v>1998</v>
          </cell>
          <cell r="E2060" t="str">
            <v>Chevron USA Inc</v>
          </cell>
          <cell r="F2060">
            <v>4</v>
          </cell>
          <cell r="G2060">
            <v>35991</v>
          </cell>
          <cell r="H2060" t="str">
            <v>SP</v>
          </cell>
          <cell r="I2060" t="str">
            <v>North America</v>
          </cell>
          <cell r="J2060" t="str">
            <v>USA</v>
          </cell>
          <cell r="K2060">
            <v>35246</v>
          </cell>
        </row>
        <row r="2061">
          <cell r="A2061" t="str">
            <v>In service</v>
          </cell>
          <cell r="B2061" t="str">
            <v>Gulfstream Aerospace Gulfstream IV</v>
          </cell>
          <cell r="C2061" t="str">
            <v>SP</v>
          </cell>
          <cell r="D2061">
            <v>1998</v>
          </cell>
          <cell r="E2061" t="str">
            <v>Symax Aviation LLC</v>
          </cell>
          <cell r="F2061">
            <v>4</v>
          </cell>
          <cell r="G2061">
            <v>35885</v>
          </cell>
          <cell r="H2061" t="str">
            <v>SP</v>
          </cell>
          <cell r="I2061" t="str">
            <v>North America</v>
          </cell>
          <cell r="J2061" t="str">
            <v>USA</v>
          </cell>
          <cell r="K2061">
            <v>35246</v>
          </cell>
        </row>
        <row r="2062">
          <cell r="A2062" t="str">
            <v>In service</v>
          </cell>
          <cell r="B2062" t="str">
            <v>Gulfstream Aerospace Gulfstream IV</v>
          </cell>
          <cell r="C2062" t="str">
            <v>SP</v>
          </cell>
          <cell r="D2062">
            <v>1998</v>
          </cell>
          <cell r="E2062" t="str">
            <v>Netjets International</v>
          </cell>
          <cell r="F2062">
            <v>4</v>
          </cell>
          <cell r="G2062">
            <v>35908</v>
          </cell>
          <cell r="H2062" t="str">
            <v>SP</v>
          </cell>
          <cell r="I2062" t="str">
            <v>North America</v>
          </cell>
          <cell r="J2062" t="str">
            <v>USA</v>
          </cell>
          <cell r="K2062">
            <v>35311</v>
          </cell>
        </row>
        <row r="2063">
          <cell r="A2063" t="str">
            <v>In service</v>
          </cell>
          <cell r="B2063" t="str">
            <v>Gulfstream Aerospace Gulfstream IV</v>
          </cell>
          <cell r="C2063" t="str">
            <v>SP</v>
          </cell>
          <cell r="D2063">
            <v>1998</v>
          </cell>
          <cell r="E2063" t="str">
            <v>New World Jet Corp</v>
          </cell>
          <cell r="F2063">
            <v>4</v>
          </cell>
          <cell r="G2063">
            <v>35989</v>
          </cell>
          <cell r="H2063" t="str">
            <v>SP</v>
          </cell>
          <cell r="I2063" t="str">
            <v>North America</v>
          </cell>
          <cell r="J2063" t="str">
            <v>USA</v>
          </cell>
          <cell r="K2063">
            <v>35246</v>
          </cell>
        </row>
        <row r="2064">
          <cell r="A2064" t="str">
            <v>In service</v>
          </cell>
          <cell r="B2064" t="str">
            <v>Gulfstream Aerospace Gulfstream IV</v>
          </cell>
          <cell r="C2064" t="str">
            <v>SP</v>
          </cell>
          <cell r="D2064">
            <v>1998</v>
          </cell>
          <cell r="E2064" t="str">
            <v>Netjets International</v>
          </cell>
          <cell r="F2064">
            <v>4</v>
          </cell>
          <cell r="G2064">
            <v>35964</v>
          </cell>
          <cell r="H2064" t="str">
            <v>SP</v>
          </cell>
          <cell r="I2064" t="str">
            <v>North America</v>
          </cell>
          <cell r="J2064" t="str">
            <v>USA</v>
          </cell>
          <cell r="K2064">
            <v>35311</v>
          </cell>
        </row>
        <row r="2065">
          <cell r="A2065" t="str">
            <v>In service</v>
          </cell>
          <cell r="B2065" t="str">
            <v>Gulfstream Aerospace Gulfstream IV</v>
          </cell>
          <cell r="C2065" t="str">
            <v>SP</v>
          </cell>
          <cell r="D2065">
            <v>1998</v>
          </cell>
          <cell r="E2065" t="str">
            <v>Xamex Investments Inc</v>
          </cell>
          <cell r="F2065">
            <v>4</v>
          </cell>
          <cell r="G2065">
            <v>35944</v>
          </cell>
          <cell r="H2065" t="str">
            <v>SP</v>
          </cell>
          <cell r="I2065" t="str">
            <v>North America</v>
          </cell>
          <cell r="J2065" t="str">
            <v>USA</v>
          </cell>
          <cell r="K2065">
            <v>35246</v>
          </cell>
        </row>
        <row r="2066">
          <cell r="A2066" t="str">
            <v>In service</v>
          </cell>
          <cell r="B2066" t="str">
            <v>Gulfstream Aerospace Gulfstream IV</v>
          </cell>
          <cell r="C2066" t="str">
            <v>SP</v>
          </cell>
          <cell r="D2066">
            <v>1998</v>
          </cell>
          <cell r="E2066" t="str">
            <v>Netjets International</v>
          </cell>
          <cell r="F2066">
            <v>4</v>
          </cell>
          <cell r="G2066">
            <v>36013</v>
          </cell>
          <cell r="H2066" t="str">
            <v>SP</v>
          </cell>
          <cell r="I2066" t="str">
            <v>North America</v>
          </cell>
          <cell r="J2066" t="str">
            <v>USA</v>
          </cell>
          <cell r="K2066">
            <v>35311</v>
          </cell>
        </row>
        <row r="2067">
          <cell r="A2067" t="str">
            <v>In service</v>
          </cell>
          <cell r="B2067" t="str">
            <v>Gulfstream Aerospace Gulfstream IV</v>
          </cell>
          <cell r="C2067" t="str">
            <v>SP</v>
          </cell>
          <cell r="D2067">
            <v>1997</v>
          </cell>
          <cell r="E2067" t="str">
            <v>Aeropuerto Argentina 200</v>
          </cell>
          <cell r="F2067">
            <v>5</v>
          </cell>
          <cell r="G2067">
            <v>35794</v>
          </cell>
          <cell r="H2067" t="str">
            <v>SP</v>
          </cell>
          <cell r="I2067" t="str">
            <v>Latin America and Caribbean</v>
          </cell>
          <cell r="J2067" t="str">
            <v>Argentina</v>
          </cell>
          <cell r="K2067">
            <v>35611</v>
          </cell>
        </row>
        <row r="2068">
          <cell r="A2068" t="str">
            <v>In service</v>
          </cell>
          <cell r="B2068" t="str">
            <v>Gulfstream Aerospace Gulfstream IV</v>
          </cell>
          <cell r="C2068" t="str">
            <v>SP</v>
          </cell>
          <cell r="D2068">
            <v>1998</v>
          </cell>
          <cell r="E2068" t="str">
            <v>Government of Gabon</v>
          </cell>
          <cell r="F2068">
            <v>4</v>
          </cell>
          <cell r="G2068">
            <v>36114</v>
          </cell>
          <cell r="H2068" t="str">
            <v>SP</v>
          </cell>
          <cell r="I2068" t="str">
            <v>Africa</v>
          </cell>
          <cell r="J2068" t="str">
            <v>Gabon</v>
          </cell>
          <cell r="K2068">
            <v>35976</v>
          </cell>
        </row>
        <row r="2069">
          <cell r="A2069" t="str">
            <v>In service</v>
          </cell>
          <cell r="B2069" t="str">
            <v>Gulfstream Aerospace Gulfstream IV</v>
          </cell>
          <cell r="C2069" t="str">
            <v>SP</v>
          </cell>
          <cell r="D2069">
            <v>1998</v>
          </cell>
          <cell r="E2069" t="str">
            <v>Netjets International</v>
          </cell>
          <cell r="F2069">
            <v>4</v>
          </cell>
          <cell r="G2069">
            <v>36056</v>
          </cell>
          <cell r="H2069" t="str">
            <v>SP</v>
          </cell>
          <cell r="I2069" t="str">
            <v>North America</v>
          </cell>
          <cell r="J2069" t="str">
            <v>USA</v>
          </cell>
          <cell r="K2069">
            <v>35311</v>
          </cell>
        </row>
        <row r="2070">
          <cell r="A2070" t="str">
            <v>In service</v>
          </cell>
          <cell r="B2070" t="str">
            <v>Gulfstream Aerospace Gulfstream IV</v>
          </cell>
          <cell r="C2070" t="str">
            <v>SP</v>
          </cell>
          <cell r="D2070">
            <v>1998</v>
          </cell>
          <cell r="E2070" t="str">
            <v>Government of Egypt</v>
          </cell>
          <cell r="F2070">
            <v>4</v>
          </cell>
          <cell r="G2070">
            <v>36114</v>
          </cell>
          <cell r="H2070" t="str">
            <v>SP</v>
          </cell>
          <cell r="I2070" t="str">
            <v>Africa</v>
          </cell>
          <cell r="J2070" t="str">
            <v>Egypt</v>
          </cell>
          <cell r="K2070">
            <v>35976</v>
          </cell>
        </row>
        <row r="2071">
          <cell r="A2071" t="str">
            <v>In service</v>
          </cell>
          <cell r="B2071" t="str">
            <v>Gulfstream Aerospace Gulfstream IV</v>
          </cell>
          <cell r="C2071" t="str">
            <v>SP</v>
          </cell>
          <cell r="D2071">
            <v>1998</v>
          </cell>
          <cell r="E2071" t="str">
            <v>Johnson &amp; Johnson</v>
          </cell>
          <cell r="F2071">
            <v>4</v>
          </cell>
          <cell r="G2071">
            <v>36080</v>
          </cell>
          <cell r="H2071" t="str">
            <v>SP</v>
          </cell>
          <cell r="I2071" t="str">
            <v>North America</v>
          </cell>
          <cell r="J2071" t="str">
            <v>USA</v>
          </cell>
          <cell r="K2071">
            <v>35611</v>
          </cell>
        </row>
        <row r="2072">
          <cell r="A2072" t="str">
            <v>In service</v>
          </cell>
          <cell r="B2072" t="str">
            <v>Gulfstream Aerospace Gulfstream IV</v>
          </cell>
          <cell r="C2072" t="str">
            <v>SP</v>
          </cell>
          <cell r="D2072">
            <v>1998</v>
          </cell>
          <cell r="E2072" t="str">
            <v>General Dynamics Corp</v>
          </cell>
          <cell r="F2072">
            <v>4</v>
          </cell>
          <cell r="G2072">
            <v>36133</v>
          </cell>
          <cell r="H2072" t="str">
            <v>SP</v>
          </cell>
          <cell r="I2072" t="str">
            <v>North America</v>
          </cell>
          <cell r="J2072" t="str">
            <v>USA</v>
          </cell>
          <cell r="K2072">
            <v>35611</v>
          </cell>
        </row>
        <row r="2073">
          <cell r="A2073" t="str">
            <v>In service</v>
          </cell>
          <cell r="B2073" t="str">
            <v>Gulfstream Aerospace Gulfstream IV</v>
          </cell>
          <cell r="C2073" t="str">
            <v>SP</v>
          </cell>
          <cell r="D2073">
            <v>1998</v>
          </cell>
          <cell r="E2073" t="str">
            <v>Government of Egypt</v>
          </cell>
          <cell r="F2073">
            <v>4</v>
          </cell>
          <cell r="G2073">
            <v>36144</v>
          </cell>
          <cell r="H2073" t="str">
            <v>SP</v>
          </cell>
          <cell r="I2073" t="str">
            <v>Africa</v>
          </cell>
          <cell r="J2073" t="str">
            <v>Egypt</v>
          </cell>
          <cell r="K2073">
            <v>35976</v>
          </cell>
        </row>
        <row r="2074">
          <cell r="A2074" t="str">
            <v>In service</v>
          </cell>
          <cell r="B2074" t="str">
            <v>Gulfstream Aerospace Gulfstream IV</v>
          </cell>
          <cell r="C2074" t="str">
            <v>SP</v>
          </cell>
          <cell r="D2074">
            <v>1998</v>
          </cell>
          <cell r="E2074" t="str">
            <v>Johnson &amp; Johnson</v>
          </cell>
          <cell r="F2074">
            <v>4</v>
          </cell>
          <cell r="G2074">
            <v>36123</v>
          </cell>
          <cell r="H2074" t="str">
            <v>SP</v>
          </cell>
          <cell r="I2074" t="str">
            <v>North America</v>
          </cell>
          <cell r="J2074" t="str">
            <v>USA</v>
          </cell>
          <cell r="K2074">
            <v>35611</v>
          </cell>
        </row>
        <row r="2075">
          <cell r="A2075" t="str">
            <v>In service</v>
          </cell>
          <cell r="B2075" t="str">
            <v>Gulfstream Aerospace Gulfstream IV</v>
          </cell>
          <cell r="C2075" t="str">
            <v>SP</v>
          </cell>
          <cell r="D2075">
            <v>1998</v>
          </cell>
          <cell r="E2075" t="str">
            <v>Netjets International</v>
          </cell>
          <cell r="F2075">
            <v>4</v>
          </cell>
          <cell r="G2075">
            <v>36123</v>
          </cell>
          <cell r="H2075" t="str">
            <v>SP</v>
          </cell>
          <cell r="I2075" t="str">
            <v>North America</v>
          </cell>
          <cell r="J2075" t="str">
            <v>USA</v>
          </cell>
          <cell r="K2075">
            <v>35521</v>
          </cell>
        </row>
        <row r="2076">
          <cell r="A2076" t="str">
            <v>In service</v>
          </cell>
          <cell r="B2076" t="str">
            <v>Gulfstream Aerospace Gulfstream IV</v>
          </cell>
          <cell r="C2076" t="str">
            <v>SP</v>
          </cell>
          <cell r="D2076">
            <v>1998</v>
          </cell>
          <cell r="E2076" t="str">
            <v>Astor Street Asset Management Inc</v>
          </cell>
          <cell r="F2076">
            <v>4</v>
          </cell>
          <cell r="G2076">
            <v>36151</v>
          </cell>
          <cell r="H2076" t="str">
            <v>SP</v>
          </cell>
          <cell r="I2076" t="str">
            <v>North America</v>
          </cell>
          <cell r="J2076" t="str">
            <v>USA</v>
          </cell>
          <cell r="K2076">
            <v>35611</v>
          </cell>
        </row>
        <row r="2077">
          <cell r="A2077" t="str">
            <v>In service</v>
          </cell>
          <cell r="B2077" t="str">
            <v>Gulfstream Aerospace Gulfstream IV</v>
          </cell>
          <cell r="C2077" t="str">
            <v>SP</v>
          </cell>
          <cell r="D2077">
            <v>1998</v>
          </cell>
          <cell r="E2077" t="str">
            <v>Pfizer Inc</v>
          </cell>
          <cell r="F2077">
            <v>4</v>
          </cell>
          <cell r="G2077">
            <v>36339</v>
          </cell>
          <cell r="H2077" t="str">
            <v>SP</v>
          </cell>
          <cell r="I2077" t="str">
            <v>North America</v>
          </cell>
          <cell r="J2077" t="str">
            <v>USA</v>
          </cell>
          <cell r="K2077">
            <v>35976</v>
          </cell>
        </row>
        <row r="2078">
          <cell r="A2078" t="str">
            <v>In service</v>
          </cell>
          <cell r="B2078" t="str">
            <v>Gulfstream Aerospace Gulfstream IV</v>
          </cell>
          <cell r="C2078" t="str">
            <v>SP</v>
          </cell>
          <cell r="D2078">
            <v>1999</v>
          </cell>
          <cell r="E2078" t="str">
            <v>Michael J Kittredge</v>
          </cell>
          <cell r="F2078">
            <v>3</v>
          </cell>
          <cell r="G2078">
            <v>36215</v>
          </cell>
          <cell r="H2078" t="str">
            <v>SP</v>
          </cell>
          <cell r="I2078" t="str">
            <v>North America</v>
          </cell>
          <cell r="J2078" t="str">
            <v>USA</v>
          </cell>
          <cell r="K2078">
            <v>35611</v>
          </cell>
        </row>
        <row r="2079">
          <cell r="A2079" t="str">
            <v>In service</v>
          </cell>
          <cell r="B2079" t="str">
            <v>Gulfstream Aerospace Gulfstream IV</v>
          </cell>
          <cell r="C2079" t="str">
            <v>SP</v>
          </cell>
          <cell r="D2079">
            <v>1999</v>
          </cell>
          <cell r="E2079" t="str">
            <v>LHF Holdings LLC</v>
          </cell>
          <cell r="F2079">
            <v>3</v>
          </cell>
          <cell r="G2079">
            <v>36210</v>
          </cell>
          <cell r="H2079" t="str">
            <v>SP</v>
          </cell>
          <cell r="I2079" t="str">
            <v>North America</v>
          </cell>
          <cell r="J2079" t="str">
            <v>USA</v>
          </cell>
          <cell r="K2079">
            <v>35611</v>
          </cell>
        </row>
        <row r="2080">
          <cell r="A2080" t="str">
            <v>In service</v>
          </cell>
          <cell r="B2080" t="str">
            <v>Gulfstream Aerospace Gulfstream IV</v>
          </cell>
          <cell r="C2080" t="str">
            <v>SP</v>
          </cell>
          <cell r="D2080">
            <v>1998</v>
          </cell>
          <cell r="E2080" t="str">
            <v>TAL Leasing Co LLC</v>
          </cell>
          <cell r="F2080">
            <v>4</v>
          </cell>
          <cell r="G2080">
            <v>36158</v>
          </cell>
          <cell r="H2080" t="str">
            <v>SP</v>
          </cell>
          <cell r="I2080" t="str">
            <v>North America</v>
          </cell>
          <cell r="J2080" t="str">
            <v>USA</v>
          </cell>
          <cell r="K2080">
            <v>35611</v>
          </cell>
        </row>
        <row r="2081">
          <cell r="A2081" t="str">
            <v>In service</v>
          </cell>
          <cell r="B2081" t="str">
            <v>Gulfstream Aerospace Gulfstream IV</v>
          </cell>
          <cell r="C2081" t="str">
            <v>SP</v>
          </cell>
          <cell r="D2081">
            <v>1999</v>
          </cell>
          <cell r="E2081" t="str">
            <v>Abbott Laboratories Inc</v>
          </cell>
          <cell r="F2081">
            <v>3</v>
          </cell>
          <cell r="G2081">
            <v>36221</v>
          </cell>
          <cell r="H2081" t="str">
            <v>SP</v>
          </cell>
          <cell r="I2081" t="str">
            <v>North America</v>
          </cell>
          <cell r="J2081" t="str">
            <v>USA</v>
          </cell>
          <cell r="K2081">
            <v>35611</v>
          </cell>
        </row>
        <row r="2082">
          <cell r="A2082" t="str">
            <v>In service</v>
          </cell>
          <cell r="B2082" t="str">
            <v>Gulfstream Aerospace Gulfstream IV</v>
          </cell>
          <cell r="C2082" t="str">
            <v>SP</v>
          </cell>
          <cell r="D2082">
            <v>1998</v>
          </cell>
          <cell r="E2082" t="str">
            <v>Netjets International</v>
          </cell>
          <cell r="F2082">
            <v>4</v>
          </cell>
          <cell r="G2082">
            <v>36152</v>
          </cell>
          <cell r="H2082" t="str">
            <v>SP</v>
          </cell>
          <cell r="I2082" t="str">
            <v>North America</v>
          </cell>
          <cell r="J2082" t="str">
            <v>USA</v>
          </cell>
          <cell r="K2082">
            <v>35521</v>
          </cell>
        </row>
        <row r="2083">
          <cell r="A2083" t="str">
            <v>In service</v>
          </cell>
          <cell r="B2083" t="str">
            <v>Gulfstream Aerospace Gulfstream IV</v>
          </cell>
          <cell r="C2083" t="str">
            <v>SP</v>
          </cell>
          <cell r="D2083">
            <v>1998</v>
          </cell>
          <cell r="E2083" t="str">
            <v>Avjet Corp</v>
          </cell>
          <cell r="F2083">
            <v>4</v>
          </cell>
          <cell r="G2083">
            <v>36000</v>
          </cell>
          <cell r="H2083" t="str">
            <v>SP</v>
          </cell>
          <cell r="I2083" t="str">
            <v>North America</v>
          </cell>
          <cell r="J2083" t="str">
            <v>USA</v>
          </cell>
          <cell r="K2083">
            <v>35611</v>
          </cell>
        </row>
        <row r="2084">
          <cell r="A2084" t="str">
            <v>In service</v>
          </cell>
          <cell r="B2084" t="str">
            <v>Gulfstream Aerospace Gulfstream IV</v>
          </cell>
          <cell r="C2084" t="str">
            <v>SP</v>
          </cell>
          <cell r="D2084">
            <v>1999</v>
          </cell>
          <cell r="E2084" t="str">
            <v>SS Platinum Limited Liabilty Co</v>
          </cell>
          <cell r="F2084">
            <v>3</v>
          </cell>
          <cell r="G2084">
            <v>36339</v>
          </cell>
          <cell r="H2084" t="str">
            <v>SP</v>
          </cell>
          <cell r="I2084" t="str">
            <v>North America</v>
          </cell>
          <cell r="J2084" t="str">
            <v>USA</v>
          </cell>
          <cell r="K2084">
            <v>35611</v>
          </cell>
        </row>
        <row r="2085">
          <cell r="A2085" t="str">
            <v>In service</v>
          </cell>
          <cell r="B2085" t="str">
            <v>Gulfstream Aerospace Gulfstream IV</v>
          </cell>
          <cell r="C2085" t="str">
            <v>SP</v>
          </cell>
          <cell r="D2085">
            <v>1999</v>
          </cell>
          <cell r="E2085" t="str">
            <v>Eighteen LLC</v>
          </cell>
          <cell r="F2085">
            <v>3</v>
          </cell>
          <cell r="G2085">
            <v>36390</v>
          </cell>
          <cell r="H2085" t="str">
            <v>SP</v>
          </cell>
          <cell r="I2085" t="str">
            <v>Latin America and Caribbean</v>
          </cell>
          <cell r="J2085" t="str">
            <v>Bermuda</v>
          </cell>
          <cell r="K2085">
            <v>35611</v>
          </cell>
        </row>
        <row r="2086">
          <cell r="A2086" t="str">
            <v>In service</v>
          </cell>
          <cell r="B2086" t="str">
            <v>Gulfstream Aerospace Gulfstream IV</v>
          </cell>
          <cell r="C2086" t="str">
            <v>SP</v>
          </cell>
          <cell r="D2086">
            <v>1999</v>
          </cell>
          <cell r="E2086" t="str">
            <v>Seminole Tribe of Florida</v>
          </cell>
          <cell r="F2086">
            <v>3</v>
          </cell>
          <cell r="G2086">
            <v>36342</v>
          </cell>
          <cell r="H2086" t="str">
            <v>SP</v>
          </cell>
          <cell r="I2086" t="str">
            <v>North America</v>
          </cell>
          <cell r="J2086" t="str">
            <v>USA</v>
          </cell>
          <cell r="K2086">
            <v>35976</v>
          </cell>
        </row>
        <row r="2087">
          <cell r="A2087" t="str">
            <v>In service</v>
          </cell>
          <cell r="B2087" t="str">
            <v>Gulfstream Aerospace Gulfstream IV</v>
          </cell>
          <cell r="C2087" t="str">
            <v>SP</v>
          </cell>
          <cell r="D2087">
            <v>1998</v>
          </cell>
          <cell r="E2087" t="str">
            <v>Andalex Resources</v>
          </cell>
          <cell r="F2087">
            <v>4</v>
          </cell>
          <cell r="G2087">
            <v>36048</v>
          </cell>
          <cell r="H2087" t="str">
            <v>SP</v>
          </cell>
          <cell r="I2087" t="str">
            <v>North America</v>
          </cell>
          <cell r="J2087" t="str">
            <v>USA</v>
          </cell>
          <cell r="K2087">
            <v>35611</v>
          </cell>
        </row>
        <row r="2088">
          <cell r="A2088" t="str">
            <v>In service</v>
          </cell>
          <cell r="B2088" t="str">
            <v>Gulfstream Aerospace Gulfstream IV</v>
          </cell>
          <cell r="C2088" t="str">
            <v>SP</v>
          </cell>
          <cell r="D2088">
            <v>1998</v>
          </cell>
          <cell r="E2088" t="str">
            <v>Coanda Inc</v>
          </cell>
          <cell r="F2088">
            <v>4</v>
          </cell>
          <cell r="G2088">
            <v>36073</v>
          </cell>
          <cell r="H2088" t="str">
            <v>SP</v>
          </cell>
          <cell r="I2088" t="str">
            <v>North America</v>
          </cell>
          <cell r="J2088" t="str">
            <v>USA</v>
          </cell>
          <cell r="K2088">
            <v>35611</v>
          </cell>
        </row>
        <row r="2089">
          <cell r="A2089" t="str">
            <v>In service</v>
          </cell>
          <cell r="B2089" t="str">
            <v>Gulfstream Aerospace Gulfstream IV</v>
          </cell>
          <cell r="C2089" t="str">
            <v>SP</v>
          </cell>
          <cell r="D2089">
            <v>1999</v>
          </cell>
          <cell r="E2089" t="str">
            <v>United States Steel Corp</v>
          </cell>
          <cell r="F2089">
            <v>3</v>
          </cell>
          <cell r="G2089">
            <v>36495</v>
          </cell>
          <cell r="H2089" t="str">
            <v>SP</v>
          </cell>
          <cell r="I2089" t="str">
            <v>North America</v>
          </cell>
          <cell r="J2089" t="str">
            <v>USA</v>
          </cell>
          <cell r="K2089">
            <v>35976</v>
          </cell>
        </row>
        <row r="2090">
          <cell r="A2090" t="str">
            <v>In service</v>
          </cell>
          <cell r="B2090" t="str">
            <v>Gulfstream Aerospace Gulfstream IV</v>
          </cell>
          <cell r="C2090" t="str">
            <v>SP</v>
          </cell>
          <cell r="D2090">
            <v>1999</v>
          </cell>
          <cell r="E2090" t="str">
            <v>OM Group Inc</v>
          </cell>
          <cell r="F2090">
            <v>3</v>
          </cell>
          <cell r="G2090">
            <v>36461</v>
          </cell>
          <cell r="H2090" t="str">
            <v>SP</v>
          </cell>
          <cell r="I2090" t="str">
            <v>North America</v>
          </cell>
          <cell r="J2090" t="str">
            <v>USA</v>
          </cell>
          <cell r="K2090">
            <v>35869</v>
          </cell>
        </row>
        <row r="2091">
          <cell r="A2091" t="str">
            <v>In service</v>
          </cell>
          <cell r="B2091" t="str">
            <v>Gulfstream Aerospace Gulfstream IV</v>
          </cell>
          <cell r="C2091" t="str">
            <v>SP</v>
          </cell>
          <cell r="D2091">
            <v>1998</v>
          </cell>
          <cell r="E2091" t="str">
            <v>Unisys Corp</v>
          </cell>
          <cell r="F2091">
            <v>4</v>
          </cell>
          <cell r="G2091">
            <v>36144</v>
          </cell>
          <cell r="H2091" t="str">
            <v>SP</v>
          </cell>
          <cell r="I2091" t="str">
            <v>North America</v>
          </cell>
          <cell r="J2091" t="str">
            <v>USA</v>
          </cell>
          <cell r="K2091">
            <v>35611</v>
          </cell>
        </row>
        <row r="2092">
          <cell r="A2092" t="str">
            <v>In service</v>
          </cell>
          <cell r="B2092" t="str">
            <v>Gulfstream Aerospace Gulfstream IV</v>
          </cell>
          <cell r="C2092" t="str">
            <v>SP</v>
          </cell>
          <cell r="D2092">
            <v>1999</v>
          </cell>
          <cell r="E2092" t="str">
            <v>Netjets International</v>
          </cell>
          <cell r="F2092">
            <v>3</v>
          </cell>
          <cell r="G2092">
            <v>36299</v>
          </cell>
          <cell r="H2092" t="str">
            <v>SP</v>
          </cell>
          <cell r="I2092" t="str">
            <v>North America</v>
          </cell>
          <cell r="J2092" t="str">
            <v>USA</v>
          </cell>
          <cell r="K2092">
            <v>35521</v>
          </cell>
        </row>
        <row r="2093">
          <cell r="A2093" t="str">
            <v>In service</v>
          </cell>
          <cell r="B2093" t="str">
            <v>Gulfstream Aerospace Gulfstream IV</v>
          </cell>
          <cell r="C2093" t="str">
            <v>SP</v>
          </cell>
          <cell r="D2093">
            <v>1999</v>
          </cell>
          <cell r="E2093" t="str">
            <v>Netjets International</v>
          </cell>
          <cell r="F2093">
            <v>3</v>
          </cell>
          <cell r="G2093">
            <v>36249</v>
          </cell>
          <cell r="H2093" t="str">
            <v>SP</v>
          </cell>
          <cell r="I2093" t="str">
            <v>North America</v>
          </cell>
          <cell r="J2093" t="str">
            <v>USA</v>
          </cell>
          <cell r="K2093">
            <v>35521</v>
          </cell>
        </row>
        <row r="2094">
          <cell r="A2094" t="str">
            <v>In service</v>
          </cell>
          <cell r="B2094" t="str">
            <v>Gulfstream Aerospace Gulfstream IV</v>
          </cell>
          <cell r="C2094" t="str">
            <v>SP</v>
          </cell>
          <cell r="D2094">
            <v>1999</v>
          </cell>
          <cell r="E2094" t="str">
            <v>Government of Bahrain</v>
          </cell>
          <cell r="F2094">
            <v>3</v>
          </cell>
          <cell r="G2094">
            <v>36364</v>
          </cell>
          <cell r="H2094" t="str">
            <v>SP</v>
          </cell>
          <cell r="I2094" t="str">
            <v>Middle East</v>
          </cell>
          <cell r="J2094" t="str">
            <v>Bahrain</v>
          </cell>
          <cell r="K2094">
            <v>35976</v>
          </cell>
        </row>
        <row r="2095">
          <cell r="A2095" t="str">
            <v>In service</v>
          </cell>
          <cell r="B2095" t="str">
            <v>Gulfstream Aerospace Gulfstream IV</v>
          </cell>
          <cell r="C2095" t="str">
            <v>SP</v>
          </cell>
          <cell r="D2095">
            <v>1998</v>
          </cell>
          <cell r="E2095" t="str">
            <v>Recovery Services International Inc</v>
          </cell>
          <cell r="F2095">
            <v>4</v>
          </cell>
          <cell r="G2095">
            <v>36139</v>
          </cell>
          <cell r="H2095" t="str">
            <v>SP</v>
          </cell>
          <cell r="I2095" t="str">
            <v>North America</v>
          </cell>
          <cell r="J2095" t="str">
            <v>USA</v>
          </cell>
          <cell r="K2095">
            <v>35611</v>
          </cell>
        </row>
        <row r="2096">
          <cell r="A2096" t="str">
            <v>In service</v>
          </cell>
          <cell r="B2096" t="str">
            <v>Gulfstream Aerospace Gulfstream IV</v>
          </cell>
          <cell r="C2096" t="str">
            <v>SP</v>
          </cell>
          <cell r="D2096">
            <v>1998</v>
          </cell>
          <cell r="E2096" t="str">
            <v>Duchossois Industries Inc</v>
          </cell>
          <cell r="F2096">
            <v>4</v>
          </cell>
          <cell r="G2096">
            <v>36192</v>
          </cell>
          <cell r="H2096" t="str">
            <v>SP</v>
          </cell>
          <cell r="I2096" t="str">
            <v>North America</v>
          </cell>
          <cell r="J2096" t="str">
            <v>USA</v>
          </cell>
          <cell r="K2096">
            <v>35976</v>
          </cell>
        </row>
        <row r="2097">
          <cell r="A2097" t="str">
            <v>In service</v>
          </cell>
          <cell r="B2097" t="str">
            <v>Gulfstream Aerospace Gulfstream IV</v>
          </cell>
          <cell r="C2097" t="str">
            <v>SP</v>
          </cell>
          <cell r="D2097">
            <v>1999</v>
          </cell>
          <cell r="E2097" t="str">
            <v>Dominion Resources Inc</v>
          </cell>
          <cell r="F2097">
            <v>3</v>
          </cell>
          <cell r="G2097">
            <v>36388</v>
          </cell>
          <cell r="H2097" t="str">
            <v>SP</v>
          </cell>
          <cell r="I2097" t="str">
            <v>North America</v>
          </cell>
          <cell r="J2097" t="str">
            <v>USA</v>
          </cell>
          <cell r="K2097">
            <v>35976</v>
          </cell>
        </row>
        <row r="2098">
          <cell r="A2098" t="str">
            <v>In service</v>
          </cell>
          <cell r="B2098" t="str">
            <v>Gulfstream Aerospace Gulfstream IV</v>
          </cell>
          <cell r="C2098" t="str">
            <v>SP</v>
          </cell>
          <cell r="D2098">
            <v>1999</v>
          </cell>
          <cell r="E2098" t="str">
            <v>K Services Inc</v>
          </cell>
          <cell r="F2098">
            <v>3</v>
          </cell>
          <cell r="G2098">
            <v>36524</v>
          </cell>
          <cell r="H2098" t="str">
            <v>SP</v>
          </cell>
          <cell r="I2098" t="str">
            <v>North America</v>
          </cell>
          <cell r="J2098" t="str">
            <v>USA</v>
          </cell>
          <cell r="K2098">
            <v>35976</v>
          </cell>
        </row>
        <row r="2099">
          <cell r="A2099" t="str">
            <v>In service</v>
          </cell>
          <cell r="B2099" t="str">
            <v>Gulfstream Aerospace Gulfstream IV</v>
          </cell>
          <cell r="C2099" t="str">
            <v>SP</v>
          </cell>
          <cell r="D2099">
            <v>1999</v>
          </cell>
          <cell r="E2099" t="str">
            <v>Chevron USA Inc</v>
          </cell>
          <cell r="F2099">
            <v>3</v>
          </cell>
          <cell r="G2099">
            <v>36516</v>
          </cell>
          <cell r="H2099" t="str">
            <v>SP</v>
          </cell>
          <cell r="I2099" t="str">
            <v>North America</v>
          </cell>
          <cell r="J2099" t="str">
            <v>USA</v>
          </cell>
          <cell r="K2099">
            <v>35246</v>
          </cell>
        </row>
        <row r="2100">
          <cell r="A2100" t="str">
            <v>In service</v>
          </cell>
          <cell r="B2100" t="str">
            <v>Gulfstream Aerospace Gulfstream IV</v>
          </cell>
          <cell r="C2100" t="str">
            <v>SP</v>
          </cell>
          <cell r="D2100">
            <v>1999</v>
          </cell>
          <cell r="E2100" t="str">
            <v>Netjets International</v>
          </cell>
          <cell r="F2100">
            <v>3</v>
          </cell>
          <cell r="G2100">
            <v>36333</v>
          </cell>
          <cell r="H2100" t="str">
            <v>SP</v>
          </cell>
          <cell r="I2100" t="str">
            <v>North America</v>
          </cell>
          <cell r="J2100" t="str">
            <v>USA</v>
          </cell>
          <cell r="K2100">
            <v>35521</v>
          </cell>
        </row>
        <row r="2101">
          <cell r="A2101" t="str">
            <v>In service</v>
          </cell>
          <cell r="B2101" t="str">
            <v>Gulfstream Aerospace Gulfstream IV</v>
          </cell>
          <cell r="C2101" t="str">
            <v>SP</v>
          </cell>
          <cell r="D2101">
            <v>1999</v>
          </cell>
          <cell r="E2101" t="str">
            <v>Campbell Sales Co</v>
          </cell>
          <cell r="F2101">
            <v>3</v>
          </cell>
          <cell r="G2101">
            <v>36364</v>
          </cell>
          <cell r="H2101" t="str">
            <v>SP</v>
          </cell>
          <cell r="I2101" t="str">
            <v>North America</v>
          </cell>
          <cell r="J2101" t="str">
            <v>USA</v>
          </cell>
          <cell r="K2101">
            <v>35976</v>
          </cell>
        </row>
        <row r="2102">
          <cell r="A2102" t="str">
            <v>In service</v>
          </cell>
          <cell r="B2102" t="str">
            <v>Gulfstream Aerospace Gulfstream IV</v>
          </cell>
          <cell r="C2102" t="str">
            <v>SP</v>
          </cell>
          <cell r="D2102">
            <v>2000</v>
          </cell>
          <cell r="E2102" t="str">
            <v>Deerport Aviation Corp</v>
          </cell>
          <cell r="F2102">
            <v>2</v>
          </cell>
          <cell r="G2102">
            <v>36643</v>
          </cell>
          <cell r="H2102" t="str">
            <v>SP</v>
          </cell>
          <cell r="I2102" t="str">
            <v>North America</v>
          </cell>
          <cell r="J2102" t="str">
            <v>USA</v>
          </cell>
          <cell r="K2102">
            <v>35976</v>
          </cell>
        </row>
        <row r="2103">
          <cell r="A2103" t="str">
            <v>In service</v>
          </cell>
          <cell r="B2103" t="str">
            <v>Gulfstream Aerospace Gulfstream IV</v>
          </cell>
          <cell r="C2103" t="str">
            <v>SP</v>
          </cell>
          <cell r="D2103">
            <v>1999</v>
          </cell>
          <cell r="E2103" t="str">
            <v>Centex Service Co</v>
          </cell>
          <cell r="F2103">
            <v>3</v>
          </cell>
          <cell r="G2103">
            <v>36370</v>
          </cell>
          <cell r="H2103" t="str">
            <v>SP</v>
          </cell>
          <cell r="I2103" t="str">
            <v>North America</v>
          </cell>
          <cell r="J2103" t="str">
            <v>USA</v>
          </cell>
          <cell r="K2103">
            <v>35521</v>
          </cell>
        </row>
        <row r="2104">
          <cell r="A2104" t="str">
            <v>In service</v>
          </cell>
          <cell r="B2104" t="str">
            <v>Gulfstream Aerospace Gulfstream IV</v>
          </cell>
          <cell r="C2104" t="str">
            <v>SP</v>
          </cell>
          <cell r="D2104">
            <v>2000</v>
          </cell>
          <cell r="E2104" t="str">
            <v>Spectacor Inc &amp; Kalco Corp</v>
          </cell>
          <cell r="F2104">
            <v>2</v>
          </cell>
          <cell r="G2104">
            <v>36615</v>
          </cell>
          <cell r="H2104" t="str">
            <v>SP</v>
          </cell>
          <cell r="I2104" t="str">
            <v>North America</v>
          </cell>
          <cell r="J2104" t="str">
            <v>USA</v>
          </cell>
          <cell r="K2104">
            <v>36053</v>
          </cell>
        </row>
        <row r="2105">
          <cell r="A2105" t="str">
            <v>In service</v>
          </cell>
          <cell r="B2105" t="str">
            <v>Gulfstream Aerospace Gulfstream IV</v>
          </cell>
          <cell r="C2105" t="str">
            <v>SP</v>
          </cell>
          <cell r="D2105">
            <v>2000</v>
          </cell>
          <cell r="E2105" t="str">
            <v>Saudi Aeromedical Evacuation</v>
          </cell>
          <cell r="F2105">
            <v>2</v>
          </cell>
          <cell r="G2105">
            <v>36666</v>
          </cell>
          <cell r="H2105" t="str">
            <v>SP</v>
          </cell>
          <cell r="I2105" t="str">
            <v>Middle East</v>
          </cell>
          <cell r="J2105" t="str">
            <v>Saudi Arabia</v>
          </cell>
          <cell r="K2105">
            <v>36341</v>
          </cell>
        </row>
        <row r="2106">
          <cell r="A2106" t="str">
            <v>In service</v>
          </cell>
          <cell r="B2106" t="str">
            <v>Gulfstream Aerospace Gulfstream IV</v>
          </cell>
          <cell r="C2106" t="str">
            <v>SP</v>
          </cell>
          <cell r="D2106">
            <v>1999</v>
          </cell>
          <cell r="E2106" t="str">
            <v>Bristol-Myers Squibb Company</v>
          </cell>
          <cell r="F2106">
            <v>3</v>
          </cell>
          <cell r="G2106">
            <v>36455</v>
          </cell>
          <cell r="H2106" t="str">
            <v>SP</v>
          </cell>
          <cell r="I2106" t="str">
            <v>North America</v>
          </cell>
          <cell r="J2106" t="str">
            <v>USA</v>
          </cell>
          <cell r="K2106">
            <v>35976</v>
          </cell>
        </row>
        <row r="2107">
          <cell r="A2107" t="str">
            <v>In service</v>
          </cell>
          <cell r="B2107" t="str">
            <v>Gulfstream Aerospace Gulfstream IV</v>
          </cell>
          <cell r="C2107" t="str">
            <v>SP</v>
          </cell>
          <cell r="D2107">
            <v>1999</v>
          </cell>
          <cell r="E2107" t="str">
            <v>Premiere Radio Networks</v>
          </cell>
          <cell r="F2107">
            <v>3</v>
          </cell>
          <cell r="G2107">
            <v>36523</v>
          </cell>
          <cell r="H2107" t="str">
            <v>SP</v>
          </cell>
          <cell r="I2107" t="str">
            <v>North America</v>
          </cell>
          <cell r="J2107" t="str">
            <v>USA</v>
          </cell>
          <cell r="K2107">
            <v>35869</v>
          </cell>
        </row>
        <row r="2108">
          <cell r="A2108" t="str">
            <v>In service</v>
          </cell>
          <cell r="B2108" t="str">
            <v>Gulfstream Aerospace Gulfstream IV</v>
          </cell>
          <cell r="C2108" t="str">
            <v>SP</v>
          </cell>
          <cell r="D2108">
            <v>2000</v>
          </cell>
          <cell r="E2108" t="str">
            <v>McDonalds Corp</v>
          </cell>
          <cell r="F2108">
            <v>2</v>
          </cell>
          <cell r="G2108">
            <v>36685</v>
          </cell>
          <cell r="H2108" t="str">
            <v>SP</v>
          </cell>
          <cell r="I2108" t="str">
            <v>North America</v>
          </cell>
          <cell r="J2108" t="str">
            <v>USA</v>
          </cell>
          <cell r="K2108">
            <v>35611</v>
          </cell>
        </row>
        <row r="2109">
          <cell r="A2109" t="str">
            <v>In service</v>
          </cell>
          <cell r="B2109" t="str">
            <v>Gulfstream Aerospace Gulfstream IV</v>
          </cell>
          <cell r="C2109" t="str">
            <v>SP</v>
          </cell>
          <cell r="D2109">
            <v>1999</v>
          </cell>
          <cell r="E2109" t="str">
            <v>Aviation Enterprises Inc</v>
          </cell>
          <cell r="F2109">
            <v>3</v>
          </cell>
          <cell r="G2109">
            <v>36416</v>
          </cell>
          <cell r="H2109" t="str">
            <v>SP</v>
          </cell>
          <cell r="I2109" t="str">
            <v>North America</v>
          </cell>
          <cell r="J2109" t="str">
            <v>USA</v>
          </cell>
          <cell r="K2109">
            <v>35521</v>
          </cell>
        </row>
        <row r="2110">
          <cell r="A2110" t="str">
            <v>In service</v>
          </cell>
          <cell r="B2110" t="str">
            <v>Gulfstream Aerospace Gulfstream IV</v>
          </cell>
          <cell r="C2110" t="str">
            <v>SP</v>
          </cell>
          <cell r="D2110">
            <v>1999</v>
          </cell>
          <cell r="E2110" t="str">
            <v>Skyaire Inc</v>
          </cell>
          <cell r="F2110">
            <v>3</v>
          </cell>
          <cell r="G2110">
            <v>36279</v>
          </cell>
          <cell r="H2110" t="str">
            <v>SP</v>
          </cell>
          <cell r="I2110" t="str">
            <v>North America</v>
          </cell>
          <cell r="J2110" t="str">
            <v>USA</v>
          </cell>
          <cell r="K2110">
            <v>35976</v>
          </cell>
        </row>
        <row r="2111">
          <cell r="A2111" t="str">
            <v>In service</v>
          </cell>
          <cell r="B2111" t="str">
            <v>Gulfstream Aerospace Gulfstream IV</v>
          </cell>
          <cell r="C2111" t="str">
            <v>SP</v>
          </cell>
          <cell r="D2111">
            <v>1999</v>
          </cell>
          <cell r="E2111" t="str">
            <v>TAG Aviation USA</v>
          </cell>
          <cell r="F2111">
            <v>3</v>
          </cell>
          <cell r="G2111">
            <v>36631</v>
          </cell>
          <cell r="H2111" t="str">
            <v>SP</v>
          </cell>
          <cell r="I2111" t="str">
            <v>North America</v>
          </cell>
          <cell r="J2111" t="str">
            <v>USA</v>
          </cell>
          <cell r="K2111">
            <v>35976</v>
          </cell>
        </row>
        <row r="2112">
          <cell r="A2112" t="str">
            <v>In service</v>
          </cell>
          <cell r="B2112" t="str">
            <v>Gulfstream Aerospace Gulfstream IV</v>
          </cell>
          <cell r="C2112" t="str">
            <v>SP</v>
          </cell>
          <cell r="D2112">
            <v>1999</v>
          </cell>
          <cell r="E2112" t="str">
            <v>Netjets International</v>
          </cell>
          <cell r="F2112">
            <v>3</v>
          </cell>
          <cell r="G2112">
            <v>36452</v>
          </cell>
          <cell r="H2112" t="str">
            <v>SP</v>
          </cell>
          <cell r="I2112" t="str">
            <v>North America</v>
          </cell>
          <cell r="J2112" t="str">
            <v>USA</v>
          </cell>
          <cell r="K2112">
            <v>35521</v>
          </cell>
        </row>
        <row r="2113">
          <cell r="A2113" t="str">
            <v>In service</v>
          </cell>
          <cell r="B2113" t="str">
            <v>Gulfstream Aerospace Gulfstream IV</v>
          </cell>
          <cell r="C2113" t="str">
            <v>SP</v>
          </cell>
          <cell r="D2113">
            <v>1999</v>
          </cell>
          <cell r="E2113" t="str">
            <v>Platinum Equity LLC</v>
          </cell>
          <cell r="F2113">
            <v>3</v>
          </cell>
          <cell r="G2113">
            <v>36314</v>
          </cell>
          <cell r="H2113" t="str">
            <v>SP</v>
          </cell>
          <cell r="I2113" t="str">
            <v>North America</v>
          </cell>
          <cell r="J2113" t="str">
            <v>USA</v>
          </cell>
          <cell r="K2113">
            <v>35611</v>
          </cell>
        </row>
        <row r="2114">
          <cell r="A2114" t="str">
            <v>In service</v>
          </cell>
          <cell r="B2114" t="str">
            <v>Gulfstream Aerospace Gulfstream IV</v>
          </cell>
          <cell r="C2114" t="str">
            <v>SP</v>
          </cell>
          <cell r="D2114">
            <v>2000</v>
          </cell>
          <cell r="E2114" t="str">
            <v>The Proctor &amp; Gamble Co</v>
          </cell>
          <cell r="F2114">
            <v>2</v>
          </cell>
          <cell r="G2114">
            <v>36648</v>
          </cell>
          <cell r="H2114" t="str">
            <v>SP</v>
          </cell>
          <cell r="I2114" t="str">
            <v>North America</v>
          </cell>
          <cell r="J2114" t="str">
            <v>USA</v>
          </cell>
          <cell r="K2114">
            <v>36341</v>
          </cell>
        </row>
        <row r="2115">
          <cell r="A2115" t="str">
            <v>In service</v>
          </cell>
          <cell r="B2115" t="str">
            <v>Gulfstream Aerospace Gulfstream IV</v>
          </cell>
          <cell r="C2115" t="str">
            <v>SP</v>
          </cell>
          <cell r="D2115">
            <v>1999</v>
          </cell>
          <cell r="E2115" t="str">
            <v>KB Home</v>
          </cell>
          <cell r="F2115">
            <v>3</v>
          </cell>
          <cell r="G2115">
            <v>36524</v>
          </cell>
          <cell r="H2115" t="str">
            <v>SP</v>
          </cell>
          <cell r="I2115" t="str">
            <v>North America</v>
          </cell>
          <cell r="J2115" t="str">
            <v>USA</v>
          </cell>
          <cell r="K2115">
            <v>36045</v>
          </cell>
        </row>
        <row r="2116">
          <cell r="A2116" t="str">
            <v>In service</v>
          </cell>
          <cell r="B2116" t="str">
            <v>Gulfstream Aerospace Gulfstream IV</v>
          </cell>
          <cell r="C2116" t="str">
            <v>SP</v>
          </cell>
          <cell r="D2116">
            <v>1999</v>
          </cell>
          <cell r="E2116" t="str">
            <v>New World Jet Corp</v>
          </cell>
          <cell r="F2116">
            <v>3</v>
          </cell>
          <cell r="G2116">
            <v>36572</v>
          </cell>
          <cell r="H2116" t="str">
            <v>SP</v>
          </cell>
          <cell r="I2116" t="str">
            <v>North America</v>
          </cell>
          <cell r="J2116" t="str">
            <v>USA</v>
          </cell>
          <cell r="K2116">
            <v>35976</v>
          </cell>
        </row>
        <row r="2117">
          <cell r="A2117" t="str">
            <v>In service</v>
          </cell>
          <cell r="B2117" t="str">
            <v>Gulfstream Aerospace Gulfstream IV</v>
          </cell>
          <cell r="C2117" t="str">
            <v>SP</v>
          </cell>
          <cell r="D2117">
            <v>1999</v>
          </cell>
          <cell r="E2117" t="str">
            <v>Netjets International</v>
          </cell>
          <cell r="F2117">
            <v>3</v>
          </cell>
          <cell r="G2117">
            <v>36486</v>
          </cell>
          <cell r="H2117" t="str">
            <v>SP</v>
          </cell>
          <cell r="I2117" t="str">
            <v>North America</v>
          </cell>
          <cell r="J2117" t="str">
            <v>USA</v>
          </cell>
          <cell r="K2117">
            <v>35521</v>
          </cell>
        </row>
        <row r="2118">
          <cell r="A2118" t="str">
            <v>In service</v>
          </cell>
          <cell r="B2118" t="str">
            <v>Gulfstream Aerospace Gulfstream IV</v>
          </cell>
          <cell r="C2118" t="str">
            <v>SP</v>
          </cell>
          <cell r="D2118">
            <v>2000</v>
          </cell>
          <cell r="E2118" t="str">
            <v>The Proctor &amp; Gamble Co</v>
          </cell>
          <cell r="F2118">
            <v>2</v>
          </cell>
          <cell r="G2118">
            <v>36668</v>
          </cell>
          <cell r="H2118" t="str">
            <v>SP</v>
          </cell>
          <cell r="I2118" t="str">
            <v>North America</v>
          </cell>
          <cell r="J2118" t="str">
            <v>USA</v>
          </cell>
          <cell r="K2118">
            <v>36341</v>
          </cell>
        </row>
        <row r="2119">
          <cell r="A2119" t="str">
            <v>In service</v>
          </cell>
          <cell r="B2119" t="str">
            <v>Gulfstream Aerospace Gulfstream IV</v>
          </cell>
          <cell r="C2119" t="str">
            <v>SP</v>
          </cell>
          <cell r="D2119">
            <v>1999</v>
          </cell>
          <cell r="E2119" t="str">
            <v>Penske Jet Inc</v>
          </cell>
          <cell r="F2119">
            <v>3</v>
          </cell>
          <cell r="G2119">
            <v>36430</v>
          </cell>
          <cell r="H2119" t="str">
            <v>SP</v>
          </cell>
          <cell r="I2119" t="str">
            <v>North America</v>
          </cell>
          <cell r="J2119" t="str">
            <v>USA</v>
          </cell>
          <cell r="K2119">
            <v>35976</v>
          </cell>
        </row>
        <row r="2120">
          <cell r="A2120" t="str">
            <v>In service</v>
          </cell>
          <cell r="B2120" t="str">
            <v>Gulfstream Aerospace Gulfstream IV</v>
          </cell>
          <cell r="C2120" t="str">
            <v>SP</v>
          </cell>
          <cell r="D2120">
            <v>1999</v>
          </cell>
          <cell r="E2120" t="str">
            <v>Netjets International</v>
          </cell>
          <cell r="F2120">
            <v>3</v>
          </cell>
          <cell r="G2120">
            <v>36516</v>
          </cell>
          <cell r="H2120" t="str">
            <v>SP</v>
          </cell>
          <cell r="I2120" t="str">
            <v>North America</v>
          </cell>
          <cell r="J2120" t="str">
            <v>USA</v>
          </cell>
          <cell r="K2120">
            <v>35521</v>
          </cell>
        </row>
        <row r="2121">
          <cell r="A2121" t="str">
            <v>In service</v>
          </cell>
          <cell r="B2121" t="str">
            <v>Gulfstream Aerospace Gulfstream IV</v>
          </cell>
          <cell r="C2121" t="str">
            <v>SP</v>
          </cell>
          <cell r="D2121">
            <v>2000</v>
          </cell>
          <cell r="E2121" t="str">
            <v>Palmarina Investments</v>
          </cell>
          <cell r="F2121">
            <v>2</v>
          </cell>
          <cell r="G2121">
            <v>36790</v>
          </cell>
          <cell r="H2121" t="str">
            <v>SP</v>
          </cell>
          <cell r="I2121" t="str">
            <v>Latin America and Caribbean</v>
          </cell>
          <cell r="J2121" t="str">
            <v>Bermuda</v>
          </cell>
          <cell r="K2121">
            <v>35976</v>
          </cell>
        </row>
        <row r="2122">
          <cell r="A2122" t="str">
            <v>In service</v>
          </cell>
          <cell r="B2122" t="str">
            <v>Gulfstream Aerospace Gulfstream IV</v>
          </cell>
          <cell r="C2122" t="str">
            <v>SP</v>
          </cell>
          <cell r="D2122">
            <v>2000</v>
          </cell>
          <cell r="E2122" t="str">
            <v>Friedkin Aviation/Gulf States Toyota/Friedkin Co</v>
          </cell>
          <cell r="F2122">
            <v>2</v>
          </cell>
          <cell r="G2122">
            <v>36630</v>
          </cell>
          <cell r="H2122" t="str">
            <v>SP</v>
          </cell>
          <cell r="I2122" t="str">
            <v>North America</v>
          </cell>
          <cell r="J2122" t="str">
            <v>USA</v>
          </cell>
          <cell r="K2122">
            <v>35611</v>
          </cell>
        </row>
        <row r="2123">
          <cell r="A2123" t="str">
            <v>In service</v>
          </cell>
          <cell r="B2123" t="str">
            <v>Gulfstream Aerospace Gulfstream IV</v>
          </cell>
          <cell r="C2123" t="str">
            <v>SP</v>
          </cell>
          <cell r="D2123">
            <v>2000</v>
          </cell>
          <cell r="E2123" t="str">
            <v>Honeywell Inc</v>
          </cell>
          <cell r="F2123">
            <v>2</v>
          </cell>
          <cell r="G2123">
            <v>36594</v>
          </cell>
          <cell r="H2123" t="str">
            <v>SP</v>
          </cell>
          <cell r="I2123" t="str">
            <v>North America</v>
          </cell>
          <cell r="J2123" t="str">
            <v>USA</v>
          </cell>
          <cell r="K2123">
            <v>35976</v>
          </cell>
        </row>
        <row r="2124">
          <cell r="A2124" t="str">
            <v>In service</v>
          </cell>
          <cell r="B2124" t="str">
            <v>Gulfstream Aerospace Gulfstream IV</v>
          </cell>
          <cell r="C2124" t="str">
            <v>SP</v>
          </cell>
          <cell r="D2124">
            <v>2000</v>
          </cell>
          <cell r="E2124" t="str">
            <v>Apache Aviation Inc</v>
          </cell>
          <cell r="F2124">
            <v>2</v>
          </cell>
          <cell r="G2124">
            <v>36707</v>
          </cell>
          <cell r="H2124" t="str">
            <v>SP</v>
          </cell>
          <cell r="I2124" t="str">
            <v>North America</v>
          </cell>
          <cell r="J2124" t="str">
            <v>USA</v>
          </cell>
          <cell r="K2124">
            <v>36341</v>
          </cell>
        </row>
        <row r="2125">
          <cell r="A2125" t="str">
            <v>In service</v>
          </cell>
          <cell r="B2125" t="str">
            <v>Gulfstream Aerospace Gulfstream IV</v>
          </cell>
          <cell r="C2125" t="str">
            <v>SP</v>
          </cell>
          <cell r="D2125">
            <v>1999</v>
          </cell>
          <cell r="E2125" t="str">
            <v>Vivendi Universal</v>
          </cell>
          <cell r="F2125">
            <v>3</v>
          </cell>
          <cell r="G2125">
            <v>36433</v>
          </cell>
          <cell r="H2125" t="str">
            <v>SP</v>
          </cell>
          <cell r="I2125" t="str">
            <v>North America</v>
          </cell>
          <cell r="J2125" t="str">
            <v>USA</v>
          </cell>
          <cell r="K2125">
            <v>35976</v>
          </cell>
        </row>
        <row r="2126">
          <cell r="A2126" t="str">
            <v>In service</v>
          </cell>
          <cell r="B2126" t="str">
            <v>Gulfstream Aerospace Gulfstream IV</v>
          </cell>
          <cell r="C2126" t="str">
            <v>SP</v>
          </cell>
          <cell r="D2126">
            <v>2000</v>
          </cell>
          <cell r="E2126" t="str">
            <v>Netjets International</v>
          </cell>
          <cell r="F2126">
            <v>2</v>
          </cell>
          <cell r="G2126">
            <v>36580</v>
          </cell>
          <cell r="H2126" t="str">
            <v>SP</v>
          </cell>
          <cell r="I2126" t="str">
            <v>North America</v>
          </cell>
          <cell r="J2126" t="str">
            <v>USA</v>
          </cell>
          <cell r="K2126">
            <v>35521</v>
          </cell>
        </row>
        <row r="2127">
          <cell r="A2127" t="str">
            <v>In service</v>
          </cell>
          <cell r="B2127" t="str">
            <v>Gulfstream Aerospace Gulfstream IV</v>
          </cell>
          <cell r="C2127" t="str">
            <v>SP</v>
          </cell>
          <cell r="D2127">
            <v>2000</v>
          </cell>
          <cell r="E2127" t="str">
            <v>John M Moores</v>
          </cell>
          <cell r="F2127">
            <v>2</v>
          </cell>
          <cell r="G2127">
            <v>36649</v>
          </cell>
          <cell r="H2127" t="str">
            <v>SP</v>
          </cell>
          <cell r="I2127" t="str">
            <v>North America</v>
          </cell>
          <cell r="J2127" t="str">
            <v>USA</v>
          </cell>
          <cell r="K2127">
            <v>35976</v>
          </cell>
        </row>
        <row r="2128">
          <cell r="A2128" t="str">
            <v>In service</v>
          </cell>
          <cell r="B2128" t="str">
            <v>Gulfstream Aerospace Gulfstream IV</v>
          </cell>
          <cell r="C2128" t="str">
            <v>SP</v>
          </cell>
          <cell r="D2128">
            <v>1999</v>
          </cell>
          <cell r="E2128" t="str">
            <v>Gulfstream Aerospace Corp</v>
          </cell>
          <cell r="F2128">
            <v>3</v>
          </cell>
          <cell r="G2128">
            <v>36705</v>
          </cell>
          <cell r="H2128" t="str">
            <v>SP</v>
          </cell>
          <cell r="I2128" t="str">
            <v>North America</v>
          </cell>
          <cell r="J2128" t="str">
            <v>USA</v>
          </cell>
          <cell r="K2128">
            <v>35976</v>
          </cell>
        </row>
        <row r="2129">
          <cell r="A2129" t="str">
            <v>In service</v>
          </cell>
          <cell r="B2129" t="str">
            <v>Gulfstream Aerospace Gulfstream IV</v>
          </cell>
          <cell r="C2129" t="str">
            <v>SP</v>
          </cell>
          <cell r="D2129">
            <v>2000</v>
          </cell>
          <cell r="E2129" t="str">
            <v>Netjets International</v>
          </cell>
          <cell r="F2129">
            <v>2</v>
          </cell>
          <cell r="G2129">
            <v>36613</v>
          </cell>
          <cell r="H2129" t="str">
            <v>SP</v>
          </cell>
          <cell r="I2129" t="str">
            <v>North America</v>
          </cell>
          <cell r="J2129" t="str">
            <v>USA</v>
          </cell>
          <cell r="K2129">
            <v>36045</v>
          </cell>
        </row>
        <row r="2130">
          <cell r="A2130" t="str">
            <v>In service</v>
          </cell>
          <cell r="B2130" t="str">
            <v>Gulfstream Aerospace Gulfstream IV</v>
          </cell>
          <cell r="C2130" t="str">
            <v>SP</v>
          </cell>
          <cell r="D2130">
            <v>2000</v>
          </cell>
          <cell r="E2130" t="str">
            <v>United Air Group LLC</v>
          </cell>
          <cell r="F2130">
            <v>2</v>
          </cell>
          <cell r="G2130">
            <v>36706</v>
          </cell>
          <cell r="H2130" t="str">
            <v>SP</v>
          </cell>
          <cell r="I2130" t="str">
            <v>North America</v>
          </cell>
          <cell r="J2130" t="str">
            <v>USA</v>
          </cell>
          <cell r="K2130">
            <v>36341</v>
          </cell>
        </row>
        <row r="2131">
          <cell r="A2131" t="str">
            <v>In service</v>
          </cell>
          <cell r="B2131" t="str">
            <v>Gulfstream Aerospace Gulfstream IV</v>
          </cell>
          <cell r="C2131" t="str">
            <v>SP</v>
          </cell>
          <cell r="D2131">
            <v>2000</v>
          </cell>
          <cell r="E2131" t="str">
            <v>PPG Industries Inc</v>
          </cell>
          <cell r="F2131">
            <v>2</v>
          </cell>
          <cell r="G2131">
            <v>36706</v>
          </cell>
          <cell r="H2131" t="str">
            <v>SP</v>
          </cell>
          <cell r="I2131" t="str">
            <v>North America</v>
          </cell>
          <cell r="J2131" t="str">
            <v>USA</v>
          </cell>
          <cell r="K2131">
            <v>36341</v>
          </cell>
        </row>
        <row r="2132">
          <cell r="A2132" t="str">
            <v>In service</v>
          </cell>
          <cell r="B2132" t="str">
            <v>Gulfstream Aerospace Gulfstream IV</v>
          </cell>
          <cell r="C2132" t="str">
            <v>SP</v>
          </cell>
          <cell r="D2132">
            <v>2000</v>
          </cell>
          <cell r="E2132" t="str">
            <v>Netjets International</v>
          </cell>
          <cell r="F2132">
            <v>2</v>
          </cell>
          <cell r="G2132">
            <v>36644</v>
          </cell>
          <cell r="H2132" t="str">
            <v>SP</v>
          </cell>
          <cell r="I2132" t="str">
            <v>North America</v>
          </cell>
          <cell r="J2132" t="str">
            <v>USA</v>
          </cell>
          <cell r="K2132">
            <v>36045</v>
          </cell>
        </row>
        <row r="2133">
          <cell r="A2133" t="str">
            <v>In service</v>
          </cell>
          <cell r="B2133" t="str">
            <v>Gulfstream Aerospace Gulfstream IV</v>
          </cell>
          <cell r="C2133" t="str">
            <v>SP</v>
          </cell>
          <cell r="D2133">
            <v>1999</v>
          </cell>
          <cell r="E2133" t="str">
            <v>Frontliner Inc</v>
          </cell>
          <cell r="F2133">
            <v>3</v>
          </cell>
          <cell r="G2133">
            <v>36497</v>
          </cell>
          <cell r="H2133" t="str">
            <v>SP</v>
          </cell>
          <cell r="I2133" t="str">
            <v>North America</v>
          </cell>
          <cell r="J2133" t="str">
            <v>USA</v>
          </cell>
          <cell r="K2133">
            <v>35976</v>
          </cell>
        </row>
        <row r="2134">
          <cell r="A2134" t="str">
            <v>In service</v>
          </cell>
          <cell r="B2134" t="str">
            <v>Gulfstream Aerospace Gulfstream IV</v>
          </cell>
          <cell r="C2134" t="str">
            <v>SP</v>
          </cell>
          <cell r="D2134">
            <v>2000</v>
          </cell>
          <cell r="E2134" t="str">
            <v>High Tech Aircraft Corp</v>
          </cell>
          <cell r="F2134">
            <v>2</v>
          </cell>
          <cell r="G2134">
            <v>36825</v>
          </cell>
          <cell r="H2134" t="str">
            <v>SP</v>
          </cell>
          <cell r="I2134" t="str">
            <v>North America</v>
          </cell>
          <cell r="J2134" t="str">
            <v>USA</v>
          </cell>
          <cell r="K2134">
            <v>36341</v>
          </cell>
        </row>
        <row r="2135">
          <cell r="A2135" t="str">
            <v>In service</v>
          </cell>
          <cell r="B2135" t="str">
            <v>Gulfstream Aerospace Gulfstream IV</v>
          </cell>
          <cell r="C2135" t="str">
            <v>SP</v>
          </cell>
          <cell r="D2135">
            <v>2000</v>
          </cell>
          <cell r="E2135" t="str">
            <v>Harmony Management Inc</v>
          </cell>
          <cell r="F2135">
            <v>2</v>
          </cell>
          <cell r="G2135">
            <v>36768</v>
          </cell>
          <cell r="H2135" t="str">
            <v>SP</v>
          </cell>
          <cell r="I2135" t="str">
            <v>North America</v>
          </cell>
          <cell r="J2135" t="str">
            <v>USA</v>
          </cell>
          <cell r="K2135">
            <v>36341</v>
          </cell>
        </row>
        <row r="2136">
          <cell r="A2136" t="str">
            <v>In service</v>
          </cell>
          <cell r="B2136" t="str">
            <v>Gulfstream Aerospace Gulfstream IV</v>
          </cell>
          <cell r="C2136" t="str">
            <v>SP</v>
          </cell>
          <cell r="D2136">
            <v>2000</v>
          </cell>
          <cell r="E2136" t="str">
            <v>Alcoa Aircraft Operations</v>
          </cell>
          <cell r="F2136">
            <v>2</v>
          </cell>
          <cell r="G2136">
            <v>36769</v>
          </cell>
          <cell r="H2136" t="str">
            <v>SP</v>
          </cell>
          <cell r="I2136" t="str">
            <v>North America</v>
          </cell>
          <cell r="J2136" t="str">
            <v>USA</v>
          </cell>
          <cell r="K2136">
            <v>36341</v>
          </cell>
        </row>
        <row r="2137">
          <cell r="A2137" t="str">
            <v>In service</v>
          </cell>
          <cell r="B2137" t="str">
            <v>Gulfstream Aerospace Gulfstream IV</v>
          </cell>
          <cell r="C2137" t="str">
            <v>SP</v>
          </cell>
          <cell r="D2137">
            <v>2000</v>
          </cell>
          <cell r="E2137" t="str">
            <v>S &amp; H Automotive Products Inc</v>
          </cell>
          <cell r="F2137">
            <v>2</v>
          </cell>
          <cell r="G2137">
            <v>36725</v>
          </cell>
          <cell r="H2137" t="str">
            <v>SP</v>
          </cell>
          <cell r="I2137" t="str">
            <v>North America</v>
          </cell>
          <cell r="J2137" t="str">
            <v>USA</v>
          </cell>
          <cell r="K2137">
            <v>36341</v>
          </cell>
        </row>
        <row r="2138">
          <cell r="A2138" t="str">
            <v>In service</v>
          </cell>
          <cell r="B2138" t="str">
            <v>Gulfstream Aerospace Gulfstream IV</v>
          </cell>
          <cell r="C2138" t="str">
            <v>SP</v>
          </cell>
          <cell r="D2138">
            <v>2000</v>
          </cell>
          <cell r="E2138" t="str">
            <v>Netjets International</v>
          </cell>
          <cell r="F2138">
            <v>2</v>
          </cell>
          <cell r="G2138">
            <v>36699</v>
          </cell>
          <cell r="H2138" t="str">
            <v>SP</v>
          </cell>
          <cell r="I2138" t="str">
            <v>North America</v>
          </cell>
          <cell r="J2138" t="str">
            <v>USA</v>
          </cell>
          <cell r="K2138">
            <v>36045</v>
          </cell>
        </row>
        <row r="2139">
          <cell r="A2139" t="str">
            <v>In service</v>
          </cell>
          <cell r="B2139" t="str">
            <v>Gulfstream Aerospace Gulfstream IV</v>
          </cell>
          <cell r="C2139" t="str">
            <v>SP</v>
          </cell>
          <cell r="D2139">
            <v>2000</v>
          </cell>
          <cell r="E2139" t="str">
            <v>Rim Air LLC</v>
          </cell>
          <cell r="F2139">
            <v>2</v>
          </cell>
          <cell r="G2139">
            <v>36843</v>
          </cell>
          <cell r="H2139" t="str">
            <v>SP</v>
          </cell>
          <cell r="I2139" t="str">
            <v>North America</v>
          </cell>
          <cell r="J2139" t="str">
            <v>USA</v>
          </cell>
          <cell r="K2139">
            <v>36045</v>
          </cell>
        </row>
        <row r="2140">
          <cell r="A2140" t="str">
            <v>In service</v>
          </cell>
          <cell r="B2140" t="str">
            <v>Gulfstream Aerospace Gulfstream IV</v>
          </cell>
          <cell r="C2140" t="str">
            <v>SP</v>
          </cell>
          <cell r="D2140">
            <v>2000</v>
          </cell>
          <cell r="E2140" t="str">
            <v>Masanori Honjo &amp; Teruko Honjo</v>
          </cell>
          <cell r="F2140">
            <v>2</v>
          </cell>
          <cell r="G2140">
            <v>36797</v>
          </cell>
          <cell r="H2140" t="str">
            <v>SP</v>
          </cell>
          <cell r="I2140" t="str">
            <v>North America</v>
          </cell>
          <cell r="J2140" t="str">
            <v>USA</v>
          </cell>
          <cell r="K2140">
            <v>36045</v>
          </cell>
        </row>
        <row r="2141">
          <cell r="A2141" t="str">
            <v>In service</v>
          </cell>
          <cell r="B2141" t="str">
            <v>Gulfstream Aerospace Gulfstream IV</v>
          </cell>
          <cell r="C2141" t="str">
            <v>SP</v>
          </cell>
          <cell r="D2141">
            <v>2000</v>
          </cell>
          <cell r="E2141" t="str">
            <v>Limited Service Corp</v>
          </cell>
          <cell r="F2141">
            <v>2</v>
          </cell>
          <cell r="G2141">
            <v>36889</v>
          </cell>
          <cell r="H2141" t="str">
            <v>SP</v>
          </cell>
          <cell r="I2141" t="str">
            <v>North America</v>
          </cell>
          <cell r="J2141" t="str">
            <v>USA</v>
          </cell>
          <cell r="K2141">
            <v>36341</v>
          </cell>
        </row>
        <row r="2142">
          <cell r="A2142" t="str">
            <v>In service</v>
          </cell>
          <cell r="B2142" t="str">
            <v>Gulfstream Aerospace Gulfstream IV</v>
          </cell>
          <cell r="C2142" t="str">
            <v>SP</v>
          </cell>
          <cell r="D2142">
            <v>2000</v>
          </cell>
          <cell r="E2142" t="str">
            <v>Altria Corporate Services Inc</v>
          </cell>
          <cell r="F2142">
            <v>2</v>
          </cell>
          <cell r="G2142">
            <v>36790</v>
          </cell>
          <cell r="H2142" t="str">
            <v>SP</v>
          </cell>
          <cell r="I2142" t="str">
            <v>North America</v>
          </cell>
          <cell r="J2142" t="str">
            <v>USA</v>
          </cell>
          <cell r="K2142">
            <v>36045</v>
          </cell>
        </row>
        <row r="2143">
          <cell r="A2143" t="str">
            <v>In service</v>
          </cell>
          <cell r="B2143" t="str">
            <v>Gulfstream Aerospace Gulfstream IV</v>
          </cell>
          <cell r="C2143" t="str">
            <v>SP</v>
          </cell>
          <cell r="D2143">
            <v>2000</v>
          </cell>
          <cell r="E2143" t="str">
            <v>Netjets International</v>
          </cell>
          <cell r="F2143">
            <v>2</v>
          </cell>
          <cell r="G2143">
            <v>36733</v>
          </cell>
          <cell r="H2143" t="str">
            <v>SP</v>
          </cell>
          <cell r="I2143" t="str">
            <v>North America</v>
          </cell>
          <cell r="J2143" t="str">
            <v>USA</v>
          </cell>
          <cell r="K2143">
            <v>36087</v>
          </cell>
        </row>
        <row r="2144">
          <cell r="A2144" t="str">
            <v>In service</v>
          </cell>
          <cell r="B2144" t="str">
            <v>Gulfstream Aerospace Gulfstream IV</v>
          </cell>
          <cell r="C2144" t="str">
            <v>SP</v>
          </cell>
          <cell r="D2144">
            <v>2000</v>
          </cell>
          <cell r="E2144" t="str">
            <v>H&amp;S Air I LLC</v>
          </cell>
          <cell r="F2144">
            <v>2</v>
          </cell>
          <cell r="G2144">
            <v>36880</v>
          </cell>
          <cell r="H2144" t="str">
            <v>SP</v>
          </cell>
          <cell r="I2144" t="str">
            <v>North America</v>
          </cell>
          <cell r="J2144" t="str">
            <v>USA</v>
          </cell>
          <cell r="K2144">
            <v>35976</v>
          </cell>
        </row>
        <row r="2145">
          <cell r="A2145" t="str">
            <v>In service</v>
          </cell>
          <cell r="B2145" t="str">
            <v>Gulfstream Aerospace Gulfstream IV</v>
          </cell>
          <cell r="C2145" t="str">
            <v>SP</v>
          </cell>
          <cell r="D2145">
            <v>2000</v>
          </cell>
          <cell r="E2145" t="str">
            <v>Bright Flight Inc</v>
          </cell>
          <cell r="F2145">
            <v>2</v>
          </cell>
          <cell r="G2145">
            <v>36829</v>
          </cell>
          <cell r="H2145" t="str">
            <v>SP</v>
          </cell>
          <cell r="I2145" t="str">
            <v>North America</v>
          </cell>
          <cell r="J2145" t="str">
            <v>USA</v>
          </cell>
          <cell r="K2145">
            <v>35976</v>
          </cell>
        </row>
        <row r="2146">
          <cell r="A2146" t="str">
            <v>In service</v>
          </cell>
          <cell r="B2146" t="str">
            <v>Gulfstream Aerospace Gulfstream IV</v>
          </cell>
          <cell r="C2146" t="str">
            <v>SP</v>
          </cell>
          <cell r="D2146">
            <v>2000</v>
          </cell>
          <cell r="E2146" t="str">
            <v>New World Jet Corp</v>
          </cell>
          <cell r="F2146">
            <v>2</v>
          </cell>
          <cell r="G2146">
            <v>36840</v>
          </cell>
          <cell r="H2146" t="str">
            <v>SP</v>
          </cell>
          <cell r="I2146" t="str">
            <v>North America</v>
          </cell>
          <cell r="J2146" t="str">
            <v>USA</v>
          </cell>
          <cell r="K2146">
            <v>35976</v>
          </cell>
        </row>
        <row r="2147">
          <cell r="A2147" t="str">
            <v>In service</v>
          </cell>
          <cell r="B2147" t="str">
            <v>Gulfstream Aerospace Gulfstream IV</v>
          </cell>
          <cell r="C2147" t="str">
            <v>SP</v>
          </cell>
          <cell r="D2147">
            <v>2000</v>
          </cell>
          <cell r="E2147" t="str">
            <v>Netjets International</v>
          </cell>
          <cell r="F2147">
            <v>2</v>
          </cell>
          <cell r="G2147">
            <v>36839</v>
          </cell>
          <cell r="H2147" t="str">
            <v>SP</v>
          </cell>
          <cell r="I2147" t="str">
            <v>North America</v>
          </cell>
          <cell r="J2147" t="str">
            <v>USA</v>
          </cell>
          <cell r="K2147">
            <v>36087</v>
          </cell>
        </row>
        <row r="2148">
          <cell r="A2148" t="str">
            <v>In service</v>
          </cell>
          <cell r="B2148" t="str">
            <v>Gulfstream Aerospace Gulfstream IV</v>
          </cell>
          <cell r="C2148" t="str">
            <v>SP</v>
          </cell>
          <cell r="D2148">
            <v>2000</v>
          </cell>
          <cell r="E2148" t="str">
            <v>Netjets International</v>
          </cell>
          <cell r="F2148">
            <v>2</v>
          </cell>
          <cell r="G2148">
            <v>36780</v>
          </cell>
          <cell r="H2148" t="str">
            <v>SP</v>
          </cell>
          <cell r="I2148" t="str">
            <v>North America</v>
          </cell>
          <cell r="J2148" t="str">
            <v>USA</v>
          </cell>
          <cell r="K2148">
            <v>36087</v>
          </cell>
        </row>
        <row r="2149">
          <cell r="A2149" t="str">
            <v>In service</v>
          </cell>
          <cell r="B2149" t="str">
            <v>Gulfstream Aerospace Gulfstream IV</v>
          </cell>
          <cell r="C2149" t="str">
            <v>SP</v>
          </cell>
          <cell r="D2149">
            <v>2000</v>
          </cell>
          <cell r="E2149" t="str">
            <v>EMC Corp</v>
          </cell>
          <cell r="F2149">
            <v>2</v>
          </cell>
          <cell r="G2149">
            <v>36838</v>
          </cell>
          <cell r="H2149" t="str">
            <v>SP</v>
          </cell>
          <cell r="I2149" t="str">
            <v>North America</v>
          </cell>
          <cell r="J2149" t="str">
            <v>USA</v>
          </cell>
          <cell r="K2149">
            <v>36341</v>
          </cell>
        </row>
        <row r="2150">
          <cell r="A2150" t="str">
            <v>In service</v>
          </cell>
          <cell r="B2150" t="str">
            <v>Gulfstream Aerospace Gulfstream IV</v>
          </cell>
          <cell r="C2150" t="str">
            <v>SP</v>
          </cell>
          <cell r="D2150">
            <v>2000</v>
          </cell>
          <cell r="E2150" t="str">
            <v>Taubman Enterprises Inc</v>
          </cell>
          <cell r="F2150">
            <v>2</v>
          </cell>
          <cell r="G2150">
            <v>36864</v>
          </cell>
          <cell r="H2150" t="str">
            <v>SP</v>
          </cell>
          <cell r="I2150" t="str">
            <v>North America</v>
          </cell>
          <cell r="J2150" t="str">
            <v>USA</v>
          </cell>
          <cell r="K2150">
            <v>35976</v>
          </cell>
        </row>
        <row r="2151">
          <cell r="A2151" t="str">
            <v>In service</v>
          </cell>
          <cell r="B2151" t="str">
            <v>Gulfstream Aerospace Gulfstream IV</v>
          </cell>
          <cell r="C2151" t="str">
            <v>SP</v>
          </cell>
          <cell r="D2151">
            <v>2000</v>
          </cell>
          <cell r="E2151" t="str">
            <v>Snowbird Aviation LLC</v>
          </cell>
          <cell r="F2151">
            <v>2</v>
          </cell>
          <cell r="G2151">
            <v>36669</v>
          </cell>
          <cell r="H2151" t="str">
            <v>SP</v>
          </cell>
          <cell r="I2151" t="str">
            <v>North America</v>
          </cell>
          <cell r="J2151" t="str">
            <v>USA</v>
          </cell>
          <cell r="K2151">
            <v>36341</v>
          </cell>
        </row>
        <row r="2152">
          <cell r="A2152" t="str">
            <v>In service</v>
          </cell>
          <cell r="B2152" t="str">
            <v>Gulfstream Aerospace Gulfstream IV</v>
          </cell>
          <cell r="C2152" t="str">
            <v>SP</v>
          </cell>
          <cell r="D2152">
            <v>2000</v>
          </cell>
          <cell r="E2152" t="str">
            <v>Limited Service Corp</v>
          </cell>
          <cell r="F2152">
            <v>2</v>
          </cell>
          <cell r="G2152">
            <v>36914</v>
          </cell>
          <cell r="H2152" t="str">
            <v>SP</v>
          </cell>
          <cell r="I2152" t="str">
            <v>North America</v>
          </cell>
          <cell r="J2152" t="str">
            <v>USA</v>
          </cell>
          <cell r="K2152">
            <v>36341</v>
          </cell>
        </row>
        <row r="2153">
          <cell r="A2153" t="str">
            <v>In service</v>
          </cell>
          <cell r="B2153" t="str">
            <v>Gulfstream Aerospace Gulfstream IV</v>
          </cell>
          <cell r="C2153" t="str">
            <v>SP</v>
          </cell>
          <cell r="D2153">
            <v>2000</v>
          </cell>
          <cell r="E2153" t="str">
            <v>Government of Uganda</v>
          </cell>
          <cell r="F2153">
            <v>2</v>
          </cell>
          <cell r="G2153">
            <v>36878</v>
          </cell>
          <cell r="H2153" t="str">
            <v>SP</v>
          </cell>
          <cell r="I2153" t="str">
            <v>Africa</v>
          </cell>
          <cell r="J2153" t="str">
            <v>Uganda</v>
          </cell>
          <cell r="K2153">
            <v>36707</v>
          </cell>
        </row>
        <row r="2154">
          <cell r="A2154" t="str">
            <v>In service</v>
          </cell>
          <cell r="B2154" t="str">
            <v>Gulfstream Aerospace Gulfstream IV</v>
          </cell>
          <cell r="C2154" t="str">
            <v>SP</v>
          </cell>
          <cell r="D2154">
            <v>2000</v>
          </cell>
          <cell r="E2154" t="str">
            <v>N811BP Inc</v>
          </cell>
          <cell r="F2154">
            <v>2</v>
          </cell>
          <cell r="G2154">
            <v>36962</v>
          </cell>
          <cell r="H2154" t="str">
            <v>SP</v>
          </cell>
          <cell r="I2154" t="str">
            <v>North America</v>
          </cell>
          <cell r="J2154" t="str">
            <v>USA</v>
          </cell>
          <cell r="K2154">
            <v>36341</v>
          </cell>
        </row>
        <row r="2155">
          <cell r="A2155" t="str">
            <v>In service</v>
          </cell>
          <cell r="B2155" t="str">
            <v>Gulfstream Aerospace Gulfstream IV</v>
          </cell>
          <cell r="C2155" t="str">
            <v>SP</v>
          </cell>
          <cell r="D2155">
            <v>2000</v>
          </cell>
          <cell r="E2155" t="str">
            <v>General Electric Credit Corp of Tennessee</v>
          </cell>
          <cell r="F2155">
            <v>2</v>
          </cell>
          <cell r="G2155">
            <v>36881</v>
          </cell>
          <cell r="H2155" t="str">
            <v>SP</v>
          </cell>
          <cell r="I2155" t="str">
            <v>North America</v>
          </cell>
          <cell r="J2155" t="str">
            <v>USA</v>
          </cell>
          <cell r="K2155">
            <v>36341</v>
          </cell>
        </row>
        <row r="2156">
          <cell r="A2156" t="str">
            <v>In service</v>
          </cell>
          <cell r="B2156" t="str">
            <v>Gulfstream Aerospace Gulfstream IV</v>
          </cell>
          <cell r="C2156" t="str">
            <v>SP</v>
          </cell>
          <cell r="D2156">
            <v>2000</v>
          </cell>
          <cell r="E2156" t="str">
            <v>W A Reaud</v>
          </cell>
          <cell r="F2156">
            <v>2</v>
          </cell>
          <cell r="G2156">
            <v>36922</v>
          </cell>
          <cell r="H2156" t="str">
            <v>SP</v>
          </cell>
          <cell r="I2156" t="str">
            <v>North America</v>
          </cell>
          <cell r="J2156" t="str">
            <v>USA</v>
          </cell>
          <cell r="K2156">
            <v>36707</v>
          </cell>
        </row>
        <row r="2157">
          <cell r="A2157" t="str">
            <v>In service</v>
          </cell>
          <cell r="B2157" t="str">
            <v>Gulfstream Aerospace Gulfstream IV</v>
          </cell>
          <cell r="C2157" t="str">
            <v>SP</v>
          </cell>
          <cell r="D2157">
            <v>2000</v>
          </cell>
          <cell r="E2157" t="str">
            <v>Chiricahua Properties LLC</v>
          </cell>
          <cell r="F2157">
            <v>2</v>
          </cell>
          <cell r="G2157">
            <v>36732</v>
          </cell>
          <cell r="H2157" t="str">
            <v>SP</v>
          </cell>
          <cell r="I2157" t="str">
            <v>North America</v>
          </cell>
          <cell r="J2157" t="str">
            <v>USA</v>
          </cell>
          <cell r="K2157">
            <v>36045</v>
          </cell>
        </row>
        <row r="2158">
          <cell r="A2158" t="str">
            <v>In service</v>
          </cell>
          <cell r="B2158" t="str">
            <v>Gulfstream Aerospace Gulfstream IV</v>
          </cell>
          <cell r="C2158" t="str">
            <v>SP</v>
          </cell>
          <cell r="D2158">
            <v>2001</v>
          </cell>
          <cell r="E2158" t="str">
            <v>Government of Algeria</v>
          </cell>
          <cell r="F2158">
            <v>1</v>
          </cell>
          <cell r="G2158">
            <v>37001</v>
          </cell>
          <cell r="H2158" t="str">
            <v>SP</v>
          </cell>
          <cell r="I2158" t="str">
            <v>Africa</v>
          </cell>
          <cell r="J2158" t="str">
            <v>Algeria</v>
          </cell>
          <cell r="K2158">
            <v>36341</v>
          </cell>
        </row>
        <row r="2159">
          <cell r="A2159" t="str">
            <v>In service</v>
          </cell>
          <cell r="B2159" t="str">
            <v>Gulfstream Aerospace Gulfstream IV</v>
          </cell>
          <cell r="C2159" t="str">
            <v>SP</v>
          </cell>
          <cell r="D2159">
            <v>2001</v>
          </cell>
          <cell r="E2159" t="str">
            <v>Jetclub AG</v>
          </cell>
          <cell r="F2159">
            <v>1</v>
          </cell>
          <cell r="G2159">
            <v>36987</v>
          </cell>
          <cell r="H2159" t="str">
            <v>SP</v>
          </cell>
          <cell r="I2159" t="str">
            <v>Europe</v>
          </cell>
          <cell r="J2159" t="str">
            <v>Switzerland</v>
          </cell>
          <cell r="K2159">
            <v>36707</v>
          </cell>
        </row>
        <row r="2160">
          <cell r="A2160" t="str">
            <v>In service</v>
          </cell>
          <cell r="B2160" t="str">
            <v>Gulfstream Aerospace Gulfstream IV</v>
          </cell>
          <cell r="C2160" t="str">
            <v>SP</v>
          </cell>
          <cell r="D2160">
            <v>2000</v>
          </cell>
          <cell r="E2160" t="str">
            <v>JJSA Aviation LLC</v>
          </cell>
          <cell r="F2160">
            <v>2</v>
          </cell>
          <cell r="G2160">
            <v>36763</v>
          </cell>
          <cell r="H2160" t="str">
            <v>SP</v>
          </cell>
          <cell r="I2160" t="str">
            <v>North America</v>
          </cell>
          <cell r="J2160" t="str">
            <v>USA</v>
          </cell>
          <cell r="K2160">
            <v>35976</v>
          </cell>
        </row>
        <row r="2161">
          <cell r="A2161" t="str">
            <v>In service</v>
          </cell>
          <cell r="B2161" t="str">
            <v>Gulfstream Aerospace Gulfstream IV</v>
          </cell>
          <cell r="C2161" t="str">
            <v>SP</v>
          </cell>
          <cell r="D2161">
            <v>2001</v>
          </cell>
          <cell r="E2161" t="str">
            <v>Government of Algeria</v>
          </cell>
          <cell r="F2161">
            <v>1</v>
          </cell>
          <cell r="G2161">
            <v>37132</v>
          </cell>
          <cell r="H2161" t="str">
            <v>SP</v>
          </cell>
          <cell r="I2161" t="str">
            <v>Africa</v>
          </cell>
          <cell r="J2161" t="str">
            <v>Algeria</v>
          </cell>
          <cell r="K2161">
            <v>36341</v>
          </cell>
        </row>
        <row r="2162">
          <cell r="A2162" t="str">
            <v>In service</v>
          </cell>
          <cell r="B2162" t="str">
            <v>Gulfstream Aerospace Gulfstream IV</v>
          </cell>
          <cell r="C2162" t="str">
            <v>SP</v>
          </cell>
          <cell r="D2162">
            <v>2000</v>
          </cell>
          <cell r="E2162" t="str">
            <v>GEP I LLC</v>
          </cell>
          <cell r="F2162">
            <v>2</v>
          </cell>
          <cell r="G2162">
            <v>37021</v>
          </cell>
          <cell r="H2162" t="str">
            <v>SP</v>
          </cell>
          <cell r="I2162" t="str">
            <v>North America</v>
          </cell>
          <cell r="J2162" t="str">
            <v>USA</v>
          </cell>
          <cell r="K2162">
            <v>36341</v>
          </cell>
        </row>
        <row r="2163">
          <cell r="A2163" t="str">
            <v>In service</v>
          </cell>
          <cell r="B2163" t="str">
            <v>Gulfstream Aerospace Gulfstream IV</v>
          </cell>
          <cell r="C2163" t="str">
            <v>SP</v>
          </cell>
          <cell r="D2163">
            <v>2000</v>
          </cell>
          <cell r="E2163" t="str">
            <v>Airstar Corp</v>
          </cell>
          <cell r="F2163">
            <v>2</v>
          </cell>
          <cell r="G2163">
            <v>36798</v>
          </cell>
          <cell r="H2163" t="str">
            <v>SP</v>
          </cell>
          <cell r="I2163" t="str">
            <v>North America</v>
          </cell>
          <cell r="J2163" t="str">
            <v>USA</v>
          </cell>
          <cell r="K2163">
            <v>36341</v>
          </cell>
        </row>
        <row r="2164">
          <cell r="A2164" t="str">
            <v>In service</v>
          </cell>
          <cell r="B2164" t="str">
            <v>Gulfstream Aerospace Gulfstream IV</v>
          </cell>
          <cell r="C2164" t="str">
            <v>SP</v>
          </cell>
          <cell r="D2164">
            <v>2000</v>
          </cell>
          <cell r="E2164" t="str">
            <v>Government of Egypt</v>
          </cell>
          <cell r="F2164">
            <v>2</v>
          </cell>
          <cell r="G2164">
            <v>37081</v>
          </cell>
          <cell r="H2164" t="str">
            <v>SP</v>
          </cell>
          <cell r="I2164" t="str">
            <v>Africa</v>
          </cell>
          <cell r="J2164" t="str">
            <v>Egypt</v>
          </cell>
          <cell r="K2164">
            <v>36564</v>
          </cell>
        </row>
        <row r="2165">
          <cell r="A2165" t="str">
            <v>In service</v>
          </cell>
          <cell r="B2165" t="str">
            <v>Gulfstream Aerospace Gulfstream IV</v>
          </cell>
          <cell r="C2165" t="str">
            <v>SP</v>
          </cell>
          <cell r="D2165">
            <v>2001</v>
          </cell>
          <cell r="E2165" t="str">
            <v>Aeromundo Ejecutivo SA de CV</v>
          </cell>
          <cell r="F2165">
            <v>1</v>
          </cell>
          <cell r="G2165">
            <v>37061</v>
          </cell>
          <cell r="H2165" t="str">
            <v>SP</v>
          </cell>
          <cell r="I2165" t="str">
            <v>Latin America and Caribbean</v>
          </cell>
          <cell r="J2165" t="str">
            <v>Mexico</v>
          </cell>
          <cell r="K2165">
            <v>36341</v>
          </cell>
        </row>
        <row r="2166">
          <cell r="A2166" t="str">
            <v>In service</v>
          </cell>
          <cell r="B2166" t="str">
            <v>Gulfstream Aerospace Gulfstream IV</v>
          </cell>
          <cell r="C2166" t="str">
            <v>SP</v>
          </cell>
          <cell r="D2166">
            <v>2000</v>
          </cell>
          <cell r="E2166" t="str">
            <v>Netjets International</v>
          </cell>
          <cell r="F2166">
            <v>2</v>
          </cell>
          <cell r="G2166">
            <v>36980</v>
          </cell>
          <cell r="H2166" t="str">
            <v>SP</v>
          </cell>
          <cell r="I2166" t="str">
            <v>North America</v>
          </cell>
          <cell r="J2166" t="str">
            <v>USA</v>
          </cell>
          <cell r="K2166">
            <v>36087</v>
          </cell>
        </row>
        <row r="2167">
          <cell r="A2167" t="str">
            <v>In service</v>
          </cell>
          <cell r="B2167" t="str">
            <v>Gulfstream Aerospace Gulfstream IV</v>
          </cell>
          <cell r="C2167" t="str">
            <v>SP</v>
          </cell>
          <cell r="D2167">
            <v>2001</v>
          </cell>
          <cell r="E2167" t="str">
            <v>Government of Egypt</v>
          </cell>
          <cell r="F2167">
            <v>1</v>
          </cell>
          <cell r="G2167">
            <v>37198</v>
          </cell>
          <cell r="H2167" t="str">
            <v>SP</v>
          </cell>
          <cell r="I2167" t="str">
            <v>Africa</v>
          </cell>
          <cell r="J2167" t="str">
            <v>Egypt</v>
          </cell>
          <cell r="K2167">
            <v>36564</v>
          </cell>
        </row>
        <row r="2168">
          <cell r="A2168" t="str">
            <v>In service</v>
          </cell>
          <cell r="B2168" t="str">
            <v>Gulfstream Aerospace Gulfstream IV</v>
          </cell>
          <cell r="C2168" t="str">
            <v>SP</v>
          </cell>
          <cell r="D2168">
            <v>2000</v>
          </cell>
          <cell r="E2168" t="str">
            <v>ConocoPhillips Co</v>
          </cell>
          <cell r="F2168">
            <v>2</v>
          </cell>
          <cell r="G2168">
            <v>36860</v>
          </cell>
          <cell r="H2168" t="str">
            <v>SP</v>
          </cell>
          <cell r="I2168" t="str">
            <v>North America</v>
          </cell>
          <cell r="J2168" t="str">
            <v>USA</v>
          </cell>
          <cell r="K2168">
            <v>36341</v>
          </cell>
        </row>
        <row r="2169">
          <cell r="A2169" t="str">
            <v>In service</v>
          </cell>
          <cell r="B2169" t="str">
            <v>Gulfstream Aerospace Gulfstream IV</v>
          </cell>
          <cell r="C2169" t="str">
            <v>SP</v>
          </cell>
          <cell r="D2169">
            <v>2001</v>
          </cell>
          <cell r="E2169" t="str">
            <v>Kohler &amp; Co</v>
          </cell>
          <cell r="F2169">
            <v>1</v>
          </cell>
          <cell r="G2169">
            <v>37067</v>
          </cell>
          <cell r="H2169" t="str">
            <v>SP</v>
          </cell>
          <cell r="I2169" t="str">
            <v>North America</v>
          </cell>
          <cell r="J2169" t="str">
            <v>USA</v>
          </cell>
          <cell r="K2169">
            <v>36341</v>
          </cell>
        </row>
        <row r="2170">
          <cell r="A2170" t="str">
            <v>In service</v>
          </cell>
          <cell r="B2170" t="str">
            <v>Gulfstream Aerospace Gulfstream IV</v>
          </cell>
          <cell r="C2170" t="str">
            <v>SP</v>
          </cell>
          <cell r="D2170">
            <v>2001</v>
          </cell>
          <cell r="E2170" t="str">
            <v>Bandwidth LLC</v>
          </cell>
          <cell r="F2170">
            <v>1</v>
          </cell>
          <cell r="G2170">
            <v>37071</v>
          </cell>
          <cell r="H2170" t="str">
            <v>SP</v>
          </cell>
          <cell r="I2170" t="str">
            <v>North America</v>
          </cell>
          <cell r="J2170" t="str">
            <v>USA</v>
          </cell>
          <cell r="K2170">
            <v>36341</v>
          </cell>
        </row>
        <row r="2171">
          <cell r="A2171" t="str">
            <v>In service</v>
          </cell>
          <cell r="B2171" t="str">
            <v>Gulfstream Aerospace Gulfstream IV</v>
          </cell>
          <cell r="C2171" t="str">
            <v>SP</v>
          </cell>
          <cell r="D2171">
            <v>2000</v>
          </cell>
          <cell r="E2171" t="str">
            <v>Cape Clear LLC</v>
          </cell>
          <cell r="F2171">
            <v>2</v>
          </cell>
          <cell r="G2171">
            <v>36867</v>
          </cell>
          <cell r="H2171" t="str">
            <v>SP</v>
          </cell>
          <cell r="I2171" t="str">
            <v>North America</v>
          </cell>
          <cell r="J2171" t="str">
            <v>USA</v>
          </cell>
          <cell r="K2171">
            <v>36341</v>
          </cell>
        </row>
        <row r="2172">
          <cell r="A2172" t="str">
            <v>In service</v>
          </cell>
          <cell r="B2172" t="str">
            <v>Gulfstream Aerospace Gulfstream IV</v>
          </cell>
          <cell r="C2172" t="str">
            <v>SP</v>
          </cell>
          <cell r="D2172">
            <v>2001</v>
          </cell>
          <cell r="E2172" t="str">
            <v>Hagadone Aviation LLC</v>
          </cell>
          <cell r="F2172">
            <v>1</v>
          </cell>
          <cell r="G2172">
            <v>37098</v>
          </cell>
          <cell r="H2172" t="str">
            <v>SP</v>
          </cell>
          <cell r="I2172" t="str">
            <v>North America</v>
          </cell>
          <cell r="J2172" t="str">
            <v>USA</v>
          </cell>
          <cell r="K2172">
            <v>36341</v>
          </cell>
        </row>
        <row r="2173">
          <cell r="A2173" t="str">
            <v>In service</v>
          </cell>
          <cell r="B2173" t="str">
            <v>Gulfstream Aerospace Gulfstream IV</v>
          </cell>
          <cell r="C2173" t="str">
            <v>SP</v>
          </cell>
          <cell r="D2173">
            <v>2001</v>
          </cell>
          <cell r="E2173" t="str">
            <v>Flightworks</v>
          </cell>
          <cell r="F2173">
            <v>1</v>
          </cell>
          <cell r="G2173">
            <v>37168</v>
          </cell>
          <cell r="H2173" t="str">
            <v>SP</v>
          </cell>
          <cell r="I2173" t="str">
            <v>North America</v>
          </cell>
          <cell r="J2173" t="str">
            <v>USA</v>
          </cell>
          <cell r="K2173">
            <v>36341</v>
          </cell>
        </row>
        <row r="2174">
          <cell r="A2174" t="str">
            <v>In service</v>
          </cell>
          <cell r="B2174" t="str">
            <v>Gulfstream Aerospace Gulfstream IV</v>
          </cell>
          <cell r="C2174" t="str">
            <v>SP</v>
          </cell>
          <cell r="D2174">
            <v>2000</v>
          </cell>
          <cell r="E2174" t="str">
            <v>ConocoPhillips Co</v>
          </cell>
          <cell r="F2174">
            <v>2</v>
          </cell>
          <cell r="G2174">
            <v>36887</v>
          </cell>
          <cell r="H2174" t="str">
            <v>SP</v>
          </cell>
          <cell r="I2174" t="str">
            <v>North America</v>
          </cell>
          <cell r="J2174" t="str">
            <v>USA</v>
          </cell>
          <cell r="K2174">
            <v>36341</v>
          </cell>
        </row>
        <row r="2175">
          <cell r="A2175" t="str">
            <v>In service</v>
          </cell>
          <cell r="B2175" t="str">
            <v>Gulfstream Aerospace Gulfstream IV</v>
          </cell>
          <cell r="C2175" t="str">
            <v>SP</v>
          </cell>
          <cell r="D2175">
            <v>2001</v>
          </cell>
          <cell r="E2175" t="str">
            <v>Guidant Corp</v>
          </cell>
          <cell r="F2175">
            <v>1</v>
          </cell>
          <cell r="G2175">
            <v>37203</v>
          </cell>
          <cell r="H2175" t="str">
            <v>SP</v>
          </cell>
          <cell r="I2175" t="str">
            <v>North America</v>
          </cell>
          <cell r="J2175" t="str">
            <v>USA</v>
          </cell>
          <cell r="K2175">
            <v>36809</v>
          </cell>
        </row>
        <row r="2176">
          <cell r="A2176" t="str">
            <v>In service</v>
          </cell>
          <cell r="B2176" t="str">
            <v>Gulfstream Aerospace Gulfstream IV</v>
          </cell>
          <cell r="C2176" t="str">
            <v>SP</v>
          </cell>
          <cell r="D2176">
            <v>2001</v>
          </cell>
          <cell r="E2176" t="str">
            <v>Netjets International</v>
          </cell>
          <cell r="F2176">
            <v>1</v>
          </cell>
          <cell r="G2176">
            <v>37069</v>
          </cell>
          <cell r="H2176" t="str">
            <v>SP</v>
          </cell>
          <cell r="I2176" t="str">
            <v>North America</v>
          </cell>
          <cell r="J2176" t="str">
            <v>USA</v>
          </cell>
          <cell r="K2176">
            <v>36087</v>
          </cell>
        </row>
        <row r="2177">
          <cell r="A2177" t="str">
            <v>In service</v>
          </cell>
          <cell r="B2177" t="str">
            <v>Gulfstream Aerospace Gulfstream IV</v>
          </cell>
          <cell r="C2177" t="str">
            <v>SP</v>
          </cell>
          <cell r="D2177">
            <v>2001</v>
          </cell>
          <cell r="E2177" t="str">
            <v>NAS Financial Corp</v>
          </cell>
          <cell r="F2177">
            <v>1</v>
          </cell>
          <cell r="G2177">
            <v>37246</v>
          </cell>
          <cell r="H2177" t="str">
            <v>SP</v>
          </cell>
          <cell r="I2177" t="str">
            <v>North America</v>
          </cell>
          <cell r="J2177" t="str">
            <v>USA</v>
          </cell>
          <cell r="K2177">
            <v>36341</v>
          </cell>
        </row>
        <row r="2178">
          <cell r="A2178" t="str">
            <v>In service</v>
          </cell>
          <cell r="B2178" t="str">
            <v>Gulfstream Aerospace Gulfstream IV</v>
          </cell>
          <cell r="C2178" t="str">
            <v>SP</v>
          </cell>
          <cell r="D2178">
            <v>2001</v>
          </cell>
          <cell r="E2178" t="str">
            <v>Cape Clear LLC</v>
          </cell>
          <cell r="F2178">
            <v>1</v>
          </cell>
          <cell r="G2178">
            <v>36931</v>
          </cell>
          <cell r="H2178" t="str">
            <v>SP</v>
          </cell>
          <cell r="I2178" t="str">
            <v>North America</v>
          </cell>
          <cell r="J2178" t="str">
            <v>USA</v>
          </cell>
          <cell r="K2178">
            <v>36707</v>
          </cell>
        </row>
        <row r="2179">
          <cell r="A2179" t="str">
            <v>In service</v>
          </cell>
          <cell r="B2179" t="str">
            <v>Gulfstream Aerospace Gulfstream IV</v>
          </cell>
          <cell r="C2179" t="str">
            <v>SP</v>
          </cell>
          <cell r="D2179">
            <v>2001</v>
          </cell>
          <cell r="E2179" t="str">
            <v>E I DuPont de Nemours &amp; Co</v>
          </cell>
          <cell r="F2179">
            <v>1</v>
          </cell>
          <cell r="G2179">
            <v>37204</v>
          </cell>
          <cell r="H2179" t="str">
            <v>SP</v>
          </cell>
          <cell r="I2179" t="str">
            <v>North America</v>
          </cell>
          <cell r="J2179" t="str">
            <v>USA</v>
          </cell>
          <cell r="K2179">
            <v>36341</v>
          </cell>
        </row>
        <row r="2180">
          <cell r="A2180" t="str">
            <v>In service</v>
          </cell>
          <cell r="B2180" t="str">
            <v>Gulfstream Aerospace Gulfstream IV</v>
          </cell>
          <cell r="C2180" t="str">
            <v>SP</v>
          </cell>
          <cell r="D2180">
            <v>2001</v>
          </cell>
          <cell r="E2180" t="str">
            <v>Consortium of AOL Time Warner Companies</v>
          </cell>
          <cell r="F2180">
            <v>1</v>
          </cell>
          <cell r="G2180">
            <v>37162</v>
          </cell>
          <cell r="H2180" t="str">
            <v>SP</v>
          </cell>
          <cell r="I2180" t="str">
            <v>North America</v>
          </cell>
          <cell r="J2180" t="str">
            <v>USA</v>
          </cell>
          <cell r="K2180">
            <v>36341</v>
          </cell>
        </row>
        <row r="2181">
          <cell r="A2181" t="str">
            <v>In service</v>
          </cell>
          <cell r="B2181" t="str">
            <v>Gulfstream Aerospace Gulfstream IV</v>
          </cell>
          <cell r="C2181" t="str">
            <v>SP</v>
          </cell>
          <cell r="D2181">
            <v>2001</v>
          </cell>
          <cell r="E2181" t="str">
            <v>L&amp;L II Leasing LLC</v>
          </cell>
          <cell r="F2181">
            <v>1</v>
          </cell>
          <cell r="G2181">
            <v>37183</v>
          </cell>
          <cell r="H2181" t="str">
            <v>SP</v>
          </cell>
          <cell r="I2181" t="str">
            <v>North America</v>
          </cell>
          <cell r="J2181" t="str">
            <v>USA</v>
          </cell>
          <cell r="K2181">
            <v>36341</v>
          </cell>
        </row>
        <row r="2182">
          <cell r="A2182" t="str">
            <v>In service</v>
          </cell>
          <cell r="B2182" t="str">
            <v>Gulfstream Aerospace Gulfstream IV</v>
          </cell>
          <cell r="C2182" t="str">
            <v>SP</v>
          </cell>
          <cell r="D2182">
            <v>2001</v>
          </cell>
          <cell r="E2182" t="str">
            <v>L&amp;L Leasing III LLC</v>
          </cell>
          <cell r="F2182">
            <v>1</v>
          </cell>
          <cell r="G2182">
            <v>37246</v>
          </cell>
          <cell r="H2182" t="str">
            <v>SP</v>
          </cell>
          <cell r="I2182" t="str">
            <v>North America</v>
          </cell>
          <cell r="J2182" t="str">
            <v>USA</v>
          </cell>
          <cell r="K2182">
            <v>36341</v>
          </cell>
        </row>
        <row r="2183">
          <cell r="A2183" t="str">
            <v>In service</v>
          </cell>
          <cell r="B2183" t="str">
            <v>Gulfstream Aerospace Gulfstream IV</v>
          </cell>
          <cell r="C2183" t="str">
            <v>SP</v>
          </cell>
          <cell r="D2183">
            <v>2001</v>
          </cell>
          <cell r="E2183" t="str">
            <v>HGA LLC</v>
          </cell>
          <cell r="F2183">
            <v>1</v>
          </cell>
          <cell r="G2183">
            <v>37183</v>
          </cell>
          <cell r="H2183" t="str">
            <v>SP</v>
          </cell>
          <cell r="I2183" t="str">
            <v>North America</v>
          </cell>
          <cell r="J2183" t="str">
            <v>USA</v>
          </cell>
          <cell r="K2183">
            <v>36341</v>
          </cell>
        </row>
        <row r="2184">
          <cell r="A2184" t="str">
            <v>In service</v>
          </cell>
          <cell r="B2184" t="str">
            <v>Gulfstream Aerospace Gulfstream IV</v>
          </cell>
          <cell r="C2184" t="str">
            <v>SP</v>
          </cell>
          <cell r="D2184">
            <v>2001</v>
          </cell>
          <cell r="E2184" t="str">
            <v>Central Management Services LLC</v>
          </cell>
          <cell r="F2184">
            <v>1</v>
          </cell>
          <cell r="G2184">
            <v>37224</v>
          </cell>
          <cell r="H2184" t="str">
            <v>SP</v>
          </cell>
          <cell r="I2184" t="str">
            <v>North America</v>
          </cell>
          <cell r="J2184" t="str">
            <v>USA</v>
          </cell>
          <cell r="K2184">
            <v>36341</v>
          </cell>
        </row>
        <row r="2185">
          <cell r="A2185" t="str">
            <v>In service</v>
          </cell>
          <cell r="B2185" t="str">
            <v>Gulfstream Aerospace Gulfstream IV</v>
          </cell>
          <cell r="C2185" t="str">
            <v>SP</v>
          </cell>
          <cell r="D2185">
            <v>2001</v>
          </cell>
          <cell r="E2185" t="str">
            <v>Netjets International</v>
          </cell>
          <cell r="F2185">
            <v>1</v>
          </cell>
          <cell r="G2185">
            <v>37162</v>
          </cell>
          <cell r="H2185" t="str">
            <v>SP</v>
          </cell>
          <cell r="I2185" t="str">
            <v>North America</v>
          </cell>
          <cell r="J2185" t="str">
            <v>USA</v>
          </cell>
          <cell r="K2185">
            <v>36087</v>
          </cell>
        </row>
        <row r="2186">
          <cell r="A2186" t="str">
            <v>In service</v>
          </cell>
          <cell r="B2186" t="str">
            <v>Gulfstream Aerospace Gulfstream IV</v>
          </cell>
          <cell r="C2186" t="str">
            <v>SP</v>
          </cell>
          <cell r="D2186">
            <v>2001</v>
          </cell>
          <cell r="E2186" t="str">
            <v>MBNA America Bank NA</v>
          </cell>
          <cell r="F2186">
            <v>1</v>
          </cell>
          <cell r="G2186">
            <v>37245</v>
          </cell>
          <cell r="H2186" t="str">
            <v>SP</v>
          </cell>
          <cell r="I2186" t="str">
            <v>North America</v>
          </cell>
          <cell r="J2186" t="str">
            <v>USA</v>
          </cell>
          <cell r="K2186">
            <v>36341</v>
          </cell>
        </row>
        <row r="2187">
          <cell r="A2187" t="str">
            <v>In service</v>
          </cell>
          <cell r="B2187" t="str">
            <v>Gulfstream Aerospace Gulfstream IV</v>
          </cell>
          <cell r="C2187" t="str">
            <v>SP</v>
          </cell>
          <cell r="D2187">
            <v>2001</v>
          </cell>
          <cell r="E2187" t="str">
            <v>ConocoPhillips Co</v>
          </cell>
          <cell r="F2187">
            <v>1</v>
          </cell>
          <cell r="G2187">
            <v>37022</v>
          </cell>
          <cell r="H2187" t="str">
            <v>SP</v>
          </cell>
          <cell r="I2187" t="str">
            <v>North America</v>
          </cell>
          <cell r="J2187" t="str">
            <v>USA</v>
          </cell>
          <cell r="K2187">
            <v>36341</v>
          </cell>
        </row>
        <row r="2188">
          <cell r="A2188" t="str">
            <v>In service</v>
          </cell>
          <cell r="B2188" t="str">
            <v>Gulfstream Aerospace Gulfstream IV</v>
          </cell>
          <cell r="C2188" t="str">
            <v>SP</v>
          </cell>
          <cell r="D2188">
            <v>2001</v>
          </cell>
          <cell r="E2188" t="str">
            <v>Executive Fliteways Inc</v>
          </cell>
          <cell r="F2188">
            <v>1</v>
          </cell>
          <cell r="G2188">
            <v>37253</v>
          </cell>
          <cell r="H2188" t="str">
            <v>SP</v>
          </cell>
          <cell r="I2188" t="str">
            <v>North America</v>
          </cell>
          <cell r="J2188" t="str">
            <v>USA</v>
          </cell>
          <cell r="K2188">
            <v>36341</v>
          </cell>
        </row>
        <row r="2189">
          <cell r="A2189" t="str">
            <v>In service</v>
          </cell>
          <cell r="B2189" t="str">
            <v>Gulfstream Aerospace Gulfstream IV</v>
          </cell>
          <cell r="C2189" t="str">
            <v>SP</v>
          </cell>
          <cell r="D2189">
            <v>2001</v>
          </cell>
          <cell r="E2189" t="str">
            <v>Limited Service Corp</v>
          </cell>
          <cell r="F2189">
            <v>1</v>
          </cell>
          <cell r="G2189">
            <v>37315</v>
          </cell>
          <cell r="H2189" t="str">
            <v>SP</v>
          </cell>
          <cell r="I2189" t="str">
            <v>North America</v>
          </cell>
          <cell r="J2189" t="str">
            <v>USA</v>
          </cell>
          <cell r="K2189">
            <v>36341</v>
          </cell>
        </row>
        <row r="2190">
          <cell r="A2190" t="str">
            <v>In service</v>
          </cell>
          <cell r="B2190" t="str">
            <v>Gulfstream Aerospace Gulfstream IV</v>
          </cell>
          <cell r="C2190" t="str">
            <v>SP</v>
          </cell>
          <cell r="D2190">
            <v>2001</v>
          </cell>
          <cell r="E2190" t="str">
            <v>ConocoPhillips Co</v>
          </cell>
          <cell r="F2190">
            <v>1</v>
          </cell>
          <cell r="G2190">
            <v>37046</v>
          </cell>
          <cell r="H2190" t="str">
            <v>SP</v>
          </cell>
          <cell r="I2190" t="str">
            <v>North America</v>
          </cell>
          <cell r="J2190" t="str">
            <v>USA</v>
          </cell>
          <cell r="K2190">
            <v>36707</v>
          </cell>
        </row>
        <row r="2191">
          <cell r="A2191" t="str">
            <v>In service</v>
          </cell>
          <cell r="B2191" t="str">
            <v>Gulfstream Aerospace Gulfstream IV</v>
          </cell>
          <cell r="C2191" t="str">
            <v>SP</v>
          </cell>
          <cell r="D2191">
            <v>2001</v>
          </cell>
          <cell r="E2191" t="str">
            <v>Cordelia Scaife May</v>
          </cell>
          <cell r="F2191">
            <v>1</v>
          </cell>
          <cell r="G2191">
            <v>37253</v>
          </cell>
          <cell r="H2191" t="str">
            <v>SP</v>
          </cell>
          <cell r="I2191" t="str">
            <v>North America</v>
          </cell>
          <cell r="J2191" t="str">
            <v>USA</v>
          </cell>
          <cell r="K2191">
            <v>36341</v>
          </cell>
        </row>
        <row r="2192">
          <cell r="A2192" t="str">
            <v>In service</v>
          </cell>
          <cell r="B2192" t="str">
            <v>Gulfstream Aerospace Gulfstream IV</v>
          </cell>
          <cell r="C2192" t="str">
            <v>SP</v>
          </cell>
          <cell r="D2192">
            <v>2001</v>
          </cell>
          <cell r="E2192" t="str">
            <v>Altria Corporate Services Inc</v>
          </cell>
          <cell r="F2192">
            <v>1</v>
          </cell>
          <cell r="G2192">
            <v>37287</v>
          </cell>
          <cell r="H2192" t="str">
            <v>SP</v>
          </cell>
          <cell r="I2192" t="str">
            <v>North America</v>
          </cell>
          <cell r="J2192" t="str">
            <v>USA</v>
          </cell>
          <cell r="K2192">
            <v>36341</v>
          </cell>
        </row>
        <row r="2193">
          <cell r="A2193" t="str">
            <v>In service</v>
          </cell>
          <cell r="B2193" t="str">
            <v>Gulfstream Aerospace Gulfstream IV</v>
          </cell>
          <cell r="C2193" t="str">
            <v>SP</v>
          </cell>
          <cell r="D2193">
            <v>2001</v>
          </cell>
          <cell r="E2193" t="str">
            <v>Quad/Air Inc</v>
          </cell>
          <cell r="F2193">
            <v>1</v>
          </cell>
          <cell r="G2193">
            <v>37246</v>
          </cell>
          <cell r="H2193" t="str">
            <v>SP</v>
          </cell>
          <cell r="I2193" t="str">
            <v>North America</v>
          </cell>
          <cell r="J2193" t="str">
            <v>USA</v>
          </cell>
          <cell r="K2193">
            <v>36341</v>
          </cell>
        </row>
        <row r="2194">
          <cell r="A2194" t="str">
            <v>In service</v>
          </cell>
          <cell r="B2194" t="str">
            <v>Gulfstream Aerospace Gulfstream IV</v>
          </cell>
          <cell r="C2194" t="str">
            <v>SP</v>
          </cell>
          <cell r="D2194">
            <v>2001</v>
          </cell>
          <cell r="E2194" t="str">
            <v>Netjets International</v>
          </cell>
          <cell r="F2194">
            <v>1</v>
          </cell>
          <cell r="G2194">
            <v>37271</v>
          </cell>
          <cell r="H2194" t="str">
            <v>SP</v>
          </cell>
          <cell r="I2194" t="str">
            <v>North America</v>
          </cell>
          <cell r="J2194" t="str">
            <v>USA</v>
          </cell>
          <cell r="K2194">
            <v>36087</v>
          </cell>
        </row>
        <row r="2195">
          <cell r="A2195" t="str">
            <v>In service</v>
          </cell>
          <cell r="B2195" t="str">
            <v>Gulfstream Aerospace Gulfstream IV</v>
          </cell>
          <cell r="C2195" t="str">
            <v>SP</v>
          </cell>
          <cell r="D2195">
            <v>2001</v>
          </cell>
          <cell r="E2195" t="str">
            <v>AMFM Air Services Inc</v>
          </cell>
          <cell r="F2195">
            <v>1</v>
          </cell>
          <cell r="G2195">
            <v>37258</v>
          </cell>
          <cell r="H2195" t="str">
            <v>SP</v>
          </cell>
          <cell r="I2195" t="str">
            <v>North America</v>
          </cell>
          <cell r="J2195" t="str">
            <v>USA</v>
          </cell>
          <cell r="K2195">
            <v>36341</v>
          </cell>
        </row>
        <row r="2196">
          <cell r="A2196" t="str">
            <v>In service</v>
          </cell>
          <cell r="B2196" t="str">
            <v>Gulfstream Aerospace Gulfstream IV</v>
          </cell>
          <cell r="C2196" t="str">
            <v>SP</v>
          </cell>
          <cell r="D2196">
            <v>2001</v>
          </cell>
          <cell r="E2196" t="str">
            <v>AMB Group LLC</v>
          </cell>
          <cell r="F2196">
            <v>1</v>
          </cell>
          <cell r="G2196">
            <v>37253</v>
          </cell>
          <cell r="H2196" t="str">
            <v>SP</v>
          </cell>
          <cell r="I2196" t="str">
            <v>North America</v>
          </cell>
          <cell r="J2196" t="str">
            <v>USA</v>
          </cell>
          <cell r="K2196">
            <v>36341</v>
          </cell>
        </row>
        <row r="2197">
          <cell r="A2197" t="str">
            <v>In service</v>
          </cell>
          <cell r="B2197" t="str">
            <v>Gulfstream Aerospace Gulfstream IV</v>
          </cell>
          <cell r="C2197" t="str">
            <v>SP</v>
          </cell>
          <cell r="D2197">
            <v>2001</v>
          </cell>
          <cell r="E2197" t="str">
            <v>Skybird Aviation</v>
          </cell>
          <cell r="F2197">
            <v>1</v>
          </cell>
          <cell r="G2197">
            <v>37344</v>
          </cell>
          <cell r="H2197" t="str">
            <v>SP</v>
          </cell>
          <cell r="I2197" t="str">
            <v>North America</v>
          </cell>
          <cell r="J2197" t="str">
            <v>USA</v>
          </cell>
          <cell r="K2197">
            <v>36341</v>
          </cell>
        </row>
        <row r="2198">
          <cell r="A2198" t="str">
            <v>In service</v>
          </cell>
          <cell r="B2198" t="str">
            <v>Gulfstream Aerospace Gulfstream IV</v>
          </cell>
          <cell r="C2198" t="str">
            <v>SP</v>
          </cell>
          <cell r="D2198">
            <v>2002</v>
          </cell>
          <cell r="E2198" t="str">
            <v>The Kirchman Corp</v>
          </cell>
          <cell r="F2198">
            <v>0</v>
          </cell>
          <cell r="G2198">
            <v>37314</v>
          </cell>
          <cell r="H2198" t="str">
            <v>SP</v>
          </cell>
          <cell r="I2198" t="str">
            <v>North America</v>
          </cell>
          <cell r="J2198" t="str">
            <v>USA</v>
          </cell>
          <cell r="K2198">
            <v>36341</v>
          </cell>
        </row>
        <row r="2199">
          <cell r="A2199" t="str">
            <v>In service</v>
          </cell>
          <cell r="B2199" t="str">
            <v>Gulfstream Aerospace Gulfstream IV</v>
          </cell>
          <cell r="C2199" t="str">
            <v>SP</v>
          </cell>
          <cell r="D2199">
            <v>2002</v>
          </cell>
          <cell r="E2199" t="str">
            <v>Windrose Air Jetcharter</v>
          </cell>
          <cell r="F2199">
            <v>0</v>
          </cell>
          <cell r="G2199">
            <v>37407</v>
          </cell>
          <cell r="H2199" t="str">
            <v>SP</v>
          </cell>
          <cell r="I2199" t="str">
            <v>Europe</v>
          </cell>
          <cell r="J2199" t="str">
            <v>Germany</v>
          </cell>
          <cell r="K2199">
            <v>36341</v>
          </cell>
        </row>
        <row r="2200">
          <cell r="A2200" t="str">
            <v>In service</v>
          </cell>
          <cell r="B2200" t="str">
            <v>Gulfstream Aerospace Gulfstream IV</v>
          </cell>
          <cell r="C2200" t="str">
            <v>SP</v>
          </cell>
          <cell r="D2200">
            <v>2001</v>
          </cell>
          <cell r="E2200" t="str">
            <v>Jet Aviation Business Jets</v>
          </cell>
          <cell r="F2200">
            <v>1</v>
          </cell>
          <cell r="G2200">
            <v>37345</v>
          </cell>
          <cell r="H2200" t="str">
            <v>SP</v>
          </cell>
          <cell r="I2200" t="str">
            <v>Europe</v>
          </cell>
          <cell r="J2200" t="str">
            <v>Switzerland</v>
          </cell>
          <cell r="K2200">
            <v>36341</v>
          </cell>
        </row>
        <row r="2201">
          <cell r="A2201" t="str">
            <v>In service</v>
          </cell>
          <cell r="B2201" t="str">
            <v>Gulfstream Aerospace Gulfstream IV</v>
          </cell>
          <cell r="C2201" t="str">
            <v>SP</v>
          </cell>
          <cell r="D2201">
            <v>2001</v>
          </cell>
          <cell r="E2201" t="str">
            <v>Anadarko Petroleum Corp</v>
          </cell>
          <cell r="F2201">
            <v>1</v>
          </cell>
          <cell r="G2201">
            <v>37253</v>
          </cell>
          <cell r="H2201" t="str">
            <v>SP</v>
          </cell>
          <cell r="I2201" t="str">
            <v>North America</v>
          </cell>
          <cell r="J2201" t="str">
            <v>USA</v>
          </cell>
          <cell r="K2201">
            <v>36341</v>
          </cell>
        </row>
        <row r="2202">
          <cell r="A2202" t="str">
            <v>In service</v>
          </cell>
          <cell r="B2202" t="str">
            <v>Gulfstream Aerospace Gulfstream IV</v>
          </cell>
          <cell r="C2202" t="str">
            <v>SP</v>
          </cell>
          <cell r="D2202">
            <v>2002</v>
          </cell>
          <cell r="E2202" t="str">
            <v>Madison Leasing Corp</v>
          </cell>
          <cell r="F2202">
            <v>0</v>
          </cell>
          <cell r="G2202">
            <v>37335</v>
          </cell>
          <cell r="H2202" t="str">
            <v>SP</v>
          </cell>
          <cell r="I2202" t="str">
            <v>North America</v>
          </cell>
          <cell r="J2202" t="str">
            <v>USA</v>
          </cell>
          <cell r="K2202">
            <v>36341</v>
          </cell>
        </row>
        <row r="2203">
          <cell r="A2203" t="str">
            <v>In service</v>
          </cell>
          <cell r="B2203" t="str">
            <v>Gulfstream Aerospace Gulfstream IV</v>
          </cell>
          <cell r="C2203" t="str">
            <v>SP</v>
          </cell>
          <cell r="D2203">
            <v>2002</v>
          </cell>
          <cell r="E2203" t="str">
            <v>Netjets International</v>
          </cell>
          <cell r="F2203">
            <v>0</v>
          </cell>
          <cell r="G2203">
            <v>37434</v>
          </cell>
          <cell r="H2203" t="str">
            <v>SP</v>
          </cell>
          <cell r="I2203" t="str">
            <v>North America</v>
          </cell>
          <cell r="J2203" t="str">
            <v>USA</v>
          </cell>
          <cell r="K2203">
            <v>36087</v>
          </cell>
        </row>
        <row r="2204">
          <cell r="A2204" t="str">
            <v>In service</v>
          </cell>
          <cell r="B2204" t="str">
            <v>Gulfstream Aerospace Gulfstream IV</v>
          </cell>
          <cell r="C2204" t="str">
            <v>SP</v>
          </cell>
          <cell r="D2204">
            <v>2002</v>
          </cell>
          <cell r="E2204" t="str">
            <v>Executive Services Inc</v>
          </cell>
          <cell r="F2204">
            <v>0</v>
          </cell>
          <cell r="G2204">
            <v>37376</v>
          </cell>
          <cell r="H2204" t="str">
            <v>SP</v>
          </cell>
          <cell r="I2204" t="str">
            <v>North America</v>
          </cell>
          <cell r="J2204" t="str">
            <v>USA</v>
          </cell>
          <cell r="K2204">
            <v>36707</v>
          </cell>
        </row>
        <row r="2205">
          <cell r="A2205" t="str">
            <v>In service</v>
          </cell>
          <cell r="B2205" t="str">
            <v>Gulfstream Aerospace Gulfstream IV</v>
          </cell>
          <cell r="C2205" t="str">
            <v>SP</v>
          </cell>
          <cell r="D2205">
            <v>2001</v>
          </cell>
          <cell r="E2205" t="str">
            <v>Surgutneftegas</v>
          </cell>
          <cell r="F2205">
            <v>1</v>
          </cell>
          <cell r="G2205">
            <v>37514</v>
          </cell>
          <cell r="H2205" t="str">
            <v>SP</v>
          </cell>
          <cell r="I2205" t="str">
            <v>Europe</v>
          </cell>
          <cell r="J2205" t="str">
            <v>Russia</v>
          </cell>
        </row>
        <row r="2206">
          <cell r="A2206" t="str">
            <v>In service</v>
          </cell>
          <cell r="B2206" t="str">
            <v>Gulfstream Aerospace Gulfstream IV</v>
          </cell>
          <cell r="C2206" t="str">
            <v>SP</v>
          </cell>
          <cell r="D2206">
            <v>2002</v>
          </cell>
          <cell r="E2206" t="str">
            <v>Shell Aircraft Ltd</v>
          </cell>
          <cell r="F2206">
            <v>0</v>
          </cell>
          <cell r="G2206">
            <v>37461</v>
          </cell>
          <cell r="H2206" t="str">
            <v>SP</v>
          </cell>
          <cell r="I2206" t="str">
            <v>Europe</v>
          </cell>
          <cell r="J2206" t="str">
            <v>United Kingdom</v>
          </cell>
          <cell r="K2206">
            <v>37072</v>
          </cell>
        </row>
        <row r="2207">
          <cell r="A2207" t="str">
            <v>In service</v>
          </cell>
          <cell r="B2207" t="str">
            <v>Gulfstream Aerospace Gulfstream IV</v>
          </cell>
          <cell r="C2207" t="str">
            <v>SP</v>
          </cell>
          <cell r="D2207">
            <v>2001</v>
          </cell>
          <cell r="E2207" t="str">
            <v>CXAir Holdings Inc</v>
          </cell>
          <cell r="F2207">
            <v>1</v>
          </cell>
          <cell r="G2207">
            <v>37211</v>
          </cell>
          <cell r="H2207" t="str">
            <v>SP</v>
          </cell>
          <cell r="I2207" t="str">
            <v>North America</v>
          </cell>
          <cell r="J2207" t="str">
            <v>USA</v>
          </cell>
          <cell r="K2207">
            <v>36341</v>
          </cell>
        </row>
        <row r="2208">
          <cell r="A2208" t="str">
            <v>In service</v>
          </cell>
          <cell r="B2208" t="str">
            <v>Gulfstream Aerospace Gulfstream IV</v>
          </cell>
          <cell r="C2208" t="str">
            <v>SP</v>
          </cell>
          <cell r="D2208">
            <v>2002</v>
          </cell>
          <cell r="E2208" t="str">
            <v xml:space="preserve">M &amp; P Co </v>
          </cell>
          <cell r="F2208">
            <v>0</v>
          </cell>
          <cell r="G2208">
            <v>37421</v>
          </cell>
          <cell r="H2208" t="str">
            <v>SP</v>
          </cell>
          <cell r="I2208" t="str">
            <v>North America</v>
          </cell>
          <cell r="J2208" t="str">
            <v>USA</v>
          </cell>
          <cell r="K2208">
            <v>36707</v>
          </cell>
        </row>
        <row r="2209">
          <cell r="A2209" t="str">
            <v>In service</v>
          </cell>
          <cell r="B2209" t="str">
            <v>Gulfstream Aerospace Gulfstream IV</v>
          </cell>
          <cell r="C2209" t="str">
            <v>SP</v>
          </cell>
          <cell r="D2209">
            <v>2001</v>
          </cell>
          <cell r="E2209" t="str">
            <v>The Air Group Inc</v>
          </cell>
          <cell r="F2209">
            <v>1</v>
          </cell>
          <cell r="G2209">
            <v>37253</v>
          </cell>
          <cell r="H2209" t="str">
            <v>SP</v>
          </cell>
          <cell r="I2209" t="str">
            <v>North America</v>
          </cell>
          <cell r="J2209" t="str">
            <v>USA</v>
          </cell>
          <cell r="K2209">
            <v>36341</v>
          </cell>
        </row>
        <row r="2210">
          <cell r="A2210" t="str">
            <v>In service</v>
          </cell>
          <cell r="B2210" t="str">
            <v>Gulfstream Aerospace Gulfstream IV</v>
          </cell>
          <cell r="C2210" t="str">
            <v>SP</v>
          </cell>
          <cell r="D2210">
            <v>2001</v>
          </cell>
          <cell r="E2210" t="str">
            <v>United Healthcare Corp</v>
          </cell>
          <cell r="F2210">
            <v>1</v>
          </cell>
          <cell r="G2210">
            <v>37239</v>
          </cell>
          <cell r="H2210" t="str">
            <v>SP</v>
          </cell>
          <cell r="I2210" t="str">
            <v>North America</v>
          </cell>
          <cell r="J2210" t="str">
            <v>USA</v>
          </cell>
          <cell r="K2210">
            <v>36707</v>
          </cell>
        </row>
        <row r="2211">
          <cell r="A2211" t="str">
            <v>In service</v>
          </cell>
          <cell r="B2211" t="str">
            <v>Gulfstream Aerospace Gulfstream IV</v>
          </cell>
          <cell r="C2211" t="str">
            <v>SP</v>
          </cell>
          <cell r="D2211">
            <v>2002</v>
          </cell>
          <cell r="E2211" t="str">
            <v>Educap Inc</v>
          </cell>
          <cell r="F2211">
            <v>0</v>
          </cell>
          <cell r="G2211">
            <v>37468</v>
          </cell>
          <cell r="H2211" t="str">
            <v>SP</v>
          </cell>
          <cell r="I2211" t="str">
            <v>North America</v>
          </cell>
          <cell r="J2211" t="str">
            <v>USA</v>
          </cell>
          <cell r="K2211">
            <v>36707</v>
          </cell>
        </row>
        <row r="2212">
          <cell r="A2212" t="str">
            <v>In service</v>
          </cell>
          <cell r="B2212" t="str">
            <v>Gulfstream Aerospace Gulfstream IV</v>
          </cell>
          <cell r="C2212" t="str">
            <v>SP</v>
          </cell>
          <cell r="D2212">
            <v>2002</v>
          </cell>
          <cell r="E2212" t="str">
            <v>Adam Aviation Ltd LLP</v>
          </cell>
          <cell r="F2212">
            <v>0</v>
          </cell>
          <cell r="G2212">
            <v>37434</v>
          </cell>
          <cell r="H2212" t="str">
            <v>SP</v>
          </cell>
          <cell r="I2212" t="str">
            <v>North America</v>
          </cell>
          <cell r="J2212" t="str">
            <v>USA</v>
          </cell>
          <cell r="K2212">
            <v>36707</v>
          </cell>
        </row>
        <row r="2213">
          <cell r="A2213" t="str">
            <v>In service</v>
          </cell>
          <cell r="B2213" t="str">
            <v>Gulfstream Aerospace Gulfstream IV</v>
          </cell>
          <cell r="C2213" t="str">
            <v>SP</v>
          </cell>
          <cell r="D2213">
            <v>2002</v>
          </cell>
          <cell r="E2213" t="str">
            <v>Jets Ejecutivos</v>
          </cell>
          <cell r="F2213">
            <v>0</v>
          </cell>
          <cell r="G2213">
            <v>37550</v>
          </cell>
          <cell r="H2213" t="str">
            <v>SP</v>
          </cell>
          <cell r="I2213" t="str">
            <v>Latin America and Caribbean</v>
          </cell>
          <cell r="J2213" t="str">
            <v>Mexico</v>
          </cell>
          <cell r="K2213">
            <v>37072</v>
          </cell>
        </row>
        <row r="2214">
          <cell r="A2214" t="str">
            <v>In service</v>
          </cell>
          <cell r="B2214" t="str">
            <v>Gulfstream Aerospace Gulfstream IV</v>
          </cell>
          <cell r="C2214" t="str">
            <v>SP</v>
          </cell>
          <cell r="D2214">
            <v>2002</v>
          </cell>
          <cell r="E2214" t="str">
            <v>Prime Jet LLC</v>
          </cell>
          <cell r="F2214">
            <v>0</v>
          </cell>
          <cell r="G2214">
            <v>37463</v>
          </cell>
          <cell r="H2214" t="str">
            <v>SP</v>
          </cell>
          <cell r="I2214" t="str">
            <v>North America</v>
          </cell>
          <cell r="J2214" t="str">
            <v>USA</v>
          </cell>
          <cell r="K2214">
            <v>36707</v>
          </cell>
        </row>
        <row r="2215">
          <cell r="A2215" t="str">
            <v>In service</v>
          </cell>
          <cell r="B2215" t="str">
            <v>Gulfstream Aerospace Gulfstream IV</v>
          </cell>
          <cell r="C2215" t="str">
            <v>SP</v>
          </cell>
          <cell r="D2215">
            <v>2002</v>
          </cell>
          <cell r="E2215" t="str">
            <v>Chelsea Holdings LLC</v>
          </cell>
          <cell r="F2215">
            <v>0</v>
          </cell>
          <cell r="G2215">
            <v>37526</v>
          </cell>
          <cell r="H2215" t="str">
            <v>SP</v>
          </cell>
          <cell r="I2215" t="str">
            <v>North America</v>
          </cell>
          <cell r="J2215" t="str">
            <v>USA</v>
          </cell>
          <cell r="K2215">
            <v>36707</v>
          </cell>
        </row>
        <row r="2216">
          <cell r="A2216" t="str">
            <v>In service</v>
          </cell>
          <cell r="B2216" t="str">
            <v>Gulfstream Aerospace Gulfstream IV</v>
          </cell>
          <cell r="C2216" t="str">
            <v>SP</v>
          </cell>
          <cell r="D2216">
            <v>2002</v>
          </cell>
          <cell r="E2216" t="str">
            <v>Computer Sciences Corp</v>
          </cell>
          <cell r="F2216">
            <v>0</v>
          </cell>
          <cell r="G2216">
            <v>37471</v>
          </cell>
          <cell r="H2216" t="str">
            <v>SP</v>
          </cell>
          <cell r="I2216" t="str">
            <v>North America</v>
          </cell>
          <cell r="J2216" t="str">
            <v>USA</v>
          </cell>
          <cell r="K2216">
            <v>36707</v>
          </cell>
        </row>
        <row r="2217">
          <cell r="A2217" t="str">
            <v>In service</v>
          </cell>
          <cell r="B2217" t="str">
            <v>Gulfstream Aerospace Gulfstream IV</v>
          </cell>
          <cell r="C2217" t="str">
            <v>SP</v>
          </cell>
          <cell r="D2217">
            <v>2002</v>
          </cell>
          <cell r="E2217" t="str">
            <v>DS Aviation Inc</v>
          </cell>
          <cell r="F2217">
            <v>0</v>
          </cell>
          <cell r="G2217">
            <v>37498</v>
          </cell>
          <cell r="H2217" t="str">
            <v>SP</v>
          </cell>
          <cell r="I2217" t="str">
            <v>North America</v>
          </cell>
          <cell r="J2217" t="str">
            <v>USA</v>
          </cell>
          <cell r="K2217">
            <v>36707</v>
          </cell>
        </row>
        <row r="2218">
          <cell r="A2218" t="str">
            <v>In service</v>
          </cell>
          <cell r="B2218" t="str">
            <v>Gulfstream Aerospace Gulfstream IV</v>
          </cell>
          <cell r="C2218" t="str">
            <v>SP</v>
          </cell>
          <cell r="D2218">
            <v>2002</v>
          </cell>
          <cell r="E2218" t="str">
            <v>Braxton Management Services LLC</v>
          </cell>
          <cell r="F2218">
            <v>0</v>
          </cell>
          <cell r="G2218">
            <v>37519</v>
          </cell>
          <cell r="H2218" t="str">
            <v>SP</v>
          </cell>
          <cell r="I2218" t="str">
            <v>North America</v>
          </cell>
          <cell r="J2218" t="str">
            <v>USA</v>
          </cell>
          <cell r="K2218">
            <v>36707</v>
          </cell>
        </row>
        <row r="2219">
          <cell r="A2219" t="str">
            <v>In service</v>
          </cell>
          <cell r="B2219" t="str">
            <v>Gulfstream Aerospace Gulfstream IV</v>
          </cell>
          <cell r="C2219" t="str">
            <v>SP</v>
          </cell>
          <cell r="D2219">
            <v>2002</v>
          </cell>
          <cell r="E2219" t="str">
            <v>Netjets International</v>
          </cell>
          <cell r="F2219">
            <v>0</v>
          </cell>
          <cell r="G2219">
            <v>37541</v>
          </cell>
          <cell r="H2219" t="str">
            <v>SP</v>
          </cell>
          <cell r="I2219" t="str">
            <v>North America</v>
          </cell>
          <cell r="J2219" t="str">
            <v>USA</v>
          </cell>
          <cell r="K2219">
            <v>36087</v>
          </cell>
        </row>
        <row r="2220">
          <cell r="A2220" t="str">
            <v>In service</v>
          </cell>
          <cell r="B2220" t="str">
            <v>Gulfstream Aerospace Gulfstream IV</v>
          </cell>
          <cell r="C2220" t="str">
            <v>SP</v>
          </cell>
          <cell r="D2220">
            <v>2002</v>
          </cell>
          <cell r="E2220" t="str">
            <v>SCS Services LLC</v>
          </cell>
          <cell r="F2220">
            <v>0</v>
          </cell>
          <cell r="G2220">
            <v>37607</v>
          </cell>
          <cell r="H2220" t="str">
            <v>SP</v>
          </cell>
          <cell r="I2220" t="str">
            <v>North America</v>
          </cell>
          <cell r="J2220" t="str">
            <v>USA</v>
          </cell>
          <cell r="K2220">
            <v>37072</v>
          </cell>
        </row>
        <row r="2221">
          <cell r="A2221" t="str">
            <v>In service</v>
          </cell>
          <cell r="B2221" t="str">
            <v>Gulfstream Aerospace Gulfstream IV</v>
          </cell>
          <cell r="C2221" t="str">
            <v>SP</v>
          </cell>
          <cell r="D2221">
            <v>2002</v>
          </cell>
          <cell r="E2221" t="str">
            <v>Kaisen LLC</v>
          </cell>
          <cell r="F2221">
            <v>0</v>
          </cell>
          <cell r="G2221">
            <v>37502</v>
          </cell>
          <cell r="H2221" t="str">
            <v>SP</v>
          </cell>
          <cell r="I2221" t="str">
            <v>North America</v>
          </cell>
          <cell r="J2221" t="str">
            <v>USA</v>
          </cell>
          <cell r="K2221">
            <v>37072</v>
          </cell>
        </row>
        <row r="2222">
          <cell r="A2222" t="str">
            <v>In service</v>
          </cell>
          <cell r="B2222" t="str">
            <v>Gulfstream Aerospace Gulfstream IV</v>
          </cell>
          <cell r="C2222" t="str">
            <v>SP</v>
          </cell>
          <cell r="D2222">
            <v>2002</v>
          </cell>
          <cell r="E2222" t="str">
            <v>AirFlite</v>
          </cell>
          <cell r="F2222">
            <v>0</v>
          </cell>
          <cell r="G2222">
            <v>37561</v>
          </cell>
          <cell r="H2222" t="str">
            <v>SP</v>
          </cell>
          <cell r="I2222" t="str">
            <v>North America</v>
          </cell>
          <cell r="J2222" t="str">
            <v>USA</v>
          </cell>
          <cell r="K2222">
            <v>37072</v>
          </cell>
        </row>
        <row r="2223">
          <cell r="A2223" t="str">
            <v>In service</v>
          </cell>
          <cell r="B2223" t="str">
            <v>Gulfstream Aerospace Gulfstream IV</v>
          </cell>
          <cell r="C2223" t="str">
            <v>SP</v>
          </cell>
          <cell r="D2223">
            <v>2002</v>
          </cell>
          <cell r="E2223" t="str">
            <v>Fertitta Enterprises</v>
          </cell>
          <cell r="F2223">
            <v>0</v>
          </cell>
          <cell r="G2223">
            <v>37613</v>
          </cell>
          <cell r="H2223" t="str">
            <v>SP</v>
          </cell>
          <cell r="I2223" t="str">
            <v>North America</v>
          </cell>
          <cell r="J2223" t="str">
            <v>USA</v>
          </cell>
          <cell r="K2223">
            <v>37072</v>
          </cell>
        </row>
        <row r="2224">
          <cell r="A2224" t="str">
            <v>In service</v>
          </cell>
          <cell r="B2224" t="str">
            <v>Gulfstream Aerospace Gulfstream IV</v>
          </cell>
          <cell r="C2224" t="str">
            <v>SP</v>
          </cell>
          <cell r="D2224">
            <v>2002</v>
          </cell>
          <cell r="E2224" t="str">
            <v>Altria Corporate Services Inc</v>
          </cell>
          <cell r="F2224">
            <v>0</v>
          </cell>
          <cell r="G2224">
            <v>37609</v>
          </cell>
          <cell r="H2224" t="str">
            <v>SP</v>
          </cell>
          <cell r="I2224" t="str">
            <v>North America</v>
          </cell>
          <cell r="J2224" t="str">
            <v>USA</v>
          </cell>
          <cell r="K2224">
            <v>37072</v>
          </cell>
        </row>
        <row r="2225">
          <cell r="A2225" t="str">
            <v>In service</v>
          </cell>
          <cell r="B2225" t="str">
            <v>Gulfstream Aerospace Gulfstream IV</v>
          </cell>
          <cell r="C2225" t="str">
            <v>SP</v>
          </cell>
          <cell r="D2225">
            <v>2002</v>
          </cell>
          <cell r="E2225" t="str">
            <v>Sandler Management Group LLC</v>
          </cell>
          <cell r="F2225">
            <v>0</v>
          </cell>
          <cell r="G2225">
            <v>37435</v>
          </cell>
          <cell r="H2225" t="str">
            <v>SP</v>
          </cell>
          <cell r="I2225" t="str">
            <v>North America</v>
          </cell>
          <cell r="J2225" t="str">
            <v>USA</v>
          </cell>
          <cell r="K2225">
            <v>36707</v>
          </cell>
        </row>
        <row r="2226">
          <cell r="A2226" t="str">
            <v>In service</v>
          </cell>
          <cell r="B2226" t="str">
            <v>Gulfstream Aerospace Gulfstream IV</v>
          </cell>
          <cell r="C2226" t="str">
            <v>SP</v>
          </cell>
          <cell r="D2226">
            <v>2002</v>
          </cell>
          <cell r="E2226" t="str">
            <v>Dick's Sporting Goods Inc</v>
          </cell>
          <cell r="F2226">
            <v>0</v>
          </cell>
          <cell r="G2226">
            <v>37621</v>
          </cell>
          <cell r="H2226" t="str">
            <v>SP</v>
          </cell>
          <cell r="I2226" t="str">
            <v>North America</v>
          </cell>
          <cell r="J2226" t="str">
            <v>USA</v>
          </cell>
          <cell r="K2226">
            <v>37072</v>
          </cell>
        </row>
        <row r="2227">
          <cell r="A2227" t="str">
            <v>In service</v>
          </cell>
          <cell r="B2227" t="str">
            <v>Gulfstream Aerospace Gulfstream IV</v>
          </cell>
          <cell r="C2227" t="str">
            <v>U-4</v>
          </cell>
          <cell r="D2227">
            <v>1995</v>
          </cell>
          <cell r="E2227" t="str">
            <v>Japanese Air Self Defence Force</v>
          </cell>
          <cell r="F2227">
            <v>7</v>
          </cell>
          <cell r="G2227">
            <v>35384</v>
          </cell>
          <cell r="H2227" t="str">
            <v>U-4</v>
          </cell>
          <cell r="I2227" t="str">
            <v>Asia</v>
          </cell>
          <cell r="J2227" t="str">
            <v>Japan</v>
          </cell>
          <cell r="K2227">
            <v>34880</v>
          </cell>
        </row>
        <row r="2228">
          <cell r="A2228" t="str">
            <v>In service</v>
          </cell>
          <cell r="B2228" t="str">
            <v>Gulfstream Aerospace Gulfstream IV</v>
          </cell>
          <cell r="C2228" t="str">
            <v>U-4</v>
          </cell>
          <cell r="D2228">
            <v>1995</v>
          </cell>
          <cell r="E2228" t="str">
            <v>Japanese Air Self Defence Force</v>
          </cell>
          <cell r="F2228">
            <v>7</v>
          </cell>
          <cell r="G2228">
            <v>35504</v>
          </cell>
          <cell r="H2228" t="str">
            <v>U-4</v>
          </cell>
          <cell r="I2228" t="str">
            <v>Asia</v>
          </cell>
          <cell r="J2228" t="str">
            <v>Japan</v>
          </cell>
          <cell r="K2228">
            <v>34880</v>
          </cell>
        </row>
        <row r="2229">
          <cell r="A2229" t="str">
            <v>In service</v>
          </cell>
          <cell r="B2229" t="str">
            <v>Gulfstream Aerospace Gulfstream IV</v>
          </cell>
          <cell r="C2229" t="str">
            <v>U-4</v>
          </cell>
          <cell r="D2229">
            <v>1997</v>
          </cell>
          <cell r="E2229" t="str">
            <v>Japanese Air Self Defence Force</v>
          </cell>
          <cell r="F2229">
            <v>5</v>
          </cell>
          <cell r="G2229">
            <v>35688</v>
          </cell>
          <cell r="H2229" t="str">
            <v>U-4</v>
          </cell>
          <cell r="I2229" t="str">
            <v>Asia</v>
          </cell>
          <cell r="J2229" t="str">
            <v>Japan</v>
          </cell>
          <cell r="K2229">
            <v>35246</v>
          </cell>
        </row>
        <row r="2230">
          <cell r="A2230" t="str">
            <v>In service</v>
          </cell>
          <cell r="B2230" t="str">
            <v>Gulfstream Aerospace Gulfstream IV</v>
          </cell>
          <cell r="C2230" t="str">
            <v>U-4</v>
          </cell>
          <cell r="D2230">
            <v>1999</v>
          </cell>
          <cell r="E2230" t="str">
            <v>Japanese Air Self Defence Force</v>
          </cell>
          <cell r="F2230">
            <v>3</v>
          </cell>
          <cell r="G2230">
            <v>36234</v>
          </cell>
          <cell r="H2230" t="str">
            <v>U-4</v>
          </cell>
          <cell r="I2230" t="str">
            <v>Asia</v>
          </cell>
          <cell r="J2230" t="str">
            <v>Japan</v>
          </cell>
          <cell r="K2230">
            <v>35611</v>
          </cell>
        </row>
        <row r="2231">
          <cell r="A2231" t="str">
            <v>In service</v>
          </cell>
          <cell r="B2231" t="str">
            <v>Gulfstream Aerospace Gulfstream IV</v>
          </cell>
          <cell r="C2231" t="str">
            <v>U-4</v>
          </cell>
          <cell r="D2231">
            <v>1999</v>
          </cell>
          <cell r="E2231" t="str">
            <v>Japanese Air Self Defence Force</v>
          </cell>
          <cell r="F2231">
            <v>3</v>
          </cell>
          <cell r="G2231">
            <v>36586</v>
          </cell>
          <cell r="H2231" t="str">
            <v>U-4</v>
          </cell>
          <cell r="I2231" t="str">
            <v>Asia</v>
          </cell>
          <cell r="J2231" t="str">
            <v>Japan</v>
          </cell>
          <cell r="K2231">
            <v>35976</v>
          </cell>
        </row>
        <row r="2232">
          <cell r="A2232" t="str">
            <v>In service</v>
          </cell>
          <cell r="B2232" t="str">
            <v>Gulfstream Aerospace Gulfstream V</v>
          </cell>
          <cell r="C2232" t="str">
            <v xml:space="preserve"> </v>
          </cell>
          <cell r="D2232">
            <v>1996</v>
          </cell>
          <cell r="E2232" t="str">
            <v>Skyflight Leasing Ltd</v>
          </cell>
          <cell r="F2232">
            <v>6</v>
          </cell>
          <cell r="G2232">
            <v>36405</v>
          </cell>
          <cell r="I2232" t="str">
            <v>North America</v>
          </cell>
          <cell r="J2232" t="str">
            <v>USA</v>
          </cell>
        </row>
        <row r="2233">
          <cell r="A2233" t="str">
            <v>In service</v>
          </cell>
          <cell r="B2233" t="str">
            <v>Gulfstream Aerospace Gulfstream V</v>
          </cell>
          <cell r="C2233" t="str">
            <v xml:space="preserve"> </v>
          </cell>
          <cell r="D2233">
            <v>1996</v>
          </cell>
          <cell r="E2233" t="str">
            <v>FL Aviation Group Inc</v>
          </cell>
          <cell r="F2233">
            <v>6</v>
          </cell>
          <cell r="G2233">
            <v>35976</v>
          </cell>
          <cell r="I2233" t="str">
            <v>North America</v>
          </cell>
          <cell r="J2233" t="str">
            <v>USA</v>
          </cell>
        </row>
        <row r="2234">
          <cell r="A2234" t="str">
            <v>In service</v>
          </cell>
          <cell r="B2234" t="str">
            <v>Gulfstream Aerospace Gulfstream V</v>
          </cell>
          <cell r="C2234" t="str">
            <v xml:space="preserve"> </v>
          </cell>
          <cell r="D2234">
            <v>1996</v>
          </cell>
          <cell r="E2234" t="str">
            <v>Renco Group Inc</v>
          </cell>
          <cell r="F2234">
            <v>6</v>
          </cell>
          <cell r="G2234">
            <v>35685</v>
          </cell>
          <cell r="I2234" t="str">
            <v>North America</v>
          </cell>
          <cell r="J2234" t="str">
            <v>USA</v>
          </cell>
        </row>
        <row r="2235">
          <cell r="A2235" t="str">
            <v>In service</v>
          </cell>
          <cell r="B2235" t="str">
            <v>Gulfstream Aerospace Gulfstream V</v>
          </cell>
          <cell r="C2235" t="str">
            <v xml:space="preserve"> </v>
          </cell>
          <cell r="D2235">
            <v>1996</v>
          </cell>
          <cell r="E2235" t="str">
            <v>Westair Aviation</v>
          </cell>
          <cell r="F2235">
            <v>6</v>
          </cell>
          <cell r="G2235">
            <v>35756</v>
          </cell>
          <cell r="I2235" t="str">
            <v>Europe</v>
          </cell>
          <cell r="J2235" t="str">
            <v>Ireland</v>
          </cell>
        </row>
        <row r="2236">
          <cell r="A2236" t="str">
            <v>In service</v>
          </cell>
          <cell r="B2236" t="str">
            <v>Gulfstream Aerospace Gulfstream V</v>
          </cell>
          <cell r="C2236" t="str">
            <v xml:space="preserve"> </v>
          </cell>
          <cell r="D2236">
            <v>1997</v>
          </cell>
          <cell r="E2236" t="str">
            <v>Datel Holdings Ltd</v>
          </cell>
          <cell r="F2236">
            <v>5</v>
          </cell>
          <cell r="G2236">
            <v>35648</v>
          </cell>
          <cell r="I2236" t="str">
            <v>Europe</v>
          </cell>
          <cell r="J2236" t="str">
            <v>United Kingdom</v>
          </cell>
          <cell r="K2236">
            <v>35246</v>
          </cell>
        </row>
        <row r="2237">
          <cell r="A2237" t="str">
            <v>In service</v>
          </cell>
          <cell r="B2237" t="str">
            <v>Gulfstream Aerospace Gulfstream V</v>
          </cell>
          <cell r="C2237" t="str">
            <v xml:space="preserve"> </v>
          </cell>
          <cell r="D2237">
            <v>1997</v>
          </cell>
          <cell r="E2237" t="str">
            <v>Leonore Annenberg</v>
          </cell>
          <cell r="F2237">
            <v>5</v>
          </cell>
          <cell r="G2237">
            <v>35612</v>
          </cell>
          <cell r="I2237" t="str">
            <v>North America</v>
          </cell>
          <cell r="J2237" t="str">
            <v>USA</v>
          </cell>
          <cell r="K2237">
            <v>34880</v>
          </cell>
        </row>
        <row r="2238">
          <cell r="A2238" t="str">
            <v>In service</v>
          </cell>
          <cell r="B2238" t="str">
            <v>Gulfstream Aerospace Gulfstream V</v>
          </cell>
          <cell r="C2238" t="str">
            <v xml:space="preserve"> </v>
          </cell>
          <cell r="D2238">
            <v>1997</v>
          </cell>
          <cell r="E2238" t="str">
            <v>Intersouth Inc</v>
          </cell>
          <cell r="F2238">
            <v>5</v>
          </cell>
          <cell r="G2238">
            <v>35476</v>
          </cell>
          <cell r="I2238" t="str">
            <v>North America</v>
          </cell>
          <cell r="J2238" t="str">
            <v>USA</v>
          </cell>
          <cell r="K2238">
            <v>35246</v>
          </cell>
        </row>
        <row r="2239">
          <cell r="A2239" t="str">
            <v>In service</v>
          </cell>
          <cell r="B2239" t="str">
            <v>Gulfstream Aerospace Gulfstream V</v>
          </cell>
          <cell r="C2239" t="str">
            <v xml:space="preserve"> </v>
          </cell>
          <cell r="D2239">
            <v>1997</v>
          </cell>
          <cell r="E2239" t="str">
            <v>BMW Flugdienst</v>
          </cell>
          <cell r="F2239">
            <v>5</v>
          </cell>
          <cell r="G2239">
            <v>35802</v>
          </cell>
          <cell r="I2239" t="str">
            <v>Europe</v>
          </cell>
          <cell r="J2239" t="str">
            <v>Germany</v>
          </cell>
          <cell r="K2239">
            <v>35246</v>
          </cell>
        </row>
        <row r="2240">
          <cell r="A2240" t="str">
            <v>In service</v>
          </cell>
          <cell r="B2240" t="str">
            <v>Gulfstream Aerospace Gulfstream V</v>
          </cell>
          <cell r="C2240" t="str">
            <v xml:space="preserve"> </v>
          </cell>
          <cell r="D2240">
            <v>1997</v>
          </cell>
          <cell r="E2240" t="str">
            <v>Rolls-Royce</v>
          </cell>
          <cell r="F2240">
            <v>5</v>
          </cell>
          <cell r="G2240">
            <v>35749</v>
          </cell>
          <cell r="I2240" t="str">
            <v>Europe</v>
          </cell>
          <cell r="J2240" t="str">
            <v>United Kingdom</v>
          </cell>
          <cell r="K2240">
            <v>34880</v>
          </cell>
        </row>
        <row r="2241">
          <cell r="A2241" t="str">
            <v>In service</v>
          </cell>
          <cell r="B2241" t="str">
            <v>Gulfstream Aerospace Gulfstream V</v>
          </cell>
          <cell r="C2241" t="str">
            <v xml:space="preserve"> </v>
          </cell>
          <cell r="D2241">
            <v>1997</v>
          </cell>
          <cell r="E2241" t="str">
            <v>Ropa Two Corp</v>
          </cell>
          <cell r="F2241">
            <v>5</v>
          </cell>
          <cell r="G2241">
            <v>35515</v>
          </cell>
          <cell r="I2241" t="str">
            <v>North America</v>
          </cell>
          <cell r="J2241" t="str">
            <v>USA</v>
          </cell>
          <cell r="K2241">
            <v>34880</v>
          </cell>
        </row>
        <row r="2242">
          <cell r="A2242" t="str">
            <v>In service</v>
          </cell>
          <cell r="B2242" t="str">
            <v>Gulfstream Aerospace Gulfstream V</v>
          </cell>
          <cell r="C2242" t="str">
            <v xml:space="preserve"> </v>
          </cell>
          <cell r="D2242">
            <v>1997</v>
          </cell>
          <cell r="E2242" t="str">
            <v>Jet Aviation Business Jets</v>
          </cell>
          <cell r="F2242">
            <v>5</v>
          </cell>
          <cell r="G2242">
            <v>35587</v>
          </cell>
          <cell r="I2242" t="str">
            <v>Europe</v>
          </cell>
          <cell r="J2242" t="str">
            <v>Switzerland</v>
          </cell>
          <cell r="K2242">
            <v>35246</v>
          </cell>
        </row>
        <row r="2243">
          <cell r="A2243" t="str">
            <v>In service</v>
          </cell>
          <cell r="B2243" t="str">
            <v>Gulfstream Aerospace Gulfstream V</v>
          </cell>
          <cell r="C2243" t="str">
            <v xml:space="preserve"> </v>
          </cell>
          <cell r="D2243">
            <v>1997</v>
          </cell>
          <cell r="E2243" t="str">
            <v>Garthorpe Inc</v>
          </cell>
          <cell r="F2243">
            <v>5</v>
          </cell>
          <cell r="G2243">
            <v>35565</v>
          </cell>
          <cell r="I2243" t="str">
            <v>North America</v>
          </cell>
          <cell r="J2243" t="str">
            <v>USA</v>
          </cell>
          <cell r="K2243">
            <v>35246</v>
          </cell>
        </row>
        <row r="2244">
          <cell r="A2244" t="str">
            <v>In service</v>
          </cell>
          <cell r="B2244" t="str">
            <v>Gulfstream Aerospace Gulfstream V</v>
          </cell>
          <cell r="C2244" t="str">
            <v xml:space="preserve"> </v>
          </cell>
          <cell r="D2244">
            <v>1997</v>
          </cell>
          <cell r="E2244" t="str">
            <v>Government of Brunei</v>
          </cell>
          <cell r="F2244">
            <v>5</v>
          </cell>
          <cell r="G2244">
            <v>35688</v>
          </cell>
          <cell r="I2244" t="str">
            <v>Asia</v>
          </cell>
          <cell r="J2244" t="str">
            <v>Brunei</v>
          </cell>
          <cell r="K2244">
            <v>35246</v>
          </cell>
        </row>
        <row r="2245">
          <cell r="A2245" t="str">
            <v>In service</v>
          </cell>
          <cell r="B2245" t="str">
            <v>Gulfstream Aerospace Gulfstream V</v>
          </cell>
          <cell r="C2245" t="str">
            <v xml:space="preserve"> </v>
          </cell>
          <cell r="D2245">
            <v>1997</v>
          </cell>
          <cell r="E2245" t="str">
            <v>Bank of America Special Assets Corp</v>
          </cell>
          <cell r="F2245">
            <v>5</v>
          </cell>
          <cell r="G2245">
            <v>35611</v>
          </cell>
          <cell r="I2245" t="str">
            <v>North America</v>
          </cell>
          <cell r="J2245" t="str">
            <v>USA</v>
          </cell>
          <cell r="K2245">
            <v>34880</v>
          </cell>
        </row>
        <row r="2246">
          <cell r="A2246" t="str">
            <v>In service</v>
          </cell>
          <cell r="B2246" t="str">
            <v>Gulfstream Aerospace Gulfstream V</v>
          </cell>
          <cell r="C2246" t="str">
            <v xml:space="preserve"> </v>
          </cell>
          <cell r="D2246">
            <v>1997</v>
          </cell>
          <cell r="E2246" t="str">
            <v>G5 Executive</v>
          </cell>
          <cell r="F2246">
            <v>5</v>
          </cell>
          <cell r="G2246">
            <v>35657</v>
          </cell>
          <cell r="I2246" t="str">
            <v>Europe</v>
          </cell>
          <cell r="J2246" t="str">
            <v>Switzerland</v>
          </cell>
          <cell r="K2246">
            <v>34880</v>
          </cell>
        </row>
        <row r="2247">
          <cell r="A2247" t="str">
            <v>In service</v>
          </cell>
          <cell r="B2247" t="str">
            <v>Gulfstream Aerospace Gulfstream V</v>
          </cell>
          <cell r="C2247" t="str">
            <v xml:space="preserve"> </v>
          </cell>
          <cell r="D2247">
            <v>1997</v>
          </cell>
          <cell r="E2247" t="str">
            <v>General Dynamics Corp</v>
          </cell>
          <cell r="F2247">
            <v>5</v>
          </cell>
          <cell r="G2247">
            <v>35991</v>
          </cell>
          <cell r="I2247" t="str">
            <v>North America</v>
          </cell>
          <cell r="J2247" t="str">
            <v>USA</v>
          </cell>
          <cell r="K2247">
            <v>35246</v>
          </cell>
        </row>
        <row r="2248">
          <cell r="A2248" t="str">
            <v>In service</v>
          </cell>
          <cell r="B2248" t="str">
            <v>Gulfstream Aerospace Gulfstream V</v>
          </cell>
          <cell r="C2248" t="str">
            <v xml:space="preserve"> </v>
          </cell>
          <cell r="D2248">
            <v>1997</v>
          </cell>
          <cell r="E2248" t="str">
            <v>Trans World Oil</v>
          </cell>
          <cell r="F2248">
            <v>5</v>
          </cell>
          <cell r="G2248">
            <v>35836</v>
          </cell>
          <cell r="I2248" t="str">
            <v>Latin America and Caribbean</v>
          </cell>
          <cell r="J2248" t="str">
            <v>Cayman Islands</v>
          </cell>
          <cell r="K2248">
            <v>35246</v>
          </cell>
        </row>
        <row r="2249">
          <cell r="A2249" t="str">
            <v>In service</v>
          </cell>
          <cell r="B2249" t="str">
            <v>Gulfstream Aerospace Gulfstream V</v>
          </cell>
          <cell r="C2249" t="str">
            <v xml:space="preserve"> </v>
          </cell>
          <cell r="D2249">
            <v>1998</v>
          </cell>
          <cell r="E2249" t="str">
            <v>Allied Caribbean Inc</v>
          </cell>
          <cell r="F2249">
            <v>4</v>
          </cell>
          <cell r="G2249">
            <v>35872</v>
          </cell>
          <cell r="I2249" t="str">
            <v>North America</v>
          </cell>
          <cell r="J2249" t="str">
            <v>USA</v>
          </cell>
          <cell r="K2249">
            <v>35246</v>
          </cell>
        </row>
        <row r="2250">
          <cell r="A2250" t="str">
            <v>In service</v>
          </cell>
          <cell r="B2250" t="str">
            <v>Gulfstream Aerospace Gulfstream V</v>
          </cell>
          <cell r="C2250" t="str">
            <v xml:space="preserve"> </v>
          </cell>
          <cell r="D2250">
            <v>1998</v>
          </cell>
          <cell r="E2250" t="str">
            <v>US Air Force</v>
          </cell>
          <cell r="F2250">
            <v>4</v>
          </cell>
          <cell r="G2250">
            <v>36082</v>
          </cell>
          <cell r="H2250" t="str">
            <v>C-37A</v>
          </cell>
          <cell r="I2250" t="str">
            <v>North America</v>
          </cell>
          <cell r="J2250" t="str">
            <v>USA</v>
          </cell>
          <cell r="K2250">
            <v>35559</v>
          </cell>
        </row>
        <row r="2251">
          <cell r="A2251" t="str">
            <v>In service</v>
          </cell>
          <cell r="B2251" t="str">
            <v>Gulfstream Aerospace Gulfstream V</v>
          </cell>
          <cell r="C2251" t="str">
            <v xml:space="preserve"> </v>
          </cell>
          <cell r="D2251">
            <v>1998</v>
          </cell>
          <cell r="E2251" t="str">
            <v>Hubbard Broadcasting Inc</v>
          </cell>
          <cell r="F2251">
            <v>4</v>
          </cell>
          <cell r="G2251">
            <v>35905</v>
          </cell>
          <cell r="I2251" t="str">
            <v>North America</v>
          </cell>
          <cell r="J2251" t="str">
            <v>USA</v>
          </cell>
          <cell r="K2251">
            <v>34880</v>
          </cell>
        </row>
        <row r="2252">
          <cell r="A2252" t="str">
            <v>In service</v>
          </cell>
          <cell r="B2252" t="str">
            <v>Gulfstream Aerospace Gulfstream V</v>
          </cell>
          <cell r="C2252" t="str">
            <v xml:space="preserve"> </v>
          </cell>
          <cell r="D2252">
            <v>1997</v>
          </cell>
          <cell r="E2252" t="str">
            <v>Rochester Aviation Inc</v>
          </cell>
          <cell r="F2252">
            <v>5</v>
          </cell>
          <cell r="G2252">
            <v>36342</v>
          </cell>
          <cell r="I2252" t="str">
            <v>North America</v>
          </cell>
          <cell r="J2252" t="str">
            <v>USA</v>
          </cell>
          <cell r="K2252">
            <v>35246</v>
          </cell>
        </row>
        <row r="2253">
          <cell r="A2253" t="str">
            <v>In service</v>
          </cell>
          <cell r="B2253" t="str">
            <v>Gulfstream Aerospace Gulfstream V</v>
          </cell>
          <cell r="C2253" t="str">
            <v xml:space="preserve"> </v>
          </cell>
          <cell r="D2253">
            <v>1997</v>
          </cell>
          <cell r="E2253" t="str">
            <v>The Coca-Cola Co</v>
          </cell>
          <cell r="F2253">
            <v>5</v>
          </cell>
          <cell r="G2253">
            <v>35668</v>
          </cell>
          <cell r="I2253" t="str">
            <v>North America</v>
          </cell>
          <cell r="J2253" t="str">
            <v>USA</v>
          </cell>
          <cell r="K2253">
            <v>35246</v>
          </cell>
        </row>
        <row r="2254">
          <cell r="A2254" t="str">
            <v>In service</v>
          </cell>
          <cell r="B2254" t="str">
            <v>Gulfstream Aerospace Gulfstream V</v>
          </cell>
          <cell r="C2254" t="str">
            <v xml:space="preserve"> </v>
          </cell>
          <cell r="D2254">
            <v>1997</v>
          </cell>
          <cell r="E2254" t="str">
            <v>Jefferson Smurfit Corp</v>
          </cell>
          <cell r="F2254">
            <v>5</v>
          </cell>
          <cell r="G2254">
            <v>35697</v>
          </cell>
          <cell r="I2254" t="str">
            <v>North America</v>
          </cell>
          <cell r="J2254" t="str">
            <v>USA</v>
          </cell>
          <cell r="K2254">
            <v>35246</v>
          </cell>
        </row>
        <row r="2255">
          <cell r="A2255" t="str">
            <v>In service</v>
          </cell>
          <cell r="B2255" t="str">
            <v>Gulfstream Aerospace Gulfstream V</v>
          </cell>
          <cell r="C2255" t="str">
            <v xml:space="preserve"> </v>
          </cell>
          <cell r="D2255">
            <v>1998</v>
          </cell>
          <cell r="E2255" t="str">
            <v>The Coca-Cola Co</v>
          </cell>
          <cell r="F2255">
            <v>4</v>
          </cell>
          <cell r="G2255">
            <v>36031</v>
          </cell>
          <cell r="I2255" t="str">
            <v>North America</v>
          </cell>
          <cell r="J2255" t="str">
            <v>USA</v>
          </cell>
          <cell r="K2255">
            <v>35246</v>
          </cell>
        </row>
        <row r="2256">
          <cell r="A2256" t="str">
            <v>In service</v>
          </cell>
          <cell r="B2256" t="str">
            <v>Gulfstream Aerospace Gulfstream V</v>
          </cell>
          <cell r="C2256" t="str">
            <v xml:space="preserve"> </v>
          </cell>
          <cell r="D2256">
            <v>1998</v>
          </cell>
          <cell r="E2256" t="str">
            <v>Wekel SA</v>
          </cell>
          <cell r="F2256">
            <v>4</v>
          </cell>
          <cell r="G2256">
            <v>36068</v>
          </cell>
          <cell r="I2256" t="str">
            <v>Latin America and Caribbean</v>
          </cell>
          <cell r="J2256" t="str">
            <v>Colombia</v>
          </cell>
          <cell r="K2256">
            <v>35246</v>
          </cell>
        </row>
        <row r="2257">
          <cell r="A2257" t="str">
            <v>In service</v>
          </cell>
          <cell r="B2257" t="str">
            <v>Gulfstream Aerospace Gulfstream V</v>
          </cell>
          <cell r="C2257" t="str">
            <v xml:space="preserve"> </v>
          </cell>
          <cell r="D2257">
            <v>1997</v>
          </cell>
          <cell r="E2257" t="str">
            <v>Consortium of AOL Time Warner Companies</v>
          </cell>
          <cell r="F2257">
            <v>5</v>
          </cell>
          <cell r="G2257">
            <v>35969</v>
          </cell>
          <cell r="I2257" t="str">
            <v>North America</v>
          </cell>
          <cell r="J2257" t="str">
            <v>USA</v>
          </cell>
          <cell r="K2257">
            <v>35246</v>
          </cell>
        </row>
        <row r="2258">
          <cell r="A2258" t="str">
            <v>In service</v>
          </cell>
          <cell r="B2258" t="str">
            <v>Gulfstream Aerospace Gulfstream V</v>
          </cell>
          <cell r="C2258" t="str">
            <v xml:space="preserve"> </v>
          </cell>
          <cell r="D2258">
            <v>1997</v>
          </cell>
          <cell r="E2258" t="str">
            <v>Consortium of AOL Time Warner Companies</v>
          </cell>
          <cell r="F2258">
            <v>5</v>
          </cell>
          <cell r="G2258">
            <v>35969</v>
          </cell>
          <cell r="I2258" t="str">
            <v>North America</v>
          </cell>
          <cell r="J2258" t="str">
            <v>USA</v>
          </cell>
          <cell r="K2258">
            <v>35246</v>
          </cell>
        </row>
        <row r="2259">
          <cell r="A2259" t="str">
            <v>In service</v>
          </cell>
          <cell r="B2259" t="str">
            <v>Gulfstream Aerospace Gulfstream V</v>
          </cell>
          <cell r="C2259" t="str">
            <v xml:space="preserve"> </v>
          </cell>
          <cell r="D2259">
            <v>1998</v>
          </cell>
          <cell r="E2259" t="str">
            <v>IBM Corp</v>
          </cell>
          <cell r="F2259">
            <v>4</v>
          </cell>
          <cell r="G2259">
            <v>36062</v>
          </cell>
          <cell r="I2259" t="str">
            <v>North America</v>
          </cell>
          <cell r="J2259" t="str">
            <v>USA</v>
          </cell>
          <cell r="K2259">
            <v>35246</v>
          </cell>
        </row>
        <row r="2260">
          <cell r="A2260" t="str">
            <v>In service</v>
          </cell>
          <cell r="B2260" t="str">
            <v>Gulfstream Aerospace Gulfstream V</v>
          </cell>
          <cell r="C2260" t="str">
            <v xml:space="preserve"> </v>
          </cell>
          <cell r="D2260">
            <v>1997</v>
          </cell>
          <cell r="E2260" t="str">
            <v>The Air Group Inc</v>
          </cell>
          <cell r="F2260">
            <v>5</v>
          </cell>
          <cell r="G2260">
            <v>35741</v>
          </cell>
          <cell r="I2260" t="str">
            <v>North America</v>
          </cell>
          <cell r="J2260" t="str">
            <v>USA</v>
          </cell>
          <cell r="K2260">
            <v>35246</v>
          </cell>
        </row>
        <row r="2261">
          <cell r="A2261" t="str">
            <v>In service</v>
          </cell>
          <cell r="B2261" t="str">
            <v>Gulfstream Aerospace Gulfstream V</v>
          </cell>
          <cell r="C2261" t="str">
            <v xml:space="preserve"> </v>
          </cell>
          <cell r="D2261">
            <v>1997</v>
          </cell>
          <cell r="E2261" t="str">
            <v>Shorenstein Company LP</v>
          </cell>
          <cell r="F2261">
            <v>5</v>
          </cell>
          <cell r="G2261">
            <v>35759</v>
          </cell>
          <cell r="I2261" t="str">
            <v>North America</v>
          </cell>
          <cell r="J2261" t="str">
            <v>USA</v>
          </cell>
          <cell r="K2261">
            <v>35246</v>
          </cell>
        </row>
        <row r="2262">
          <cell r="A2262" t="str">
            <v>In service</v>
          </cell>
          <cell r="B2262" t="str">
            <v>Gulfstream Aerospace Gulfstream V</v>
          </cell>
          <cell r="C2262" t="str">
            <v xml:space="preserve"> </v>
          </cell>
          <cell r="D2262">
            <v>1997</v>
          </cell>
          <cell r="E2262" t="str">
            <v>Commander Mexicana SA de CV</v>
          </cell>
          <cell r="F2262">
            <v>5</v>
          </cell>
          <cell r="G2262">
            <v>35807</v>
          </cell>
          <cell r="I2262" t="str">
            <v>Latin America and Caribbean</v>
          </cell>
          <cell r="J2262" t="str">
            <v>Mexico</v>
          </cell>
          <cell r="K2262">
            <v>35246</v>
          </cell>
        </row>
        <row r="2263">
          <cell r="A2263" t="str">
            <v>In service</v>
          </cell>
          <cell r="B2263" t="str">
            <v>Gulfstream Aerospace Gulfstream V</v>
          </cell>
          <cell r="C2263" t="str">
            <v xml:space="preserve"> </v>
          </cell>
          <cell r="D2263">
            <v>1998</v>
          </cell>
          <cell r="E2263" t="str">
            <v>Automotive Air Charter</v>
          </cell>
          <cell r="F2263">
            <v>4</v>
          </cell>
          <cell r="G2263">
            <v>36076</v>
          </cell>
          <cell r="I2263" t="str">
            <v>North America</v>
          </cell>
          <cell r="J2263" t="str">
            <v>USA</v>
          </cell>
          <cell r="K2263">
            <v>35611</v>
          </cell>
        </row>
        <row r="2264">
          <cell r="A2264" t="str">
            <v>In service</v>
          </cell>
          <cell r="B2264" t="str">
            <v>Gulfstream Aerospace Gulfstream V</v>
          </cell>
          <cell r="C2264" t="str">
            <v xml:space="preserve"> </v>
          </cell>
          <cell r="D2264">
            <v>1997</v>
          </cell>
          <cell r="E2264" t="str">
            <v>Vivendi Universal</v>
          </cell>
          <cell r="F2264">
            <v>5</v>
          </cell>
          <cell r="G2264">
            <v>35804</v>
          </cell>
          <cell r="I2264" t="str">
            <v>North America</v>
          </cell>
          <cell r="J2264" t="str">
            <v>USA</v>
          </cell>
          <cell r="K2264">
            <v>35246</v>
          </cell>
        </row>
        <row r="2265">
          <cell r="A2265" t="str">
            <v>In service</v>
          </cell>
          <cell r="B2265" t="str">
            <v>Gulfstream Aerospace Gulfstream V</v>
          </cell>
          <cell r="C2265" t="str">
            <v xml:space="preserve"> </v>
          </cell>
          <cell r="D2265">
            <v>1998</v>
          </cell>
          <cell r="E2265" t="str">
            <v>United Healthcare Services Inc</v>
          </cell>
          <cell r="F2265">
            <v>4</v>
          </cell>
          <cell r="G2265">
            <v>35830</v>
          </cell>
          <cell r="I2265" t="str">
            <v>North America</v>
          </cell>
          <cell r="J2265" t="str">
            <v>USA</v>
          </cell>
          <cell r="K2265">
            <v>35246</v>
          </cell>
        </row>
        <row r="2266">
          <cell r="A2266" t="str">
            <v>In service</v>
          </cell>
          <cell r="B2266" t="str">
            <v>Gulfstream Aerospace Gulfstream V</v>
          </cell>
          <cell r="C2266" t="str">
            <v xml:space="preserve"> </v>
          </cell>
          <cell r="D2266">
            <v>1999</v>
          </cell>
          <cell r="E2266" t="str">
            <v>Helicol</v>
          </cell>
          <cell r="F2266">
            <v>3</v>
          </cell>
          <cell r="G2266">
            <v>36234</v>
          </cell>
          <cell r="I2266" t="str">
            <v>Latin America and Caribbean</v>
          </cell>
          <cell r="J2266" t="str">
            <v>Colombia</v>
          </cell>
          <cell r="K2266">
            <v>35611</v>
          </cell>
        </row>
        <row r="2267">
          <cell r="A2267" t="str">
            <v>In service</v>
          </cell>
          <cell r="B2267" t="str">
            <v>Gulfstream Aerospace Gulfstream V</v>
          </cell>
          <cell r="C2267" t="str">
            <v xml:space="preserve"> </v>
          </cell>
          <cell r="D2267">
            <v>1998</v>
          </cell>
          <cell r="E2267" t="str">
            <v>Open Road Airways Inc</v>
          </cell>
          <cell r="F2267">
            <v>4</v>
          </cell>
          <cell r="G2267">
            <v>35845</v>
          </cell>
          <cell r="I2267" t="str">
            <v>North America</v>
          </cell>
          <cell r="J2267" t="str">
            <v>USA</v>
          </cell>
          <cell r="K2267">
            <v>35611</v>
          </cell>
        </row>
        <row r="2268">
          <cell r="A2268" t="str">
            <v>In service</v>
          </cell>
          <cell r="B2268" t="str">
            <v>Gulfstream Aerospace Gulfstream V</v>
          </cell>
          <cell r="C2268" t="str">
            <v xml:space="preserve"> </v>
          </cell>
          <cell r="D2268">
            <v>1998</v>
          </cell>
          <cell r="E2268" t="str">
            <v>Flight Management LLC</v>
          </cell>
          <cell r="F2268">
            <v>4</v>
          </cell>
          <cell r="G2268">
            <v>36307</v>
          </cell>
          <cell r="I2268" t="str">
            <v>North America</v>
          </cell>
          <cell r="J2268" t="str">
            <v>USA</v>
          </cell>
          <cell r="K2268">
            <v>35611</v>
          </cell>
        </row>
        <row r="2269">
          <cell r="A2269" t="str">
            <v>In service</v>
          </cell>
          <cell r="B2269" t="str">
            <v>Gulfstream Aerospace Gulfstream V</v>
          </cell>
          <cell r="C2269" t="str">
            <v xml:space="preserve"> </v>
          </cell>
          <cell r="D2269">
            <v>1998</v>
          </cell>
          <cell r="E2269" t="str">
            <v>Organizacion Editorial Mexicana SA de CV</v>
          </cell>
          <cell r="F2269">
            <v>4</v>
          </cell>
          <cell r="G2269">
            <v>36265</v>
          </cell>
          <cell r="I2269" t="str">
            <v>Latin America and Caribbean</v>
          </cell>
          <cell r="J2269" t="str">
            <v>Mexico</v>
          </cell>
          <cell r="K2269">
            <v>35246</v>
          </cell>
        </row>
        <row r="2270">
          <cell r="A2270" t="str">
            <v>In service</v>
          </cell>
          <cell r="B2270" t="str">
            <v>Gulfstream Aerospace Gulfstream V</v>
          </cell>
          <cell r="C2270" t="str">
            <v xml:space="preserve"> </v>
          </cell>
          <cell r="D2270">
            <v>1999</v>
          </cell>
          <cell r="E2270" t="str">
            <v>Lockheed Martin Corp</v>
          </cell>
          <cell r="F2270">
            <v>3</v>
          </cell>
          <cell r="G2270">
            <v>36266</v>
          </cell>
          <cell r="I2270" t="str">
            <v>North America</v>
          </cell>
          <cell r="J2270" t="str">
            <v>USA</v>
          </cell>
          <cell r="K2270">
            <v>35611</v>
          </cell>
        </row>
        <row r="2271">
          <cell r="A2271" t="str">
            <v>In service</v>
          </cell>
          <cell r="B2271" t="str">
            <v>Gulfstream Aerospace Gulfstream V</v>
          </cell>
          <cell r="C2271" t="str">
            <v xml:space="preserve"> </v>
          </cell>
          <cell r="D2271">
            <v>1998</v>
          </cell>
          <cell r="E2271" t="str">
            <v>US Air Force</v>
          </cell>
          <cell r="F2271">
            <v>4</v>
          </cell>
          <cell r="G2271">
            <v>36175</v>
          </cell>
          <cell r="H2271" t="str">
            <v>C-37A</v>
          </cell>
          <cell r="I2271" t="str">
            <v>North America</v>
          </cell>
          <cell r="J2271" t="str">
            <v>USA</v>
          </cell>
          <cell r="K2271">
            <v>35559</v>
          </cell>
        </row>
        <row r="2272">
          <cell r="A2272" t="str">
            <v>In service</v>
          </cell>
          <cell r="B2272" t="str">
            <v>Gulfstream Aerospace Gulfstream V</v>
          </cell>
          <cell r="C2272" t="str">
            <v xml:space="preserve"> </v>
          </cell>
          <cell r="D2272">
            <v>1998</v>
          </cell>
          <cell r="E2272" t="str">
            <v>Foreign Manufacturers Finance Corp</v>
          </cell>
          <cell r="F2272">
            <v>4</v>
          </cell>
          <cell r="G2272">
            <v>35928</v>
          </cell>
          <cell r="I2272" t="str">
            <v>North America</v>
          </cell>
          <cell r="J2272" t="str">
            <v>USA</v>
          </cell>
          <cell r="K2272">
            <v>35611</v>
          </cell>
        </row>
        <row r="2273">
          <cell r="A2273" t="str">
            <v>In service</v>
          </cell>
          <cell r="B2273" t="str">
            <v>Gulfstream Aerospace Gulfstream V</v>
          </cell>
          <cell r="C2273" t="str">
            <v xml:space="preserve"> </v>
          </cell>
          <cell r="D2273">
            <v>1998</v>
          </cell>
          <cell r="E2273" t="str">
            <v>Automotive Air Charter</v>
          </cell>
          <cell r="F2273">
            <v>4</v>
          </cell>
          <cell r="G2273">
            <v>35921</v>
          </cell>
          <cell r="I2273" t="str">
            <v>North America</v>
          </cell>
          <cell r="J2273" t="str">
            <v>USA</v>
          </cell>
          <cell r="K2273">
            <v>35246</v>
          </cell>
        </row>
        <row r="2274">
          <cell r="A2274" t="str">
            <v>In service</v>
          </cell>
          <cell r="B2274" t="str">
            <v>Gulfstream Aerospace Gulfstream V</v>
          </cell>
          <cell r="C2274" t="str">
            <v xml:space="preserve"> </v>
          </cell>
          <cell r="D2274">
            <v>1998</v>
          </cell>
          <cell r="E2274" t="str">
            <v>Gulfstream Aerospace Corp</v>
          </cell>
          <cell r="F2274">
            <v>4</v>
          </cell>
          <cell r="G2274">
            <v>35933</v>
          </cell>
          <cell r="I2274" t="str">
            <v>North America</v>
          </cell>
          <cell r="J2274" t="str">
            <v>USA</v>
          </cell>
          <cell r="K2274">
            <v>35611</v>
          </cell>
        </row>
        <row r="2275">
          <cell r="A2275" t="str">
            <v>In service</v>
          </cell>
          <cell r="B2275" t="str">
            <v>Gulfstream Aerospace Gulfstream V</v>
          </cell>
          <cell r="C2275" t="str">
            <v xml:space="preserve"> </v>
          </cell>
          <cell r="D2275">
            <v>1999</v>
          </cell>
          <cell r="E2275" t="str">
            <v>Aerovics SA</v>
          </cell>
          <cell r="F2275">
            <v>3</v>
          </cell>
          <cell r="G2275">
            <v>36353</v>
          </cell>
          <cell r="I2275" t="str">
            <v>Latin America and Caribbean</v>
          </cell>
          <cell r="J2275" t="str">
            <v>Mexico</v>
          </cell>
          <cell r="K2275">
            <v>35611</v>
          </cell>
        </row>
        <row r="2276">
          <cell r="A2276" t="str">
            <v>In service</v>
          </cell>
          <cell r="B2276" t="str">
            <v>Gulfstream Aerospace Gulfstream V</v>
          </cell>
          <cell r="C2276" t="str">
            <v xml:space="preserve"> </v>
          </cell>
          <cell r="D2276">
            <v>1999</v>
          </cell>
          <cell r="E2276" t="str">
            <v>3M Co</v>
          </cell>
          <cell r="F2276">
            <v>3</v>
          </cell>
          <cell r="G2276">
            <v>36286</v>
          </cell>
          <cell r="I2276" t="str">
            <v>North America</v>
          </cell>
          <cell r="J2276" t="str">
            <v>USA</v>
          </cell>
          <cell r="K2276">
            <v>35976</v>
          </cell>
        </row>
        <row r="2277">
          <cell r="A2277" t="str">
            <v>In service</v>
          </cell>
          <cell r="B2277" t="str">
            <v>Gulfstream Aerospace Gulfstream V</v>
          </cell>
          <cell r="C2277" t="str">
            <v xml:space="preserve"> </v>
          </cell>
          <cell r="D2277">
            <v>1999</v>
          </cell>
          <cell r="E2277" t="str">
            <v>Wotan America Inc</v>
          </cell>
          <cell r="F2277">
            <v>3</v>
          </cell>
          <cell r="G2277">
            <v>36293</v>
          </cell>
          <cell r="I2277" t="str">
            <v>North America</v>
          </cell>
          <cell r="J2277" t="str">
            <v>USA</v>
          </cell>
          <cell r="K2277">
            <v>35611</v>
          </cell>
        </row>
        <row r="2278">
          <cell r="A2278" t="str">
            <v>In service</v>
          </cell>
          <cell r="B2278" t="str">
            <v>Gulfstream Aerospace Gulfstream V</v>
          </cell>
          <cell r="C2278" t="str">
            <v xml:space="preserve"> </v>
          </cell>
          <cell r="D2278">
            <v>1998</v>
          </cell>
          <cell r="E2278" t="str">
            <v>Radical Ventures LLC</v>
          </cell>
          <cell r="F2278">
            <v>4</v>
          </cell>
          <cell r="G2278">
            <v>36101</v>
          </cell>
          <cell r="I2278" t="str">
            <v>North America</v>
          </cell>
          <cell r="J2278" t="str">
            <v>USA</v>
          </cell>
          <cell r="K2278">
            <v>35611</v>
          </cell>
        </row>
        <row r="2279">
          <cell r="A2279" t="str">
            <v>In service</v>
          </cell>
          <cell r="B2279" t="str">
            <v>Gulfstream Aerospace Gulfstream V</v>
          </cell>
          <cell r="C2279" t="str">
            <v xml:space="preserve"> </v>
          </cell>
          <cell r="D2279">
            <v>1999</v>
          </cell>
          <cell r="E2279" t="str">
            <v>Automotive Air Charter</v>
          </cell>
          <cell r="F2279">
            <v>3</v>
          </cell>
          <cell r="G2279">
            <v>36297</v>
          </cell>
          <cell r="I2279" t="str">
            <v>North America</v>
          </cell>
          <cell r="J2279" t="str">
            <v>USA</v>
          </cell>
          <cell r="K2279">
            <v>35611</v>
          </cell>
        </row>
        <row r="2280">
          <cell r="A2280" t="str">
            <v>In service</v>
          </cell>
          <cell r="B2280" t="str">
            <v>Gulfstream Aerospace Gulfstream V</v>
          </cell>
          <cell r="C2280" t="str">
            <v xml:space="preserve"> </v>
          </cell>
          <cell r="D2280">
            <v>1999</v>
          </cell>
          <cell r="E2280" t="str">
            <v>Automotive Air Charter</v>
          </cell>
          <cell r="F2280">
            <v>3</v>
          </cell>
          <cell r="G2280">
            <v>36333</v>
          </cell>
          <cell r="I2280" t="str">
            <v>North America</v>
          </cell>
          <cell r="J2280" t="str">
            <v>USA</v>
          </cell>
          <cell r="K2280">
            <v>35611</v>
          </cell>
        </row>
        <row r="2281">
          <cell r="A2281" t="str">
            <v>In service</v>
          </cell>
          <cell r="B2281" t="str">
            <v>Gulfstream Aerospace Gulfstream V</v>
          </cell>
          <cell r="C2281" t="str">
            <v xml:space="preserve"> </v>
          </cell>
          <cell r="D2281">
            <v>1999</v>
          </cell>
          <cell r="E2281" t="str">
            <v>SCI Texas Funeral Services Inc</v>
          </cell>
          <cell r="F2281">
            <v>3</v>
          </cell>
          <cell r="G2281">
            <v>36403</v>
          </cell>
          <cell r="I2281" t="str">
            <v>North America</v>
          </cell>
          <cell r="J2281" t="str">
            <v>USA</v>
          </cell>
          <cell r="K2281">
            <v>35611</v>
          </cell>
        </row>
        <row r="2282">
          <cell r="A2282" t="str">
            <v>In service</v>
          </cell>
          <cell r="B2282" t="str">
            <v>Gulfstream Aerospace Gulfstream V</v>
          </cell>
          <cell r="C2282" t="str">
            <v xml:space="preserve"> </v>
          </cell>
          <cell r="D2282">
            <v>1999</v>
          </cell>
          <cell r="E2282" t="str">
            <v>MDL Consulting Associates LLC</v>
          </cell>
          <cell r="F2282">
            <v>3</v>
          </cell>
          <cell r="G2282">
            <v>36405</v>
          </cell>
          <cell r="I2282" t="str">
            <v>North America</v>
          </cell>
          <cell r="J2282" t="str">
            <v>USA</v>
          </cell>
          <cell r="K2282">
            <v>35611</v>
          </cell>
        </row>
        <row r="2283">
          <cell r="A2283" t="str">
            <v>In service</v>
          </cell>
          <cell r="B2283" t="str">
            <v>Gulfstream Aerospace Gulfstream V</v>
          </cell>
          <cell r="C2283" t="str">
            <v xml:space="preserve"> </v>
          </cell>
          <cell r="D2283">
            <v>1999</v>
          </cell>
          <cell r="E2283" t="str">
            <v>Cirrus GAS 5 LLC</v>
          </cell>
          <cell r="F2283">
            <v>3</v>
          </cell>
          <cell r="G2283">
            <v>36472</v>
          </cell>
          <cell r="I2283" t="str">
            <v>North America</v>
          </cell>
          <cell r="J2283" t="str">
            <v>USA</v>
          </cell>
          <cell r="K2283">
            <v>35611</v>
          </cell>
        </row>
        <row r="2284">
          <cell r="A2284" t="str">
            <v>In service</v>
          </cell>
          <cell r="B2284" t="str">
            <v>Gulfstream Aerospace Gulfstream V</v>
          </cell>
          <cell r="C2284" t="str">
            <v xml:space="preserve"> </v>
          </cell>
          <cell r="D2284">
            <v>1998</v>
          </cell>
          <cell r="E2284" t="str">
            <v>Rashid Engineering</v>
          </cell>
          <cell r="F2284">
            <v>4</v>
          </cell>
          <cell r="G2284">
            <v>36144</v>
          </cell>
          <cell r="I2284" t="str">
            <v>Middle East</v>
          </cell>
          <cell r="J2284" t="str">
            <v>Saudi Arabia</v>
          </cell>
          <cell r="K2284">
            <v>35611</v>
          </cell>
        </row>
        <row r="2285">
          <cell r="A2285" t="str">
            <v>In service</v>
          </cell>
          <cell r="B2285" t="str">
            <v>Gulfstream Aerospace Gulfstream V</v>
          </cell>
          <cell r="C2285" t="str">
            <v xml:space="preserve"> </v>
          </cell>
          <cell r="D2285">
            <v>1999</v>
          </cell>
          <cell r="E2285" t="str">
            <v>Rigg Bank NA</v>
          </cell>
          <cell r="F2285">
            <v>3</v>
          </cell>
          <cell r="G2285">
            <v>36432</v>
          </cell>
          <cell r="I2285" t="str">
            <v>North America</v>
          </cell>
          <cell r="J2285" t="str">
            <v>USA</v>
          </cell>
          <cell r="K2285">
            <v>35976</v>
          </cell>
        </row>
        <row r="2286">
          <cell r="A2286" t="str">
            <v>In service</v>
          </cell>
          <cell r="B2286" t="str">
            <v>Gulfstream Aerospace Gulfstream V</v>
          </cell>
          <cell r="C2286" t="str">
            <v xml:space="preserve"> </v>
          </cell>
          <cell r="D2286">
            <v>1999</v>
          </cell>
          <cell r="E2286" t="str">
            <v>3M Co</v>
          </cell>
          <cell r="F2286">
            <v>3</v>
          </cell>
          <cell r="G2286">
            <v>36341</v>
          </cell>
          <cell r="I2286" t="str">
            <v>North America</v>
          </cell>
          <cell r="J2286" t="str">
            <v>USA</v>
          </cell>
          <cell r="K2286">
            <v>35976</v>
          </cell>
        </row>
        <row r="2287">
          <cell r="A2287" t="str">
            <v>In service</v>
          </cell>
          <cell r="B2287" t="str">
            <v>Gulfstream Aerospace Gulfstream V</v>
          </cell>
          <cell r="C2287" t="str">
            <v xml:space="preserve"> </v>
          </cell>
          <cell r="D2287">
            <v>1999</v>
          </cell>
          <cell r="E2287" t="str">
            <v>BancAmerica Special Assets Corp</v>
          </cell>
          <cell r="F2287">
            <v>3</v>
          </cell>
          <cell r="G2287">
            <v>36385</v>
          </cell>
          <cell r="I2287" t="str">
            <v>North America</v>
          </cell>
          <cell r="J2287" t="str">
            <v>USA</v>
          </cell>
          <cell r="K2287">
            <v>35976</v>
          </cell>
        </row>
        <row r="2288">
          <cell r="A2288" t="str">
            <v>In service</v>
          </cell>
          <cell r="B2288" t="str">
            <v>Gulfstream Aerospace Gulfstream V</v>
          </cell>
          <cell r="C2288" t="str">
            <v xml:space="preserve"> </v>
          </cell>
          <cell r="D2288">
            <v>1999</v>
          </cell>
          <cell r="E2288" t="str">
            <v>Grand Warehouse Inc</v>
          </cell>
          <cell r="F2288">
            <v>3</v>
          </cell>
          <cell r="G2288">
            <v>36377</v>
          </cell>
          <cell r="I2288" t="str">
            <v>Asia</v>
          </cell>
          <cell r="J2288" t="str">
            <v>Japan</v>
          </cell>
          <cell r="K2288">
            <v>35976</v>
          </cell>
        </row>
        <row r="2289">
          <cell r="A2289" t="str">
            <v>In service</v>
          </cell>
          <cell r="B2289" t="str">
            <v>Gulfstream Aerospace Gulfstream V</v>
          </cell>
          <cell r="C2289" t="str">
            <v xml:space="preserve"> </v>
          </cell>
          <cell r="D2289">
            <v>1999</v>
          </cell>
          <cell r="E2289" t="str">
            <v>Government of Kuwait</v>
          </cell>
          <cell r="F2289">
            <v>3</v>
          </cell>
          <cell r="G2289">
            <v>36448</v>
          </cell>
          <cell r="I2289" t="str">
            <v>Middle East</v>
          </cell>
          <cell r="J2289" t="str">
            <v>Kuwait</v>
          </cell>
          <cell r="K2289">
            <v>35864</v>
          </cell>
        </row>
        <row r="2290">
          <cell r="A2290" t="str">
            <v>In service</v>
          </cell>
          <cell r="B2290" t="str">
            <v>Gulfstream Aerospace Gulfstream V</v>
          </cell>
          <cell r="C2290" t="str">
            <v xml:space="preserve"> </v>
          </cell>
          <cell r="D2290">
            <v>1999</v>
          </cell>
          <cell r="E2290" t="str">
            <v>Automotive Air Charter</v>
          </cell>
          <cell r="F2290">
            <v>3</v>
          </cell>
          <cell r="G2290">
            <v>36516</v>
          </cell>
          <cell r="I2290" t="str">
            <v>North America</v>
          </cell>
          <cell r="J2290" t="str">
            <v>USA</v>
          </cell>
          <cell r="K2290">
            <v>36206</v>
          </cell>
        </row>
        <row r="2291">
          <cell r="A2291" t="str">
            <v>In service</v>
          </cell>
          <cell r="B2291" t="str">
            <v>Gulfstream Aerospace Gulfstream V</v>
          </cell>
          <cell r="C2291" t="str">
            <v xml:space="preserve"> </v>
          </cell>
          <cell r="D2291">
            <v>2000</v>
          </cell>
          <cell r="E2291" t="str">
            <v>American Express</v>
          </cell>
          <cell r="F2291">
            <v>2</v>
          </cell>
          <cell r="G2291">
            <v>36649</v>
          </cell>
          <cell r="I2291" t="str">
            <v>North America</v>
          </cell>
          <cell r="J2291" t="str">
            <v>USA</v>
          </cell>
          <cell r="K2291">
            <v>35976</v>
          </cell>
        </row>
        <row r="2292">
          <cell r="A2292" t="str">
            <v>In service</v>
          </cell>
          <cell r="B2292" t="str">
            <v>Gulfstream Aerospace Gulfstream V</v>
          </cell>
          <cell r="C2292" t="str">
            <v xml:space="preserve"> </v>
          </cell>
          <cell r="D2292">
            <v>1999</v>
          </cell>
          <cell r="E2292" t="str">
            <v>Computer Associates International Inc</v>
          </cell>
          <cell r="F2292">
            <v>3</v>
          </cell>
          <cell r="G2292">
            <v>36518</v>
          </cell>
          <cell r="I2292" t="str">
            <v>North America</v>
          </cell>
          <cell r="J2292" t="str">
            <v>USA</v>
          </cell>
          <cell r="K2292">
            <v>35976</v>
          </cell>
        </row>
        <row r="2293">
          <cell r="A2293" t="str">
            <v>In service</v>
          </cell>
          <cell r="B2293" t="str">
            <v>Gulfstream Aerospace Gulfstream V</v>
          </cell>
          <cell r="C2293" t="str">
            <v xml:space="preserve"> </v>
          </cell>
          <cell r="D2293">
            <v>1999</v>
          </cell>
          <cell r="E2293" t="str">
            <v>Prime Resources LLC</v>
          </cell>
          <cell r="F2293">
            <v>3</v>
          </cell>
          <cell r="I2293" t="str">
            <v>North America</v>
          </cell>
          <cell r="J2293" t="str">
            <v>USA</v>
          </cell>
        </row>
        <row r="2294">
          <cell r="A2294" t="str">
            <v>In service</v>
          </cell>
          <cell r="B2294" t="str">
            <v>Gulfstream Aerospace Gulfstream V</v>
          </cell>
          <cell r="C2294" t="str">
            <v xml:space="preserve"> </v>
          </cell>
          <cell r="D2294">
            <v>1999</v>
          </cell>
          <cell r="E2294" t="str">
            <v>Pfizer Inc</v>
          </cell>
          <cell r="F2294">
            <v>3</v>
          </cell>
          <cell r="G2294">
            <v>36426</v>
          </cell>
          <cell r="I2294" t="str">
            <v>North America</v>
          </cell>
          <cell r="J2294" t="str">
            <v>USA</v>
          </cell>
          <cell r="K2294">
            <v>35976</v>
          </cell>
        </row>
        <row r="2295">
          <cell r="A2295" t="str">
            <v>In service</v>
          </cell>
          <cell r="B2295" t="str">
            <v>Gulfstream Aerospace Gulfstream V</v>
          </cell>
          <cell r="C2295" t="str">
            <v xml:space="preserve"> </v>
          </cell>
          <cell r="D2295">
            <v>1999</v>
          </cell>
          <cell r="E2295" t="str">
            <v>US Army</v>
          </cell>
          <cell r="F2295">
            <v>3</v>
          </cell>
          <cell r="G2295">
            <v>36448</v>
          </cell>
          <cell r="H2295" t="str">
            <v>C-37A</v>
          </cell>
          <cell r="I2295" t="str">
            <v>North America</v>
          </cell>
          <cell r="J2295" t="str">
            <v>USA</v>
          </cell>
          <cell r="K2295">
            <v>35880</v>
          </cell>
        </row>
        <row r="2296">
          <cell r="A2296" t="str">
            <v>In service</v>
          </cell>
          <cell r="B2296" t="str">
            <v>Gulfstream Aerospace Gulfstream V</v>
          </cell>
          <cell r="C2296" t="str">
            <v xml:space="preserve"> </v>
          </cell>
          <cell r="D2296">
            <v>1999</v>
          </cell>
          <cell r="E2296" t="str">
            <v>3M Co</v>
          </cell>
          <cell r="F2296">
            <v>3</v>
          </cell>
          <cell r="G2296">
            <v>36426</v>
          </cell>
          <cell r="I2296" t="str">
            <v>North America</v>
          </cell>
          <cell r="J2296" t="str">
            <v>USA</v>
          </cell>
          <cell r="K2296">
            <v>35976</v>
          </cell>
        </row>
        <row r="2297">
          <cell r="A2297" t="str">
            <v>In service</v>
          </cell>
          <cell r="B2297" t="str">
            <v>Gulfstream Aerospace Gulfstream V</v>
          </cell>
          <cell r="C2297" t="str">
            <v xml:space="preserve"> </v>
          </cell>
          <cell r="D2297">
            <v>1999</v>
          </cell>
          <cell r="E2297" t="str">
            <v>Jetclub AG</v>
          </cell>
          <cell r="F2297">
            <v>3</v>
          </cell>
          <cell r="G2297">
            <v>36462</v>
          </cell>
          <cell r="I2297" t="str">
            <v>Europe</v>
          </cell>
          <cell r="J2297" t="str">
            <v>Switzerland</v>
          </cell>
          <cell r="K2297">
            <v>35611</v>
          </cell>
        </row>
        <row r="2298">
          <cell r="A2298" t="str">
            <v>In service</v>
          </cell>
          <cell r="B2298" t="str">
            <v>Gulfstream Aerospace Gulfstream V</v>
          </cell>
          <cell r="C2298" t="str">
            <v xml:space="preserve"> </v>
          </cell>
          <cell r="D2298">
            <v>1999</v>
          </cell>
          <cell r="E2298" t="str">
            <v>Government of Kuwait</v>
          </cell>
          <cell r="F2298">
            <v>3</v>
          </cell>
          <cell r="G2298">
            <v>36514</v>
          </cell>
          <cell r="I2298" t="str">
            <v>Middle East</v>
          </cell>
          <cell r="J2298" t="str">
            <v>Kuwait</v>
          </cell>
          <cell r="K2298">
            <v>35841</v>
          </cell>
        </row>
        <row r="2299">
          <cell r="A2299" t="str">
            <v>In service</v>
          </cell>
          <cell r="B2299" t="str">
            <v>Gulfstream Aerospace Gulfstream V</v>
          </cell>
          <cell r="C2299" t="str">
            <v xml:space="preserve"> </v>
          </cell>
          <cell r="D2299">
            <v>1999</v>
          </cell>
          <cell r="E2299" t="str">
            <v>Avjet Corp</v>
          </cell>
          <cell r="F2299">
            <v>3</v>
          </cell>
          <cell r="G2299">
            <v>36523</v>
          </cell>
          <cell r="I2299" t="str">
            <v>North America</v>
          </cell>
          <cell r="J2299" t="str">
            <v>USA</v>
          </cell>
          <cell r="K2299">
            <v>35611</v>
          </cell>
        </row>
        <row r="2300">
          <cell r="A2300" t="str">
            <v>In service</v>
          </cell>
          <cell r="B2300" t="str">
            <v>Gulfstream Aerospace Gulfstream V</v>
          </cell>
          <cell r="C2300" t="str">
            <v xml:space="preserve"> </v>
          </cell>
          <cell r="D2300">
            <v>1999</v>
          </cell>
          <cell r="E2300" t="str">
            <v>US Air Force</v>
          </cell>
          <cell r="F2300">
            <v>3</v>
          </cell>
          <cell r="G2300">
            <v>36579</v>
          </cell>
          <cell r="H2300" t="str">
            <v>C-37A</v>
          </cell>
          <cell r="I2300" t="str">
            <v>North America</v>
          </cell>
          <cell r="J2300" t="str">
            <v>USA</v>
          </cell>
          <cell r="K2300">
            <v>36222</v>
          </cell>
        </row>
        <row r="2301">
          <cell r="A2301" t="str">
            <v>In service</v>
          </cell>
          <cell r="B2301" t="str">
            <v>Gulfstream Aerospace Gulfstream V</v>
          </cell>
          <cell r="C2301" t="str">
            <v xml:space="preserve"> </v>
          </cell>
          <cell r="D2301">
            <v>1999</v>
          </cell>
          <cell r="E2301" t="str">
            <v>Government of Kuwait</v>
          </cell>
          <cell r="F2301">
            <v>3</v>
          </cell>
          <cell r="G2301">
            <v>36567</v>
          </cell>
          <cell r="I2301" t="str">
            <v>Middle East</v>
          </cell>
          <cell r="J2301" t="str">
            <v>Kuwait</v>
          </cell>
          <cell r="K2301">
            <v>35864</v>
          </cell>
        </row>
        <row r="2302">
          <cell r="A2302" t="str">
            <v>In service</v>
          </cell>
          <cell r="B2302" t="str">
            <v>Gulfstream Aerospace Gulfstream V</v>
          </cell>
          <cell r="C2302" t="str">
            <v xml:space="preserve"> </v>
          </cell>
          <cell r="D2302">
            <v>1999</v>
          </cell>
          <cell r="E2302" t="str">
            <v>NIKE Inc</v>
          </cell>
          <cell r="F2302">
            <v>3</v>
          </cell>
          <cell r="G2302">
            <v>36560</v>
          </cell>
          <cell r="I2302" t="str">
            <v>North America</v>
          </cell>
          <cell r="J2302" t="str">
            <v>USA</v>
          </cell>
          <cell r="K2302">
            <v>35611</v>
          </cell>
        </row>
        <row r="2303">
          <cell r="A2303" t="str">
            <v>In service</v>
          </cell>
          <cell r="B2303" t="str">
            <v>Gulfstream Aerospace Gulfstream V</v>
          </cell>
          <cell r="C2303" t="str">
            <v xml:space="preserve"> </v>
          </cell>
          <cell r="D2303">
            <v>1999</v>
          </cell>
          <cell r="E2303" t="str">
            <v>Bristol-Myers Squibb Company</v>
          </cell>
          <cell r="F2303">
            <v>3</v>
          </cell>
          <cell r="G2303">
            <v>36530</v>
          </cell>
          <cell r="I2303" t="str">
            <v>North America</v>
          </cell>
          <cell r="J2303" t="str">
            <v>USA</v>
          </cell>
          <cell r="K2303">
            <v>35611</v>
          </cell>
        </row>
        <row r="2304">
          <cell r="A2304" t="str">
            <v>In service</v>
          </cell>
          <cell r="B2304" t="str">
            <v>Gulfstream Aerospace Gulfstream V</v>
          </cell>
          <cell r="C2304" t="str">
            <v xml:space="preserve"> </v>
          </cell>
          <cell r="D2304">
            <v>1999</v>
          </cell>
          <cell r="E2304" t="str">
            <v>The Air Group Inc</v>
          </cell>
          <cell r="F2304">
            <v>3</v>
          </cell>
          <cell r="G2304">
            <v>36517</v>
          </cell>
          <cell r="I2304" t="str">
            <v>North America</v>
          </cell>
          <cell r="J2304" t="str">
            <v>USA</v>
          </cell>
          <cell r="K2304">
            <v>36341</v>
          </cell>
        </row>
        <row r="2305">
          <cell r="A2305" t="str">
            <v>In service</v>
          </cell>
          <cell r="B2305" t="str">
            <v>Gulfstream Aerospace Gulfstream V</v>
          </cell>
          <cell r="C2305" t="str">
            <v xml:space="preserve"> </v>
          </cell>
          <cell r="D2305">
            <v>2000</v>
          </cell>
          <cell r="E2305" t="str">
            <v>Neet Air AG</v>
          </cell>
          <cell r="F2305">
            <v>2</v>
          </cell>
          <cell r="G2305">
            <v>36574</v>
          </cell>
          <cell r="I2305" t="str">
            <v>Europe</v>
          </cell>
          <cell r="J2305" t="str">
            <v>Switzerland</v>
          </cell>
          <cell r="K2305">
            <v>35611</v>
          </cell>
        </row>
        <row r="2306">
          <cell r="A2306" t="str">
            <v>In service</v>
          </cell>
          <cell r="B2306" t="str">
            <v>Gulfstream Aerospace Gulfstream V</v>
          </cell>
          <cell r="C2306" t="str">
            <v xml:space="preserve"> </v>
          </cell>
          <cell r="D2306">
            <v>1999</v>
          </cell>
          <cell r="E2306" t="str">
            <v>Norman Aircraft Leasing Inc</v>
          </cell>
          <cell r="F2306">
            <v>3</v>
          </cell>
          <cell r="G2306">
            <v>36529</v>
          </cell>
          <cell r="I2306" t="str">
            <v>North America</v>
          </cell>
          <cell r="J2306" t="str">
            <v>USA</v>
          </cell>
          <cell r="K2306">
            <v>35976</v>
          </cell>
        </row>
        <row r="2307">
          <cell r="A2307" t="str">
            <v>In service</v>
          </cell>
          <cell r="B2307" t="str">
            <v>Gulfstream Aerospace Gulfstream V</v>
          </cell>
          <cell r="C2307" t="str">
            <v xml:space="preserve"> </v>
          </cell>
          <cell r="D2307">
            <v>1999</v>
          </cell>
          <cell r="E2307" t="str">
            <v>3M Co</v>
          </cell>
          <cell r="F2307">
            <v>3</v>
          </cell>
          <cell r="G2307">
            <v>36516</v>
          </cell>
          <cell r="I2307" t="str">
            <v>North America</v>
          </cell>
          <cell r="J2307" t="str">
            <v>USA</v>
          </cell>
          <cell r="K2307">
            <v>35611</v>
          </cell>
        </row>
        <row r="2308">
          <cell r="A2308" t="str">
            <v>In service</v>
          </cell>
          <cell r="B2308" t="str">
            <v>Gulfstream Aerospace Gulfstream V</v>
          </cell>
          <cell r="C2308" t="str">
            <v xml:space="preserve"> </v>
          </cell>
          <cell r="D2308">
            <v>1999</v>
          </cell>
          <cell r="E2308" t="str">
            <v>Cox Aviation Inc</v>
          </cell>
          <cell r="F2308">
            <v>3</v>
          </cell>
          <cell r="G2308">
            <v>36602</v>
          </cell>
          <cell r="I2308" t="str">
            <v>North America</v>
          </cell>
          <cell r="J2308" t="str">
            <v>USA</v>
          </cell>
          <cell r="K2308">
            <v>35976</v>
          </cell>
        </row>
        <row r="2309">
          <cell r="A2309" t="str">
            <v>In service</v>
          </cell>
          <cell r="B2309" t="str">
            <v>Gulfstream Aerospace Gulfstream V</v>
          </cell>
          <cell r="C2309" t="str">
            <v xml:space="preserve"> </v>
          </cell>
          <cell r="D2309">
            <v>1999</v>
          </cell>
          <cell r="E2309" t="str">
            <v>Premier Executive Transport Services Inc</v>
          </cell>
          <cell r="F2309">
            <v>3</v>
          </cell>
          <cell r="G2309">
            <v>36482</v>
          </cell>
          <cell r="I2309" t="str">
            <v>North America</v>
          </cell>
          <cell r="J2309" t="str">
            <v>USA</v>
          </cell>
          <cell r="K2309">
            <v>35976</v>
          </cell>
        </row>
        <row r="2310">
          <cell r="A2310" t="str">
            <v>In service</v>
          </cell>
          <cell r="B2310" t="str">
            <v>Gulfstream Aerospace Gulfstream V</v>
          </cell>
          <cell r="C2310" t="str">
            <v xml:space="preserve"> </v>
          </cell>
          <cell r="D2310">
            <v>2000</v>
          </cell>
          <cell r="E2310" t="str">
            <v>Telefonica Internacional SA</v>
          </cell>
          <cell r="F2310">
            <v>2</v>
          </cell>
          <cell r="G2310">
            <v>36703</v>
          </cell>
          <cell r="I2310" t="str">
            <v>Europe</v>
          </cell>
          <cell r="J2310" t="str">
            <v>Spain</v>
          </cell>
          <cell r="K2310">
            <v>35976</v>
          </cell>
        </row>
        <row r="2311">
          <cell r="A2311" t="str">
            <v>In service</v>
          </cell>
          <cell r="B2311" t="str">
            <v>Gulfstream Aerospace Gulfstream V</v>
          </cell>
          <cell r="C2311" t="str">
            <v xml:space="preserve"> </v>
          </cell>
          <cell r="D2311">
            <v>2000</v>
          </cell>
          <cell r="E2311" t="str">
            <v>Saudi Aeromedical Evacuation</v>
          </cell>
          <cell r="F2311">
            <v>2</v>
          </cell>
          <cell r="G2311">
            <v>36762</v>
          </cell>
          <cell r="I2311" t="str">
            <v>Middle East</v>
          </cell>
          <cell r="J2311" t="str">
            <v>Saudi Arabia</v>
          </cell>
          <cell r="K2311">
            <v>36707</v>
          </cell>
        </row>
        <row r="2312">
          <cell r="A2312" t="str">
            <v>In service</v>
          </cell>
          <cell r="B2312" t="str">
            <v>Gulfstream Aerospace Gulfstream V</v>
          </cell>
          <cell r="C2312" t="str">
            <v xml:space="preserve"> </v>
          </cell>
          <cell r="D2312">
            <v>2000</v>
          </cell>
          <cell r="E2312" t="str">
            <v>Electronic Data Systems Corp</v>
          </cell>
          <cell r="F2312">
            <v>2</v>
          </cell>
          <cell r="G2312">
            <v>36644</v>
          </cell>
          <cell r="I2312" t="str">
            <v>North America</v>
          </cell>
          <cell r="J2312" t="str">
            <v>USA</v>
          </cell>
          <cell r="K2312">
            <v>35976</v>
          </cell>
        </row>
        <row r="2313">
          <cell r="A2313" t="str">
            <v>In service</v>
          </cell>
          <cell r="B2313" t="str">
            <v>Gulfstream Aerospace Gulfstream V</v>
          </cell>
          <cell r="C2313" t="str">
            <v xml:space="preserve"> </v>
          </cell>
          <cell r="D2313">
            <v>1999</v>
          </cell>
          <cell r="E2313" t="str">
            <v>Business Aircraft Corp</v>
          </cell>
          <cell r="F2313">
            <v>3</v>
          </cell>
          <cell r="G2313">
            <v>36446</v>
          </cell>
          <cell r="I2313" t="str">
            <v>North America</v>
          </cell>
          <cell r="J2313" t="str">
            <v>USA</v>
          </cell>
          <cell r="K2313">
            <v>35976</v>
          </cell>
        </row>
        <row r="2314">
          <cell r="A2314" t="str">
            <v>In service</v>
          </cell>
          <cell r="B2314" t="str">
            <v>Gulfstream Aerospace Gulfstream V</v>
          </cell>
          <cell r="C2314" t="str">
            <v xml:space="preserve"> </v>
          </cell>
          <cell r="D2314">
            <v>2001</v>
          </cell>
          <cell r="E2314" t="str">
            <v>Steven Jobs</v>
          </cell>
          <cell r="F2314">
            <v>1</v>
          </cell>
          <cell r="G2314">
            <v>37036</v>
          </cell>
          <cell r="I2314" t="str">
            <v>North America</v>
          </cell>
          <cell r="J2314" t="str">
            <v>USA</v>
          </cell>
          <cell r="K2314">
            <v>35976</v>
          </cell>
        </row>
        <row r="2315">
          <cell r="A2315" t="str">
            <v>In service</v>
          </cell>
          <cell r="B2315" t="str">
            <v>Gulfstream Aerospace Gulfstream V</v>
          </cell>
          <cell r="C2315" t="str">
            <v xml:space="preserve"> </v>
          </cell>
          <cell r="D2315">
            <v>2000</v>
          </cell>
          <cell r="E2315" t="str">
            <v>Ford Motor Co</v>
          </cell>
          <cell r="F2315">
            <v>2</v>
          </cell>
          <cell r="G2315">
            <v>36696</v>
          </cell>
          <cell r="I2315" t="str">
            <v>North America</v>
          </cell>
          <cell r="J2315" t="str">
            <v>USA</v>
          </cell>
          <cell r="K2315">
            <v>36341</v>
          </cell>
        </row>
        <row r="2316">
          <cell r="A2316" t="str">
            <v>In service</v>
          </cell>
          <cell r="B2316" t="str">
            <v>Gulfstream Aerospace Gulfstream V</v>
          </cell>
          <cell r="C2316" t="str">
            <v xml:space="preserve"> </v>
          </cell>
          <cell r="D2316">
            <v>2000</v>
          </cell>
          <cell r="E2316" t="str">
            <v>Fairmonth Aviation Co Ltd</v>
          </cell>
          <cell r="F2316">
            <v>2</v>
          </cell>
          <cell r="G2316">
            <v>36699</v>
          </cell>
          <cell r="I2316" t="str">
            <v>Latin America and Caribbean</v>
          </cell>
          <cell r="J2316" t="str">
            <v>Bermuda</v>
          </cell>
          <cell r="K2316">
            <v>36045</v>
          </cell>
        </row>
        <row r="2317">
          <cell r="A2317" t="str">
            <v>In service</v>
          </cell>
          <cell r="B2317" t="str">
            <v>Gulfstream Aerospace Gulfstream V</v>
          </cell>
          <cell r="C2317" t="str">
            <v xml:space="preserve"> </v>
          </cell>
          <cell r="D2317">
            <v>2000</v>
          </cell>
          <cell r="E2317" t="str">
            <v>United Coal Co</v>
          </cell>
          <cell r="F2317">
            <v>2</v>
          </cell>
          <cell r="G2317">
            <v>36707</v>
          </cell>
          <cell r="I2317" t="str">
            <v>North America</v>
          </cell>
          <cell r="J2317" t="str">
            <v>USA</v>
          </cell>
          <cell r="K2317">
            <v>35976</v>
          </cell>
        </row>
        <row r="2318">
          <cell r="A2318" t="str">
            <v>In service</v>
          </cell>
          <cell r="B2318" t="str">
            <v>Gulfstream Aerospace Gulfstream V</v>
          </cell>
          <cell r="C2318" t="str">
            <v xml:space="preserve"> </v>
          </cell>
          <cell r="D2318">
            <v>2000</v>
          </cell>
          <cell r="E2318" t="str">
            <v>US Air Force</v>
          </cell>
          <cell r="F2318">
            <v>2</v>
          </cell>
          <cell r="G2318">
            <v>36862</v>
          </cell>
          <cell r="H2318" t="str">
            <v>C-37A</v>
          </cell>
          <cell r="I2318" t="str">
            <v>North America</v>
          </cell>
          <cell r="J2318" t="str">
            <v>USA</v>
          </cell>
          <cell r="K2318">
            <v>36256</v>
          </cell>
        </row>
        <row r="2319">
          <cell r="A2319" t="str">
            <v>In service</v>
          </cell>
          <cell r="B2319" t="str">
            <v>Gulfstream Aerospace Gulfstream V</v>
          </cell>
          <cell r="C2319" t="str">
            <v xml:space="preserve"> </v>
          </cell>
          <cell r="D2319">
            <v>2000</v>
          </cell>
          <cell r="E2319" t="str">
            <v>Ford Motor Co</v>
          </cell>
          <cell r="F2319">
            <v>2</v>
          </cell>
          <cell r="G2319">
            <v>36739</v>
          </cell>
          <cell r="I2319" t="str">
            <v>North America</v>
          </cell>
          <cell r="J2319" t="str">
            <v>USA</v>
          </cell>
          <cell r="K2319">
            <v>36341</v>
          </cell>
        </row>
        <row r="2320">
          <cell r="A2320" t="str">
            <v>In service</v>
          </cell>
          <cell r="B2320" t="str">
            <v>Gulfstream Aerospace Gulfstream V</v>
          </cell>
          <cell r="C2320" t="str">
            <v xml:space="preserve"> </v>
          </cell>
          <cell r="D2320">
            <v>2000</v>
          </cell>
          <cell r="E2320" t="str">
            <v>Time Works leasing LLC</v>
          </cell>
          <cell r="F2320">
            <v>2</v>
          </cell>
          <cell r="G2320">
            <v>36760</v>
          </cell>
          <cell r="I2320" t="str">
            <v>North America</v>
          </cell>
          <cell r="J2320" t="str">
            <v>USA</v>
          </cell>
          <cell r="K2320">
            <v>35976</v>
          </cell>
        </row>
        <row r="2321">
          <cell r="A2321" t="str">
            <v>In service</v>
          </cell>
          <cell r="B2321" t="str">
            <v>Gulfstream Aerospace Gulfstream V</v>
          </cell>
          <cell r="C2321" t="str">
            <v xml:space="preserve"> </v>
          </cell>
          <cell r="D2321">
            <v>1999</v>
          </cell>
          <cell r="E2321" t="str">
            <v>ALBA Servici Aerotrasporti SpA</v>
          </cell>
          <cell r="F2321">
            <v>3</v>
          </cell>
          <cell r="G2321">
            <v>36517</v>
          </cell>
          <cell r="I2321" t="str">
            <v>Europe</v>
          </cell>
          <cell r="J2321" t="str">
            <v>Italy</v>
          </cell>
          <cell r="K2321">
            <v>35976</v>
          </cell>
        </row>
        <row r="2322">
          <cell r="A2322" t="str">
            <v>In service</v>
          </cell>
          <cell r="B2322" t="str">
            <v>Gulfstream Aerospace Gulfstream V</v>
          </cell>
          <cell r="C2322" t="str">
            <v xml:space="preserve"> </v>
          </cell>
          <cell r="D2322">
            <v>2000</v>
          </cell>
          <cell r="E2322" t="str">
            <v>3M Co</v>
          </cell>
          <cell r="F2322">
            <v>2</v>
          </cell>
          <cell r="G2322">
            <v>36797</v>
          </cell>
          <cell r="I2322" t="str">
            <v>North America</v>
          </cell>
          <cell r="J2322" t="str">
            <v>USA</v>
          </cell>
          <cell r="K2322">
            <v>35611</v>
          </cell>
        </row>
        <row r="2323">
          <cell r="A2323" t="str">
            <v>In service</v>
          </cell>
          <cell r="B2323" t="str">
            <v>Gulfstream Aerospace Gulfstream V</v>
          </cell>
          <cell r="C2323" t="str">
            <v xml:space="preserve"> </v>
          </cell>
          <cell r="D2323">
            <v>2000</v>
          </cell>
          <cell r="E2323" t="str">
            <v>El Paso Natural Gas Co</v>
          </cell>
          <cell r="F2323">
            <v>2</v>
          </cell>
          <cell r="G2323">
            <v>36777</v>
          </cell>
          <cell r="I2323" t="str">
            <v>North America</v>
          </cell>
          <cell r="J2323" t="str">
            <v>USA</v>
          </cell>
          <cell r="K2323">
            <v>35611</v>
          </cell>
        </row>
        <row r="2324">
          <cell r="A2324" t="str">
            <v>In service</v>
          </cell>
          <cell r="B2324" t="str">
            <v>Gulfstream Aerospace Gulfstream V</v>
          </cell>
          <cell r="C2324" t="str">
            <v xml:space="preserve"> </v>
          </cell>
          <cell r="D2324">
            <v>2001</v>
          </cell>
          <cell r="E2324" t="str">
            <v>US Department of Justice - US Marshals Service</v>
          </cell>
          <cell r="F2324">
            <v>1</v>
          </cell>
          <cell r="G2324">
            <v>37146</v>
          </cell>
          <cell r="H2324" t="str">
            <v>C-37A</v>
          </cell>
          <cell r="I2324" t="str">
            <v>North America</v>
          </cell>
          <cell r="J2324" t="str">
            <v>USA</v>
          </cell>
          <cell r="K2324">
            <v>36256</v>
          </cell>
        </row>
        <row r="2325">
          <cell r="A2325" t="str">
            <v>In service</v>
          </cell>
          <cell r="B2325" t="str">
            <v>Gulfstream Aerospace Gulfstream V</v>
          </cell>
          <cell r="C2325" t="str">
            <v xml:space="preserve"> </v>
          </cell>
          <cell r="D2325">
            <v>2000</v>
          </cell>
          <cell r="E2325" t="str">
            <v>Marathon Oil Co</v>
          </cell>
          <cell r="F2325">
            <v>2</v>
          </cell>
          <cell r="G2325">
            <v>36798</v>
          </cell>
          <cell r="I2325" t="str">
            <v>North America</v>
          </cell>
          <cell r="J2325" t="str">
            <v>USA</v>
          </cell>
          <cell r="K2325">
            <v>36341</v>
          </cell>
        </row>
        <row r="2326">
          <cell r="A2326" t="str">
            <v>In service</v>
          </cell>
          <cell r="B2326" t="str">
            <v>Gulfstream Aerospace Gulfstream V</v>
          </cell>
          <cell r="C2326" t="str">
            <v xml:space="preserve"> </v>
          </cell>
          <cell r="D2326">
            <v>2000</v>
          </cell>
          <cell r="E2326" t="str">
            <v>Friedkin Aviation/Gulf States Toyota/Friedkin Co</v>
          </cell>
          <cell r="F2326">
            <v>2</v>
          </cell>
          <cell r="G2326">
            <v>36601</v>
          </cell>
          <cell r="I2326" t="str">
            <v>North America</v>
          </cell>
          <cell r="J2326" t="str">
            <v>USA</v>
          </cell>
          <cell r="K2326">
            <v>35976</v>
          </cell>
        </row>
        <row r="2327">
          <cell r="A2327" t="str">
            <v>In service</v>
          </cell>
          <cell r="B2327" t="str">
            <v>Gulfstream Aerospace Gulfstream V</v>
          </cell>
          <cell r="C2327" t="str">
            <v xml:space="preserve"> </v>
          </cell>
          <cell r="D2327">
            <v>2000</v>
          </cell>
          <cell r="E2327" t="str">
            <v>MESH II LLC</v>
          </cell>
          <cell r="F2327">
            <v>2</v>
          </cell>
          <cell r="G2327">
            <v>36920</v>
          </cell>
          <cell r="I2327" t="str">
            <v>North America</v>
          </cell>
          <cell r="J2327" t="str">
            <v>USA</v>
          </cell>
          <cell r="K2327">
            <v>36341</v>
          </cell>
        </row>
        <row r="2328">
          <cell r="A2328" t="str">
            <v>In service</v>
          </cell>
          <cell r="B2328" t="str">
            <v>Gulfstream Aerospace Gulfstream V</v>
          </cell>
          <cell r="C2328" t="str">
            <v xml:space="preserve"> </v>
          </cell>
          <cell r="D2328">
            <v>2000</v>
          </cell>
          <cell r="E2328" t="str">
            <v>Mac Holdings (America) Inc</v>
          </cell>
          <cell r="F2328">
            <v>2</v>
          </cell>
          <cell r="G2328">
            <v>36850</v>
          </cell>
          <cell r="I2328" t="str">
            <v>North America</v>
          </cell>
          <cell r="J2328" t="str">
            <v>USA</v>
          </cell>
          <cell r="K2328">
            <v>35976</v>
          </cell>
        </row>
        <row r="2329">
          <cell r="A2329" t="str">
            <v>In service</v>
          </cell>
          <cell r="B2329" t="str">
            <v>Gulfstream Aerospace Gulfstream V</v>
          </cell>
          <cell r="C2329" t="str">
            <v xml:space="preserve"> </v>
          </cell>
          <cell r="D2329">
            <v>2000</v>
          </cell>
          <cell r="E2329" t="str">
            <v>Netjets International</v>
          </cell>
          <cell r="F2329">
            <v>2</v>
          </cell>
          <cell r="G2329">
            <v>36882</v>
          </cell>
          <cell r="I2329" t="str">
            <v>North America</v>
          </cell>
          <cell r="J2329" t="str">
            <v>USA</v>
          </cell>
          <cell r="K2329">
            <v>35311</v>
          </cell>
        </row>
        <row r="2330">
          <cell r="A2330" t="str">
            <v>In service</v>
          </cell>
          <cell r="B2330" t="str">
            <v>Gulfstream Aerospace Gulfstream V</v>
          </cell>
          <cell r="C2330" t="str">
            <v xml:space="preserve"> </v>
          </cell>
          <cell r="D2330">
            <v>2000</v>
          </cell>
          <cell r="E2330" t="str">
            <v>Dennis Vanguard (Switchgear) Ltd</v>
          </cell>
          <cell r="F2330">
            <v>2</v>
          </cell>
          <cell r="G2330">
            <v>36860</v>
          </cell>
          <cell r="I2330" t="str">
            <v>Europe</v>
          </cell>
          <cell r="J2330" t="str">
            <v>United Kingdom</v>
          </cell>
          <cell r="K2330">
            <v>36045</v>
          </cell>
        </row>
        <row r="2331">
          <cell r="A2331" t="str">
            <v>In service</v>
          </cell>
          <cell r="B2331" t="str">
            <v>Gulfstream Aerospace Gulfstream V</v>
          </cell>
          <cell r="C2331" t="str">
            <v xml:space="preserve"> </v>
          </cell>
          <cell r="D2331">
            <v>2000</v>
          </cell>
          <cell r="E2331" t="str">
            <v>Schering Plough Corp</v>
          </cell>
          <cell r="F2331">
            <v>2</v>
          </cell>
          <cell r="G2331">
            <v>36889</v>
          </cell>
          <cell r="I2331" t="str">
            <v>North America</v>
          </cell>
          <cell r="J2331" t="str">
            <v>USA</v>
          </cell>
          <cell r="K2331">
            <v>35976</v>
          </cell>
        </row>
        <row r="2332">
          <cell r="A2332" t="str">
            <v>In service</v>
          </cell>
          <cell r="B2332" t="str">
            <v>Gulfstream Aerospace Gulfstream V</v>
          </cell>
          <cell r="C2332" t="str">
            <v xml:space="preserve"> </v>
          </cell>
          <cell r="D2332">
            <v>2000</v>
          </cell>
          <cell r="E2332" t="str">
            <v>Dessarrollo Milaz SA de CV</v>
          </cell>
          <cell r="F2332">
            <v>2</v>
          </cell>
          <cell r="G2332">
            <v>36880</v>
          </cell>
          <cell r="I2332" t="str">
            <v>Latin America and Caribbean</v>
          </cell>
          <cell r="J2332" t="str">
            <v>Mexico</v>
          </cell>
          <cell r="K2332">
            <v>35976</v>
          </cell>
        </row>
        <row r="2333">
          <cell r="A2333" t="str">
            <v>In service</v>
          </cell>
          <cell r="B2333" t="str">
            <v>Gulfstream Aerospace Gulfstream V</v>
          </cell>
          <cell r="C2333" t="str">
            <v xml:space="preserve"> </v>
          </cell>
          <cell r="D2333">
            <v>2000</v>
          </cell>
          <cell r="E2333" t="str">
            <v>Simon Aviation Inc</v>
          </cell>
          <cell r="F2333">
            <v>2</v>
          </cell>
          <cell r="G2333">
            <v>36682</v>
          </cell>
          <cell r="I2333" t="str">
            <v>North America</v>
          </cell>
          <cell r="J2333" t="str">
            <v>USA</v>
          </cell>
          <cell r="K2333">
            <v>36509</v>
          </cell>
        </row>
        <row r="2334">
          <cell r="A2334" t="str">
            <v>In service</v>
          </cell>
          <cell r="B2334" t="str">
            <v>Gulfstream Aerospace Gulfstream V</v>
          </cell>
          <cell r="C2334" t="str">
            <v xml:space="preserve"> </v>
          </cell>
          <cell r="D2334">
            <v>2000</v>
          </cell>
          <cell r="E2334" t="str">
            <v>Simon Aviation Inc</v>
          </cell>
          <cell r="F2334">
            <v>2</v>
          </cell>
          <cell r="G2334">
            <v>36693</v>
          </cell>
          <cell r="I2334" t="str">
            <v>North America</v>
          </cell>
          <cell r="J2334" t="str">
            <v>USA</v>
          </cell>
          <cell r="K2334">
            <v>36509</v>
          </cell>
        </row>
        <row r="2335">
          <cell r="A2335" t="str">
            <v>In service</v>
          </cell>
          <cell r="B2335" t="str">
            <v>Gulfstream Aerospace Gulfstream V</v>
          </cell>
          <cell r="C2335" t="str">
            <v xml:space="preserve"> </v>
          </cell>
          <cell r="D2335">
            <v>2000</v>
          </cell>
          <cell r="E2335" t="str">
            <v>Nebula Ltd</v>
          </cell>
          <cell r="F2335">
            <v>2</v>
          </cell>
          <cell r="G2335">
            <v>36846</v>
          </cell>
          <cell r="I2335" t="str">
            <v>Latin America and Caribbean</v>
          </cell>
          <cell r="J2335" t="str">
            <v>Bermuda</v>
          </cell>
          <cell r="K2335">
            <v>36341</v>
          </cell>
        </row>
        <row r="2336">
          <cell r="A2336" t="str">
            <v>In service</v>
          </cell>
          <cell r="B2336" t="str">
            <v>Gulfstream Aerospace Gulfstream V</v>
          </cell>
          <cell r="C2336" t="str">
            <v xml:space="preserve"> </v>
          </cell>
          <cell r="D2336">
            <v>2000</v>
          </cell>
          <cell r="E2336" t="str">
            <v>Lexair II Ltd</v>
          </cell>
          <cell r="F2336">
            <v>2</v>
          </cell>
          <cell r="G2336">
            <v>36889</v>
          </cell>
          <cell r="I2336" t="str">
            <v>North America</v>
          </cell>
          <cell r="J2336" t="str">
            <v>USA</v>
          </cell>
          <cell r="K2336">
            <v>35976</v>
          </cell>
        </row>
        <row r="2337">
          <cell r="A2337" t="str">
            <v>In service</v>
          </cell>
          <cell r="B2337" t="str">
            <v>Gulfstream Aerospace Gulfstream V</v>
          </cell>
          <cell r="C2337" t="str">
            <v xml:space="preserve"> </v>
          </cell>
          <cell r="D2337">
            <v>2001</v>
          </cell>
          <cell r="E2337" t="str">
            <v>M B &amp; S G Geliebter Trustees</v>
          </cell>
          <cell r="F2337">
            <v>1</v>
          </cell>
          <cell r="G2337">
            <v>36977</v>
          </cell>
          <cell r="I2337" t="str">
            <v>North America</v>
          </cell>
          <cell r="J2337" t="str">
            <v>USA</v>
          </cell>
          <cell r="K2337">
            <v>35976</v>
          </cell>
        </row>
        <row r="2338">
          <cell r="A2338" t="str">
            <v>In service</v>
          </cell>
          <cell r="B2338" t="str">
            <v>Gulfstream Aerospace Gulfstream V</v>
          </cell>
          <cell r="C2338" t="str">
            <v xml:space="preserve"> </v>
          </cell>
          <cell r="D2338">
            <v>2001</v>
          </cell>
          <cell r="E2338" t="str">
            <v>Cargill Inc</v>
          </cell>
          <cell r="F2338">
            <v>1</v>
          </cell>
          <cell r="G2338">
            <v>37046</v>
          </cell>
          <cell r="I2338" t="str">
            <v>North America</v>
          </cell>
          <cell r="J2338" t="str">
            <v>USA</v>
          </cell>
          <cell r="K2338">
            <v>36341</v>
          </cell>
        </row>
        <row r="2339">
          <cell r="A2339" t="str">
            <v>In service</v>
          </cell>
          <cell r="B2339" t="str">
            <v>Gulfstream Aerospace Gulfstream V</v>
          </cell>
          <cell r="C2339" t="str">
            <v xml:space="preserve"> </v>
          </cell>
          <cell r="D2339">
            <v>2001</v>
          </cell>
          <cell r="E2339" t="str">
            <v>Teratorn LLC</v>
          </cell>
          <cell r="F2339">
            <v>1</v>
          </cell>
          <cell r="G2339">
            <v>37204</v>
          </cell>
          <cell r="I2339" t="str">
            <v>North America</v>
          </cell>
          <cell r="J2339" t="str">
            <v>USA</v>
          </cell>
          <cell r="K2339">
            <v>36341</v>
          </cell>
        </row>
        <row r="2340">
          <cell r="A2340" t="str">
            <v>In service</v>
          </cell>
          <cell r="B2340" t="str">
            <v>Gulfstream Aerospace Gulfstream V</v>
          </cell>
          <cell r="C2340" t="str">
            <v xml:space="preserve"> </v>
          </cell>
          <cell r="D2340">
            <v>2001</v>
          </cell>
          <cell r="E2340" t="str">
            <v>Rikio Co Ltd</v>
          </cell>
          <cell r="F2340">
            <v>1</v>
          </cell>
          <cell r="G2340">
            <v>36962</v>
          </cell>
          <cell r="I2340" t="str">
            <v>Asia</v>
          </cell>
          <cell r="J2340" t="str">
            <v>Japan</v>
          </cell>
          <cell r="K2340">
            <v>36341</v>
          </cell>
        </row>
        <row r="2341">
          <cell r="A2341" t="str">
            <v>In service</v>
          </cell>
          <cell r="B2341" t="str">
            <v>Gulfstream Aerospace Gulfstream V</v>
          </cell>
          <cell r="C2341" t="str">
            <v xml:space="preserve"> </v>
          </cell>
          <cell r="D2341">
            <v>2000</v>
          </cell>
          <cell r="E2341" t="str">
            <v>Netjets International</v>
          </cell>
          <cell r="F2341">
            <v>2</v>
          </cell>
          <cell r="G2341">
            <v>36973</v>
          </cell>
          <cell r="I2341" t="str">
            <v>North America</v>
          </cell>
          <cell r="J2341" t="str">
            <v>USA</v>
          </cell>
          <cell r="K2341">
            <v>35311</v>
          </cell>
        </row>
        <row r="2342">
          <cell r="A2342" t="str">
            <v>In service</v>
          </cell>
          <cell r="B2342" t="str">
            <v>Gulfstream Aerospace Gulfstream V</v>
          </cell>
          <cell r="C2342" t="str">
            <v xml:space="preserve"> </v>
          </cell>
          <cell r="D2342">
            <v>2001</v>
          </cell>
          <cell r="E2342" t="str">
            <v>CYMI Investments Sub Inc</v>
          </cell>
          <cell r="F2342">
            <v>1</v>
          </cell>
          <cell r="G2342">
            <v>37063</v>
          </cell>
          <cell r="I2342" t="str">
            <v>North America</v>
          </cell>
          <cell r="J2342" t="str">
            <v>USA</v>
          </cell>
          <cell r="K2342">
            <v>36341</v>
          </cell>
        </row>
        <row r="2343">
          <cell r="A2343" t="str">
            <v>In service</v>
          </cell>
          <cell r="B2343" t="str">
            <v>Gulfstream Aerospace Gulfstream V</v>
          </cell>
          <cell r="C2343" t="str">
            <v xml:space="preserve"> </v>
          </cell>
          <cell r="D2343">
            <v>2001</v>
          </cell>
          <cell r="E2343" t="str">
            <v>Metromedia Aircraft Co</v>
          </cell>
          <cell r="F2343">
            <v>1</v>
          </cell>
          <cell r="G2343">
            <v>37070</v>
          </cell>
          <cell r="I2343" t="str">
            <v>North America</v>
          </cell>
          <cell r="J2343" t="str">
            <v>USA</v>
          </cell>
          <cell r="K2343">
            <v>36341</v>
          </cell>
        </row>
        <row r="2344">
          <cell r="A2344" t="str">
            <v>In service</v>
          </cell>
          <cell r="B2344" t="str">
            <v>Gulfstream Aerospace Gulfstream V</v>
          </cell>
          <cell r="C2344" t="str">
            <v xml:space="preserve"> </v>
          </cell>
          <cell r="D2344">
            <v>2001</v>
          </cell>
          <cell r="E2344" t="str">
            <v>United States Aviation Co</v>
          </cell>
          <cell r="F2344">
            <v>1</v>
          </cell>
          <cell r="G2344">
            <v>37071</v>
          </cell>
          <cell r="I2344" t="str">
            <v>North America</v>
          </cell>
          <cell r="J2344" t="str">
            <v>USA</v>
          </cell>
          <cell r="K2344">
            <v>35976</v>
          </cell>
        </row>
        <row r="2345">
          <cell r="A2345" t="str">
            <v>In service</v>
          </cell>
          <cell r="B2345" t="str">
            <v>Gulfstream Aerospace Gulfstream V</v>
          </cell>
          <cell r="C2345" t="str">
            <v xml:space="preserve"> </v>
          </cell>
          <cell r="D2345">
            <v>2001</v>
          </cell>
          <cell r="E2345" t="str">
            <v>Government of Algeria</v>
          </cell>
          <cell r="F2345">
            <v>1</v>
          </cell>
          <cell r="G2345">
            <v>37071</v>
          </cell>
          <cell r="I2345" t="str">
            <v>Africa</v>
          </cell>
          <cell r="J2345" t="str">
            <v>Algeria</v>
          </cell>
          <cell r="K2345">
            <v>36341</v>
          </cell>
        </row>
        <row r="2346">
          <cell r="A2346" t="str">
            <v>In service</v>
          </cell>
          <cell r="B2346" t="str">
            <v>Gulfstream Aerospace Gulfstream V</v>
          </cell>
          <cell r="C2346" t="str">
            <v xml:space="preserve"> </v>
          </cell>
          <cell r="D2346">
            <v>2000</v>
          </cell>
          <cell r="E2346" t="str">
            <v>Johnson Controls Inc</v>
          </cell>
          <cell r="F2346">
            <v>2</v>
          </cell>
          <cell r="G2346">
            <v>36859</v>
          </cell>
          <cell r="I2346" t="str">
            <v>North America</v>
          </cell>
          <cell r="J2346" t="str">
            <v>USA</v>
          </cell>
          <cell r="K2346">
            <v>36341</v>
          </cell>
        </row>
        <row r="2347">
          <cell r="A2347" t="str">
            <v>In service</v>
          </cell>
          <cell r="B2347" t="str">
            <v>Gulfstream Aerospace Gulfstream V</v>
          </cell>
          <cell r="C2347" t="str">
            <v xml:space="preserve"> </v>
          </cell>
          <cell r="D2347">
            <v>2001</v>
          </cell>
          <cell r="E2347" t="str">
            <v>Amerada Hess Corp</v>
          </cell>
          <cell r="F2347">
            <v>1</v>
          </cell>
          <cell r="G2347">
            <v>37169</v>
          </cell>
          <cell r="I2347" t="str">
            <v>North America</v>
          </cell>
          <cell r="J2347" t="str">
            <v>USA</v>
          </cell>
          <cell r="K2347">
            <v>35976</v>
          </cell>
        </row>
        <row r="2348">
          <cell r="A2348" t="str">
            <v>In service</v>
          </cell>
          <cell r="B2348" t="str">
            <v>Gulfstream Aerospace Gulfstream V</v>
          </cell>
          <cell r="C2348" t="str">
            <v xml:space="preserve"> </v>
          </cell>
          <cell r="D2348">
            <v>2001</v>
          </cell>
          <cell r="E2348" t="str">
            <v>US Air Force</v>
          </cell>
          <cell r="F2348">
            <v>1</v>
          </cell>
          <cell r="G2348">
            <v>37097</v>
          </cell>
          <cell r="H2348" t="str">
            <v>C-37A</v>
          </cell>
          <cell r="I2348" t="str">
            <v>North America</v>
          </cell>
          <cell r="J2348" t="str">
            <v>USA</v>
          </cell>
          <cell r="K2348">
            <v>36826</v>
          </cell>
        </row>
        <row r="2349">
          <cell r="A2349" t="str">
            <v>In service</v>
          </cell>
          <cell r="B2349" t="str">
            <v>Gulfstream Aerospace Gulfstream V</v>
          </cell>
          <cell r="C2349" t="str">
            <v xml:space="preserve"> </v>
          </cell>
          <cell r="D2349">
            <v>2001</v>
          </cell>
          <cell r="E2349" t="str">
            <v>New World Jet Corp</v>
          </cell>
          <cell r="F2349">
            <v>1</v>
          </cell>
          <cell r="G2349">
            <v>37104</v>
          </cell>
          <cell r="I2349" t="str">
            <v>North America</v>
          </cell>
          <cell r="J2349" t="str">
            <v>USA</v>
          </cell>
          <cell r="K2349">
            <v>36341</v>
          </cell>
        </row>
        <row r="2350">
          <cell r="A2350" t="str">
            <v>In service</v>
          </cell>
          <cell r="B2350" t="str">
            <v>Gulfstream Aerospace Gulfstream V</v>
          </cell>
          <cell r="C2350" t="str">
            <v xml:space="preserve"> </v>
          </cell>
          <cell r="D2350">
            <v>2001</v>
          </cell>
          <cell r="E2350" t="str">
            <v>Casden Aircraft LLC</v>
          </cell>
          <cell r="F2350">
            <v>1</v>
          </cell>
          <cell r="G2350">
            <v>37091</v>
          </cell>
          <cell r="I2350" t="str">
            <v>North America</v>
          </cell>
          <cell r="J2350" t="str">
            <v>USA</v>
          </cell>
          <cell r="K2350">
            <v>36341</v>
          </cell>
        </row>
        <row r="2351">
          <cell r="A2351" t="str">
            <v>In service</v>
          </cell>
          <cell r="B2351" t="str">
            <v>Gulfstream Aerospace Gulfstream V</v>
          </cell>
          <cell r="C2351" t="str">
            <v xml:space="preserve"> </v>
          </cell>
          <cell r="D2351">
            <v>2001</v>
          </cell>
          <cell r="E2351" t="str">
            <v>Netjets International</v>
          </cell>
          <cell r="F2351">
            <v>1</v>
          </cell>
          <cell r="G2351">
            <v>37042</v>
          </cell>
          <cell r="I2351" t="str">
            <v>North America</v>
          </cell>
          <cell r="J2351" t="str">
            <v>USA</v>
          </cell>
          <cell r="K2351">
            <v>36087</v>
          </cell>
        </row>
        <row r="2352">
          <cell r="A2352" t="str">
            <v>In service</v>
          </cell>
          <cell r="B2352" t="str">
            <v>Gulfstream Aerospace Gulfstream V</v>
          </cell>
          <cell r="C2352" t="str">
            <v xml:space="preserve"> </v>
          </cell>
          <cell r="D2352">
            <v>2001</v>
          </cell>
          <cell r="E2352" t="str">
            <v>US Air Force</v>
          </cell>
          <cell r="F2352">
            <v>1</v>
          </cell>
          <cell r="G2352">
            <v>37179</v>
          </cell>
          <cell r="H2352" t="str">
            <v>C-37A</v>
          </cell>
          <cell r="I2352" t="str">
            <v>North America</v>
          </cell>
          <cell r="J2352" t="str">
            <v>USA</v>
          </cell>
          <cell r="K2352">
            <v>36826</v>
          </cell>
        </row>
        <row r="2353">
          <cell r="A2353" t="str">
            <v>In service</v>
          </cell>
          <cell r="B2353" t="str">
            <v>Gulfstream Aerospace Gulfstream V</v>
          </cell>
          <cell r="C2353" t="str">
            <v xml:space="preserve"> </v>
          </cell>
          <cell r="D2353">
            <v>2001</v>
          </cell>
          <cell r="E2353" t="str">
            <v>Netjets International</v>
          </cell>
          <cell r="F2353">
            <v>1</v>
          </cell>
          <cell r="G2353">
            <v>37069</v>
          </cell>
          <cell r="I2353" t="str">
            <v>North America</v>
          </cell>
          <cell r="J2353" t="str">
            <v>USA</v>
          </cell>
          <cell r="K2353">
            <v>36087</v>
          </cell>
        </row>
        <row r="2354">
          <cell r="A2354" t="str">
            <v>In service</v>
          </cell>
          <cell r="B2354" t="str">
            <v>Gulfstream Aerospace Gulfstream V</v>
          </cell>
          <cell r="C2354" t="str">
            <v xml:space="preserve"> </v>
          </cell>
          <cell r="D2354">
            <v>2000</v>
          </cell>
          <cell r="E2354" t="str">
            <v>Fightertown Inc</v>
          </cell>
          <cell r="F2354">
            <v>2</v>
          </cell>
          <cell r="G2354">
            <v>36878</v>
          </cell>
          <cell r="I2354" t="str">
            <v>North America</v>
          </cell>
          <cell r="J2354" t="str">
            <v>USA</v>
          </cell>
          <cell r="K2354">
            <v>36341</v>
          </cell>
        </row>
        <row r="2355">
          <cell r="A2355" t="str">
            <v>In service</v>
          </cell>
          <cell r="B2355" t="str">
            <v>Gulfstream Aerospace Gulfstream V</v>
          </cell>
          <cell r="C2355" t="str">
            <v xml:space="preserve"> </v>
          </cell>
          <cell r="D2355">
            <v>2001</v>
          </cell>
          <cell r="E2355" t="str">
            <v>Miranda International Aviation Inc</v>
          </cell>
          <cell r="F2355">
            <v>1</v>
          </cell>
          <cell r="G2355">
            <v>37246</v>
          </cell>
          <cell r="I2355" t="str">
            <v>North America</v>
          </cell>
          <cell r="J2355" t="str">
            <v>USA</v>
          </cell>
          <cell r="K2355">
            <v>36341</v>
          </cell>
        </row>
        <row r="2356">
          <cell r="A2356" t="str">
            <v>In service</v>
          </cell>
          <cell r="B2356" t="str">
            <v>Gulfstream Aerospace Gulfstream V</v>
          </cell>
          <cell r="C2356" t="str">
            <v xml:space="preserve"> </v>
          </cell>
          <cell r="D2356">
            <v>2000</v>
          </cell>
          <cell r="E2356" t="str">
            <v>Ivanhoe Capital Aviation LLC</v>
          </cell>
          <cell r="F2356">
            <v>2</v>
          </cell>
          <cell r="G2356">
            <v>36907</v>
          </cell>
          <cell r="I2356" t="str">
            <v>North America</v>
          </cell>
          <cell r="J2356" t="str">
            <v>USA</v>
          </cell>
          <cell r="K2356">
            <v>36707</v>
          </cell>
        </row>
        <row r="2357">
          <cell r="A2357" t="str">
            <v>In service</v>
          </cell>
          <cell r="B2357" t="str">
            <v>Gulfstream Aerospace Gulfstream V</v>
          </cell>
          <cell r="C2357" t="str">
            <v xml:space="preserve"> </v>
          </cell>
          <cell r="D2357">
            <v>2001</v>
          </cell>
          <cell r="E2357" t="str">
            <v>RL Wings LLC</v>
          </cell>
          <cell r="F2357">
            <v>1</v>
          </cell>
          <cell r="G2357">
            <v>37236</v>
          </cell>
          <cell r="I2357" t="str">
            <v>North America</v>
          </cell>
          <cell r="J2357" t="str">
            <v>USA</v>
          </cell>
          <cell r="K2357">
            <v>36707</v>
          </cell>
        </row>
        <row r="2358">
          <cell r="A2358" t="str">
            <v>In service</v>
          </cell>
          <cell r="B2358" t="str">
            <v>Gulfstream Aerospace Gulfstream V</v>
          </cell>
          <cell r="C2358" t="str">
            <v xml:space="preserve"> </v>
          </cell>
          <cell r="D2358">
            <v>2001</v>
          </cell>
          <cell r="E2358" t="str">
            <v>EDS Information Services LLC</v>
          </cell>
          <cell r="F2358">
            <v>1</v>
          </cell>
          <cell r="G2358">
            <v>37161</v>
          </cell>
          <cell r="I2358" t="str">
            <v>North America</v>
          </cell>
          <cell r="J2358" t="str">
            <v>USA</v>
          </cell>
          <cell r="K2358">
            <v>36341</v>
          </cell>
        </row>
        <row r="2359">
          <cell r="A2359" t="str">
            <v>In service</v>
          </cell>
          <cell r="B2359" t="str">
            <v>Gulfstream Aerospace Gulfstream V</v>
          </cell>
          <cell r="C2359" t="str">
            <v xml:space="preserve"> </v>
          </cell>
          <cell r="D2359">
            <v>2001</v>
          </cell>
          <cell r="E2359" t="str">
            <v>Netjets International</v>
          </cell>
          <cell r="F2359">
            <v>1</v>
          </cell>
          <cell r="G2359">
            <v>37162</v>
          </cell>
          <cell r="I2359" t="str">
            <v>North America</v>
          </cell>
          <cell r="J2359" t="str">
            <v>USA</v>
          </cell>
          <cell r="K2359">
            <v>36087</v>
          </cell>
        </row>
        <row r="2360">
          <cell r="A2360" t="str">
            <v>In service</v>
          </cell>
          <cell r="B2360" t="str">
            <v>Gulfstream Aerospace Gulfstream V</v>
          </cell>
          <cell r="C2360" t="str">
            <v xml:space="preserve"> </v>
          </cell>
          <cell r="D2360">
            <v>2001</v>
          </cell>
          <cell r="E2360" t="str">
            <v>Gulfstream Aerospace Corp</v>
          </cell>
          <cell r="F2360">
            <v>1</v>
          </cell>
          <cell r="I2360" t="str">
            <v>North America</v>
          </cell>
          <cell r="J2360" t="str">
            <v>USA</v>
          </cell>
        </row>
        <row r="2361">
          <cell r="A2361" t="str">
            <v>In service</v>
          </cell>
          <cell r="B2361" t="str">
            <v>Gulfstream Aerospace Gulfstream V</v>
          </cell>
          <cell r="C2361" t="str">
            <v xml:space="preserve"> </v>
          </cell>
          <cell r="D2361">
            <v>2001</v>
          </cell>
          <cell r="E2361" t="str">
            <v>Lexair III Limited</v>
          </cell>
          <cell r="F2361">
            <v>1</v>
          </cell>
          <cell r="G2361">
            <v>36987</v>
          </cell>
          <cell r="I2361" t="str">
            <v>North America</v>
          </cell>
          <cell r="J2361" t="str">
            <v>USA</v>
          </cell>
          <cell r="K2361">
            <v>36707</v>
          </cell>
        </row>
        <row r="2362">
          <cell r="A2362" t="str">
            <v>In service</v>
          </cell>
          <cell r="B2362" t="str">
            <v>Gulfstream Aerospace Gulfstream V</v>
          </cell>
          <cell r="C2362" t="str">
            <v xml:space="preserve"> </v>
          </cell>
          <cell r="D2362">
            <v>2001</v>
          </cell>
          <cell r="E2362" t="str">
            <v>Anglo American Corp of South Africa</v>
          </cell>
          <cell r="F2362">
            <v>1</v>
          </cell>
          <cell r="G2362">
            <v>37247</v>
          </cell>
          <cell r="I2362" t="str">
            <v>Africa</v>
          </cell>
          <cell r="J2362" t="str">
            <v>South Africa</v>
          </cell>
          <cell r="K2362">
            <v>35611</v>
          </cell>
        </row>
        <row r="2363">
          <cell r="A2363" t="str">
            <v>In service</v>
          </cell>
          <cell r="B2363" t="str">
            <v>Gulfstream Aerospace Gulfstream V</v>
          </cell>
          <cell r="C2363" t="str">
            <v xml:space="preserve"> </v>
          </cell>
          <cell r="D2363">
            <v>2001</v>
          </cell>
          <cell r="E2363" t="str">
            <v>Pfizer Inc</v>
          </cell>
          <cell r="F2363">
            <v>1</v>
          </cell>
          <cell r="G2363">
            <v>37256</v>
          </cell>
          <cell r="I2363" t="str">
            <v>North America</v>
          </cell>
          <cell r="J2363" t="str">
            <v>USA</v>
          </cell>
          <cell r="K2363">
            <v>36341</v>
          </cell>
        </row>
        <row r="2364">
          <cell r="A2364" t="str">
            <v>In service</v>
          </cell>
          <cell r="B2364" t="str">
            <v>Gulfstream Aerospace Gulfstream V</v>
          </cell>
          <cell r="C2364" t="str">
            <v xml:space="preserve"> </v>
          </cell>
          <cell r="D2364">
            <v>2001</v>
          </cell>
          <cell r="E2364" t="str">
            <v>BP Amoco Corp</v>
          </cell>
          <cell r="F2364">
            <v>1</v>
          </cell>
          <cell r="G2364">
            <v>37253</v>
          </cell>
          <cell r="I2364" t="str">
            <v>North America</v>
          </cell>
          <cell r="J2364" t="str">
            <v>USA</v>
          </cell>
          <cell r="K2364">
            <v>36045</v>
          </cell>
        </row>
        <row r="2365">
          <cell r="A2365" t="str">
            <v>In service</v>
          </cell>
          <cell r="B2365" t="str">
            <v>Gulfstream Aerospace Gulfstream V</v>
          </cell>
          <cell r="C2365" t="str">
            <v xml:space="preserve"> </v>
          </cell>
          <cell r="D2365">
            <v>2001</v>
          </cell>
          <cell r="E2365" t="str">
            <v>Netjets International</v>
          </cell>
          <cell r="F2365">
            <v>1</v>
          </cell>
          <cell r="G2365">
            <v>37196</v>
          </cell>
          <cell r="I2365" t="str">
            <v>North America</v>
          </cell>
          <cell r="J2365" t="str">
            <v>USA</v>
          </cell>
          <cell r="K2365">
            <v>36087</v>
          </cell>
        </row>
        <row r="2366">
          <cell r="A2366" t="str">
            <v>In service</v>
          </cell>
          <cell r="B2366" t="str">
            <v>Gulfstream Aerospace Gulfstream V</v>
          </cell>
          <cell r="C2366" t="str">
            <v xml:space="preserve"> </v>
          </cell>
          <cell r="D2366">
            <v>2001</v>
          </cell>
          <cell r="E2366" t="str">
            <v>Jet Aviation Business Jets</v>
          </cell>
          <cell r="F2366">
            <v>1</v>
          </cell>
          <cell r="G2366">
            <v>37298</v>
          </cell>
          <cell r="I2366" t="str">
            <v>Europe</v>
          </cell>
          <cell r="J2366" t="str">
            <v>Switzerland</v>
          </cell>
          <cell r="K2366">
            <v>37072</v>
          </cell>
        </row>
        <row r="2367">
          <cell r="A2367" t="str">
            <v>In service</v>
          </cell>
          <cell r="B2367" t="str">
            <v>Gulfstream Aerospace Gulfstream V</v>
          </cell>
          <cell r="C2367" t="str">
            <v xml:space="preserve"> </v>
          </cell>
          <cell r="D2367">
            <v>2001</v>
          </cell>
          <cell r="E2367" t="str">
            <v>CSC Transport IV Inc</v>
          </cell>
          <cell r="F2367">
            <v>1</v>
          </cell>
          <cell r="G2367">
            <v>37197</v>
          </cell>
          <cell r="I2367" t="str">
            <v>North America</v>
          </cell>
          <cell r="J2367" t="str">
            <v>USA</v>
          </cell>
          <cell r="K2367">
            <v>36707</v>
          </cell>
        </row>
        <row r="2368">
          <cell r="A2368" t="str">
            <v>In service</v>
          </cell>
          <cell r="B2368" t="str">
            <v>Gulfstream Aerospace Gulfstream V</v>
          </cell>
          <cell r="C2368" t="str">
            <v xml:space="preserve"> </v>
          </cell>
          <cell r="D2368">
            <v>2002</v>
          </cell>
          <cell r="E2368" t="str">
            <v>Bank of America NA</v>
          </cell>
          <cell r="F2368">
            <v>0</v>
          </cell>
          <cell r="G2368">
            <v>37348</v>
          </cell>
          <cell r="I2368" t="str">
            <v>North America</v>
          </cell>
          <cell r="J2368" t="str">
            <v>USA</v>
          </cell>
          <cell r="K2368">
            <v>36707</v>
          </cell>
        </row>
        <row r="2369">
          <cell r="A2369" t="str">
            <v>In service</v>
          </cell>
          <cell r="B2369" t="str">
            <v>Gulfstream Aerospace Gulfstream V</v>
          </cell>
          <cell r="C2369" t="str">
            <v xml:space="preserve"> </v>
          </cell>
          <cell r="D2369">
            <v>2001</v>
          </cell>
          <cell r="E2369" t="str">
            <v>Aviation 604 AG</v>
          </cell>
          <cell r="F2369">
            <v>1</v>
          </cell>
          <cell r="G2369">
            <v>37393</v>
          </cell>
          <cell r="I2369" t="str">
            <v>Europe</v>
          </cell>
          <cell r="J2369" t="str">
            <v>Switzerland</v>
          </cell>
          <cell r="K2369">
            <v>36707</v>
          </cell>
        </row>
        <row r="2370">
          <cell r="A2370" t="str">
            <v>In service</v>
          </cell>
          <cell r="B2370" t="str">
            <v>Gulfstream Aerospace Gulfstream V</v>
          </cell>
          <cell r="C2370" t="str">
            <v xml:space="preserve"> </v>
          </cell>
          <cell r="D2370">
            <v>2001</v>
          </cell>
          <cell r="E2370" t="str">
            <v>Netjets International</v>
          </cell>
          <cell r="F2370">
            <v>1</v>
          </cell>
          <cell r="G2370">
            <v>37237</v>
          </cell>
          <cell r="I2370" t="str">
            <v>North America</v>
          </cell>
          <cell r="J2370" t="str">
            <v>USA</v>
          </cell>
          <cell r="K2370">
            <v>36087</v>
          </cell>
        </row>
        <row r="2371">
          <cell r="A2371" t="str">
            <v>In service</v>
          </cell>
          <cell r="B2371" t="str">
            <v>Gulfstream Aerospace Gulfstream V</v>
          </cell>
          <cell r="C2371" t="str">
            <v xml:space="preserve"> </v>
          </cell>
          <cell r="D2371">
            <v>2001</v>
          </cell>
          <cell r="E2371" t="str">
            <v>Federal Government of Nigeria</v>
          </cell>
          <cell r="F2371">
            <v>1</v>
          </cell>
          <cell r="G2371">
            <v>37266</v>
          </cell>
          <cell r="I2371" t="str">
            <v>Africa</v>
          </cell>
          <cell r="J2371" t="str">
            <v>Nigeria</v>
          </cell>
          <cell r="K2371">
            <v>36707</v>
          </cell>
        </row>
        <row r="2372">
          <cell r="A2372" t="str">
            <v>In service</v>
          </cell>
          <cell r="B2372" t="str">
            <v>Gulfstream Aerospace Gulfstream V</v>
          </cell>
          <cell r="C2372" t="str">
            <v xml:space="preserve"> </v>
          </cell>
          <cell r="D2372">
            <v>2002</v>
          </cell>
          <cell r="E2372" t="str">
            <v>Saudi Aeromedical Evacuation</v>
          </cell>
          <cell r="F2372">
            <v>0</v>
          </cell>
          <cell r="G2372">
            <v>37442</v>
          </cell>
          <cell r="I2372" t="str">
            <v>Middle East</v>
          </cell>
          <cell r="J2372" t="str">
            <v>Saudi Arabia</v>
          </cell>
          <cell r="K2372">
            <v>37072</v>
          </cell>
        </row>
        <row r="2373">
          <cell r="A2373" t="str">
            <v>In service</v>
          </cell>
          <cell r="B2373" t="str">
            <v>Gulfstream Aerospace Gulfstream V</v>
          </cell>
          <cell r="C2373" t="str">
            <v xml:space="preserve"> </v>
          </cell>
          <cell r="D2373">
            <v>2001</v>
          </cell>
          <cell r="E2373" t="str">
            <v>US Air Force</v>
          </cell>
          <cell r="F2373">
            <v>1</v>
          </cell>
          <cell r="G2373">
            <v>37286</v>
          </cell>
          <cell r="H2373" t="str">
            <v>C-37A</v>
          </cell>
          <cell r="I2373" t="str">
            <v>North America</v>
          </cell>
          <cell r="J2373" t="str">
            <v>USA</v>
          </cell>
          <cell r="K2373">
            <v>36826</v>
          </cell>
        </row>
        <row r="2374">
          <cell r="A2374" t="str">
            <v>In service</v>
          </cell>
          <cell r="B2374" t="str">
            <v>Gulfstream Aerospace Gulfstream V</v>
          </cell>
          <cell r="C2374" t="str">
            <v xml:space="preserve"> </v>
          </cell>
          <cell r="D2374">
            <v>2001</v>
          </cell>
          <cell r="E2374" t="str">
            <v>Star Aircraft Leasing SA</v>
          </cell>
          <cell r="F2374">
            <v>1</v>
          </cell>
          <cell r="G2374">
            <v>37245</v>
          </cell>
          <cell r="I2374" t="str">
            <v>Europe</v>
          </cell>
          <cell r="J2374" t="str">
            <v>Luxembourg</v>
          </cell>
          <cell r="K2374">
            <v>36707</v>
          </cell>
        </row>
        <row r="2375">
          <cell r="A2375" t="str">
            <v>In service</v>
          </cell>
          <cell r="B2375" t="str">
            <v>Gulfstream Aerospace Gulfstream V</v>
          </cell>
          <cell r="C2375" t="str">
            <v xml:space="preserve"> </v>
          </cell>
          <cell r="D2375">
            <v>2002</v>
          </cell>
          <cell r="E2375" t="str">
            <v>Netjets International</v>
          </cell>
          <cell r="F2375">
            <v>0</v>
          </cell>
          <cell r="G2375">
            <v>37302</v>
          </cell>
          <cell r="I2375" t="str">
            <v>North America</v>
          </cell>
          <cell r="J2375" t="str">
            <v>USA</v>
          </cell>
          <cell r="K2375">
            <v>36087</v>
          </cell>
        </row>
        <row r="2376">
          <cell r="A2376" t="str">
            <v>In service</v>
          </cell>
          <cell r="B2376" t="str">
            <v>Gulfstream Aerospace Gulfstream V</v>
          </cell>
          <cell r="C2376" t="str">
            <v xml:space="preserve"> </v>
          </cell>
          <cell r="D2376">
            <v>2002</v>
          </cell>
          <cell r="E2376" t="str">
            <v>Beachwood Aircraft Leasing LLC</v>
          </cell>
          <cell r="F2376">
            <v>0</v>
          </cell>
          <cell r="G2376">
            <v>37436</v>
          </cell>
          <cell r="I2376" t="str">
            <v>North America</v>
          </cell>
          <cell r="J2376" t="str">
            <v>USA</v>
          </cell>
          <cell r="K2376">
            <v>37072</v>
          </cell>
        </row>
        <row r="2377">
          <cell r="A2377" t="str">
            <v>In service</v>
          </cell>
          <cell r="B2377" t="str">
            <v>Gulfstream Aerospace Gulfstream V</v>
          </cell>
          <cell r="C2377" t="str">
            <v xml:space="preserve"> </v>
          </cell>
          <cell r="D2377">
            <v>2001</v>
          </cell>
          <cell r="E2377" t="str">
            <v>Costco Warehouses Inc</v>
          </cell>
          <cell r="F2377">
            <v>1</v>
          </cell>
          <cell r="G2377">
            <v>37344</v>
          </cell>
          <cell r="I2377" t="str">
            <v>North America</v>
          </cell>
          <cell r="J2377" t="str">
            <v>USA</v>
          </cell>
          <cell r="K2377">
            <v>36045</v>
          </cell>
        </row>
        <row r="2378">
          <cell r="A2378" t="str">
            <v>In service</v>
          </cell>
          <cell r="B2378" t="str">
            <v>Gulfstream Aerospace Gulfstream V</v>
          </cell>
          <cell r="C2378" t="str">
            <v xml:space="preserve"> </v>
          </cell>
          <cell r="D2378">
            <v>2002</v>
          </cell>
          <cell r="E2378" t="str">
            <v>Cox Communications Inc</v>
          </cell>
          <cell r="F2378">
            <v>0</v>
          </cell>
          <cell r="G2378">
            <v>37432</v>
          </cell>
          <cell r="I2378" t="str">
            <v>North America</v>
          </cell>
          <cell r="J2378" t="str">
            <v>USA</v>
          </cell>
          <cell r="K2378">
            <v>36707</v>
          </cell>
        </row>
        <row r="2379">
          <cell r="A2379" t="str">
            <v>In service</v>
          </cell>
          <cell r="B2379" t="str">
            <v>Gulfstream Aerospace Gulfstream V</v>
          </cell>
          <cell r="C2379" t="str">
            <v xml:space="preserve"> </v>
          </cell>
          <cell r="D2379">
            <v>2002</v>
          </cell>
          <cell r="E2379" t="str">
            <v>Gulfstream GATX Leasing Co LLC</v>
          </cell>
          <cell r="F2379">
            <v>0</v>
          </cell>
          <cell r="G2379">
            <v>37435</v>
          </cell>
          <cell r="I2379" t="str">
            <v>North America</v>
          </cell>
          <cell r="J2379" t="str">
            <v>USA</v>
          </cell>
          <cell r="K2379">
            <v>36045</v>
          </cell>
        </row>
        <row r="2380">
          <cell r="A2380" t="str">
            <v>In service</v>
          </cell>
          <cell r="B2380" t="str">
            <v>Gulfstream Aerospace Gulfstream V</v>
          </cell>
          <cell r="C2380" t="str">
            <v xml:space="preserve"> </v>
          </cell>
          <cell r="D2380">
            <v>2002</v>
          </cell>
          <cell r="E2380" t="str">
            <v>US Air Force</v>
          </cell>
          <cell r="F2380">
            <v>0</v>
          </cell>
          <cell r="G2380">
            <v>37391</v>
          </cell>
          <cell r="H2380" t="str">
            <v>C-37A</v>
          </cell>
          <cell r="I2380" t="str">
            <v>North America</v>
          </cell>
          <cell r="J2380" t="str">
            <v>USA</v>
          </cell>
          <cell r="K2380">
            <v>36826</v>
          </cell>
        </row>
        <row r="2381">
          <cell r="A2381" t="str">
            <v>In service</v>
          </cell>
          <cell r="B2381" t="str">
            <v>Gulfstream Aerospace Gulfstream V</v>
          </cell>
          <cell r="C2381" t="str">
            <v xml:space="preserve"> </v>
          </cell>
          <cell r="D2381">
            <v>2002</v>
          </cell>
          <cell r="E2381" t="str">
            <v>US Coast Guard</v>
          </cell>
          <cell r="F2381">
            <v>0</v>
          </cell>
          <cell r="G2381">
            <v>37422</v>
          </cell>
          <cell r="H2381" t="str">
            <v>C-37A</v>
          </cell>
          <cell r="I2381" t="str">
            <v>North America</v>
          </cell>
          <cell r="J2381" t="str">
            <v>USA</v>
          </cell>
          <cell r="K2381">
            <v>36875</v>
          </cell>
        </row>
        <row r="2382">
          <cell r="A2382" t="str">
            <v>In service</v>
          </cell>
          <cell r="B2382" t="str">
            <v>Gulfstream Aerospace Gulfstream V</v>
          </cell>
          <cell r="C2382" t="str">
            <v xml:space="preserve"> </v>
          </cell>
          <cell r="D2382">
            <v>2002</v>
          </cell>
          <cell r="E2382" t="str">
            <v>Ispat Ltd</v>
          </cell>
          <cell r="F2382">
            <v>0</v>
          </cell>
          <cell r="G2382">
            <v>37452</v>
          </cell>
          <cell r="I2382" t="str">
            <v>Europe</v>
          </cell>
          <cell r="J2382" t="str">
            <v>United Kingdom</v>
          </cell>
          <cell r="K2382">
            <v>36707</v>
          </cell>
        </row>
        <row r="2383">
          <cell r="A2383" t="str">
            <v>In service</v>
          </cell>
          <cell r="B2383" t="str">
            <v>Gulfstream Aerospace Gulfstream V</v>
          </cell>
          <cell r="C2383" t="str">
            <v xml:space="preserve"> </v>
          </cell>
          <cell r="D2383">
            <v>2002</v>
          </cell>
          <cell r="E2383" t="str">
            <v>Penobscot Properties LLC</v>
          </cell>
          <cell r="F2383">
            <v>0</v>
          </cell>
          <cell r="G2383">
            <v>37397</v>
          </cell>
          <cell r="I2383" t="str">
            <v>North America</v>
          </cell>
          <cell r="J2383" t="str">
            <v>USA</v>
          </cell>
          <cell r="K2383">
            <v>36707</v>
          </cell>
        </row>
        <row r="2384">
          <cell r="A2384" t="str">
            <v>In service</v>
          </cell>
          <cell r="B2384" t="str">
            <v>Gulfstream Aerospace Gulfstream V</v>
          </cell>
          <cell r="C2384" t="str">
            <v xml:space="preserve"> </v>
          </cell>
          <cell r="D2384">
            <v>2001</v>
          </cell>
          <cell r="E2384" t="str">
            <v>The Air Group Inc</v>
          </cell>
          <cell r="F2384">
            <v>1</v>
          </cell>
          <cell r="G2384">
            <v>37258</v>
          </cell>
          <cell r="I2384" t="str">
            <v>North America</v>
          </cell>
          <cell r="J2384" t="str">
            <v>USA</v>
          </cell>
          <cell r="K2384">
            <v>36707</v>
          </cell>
        </row>
        <row r="2385">
          <cell r="A2385" t="str">
            <v>In service</v>
          </cell>
          <cell r="B2385" t="str">
            <v>Gulfstream Aerospace Gulfstream V</v>
          </cell>
          <cell r="C2385" t="str">
            <v xml:space="preserve"> </v>
          </cell>
          <cell r="D2385">
            <v>2002</v>
          </cell>
          <cell r="E2385" t="str">
            <v>US Navy</v>
          </cell>
          <cell r="F2385">
            <v>0</v>
          </cell>
          <cell r="G2385">
            <v>37422</v>
          </cell>
          <cell r="H2385" t="str">
            <v>C-37A</v>
          </cell>
          <cell r="I2385" t="str">
            <v>North America</v>
          </cell>
          <cell r="J2385" t="str">
            <v>USA</v>
          </cell>
          <cell r="K2385">
            <v>37361</v>
          </cell>
        </row>
        <row r="2386">
          <cell r="A2386" t="str">
            <v>In service</v>
          </cell>
          <cell r="B2386" t="str">
            <v>Gulfstream Aerospace Gulfstream V</v>
          </cell>
          <cell r="C2386" t="str">
            <v xml:space="preserve"> </v>
          </cell>
          <cell r="D2386">
            <v>2002</v>
          </cell>
          <cell r="E2386" t="str">
            <v>Netjets International</v>
          </cell>
          <cell r="F2386">
            <v>0</v>
          </cell>
          <cell r="G2386">
            <v>37433</v>
          </cell>
          <cell r="I2386" t="str">
            <v>North America</v>
          </cell>
          <cell r="J2386" t="str">
            <v>USA</v>
          </cell>
          <cell r="K2386">
            <v>36087</v>
          </cell>
        </row>
        <row r="2387">
          <cell r="A2387" t="str">
            <v>In service</v>
          </cell>
          <cell r="B2387" t="str">
            <v>Gulfstream Aerospace Gulfstream V</v>
          </cell>
          <cell r="C2387" t="str">
            <v xml:space="preserve"> </v>
          </cell>
          <cell r="D2387">
            <v>2002</v>
          </cell>
          <cell r="E2387" t="str">
            <v>Air Tiger I LLC</v>
          </cell>
          <cell r="F2387">
            <v>0</v>
          </cell>
          <cell r="G2387">
            <v>37428</v>
          </cell>
          <cell r="I2387" t="str">
            <v>North America</v>
          </cell>
          <cell r="J2387" t="str">
            <v>USA</v>
          </cell>
          <cell r="K2387">
            <v>36707</v>
          </cell>
        </row>
        <row r="2388">
          <cell r="A2388" t="str">
            <v>In service</v>
          </cell>
          <cell r="B2388" t="str">
            <v>Gulfstream Aerospace Gulfstream V</v>
          </cell>
          <cell r="C2388" t="str">
            <v xml:space="preserve"> </v>
          </cell>
          <cell r="D2388">
            <v>2002</v>
          </cell>
          <cell r="E2388" t="str">
            <v>Toyota Motor Sales USA Inc</v>
          </cell>
          <cell r="F2388">
            <v>0</v>
          </cell>
          <cell r="G2388">
            <v>37435</v>
          </cell>
          <cell r="I2388" t="str">
            <v>North America</v>
          </cell>
          <cell r="J2388" t="str">
            <v>USA</v>
          </cell>
          <cell r="K2388">
            <v>36707</v>
          </cell>
        </row>
        <row r="2389">
          <cell r="A2389" t="str">
            <v>In service</v>
          </cell>
          <cell r="B2389" t="str">
            <v>Gulfstream Aerospace Gulfstream V</v>
          </cell>
          <cell r="C2389" t="str">
            <v xml:space="preserve"> </v>
          </cell>
          <cell r="D2389">
            <v>2002</v>
          </cell>
          <cell r="E2389" t="str">
            <v>Kimberly Clark Corp</v>
          </cell>
          <cell r="F2389">
            <v>0</v>
          </cell>
          <cell r="G2389">
            <v>37433</v>
          </cell>
          <cell r="I2389" t="str">
            <v>North America</v>
          </cell>
          <cell r="J2389" t="str">
            <v>USA</v>
          </cell>
          <cell r="K2389">
            <v>36707</v>
          </cell>
        </row>
        <row r="2390">
          <cell r="A2390" t="str">
            <v>In service</v>
          </cell>
          <cell r="B2390" t="str">
            <v>Gulfstream Aerospace Gulfstream V</v>
          </cell>
          <cell r="C2390" t="str">
            <v xml:space="preserve"> </v>
          </cell>
          <cell r="D2390">
            <v>2002</v>
          </cell>
          <cell r="E2390" t="str">
            <v>Alcoa Aircraft Operations</v>
          </cell>
          <cell r="F2390">
            <v>0</v>
          </cell>
          <cell r="G2390">
            <v>37526</v>
          </cell>
          <cell r="I2390" t="str">
            <v>North America</v>
          </cell>
          <cell r="J2390" t="str">
            <v>USA</v>
          </cell>
          <cell r="K2390">
            <v>36707</v>
          </cell>
        </row>
        <row r="2391">
          <cell r="A2391" t="str">
            <v>In service</v>
          </cell>
          <cell r="B2391" t="str">
            <v>Gulfstream Aerospace Gulfstream V</v>
          </cell>
          <cell r="C2391" t="str">
            <v xml:space="preserve"> </v>
          </cell>
          <cell r="D2391">
            <v>2002</v>
          </cell>
          <cell r="E2391" t="str">
            <v>US Air Force</v>
          </cell>
          <cell r="F2391">
            <v>0</v>
          </cell>
          <cell r="G2391">
            <v>37361</v>
          </cell>
          <cell r="H2391" t="str">
            <v>C-37A</v>
          </cell>
          <cell r="I2391" t="str">
            <v>North America</v>
          </cell>
          <cell r="J2391" t="str">
            <v>USA</v>
          </cell>
          <cell r="K2391">
            <v>36826</v>
          </cell>
        </row>
        <row r="2392">
          <cell r="A2392" t="str">
            <v>In service</v>
          </cell>
          <cell r="B2392" t="str">
            <v>Gulfstream Aerospace Gulfstream V</v>
          </cell>
          <cell r="C2392" t="str">
            <v xml:space="preserve"> </v>
          </cell>
          <cell r="D2392">
            <v>2002</v>
          </cell>
          <cell r="E2392" t="str">
            <v>Servicios Aeronauticos Z SA de CV</v>
          </cell>
          <cell r="F2392">
            <v>0</v>
          </cell>
          <cell r="G2392">
            <v>37488</v>
          </cell>
          <cell r="I2392" t="str">
            <v>Latin America and Caribbean</v>
          </cell>
          <cell r="J2392" t="str">
            <v>Mexico</v>
          </cell>
          <cell r="K2392">
            <v>36707</v>
          </cell>
        </row>
        <row r="2393">
          <cell r="A2393" t="str">
            <v>In service</v>
          </cell>
          <cell r="B2393" t="str">
            <v>Gulfstream Aerospace Gulfstream V</v>
          </cell>
          <cell r="C2393" t="str">
            <v xml:space="preserve"> </v>
          </cell>
          <cell r="D2393">
            <v>2002</v>
          </cell>
          <cell r="E2393" t="str">
            <v>HealthSouth Corp</v>
          </cell>
          <cell r="F2393">
            <v>0</v>
          </cell>
          <cell r="G2393">
            <v>37526</v>
          </cell>
          <cell r="I2393" t="str">
            <v>North America</v>
          </cell>
          <cell r="J2393" t="str">
            <v>USA</v>
          </cell>
          <cell r="K2393">
            <v>36707</v>
          </cell>
        </row>
        <row r="2394">
          <cell r="A2394" t="str">
            <v>In service</v>
          </cell>
          <cell r="B2394" t="str">
            <v>Gulfstream Aerospace Gulfstream V</v>
          </cell>
          <cell r="C2394" t="str">
            <v xml:space="preserve"> </v>
          </cell>
          <cell r="D2394">
            <v>2002</v>
          </cell>
          <cell r="E2394" t="str">
            <v>Odyssey Aviation Inc</v>
          </cell>
          <cell r="F2394">
            <v>0</v>
          </cell>
          <cell r="G2394">
            <v>37554</v>
          </cell>
          <cell r="I2394" t="str">
            <v>North America</v>
          </cell>
          <cell r="J2394" t="str">
            <v>USA</v>
          </cell>
          <cell r="K2394">
            <v>36707</v>
          </cell>
        </row>
        <row r="2395">
          <cell r="A2395" t="str">
            <v>In service</v>
          </cell>
          <cell r="B2395" t="str">
            <v>Gulfstream Aerospace Gulfstream V</v>
          </cell>
          <cell r="C2395" t="str">
            <v xml:space="preserve"> </v>
          </cell>
          <cell r="D2395">
            <v>2002</v>
          </cell>
          <cell r="E2395" t="str">
            <v>Starbucks Capital Asset Leasing Co LLC</v>
          </cell>
          <cell r="F2395">
            <v>0</v>
          </cell>
          <cell r="G2395">
            <v>37557</v>
          </cell>
          <cell r="I2395" t="str">
            <v>North America</v>
          </cell>
          <cell r="J2395" t="str">
            <v>USA</v>
          </cell>
          <cell r="K2395">
            <v>36707</v>
          </cell>
        </row>
        <row r="2396">
          <cell r="A2396" t="str">
            <v>In service</v>
          </cell>
          <cell r="B2396" t="str">
            <v>Gulfstream Aerospace Gulfstream V</v>
          </cell>
          <cell r="C2396" t="str">
            <v xml:space="preserve"> </v>
          </cell>
          <cell r="D2396">
            <v>2002</v>
          </cell>
          <cell r="E2396" t="str">
            <v>Sheridan Aviation LLC</v>
          </cell>
          <cell r="F2396">
            <v>0</v>
          </cell>
          <cell r="G2396">
            <v>37519</v>
          </cell>
          <cell r="I2396" t="str">
            <v>North America</v>
          </cell>
          <cell r="J2396" t="str">
            <v>USA</v>
          </cell>
          <cell r="K2396">
            <v>36707</v>
          </cell>
        </row>
        <row r="2397">
          <cell r="A2397" t="str">
            <v>In service</v>
          </cell>
          <cell r="B2397" t="str">
            <v>Gulfstream Aerospace Gulfstream V</v>
          </cell>
          <cell r="C2397" t="str">
            <v xml:space="preserve"> </v>
          </cell>
          <cell r="D2397">
            <v>2002</v>
          </cell>
          <cell r="E2397" t="str">
            <v>BG Aviation LLC</v>
          </cell>
          <cell r="F2397">
            <v>0</v>
          </cell>
          <cell r="G2397">
            <v>37524</v>
          </cell>
          <cell r="I2397" t="str">
            <v>North America</v>
          </cell>
          <cell r="J2397" t="str">
            <v>USA</v>
          </cell>
          <cell r="K2397">
            <v>36707</v>
          </cell>
        </row>
        <row r="2398">
          <cell r="A2398" t="str">
            <v>In service</v>
          </cell>
          <cell r="B2398" t="str">
            <v>Gulfstream Aerospace Gulfstream V</v>
          </cell>
          <cell r="C2398" t="str">
            <v xml:space="preserve"> </v>
          </cell>
          <cell r="D2398">
            <v>2002</v>
          </cell>
          <cell r="E2398" t="str">
            <v>Transworld Oil America</v>
          </cell>
          <cell r="F2398">
            <v>0</v>
          </cell>
          <cell r="G2398">
            <v>37516</v>
          </cell>
          <cell r="I2398" t="str">
            <v>North America</v>
          </cell>
          <cell r="J2398" t="str">
            <v>USA</v>
          </cell>
          <cell r="K2398">
            <v>36707</v>
          </cell>
        </row>
        <row r="2399">
          <cell r="A2399" t="str">
            <v>In service</v>
          </cell>
          <cell r="B2399" t="str">
            <v>Gulfstream Aerospace Gulfstream V</v>
          </cell>
          <cell r="C2399" t="str">
            <v xml:space="preserve"> </v>
          </cell>
          <cell r="D2399">
            <v>2002</v>
          </cell>
          <cell r="E2399" t="str">
            <v>North Carolina Air &amp; Travel LLC</v>
          </cell>
          <cell r="F2399">
            <v>0</v>
          </cell>
          <cell r="G2399">
            <v>37585</v>
          </cell>
          <cell r="I2399" t="str">
            <v>North America</v>
          </cell>
          <cell r="J2399" t="str">
            <v>USA</v>
          </cell>
          <cell r="K2399">
            <v>36707</v>
          </cell>
        </row>
        <row r="2400">
          <cell r="A2400" t="str">
            <v>In service</v>
          </cell>
          <cell r="B2400" t="str">
            <v>Gulfstream Aerospace Gulfstream V</v>
          </cell>
          <cell r="C2400" t="str">
            <v xml:space="preserve"> </v>
          </cell>
          <cell r="D2400">
            <v>2002</v>
          </cell>
          <cell r="E2400" t="str">
            <v>East Coast Aviation II LLC</v>
          </cell>
          <cell r="F2400">
            <v>0</v>
          </cell>
          <cell r="G2400">
            <v>37575</v>
          </cell>
          <cell r="I2400" t="str">
            <v>North America</v>
          </cell>
          <cell r="J2400" t="str">
            <v>USA</v>
          </cell>
          <cell r="K2400">
            <v>36707</v>
          </cell>
        </row>
        <row r="2401">
          <cell r="A2401" t="str">
            <v>In service</v>
          </cell>
          <cell r="B2401" t="str">
            <v>Gulfstream Aerospace Gulfstream V</v>
          </cell>
          <cell r="C2401" t="str">
            <v xml:space="preserve"> </v>
          </cell>
          <cell r="D2401">
            <v>2002</v>
          </cell>
          <cell r="E2401" t="str">
            <v>BMA Charter</v>
          </cell>
          <cell r="F2401">
            <v>0</v>
          </cell>
          <cell r="G2401">
            <v>37610</v>
          </cell>
          <cell r="I2401" t="str">
            <v>Europe</v>
          </cell>
          <cell r="J2401" t="str">
            <v>Czech Republic</v>
          </cell>
          <cell r="K2401">
            <v>36707</v>
          </cell>
        </row>
        <row r="2402">
          <cell r="A2402" t="str">
            <v>In service</v>
          </cell>
          <cell r="B2402" t="str">
            <v>Gulfstream Aerospace Gulfstream V</v>
          </cell>
          <cell r="C2402" t="str">
            <v xml:space="preserve"> </v>
          </cell>
          <cell r="D2402">
            <v>2002</v>
          </cell>
          <cell r="E2402" t="str">
            <v>Trout LLC</v>
          </cell>
          <cell r="F2402">
            <v>0</v>
          </cell>
          <cell r="G2402">
            <v>37566</v>
          </cell>
          <cell r="I2402" t="str">
            <v>North America</v>
          </cell>
          <cell r="J2402" t="str">
            <v>USA</v>
          </cell>
          <cell r="K2402">
            <v>36707</v>
          </cell>
        </row>
        <row r="2404">
          <cell r="A2404">
            <v>2000</v>
          </cell>
          <cell r="D2404">
            <v>2000</v>
          </cell>
        </row>
        <row r="2405">
          <cell r="A2405" t="str">
            <v>Status</v>
          </cell>
          <cell r="B2405" t="str">
            <v>Mfr &amp; Type</v>
          </cell>
          <cell r="C2405" t="str">
            <v>Variant</v>
          </cell>
          <cell r="D2405" t="str">
            <v>BuildYear</v>
          </cell>
          <cell r="E2405" t="str">
            <v>Operator</v>
          </cell>
          <cell r="F2405" t="str">
            <v>Age</v>
          </cell>
          <cell r="G2405" t="str">
            <v>Delivered</v>
          </cell>
          <cell r="H2405" t="str">
            <v>MinorVariant</v>
          </cell>
          <cell r="I2405" t="str">
            <v>OperatorArea</v>
          </cell>
          <cell r="J2405" t="str">
            <v>OperatorCountry</v>
          </cell>
          <cell r="K2405" t="str">
            <v>Ordered</v>
          </cell>
        </row>
        <row r="2406">
          <cell r="A2406" t="str">
            <v>In service</v>
          </cell>
          <cell r="B2406" t="str">
            <v>Gulfstream Aerospace Gulfstream I</v>
          </cell>
          <cell r="C2406" t="str">
            <v xml:space="preserve"> </v>
          </cell>
          <cell r="D2406">
            <v>1963</v>
          </cell>
          <cell r="E2406" t="str">
            <v>Sky Bus Inc &amp; Plane I Leasing Co Inc</v>
          </cell>
          <cell r="F2406">
            <v>37</v>
          </cell>
          <cell r="G2406">
            <v>23074</v>
          </cell>
          <cell r="I2406" t="str">
            <v>North America</v>
          </cell>
          <cell r="J2406" t="str">
            <v>USA</v>
          </cell>
          <cell r="K2406">
            <v>23026</v>
          </cell>
        </row>
        <row r="2407">
          <cell r="A2407" t="str">
            <v>In service</v>
          </cell>
          <cell r="B2407" t="str">
            <v>Gulfstream Aerospace Gulfstream I</v>
          </cell>
          <cell r="C2407" t="str">
            <v xml:space="preserve"> </v>
          </cell>
          <cell r="D2407">
            <v>1963</v>
          </cell>
          <cell r="E2407" t="str">
            <v>Procuraduria General de la Republica Nacional</v>
          </cell>
          <cell r="F2407">
            <v>37</v>
          </cell>
          <cell r="G2407">
            <v>23092</v>
          </cell>
          <cell r="I2407" t="str">
            <v>Latin America and Caribbean</v>
          </cell>
          <cell r="J2407" t="str">
            <v>Mexico</v>
          </cell>
          <cell r="K2407">
            <v>23026</v>
          </cell>
        </row>
        <row r="2408">
          <cell r="A2408" t="str">
            <v>In service</v>
          </cell>
          <cell r="B2408" t="str">
            <v>Gulfstream Aerospace Gulfstream I</v>
          </cell>
          <cell r="C2408" t="str">
            <v xml:space="preserve"> </v>
          </cell>
          <cell r="D2408">
            <v>1963</v>
          </cell>
          <cell r="E2408" t="str">
            <v>Petro-Canada Explorations</v>
          </cell>
          <cell r="F2408">
            <v>37</v>
          </cell>
          <cell r="G2408">
            <v>23109</v>
          </cell>
          <cell r="I2408" t="str">
            <v>North America</v>
          </cell>
          <cell r="J2408" t="str">
            <v>Canada</v>
          </cell>
          <cell r="K2408">
            <v>23026</v>
          </cell>
        </row>
        <row r="2409">
          <cell r="A2409" t="str">
            <v>In service</v>
          </cell>
          <cell r="B2409" t="str">
            <v>Gulfstream Aerospace Gulfstream I</v>
          </cell>
          <cell r="C2409" t="str">
            <v xml:space="preserve"> </v>
          </cell>
          <cell r="D2409">
            <v>1963</v>
          </cell>
          <cell r="E2409" t="str">
            <v>Airwave Transport</v>
          </cell>
          <cell r="F2409">
            <v>37</v>
          </cell>
          <cell r="G2409">
            <v>23144</v>
          </cell>
          <cell r="I2409" t="str">
            <v>North America</v>
          </cell>
          <cell r="J2409" t="str">
            <v>Canada</v>
          </cell>
          <cell r="K2409">
            <v>23057</v>
          </cell>
        </row>
        <row r="2410">
          <cell r="A2410" t="str">
            <v>In service</v>
          </cell>
          <cell r="B2410" t="str">
            <v>Gulfstream Aerospace Gulfstream I</v>
          </cell>
          <cell r="C2410" t="str">
            <v xml:space="preserve"> </v>
          </cell>
          <cell r="D2410">
            <v>1963</v>
          </cell>
          <cell r="E2410" t="str">
            <v>McDonald Capital Inc</v>
          </cell>
          <cell r="F2410">
            <v>37</v>
          </cell>
          <cell r="G2410">
            <v>23190</v>
          </cell>
          <cell r="I2410" t="str">
            <v>North America</v>
          </cell>
          <cell r="J2410" t="str">
            <v>USA</v>
          </cell>
          <cell r="K2410">
            <v>23057</v>
          </cell>
        </row>
        <row r="2411">
          <cell r="A2411" t="str">
            <v>In service</v>
          </cell>
          <cell r="B2411" t="str">
            <v>Gulfstream Aerospace Gulfstream I</v>
          </cell>
          <cell r="C2411" t="str">
            <v xml:space="preserve"> </v>
          </cell>
          <cell r="D2411">
            <v>1959</v>
          </cell>
          <cell r="E2411" t="str">
            <v>Sanders Lead Co Inc</v>
          </cell>
          <cell r="F2411">
            <v>41</v>
          </cell>
          <cell r="G2411">
            <v>21790</v>
          </cell>
          <cell r="I2411" t="str">
            <v>North America</v>
          </cell>
          <cell r="J2411" t="str">
            <v>USA</v>
          </cell>
          <cell r="K2411">
            <v>21001</v>
          </cell>
        </row>
        <row r="2412">
          <cell r="A2412" t="str">
            <v>In service</v>
          </cell>
          <cell r="B2412" t="str">
            <v>Gulfstream Aerospace Gulfstream I</v>
          </cell>
          <cell r="C2412" t="str">
            <v xml:space="preserve"> </v>
          </cell>
          <cell r="D2412">
            <v>1963</v>
          </cell>
          <cell r="E2412" t="str">
            <v>Phoenix Air</v>
          </cell>
          <cell r="F2412">
            <v>37</v>
          </cell>
          <cell r="G2412">
            <v>23285</v>
          </cell>
          <cell r="I2412" t="str">
            <v>North America</v>
          </cell>
          <cell r="J2412" t="str">
            <v>USA</v>
          </cell>
          <cell r="K2412">
            <v>23146</v>
          </cell>
        </row>
        <row r="2413">
          <cell r="A2413" t="str">
            <v>In service</v>
          </cell>
          <cell r="B2413" t="str">
            <v>Gulfstream Aerospace Gulfstream I</v>
          </cell>
          <cell r="C2413" t="str">
            <v xml:space="preserve"> </v>
          </cell>
          <cell r="D2413">
            <v>1963</v>
          </cell>
          <cell r="E2413" t="str">
            <v>Phoenix Air</v>
          </cell>
          <cell r="F2413">
            <v>37</v>
          </cell>
          <cell r="G2413">
            <v>23328</v>
          </cell>
          <cell r="I2413" t="str">
            <v>North America</v>
          </cell>
          <cell r="J2413" t="str">
            <v>USA</v>
          </cell>
          <cell r="K2413">
            <v>23177</v>
          </cell>
        </row>
        <row r="2414">
          <cell r="A2414" t="str">
            <v>In service</v>
          </cell>
          <cell r="B2414" t="str">
            <v>Gulfstream Aerospace Gulfstream I</v>
          </cell>
          <cell r="C2414" t="str">
            <v xml:space="preserve"> </v>
          </cell>
          <cell r="D2414">
            <v>1964</v>
          </cell>
          <cell r="E2414" t="str">
            <v>Intertransit</v>
          </cell>
          <cell r="F2414">
            <v>36</v>
          </cell>
          <cell r="G2414">
            <v>23424</v>
          </cell>
          <cell r="I2414" t="str">
            <v>Africa</v>
          </cell>
          <cell r="J2414" t="str">
            <v>Angola</v>
          </cell>
          <cell r="K2414">
            <v>23192</v>
          </cell>
        </row>
        <row r="2415">
          <cell r="A2415" t="str">
            <v>In service</v>
          </cell>
          <cell r="B2415" t="str">
            <v>Gulfstream Aerospace Gulfstream I</v>
          </cell>
          <cell r="C2415" t="str">
            <v xml:space="preserve"> </v>
          </cell>
          <cell r="D2415">
            <v>1964</v>
          </cell>
          <cell r="E2415" t="str">
            <v>Bonanza Aerolineas</v>
          </cell>
          <cell r="F2415">
            <v>36</v>
          </cell>
          <cell r="G2415">
            <v>23455</v>
          </cell>
          <cell r="I2415" t="str">
            <v>Latin America and Caribbean</v>
          </cell>
          <cell r="J2415" t="str">
            <v>Mexico</v>
          </cell>
          <cell r="K2415">
            <v>23192</v>
          </cell>
        </row>
        <row r="2416">
          <cell r="A2416" t="str">
            <v>In service</v>
          </cell>
          <cell r="B2416" t="str">
            <v>Gulfstream Aerospace Gulfstream I</v>
          </cell>
          <cell r="C2416" t="str">
            <v xml:space="preserve"> </v>
          </cell>
          <cell r="D2416">
            <v>1964</v>
          </cell>
          <cell r="E2416" t="str">
            <v>Aerial Films Inc</v>
          </cell>
          <cell r="F2416">
            <v>36</v>
          </cell>
          <cell r="G2416">
            <v>23508</v>
          </cell>
          <cell r="I2416" t="str">
            <v>North America</v>
          </cell>
          <cell r="J2416" t="str">
            <v>USA</v>
          </cell>
          <cell r="K2416">
            <v>23391</v>
          </cell>
        </row>
        <row r="2417">
          <cell r="A2417" t="str">
            <v>In service</v>
          </cell>
          <cell r="B2417" t="str">
            <v>Gulfstream Aerospace Gulfstream I</v>
          </cell>
          <cell r="C2417" t="str">
            <v xml:space="preserve"> </v>
          </cell>
          <cell r="D2417">
            <v>1964</v>
          </cell>
          <cell r="E2417" t="str">
            <v>Indonesia Air Transport</v>
          </cell>
          <cell r="F2417">
            <v>36</v>
          </cell>
          <cell r="G2417">
            <v>23498</v>
          </cell>
          <cell r="I2417" t="str">
            <v>Asia</v>
          </cell>
          <cell r="J2417" t="str">
            <v>Indonesia</v>
          </cell>
          <cell r="K2417">
            <v>23422</v>
          </cell>
        </row>
        <row r="2418">
          <cell r="A2418" t="str">
            <v>In service</v>
          </cell>
          <cell r="B2418" t="str">
            <v>Gulfstream Aerospace Gulfstream I</v>
          </cell>
          <cell r="C2418" t="str">
            <v xml:space="preserve"> </v>
          </cell>
          <cell r="D2418">
            <v>1964</v>
          </cell>
          <cell r="E2418" t="str">
            <v>Phoenix Air</v>
          </cell>
          <cell r="F2418">
            <v>36</v>
          </cell>
          <cell r="G2418">
            <v>23529</v>
          </cell>
          <cell r="I2418" t="str">
            <v>North America</v>
          </cell>
          <cell r="J2418" t="str">
            <v>USA</v>
          </cell>
          <cell r="K2418">
            <v>23451</v>
          </cell>
        </row>
        <row r="2419">
          <cell r="A2419" t="str">
            <v>In service</v>
          </cell>
          <cell r="B2419" t="str">
            <v>Gulfstream Aerospace Gulfstream I</v>
          </cell>
          <cell r="C2419" t="str">
            <v xml:space="preserve"> </v>
          </cell>
          <cell r="D2419">
            <v>1964</v>
          </cell>
          <cell r="E2419" t="str">
            <v>Aero Minerales SA</v>
          </cell>
          <cell r="F2419">
            <v>36</v>
          </cell>
          <cell r="G2419">
            <v>23594</v>
          </cell>
          <cell r="I2419" t="str">
            <v>Latin America and Caribbean</v>
          </cell>
          <cell r="J2419" t="str">
            <v>Mexico</v>
          </cell>
          <cell r="K2419">
            <v>23558</v>
          </cell>
        </row>
        <row r="2420">
          <cell r="A2420" t="str">
            <v>In service</v>
          </cell>
          <cell r="B2420" t="str">
            <v>Gulfstream Aerospace Gulfstream I</v>
          </cell>
          <cell r="C2420" t="str">
            <v xml:space="preserve"> </v>
          </cell>
          <cell r="D2420">
            <v>1964</v>
          </cell>
          <cell r="E2420" t="str">
            <v>Phoenix Air</v>
          </cell>
          <cell r="F2420">
            <v>36</v>
          </cell>
          <cell r="G2420">
            <v>23629</v>
          </cell>
          <cell r="I2420" t="str">
            <v>North America</v>
          </cell>
          <cell r="J2420" t="str">
            <v>USA</v>
          </cell>
          <cell r="K2420">
            <v>23558</v>
          </cell>
        </row>
        <row r="2421">
          <cell r="A2421" t="str">
            <v>In service</v>
          </cell>
          <cell r="B2421" t="str">
            <v>Gulfstream Aerospace Gulfstream I</v>
          </cell>
          <cell r="C2421" t="str">
            <v xml:space="preserve"> </v>
          </cell>
          <cell r="D2421">
            <v>1964</v>
          </cell>
          <cell r="E2421" t="str">
            <v>Compania Rural de Occidente Ltda</v>
          </cell>
          <cell r="F2421">
            <v>36</v>
          </cell>
          <cell r="G2421">
            <v>23722</v>
          </cell>
          <cell r="I2421" t="str">
            <v>Latin America and Caribbean</v>
          </cell>
          <cell r="J2421" t="str">
            <v>Colombia</v>
          </cell>
          <cell r="K2421">
            <v>23635</v>
          </cell>
        </row>
        <row r="2422">
          <cell r="A2422" t="str">
            <v>In service</v>
          </cell>
          <cell r="B2422" t="str">
            <v>Gulfstream Aerospace Gulfstream I</v>
          </cell>
          <cell r="C2422" t="str">
            <v xml:space="preserve"> </v>
          </cell>
          <cell r="D2422">
            <v>1964</v>
          </cell>
          <cell r="E2422" t="str">
            <v>Skyservice Airlines</v>
          </cell>
          <cell r="F2422">
            <v>36</v>
          </cell>
          <cell r="G2422">
            <v>23746</v>
          </cell>
          <cell r="I2422" t="str">
            <v>North America</v>
          </cell>
          <cell r="J2422" t="str">
            <v>Canada</v>
          </cell>
          <cell r="K2422">
            <v>23558</v>
          </cell>
        </row>
        <row r="2423">
          <cell r="A2423" t="str">
            <v>In service</v>
          </cell>
          <cell r="B2423" t="str">
            <v>Gulfstream Aerospace Gulfstream I</v>
          </cell>
          <cell r="C2423" t="str">
            <v xml:space="preserve"> </v>
          </cell>
          <cell r="D2423">
            <v>1965</v>
          </cell>
          <cell r="E2423" t="str">
            <v>Phoenix Air</v>
          </cell>
          <cell r="F2423">
            <v>35</v>
          </cell>
          <cell r="G2423">
            <v>23925</v>
          </cell>
          <cell r="I2423" t="str">
            <v>North America</v>
          </cell>
          <cell r="J2423" t="str">
            <v>USA</v>
          </cell>
          <cell r="K2423">
            <v>23665</v>
          </cell>
        </row>
        <row r="2424">
          <cell r="A2424" t="str">
            <v>In service</v>
          </cell>
          <cell r="B2424" t="str">
            <v>Gulfstream Aerospace Gulfstream I</v>
          </cell>
          <cell r="C2424" t="str">
            <v xml:space="preserve"> </v>
          </cell>
          <cell r="D2424">
            <v>1965</v>
          </cell>
          <cell r="E2424" t="str">
            <v>NASA</v>
          </cell>
          <cell r="F2424">
            <v>35</v>
          </cell>
          <cell r="G2424">
            <v>23872</v>
          </cell>
          <cell r="I2424" t="str">
            <v>North America</v>
          </cell>
          <cell r="J2424" t="str">
            <v>USA</v>
          </cell>
          <cell r="K2424">
            <v>23696</v>
          </cell>
        </row>
        <row r="2425">
          <cell r="A2425" t="str">
            <v>In service</v>
          </cell>
          <cell r="B2425" t="str">
            <v>Gulfstream Aerospace Gulfstream I</v>
          </cell>
          <cell r="C2425" t="str">
            <v xml:space="preserve"> </v>
          </cell>
          <cell r="D2425">
            <v>1965</v>
          </cell>
          <cell r="E2425" t="str">
            <v>Larry Hedrick Motorsports Inc</v>
          </cell>
          <cell r="F2425">
            <v>35</v>
          </cell>
          <cell r="G2425">
            <v>24002</v>
          </cell>
          <cell r="I2425" t="str">
            <v>North America</v>
          </cell>
          <cell r="J2425" t="str">
            <v>USA</v>
          </cell>
          <cell r="K2425">
            <v>23788</v>
          </cell>
        </row>
        <row r="2426">
          <cell r="A2426" t="str">
            <v>In service</v>
          </cell>
          <cell r="B2426" t="str">
            <v>Gulfstream Aerospace Gulfstream I</v>
          </cell>
          <cell r="C2426" t="str">
            <v xml:space="preserve"> </v>
          </cell>
          <cell r="D2426">
            <v>1959</v>
          </cell>
          <cell r="E2426" t="str">
            <v>Erin Miel Inc</v>
          </cell>
          <cell r="F2426">
            <v>41</v>
          </cell>
          <cell r="G2426">
            <v>21823</v>
          </cell>
          <cell r="I2426" t="str">
            <v>North America</v>
          </cell>
          <cell r="J2426" t="str">
            <v>USA</v>
          </cell>
          <cell r="K2426">
            <v>21001</v>
          </cell>
        </row>
        <row r="2427">
          <cell r="A2427" t="str">
            <v>In service</v>
          </cell>
          <cell r="B2427" t="str">
            <v>Gulfstream Aerospace Gulfstream I</v>
          </cell>
          <cell r="C2427" t="str">
            <v xml:space="preserve"> </v>
          </cell>
          <cell r="D2427">
            <v>1965</v>
          </cell>
          <cell r="E2427" t="str">
            <v>Flightline LLC</v>
          </cell>
          <cell r="F2427">
            <v>35</v>
          </cell>
          <cell r="G2427">
            <v>24226</v>
          </cell>
          <cell r="I2427" t="str">
            <v>North America</v>
          </cell>
          <cell r="J2427" t="str">
            <v>USA</v>
          </cell>
          <cell r="K2427">
            <v>24084</v>
          </cell>
        </row>
        <row r="2428">
          <cell r="A2428" t="str">
            <v>In service</v>
          </cell>
          <cell r="B2428" t="str">
            <v>Gulfstream Aerospace Gulfstream I</v>
          </cell>
          <cell r="C2428" t="str">
            <v xml:space="preserve"> </v>
          </cell>
          <cell r="D2428">
            <v>1965</v>
          </cell>
          <cell r="E2428" t="str">
            <v>Upfront &amp; Company Inc</v>
          </cell>
          <cell r="F2428">
            <v>35</v>
          </cell>
          <cell r="G2428">
            <v>24124</v>
          </cell>
          <cell r="I2428" t="str">
            <v>North America</v>
          </cell>
          <cell r="J2428" t="str">
            <v>USA</v>
          </cell>
          <cell r="K2428">
            <v>23877</v>
          </cell>
        </row>
        <row r="2429">
          <cell r="A2429" t="str">
            <v>In service</v>
          </cell>
          <cell r="B2429" t="str">
            <v>Gulfstream Aerospace Gulfstream I</v>
          </cell>
          <cell r="C2429" t="str">
            <v xml:space="preserve"> </v>
          </cell>
          <cell r="D2429">
            <v>1965</v>
          </cell>
          <cell r="E2429" t="str">
            <v>Bane Air LLC</v>
          </cell>
          <cell r="F2429">
            <v>35</v>
          </cell>
          <cell r="G2429">
            <v>24082</v>
          </cell>
          <cell r="I2429" t="str">
            <v>North America</v>
          </cell>
          <cell r="J2429" t="str">
            <v>USA</v>
          </cell>
          <cell r="K2429">
            <v>24061</v>
          </cell>
        </row>
        <row r="2430">
          <cell r="A2430" t="str">
            <v>In service</v>
          </cell>
          <cell r="B2430" t="str">
            <v>Gulfstream Aerospace Gulfstream I</v>
          </cell>
          <cell r="C2430" t="str">
            <v xml:space="preserve"> </v>
          </cell>
          <cell r="D2430">
            <v>1965</v>
          </cell>
          <cell r="E2430" t="str">
            <v>Erin Miel Inc</v>
          </cell>
          <cell r="F2430">
            <v>35</v>
          </cell>
          <cell r="G2430">
            <v>24268</v>
          </cell>
          <cell r="I2430" t="str">
            <v>North America</v>
          </cell>
          <cell r="J2430" t="str">
            <v>USA</v>
          </cell>
          <cell r="K2430">
            <v>24091</v>
          </cell>
        </row>
        <row r="2431">
          <cell r="A2431" t="str">
            <v>In service</v>
          </cell>
          <cell r="B2431" t="str">
            <v>Gulfstream Aerospace Gulfstream I</v>
          </cell>
          <cell r="C2431" t="str">
            <v xml:space="preserve"> </v>
          </cell>
          <cell r="D2431">
            <v>1965</v>
          </cell>
          <cell r="E2431" t="str">
            <v>Riverside International Airlines</v>
          </cell>
          <cell r="F2431">
            <v>35</v>
          </cell>
          <cell r="G2431">
            <v>24227</v>
          </cell>
          <cell r="I2431" t="str">
            <v>North America</v>
          </cell>
          <cell r="J2431" t="str">
            <v>USA</v>
          </cell>
          <cell r="K2431">
            <v>24122</v>
          </cell>
        </row>
        <row r="2432">
          <cell r="A2432" t="str">
            <v>In service</v>
          </cell>
          <cell r="B2432" t="str">
            <v>Gulfstream Aerospace Gulfstream I</v>
          </cell>
          <cell r="C2432" t="str">
            <v xml:space="preserve"> </v>
          </cell>
          <cell r="D2432">
            <v>1966</v>
          </cell>
          <cell r="E2432" t="str">
            <v>Platinum Air LLC</v>
          </cell>
          <cell r="F2432">
            <v>34</v>
          </cell>
          <cell r="G2432">
            <v>24208</v>
          </cell>
          <cell r="I2432" t="str">
            <v>North America</v>
          </cell>
          <cell r="J2432" t="str">
            <v>USA</v>
          </cell>
          <cell r="K2432">
            <v>24153</v>
          </cell>
        </row>
        <row r="2433">
          <cell r="A2433" t="str">
            <v>In service</v>
          </cell>
          <cell r="B2433" t="str">
            <v>Gulfstream Aerospace Gulfstream I</v>
          </cell>
          <cell r="C2433" t="str">
            <v xml:space="preserve"> </v>
          </cell>
          <cell r="D2433">
            <v>1966</v>
          </cell>
          <cell r="E2433" t="str">
            <v>Phoenix Air</v>
          </cell>
          <cell r="F2433">
            <v>34</v>
          </cell>
          <cell r="G2433">
            <v>24412</v>
          </cell>
          <cell r="I2433" t="str">
            <v>North America</v>
          </cell>
          <cell r="J2433" t="str">
            <v>USA</v>
          </cell>
          <cell r="K2433">
            <v>24273</v>
          </cell>
        </row>
        <row r="2434">
          <cell r="A2434" t="str">
            <v>In service</v>
          </cell>
          <cell r="B2434" t="str">
            <v>Gulfstream Aerospace Gulfstream I</v>
          </cell>
          <cell r="C2434" t="str">
            <v xml:space="preserve"> </v>
          </cell>
          <cell r="D2434">
            <v>1959</v>
          </cell>
          <cell r="E2434" t="str">
            <v>Scott Aviation Inc</v>
          </cell>
          <cell r="F2434">
            <v>41</v>
          </cell>
          <cell r="G2434">
            <v>21849</v>
          </cell>
          <cell r="I2434" t="str">
            <v>North America</v>
          </cell>
          <cell r="J2434" t="str">
            <v>USA</v>
          </cell>
          <cell r="K2434">
            <v>21001</v>
          </cell>
        </row>
        <row r="2435">
          <cell r="A2435" t="str">
            <v>In service</v>
          </cell>
          <cell r="B2435" t="str">
            <v>Gulfstream Aerospace Gulfstream I</v>
          </cell>
          <cell r="C2435" t="str">
            <v xml:space="preserve"> </v>
          </cell>
          <cell r="D2435">
            <v>1968</v>
          </cell>
          <cell r="E2435" t="str">
            <v>Propair</v>
          </cell>
          <cell r="F2435">
            <v>32</v>
          </cell>
          <cell r="G2435">
            <v>24891</v>
          </cell>
          <cell r="I2435" t="str">
            <v>North America</v>
          </cell>
          <cell r="J2435" t="str">
            <v>Canada</v>
          </cell>
          <cell r="K2435">
            <v>24852</v>
          </cell>
        </row>
        <row r="2436">
          <cell r="A2436" t="str">
            <v>In service</v>
          </cell>
          <cell r="B2436" t="str">
            <v>Gulfstream Aerospace Gulfstream I</v>
          </cell>
          <cell r="C2436" t="str">
            <v xml:space="preserve"> </v>
          </cell>
          <cell r="D2436">
            <v>1968</v>
          </cell>
          <cell r="E2436" t="str">
            <v>Post Ekspres Prima</v>
          </cell>
          <cell r="F2436">
            <v>32</v>
          </cell>
          <cell r="G2436">
            <v>25038</v>
          </cell>
          <cell r="I2436" t="str">
            <v>Asia</v>
          </cell>
          <cell r="J2436" t="str">
            <v>Indonesia</v>
          </cell>
          <cell r="K2436">
            <v>24973</v>
          </cell>
        </row>
        <row r="2437">
          <cell r="A2437" t="str">
            <v>In service</v>
          </cell>
          <cell r="B2437" t="str">
            <v>Gulfstream Aerospace Gulfstream I</v>
          </cell>
          <cell r="C2437" t="str">
            <v xml:space="preserve"> </v>
          </cell>
          <cell r="D2437">
            <v>1968</v>
          </cell>
          <cell r="E2437" t="str">
            <v>Phoenix Air</v>
          </cell>
          <cell r="F2437">
            <v>32</v>
          </cell>
          <cell r="G2437">
            <v>25034</v>
          </cell>
          <cell r="I2437" t="str">
            <v>North America</v>
          </cell>
          <cell r="J2437" t="str">
            <v>USA</v>
          </cell>
          <cell r="K2437">
            <v>25004</v>
          </cell>
        </row>
        <row r="2438">
          <cell r="A2438" t="str">
            <v>In service</v>
          </cell>
          <cell r="B2438" t="str">
            <v>Gulfstream Aerospace Gulfstream I</v>
          </cell>
          <cell r="C2438" t="str">
            <v xml:space="preserve"> </v>
          </cell>
          <cell r="D2438">
            <v>1968</v>
          </cell>
          <cell r="E2438" t="str">
            <v>Indonesia Air Transport</v>
          </cell>
          <cell r="F2438">
            <v>32</v>
          </cell>
          <cell r="G2438">
            <v>32794</v>
          </cell>
          <cell r="I2438" t="str">
            <v>Asia</v>
          </cell>
          <cell r="J2438" t="str">
            <v>Indonesia</v>
          </cell>
        </row>
        <row r="2439">
          <cell r="A2439" t="str">
            <v>In service</v>
          </cell>
          <cell r="B2439" t="str">
            <v>Gulfstream Aerospace Gulfstream I</v>
          </cell>
          <cell r="C2439" t="str">
            <v xml:space="preserve"> </v>
          </cell>
          <cell r="D2439">
            <v>1969</v>
          </cell>
          <cell r="E2439" t="str">
            <v>Conquest Air LLC</v>
          </cell>
          <cell r="F2439">
            <v>31</v>
          </cell>
          <cell r="G2439">
            <v>25269</v>
          </cell>
          <cell r="I2439" t="str">
            <v>North America</v>
          </cell>
          <cell r="J2439" t="str">
            <v>USA</v>
          </cell>
          <cell r="K2439">
            <v>25249</v>
          </cell>
        </row>
        <row r="2440">
          <cell r="A2440" t="str">
            <v>In service</v>
          </cell>
          <cell r="B2440" t="str">
            <v>Gulfstream Aerospace Gulfstream I</v>
          </cell>
          <cell r="C2440" t="str">
            <v xml:space="preserve"> </v>
          </cell>
          <cell r="D2440">
            <v>1968</v>
          </cell>
          <cell r="E2440" t="str">
            <v>Joe Gibbs Racing Inc</v>
          </cell>
          <cell r="F2440">
            <v>32</v>
          </cell>
          <cell r="G2440">
            <v>25190</v>
          </cell>
          <cell r="I2440" t="str">
            <v>North America</v>
          </cell>
          <cell r="J2440" t="str">
            <v>USA</v>
          </cell>
          <cell r="K2440">
            <v>25157</v>
          </cell>
        </row>
        <row r="2441">
          <cell r="A2441" t="str">
            <v>In service</v>
          </cell>
          <cell r="B2441" t="str">
            <v>Gulfstream Aerospace Gulfstream I</v>
          </cell>
          <cell r="C2441" t="str">
            <v xml:space="preserve"> </v>
          </cell>
          <cell r="D2441">
            <v>1969</v>
          </cell>
          <cell r="E2441" t="str">
            <v>Phoenix Air</v>
          </cell>
          <cell r="F2441">
            <v>31</v>
          </cell>
          <cell r="G2441">
            <v>25268</v>
          </cell>
          <cell r="I2441" t="str">
            <v>North America</v>
          </cell>
          <cell r="J2441" t="str">
            <v>USA</v>
          </cell>
          <cell r="K2441">
            <v>25249</v>
          </cell>
        </row>
        <row r="2442">
          <cell r="A2442" t="str">
            <v>In service</v>
          </cell>
          <cell r="B2442" t="str">
            <v>Gulfstream Aerospace Gulfstream I</v>
          </cell>
          <cell r="C2442" t="str">
            <v xml:space="preserve"> </v>
          </cell>
          <cell r="D2442">
            <v>1969</v>
          </cell>
          <cell r="E2442" t="str">
            <v>Platinum Air LLC</v>
          </cell>
          <cell r="F2442">
            <v>31</v>
          </cell>
          <cell r="G2442">
            <v>25357</v>
          </cell>
          <cell r="I2442" t="str">
            <v>North America</v>
          </cell>
          <cell r="J2442" t="str">
            <v>USA</v>
          </cell>
          <cell r="K2442">
            <v>25249</v>
          </cell>
        </row>
        <row r="2443">
          <cell r="A2443" t="str">
            <v>In service</v>
          </cell>
          <cell r="B2443" t="str">
            <v>Gulfstream Aerospace Gulfstream I</v>
          </cell>
          <cell r="C2443" t="str">
            <v xml:space="preserve"> </v>
          </cell>
          <cell r="D2443">
            <v>1959</v>
          </cell>
          <cell r="E2443" t="str">
            <v>Phoenix Air</v>
          </cell>
          <cell r="F2443">
            <v>41</v>
          </cell>
          <cell r="G2443">
            <v>21892</v>
          </cell>
          <cell r="I2443" t="str">
            <v>North America</v>
          </cell>
          <cell r="J2443" t="str">
            <v>USA</v>
          </cell>
          <cell r="K2443">
            <v>21200</v>
          </cell>
        </row>
        <row r="2444">
          <cell r="A2444" t="str">
            <v>In service</v>
          </cell>
          <cell r="B2444" t="str">
            <v>Gulfstream Aerospace Gulfstream I</v>
          </cell>
          <cell r="C2444" t="str">
            <v xml:space="preserve"> </v>
          </cell>
          <cell r="D2444">
            <v>1959</v>
          </cell>
          <cell r="E2444" t="str">
            <v>Phoenix Air</v>
          </cell>
          <cell r="F2444">
            <v>41</v>
          </cell>
          <cell r="G2444">
            <v>21912</v>
          </cell>
          <cell r="I2444" t="str">
            <v>North America</v>
          </cell>
          <cell r="J2444" t="str">
            <v>USA</v>
          </cell>
          <cell r="K2444">
            <v>21320</v>
          </cell>
        </row>
        <row r="2445">
          <cell r="A2445" t="str">
            <v>In service</v>
          </cell>
          <cell r="B2445" t="str">
            <v>Gulfstream Aerospace Gulfstream I</v>
          </cell>
          <cell r="C2445" t="str">
            <v xml:space="preserve"> </v>
          </cell>
          <cell r="D2445">
            <v>1963</v>
          </cell>
          <cell r="E2445" t="str">
            <v>Saicam Air (US) Inc</v>
          </cell>
          <cell r="F2445">
            <v>37</v>
          </cell>
          <cell r="I2445" t="str">
            <v>North America</v>
          </cell>
          <cell r="J2445" t="str">
            <v>USA</v>
          </cell>
        </row>
        <row r="2446">
          <cell r="A2446" t="str">
            <v>In service</v>
          </cell>
          <cell r="B2446" t="str">
            <v>Gulfstream Aerospace Gulfstream I</v>
          </cell>
          <cell r="C2446" t="str">
            <v xml:space="preserve"> </v>
          </cell>
          <cell r="D2446">
            <v>1964</v>
          </cell>
          <cell r="E2446" t="str">
            <v>SAP</v>
          </cell>
          <cell r="F2446">
            <v>36</v>
          </cell>
          <cell r="G2446">
            <v>23405</v>
          </cell>
          <cell r="I2446" t="str">
            <v>Latin America and Caribbean</v>
          </cell>
          <cell r="J2446" t="str">
            <v>Dominican Republic</v>
          </cell>
          <cell r="K2446">
            <v>23330</v>
          </cell>
        </row>
        <row r="2447">
          <cell r="A2447" t="str">
            <v>In service</v>
          </cell>
          <cell r="B2447" t="str">
            <v>Gulfstream Aerospace Gulfstream I</v>
          </cell>
          <cell r="C2447" t="str">
            <v xml:space="preserve"> </v>
          </cell>
          <cell r="D2447">
            <v>1960</v>
          </cell>
          <cell r="E2447" t="str">
            <v>CAA - Compagnie Africaine d'Aviation</v>
          </cell>
          <cell r="F2447">
            <v>40</v>
          </cell>
          <cell r="G2447">
            <v>21996</v>
          </cell>
          <cell r="I2447" t="str">
            <v>Africa</v>
          </cell>
          <cell r="J2447" t="str">
            <v>Congo (Democratic Republic)</v>
          </cell>
          <cell r="K2447">
            <v>21777</v>
          </cell>
        </row>
        <row r="2448">
          <cell r="A2448" t="str">
            <v>In service</v>
          </cell>
          <cell r="B2448" t="str">
            <v>Gulfstream Aerospace Gulfstream I</v>
          </cell>
          <cell r="C2448" t="str">
            <v xml:space="preserve"> </v>
          </cell>
          <cell r="D2448">
            <v>1960</v>
          </cell>
          <cell r="E2448" t="str">
            <v>Riverside International Airlines</v>
          </cell>
          <cell r="F2448">
            <v>40</v>
          </cell>
          <cell r="G2448">
            <v>22018</v>
          </cell>
          <cell r="I2448" t="str">
            <v>North America</v>
          </cell>
          <cell r="J2448" t="str">
            <v>USA</v>
          </cell>
          <cell r="K2448">
            <v>21990</v>
          </cell>
        </row>
        <row r="2449">
          <cell r="A2449" t="str">
            <v>In service</v>
          </cell>
          <cell r="B2449" t="str">
            <v>Gulfstream Aerospace Gulfstream I</v>
          </cell>
          <cell r="C2449" t="str">
            <v xml:space="preserve"> </v>
          </cell>
          <cell r="D2449">
            <v>1960</v>
          </cell>
          <cell r="E2449" t="str">
            <v>W I N (Pty) Ltd</v>
          </cell>
          <cell r="F2449">
            <v>40</v>
          </cell>
          <cell r="G2449">
            <v>22059</v>
          </cell>
          <cell r="I2449" t="str">
            <v>Africa</v>
          </cell>
          <cell r="J2449" t="str">
            <v>South Africa</v>
          </cell>
          <cell r="K2449">
            <v>21930</v>
          </cell>
        </row>
        <row r="2450">
          <cell r="A2450" t="str">
            <v>In service</v>
          </cell>
          <cell r="B2450" t="str">
            <v>Gulfstream Aerospace Gulfstream I</v>
          </cell>
          <cell r="C2450" t="str">
            <v xml:space="preserve"> </v>
          </cell>
          <cell r="D2450">
            <v>1960</v>
          </cell>
          <cell r="E2450" t="str">
            <v>Mississippi River Commission</v>
          </cell>
          <cell r="F2450">
            <v>40</v>
          </cell>
          <cell r="G2450">
            <v>22084</v>
          </cell>
          <cell r="I2450" t="str">
            <v>North America</v>
          </cell>
          <cell r="J2450" t="str">
            <v>USA</v>
          </cell>
          <cell r="K2450">
            <v>21990</v>
          </cell>
        </row>
        <row r="2451">
          <cell r="A2451" t="str">
            <v>In service</v>
          </cell>
          <cell r="B2451" t="str">
            <v>Gulfstream Aerospace Gulfstream I</v>
          </cell>
          <cell r="C2451" t="str">
            <v xml:space="preserve"> </v>
          </cell>
          <cell r="D2451">
            <v>1960</v>
          </cell>
          <cell r="E2451" t="str">
            <v>Mission Air Services LLC</v>
          </cell>
          <cell r="F2451">
            <v>40</v>
          </cell>
          <cell r="G2451">
            <v>22289</v>
          </cell>
          <cell r="I2451" t="str">
            <v>North America</v>
          </cell>
          <cell r="J2451" t="str">
            <v>USA</v>
          </cell>
          <cell r="K2451">
            <v>22082</v>
          </cell>
        </row>
        <row r="2452">
          <cell r="A2452" t="str">
            <v>In service</v>
          </cell>
          <cell r="B2452" t="str">
            <v>Gulfstream Aerospace Gulfstream I</v>
          </cell>
          <cell r="C2452" t="str">
            <v xml:space="preserve"> </v>
          </cell>
          <cell r="D2452">
            <v>1960</v>
          </cell>
          <cell r="E2452" t="str">
            <v>Bane Air LLC</v>
          </cell>
          <cell r="F2452">
            <v>40</v>
          </cell>
          <cell r="G2452">
            <v>22221</v>
          </cell>
          <cell r="I2452" t="str">
            <v>North America</v>
          </cell>
          <cell r="J2452" t="str">
            <v>USA</v>
          </cell>
          <cell r="K2452">
            <v>22143</v>
          </cell>
        </row>
        <row r="2453">
          <cell r="A2453" t="str">
            <v>In service</v>
          </cell>
          <cell r="B2453" t="str">
            <v>Gulfstream Aerospace Gulfstream I</v>
          </cell>
          <cell r="C2453" t="str">
            <v xml:space="preserve"> </v>
          </cell>
          <cell r="D2453">
            <v>1960</v>
          </cell>
          <cell r="E2453" t="str">
            <v>Phoenix Air</v>
          </cell>
          <cell r="F2453">
            <v>40</v>
          </cell>
          <cell r="G2453">
            <v>22229</v>
          </cell>
          <cell r="I2453" t="str">
            <v>North America</v>
          </cell>
          <cell r="J2453" t="str">
            <v>USA</v>
          </cell>
          <cell r="K2453">
            <v>22174</v>
          </cell>
        </row>
        <row r="2454">
          <cell r="A2454" t="str">
            <v>In service</v>
          </cell>
          <cell r="B2454" t="str">
            <v>Gulfstream Aerospace Gulfstream I</v>
          </cell>
          <cell r="C2454" t="str">
            <v xml:space="preserve"> </v>
          </cell>
          <cell r="D2454">
            <v>1960</v>
          </cell>
          <cell r="E2454" t="str">
            <v>Celanese Mexicana SA</v>
          </cell>
          <cell r="F2454">
            <v>40</v>
          </cell>
          <cell r="G2454">
            <v>22269</v>
          </cell>
          <cell r="I2454" t="str">
            <v>Latin America and Caribbean</v>
          </cell>
          <cell r="J2454" t="str">
            <v>Mexico</v>
          </cell>
          <cell r="K2454">
            <v>22174</v>
          </cell>
        </row>
        <row r="2455">
          <cell r="A2455" t="str">
            <v>In service</v>
          </cell>
          <cell r="B2455" t="str">
            <v>Gulfstream Aerospace Gulfstream I</v>
          </cell>
          <cell r="C2455" t="str">
            <v xml:space="preserve"> </v>
          </cell>
          <cell r="D2455">
            <v>1961</v>
          </cell>
          <cell r="E2455" t="str">
            <v>US Immigration &amp; Naturalization Service</v>
          </cell>
          <cell r="F2455">
            <v>39</v>
          </cell>
          <cell r="G2455">
            <v>22406</v>
          </cell>
          <cell r="I2455" t="str">
            <v>North America</v>
          </cell>
          <cell r="J2455" t="str">
            <v>USA</v>
          </cell>
          <cell r="K2455">
            <v>22327</v>
          </cell>
        </row>
        <row r="2456">
          <cell r="A2456" t="str">
            <v>In service</v>
          </cell>
          <cell r="B2456" t="str">
            <v>Gulfstream Aerospace Gulfstream I</v>
          </cell>
          <cell r="C2456" t="str">
            <v xml:space="preserve"> </v>
          </cell>
          <cell r="D2456">
            <v>1959</v>
          </cell>
          <cell r="E2456" t="str">
            <v>Massachusetts Institute of Technology</v>
          </cell>
          <cell r="F2456">
            <v>41</v>
          </cell>
          <cell r="G2456">
            <v>21761</v>
          </cell>
          <cell r="I2456" t="str">
            <v>North America</v>
          </cell>
          <cell r="J2456" t="str">
            <v>USA</v>
          </cell>
          <cell r="K2456">
            <v>21001</v>
          </cell>
        </row>
        <row r="2457">
          <cell r="A2457" t="str">
            <v>In service</v>
          </cell>
          <cell r="B2457" t="str">
            <v>Gulfstream Aerospace Gulfstream I</v>
          </cell>
          <cell r="C2457" t="str">
            <v xml:space="preserve"> </v>
          </cell>
          <cell r="D2457">
            <v>1961</v>
          </cell>
          <cell r="E2457" t="str">
            <v>Battelle Pacific Northwest Laboratories</v>
          </cell>
          <cell r="F2457">
            <v>39</v>
          </cell>
          <cell r="G2457">
            <v>22599</v>
          </cell>
          <cell r="I2457" t="str">
            <v>North America</v>
          </cell>
          <cell r="J2457" t="str">
            <v>USA</v>
          </cell>
          <cell r="K2457">
            <v>22462</v>
          </cell>
        </row>
        <row r="2458">
          <cell r="A2458" t="str">
            <v>In service</v>
          </cell>
          <cell r="B2458" t="str">
            <v>Gulfstream Aerospace Gulfstream I</v>
          </cell>
          <cell r="C2458" t="str">
            <v xml:space="preserve"> </v>
          </cell>
          <cell r="D2458">
            <v>1961</v>
          </cell>
          <cell r="E2458" t="str">
            <v>Goiazem Goiania Armazens Ltda</v>
          </cell>
          <cell r="F2458">
            <v>39</v>
          </cell>
          <cell r="G2458">
            <v>22629</v>
          </cell>
          <cell r="I2458" t="str">
            <v>Latin America and Caribbean</v>
          </cell>
          <cell r="J2458" t="str">
            <v>Brazil</v>
          </cell>
          <cell r="K2458">
            <v>22462</v>
          </cell>
        </row>
        <row r="2459">
          <cell r="A2459" t="str">
            <v>In service</v>
          </cell>
          <cell r="B2459" t="str">
            <v>Gulfstream Aerospace Gulfstream I</v>
          </cell>
          <cell r="C2459" t="str">
            <v xml:space="preserve"> </v>
          </cell>
          <cell r="D2459">
            <v>1961</v>
          </cell>
          <cell r="E2459" t="str">
            <v>TAC Air Services</v>
          </cell>
          <cell r="F2459">
            <v>39</v>
          </cell>
          <cell r="G2459">
            <v>22669</v>
          </cell>
          <cell r="I2459" t="str">
            <v>Africa</v>
          </cell>
          <cell r="J2459" t="str">
            <v>South Africa</v>
          </cell>
          <cell r="K2459">
            <v>22462</v>
          </cell>
        </row>
        <row r="2460">
          <cell r="A2460" t="str">
            <v>In service</v>
          </cell>
          <cell r="B2460" t="str">
            <v>Gulfstream Aerospace Gulfstream I</v>
          </cell>
          <cell r="C2460" t="str">
            <v xml:space="preserve"> </v>
          </cell>
          <cell r="D2460">
            <v>1961</v>
          </cell>
          <cell r="E2460" t="str">
            <v>Aerotaxi de Valledupar</v>
          </cell>
          <cell r="F2460">
            <v>39</v>
          </cell>
          <cell r="G2460">
            <v>22601</v>
          </cell>
          <cell r="I2460" t="str">
            <v>Latin America and Caribbean</v>
          </cell>
          <cell r="J2460" t="str">
            <v>Colombia</v>
          </cell>
          <cell r="K2460">
            <v>22462</v>
          </cell>
        </row>
        <row r="2461">
          <cell r="A2461" t="str">
            <v>In service</v>
          </cell>
          <cell r="B2461" t="str">
            <v>Gulfstream Aerospace Gulfstream I</v>
          </cell>
          <cell r="C2461" t="str">
            <v xml:space="preserve"> </v>
          </cell>
          <cell r="D2461">
            <v>1961</v>
          </cell>
          <cell r="E2461" t="str">
            <v>Air Cess Inc</v>
          </cell>
          <cell r="F2461">
            <v>39</v>
          </cell>
          <cell r="G2461">
            <v>22735</v>
          </cell>
          <cell r="I2461" t="str">
            <v>North America</v>
          </cell>
          <cell r="J2461" t="str">
            <v>USA</v>
          </cell>
          <cell r="K2461">
            <v>22462</v>
          </cell>
        </row>
        <row r="2462">
          <cell r="A2462" t="str">
            <v>In service</v>
          </cell>
          <cell r="B2462" t="str">
            <v>Gulfstream Aerospace Gulfstream I</v>
          </cell>
          <cell r="C2462" t="str">
            <v xml:space="preserve"> </v>
          </cell>
          <cell r="D2462">
            <v>1962</v>
          </cell>
          <cell r="E2462" t="str">
            <v>Indiana University Foundation</v>
          </cell>
          <cell r="F2462">
            <v>38</v>
          </cell>
          <cell r="G2462">
            <v>22733</v>
          </cell>
          <cell r="I2462" t="str">
            <v>North America</v>
          </cell>
          <cell r="J2462" t="str">
            <v>USA</v>
          </cell>
          <cell r="K2462">
            <v>22462</v>
          </cell>
        </row>
        <row r="2463">
          <cell r="A2463" t="str">
            <v>In service</v>
          </cell>
          <cell r="B2463" t="str">
            <v>Gulfstream Aerospace Gulfstream I</v>
          </cell>
          <cell r="C2463" t="str">
            <v xml:space="preserve"> </v>
          </cell>
          <cell r="D2463">
            <v>1962</v>
          </cell>
          <cell r="E2463" t="str">
            <v>Tim-Bar Corp</v>
          </cell>
          <cell r="F2463">
            <v>38</v>
          </cell>
          <cell r="G2463">
            <v>22734</v>
          </cell>
          <cell r="I2463" t="str">
            <v>North America</v>
          </cell>
          <cell r="J2463" t="str">
            <v>USA</v>
          </cell>
          <cell r="K2463">
            <v>22661</v>
          </cell>
        </row>
        <row r="2464">
          <cell r="A2464" t="str">
            <v>In service</v>
          </cell>
          <cell r="B2464" t="str">
            <v>Gulfstream Aerospace Gulfstream I</v>
          </cell>
          <cell r="C2464" t="str">
            <v xml:space="preserve"> </v>
          </cell>
          <cell r="D2464">
            <v>1962</v>
          </cell>
          <cell r="E2464" t="str">
            <v>Cummins Inc</v>
          </cell>
          <cell r="F2464">
            <v>38</v>
          </cell>
          <cell r="G2464">
            <v>22817</v>
          </cell>
          <cell r="I2464" t="str">
            <v>North America</v>
          </cell>
          <cell r="J2464" t="str">
            <v>USA</v>
          </cell>
          <cell r="K2464">
            <v>22720</v>
          </cell>
        </row>
        <row r="2465">
          <cell r="A2465" t="str">
            <v>In service</v>
          </cell>
          <cell r="B2465" t="str">
            <v>Gulfstream Aerospace Gulfstream I</v>
          </cell>
          <cell r="C2465" t="str">
            <v xml:space="preserve"> </v>
          </cell>
          <cell r="D2465">
            <v>1962</v>
          </cell>
          <cell r="E2465" t="str">
            <v>US Coast Guard</v>
          </cell>
          <cell r="F2465">
            <v>38</v>
          </cell>
          <cell r="G2465">
            <v>22973</v>
          </cell>
          <cell r="H2465" t="str">
            <v>VC-4A</v>
          </cell>
          <cell r="I2465" t="str">
            <v>North America</v>
          </cell>
          <cell r="J2465" t="str">
            <v>USA</v>
          </cell>
          <cell r="K2465">
            <v>22827</v>
          </cell>
        </row>
        <row r="2466">
          <cell r="A2466" t="str">
            <v>In service</v>
          </cell>
          <cell r="B2466" t="str">
            <v>Gulfstream Aerospace Gulfstream I</v>
          </cell>
          <cell r="C2466" t="str">
            <v xml:space="preserve"> </v>
          </cell>
          <cell r="D2466">
            <v>1962</v>
          </cell>
          <cell r="E2466" t="str">
            <v>NASA</v>
          </cell>
          <cell r="F2466">
            <v>38</v>
          </cell>
          <cell r="G2466">
            <v>23076</v>
          </cell>
          <cell r="I2466" t="str">
            <v>North America</v>
          </cell>
          <cell r="J2466" t="str">
            <v>USA</v>
          </cell>
          <cell r="K2466">
            <v>22827</v>
          </cell>
        </row>
        <row r="2467">
          <cell r="A2467" t="str">
            <v>In service</v>
          </cell>
          <cell r="B2467" t="str">
            <v>Gulfstream Aerospace Gulfstream I</v>
          </cell>
          <cell r="C2467" t="str">
            <v xml:space="preserve"> </v>
          </cell>
          <cell r="D2467">
            <v>1962</v>
          </cell>
          <cell r="E2467" t="str">
            <v>Saicam Air (US) Inc</v>
          </cell>
          <cell r="F2467">
            <v>38</v>
          </cell>
          <cell r="G2467">
            <v>22962</v>
          </cell>
          <cell r="I2467" t="str">
            <v>North America</v>
          </cell>
          <cell r="J2467" t="str">
            <v>USA</v>
          </cell>
          <cell r="K2467">
            <v>22827</v>
          </cell>
        </row>
        <row r="2468">
          <cell r="A2468" t="str">
            <v>In service</v>
          </cell>
          <cell r="B2468" t="str">
            <v>Gulfstream Aerospace Gulfstream I</v>
          </cell>
          <cell r="C2468" t="str">
            <v xml:space="preserve"> </v>
          </cell>
          <cell r="D2468">
            <v>1962</v>
          </cell>
          <cell r="E2468" t="str">
            <v>Star Publications and Distributions Inc</v>
          </cell>
          <cell r="F2468">
            <v>38</v>
          </cell>
          <cell r="G2468">
            <v>22976</v>
          </cell>
          <cell r="I2468" t="str">
            <v>North America</v>
          </cell>
          <cell r="J2468" t="str">
            <v>USA</v>
          </cell>
          <cell r="K2468">
            <v>22827</v>
          </cell>
        </row>
        <row r="2469">
          <cell r="A2469" t="str">
            <v>In service</v>
          </cell>
          <cell r="B2469" t="str">
            <v>Gulfstream Aerospace Gulfstream I</v>
          </cell>
          <cell r="C2469" t="str">
            <v xml:space="preserve"> </v>
          </cell>
          <cell r="D2469">
            <v>1962</v>
          </cell>
          <cell r="E2469" t="str">
            <v>NASA</v>
          </cell>
          <cell r="F2469">
            <v>38</v>
          </cell>
          <cell r="G2469">
            <v>23085</v>
          </cell>
          <cell r="I2469" t="str">
            <v>North America</v>
          </cell>
          <cell r="J2469" t="str">
            <v>USA</v>
          </cell>
          <cell r="K2469">
            <v>22827</v>
          </cell>
        </row>
        <row r="2470">
          <cell r="A2470" t="str">
            <v>In service</v>
          </cell>
          <cell r="B2470" t="str">
            <v>Gulfstream Aerospace Gulfstream I</v>
          </cell>
          <cell r="C2470" t="str">
            <v xml:space="preserve"> </v>
          </cell>
          <cell r="D2470">
            <v>1962</v>
          </cell>
          <cell r="E2470" t="str">
            <v>Phoenix Air</v>
          </cell>
          <cell r="F2470">
            <v>38</v>
          </cell>
          <cell r="G2470">
            <v>23000</v>
          </cell>
          <cell r="I2470" t="str">
            <v>North America</v>
          </cell>
          <cell r="J2470" t="str">
            <v>USA</v>
          </cell>
          <cell r="K2470">
            <v>22827</v>
          </cell>
        </row>
        <row r="2471">
          <cell r="A2471" t="str">
            <v>In service</v>
          </cell>
          <cell r="B2471" t="str">
            <v>Gulfstream Aerospace Gulfstream I</v>
          </cell>
          <cell r="C2471" t="str">
            <v>1C Commuter</v>
          </cell>
          <cell r="D2471">
            <v>1959</v>
          </cell>
          <cell r="E2471" t="str">
            <v>Phoenix Air</v>
          </cell>
          <cell r="F2471">
            <v>41</v>
          </cell>
          <cell r="G2471">
            <v>21919</v>
          </cell>
          <cell r="H2471" t="str">
            <v>1C</v>
          </cell>
          <cell r="I2471" t="str">
            <v>North America</v>
          </cell>
          <cell r="J2471" t="str">
            <v>USA</v>
          </cell>
          <cell r="K2471">
            <v>21412</v>
          </cell>
        </row>
        <row r="2472">
          <cell r="A2472" t="str">
            <v>In service</v>
          </cell>
          <cell r="B2472" t="str">
            <v>Gulfstream Aerospace Gulfstream I</v>
          </cell>
          <cell r="C2472" t="str">
            <v>1C Commuter</v>
          </cell>
          <cell r="D2472">
            <v>1962</v>
          </cell>
          <cell r="E2472" t="str">
            <v>Phoenix Air</v>
          </cell>
          <cell r="F2472">
            <v>38</v>
          </cell>
          <cell r="G2472">
            <v>22789</v>
          </cell>
          <cell r="H2472" t="str">
            <v>1C</v>
          </cell>
          <cell r="I2472" t="str">
            <v>North America</v>
          </cell>
          <cell r="J2472" t="str">
            <v>USA</v>
          </cell>
          <cell r="K2472">
            <v>22692</v>
          </cell>
        </row>
        <row r="2473">
          <cell r="A2473" t="str">
            <v>In service</v>
          </cell>
          <cell r="B2473" t="str">
            <v>Gulfstream Aerospace Gulfstream I</v>
          </cell>
          <cell r="C2473" t="str">
            <v>Commuter</v>
          </cell>
          <cell r="D2473">
            <v>1963</v>
          </cell>
          <cell r="E2473" t="str">
            <v>Diwan Airservice</v>
          </cell>
          <cell r="F2473">
            <v>37</v>
          </cell>
          <cell r="G2473">
            <v>23357</v>
          </cell>
          <cell r="H2473" t="str">
            <v>Commuter</v>
          </cell>
          <cell r="I2473" t="str">
            <v>Europe</v>
          </cell>
          <cell r="J2473" t="str">
            <v>France</v>
          </cell>
          <cell r="K2473">
            <v>23269</v>
          </cell>
        </row>
        <row r="2474">
          <cell r="A2474" t="str">
            <v>In service</v>
          </cell>
          <cell r="B2474" t="str">
            <v>Gulfstream Aerospace Gulfstream I</v>
          </cell>
          <cell r="C2474" t="str">
            <v>Commuter</v>
          </cell>
          <cell r="D2474">
            <v>1964</v>
          </cell>
          <cell r="E2474" t="str">
            <v>Airquarius Air Charter</v>
          </cell>
          <cell r="F2474">
            <v>36</v>
          </cell>
          <cell r="G2474">
            <v>23585</v>
          </cell>
          <cell r="H2474" t="str">
            <v>Commuter</v>
          </cell>
          <cell r="I2474" t="str">
            <v>Africa</v>
          </cell>
          <cell r="J2474" t="str">
            <v>South Africa</v>
          </cell>
          <cell r="K2474">
            <v>23192</v>
          </cell>
        </row>
        <row r="2475">
          <cell r="A2475" t="str">
            <v>In service</v>
          </cell>
          <cell r="B2475" t="str">
            <v>Gulfstream Aerospace Gulfstream I</v>
          </cell>
          <cell r="C2475" t="str">
            <v>Commuter</v>
          </cell>
          <cell r="D2475">
            <v>1965</v>
          </cell>
          <cell r="E2475" t="str">
            <v>CAA - Compagnie Africaine d'Aviation</v>
          </cell>
          <cell r="F2475">
            <v>35</v>
          </cell>
          <cell r="G2475">
            <v>23881</v>
          </cell>
          <cell r="H2475" t="str">
            <v>Commuter</v>
          </cell>
          <cell r="I2475" t="str">
            <v>Africa</v>
          </cell>
          <cell r="J2475" t="str">
            <v>Congo (Democratic Republic)</v>
          </cell>
          <cell r="K2475">
            <v>23788</v>
          </cell>
        </row>
        <row r="2476">
          <cell r="A2476" t="str">
            <v>In service</v>
          </cell>
          <cell r="B2476" t="str">
            <v>Gulfstream Aerospace Gulfstream I</v>
          </cell>
          <cell r="C2476" t="str">
            <v>Commuter</v>
          </cell>
          <cell r="D2476">
            <v>1965</v>
          </cell>
          <cell r="E2476" t="str">
            <v>Intertransit</v>
          </cell>
          <cell r="F2476">
            <v>35</v>
          </cell>
          <cell r="G2476">
            <v>24131</v>
          </cell>
          <cell r="H2476" t="str">
            <v>Commuter</v>
          </cell>
          <cell r="I2476" t="str">
            <v>Africa</v>
          </cell>
          <cell r="J2476" t="str">
            <v>Angola</v>
          </cell>
          <cell r="K2476">
            <v>24091</v>
          </cell>
        </row>
        <row r="2477">
          <cell r="A2477" t="str">
            <v>In service</v>
          </cell>
          <cell r="B2477" t="str">
            <v>Gulfstream Aerospace Gulfstream I</v>
          </cell>
          <cell r="C2477" t="str">
            <v>Commuter</v>
          </cell>
          <cell r="D2477">
            <v>1967</v>
          </cell>
          <cell r="E2477" t="str">
            <v>Citra Aviation</v>
          </cell>
          <cell r="F2477">
            <v>33</v>
          </cell>
          <cell r="G2477">
            <v>24539</v>
          </cell>
          <cell r="H2477" t="str">
            <v>Commuter</v>
          </cell>
          <cell r="I2477" t="str">
            <v>Asia</v>
          </cell>
          <cell r="J2477" t="str">
            <v>Indonesia</v>
          </cell>
          <cell r="K2477">
            <v>24456</v>
          </cell>
        </row>
        <row r="2478">
          <cell r="A2478" t="str">
            <v>In service</v>
          </cell>
          <cell r="B2478" t="str">
            <v>Gulfstream Aerospace Gulfstream I</v>
          </cell>
          <cell r="C2478" t="str">
            <v>Commuter</v>
          </cell>
          <cell r="D2478">
            <v>1968</v>
          </cell>
          <cell r="E2478" t="str">
            <v>Aero Aar</v>
          </cell>
          <cell r="F2478">
            <v>32</v>
          </cell>
          <cell r="G2478">
            <v>25148</v>
          </cell>
          <cell r="H2478" t="str">
            <v>Commuter</v>
          </cell>
          <cell r="I2478" t="str">
            <v>Latin America and Caribbean</v>
          </cell>
          <cell r="J2478" t="str">
            <v>Venezuela</v>
          </cell>
          <cell r="K2478">
            <v>25126</v>
          </cell>
        </row>
        <row r="2479">
          <cell r="A2479" t="str">
            <v>In service</v>
          </cell>
          <cell r="B2479" t="str">
            <v>Gulfstream Aerospace Gulfstream I</v>
          </cell>
          <cell r="C2479" t="str">
            <v>Commuter</v>
          </cell>
          <cell r="D2479">
            <v>1959</v>
          </cell>
          <cell r="E2479" t="str">
            <v>Diwan Airservice</v>
          </cell>
          <cell r="F2479">
            <v>41</v>
          </cell>
          <cell r="G2479">
            <v>21860</v>
          </cell>
          <cell r="H2479" t="str">
            <v>Commuter</v>
          </cell>
          <cell r="I2479" t="str">
            <v>Europe</v>
          </cell>
          <cell r="J2479" t="str">
            <v>France</v>
          </cell>
          <cell r="K2479">
            <v>21001</v>
          </cell>
        </row>
        <row r="2480">
          <cell r="A2480" t="str">
            <v>In service</v>
          </cell>
          <cell r="B2480" t="str">
            <v>Gulfstream Aerospace Gulfstream I</v>
          </cell>
          <cell r="C2480" t="str">
            <v>Commuter</v>
          </cell>
          <cell r="D2480">
            <v>1960</v>
          </cell>
          <cell r="E2480" t="str">
            <v>Jetpet</v>
          </cell>
          <cell r="F2480">
            <v>40</v>
          </cell>
          <cell r="G2480">
            <v>22080</v>
          </cell>
          <cell r="H2480" t="str">
            <v>Commuter</v>
          </cell>
          <cell r="I2480" t="str">
            <v>Africa</v>
          </cell>
          <cell r="J2480" t="str">
            <v>Kenya</v>
          </cell>
          <cell r="K2480">
            <v>21961</v>
          </cell>
        </row>
        <row r="2481">
          <cell r="A2481" t="str">
            <v>In service</v>
          </cell>
          <cell r="B2481" t="str">
            <v>Gulfstream Aerospace Gulfstream I</v>
          </cell>
          <cell r="C2481" t="str">
            <v>Commuter</v>
          </cell>
          <cell r="D2481">
            <v>1959</v>
          </cell>
          <cell r="E2481" t="str">
            <v>Merafe Aviation (Pty) Ltd</v>
          </cell>
          <cell r="F2481">
            <v>41</v>
          </cell>
          <cell r="G2481">
            <v>21732</v>
          </cell>
          <cell r="H2481" t="str">
            <v>Commuter</v>
          </cell>
          <cell r="I2481" t="str">
            <v>Africa</v>
          </cell>
          <cell r="J2481" t="str">
            <v>South Africa</v>
          </cell>
          <cell r="K2481">
            <v>21108</v>
          </cell>
        </row>
        <row r="2482">
          <cell r="A2482" t="str">
            <v>In service</v>
          </cell>
          <cell r="B2482" t="str">
            <v>Gulfstream Aerospace Gulfstream I</v>
          </cell>
          <cell r="C2482" t="str">
            <v>Commuter</v>
          </cell>
          <cell r="D2482">
            <v>1961</v>
          </cell>
          <cell r="E2482" t="str">
            <v>Alternanive Air Sa de CV</v>
          </cell>
          <cell r="F2482">
            <v>39</v>
          </cell>
          <cell r="G2482">
            <v>22469</v>
          </cell>
          <cell r="H2482" t="str">
            <v>Commuter</v>
          </cell>
          <cell r="I2482" t="str">
            <v>Latin America and Caribbean</v>
          </cell>
          <cell r="J2482" t="str">
            <v>Mexico</v>
          </cell>
          <cell r="K2482">
            <v>22386</v>
          </cell>
        </row>
        <row r="2483">
          <cell r="A2483" t="str">
            <v>In service</v>
          </cell>
          <cell r="B2483" t="str">
            <v>Gulfstream Aerospace Gulfstream I</v>
          </cell>
          <cell r="C2483" t="str">
            <v>Freighter</v>
          </cell>
          <cell r="D2483">
            <v>1958</v>
          </cell>
          <cell r="E2483" t="str">
            <v xml:space="preserve">Coastac Flow Trade </v>
          </cell>
          <cell r="F2483">
            <v>42</v>
          </cell>
          <cell r="G2483">
            <v>26724</v>
          </cell>
          <cell r="H2483" t="str">
            <v>Freighter</v>
          </cell>
          <cell r="I2483" t="str">
            <v>Africa</v>
          </cell>
          <cell r="J2483" t="str">
            <v>South Africa</v>
          </cell>
        </row>
        <row r="2484">
          <cell r="A2484" t="str">
            <v>In service</v>
          </cell>
          <cell r="B2484" t="str">
            <v>Gulfstream Aerospace Gulfstream I</v>
          </cell>
          <cell r="C2484" t="str">
            <v>Freighter</v>
          </cell>
          <cell r="D2484">
            <v>1964</v>
          </cell>
          <cell r="E2484" t="str">
            <v>Phoenix Air</v>
          </cell>
          <cell r="F2484">
            <v>36</v>
          </cell>
          <cell r="G2484">
            <v>23434</v>
          </cell>
          <cell r="H2484" t="str">
            <v>Freighter</v>
          </cell>
          <cell r="I2484" t="str">
            <v>North America</v>
          </cell>
          <cell r="J2484" t="str">
            <v>USA</v>
          </cell>
          <cell r="K2484">
            <v>23192</v>
          </cell>
        </row>
        <row r="2485">
          <cell r="A2485" t="str">
            <v>In service</v>
          </cell>
          <cell r="B2485" t="str">
            <v>Gulfstream Aerospace Gulfstream I</v>
          </cell>
          <cell r="C2485" t="str">
            <v>Freighter</v>
          </cell>
          <cell r="D2485">
            <v>1964</v>
          </cell>
          <cell r="E2485" t="str">
            <v>Airquarius Air Charter</v>
          </cell>
          <cell r="F2485">
            <v>36</v>
          </cell>
          <cell r="G2485">
            <v>23658</v>
          </cell>
          <cell r="H2485" t="str">
            <v>Freighter</v>
          </cell>
          <cell r="I2485" t="str">
            <v>Africa</v>
          </cell>
          <cell r="J2485" t="str">
            <v>South Africa</v>
          </cell>
          <cell r="K2485">
            <v>23573</v>
          </cell>
        </row>
        <row r="2486">
          <cell r="A2486" t="str">
            <v>In service</v>
          </cell>
          <cell r="B2486" t="str">
            <v>Gulfstream Aerospace Gulfstream I</v>
          </cell>
          <cell r="C2486" t="str">
            <v>Freighter</v>
          </cell>
          <cell r="D2486">
            <v>1965</v>
          </cell>
          <cell r="E2486" t="str">
            <v>Stellair</v>
          </cell>
          <cell r="F2486">
            <v>35</v>
          </cell>
          <cell r="G2486">
            <v>23966</v>
          </cell>
          <cell r="H2486" t="str">
            <v>Freighter</v>
          </cell>
          <cell r="I2486" t="str">
            <v>Europe</v>
          </cell>
          <cell r="J2486" t="str">
            <v>Spain</v>
          </cell>
          <cell r="K2486">
            <v>23757</v>
          </cell>
        </row>
        <row r="2487">
          <cell r="A2487" t="str">
            <v>In service</v>
          </cell>
          <cell r="B2487" t="str">
            <v>Gulfstream Aerospace Gulfstream I</v>
          </cell>
          <cell r="C2487" t="str">
            <v>Freighter</v>
          </cell>
          <cell r="D2487">
            <v>1969</v>
          </cell>
          <cell r="E2487" t="str">
            <v>Phoenix Air</v>
          </cell>
          <cell r="F2487">
            <v>31</v>
          </cell>
          <cell r="G2487">
            <v>25218</v>
          </cell>
          <cell r="H2487" t="str">
            <v>Freighter</v>
          </cell>
          <cell r="I2487" t="str">
            <v>North America</v>
          </cell>
          <cell r="J2487" t="str">
            <v>USA</v>
          </cell>
          <cell r="K2487">
            <v>24912</v>
          </cell>
        </row>
        <row r="2488">
          <cell r="A2488" t="str">
            <v>In service</v>
          </cell>
          <cell r="B2488" t="str">
            <v>Gulfstream Aerospace Gulfstream I</v>
          </cell>
          <cell r="C2488" t="str">
            <v>Freighter</v>
          </cell>
          <cell r="D2488">
            <v>1960</v>
          </cell>
          <cell r="E2488" t="str">
            <v>Stellair</v>
          </cell>
          <cell r="F2488">
            <v>40</v>
          </cell>
          <cell r="G2488">
            <v>22038</v>
          </cell>
          <cell r="H2488" t="str">
            <v>Freighter</v>
          </cell>
          <cell r="I2488" t="str">
            <v>Europe</v>
          </cell>
          <cell r="J2488" t="str">
            <v>Spain</v>
          </cell>
          <cell r="K2488">
            <v>21869</v>
          </cell>
        </row>
        <row r="2489">
          <cell r="A2489" t="str">
            <v>In service</v>
          </cell>
          <cell r="B2489" t="str">
            <v>Gulfstream Aerospace Gulfstream I</v>
          </cell>
          <cell r="C2489" t="str">
            <v>Freighter</v>
          </cell>
          <cell r="D2489">
            <v>1962</v>
          </cell>
          <cell r="E2489" t="str">
            <v>Phoenix Air</v>
          </cell>
          <cell r="F2489">
            <v>38</v>
          </cell>
          <cell r="G2489">
            <v>23008</v>
          </cell>
          <cell r="H2489" t="str">
            <v>Freighter</v>
          </cell>
          <cell r="I2489" t="str">
            <v>North America</v>
          </cell>
          <cell r="J2489" t="str">
            <v>USA</v>
          </cell>
          <cell r="K2489">
            <v>22827</v>
          </cell>
        </row>
        <row r="2490">
          <cell r="A2490" t="str">
            <v>In service</v>
          </cell>
          <cell r="B2490" t="str">
            <v>Gulfstream Aerospace Gulfstream II</v>
          </cell>
          <cell r="C2490" t="str">
            <v xml:space="preserve"> </v>
          </cell>
          <cell r="D2490">
            <v>1971</v>
          </cell>
          <cell r="E2490" t="str">
            <v>American Barrick Resources</v>
          </cell>
          <cell r="F2490">
            <v>29</v>
          </cell>
          <cell r="G2490">
            <v>26282</v>
          </cell>
          <cell r="I2490" t="str">
            <v>North America</v>
          </cell>
          <cell r="J2490" t="str">
            <v>Canada</v>
          </cell>
          <cell r="K2490">
            <v>25749</v>
          </cell>
        </row>
        <row r="2491">
          <cell r="A2491" t="str">
            <v>In service</v>
          </cell>
          <cell r="B2491" t="str">
            <v>Gulfstream Aerospace Gulfstream II</v>
          </cell>
          <cell r="C2491" t="str">
            <v xml:space="preserve"> </v>
          </cell>
          <cell r="D2491">
            <v>1971</v>
          </cell>
          <cell r="E2491" t="str">
            <v>Gibraltar Aviation Ltd</v>
          </cell>
          <cell r="F2491">
            <v>29</v>
          </cell>
          <cell r="G2491">
            <v>26276</v>
          </cell>
          <cell r="I2491" t="str">
            <v>North America</v>
          </cell>
          <cell r="J2491" t="str">
            <v>USA</v>
          </cell>
          <cell r="K2491">
            <v>25384</v>
          </cell>
        </row>
        <row r="2492">
          <cell r="A2492" t="str">
            <v>In service</v>
          </cell>
          <cell r="B2492" t="str">
            <v>Gulfstream Aerospace Gulfstream II</v>
          </cell>
          <cell r="C2492" t="str">
            <v xml:space="preserve"> </v>
          </cell>
          <cell r="D2492">
            <v>1971</v>
          </cell>
          <cell r="E2492" t="str">
            <v>Geosar LLC</v>
          </cell>
          <cell r="F2492">
            <v>29</v>
          </cell>
          <cell r="G2492">
            <v>26301</v>
          </cell>
          <cell r="I2492" t="str">
            <v>North America</v>
          </cell>
          <cell r="J2492" t="str">
            <v>USA</v>
          </cell>
          <cell r="K2492">
            <v>26114</v>
          </cell>
        </row>
        <row r="2493">
          <cell r="A2493" t="str">
            <v>In service</v>
          </cell>
          <cell r="B2493" t="str">
            <v>Gulfstream Aerospace Gulfstream II</v>
          </cell>
          <cell r="C2493" t="str">
            <v xml:space="preserve"> </v>
          </cell>
          <cell r="D2493">
            <v>1968</v>
          </cell>
          <cell r="E2493" t="str">
            <v>Fairway Enterprises Inc</v>
          </cell>
          <cell r="F2493">
            <v>32</v>
          </cell>
          <cell r="G2493">
            <v>24873</v>
          </cell>
          <cell r="I2493" t="str">
            <v>North America</v>
          </cell>
          <cell r="J2493" t="str">
            <v>USA</v>
          </cell>
          <cell r="K2493">
            <v>24653</v>
          </cell>
        </row>
        <row r="2494">
          <cell r="A2494" t="str">
            <v>In service</v>
          </cell>
          <cell r="B2494" t="str">
            <v>Gulfstream Aerospace Gulfstream II</v>
          </cell>
          <cell r="C2494" t="str">
            <v xml:space="preserve"> </v>
          </cell>
          <cell r="D2494">
            <v>1972</v>
          </cell>
          <cell r="E2494" t="str">
            <v>Business Jet Enterprises LP</v>
          </cell>
          <cell r="F2494">
            <v>28</v>
          </cell>
          <cell r="G2494">
            <v>26413</v>
          </cell>
          <cell r="I2494" t="str">
            <v>North America</v>
          </cell>
          <cell r="J2494" t="str">
            <v>USA</v>
          </cell>
          <cell r="K2494">
            <v>25749</v>
          </cell>
        </row>
        <row r="2495">
          <cell r="A2495" t="str">
            <v>In service</v>
          </cell>
          <cell r="B2495" t="str">
            <v>Gulfstream Aerospace Gulfstream II</v>
          </cell>
          <cell r="C2495" t="str">
            <v xml:space="preserve"> </v>
          </cell>
          <cell r="D2495">
            <v>1972</v>
          </cell>
          <cell r="E2495" t="str">
            <v>Omnitrition de Mexico SA</v>
          </cell>
          <cell r="F2495">
            <v>28</v>
          </cell>
          <cell r="G2495">
            <v>26480</v>
          </cell>
          <cell r="I2495" t="str">
            <v>Latin America and Caribbean</v>
          </cell>
          <cell r="J2495" t="str">
            <v>Mexico</v>
          </cell>
          <cell r="K2495">
            <v>26114</v>
          </cell>
        </row>
        <row r="2496">
          <cell r="A2496" t="str">
            <v>In service</v>
          </cell>
          <cell r="B2496" t="str">
            <v>Gulfstream Aerospace Gulfstream II</v>
          </cell>
          <cell r="C2496" t="str">
            <v xml:space="preserve"> </v>
          </cell>
          <cell r="D2496">
            <v>1972</v>
          </cell>
          <cell r="E2496" t="str">
            <v>Trans Exec Air Service</v>
          </cell>
          <cell r="F2496">
            <v>28</v>
          </cell>
          <cell r="G2496">
            <v>26536</v>
          </cell>
          <cell r="I2496" t="str">
            <v>North America</v>
          </cell>
          <cell r="J2496" t="str">
            <v>USA</v>
          </cell>
          <cell r="K2496">
            <v>25749</v>
          </cell>
        </row>
        <row r="2497">
          <cell r="A2497" t="str">
            <v>In service</v>
          </cell>
          <cell r="B2497" t="str">
            <v>Gulfstream Aerospace Gulfstream II</v>
          </cell>
          <cell r="C2497" t="str">
            <v xml:space="preserve"> </v>
          </cell>
          <cell r="D2497">
            <v>1972</v>
          </cell>
          <cell r="E2497" t="str">
            <v>NASA</v>
          </cell>
          <cell r="F2497">
            <v>28</v>
          </cell>
          <cell r="G2497">
            <v>26576</v>
          </cell>
          <cell r="I2497" t="str">
            <v>North America</v>
          </cell>
          <cell r="J2497" t="str">
            <v>USA</v>
          </cell>
          <cell r="K2497">
            <v>26114</v>
          </cell>
        </row>
        <row r="2498">
          <cell r="A2498" t="str">
            <v>In service</v>
          </cell>
          <cell r="B2498" t="str">
            <v>Gulfstream Aerospace Gulfstream II</v>
          </cell>
          <cell r="C2498" t="str">
            <v xml:space="preserve"> </v>
          </cell>
          <cell r="D2498">
            <v>1972</v>
          </cell>
          <cell r="E2498" t="str">
            <v>Hawk Gathering System Inc</v>
          </cell>
          <cell r="F2498">
            <v>28</v>
          </cell>
          <cell r="G2498">
            <v>26669</v>
          </cell>
          <cell r="I2498" t="str">
            <v>North America</v>
          </cell>
          <cell r="J2498" t="str">
            <v>USA</v>
          </cell>
          <cell r="K2498">
            <v>26114</v>
          </cell>
        </row>
        <row r="2499">
          <cell r="A2499" t="str">
            <v>In service</v>
          </cell>
          <cell r="B2499" t="str">
            <v>Gulfstream Aerospace Gulfstream II</v>
          </cell>
          <cell r="C2499" t="str">
            <v xml:space="preserve"> </v>
          </cell>
          <cell r="D2499">
            <v>1973</v>
          </cell>
          <cell r="E2499" t="str">
            <v>Venezuelan Air Force</v>
          </cell>
          <cell r="F2499">
            <v>27</v>
          </cell>
          <cell r="G2499">
            <v>26880</v>
          </cell>
          <cell r="I2499" t="str">
            <v>Latin America and Caribbean</v>
          </cell>
          <cell r="J2499" t="str">
            <v>Venezuela</v>
          </cell>
          <cell r="K2499">
            <v>26480</v>
          </cell>
        </row>
        <row r="2500">
          <cell r="A2500" t="str">
            <v>In service</v>
          </cell>
          <cell r="B2500" t="str">
            <v>Gulfstream Aerospace Gulfstream II</v>
          </cell>
          <cell r="C2500" t="str">
            <v xml:space="preserve"> </v>
          </cell>
          <cell r="D2500">
            <v>1973</v>
          </cell>
          <cell r="E2500" t="str">
            <v>Watson/Perando/Gary Williams/Parenti/Lewis/McManus</v>
          </cell>
          <cell r="F2500">
            <v>27</v>
          </cell>
          <cell r="G2500">
            <v>26757</v>
          </cell>
          <cell r="I2500" t="str">
            <v>North America</v>
          </cell>
          <cell r="J2500" t="str">
            <v>USA</v>
          </cell>
          <cell r="K2500">
            <v>26114</v>
          </cell>
        </row>
        <row r="2501">
          <cell r="A2501" t="str">
            <v>In service</v>
          </cell>
          <cell r="B2501" t="str">
            <v>Gulfstream Aerospace Gulfstream II</v>
          </cell>
          <cell r="C2501" t="str">
            <v xml:space="preserve"> </v>
          </cell>
          <cell r="D2501">
            <v>1973</v>
          </cell>
          <cell r="E2501" t="str">
            <v>Services Group of America Inc</v>
          </cell>
          <cell r="F2501">
            <v>27</v>
          </cell>
          <cell r="G2501">
            <v>26801</v>
          </cell>
          <cell r="I2501" t="str">
            <v>North America</v>
          </cell>
          <cell r="J2501" t="str">
            <v>USA</v>
          </cell>
          <cell r="K2501">
            <v>26114</v>
          </cell>
        </row>
        <row r="2502">
          <cell r="A2502" t="str">
            <v>In service</v>
          </cell>
          <cell r="B2502" t="str">
            <v>Gulfstream Aerospace Gulfstream II</v>
          </cell>
          <cell r="C2502" t="str">
            <v xml:space="preserve"> </v>
          </cell>
          <cell r="D2502">
            <v>1968</v>
          </cell>
          <cell r="E2502" t="str">
            <v>LFP Inc</v>
          </cell>
          <cell r="F2502">
            <v>32</v>
          </cell>
          <cell r="G2502">
            <v>24960</v>
          </cell>
          <cell r="I2502" t="str">
            <v>North America</v>
          </cell>
          <cell r="J2502" t="str">
            <v>USA</v>
          </cell>
          <cell r="K2502">
            <v>23923</v>
          </cell>
        </row>
        <row r="2503">
          <cell r="A2503" t="str">
            <v>In service</v>
          </cell>
          <cell r="B2503" t="str">
            <v>Gulfstream Aerospace Gulfstream II</v>
          </cell>
          <cell r="C2503" t="str">
            <v xml:space="preserve"> </v>
          </cell>
          <cell r="D2503">
            <v>1973</v>
          </cell>
          <cell r="E2503" t="str">
            <v>Lorien Aviation Inc</v>
          </cell>
          <cell r="F2503">
            <v>27</v>
          </cell>
          <cell r="G2503">
            <v>26873</v>
          </cell>
          <cell r="I2503" t="str">
            <v>North America</v>
          </cell>
          <cell r="J2503" t="str">
            <v>USA</v>
          </cell>
          <cell r="K2503">
            <v>26480</v>
          </cell>
        </row>
        <row r="2504">
          <cell r="A2504" t="str">
            <v>In service</v>
          </cell>
          <cell r="B2504" t="str">
            <v>Gulfstream Aerospace Gulfstream II</v>
          </cell>
          <cell r="C2504" t="str">
            <v xml:space="preserve"> </v>
          </cell>
          <cell r="D2504">
            <v>1973</v>
          </cell>
          <cell r="E2504" t="str">
            <v>Cedarhurst Air Charter Inc</v>
          </cell>
          <cell r="F2504">
            <v>27</v>
          </cell>
          <cell r="G2504">
            <v>26896</v>
          </cell>
          <cell r="I2504" t="str">
            <v>North America</v>
          </cell>
          <cell r="J2504" t="str">
            <v>USA</v>
          </cell>
          <cell r="K2504">
            <v>26480</v>
          </cell>
        </row>
        <row r="2505">
          <cell r="A2505" t="str">
            <v>In service</v>
          </cell>
          <cell r="B2505" t="str">
            <v>Gulfstream Aerospace Gulfstream II</v>
          </cell>
          <cell r="C2505" t="str">
            <v xml:space="preserve"> </v>
          </cell>
          <cell r="D2505">
            <v>1973</v>
          </cell>
          <cell r="E2505" t="str">
            <v>EICO II Corp</v>
          </cell>
          <cell r="F2505">
            <v>27</v>
          </cell>
          <cell r="G2505">
            <v>26907</v>
          </cell>
          <cell r="I2505" t="str">
            <v>North America</v>
          </cell>
          <cell r="J2505" t="str">
            <v>USA</v>
          </cell>
          <cell r="K2505">
            <v>26114</v>
          </cell>
        </row>
        <row r="2506">
          <cell r="A2506" t="str">
            <v>In service</v>
          </cell>
          <cell r="B2506" t="str">
            <v>Gulfstream Aerospace Gulfstream II</v>
          </cell>
          <cell r="C2506" t="str">
            <v xml:space="preserve"> </v>
          </cell>
          <cell r="D2506">
            <v>1973</v>
          </cell>
          <cell r="E2506" t="str">
            <v>RMQ Ltd</v>
          </cell>
          <cell r="F2506">
            <v>27</v>
          </cell>
          <cell r="G2506">
            <v>26974</v>
          </cell>
          <cell r="I2506" t="str">
            <v>North America</v>
          </cell>
          <cell r="J2506" t="str">
            <v>USA</v>
          </cell>
          <cell r="K2506">
            <v>26480</v>
          </cell>
        </row>
        <row r="2507">
          <cell r="A2507" t="str">
            <v>In service</v>
          </cell>
          <cell r="B2507" t="str">
            <v>Gulfstream Aerospace Gulfstream II</v>
          </cell>
          <cell r="C2507" t="str">
            <v xml:space="preserve"> </v>
          </cell>
          <cell r="D2507">
            <v>1973</v>
          </cell>
          <cell r="E2507" t="str">
            <v>Walter Industries Inc</v>
          </cell>
          <cell r="F2507">
            <v>27</v>
          </cell>
          <cell r="G2507">
            <v>27008</v>
          </cell>
          <cell r="I2507" t="str">
            <v>North America</v>
          </cell>
          <cell r="J2507" t="str">
            <v>USA</v>
          </cell>
          <cell r="K2507">
            <v>26480</v>
          </cell>
        </row>
        <row r="2508">
          <cell r="A2508" t="str">
            <v>In service</v>
          </cell>
          <cell r="B2508" t="str">
            <v>Gulfstream Aerospace Gulfstream II</v>
          </cell>
          <cell r="C2508" t="str">
            <v xml:space="preserve"> </v>
          </cell>
          <cell r="D2508">
            <v>1974</v>
          </cell>
          <cell r="E2508" t="str">
            <v>Diamond Air Service</v>
          </cell>
          <cell r="F2508">
            <v>26</v>
          </cell>
          <cell r="G2508">
            <v>27196</v>
          </cell>
          <cell r="I2508" t="str">
            <v>Asia</v>
          </cell>
          <cell r="J2508" t="str">
            <v>Japan</v>
          </cell>
          <cell r="K2508">
            <v>26480</v>
          </cell>
        </row>
        <row r="2509">
          <cell r="A2509" t="str">
            <v>In service</v>
          </cell>
          <cell r="B2509" t="str">
            <v>Gulfstream Aerospace Gulfstream II</v>
          </cell>
          <cell r="C2509" t="str">
            <v xml:space="preserve"> </v>
          </cell>
          <cell r="D2509">
            <v>1974</v>
          </cell>
          <cell r="E2509" t="str">
            <v>RDC Marine Inc</v>
          </cell>
          <cell r="F2509">
            <v>26</v>
          </cell>
          <cell r="G2509">
            <v>27335</v>
          </cell>
          <cell r="I2509" t="str">
            <v>North America</v>
          </cell>
          <cell r="J2509" t="str">
            <v>USA</v>
          </cell>
          <cell r="K2509">
            <v>26845</v>
          </cell>
        </row>
        <row r="2510">
          <cell r="A2510" t="str">
            <v>In service</v>
          </cell>
          <cell r="B2510" t="str">
            <v>Gulfstream Aerospace Gulfstream II</v>
          </cell>
          <cell r="C2510" t="str">
            <v xml:space="preserve"> </v>
          </cell>
          <cell r="D2510">
            <v>1974</v>
          </cell>
          <cell r="E2510" t="str">
            <v>NASA</v>
          </cell>
          <cell r="F2510">
            <v>26</v>
          </cell>
          <cell r="G2510">
            <v>27269</v>
          </cell>
          <cell r="I2510" t="str">
            <v>North America</v>
          </cell>
          <cell r="J2510" t="str">
            <v>USA</v>
          </cell>
          <cell r="K2510">
            <v>26845</v>
          </cell>
        </row>
        <row r="2511">
          <cell r="A2511" t="str">
            <v>In service</v>
          </cell>
          <cell r="B2511" t="str">
            <v>Gulfstream Aerospace Gulfstream II</v>
          </cell>
          <cell r="C2511" t="str">
            <v xml:space="preserve"> </v>
          </cell>
          <cell r="D2511">
            <v>1974</v>
          </cell>
          <cell r="E2511" t="str">
            <v>Haliburton Energy Services Inc</v>
          </cell>
          <cell r="F2511">
            <v>26</v>
          </cell>
          <cell r="G2511">
            <v>27156</v>
          </cell>
          <cell r="I2511" t="str">
            <v>North America</v>
          </cell>
          <cell r="J2511" t="str">
            <v>USA</v>
          </cell>
          <cell r="K2511">
            <v>26480</v>
          </cell>
        </row>
        <row r="2512">
          <cell r="A2512" t="str">
            <v>In service</v>
          </cell>
          <cell r="B2512" t="str">
            <v>Gulfstream Aerospace Gulfstream II</v>
          </cell>
          <cell r="C2512" t="str">
            <v xml:space="preserve"> </v>
          </cell>
          <cell r="D2512">
            <v>1974</v>
          </cell>
          <cell r="E2512" t="str">
            <v>NASA</v>
          </cell>
          <cell r="F2512">
            <v>26</v>
          </cell>
          <cell r="G2512">
            <v>27169</v>
          </cell>
          <cell r="I2512" t="str">
            <v>North America</v>
          </cell>
          <cell r="J2512" t="str">
            <v>USA</v>
          </cell>
          <cell r="K2512">
            <v>26845</v>
          </cell>
        </row>
        <row r="2513">
          <cell r="A2513" t="str">
            <v>In service</v>
          </cell>
          <cell r="B2513" t="str">
            <v>Gulfstream Aerospace Gulfstream II</v>
          </cell>
          <cell r="C2513" t="str">
            <v xml:space="preserve"> </v>
          </cell>
          <cell r="D2513">
            <v>1974</v>
          </cell>
          <cell r="E2513" t="str">
            <v>NASA</v>
          </cell>
          <cell r="F2513">
            <v>26</v>
          </cell>
          <cell r="G2513">
            <v>27193</v>
          </cell>
          <cell r="I2513" t="str">
            <v>North America</v>
          </cell>
          <cell r="J2513" t="str">
            <v>USA</v>
          </cell>
          <cell r="K2513">
            <v>26845</v>
          </cell>
        </row>
        <row r="2514">
          <cell r="A2514" t="str">
            <v>In service</v>
          </cell>
          <cell r="B2514" t="str">
            <v>Gulfstream Aerospace Gulfstream II</v>
          </cell>
          <cell r="C2514" t="str">
            <v xml:space="preserve"> </v>
          </cell>
          <cell r="D2514">
            <v>1968</v>
          </cell>
          <cell r="E2514" t="str">
            <v>The O'Leary Group Inc</v>
          </cell>
          <cell r="F2514">
            <v>32</v>
          </cell>
          <cell r="G2514">
            <v>25034</v>
          </cell>
          <cell r="I2514" t="str">
            <v>North America</v>
          </cell>
          <cell r="J2514" t="str">
            <v>USA</v>
          </cell>
          <cell r="K2514">
            <v>24653</v>
          </cell>
        </row>
        <row r="2515">
          <cell r="A2515" t="str">
            <v>In service</v>
          </cell>
          <cell r="B2515" t="str">
            <v>Gulfstream Aerospace Gulfstream II</v>
          </cell>
          <cell r="C2515" t="str">
            <v xml:space="preserve"> </v>
          </cell>
          <cell r="D2515">
            <v>1974</v>
          </cell>
          <cell r="E2515" t="str">
            <v>Little Caesar Enterprises Inc</v>
          </cell>
          <cell r="F2515">
            <v>26</v>
          </cell>
          <cell r="G2515">
            <v>27306</v>
          </cell>
          <cell r="I2515" t="str">
            <v>North America</v>
          </cell>
          <cell r="J2515" t="str">
            <v>USA</v>
          </cell>
        </row>
        <row r="2516">
          <cell r="A2516" t="str">
            <v>In service</v>
          </cell>
          <cell r="B2516" t="str">
            <v>Gulfstream Aerospace Gulfstream II</v>
          </cell>
          <cell r="C2516" t="str">
            <v xml:space="preserve"> </v>
          </cell>
          <cell r="D2516">
            <v>1974</v>
          </cell>
          <cell r="E2516" t="str">
            <v>Crenshaw Christian Center Church of Los Angeles</v>
          </cell>
          <cell r="F2516">
            <v>26</v>
          </cell>
          <cell r="G2516">
            <v>27339</v>
          </cell>
          <cell r="I2516" t="str">
            <v>North America</v>
          </cell>
          <cell r="J2516" t="str">
            <v>USA</v>
          </cell>
          <cell r="K2516">
            <v>26480</v>
          </cell>
        </row>
        <row r="2517">
          <cell r="A2517" t="str">
            <v>In service</v>
          </cell>
          <cell r="B2517" t="str">
            <v>Gulfstream Aerospace Gulfstream II</v>
          </cell>
          <cell r="C2517" t="str">
            <v xml:space="preserve"> </v>
          </cell>
          <cell r="D2517">
            <v>1974</v>
          </cell>
          <cell r="E2517" t="str">
            <v xml:space="preserve">Crown Aviation LLC </v>
          </cell>
          <cell r="F2517">
            <v>26</v>
          </cell>
          <cell r="G2517">
            <v>27210</v>
          </cell>
          <cell r="I2517" t="str">
            <v>North America</v>
          </cell>
          <cell r="J2517" t="str">
            <v>USA</v>
          </cell>
          <cell r="K2517">
            <v>26845</v>
          </cell>
        </row>
        <row r="2518">
          <cell r="A2518" t="str">
            <v>In service</v>
          </cell>
          <cell r="B2518" t="str">
            <v>Gulfstream Aerospace Gulfstream II</v>
          </cell>
          <cell r="C2518" t="str">
            <v xml:space="preserve"> </v>
          </cell>
          <cell r="D2518">
            <v>1975</v>
          </cell>
          <cell r="E2518" t="str">
            <v>Federal Aviation Services Corp</v>
          </cell>
          <cell r="F2518">
            <v>25</v>
          </cell>
          <cell r="G2518">
            <v>27500</v>
          </cell>
          <cell r="I2518" t="str">
            <v>North America</v>
          </cell>
          <cell r="J2518" t="str">
            <v>USA</v>
          </cell>
          <cell r="K2518">
            <v>26845</v>
          </cell>
        </row>
        <row r="2519">
          <cell r="A2519" t="str">
            <v>In service</v>
          </cell>
          <cell r="B2519" t="str">
            <v>Gulfstream Aerospace Gulfstream II</v>
          </cell>
          <cell r="C2519" t="str">
            <v xml:space="preserve"> </v>
          </cell>
          <cell r="D2519">
            <v>1975</v>
          </cell>
          <cell r="E2519" t="str">
            <v>Antair SA de CV</v>
          </cell>
          <cell r="F2519">
            <v>25</v>
          </cell>
          <cell r="G2519">
            <v>27505</v>
          </cell>
          <cell r="I2519" t="str">
            <v>Latin America and Caribbean</v>
          </cell>
          <cell r="J2519" t="str">
            <v>Mexico</v>
          </cell>
          <cell r="K2519">
            <v>26845</v>
          </cell>
        </row>
        <row r="2520">
          <cell r="A2520" t="str">
            <v>In service</v>
          </cell>
          <cell r="B2520" t="str">
            <v>Gulfstream Aerospace Gulfstream II</v>
          </cell>
          <cell r="C2520" t="str">
            <v xml:space="preserve"> </v>
          </cell>
          <cell r="D2520">
            <v>1975</v>
          </cell>
          <cell r="E2520" t="str">
            <v>Janus Equities LLC</v>
          </cell>
          <cell r="F2520">
            <v>25</v>
          </cell>
          <cell r="G2520">
            <v>27774</v>
          </cell>
          <cell r="I2520" t="str">
            <v>North America</v>
          </cell>
          <cell r="J2520" t="str">
            <v>USA</v>
          </cell>
          <cell r="K2520">
            <v>27210</v>
          </cell>
        </row>
        <row r="2521">
          <cell r="A2521" t="str">
            <v>In service</v>
          </cell>
          <cell r="B2521" t="str">
            <v>Gulfstream Aerospace Gulfstream II</v>
          </cell>
          <cell r="C2521" t="str">
            <v xml:space="preserve"> </v>
          </cell>
          <cell r="D2521">
            <v>1975</v>
          </cell>
          <cell r="E2521" t="str">
            <v>XTO Energy Inc</v>
          </cell>
          <cell r="F2521">
            <v>25</v>
          </cell>
          <cell r="G2521">
            <v>27699</v>
          </cell>
          <cell r="I2521" t="str">
            <v>North America</v>
          </cell>
          <cell r="J2521" t="str">
            <v>USA</v>
          </cell>
        </row>
        <row r="2522">
          <cell r="A2522" t="str">
            <v>In service</v>
          </cell>
          <cell r="B2522" t="str">
            <v>Gulfstream Aerospace Gulfstream II</v>
          </cell>
          <cell r="C2522" t="str">
            <v xml:space="preserve"> </v>
          </cell>
          <cell r="D2522">
            <v>1975</v>
          </cell>
          <cell r="E2522" t="str">
            <v>Saudi Arabian Airlines</v>
          </cell>
          <cell r="F2522">
            <v>25</v>
          </cell>
          <cell r="G2522">
            <v>27900</v>
          </cell>
          <cell r="I2522" t="str">
            <v>Middle East</v>
          </cell>
          <cell r="J2522" t="str">
            <v>Saudi Arabia</v>
          </cell>
          <cell r="K2522">
            <v>27210</v>
          </cell>
        </row>
        <row r="2523">
          <cell r="A2523" t="str">
            <v>In service</v>
          </cell>
          <cell r="B2523" t="str">
            <v>Gulfstream Aerospace Gulfstream II</v>
          </cell>
          <cell r="C2523" t="str">
            <v xml:space="preserve"> </v>
          </cell>
          <cell r="D2523">
            <v>1976</v>
          </cell>
          <cell r="E2523" t="str">
            <v>Capital Aircraft Group LLC</v>
          </cell>
          <cell r="F2523">
            <v>24</v>
          </cell>
          <cell r="G2523">
            <v>27789</v>
          </cell>
          <cell r="I2523" t="str">
            <v>North America</v>
          </cell>
          <cell r="J2523" t="str">
            <v>USA</v>
          </cell>
          <cell r="K2523">
            <v>27210</v>
          </cell>
        </row>
        <row r="2524">
          <cell r="A2524" t="str">
            <v>In service</v>
          </cell>
          <cell r="B2524" t="str">
            <v>Gulfstream Aerospace Gulfstream II</v>
          </cell>
          <cell r="C2524" t="str">
            <v xml:space="preserve"> </v>
          </cell>
          <cell r="D2524">
            <v>1976</v>
          </cell>
          <cell r="E2524" t="str">
            <v>Federal Government of Nigeria</v>
          </cell>
          <cell r="F2524">
            <v>24</v>
          </cell>
          <cell r="G2524">
            <v>28074</v>
          </cell>
          <cell r="I2524" t="str">
            <v>Africa</v>
          </cell>
          <cell r="J2524" t="str">
            <v>Nigeria</v>
          </cell>
          <cell r="K2524">
            <v>27210</v>
          </cell>
        </row>
        <row r="2525">
          <cell r="A2525" t="str">
            <v>In service</v>
          </cell>
          <cell r="B2525" t="str">
            <v>Gulfstream Aerospace Gulfstream II</v>
          </cell>
          <cell r="C2525" t="str">
            <v xml:space="preserve"> </v>
          </cell>
          <cell r="D2525">
            <v>1976</v>
          </cell>
          <cell r="E2525" t="str">
            <v>Saudi CAA</v>
          </cell>
          <cell r="F2525">
            <v>24</v>
          </cell>
          <cell r="G2525">
            <v>28103</v>
          </cell>
          <cell r="I2525" t="str">
            <v>Middle East</v>
          </cell>
          <cell r="J2525" t="str">
            <v>Saudi Arabia</v>
          </cell>
        </row>
        <row r="2526">
          <cell r="A2526" t="str">
            <v>In service</v>
          </cell>
          <cell r="B2526" t="str">
            <v>Gulfstream Aerospace Gulfstream II</v>
          </cell>
          <cell r="C2526" t="str">
            <v xml:space="preserve"> </v>
          </cell>
          <cell r="D2526">
            <v>1968</v>
          </cell>
          <cell r="E2526" t="str">
            <v>Procuraduria General de la Republica Nacional</v>
          </cell>
          <cell r="F2526">
            <v>32</v>
          </cell>
          <cell r="G2526">
            <v>24981</v>
          </cell>
          <cell r="I2526" t="str">
            <v>Latin America and Caribbean</v>
          </cell>
          <cell r="J2526" t="str">
            <v>Mexico</v>
          </cell>
          <cell r="K2526">
            <v>23923</v>
          </cell>
        </row>
        <row r="2527">
          <cell r="A2527" t="str">
            <v>In service</v>
          </cell>
          <cell r="B2527" t="str">
            <v>Gulfstream Aerospace Gulfstream II</v>
          </cell>
          <cell r="C2527" t="str">
            <v xml:space="preserve"> </v>
          </cell>
          <cell r="D2527">
            <v>1976</v>
          </cell>
          <cell r="E2527" t="str">
            <v>Jet Aviation Private Fleet LLC</v>
          </cell>
          <cell r="F2527">
            <v>24</v>
          </cell>
          <cell r="G2527">
            <v>27858</v>
          </cell>
          <cell r="I2527" t="str">
            <v>North America</v>
          </cell>
          <cell r="J2527" t="str">
            <v>USA</v>
          </cell>
          <cell r="K2527">
            <v>27210</v>
          </cell>
        </row>
        <row r="2528">
          <cell r="A2528" t="str">
            <v>In service</v>
          </cell>
          <cell r="B2528" t="str">
            <v>Gulfstream Aerospace Gulfstream II</v>
          </cell>
          <cell r="C2528" t="str">
            <v xml:space="preserve"> </v>
          </cell>
          <cell r="D2528">
            <v>1976</v>
          </cell>
          <cell r="E2528" t="str">
            <v>Centex Service Co</v>
          </cell>
          <cell r="F2528">
            <v>24</v>
          </cell>
          <cell r="G2528">
            <v>28047</v>
          </cell>
          <cell r="I2528" t="str">
            <v>North America</v>
          </cell>
          <cell r="J2528" t="str">
            <v>USA</v>
          </cell>
          <cell r="K2528">
            <v>27575</v>
          </cell>
        </row>
        <row r="2529">
          <cell r="A2529" t="str">
            <v>In service</v>
          </cell>
          <cell r="B2529" t="str">
            <v>Gulfstream Aerospace Gulfstream II</v>
          </cell>
          <cell r="C2529" t="str">
            <v xml:space="preserve"> </v>
          </cell>
          <cell r="D2529">
            <v>1976</v>
          </cell>
          <cell r="E2529" t="str">
            <v>Richard &amp; David Jacobs Group</v>
          </cell>
          <cell r="F2529">
            <v>24</v>
          </cell>
          <cell r="G2529">
            <v>28111</v>
          </cell>
          <cell r="I2529" t="str">
            <v>North America</v>
          </cell>
          <cell r="J2529" t="str">
            <v>USA</v>
          </cell>
        </row>
        <row r="2530">
          <cell r="A2530" t="str">
            <v>In service</v>
          </cell>
          <cell r="B2530" t="str">
            <v>Gulfstream Aerospace Gulfstream II</v>
          </cell>
          <cell r="C2530" t="str">
            <v xml:space="preserve"> </v>
          </cell>
          <cell r="D2530">
            <v>1976</v>
          </cell>
          <cell r="E2530" t="str">
            <v>Uniexpress Jet Services Ltd</v>
          </cell>
          <cell r="F2530">
            <v>24</v>
          </cell>
          <cell r="G2530">
            <v>28260</v>
          </cell>
          <cell r="I2530" t="str">
            <v>Latin America and Caribbean</v>
          </cell>
          <cell r="J2530" t="str">
            <v>Bermuda</v>
          </cell>
          <cell r="K2530">
            <v>27575</v>
          </cell>
        </row>
        <row r="2531">
          <cell r="A2531" t="str">
            <v>In service</v>
          </cell>
          <cell r="B2531" t="str">
            <v>Gulfstream Aerospace Gulfstream II</v>
          </cell>
          <cell r="C2531" t="str">
            <v xml:space="preserve"> </v>
          </cell>
          <cell r="D2531">
            <v>1976</v>
          </cell>
          <cell r="E2531" t="str">
            <v>Avstar Jet Charter &amp; Management Services Inc</v>
          </cell>
          <cell r="F2531">
            <v>24</v>
          </cell>
          <cell r="G2531">
            <v>28397</v>
          </cell>
          <cell r="I2531" t="str">
            <v>North America</v>
          </cell>
          <cell r="J2531" t="str">
            <v>USA</v>
          </cell>
        </row>
        <row r="2532">
          <cell r="A2532" t="str">
            <v>In service</v>
          </cell>
          <cell r="B2532" t="str">
            <v>Gulfstream Aerospace Gulfstream II</v>
          </cell>
          <cell r="C2532" t="str">
            <v xml:space="preserve"> </v>
          </cell>
          <cell r="D2532">
            <v>1976</v>
          </cell>
          <cell r="E2532" t="str">
            <v>McWane Inc</v>
          </cell>
          <cell r="F2532">
            <v>24</v>
          </cell>
          <cell r="G2532">
            <v>28020</v>
          </cell>
          <cell r="I2532" t="str">
            <v>North America</v>
          </cell>
          <cell r="J2532" t="str">
            <v>USA</v>
          </cell>
        </row>
        <row r="2533">
          <cell r="A2533" t="str">
            <v>In service</v>
          </cell>
          <cell r="B2533" t="str">
            <v>Gulfstream Aerospace Gulfstream II</v>
          </cell>
          <cell r="C2533" t="str">
            <v xml:space="preserve"> </v>
          </cell>
          <cell r="D2533">
            <v>1976</v>
          </cell>
          <cell r="E2533" t="str">
            <v>W W Grainger Inc</v>
          </cell>
          <cell r="F2533">
            <v>24</v>
          </cell>
          <cell r="G2533">
            <v>28083</v>
          </cell>
          <cell r="I2533" t="str">
            <v>North America</v>
          </cell>
          <cell r="J2533" t="str">
            <v>USA</v>
          </cell>
          <cell r="K2533">
            <v>27575</v>
          </cell>
        </row>
        <row r="2534">
          <cell r="A2534" t="str">
            <v>In service</v>
          </cell>
          <cell r="B2534" t="str">
            <v>Gulfstream Aerospace Gulfstream II</v>
          </cell>
          <cell r="C2534" t="str">
            <v xml:space="preserve"> </v>
          </cell>
          <cell r="D2534">
            <v>1976</v>
          </cell>
          <cell r="E2534" t="str">
            <v>GFS Manassas Air Services Inc</v>
          </cell>
          <cell r="F2534">
            <v>24</v>
          </cell>
          <cell r="G2534">
            <v>28098</v>
          </cell>
          <cell r="I2534" t="str">
            <v>North America</v>
          </cell>
          <cell r="J2534" t="str">
            <v>USA</v>
          </cell>
          <cell r="K2534">
            <v>27575</v>
          </cell>
        </row>
        <row r="2535">
          <cell r="A2535" t="str">
            <v>In service</v>
          </cell>
          <cell r="B2535" t="str">
            <v>Gulfstream Aerospace Gulfstream II</v>
          </cell>
          <cell r="C2535" t="str">
            <v xml:space="preserve"> </v>
          </cell>
          <cell r="D2535">
            <v>1976</v>
          </cell>
          <cell r="E2535" t="str">
            <v>Transpais Aereo SA de CV</v>
          </cell>
          <cell r="F2535">
            <v>24</v>
          </cell>
          <cell r="G2535">
            <v>28105</v>
          </cell>
          <cell r="I2535" t="str">
            <v>Latin America and Caribbean</v>
          </cell>
          <cell r="J2535" t="str">
            <v>Mexico</v>
          </cell>
          <cell r="K2535">
            <v>27575</v>
          </cell>
        </row>
        <row r="2536">
          <cell r="A2536" t="str">
            <v>In service</v>
          </cell>
          <cell r="B2536" t="str">
            <v>Gulfstream Aerospace Gulfstream II</v>
          </cell>
          <cell r="C2536" t="str">
            <v xml:space="preserve"> </v>
          </cell>
          <cell r="D2536">
            <v>1976</v>
          </cell>
          <cell r="E2536" t="str">
            <v>May Department Stores Co</v>
          </cell>
          <cell r="F2536">
            <v>24</v>
          </cell>
          <cell r="G2536">
            <v>28132</v>
          </cell>
          <cell r="I2536" t="str">
            <v>North America</v>
          </cell>
          <cell r="J2536" t="str">
            <v>USA</v>
          </cell>
          <cell r="K2536">
            <v>27575</v>
          </cell>
        </row>
        <row r="2537">
          <cell r="A2537" t="str">
            <v>In service</v>
          </cell>
          <cell r="B2537" t="str">
            <v>Gulfstream Aerospace Gulfstream II</v>
          </cell>
          <cell r="C2537" t="str">
            <v xml:space="preserve"> </v>
          </cell>
          <cell r="D2537">
            <v>1977</v>
          </cell>
          <cell r="E2537" t="str">
            <v>AH Jet Transport LLC</v>
          </cell>
          <cell r="F2537">
            <v>23</v>
          </cell>
          <cell r="G2537">
            <v>28150</v>
          </cell>
          <cell r="I2537" t="str">
            <v>North America</v>
          </cell>
          <cell r="J2537" t="str">
            <v>USA</v>
          </cell>
          <cell r="K2537">
            <v>27210</v>
          </cell>
        </row>
        <row r="2538">
          <cell r="A2538" t="str">
            <v>In service</v>
          </cell>
          <cell r="B2538" t="str">
            <v>Gulfstream Aerospace Gulfstream II</v>
          </cell>
          <cell r="C2538" t="str">
            <v xml:space="preserve"> </v>
          </cell>
          <cell r="D2538">
            <v>1968</v>
          </cell>
          <cell r="E2538" t="str">
            <v>Comfort Aviation/Bennett Realty</v>
          </cell>
          <cell r="F2538">
            <v>32</v>
          </cell>
          <cell r="G2538">
            <v>25009</v>
          </cell>
          <cell r="I2538" t="str">
            <v>North America</v>
          </cell>
          <cell r="J2538" t="str">
            <v>USA</v>
          </cell>
          <cell r="K2538">
            <v>24288</v>
          </cell>
        </row>
        <row r="2539">
          <cell r="A2539" t="str">
            <v>In service</v>
          </cell>
          <cell r="B2539" t="str">
            <v>Gulfstream Aerospace Gulfstream II</v>
          </cell>
          <cell r="C2539" t="str">
            <v xml:space="preserve"> </v>
          </cell>
          <cell r="D2539">
            <v>1977</v>
          </cell>
          <cell r="E2539" t="str">
            <v>Swiflite Aircraft Corp</v>
          </cell>
          <cell r="F2539">
            <v>23</v>
          </cell>
          <cell r="G2539">
            <v>28352</v>
          </cell>
          <cell r="I2539" t="str">
            <v>North America</v>
          </cell>
          <cell r="J2539" t="str">
            <v>USA</v>
          </cell>
          <cell r="K2539">
            <v>27941</v>
          </cell>
        </row>
        <row r="2540">
          <cell r="A2540" t="str">
            <v>In service</v>
          </cell>
          <cell r="B2540" t="str">
            <v>Gulfstream Aerospace Gulfstream II</v>
          </cell>
          <cell r="C2540" t="str">
            <v xml:space="preserve"> </v>
          </cell>
          <cell r="D2540">
            <v>1977</v>
          </cell>
          <cell r="E2540" t="str">
            <v>Sugra Inc</v>
          </cell>
          <cell r="F2540">
            <v>23</v>
          </cell>
          <cell r="G2540">
            <v>28377</v>
          </cell>
          <cell r="I2540" t="str">
            <v>North America</v>
          </cell>
          <cell r="J2540" t="str">
            <v>Canada</v>
          </cell>
          <cell r="K2540">
            <v>27575</v>
          </cell>
        </row>
        <row r="2541">
          <cell r="A2541" t="str">
            <v>In service</v>
          </cell>
          <cell r="B2541" t="str">
            <v>Gulfstream Aerospace Gulfstream II</v>
          </cell>
          <cell r="C2541" t="str">
            <v xml:space="preserve"> </v>
          </cell>
          <cell r="D2541">
            <v>1977</v>
          </cell>
          <cell r="E2541" t="str">
            <v>Rochester Aviation Inc</v>
          </cell>
          <cell r="F2541">
            <v>23</v>
          </cell>
          <cell r="G2541">
            <v>28618</v>
          </cell>
          <cell r="I2541" t="str">
            <v>North America</v>
          </cell>
          <cell r="J2541" t="str">
            <v>USA</v>
          </cell>
          <cell r="K2541">
            <v>27941</v>
          </cell>
        </row>
        <row r="2542">
          <cell r="A2542" t="str">
            <v>In service</v>
          </cell>
          <cell r="B2542" t="str">
            <v>Gulfstream Aerospace Gulfstream II</v>
          </cell>
          <cell r="C2542" t="str">
            <v xml:space="preserve"> </v>
          </cell>
          <cell r="D2542">
            <v>1977</v>
          </cell>
          <cell r="E2542" t="str">
            <v>Ditco Air Ltd</v>
          </cell>
          <cell r="F2542">
            <v>23</v>
          </cell>
          <cell r="G2542">
            <v>28622</v>
          </cell>
          <cell r="I2542" t="str">
            <v>Middle East</v>
          </cell>
          <cell r="J2542" t="str">
            <v>Saudi Arabia</v>
          </cell>
          <cell r="K2542">
            <v>28306</v>
          </cell>
        </row>
        <row r="2543">
          <cell r="A2543" t="str">
            <v>In service</v>
          </cell>
          <cell r="B2543" t="str">
            <v>Gulfstream Aerospace Gulfstream II</v>
          </cell>
          <cell r="C2543" t="str">
            <v xml:space="preserve"> </v>
          </cell>
          <cell r="D2543">
            <v>1977</v>
          </cell>
          <cell r="E2543" t="str">
            <v>Krystal Air LLC</v>
          </cell>
          <cell r="F2543">
            <v>23</v>
          </cell>
          <cell r="G2543">
            <v>28692</v>
          </cell>
          <cell r="I2543" t="str">
            <v>North America</v>
          </cell>
          <cell r="J2543" t="str">
            <v>USA</v>
          </cell>
          <cell r="K2543">
            <v>27941</v>
          </cell>
        </row>
        <row r="2544">
          <cell r="A2544" t="str">
            <v>In service</v>
          </cell>
          <cell r="B2544" t="str">
            <v>Gulfstream Aerospace Gulfstream II</v>
          </cell>
          <cell r="C2544" t="str">
            <v xml:space="preserve"> </v>
          </cell>
          <cell r="D2544">
            <v>1977</v>
          </cell>
          <cell r="E2544" t="str">
            <v>Merle Norman Cosmetics Inc</v>
          </cell>
          <cell r="F2544">
            <v>23</v>
          </cell>
          <cell r="G2544">
            <v>28485</v>
          </cell>
          <cell r="I2544" t="str">
            <v>North America</v>
          </cell>
          <cell r="J2544" t="str">
            <v>USA</v>
          </cell>
          <cell r="K2544">
            <v>27941</v>
          </cell>
        </row>
        <row r="2545">
          <cell r="A2545" t="str">
            <v>In service</v>
          </cell>
          <cell r="B2545" t="str">
            <v>Gulfstream Aerospace Gulfstream II</v>
          </cell>
          <cell r="C2545" t="str">
            <v xml:space="preserve"> </v>
          </cell>
          <cell r="D2545">
            <v>1978</v>
          </cell>
          <cell r="E2545" t="str">
            <v>Guardian Industries Corp</v>
          </cell>
          <cell r="F2545">
            <v>22</v>
          </cell>
          <cell r="G2545">
            <v>28510</v>
          </cell>
          <cell r="I2545" t="str">
            <v>North America</v>
          </cell>
          <cell r="J2545" t="str">
            <v>USA</v>
          </cell>
          <cell r="K2545">
            <v>27941</v>
          </cell>
        </row>
        <row r="2546">
          <cell r="A2546" t="str">
            <v>In service</v>
          </cell>
          <cell r="B2546" t="str">
            <v>Gulfstream Aerospace Gulfstream II</v>
          </cell>
          <cell r="C2546" t="str">
            <v xml:space="preserve"> </v>
          </cell>
          <cell r="D2546">
            <v>1978</v>
          </cell>
          <cell r="E2546" t="str">
            <v>RS Aircraft</v>
          </cell>
          <cell r="F2546">
            <v>22</v>
          </cell>
          <cell r="G2546">
            <v>28722</v>
          </cell>
          <cell r="I2546" t="str">
            <v>North America</v>
          </cell>
          <cell r="J2546" t="str">
            <v>USA</v>
          </cell>
          <cell r="K2546">
            <v>28671</v>
          </cell>
        </row>
        <row r="2547">
          <cell r="A2547" t="str">
            <v>In service</v>
          </cell>
          <cell r="B2547" t="str">
            <v>Gulfstream Aerospace Gulfstream II</v>
          </cell>
          <cell r="C2547" t="str">
            <v xml:space="preserve"> </v>
          </cell>
          <cell r="D2547">
            <v>1978</v>
          </cell>
          <cell r="E2547" t="str">
            <v>G &amp; L Aviation</v>
          </cell>
          <cell r="F2547">
            <v>22</v>
          </cell>
          <cell r="G2547">
            <v>28961</v>
          </cell>
          <cell r="I2547" t="str">
            <v>North America</v>
          </cell>
          <cell r="J2547" t="str">
            <v>USA</v>
          </cell>
        </row>
        <row r="2548">
          <cell r="A2548" t="str">
            <v>In service</v>
          </cell>
          <cell r="B2548" t="str">
            <v>Gulfstream Aerospace Gulfstream II</v>
          </cell>
          <cell r="C2548" t="str">
            <v xml:space="preserve"> </v>
          </cell>
          <cell r="D2548">
            <v>1978</v>
          </cell>
          <cell r="E2548" t="str">
            <v>NASA</v>
          </cell>
          <cell r="F2548">
            <v>22</v>
          </cell>
          <cell r="G2548">
            <v>28640</v>
          </cell>
          <cell r="I2548" t="str">
            <v>North America</v>
          </cell>
          <cell r="J2548" t="str">
            <v>USA</v>
          </cell>
        </row>
        <row r="2549">
          <cell r="A2549" t="str">
            <v>In service</v>
          </cell>
          <cell r="B2549" t="str">
            <v>Gulfstream Aerospace Gulfstream II</v>
          </cell>
          <cell r="C2549" t="str">
            <v xml:space="preserve"> </v>
          </cell>
          <cell r="D2549">
            <v>1968</v>
          </cell>
          <cell r="E2549" t="str">
            <v>Tyler Jet LLC</v>
          </cell>
          <cell r="F2549">
            <v>32</v>
          </cell>
          <cell r="G2549">
            <v>25238</v>
          </cell>
          <cell r="H2549" t="str">
            <v>VC-11A</v>
          </cell>
          <cell r="I2549" t="str">
            <v>North America</v>
          </cell>
          <cell r="J2549" t="str">
            <v>USA</v>
          </cell>
          <cell r="K2549">
            <v>24653</v>
          </cell>
        </row>
        <row r="2550">
          <cell r="A2550" t="str">
            <v>In service</v>
          </cell>
          <cell r="B2550" t="str">
            <v>Gulfstream Aerospace Gulfstream II</v>
          </cell>
          <cell r="C2550" t="str">
            <v xml:space="preserve"> </v>
          </cell>
          <cell r="D2550">
            <v>1978</v>
          </cell>
          <cell r="E2550" t="str">
            <v>Straight Arrow Publishers</v>
          </cell>
          <cell r="F2550">
            <v>22</v>
          </cell>
          <cell r="G2550">
            <v>28814</v>
          </cell>
          <cell r="I2550" t="str">
            <v>North America</v>
          </cell>
          <cell r="J2550" t="str">
            <v>USA</v>
          </cell>
        </row>
        <row r="2551">
          <cell r="A2551" t="str">
            <v>In service</v>
          </cell>
          <cell r="B2551" t="str">
            <v>Gulfstream Aerospace Gulfstream II</v>
          </cell>
          <cell r="C2551" t="str">
            <v xml:space="preserve"> </v>
          </cell>
          <cell r="D2551">
            <v>1968</v>
          </cell>
          <cell r="E2551" t="str">
            <v>Cedar Enterprises LLC</v>
          </cell>
          <cell r="F2551">
            <v>32</v>
          </cell>
          <cell r="G2551">
            <v>25069</v>
          </cell>
          <cell r="I2551" t="str">
            <v>North America</v>
          </cell>
          <cell r="J2551" t="str">
            <v>USA</v>
          </cell>
          <cell r="K2551">
            <v>24288</v>
          </cell>
        </row>
        <row r="2552">
          <cell r="A2552" t="str">
            <v>In service</v>
          </cell>
          <cell r="B2552" t="str">
            <v>Gulfstream Aerospace Gulfstream II</v>
          </cell>
          <cell r="C2552" t="str">
            <v xml:space="preserve"> </v>
          </cell>
          <cell r="D2552">
            <v>1979</v>
          </cell>
          <cell r="E2552" t="str">
            <v>Government of Chad</v>
          </cell>
          <cell r="F2552">
            <v>21</v>
          </cell>
          <cell r="G2552">
            <v>29218</v>
          </cell>
          <cell r="I2552" t="str">
            <v>Africa</v>
          </cell>
          <cell r="J2552" t="str">
            <v>Chad</v>
          </cell>
        </row>
        <row r="2553">
          <cell r="A2553" t="str">
            <v>In service</v>
          </cell>
          <cell r="B2553" t="str">
            <v>Gulfstream Aerospace Gulfstream II</v>
          </cell>
          <cell r="C2553" t="str">
            <v xml:space="preserve"> </v>
          </cell>
          <cell r="D2553">
            <v>1979</v>
          </cell>
          <cell r="E2553" t="str">
            <v>Government of Libya</v>
          </cell>
          <cell r="F2553">
            <v>21</v>
          </cell>
          <cell r="G2553">
            <v>29249</v>
          </cell>
          <cell r="I2553" t="str">
            <v>Africa</v>
          </cell>
          <cell r="J2553" t="str">
            <v>Libya</v>
          </cell>
        </row>
        <row r="2554">
          <cell r="A2554" t="str">
            <v>In service</v>
          </cell>
          <cell r="B2554" t="str">
            <v>Gulfstream Aerospace Gulfstream II</v>
          </cell>
          <cell r="C2554" t="str">
            <v xml:space="preserve"> </v>
          </cell>
          <cell r="D2554">
            <v>1979</v>
          </cell>
          <cell r="E2554" t="str">
            <v>Flynn Financial Corp</v>
          </cell>
          <cell r="F2554">
            <v>21</v>
          </cell>
          <cell r="G2554">
            <v>29245</v>
          </cell>
          <cell r="I2554" t="str">
            <v>North America</v>
          </cell>
          <cell r="J2554" t="str">
            <v>USA</v>
          </cell>
          <cell r="K2554">
            <v>28671</v>
          </cell>
        </row>
        <row r="2555">
          <cell r="A2555" t="str">
            <v>In service</v>
          </cell>
          <cell r="B2555" t="str">
            <v>Gulfstream Aerospace Gulfstream II</v>
          </cell>
          <cell r="C2555" t="str">
            <v xml:space="preserve"> </v>
          </cell>
          <cell r="D2555">
            <v>1968</v>
          </cell>
          <cell r="E2555" t="str">
            <v>Polo Wings II Inc</v>
          </cell>
          <cell r="F2555">
            <v>32</v>
          </cell>
          <cell r="G2555">
            <v>25070</v>
          </cell>
          <cell r="I2555" t="str">
            <v>North America</v>
          </cell>
          <cell r="J2555" t="str">
            <v>USA</v>
          </cell>
          <cell r="K2555">
            <v>24288</v>
          </cell>
        </row>
        <row r="2556">
          <cell r="A2556" t="str">
            <v>In service</v>
          </cell>
          <cell r="B2556" t="str">
            <v>Gulfstream Aerospace Gulfstream II</v>
          </cell>
          <cell r="C2556" t="str">
            <v xml:space="preserve"> </v>
          </cell>
          <cell r="D2556">
            <v>1979</v>
          </cell>
          <cell r="E2556" t="str">
            <v>Anadarko Petroleum Corp</v>
          </cell>
          <cell r="F2556">
            <v>21</v>
          </cell>
          <cell r="G2556">
            <v>29143</v>
          </cell>
          <cell r="I2556" t="str">
            <v>North America</v>
          </cell>
          <cell r="J2556" t="str">
            <v>USA</v>
          </cell>
          <cell r="K2556">
            <v>28671</v>
          </cell>
        </row>
        <row r="2557">
          <cell r="A2557" t="str">
            <v>In service</v>
          </cell>
          <cell r="B2557" t="str">
            <v>Gulfstream Aerospace Gulfstream II</v>
          </cell>
          <cell r="C2557" t="str">
            <v xml:space="preserve"> </v>
          </cell>
          <cell r="D2557">
            <v>1980</v>
          </cell>
          <cell r="E2557" t="str">
            <v>Badger Air Inc</v>
          </cell>
          <cell r="F2557">
            <v>20</v>
          </cell>
          <cell r="G2557">
            <v>29481</v>
          </cell>
          <cell r="I2557" t="str">
            <v>North America</v>
          </cell>
          <cell r="J2557" t="str">
            <v>USA</v>
          </cell>
          <cell r="K2557">
            <v>28671</v>
          </cell>
        </row>
        <row r="2558">
          <cell r="A2558" t="str">
            <v>In service</v>
          </cell>
          <cell r="B2558" t="str">
            <v>Gulfstream Aerospace Gulfstream II</v>
          </cell>
          <cell r="C2558" t="str">
            <v xml:space="preserve"> </v>
          </cell>
          <cell r="D2558">
            <v>1980</v>
          </cell>
          <cell r="E2558" t="str">
            <v>Haliburton Energy Services Inc</v>
          </cell>
          <cell r="F2558">
            <v>20</v>
          </cell>
          <cell r="G2558">
            <v>29235</v>
          </cell>
          <cell r="I2558" t="str">
            <v>North America</v>
          </cell>
          <cell r="J2558" t="str">
            <v>USA</v>
          </cell>
          <cell r="K2558">
            <v>29036</v>
          </cell>
        </row>
        <row r="2559">
          <cell r="A2559" t="str">
            <v>In service</v>
          </cell>
          <cell r="B2559" t="str">
            <v>Gulfstream Aerospace Gulfstream II</v>
          </cell>
          <cell r="C2559" t="str">
            <v xml:space="preserve"> </v>
          </cell>
          <cell r="D2559">
            <v>1968</v>
          </cell>
          <cell r="E2559" t="str">
            <v>KW Plastics Recycling Division Trust</v>
          </cell>
          <cell r="F2559">
            <v>32</v>
          </cell>
          <cell r="G2559">
            <v>25100</v>
          </cell>
          <cell r="I2559" t="str">
            <v>North America</v>
          </cell>
          <cell r="J2559" t="str">
            <v>USA</v>
          </cell>
          <cell r="K2559">
            <v>24653</v>
          </cell>
        </row>
        <row r="2560">
          <cell r="A2560" t="str">
            <v>In service</v>
          </cell>
          <cell r="B2560" t="str">
            <v>Gulfstream Aerospace Gulfstream II</v>
          </cell>
          <cell r="C2560" t="str">
            <v xml:space="preserve"> </v>
          </cell>
          <cell r="D2560">
            <v>1967</v>
          </cell>
          <cell r="E2560" t="str">
            <v>Avstar Jet Charter &amp; Management Services Inc</v>
          </cell>
          <cell r="F2560">
            <v>33</v>
          </cell>
          <cell r="G2560">
            <v>24866</v>
          </cell>
          <cell r="I2560" t="str">
            <v>North America</v>
          </cell>
          <cell r="J2560" t="str">
            <v>USA</v>
          </cell>
          <cell r="K2560">
            <v>24288</v>
          </cell>
        </row>
        <row r="2561">
          <cell r="A2561" t="str">
            <v>In service</v>
          </cell>
          <cell r="B2561" t="str">
            <v>Gulfstream Aerospace Gulfstream II</v>
          </cell>
          <cell r="C2561" t="str">
            <v xml:space="preserve"> </v>
          </cell>
          <cell r="D2561">
            <v>1968</v>
          </cell>
          <cell r="E2561" t="str">
            <v>Air Force Material Command</v>
          </cell>
          <cell r="F2561">
            <v>32</v>
          </cell>
          <cell r="G2561">
            <v>25125</v>
          </cell>
          <cell r="I2561" t="str">
            <v>North America</v>
          </cell>
          <cell r="J2561" t="str">
            <v>USA</v>
          </cell>
          <cell r="K2561">
            <v>24288</v>
          </cell>
        </row>
        <row r="2562">
          <cell r="A2562" t="str">
            <v>In service</v>
          </cell>
          <cell r="B2562" t="str">
            <v>Gulfstream Aerospace Gulfstream II</v>
          </cell>
          <cell r="C2562" t="str">
            <v xml:space="preserve"> </v>
          </cell>
          <cell r="D2562">
            <v>1968</v>
          </cell>
          <cell r="E2562" t="str">
            <v>Rutherford Moran Oil Corp</v>
          </cell>
          <cell r="F2562">
            <v>32</v>
          </cell>
          <cell r="G2562">
            <v>25177</v>
          </cell>
          <cell r="I2562" t="str">
            <v>North America</v>
          </cell>
          <cell r="J2562" t="str">
            <v>USA</v>
          </cell>
          <cell r="K2562">
            <v>24288</v>
          </cell>
        </row>
        <row r="2563">
          <cell r="A2563" t="str">
            <v>In service</v>
          </cell>
          <cell r="B2563" t="str">
            <v>Gulfstream Aerospace Gulfstream II</v>
          </cell>
          <cell r="C2563" t="str">
            <v xml:space="preserve"> </v>
          </cell>
          <cell r="D2563">
            <v>1968</v>
          </cell>
          <cell r="E2563" t="str">
            <v>Cheyenne Aviation LLC</v>
          </cell>
          <cell r="F2563">
            <v>32</v>
          </cell>
          <cell r="G2563">
            <v>25182</v>
          </cell>
          <cell r="I2563" t="str">
            <v>North America</v>
          </cell>
          <cell r="J2563" t="str">
            <v>USA</v>
          </cell>
          <cell r="K2563">
            <v>24288</v>
          </cell>
        </row>
        <row r="2564">
          <cell r="A2564" t="str">
            <v>In service</v>
          </cell>
          <cell r="B2564" t="str">
            <v>Gulfstream Aerospace Gulfstream II</v>
          </cell>
          <cell r="C2564" t="str">
            <v xml:space="preserve"> </v>
          </cell>
          <cell r="D2564">
            <v>1968</v>
          </cell>
          <cell r="E2564" t="str">
            <v>Stein Hagstrom &amp; John B Kjekstad</v>
          </cell>
          <cell r="F2564">
            <v>32</v>
          </cell>
          <cell r="G2564">
            <v>25190</v>
          </cell>
          <cell r="I2564" t="str">
            <v>North America</v>
          </cell>
          <cell r="J2564" t="str">
            <v>USA</v>
          </cell>
          <cell r="K2564">
            <v>24288</v>
          </cell>
        </row>
        <row r="2565">
          <cell r="A2565" t="str">
            <v>In service</v>
          </cell>
          <cell r="B2565" t="str">
            <v>Gulfstream Aerospace Gulfstream II</v>
          </cell>
          <cell r="C2565" t="str">
            <v xml:space="preserve"> </v>
          </cell>
          <cell r="D2565">
            <v>1969</v>
          </cell>
          <cell r="E2565" t="str">
            <v>Liggett Group Inc</v>
          </cell>
          <cell r="F2565">
            <v>31</v>
          </cell>
          <cell r="G2565">
            <v>25234</v>
          </cell>
          <cell r="I2565" t="str">
            <v>North America</v>
          </cell>
          <cell r="J2565" t="str">
            <v>USA</v>
          </cell>
          <cell r="K2565">
            <v>24653</v>
          </cell>
        </row>
        <row r="2566">
          <cell r="A2566" t="str">
            <v>In service</v>
          </cell>
          <cell r="B2566" t="str">
            <v>Gulfstream Aerospace Gulfstream II</v>
          </cell>
          <cell r="C2566" t="str">
            <v xml:space="preserve"> </v>
          </cell>
          <cell r="D2566">
            <v>1969</v>
          </cell>
          <cell r="E2566" t="str">
            <v>ConocoPhillips Co</v>
          </cell>
          <cell r="F2566">
            <v>31</v>
          </cell>
          <cell r="G2566">
            <v>25232</v>
          </cell>
          <cell r="I2566" t="str">
            <v>North America</v>
          </cell>
          <cell r="J2566" t="str">
            <v>USA</v>
          </cell>
          <cell r="K2566">
            <v>24653</v>
          </cell>
        </row>
        <row r="2567">
          <cell r="A2567" t="str">
            <v>In service</v>
          </cell>
          <cell r="B2567" t="str">
            <v>Gulfstream Aerospace Gulfstream II</v>
          </cell>
          <cell r="C2567" t="str">
            <v xml:space="preserve"> </v>
          </cell>
          <cell r="D2567">
            <v>1969</v>
          </cell>
          <cell r="E2567" t="str">
            <v>Stafford Aviation LLC</v>
          </cell>
          <cell r="F2567">
            <v>31</v>
          </cell>
          <cell r="G2567">
            <v>25515</v>
          </cell>
          <cell r="I2567" t="str">
            <v>North America</v>
          </cell>
          <cell r="J2567" t="str">
            <v>USA</v>
          </cell>
          <cell r="K2567">
            <v>25019</v>
          </cell>
        </row>
        <row r="2568">
          <cell r="A2568" t="str">
            <v>In service</v>
          </cell>
          <cell r="B2568" t="str">
            <v>Gulfstream Aerospace Gulfstream II</v>
          </cell>
          <cell r="C2568" t="str">
            <v xml:space="preserve"> </v>
          </cell>
          <cell r="D2568">
            <v>1967</v>
          </cell>
          <cell r="E2568" t="str">
            <v>Tyler Jet LLC</v>
          </cell>
          <cell r="F2568">
            <v>33</v>
          </cell>
          <cell r="G2568">
            <v>24812</v>
          </cell>
          <cell r="I2568" t="str">
            <v>North America</v>
          </cell>
          <cell r="J2568" t="str">
            <v>USA</v>
          </cell>
          <cell r="K2568">
            <v>23923</v>
          </cell>
        </row>
        <row r="2569">
          <cell r="A2569" t="str">
            <v>In service</v>
          </cell>
          <cell r="B2569" t="str">
            <v>Gulfstream Aerospace Gulfstream II</v>
          </cell>
          <cell r="C2569" t="str">
            <v xml:space="preserve"> </v>
          </cell>
          <cell r="D2569">
            <v>1969</v>
          </cell>
          <cell r="E2569" t="str">
            <v>Air Tiger Inc</v>
          </cell>
          <cell r="F2569">
            <v>31</v>
          </cell>
          <cell r="G2569">
            <v>25293</v>
          </cell>
          <cell r="I2569" t="str">
            <v>North America</v>
          </cell>
          <cell r="J2569" t="str">
            <v>USA</v>
          </cell>
          <cell r="K2569">
            <v>24653</v>
          </cell>
        </row>
        <row r="2570">
          <cell r="A2570" t="str">
            <v>In service</v>
          </cell>
          <cell r="B2570" t="str">
            <v>Gulfstream Aerospace Gulfstream II</v>
          </cell>
          <cell r="C2570" t="str">
            <v xml:space="preserve"> </v>
          </cell>
          <cell r="D2570">
            <v>1969</v>
          </cell>
          <cell r="E2570" t="str">
            <v>Northwestern Executive/NAA LLC/et al</v>
          </cell>
          <cell r="F2570">
            <v>31</v>
          </cell>
          <cell r="G2570">
            <v>25324</v>
          </cell>
          <cell r="I2570" t="str">
            <v>North America</v>
          </cell>
          <cell r="J2570" t="str">
            <v>USA</v>
          </cell>
          <cell r="K2570">
            <v>24653</v>
          </cell>
        </row>
        <row r="2571">
          <cell r="A2571" t="str">
            <v>In service</v>
          </cell>
          <cell r="B2571" t="str">
            <v>Gulfstream Aerospace Gulfstream II</v>
          </cell>
          <cell r="C2571" t="str">
            <v xml:space="preserve"> </v>
          </cell>
          <cell r="D2571">
            <v>1969</v>
          </cell>
          <cell r="E2571" t="str">
            <v>Drummond Co Inc</v>
          </cell>
          <cell r="F2571">
            <v>31</v>
          </cell>
          <cell r="G2571">
            <v>25335</v>
          </cell>
          <cell r="I2571" t="str">
            <v>North America</v>
          </cell>
          <cell r="J2571" t="str">
            <v>USA</v>
          </cell>
          <cell r="K2571">
            <v>24653</v>
          </cell>
        </row>
        <row r="2572">
          <cell r="A2572" t="str">
            <v>In service</v>
          </cell>
          <cell r="B2572" t="str">
            <v>Gulfstream Aerospace Gulfstream II</v>
          </cell>
          <cell r="C2572" t="str">
            <v xml:space="preserve"> </v>
          </cell>
          <cell r="D2572">
            <v>1967</v>
          </cell>
          <cell r="E2572" t="str">
            <v>Pincervale Ltd</v>
          </cell>
          <cell r="F2572">
            <v>33</v>
          </cell>
          <cell r="G2572">
            <v>24866</v>
          </cell>
          <cell r="I2572" t="str">
            <v>North America</v>
          </cell>
          <cell r="J2572" t="str">
            <v>USA</v>
          </cell>
          <cell r="K2572">
            <v>24288</v>
          </cell>
        </row>
        <row r="2573">
          <cell r="A2573" t="str">
            <v>In service</v>
          </cell>
          <cell r="B2573" t="str">
            <v>Gulfstream Aerospace Gulfstream II</v>
          </cell>
          <cell r="C2573" t="str">
            <v xml:space="preserve"> </v>
          </cell>
          <cell r="D2573">
            <v>1969</v>
          </cell>
          <cell r="E2573" t="str">
            <v>Kipp Ginsberg Trust</v>
          </cell>
          <cell r="F2573">
            <v>31</v>
          </cell>
          <cell r="G2573">
            <v>25409</v>
          </cell>
          <cell r="I2573" t="str">
            <v>North America</v>
          </cell>
          <cell r="J2573" t="str">
            <v>USA</v>
          </cell>
          <cell r="K2573">
            <v>24653</v>
          </cell>
        </row>
        <row r="2574">
          <cell r="A2574" t="str">
            <v>In service</v>
          </cell>
          <cell r="B2574" t="str">
            <v>Gulfstream Aerospace Gulfstream II</v>
          </cell>
          <cell r="C2574" t="str">
            <v xml:space="preserve"> </v>
          </cell>
          <cell r="D2574">
            <v>1969</v>
          </cell>
          <cell r="E2574" t="str">
            <v>MTI Vacations Inc</v>
          </cell>
          <cell r="F2574">
            <v>31</v>
          </cell>
          <cell r="G2574">
            <v>25422</v>
          </cell>
          <cell r="I2574" t="str">
            <v>North America</v>
          </cell>
          <cell r="J2574" t="str">
            <v>USA</v>
          </cell>
          <cell r="K2574">
            <v>25019</v>
          </cell>
        </row>
        <row r="2575">
          <cell r="A2575" t="str">
            <v>In service</v>
          </cell>
          <cell r="B2575" t="str">
            <v>Gulfstream Aerospace Gulfstream II</v>
          </cell>
          <cell r="C2575" t="str">
            <v xml:space="preserve"> </v>
          </cell>
          <cell r="D2575">
            <v>1969</v>
          </cell>
          <cell r="E2575" t="str">
            <v>Sterling Jet Ltd/Sterling Jet II Ltd/Richmor Av'n</v>
          </cell>
          <cell r="F2575">
            <v>31</v>
          </cell>
          <cell r="G2575">
            <v>25433</v>
          </cell>
          <cell r="I2575" t="str">
            <v>North America</v>
          </cell>
          <cell r="J2575" t="str">
            <v>USA</v>
          </cell>
          <cell r="K2575">
            <v>24653</v>
          </cell>
        </row>
        <row r="2576">
          <cell r="A2576" t="str">
            <v>In service</v>
          </cell>
          <cell r="B2576" t="str">
            <v>Gulfstream Aerospace Gulfstream II</v>
          </cell>
          <cell r="C2576" t="str">
            <v xml:space="preserve"> </v>
          </cell>
          <cell r="D2576">
            <v>1969</v>
          </cell>
          <cell r="E2576" t="str">
            <v>JHS Leasing of Tampa Inc</v>
          </cell>
          <cell r="F2576">
            <v>31</v>
          </cell>
          <cell r="G2576">
            <v>25441</v>
          </cell>
          <cell r="I2576" t="str">
            <v>North America</v>
          </cell>
          <cell r="J2576" t="str">
            <v>USA</v>
          </cell>
          <cell r="K2576">
            <v>24653</v>
          </cell>
        </row>
        <row r="2577">
          <cell r="A2577" t="str">
            <v>In service</v>
          </cell>
          <cell r="B2577" t="str">
            <v>Gulfstream Aerospace Gulfstream II</v>
          </cell>
          <cell r="C2577" t="str">
            <v xml:space="preserve"> </v>
          </cell>
          <cell r="D2577">
            <v>1969</v>
          </cell>
          <cell r="E2577" t="str">
            <v>Scott Aviation Inc</v>
          </cell>
          <cell r="F2577">
            <v>31</v>
          </cell>
          <cell r="G2577">
            <v>25458</v>
          </cell>
          <cell r="I2577" t="str">
            <v>North America</v>
          </cell>
          <cell r="J2577" t="str">
            <v>USA</v>
          </cell>
          <cell r="K2577">
            <v>24653</v>
          </cell>
        </row>
        <row r="2578">
          <cell r="A2578" t="str">
            <v>In service</v>
          </cell>
          <cell r="B2578" t="str">
            <v>Gulfstream Aerospace Gulfstream II</v>
          </cell>
          <cell r="C2578" t="str">
            <v xml:space="preserve"> </v>
          </cell>
          <cell r="D2578">
            <v>1969</v>
          </cell>
          <cell r="E2578" t="str">
            <v>7-N Aircorp</v>
          </cell>
          <cell r="F2578">
            <v>31</v>
          </cell>
          <cell r="G2578">
            <v>25489</v>
          </cell>
          <cell r="I2578" t="str">
            <v>North America</v>
          </cell>
          <cell r="J2578" t="str">
            <v>USA</v>
          </cell>
          <cell r="K2578">
            <v>24653</v>
          </cell>
        </row>
        <row r="2579">
          <cell r="A2579" t="str">
            <v>In service</v>
          </cell>
          <cell r="B2579" t="str">
            <v>Gulfstream Aerospace Gulfstream II</v>
          </cell>
          <cell r="C2579" t="str">
            <v xml:space="preserve"> </v>
          </cell>
          <cell r="D2579">
            <v>1969</v>
          </cell>
          <cell r="E2579" t="str">
            <v>Guidant Corp</v>
          </cell>
          <cell r="F2579">
            <v>31</v>
          </cell>
          <cell r="G2579">
            <v>25559</v>
          </cell>
          <cell r="I2579" t="str">
            <v>North America</v>
          </cell>
          <cell r="J2579" t="str">
            <v>USA</v>
          </cell>
          <cell r="K2579">
            <v>24653</v>
          </cell>
        </row>
        <row r="2580">
          <cell r="A2580" t="str">
            <v>In service</v>
          </cell>
          <cell r="B2580" t="str">
            <v>Gulfstream Aerospace Gulfstream II</v>
          </cell>
          <cell r="C2580" t="str">
            <v xml:space="preserve"> </v>
          </cell>
          <cell r="D2580">
            <v>1970</v>
          </cell>
          <cell r="E2580" t="str">
            <v>Hendrick Motorsports Inc</v>
          </cell>
          <cell r="F2580">
            <v>30</v>
          </cell>
          <cell r="G2580">
            <v>25703</v>
          </cell>
          <cell r="I2580" t="str">
            <v>North America</v>
          </cell>
          <cell r="J2580" t="str">
            <v>USA</v>
          </cell>
          <cell r="K2580">
            <v>25019</v>
          </cell>
        </row>
        <row r="2581">
          <cell r="A2581" t="str">
            <v>In service</v>
          </cell>
          <cell r="B2581" t="str">
            <v>Gulfstream Aerospace Gulfstream II</v>
          </cell>
          <cell r="C2581" t="str">
            <v xml:space="preserve"> </v>
          </cell>
          <cell r="D2581">
            <v>1970</v>
          </cell>
          <cell r="E2581" t="str">
            <v>Southern Leasing LLC</v>
          </cell>
          <cell r="F2581">
            <v>30</v>
          </cell>
          <cell r="G2581">
            <v>25630</v>
          </cell>
          <cell r="I2581" t="str">
            <v>North America</v>
          </cell>
          <cell r="J2581" t="str">
            <v>USA</v>
          </cell>
          <cell r="K2581">
            <v>25019</v>
          </cell>
        </row>
        <row r="2582">
          <cell r="A2582" t="str">
            <v>In service</v>
          </cell>
          <cell r="B2582" t="str">
            <v>Gulfstream Aerospace Gulfstream II</v>
          </cell>
          <cell r="C2582" t="str">
            <v xml:space="preserve"> </v>
          </cell>
          <cell r="D2582">
            <v>1970</v>
          </cell>
          <cell r="E2582" t="str">
            <v>Scott Aviation Inc</v>
          </cell>
          <cell r="F2582">
            <v>30</v>
          </cell>
          <cell r="G2582">
            <v>25703</v>
          </cell>
          <cell r="I2582" t="str">
            <v>North America</v>
          </cell>
          <cell r="J2582" t="str">
            <v>USA</v>
          </cell>
          <cell r="K2582">
            <v>25019</v>
          </cell>
        </row>
        <row r="2583">
          <cell r="A2583" t="str">
            <v>In service</v>
          </cell>
          <cell r="B2583" t="str">
            <v>Gulfstream Aerospace Gulfstream II</v>
          </cell>
          <cell r="C2583" t="str">
            <v xml:space="preserve"> </v>
          </cell>
          <cell r="D2583">
            <v>1970</v>
          </cell>
          <cell r="E2583" t="str">
            <v>Vitro Corporacion SA de CV</v>
          </cell>
          <cell r="F2583">
            <v>30</v>
          </cell>
          <cell r="G2583">
            <v>26088</v>
          </cell>
          <cell r="I2583" t="str">
            <v>Latin America and Caribbean</v>
          </cell>
          <cell r="J2583" t="str">
            <v>Mexico</v>
          </cell>
          <cell r="K2583">
            <v>25749</v>
          </cell>
        </row>
        <row r="2584">
          <cell r="A2584" t="str">
            <v>In service</v>
          </cell>
          <cell r="B2584" t="str">
            <v>Gulfstream Aerospace Gulfstream II</v>
          </cell>
          <cell r="C2584" t="str">
            <v>B</v>
          </cell>
          <cell r="D2584">
            <v>1971</v>
          </cell>
          <cell r="E2584" t="str">
            <v>The Clorox Co</v>
          </cell>
          <cell r="F2584">
            <v>29</v>
          </cell>
          <cell r="G2584">
            <v>26213</v>
          </cell>
          <cell r="H2584" t="str">
            <v>IIB</v>
          </cell>
          <cell r="I2584" t="str">
            <v>North America</v>
          </cell>
          <cell r="J2584" t="str">
            <v>USA</v>
          </cell>
          <cell r="K2584">
            <v>25384</v>
          </cell>
        </row>
        <row r="2585">
          <cell r="A2585" t="str">
            <v>In service</v>
          </cell>
          <cell r="B2585" t="str">
            <v>Gulfstream Aerospace Gulfstream II</v>
          </cell>
          <cell r="C2585" t="str">
            <v>B</v>
          </cell>
          <cell r="D2585">
            <v>1972</v>
          </cell>
          <cell r="E2585" t="str">
            <v>New World Aviation Inc</v>
          </cell>
          <cell r="F2585">
            <v>28</v>
          </cell>
          <cell r="G2585">
            <v>26606</v>
          </cell>
          <cell r="H2585" t="str">
            <v>IIB</v>
          </cell>
          <cell r="I2585" t="str">
            <v>North America</v>
          </cell>
          <cell r="J2585" t="str">
            <v>USA</v>
          </cell>
          <cell r="K2585">
            <v>25749</v>
          </cell>
        </row>
        <row r="2586">
          <cell r="A2586" t="str">
            <v>In service</v>
          </cell>
          <cell r="B2586" t="str">
            <v>Gulfstream Aerospace Gulfstream II</v>
          </cell>
          <cell r="C2586" t="str">
            <v>B</v>
          </cell>
          <cell r="D2586">
            <v>1973</v>
          </cell>
          <cell r="E2586" t="str">
            <v>711 Aviation Corp</v>
          </cell>
          <cell r="F2586">
            <v>27</v>
          </cell>
          <cell r="G2586">
            <v>26693</v>
          </cell>
          <cell r="H2586" t="str">
            <v>IIB</v>
          </cell>
          <cell r="I2586" t="str">
            <v>North America</v>
          </cell>
          <cell r="J2586" t="str">
            <v>USA</v>
          </cell>
          <cell r="K2586">
            <v>26480</v>
          </cell>
        </row>
        <row r="2587">
          <cell r="A2587" t="str">
            <v>In service</v>
          </cell>
          <cell r="B2587" t="str">
            <v>Gulfstream Aerospace Gulfstream II</v>
          </cell>
          <cell r="C2587" t="str">
            <v>B</v>
          </cell>
          <cell r="D2587">
            <v>1973</v>
          </cell>
          <cell r="E2587" t="str">
            <v>Budget Jet Inc</v>
          </cell>
          <cell r="F2587">
            <v>27</v>
          </cell>
          <cell r="G2587">
            <v>26854</v>
          </cell>
          <cell r="H2587" t="str">
            <v>IIB</v>
          </cell>
          <cell r="I2587" t="str">
            <v>North America</v>
          </cell>
          <cell r="J2587" t="str">
            <v>USA</v>
          </cell>
          <cell r="K2587">
            <v>26480</v>
          </cell>
        </row>
        <row r="2588">
          <cell r="A2588" t="str">
            <v>In service</v>
          </cell>
          <cell r="B2588" t="str">
            <v>Gulfstream Aerospace Gulfstream II</v>
          </cell>
          <cell r="C2588" t="str">
            <v>B</v>
          </cell>
          <cell r="D2588">
            <v>1973</v>
          </cell>
          <cell r="E2588" t="str">
            <v>Avjet Corp</v>
          </cell>
          <cell r="F2588">
            <v>27</v>
          </cell>
          <cell r="G2588">
            <v>27054</v>
          </cell>
          <cell r="H2588" t="str">
            <v>IIB</v>
          </cell>
          <cell r="I2588" t="str">
            <v>North America</v>
          </cell>
          <cell r="J2588" t="str">
            <v>USA</v>
          </cell>
          <cell r="K2588">
            <v>26480</v>
          </cell>
        </row>
        <row r="2589">
          <cell r="A2589" t="str">
            <v>In service</v>
          </cell>
          <cell r="B2589" t="str">
            <v>Gulfstream Aerospace Gulfstream II</v>
          </cell>
          <cell r="C2589" t="str">
            <v>B</v>
          </cell>
          <cell r="D2589">
            <v>1974</v>
          </cell>
          <cell r="E2589" t="str">
            <v>NB Aviation Inc</v>
          </cell>
          <cell r="F2589">
            <v>26</v>
          </cell>
          <cell r="G2589">
            <v>27173</v>
          </cell>
          <cell r="H2589" t="str">
            <v>IIB</v>
          </cell>
          <cell r="I2589" t="str">
            <v>North America</v>
          </cell>
          <cell r="J2589" t="str">
            <v>USA</v>
          </cell>
          <cell r="K2589">
            <v>26480</v>
          </cell>
        </row>
        <row r="2590">
          <cell r="A2590" t="str">
            <v>In service</v>
          </cell>
          <cell r="B2590" t="str">
            <v>Gulfstream Aerospace Gulfstream II</v>
          </cell>
          <cell r="C2590" t="str">
            <v>B</v>
          </cell>
          <cell r="D2590">
            <v>1974</v>
          </cell>
          <cell r="E2590" t="str">
            <v>Air Resources Corp</v>
          </cell>
          <cell r="F2590">
            <v>26</v>
          </cell>
          <cell r="G2590">
            <v>27224</v>
          </cell>
          <cell r="H2590" t="str">
            <v>IIB</v>
          </cell>
          <cell r="I2590" t="str">
            <v>North America</v>
          </cell>
          <cell r="J2590" t="str">
            <v>USA</v>
          </cell>
          <cell r="K2590">
            <v>27210</v>
          </cell>
        </row>
        <row r="2591">
          <cell r="A2591" t="str">
            <v>In service</v>
          </cell>
          <cell r="B2591" t="str">
            <v>Gulfstream Aerospace Gulfstream II</v>
          </cell>
          <cell r="C2591" t="str">
            <v>B</v>
          </cell>
          <cell r="D2591">
            <v>1974</v>
          </cell>
          <cell r="E2591" t="str">
            <v>Hyperion Air Inc</v>
          </cell>
          <cell r="F2591">
            <v>26</v>
          </cell>
          <cell r="G2591">
            <v>27320</v>
          </cell>
          <cell r="H2591" t="str">
            <v>IIB</v>
          </cell>
          <cell r="I2591" t="str">
            <v>North America</v>
          </cell>
          <cell r="J2591" t="str">
            <v>USA</v>
          </cell>
        </row>
        <row r="2592">
          <cell r="A2592" t="str">
            <v>In service</v>
          </cell>
          <cell r="B2592" t="str">
            <v>Gulfstream Aerospace Gulfstream II</v>
          </cell>
          <cell r="C2592" t="str">
            <v>B</v>
          </cell>
          <cell r="D2592">
            <v>1974</v>
          </cell>
          <cell r="E2592" t="str">
            <v>CDL Aviation Inc</v>
          </cell>
          <cell r="F2592">
            <v>26</v>
          </cell>
          <cell r="G2592">
            <v>27369</v>
          </cell>
          <cell r="H2592" t="str">
            <v>IIB</v>
          </cell>
          <cell r="I2592" t="str">
            <v>North America</v>
          </cell>
          <cell r="J2592" t="str">
            <v>USA</v>
          </cell>
          <cell r="K2592">
            <v>26480</v>
          </cell>
        </row>
        <row r="2593">
          <cell r="A2593" t="str">
            <v>In service</v>
          </cell>
          <cell r="B2593" t="str">
            <v>Gulfstream Aerospace Gulfstream II</v>
          </cell>
          <cell r="C2593" t="str">
            <v>B</v>
          </cell>
          <cell r="D2593">
            <v>1974</v>
          </cell>
          <cell r="E2593" t="str">
            <v>477 Aviation LLC</v>
          </cell>
          <cell r="F2593">
            <v>26</v>
          </cell>
          <cell r="G2593">
            <v>27378</v>
          </cell>
          <cell r="H2593" t="str">
            <v>IIB</v>
          </cell>
          <cell r="I2593" t="str">
            <v>North America</v>
          </cell>
          <cell r="J2593" t="str">
            <v>USA</v>
          </cell>
          <cell r="K2593">
            <v>26480</v>
          </cell>
        </row>
        <row r="2594">
          <cell r="A2594" t="str">
            <v>In service</v>
          </cell>
          <cell r="B2594" t="str">
            <v>Gulfstream Aerospace Gulfstream II</v>
          </cell>
          <cell r="C2594" t="str">
            <v>B</v>
          </cell>
          <cell r="D2594">
            <v>1974</v>
          </cell>
          <cell r="E2594" t="str">
            <v>Yellowstone Aviation LLC</v>
          </cell>
          <cell r="F2594">
            <v>26</v>
          </cell>
          <cell r="G2594">
            <v>27417</v>
          </cell>
          <cell r="H2594" t="str">
            <v>IIB</v>
          </cell>
          <cell r="I2594" t="str">
            <v>North America</v>
          </cell>
          <cell r="J2594" t="str">
            <v>USA</v>
          </cell>
          <cell r="K2594">
            <v>26845</v>
          </cell>
        </row>
        <row r="2595">
          <cell r="A2595" t="str">
            <v>In service</v>
          </cell>
          <cell r="B2595" t="str">
            <v>Gulfstream Aerospace Gulfstream II</v>
          </cell>
          <cell r="C2595" t="str">
            <v>B</v>
          </cell>
          <cell r="D2595">
            <v>1968</v>
          </cell>
          <cell r="E2595" t="str">
            <v>Charles Fry Electronics Inc</v>
          </cell>
          <cell r="F2595">
            <v>32</v>
          </cell>
          <cell r="G2595">
            <v>24975</v>
          </cell>
          <cell r="H2595" t="str">
            <v>IIB</v>
          </cell>
          <cell r="I2595" t="str">
            <v>North America</v>
          </cell>
          <cell r="J2595" t="str">
            <v>USA</v>
          </cell>
          <cell r="K2595">
            <v>24288</v>
          </cell>
        </row>
        <row r="2596">
          <cell r="A2596" t="str">
            <v>In service</v>
          </cell>
          <cell r="B2596" t="str">
            <v>Gulfstream Aerospace Gulfstream II</v>
          </cell>
          <cell r="C2596" t="str">
            <v>B</v>
          </cell>
          <cell r="D2596">
            <v>1975</v>
          </cell>
          <cell r="E2596" t="str">
            <v>Coastal Corp</v>
          </cell>
          <cell r="F2596">
            <v>25</v>
          </cell>
          <cell r="G2596">
            <v>27589</v>
          </cell>
          <cell r="H2596" t="str">
            <v>IIB</v>
          </cell>
          <cell r="I2596" t="str">
            <v>North America</v>
          </cell>
          <cell r="J2596" t="str">
            <v>USA</v>
          </cell>
        </row>
        <row r="2597">
          <cell r="A2597" t="str">
            <v>In service</v>
          </cell>
          <cell r="B2597" t="str">
            <v>Gulfstream Aerospace Gulfstream II</v>
          </cell>
          <cell r="C2597" t="str">
            <v>B</v>
          </cell>
          <cell r="D2597">
            <v>1975</v>
          </cell>
          <cell r="E2597" t="str">
            <v>Deniston Enterprises Inc</v>
          </cell>
          <cell r="F2597">
            <v>25</v>
          </cell>
          <cell r="G2597">
            <v>27603</v>
          </cell>
          <cell r="H2597" t="str">
            <v>IIB</v>
          </cell>
          <cell r="I2597" t="str">
            <v>North America</v>
          </cell>
          <cell r="J2597" t="str">
            <v>USA</v>
          </cell>
          <cell r="K2597">
            <v>27210</v>
          </cell>
        </row>
        <row r="2598">
          <cell r="A2598" t="str">
            <v>In service</v>
          </cell>
          <cell r="B2598" t="str">
            <v>Gulfstream Aerospace Gulfstream II</v>
          </cell>
          <cell r="C2598" t="str">
            <v>B</v>
          </cell>
          <cell r="D2598">
            <v>1976</v>
          </cell>
          <cell r="E2598" t="str">
            <v>Apache Corp</v>
          </cell>
          <cell r="F2598">
            <v>24</v>
          </cell>
          <cell r="G2598">
            <v>28026</v>
          </cell>
          <cell r="H2598" t="str">
            <v>IIB</v>
          </cell>
          <cell r="I2598" t="str">
            <v>North America</v>
          </cell>
          <cell r="J2598" t="str">
            <v>USA</v>
          </cell>
          <cell r="K2598">
            <v>27575</v>
          </cell>
        </row>
        <row r="2599">
          <cell r="A2599" t="str">
            <v>In service</v>
          </cell>
          <cell r="B2599" t="str">
            <v>Gulfstream Aerospace Gulfstream II</v>
          </cell>
          <cell r="C2599" t="str">
            <v>B</v>
          </cell>
          <cell r="D2599">
            <v>1977</v>
          </cell>
          <cell r="E2599" t="str">
            <v>Bopper Airways LLC</v>
          </cell>
          <cell r="F2599">
            <v>23</v>
          </cell>
          <cell r="G2599">
            <v>28177</v>
          </cell>
          <cell r="H2599" t="str">
            <v>IIB</v>
          </cell>
          <cell r="I2599" t="str">
            <v>North America</v>
          </cell>
          <cell r="J2599" t="str">
            <v>USA</v>
          </cell>
          <cell r="K2599">
            <v>27941</v>
          </cell>
        </row>
        <row r="2600">
          <cell r="A2600" t="str">
            <v>In service</v>
          </cell>
          <cell r="B2600" t="str">
            <v>Gulfstream Aerospace Gulfstream II</v>
          </cell>
          <cell r="C2600" t="str">
            <v>B</v>
          </cell>
          <cell r="D2600">
            <v>1977</v>
          </cell>
          <cell r="E2600" t="str">
            <v>C &amp; L Aviation LLC</v>
          </cell>
          <cell r="F2600">
            <v>23</v>
          </cell>
          <cell r="G2600">
            <v>28199</v>
          </cell>
          <cell r="H2600" t="str">
            <v>IIB</v>
          </cell>
          <cell r="I2600" t="str">
            <v>North America</v>
          </cell>
          <cell r="J2600" t="str">
            <v>USA</v>
          </cell>
          <cell r="K2600">
            <v>27941</v>
          </cell>
        </row>
        <row r="2601">
          <cell r="A2601" t="str">
            <v>In service</v>
          </cell>
          <cell r="B2601" t="str">
            <v>Gulfstream Aerospace Gulfstream II</v>
          </cell>
          <cell r="C2601" t="str">
            <v>B</v>
          </cell>
          <cell r="D2601">
            <v>1977</v>
          </cell>
          <cell r="E2601" t="str">
            <v>United Breweries</v>
          </cell>
          <cell r="F2601">
            <v>23</v>
          </cell>
          <cell r="G2601">
            <v>28383</v>
          </cell>
          <cell r="H2601" t="str">
            <v>IIB</v>
          </cell>
          <cell r="I2601" t="str">
            <v>Asia</v>
          </cell>
          <cell r="J2601" t="str">
            <v>India</v>
          </cell>
          <cell r="K2601">
            <v>27575</v>
          </cell>
        </row>
        <row r="2602">
          <cell r="A2602" t="str">
            <v>In service</v>
          </cell>
          <cell r="B2602" t="str">
            <v>Gulfstream Aerospace Gulfstream II</v>
          </cell>
          <cell r="C2602" t="str">
            <v>B</v>
          </cell>
          <cell r="D2602">
            <v>1968</v>
          </cell>
          <cell r="E2602" t="str">
            <v>Hi-Flite Inc</v>
          </cell>
          <cell r="F2602">
            <v>32</v>
          </cell>
          <cell r="G2602">
            <v>25058</v>
          </cell>
          <cell r="H2602" t="str">
            <v>IIB</v>
          </cell>
          <cell r="I2602" t="str">
            <v>North America</v>
          </cell>
          <cell r="J2602" t="str">
            <v>USA</v>
          </cell>
          <cell r="K2602">
            <v>24288</v>
          </cell>
        </row>
        <row r="2603">
          <cell r="A2603" t="str">
            <v>In service</v>
          </cell>
          <cell r="B2603" t="str">
            <v>Gulfstream Aerospace Gulfstream II</v>
          </cell>
          <cell r="C2603" t="str">
            <v>B</v>
          </cell>
          <cell r="D2603">
            <v>1978</v>
          </cell>
          <cell r="E2603" t="str">
            <v>EI Aviation LLC</v>
          </cell>
          <cell r="F2603">
            <v>22</v>
          </cell>
          <cell r="G2603">
            <v>28574</v>
          </cell>
          <cell r="H2603" t="str">
            <v>IIB</v>
          </cell>
          <cell r="I2603" t="str">
            <v>North America</v>
          </cell>
          <cell r="J2603" t="str">
            <v>USA</v>
          </cell>
          <cell r="K2603">
            <v>27941</v>
          </cell>
        </row>
        <row r="2604">
          <cell r="A2604" t="str">
            <v>In service</v>
          </cell>
          <cell r="B2604" t="str">
            <v>Gulfstream Aerospace Gulfstream II</v>
          </cell>
          <cell r="C2604" t="str">
            <v>B</v>
          </cell>
          <cell r="D2604">
            <v>1978</v>
          </cell>
          <cell r="E2604" t="str">
            <v>Eastman Chemical Co</v>
          </cell>
          <cell r="F2604">
            <v>22</v>
          </cell>
          <cell r="G2604">
            <v>28804</v>
          </cell>
          <cell r="H2604" t="str">
            <v>IIB</v>
          </cell>
          <cell r="I2604" t="str">
            <v>North America</v>
          </cell>
          <cell r="J2604" t="str">
            <v>USA</v>
          </cell>
          <cell r="K2604">
            <v>28306</v>
          </cell>
        </row>
        <row r="2605">
          <cell r="A2605" t="str">
            <v>In service</v>
          </cell>
          <cell r="B2605" t="str">
            <v>Gulfstream Aerospace Gulfstream II</v>
          </cell>
          <cell r="C2605" t="str">
            <v>B</v>
          </cell>
          <cell r="D2605">
            <v>1979</v>
          </cell>
          <cell r="E2605" t="str">
            <v>Gestair</v>
          </cell>
          <cell r="F2605">
            <v>21</v>
          </cell>
          <cell r="G2605">
            <v>28870</v>
          </cell>
          <cell r="H2605" t="str">
            <v>IIB</v>
          </cell>
          <cell r="I2605" t="str">
            <v>Europe</v>
          </cell>
          <cell r="J2605" t="str">
            <v>Spain</v>
          </cell>
          <cell r="K2605">
            <v>28306</v>
          </cell>
        </row>
        <row r="2606">
          <cell r="A2606" t="str">
            <v>In service</v>
          </cell>
          <cell r="B2606" t="str">
            <v>Gulfstream Aerospace Gulfstream II</v>
          </cell>
          <cell r="C2606" t="str">
            <v>B</v>
          </cell>
          <cell r="D2606">
            <v>1979</v>
          </cell>
          <cell r="E2606" t="str">
            <v>222 Aviation LLC</v>
          </cell>
          <cell r="F2606">
            <v>21</v>
          </cell>
          <cell r="G2606">
            <v>29042</v>
          </cell>
          <cell r="H2606" t="str">
            <v>IIB</v>
          </cell>
          <cell r="I2606" t="str">
            <v>North America</v>
          </cell>
          <cell r="J2606" t="str">
            <v>USA</v>
          </cell>
        </row>
        <row r="2607">
          <cell r="A2607" t="str">
            <v>In service</v>
          </cell>
          <cell r="B2607" t="str">
            <v>Gulfstream Aerospace Gulfstream II</v>
          </cell>
          <cell r="C2607" t="str">
            <v>B</v>
          </cell>
          <cell r="D2607">
            <v>1979</v>
          </cell>
          <cell r="E2607" t="str">
            <v>Tricycle Aviation LLC</v>
          </cell>
          <cell r="F2607">
            <v>21</v>
          </cell>
          <cell r="G2607">
            <v>29174</v>
          </cell>
          <cell r="H2607" t="str">
            <v>IIB</v>
          </cell>
          <cell r="I2607" t="str">
            <v>North America</v>
          </cell>
          <cell r="J2607" t="str">
            <v>USA</v>
          </cell>
          <cell r="K2607">
            <v>28306</v>
          </cell>
        </row>
        <row r="2608">
          <cell r="A2608" t="str">
            <v>In service</v>
          </cell>
          <cell r="B2608" t="str">
            <v>Gulfstream Aerospace Gulfstream II</v>
          </cell>
          <cell r="C2608" t="str">
            <v>B</v>
          </cell>
          <cell r="D2608">
            <v>1979</v>
          </cell>
          <cell r="E2608" t="str">
            <v>Rockwell Collins Inc</v>
          </cell>
          <cell r="F2608">
            <v>21</v>
          </cell>
          <cell r="G2608">
            <v>29235</v>
          </cell>
          <cell r="H2608" t="str">
            <v>IIB</v>
          </cell>
          <cell r="I2608" t="str">
            <v>North America</v>
          </cell>
          <cell r="J2608" t="str">
            <v>USA</v>
          </cell>
          <cell r="K2608">
            <v>28671</v>
          </cell>
        </row>
        <row r="2609">
          <cell r="A2609" t="str">
            <v>In service</v>
          </cell>
          <cell r="B2609" t="str">
            <v>Gulfstream Aerospace Gulfstream II</v>
          </cell>
          <cell r="C2609" t="str">
            <v>B</v>
          </cell>
          <cell r="D2609">
            <v>1980</v>
          </cell>
          <cell r="E2609" t="str">
            <v>North American Financial Corp</v>
          </cell>
          <cell r="F2609">
            <v>20</v>
          </cell>
          <cell r="G2609">
            <v>29479</v>
          </cell>
          <cell r="H2609" t="str">
            <v>IIB</v>
          </cell>
          <cell r="I2609" t="str">
            <v>North America</v>
          </cell>
          <cell r="J2609" t="str">
            <v>USA</v>
          </cell>
          <cell r="K2609">
            <v>28671</v>
          </cell>
        </row>
        <row r="2610">
          <cell r="A2610" t="str">
            <v>In service</v>
          </cell>
          <cell r="B2610" t="str">
            <v>Gulfstream Aerospace Gulfstream II</v>
          </cell>
          <cell r="C2610" t="str">
            <v>B</v>
          </cell>
          <cell r="D2610">
            <v>1968</v>
          </cell>
          <cell r="E2610" t="str">
            <v>Transportes Aereos Ejecutivos</v>
          </cell>
          <cell r="F2610">
            <v>32</v>
          </cell>
          <cell r="G2610">
            <v>25142</v>
          </cell>
          <cell r="H2610" t="str">
            <v>IIB</v>
          </cell>
          <cell r="I2610" t="str">
            <v>Latin America and Caribbean</v>
          </cell>
          <cell r="J2610" t="str">
            <v>Mexico</v>
          </cell>
          <cell r="K2610">
            <v>24288</v>
          </cell>
        </row>
        <row r="2611">
          <cell r="A2611" t="str">
            <v>In service</v>
          </cell>
          <cell r="B2611" t="str">
            <v>Gulfstream Aerospace Gulfstream II</v>
          </cell>
          <cell r="C2611" t="str">
            <v>B</v>
          </cell>
          <cell r="D2611">
            <v>1968</v>
          </cell>
          <cell r="E2611" t="str">
            <v>N97EC LLC</v>
          </cell>
          <cell r="F2611">
            <v>32</v>
          </cell>
          <cell r="G2611">
            <v>25151</v>
          </cell>
          <cell r="H2611" t="str">
            <v>IIB</v>
          </cell>
          <cell r="I2611" t="str">
            <v>North America</v>
          </cell>
          <cell r="J2611" t="str">
            <v>USA</v>
          </cell>
          <cell r="K2611">
            <v>24653</v>
          </cell>
        </row>
        <row r="2612">
          <cell r="A2612" t="str">
            <v>In service</v>
          </cell>
          <cell r="B2612" t="str">
            <v>Gulfstream Aerospace Gulfstream II</v>
          </cell>
          <cell r="C2612" t="str">
            <v>B</v>
          </cell>
          <cell r="D2612">
            <v>1968</v>
          </cell>
          <cell r="E2612" t="str">
            <v>Aeromet Inc</v>
          </cell>
          <cell r="F2612">
            <v>32</v>
          </cell>
          <cell r="G2612">
            <v>25163</v>
          </cell>
          <cell r="H2612" t="str">
            <v>HALO I</v>
          </cell>
          <cell r="I2612" t="str">
            <v>North America</v>
          </cell>
          <cell r="J2612" t="str">
            <v>USA</v>
          </cell>
          <cell r="K2612">
            <v>25019</v>
          </cell>
        </row>
        <row r="2613">
          <cell r="A2613" t="str">
            <v>In service</v>
          </cell>
          <cell r="B2613" t="str">
            <v>Gulfstream Aerospace Gulfstream II</v>
          </cell>
          <cell r="C2613" t="str">
            <v>B</v>
          </cell>
          <cell r="D2613">
            <v>1967</v>
          </cell>
          <cell r="E2613" t="str">
            <v>RGR Technologies Inc</v>
          </cell>
          <cell r="F2613">
            <v>33</v>
          </cell>
          <cell r="G2613">
            <v>24850</v>
          </cell>
          <cell r="H2613" t="str">
            <v>IIB</v>
          </cell>
          <cell r="I2613" t="str">
            <v>North America</v>
          </cell>
          <cell r="J2613" t="str">
            <v>USA</v>
          </cell>
          <cell r="K2613">
            <v>23923</v>
          </cell>
        </row>
        <row r="2614">
          <cell r="A2614" t="str">
            <v>In service</v>
          </cell>
          <cell r="B2614" t="str">
            <v>Gulfstream Aerospace Gulfstream II</v>
          </cell>
          <cell r="C2614" t="str">
            <v>B</v>
          </cell>
          <cell r="D2614">
            <v>1968</v>
          </cell>
          <cell r="E2614" t="str">
            <v>B&amp;G Leasing LLC</v>
          </cell>
          <cell r="F2614">
            <v>32</v>
          </cell>
          <cell r="G2614">
            <v>25205</v>
          </cell>
          <cell r="H2614" t="str">
            <v>IIB</v>
          </cell>
          <cell r="I2614" t="str">
            <v>North America</v>
          </cell>
          <cell r="J2614" t="str">
            <v>USA</v>
          </cell>
          <cell r="K2614">
            <v>24653</v>
          </cell>
        </row>
        <row r="2615">
          <cell r="A2615" t="str">
            <v>In service</v>
          </cell>
          <cell r="B2615" t="str">
            <v>Gulfstream Aerospace Gulfstream II</v>
          </cell>
          <cell r="C2615" t="str">
            <v>B</v>
          </cell>
          <cell r="D2615">
            <v>1969</v>
          </cell>
          <cell r="E2615" t="str">
            <v>Hudson Capital Group Inc</v>
          </cell>
          <cell r="F2615">
            <v>31</v>
          </cell>
          <cell r="G2615">
            <v>25274</v>
          </cell>
          <cell r="H2615" t="str">
            <v>IIB</v>
          </cell>
          <cell r="I2615" t="str">
            <v>North America</v>
          </cell>
          <cell r="J2615" t="str">
            <v>USA</v>
          </cell>
          <cell r="K2615">
            <v>24653</v>
          </cell>
        </row>
        <row r="2616">
          <cell r="A2616" t="str">
            <v>In service</v>
          </cell>
          <cell r="B2616" t="str">
            <v>Gulfstream Aerospace Gulfstream II</v>
          </cell>
          <cell r="C2616" t="str">
            <v>B</v>
          </cell>
          <cell r="D2616">
            <v>1969</v>
          </cell>
          <cell r="E2616" t="str">
            <v>Coastal Corp</v>
          </cell>
          <cell r="F2616">
            <v>31</v>
          </cell>
          <cell r="G2616">
            <v>25328</v>
          </cell>
          <cell r="H2616" t="str">
            <v>IIB</v>
          </cell>
          <cell r="I2616" t="str">
            <v>North America</v>
          </cell>
          <cell r="J2616" t="str">
            <v>USA</v>
          </cell>
          <cell r="K2616">
            <v>24653</v>
          </cell>
        </row>
        <row r="2617">
          <cell r="A2617" t="str">
            <v>In service</v>
          </cell>
          <cell r="B2617" t="str">
            <v>Gulfstream Aerospace Gulfstream II</v>
          </cell>
          <cell r="C2617" t="str">
            <v>B</v>
          </cell>
          <cell r="D2617">
            <v>1969</v>
          </cell>
          <cell r="E2617" t="str">
            <v>New World Aviation Inc</v>
          </cell>
          <cell r="F2617">
            <v>31</v>
          </cell>
          <cell r="G2617">
            <v>25421</v>
          </cell>
          <cell r="H2617" t="str">
            <v>IIB</v>
          </cell>
          <cell r="I2617" t="str">
            <v>North America</v>
          </cell>
          <cell r="J2617" t="str">
            <v>USA</v>
          </cell>
          <cell r="K2617">
            <v>25019</v>
          </cell>
        </row>
        <row r="2618">
          <cell r="A2618" t="str">
            <v>In service</v>
          </cell>
          <cell r="B2618" t="str">
            <v>Gulfstream Aerospace Gulfstream II</v>
          </cell>
          <cell r="C2618" t="str">
            <v>B</v>
          </cell>
          <cell r="D2618">
            <v>1969</v>
          </cell>
          <cell r="E2618" t="str">
            <v>Angel Wing Co Ltd</v>
          </cell>
          <cell r="F2618">
            <v>31</v>
          </cell>
          <cell r="G2618">
            <v>25492</v>
          </cell>
          <cell r="H2618" t="str">
            <v>IIB</v>
          </cell>
          <cell r="I2618" t="str">
            <v>North America</v>
          </cell>
          <cell r="J2618" t="str">
            <v>USA</v>
          </cell>
          <cell r="K2618">
            <v>25019</v>
          </cell>
        </row>
        <row r="2619">
          <cell r="A2619" t="str">
            <v>In service</v>
          </cell>
          <cell r="B2619" t="str">
            <v>Gulfstream Aerospace Gulfstream II</v>
          </cell>
          <cell r="C2619" t="str">
            <v>B</v>
          </cell>
          <cell r="D2619">
            <v>1969</v>
          </cell>
          <cell r="E2619" t="str">
            <v>Northwestern Aircraft Capital Corp</v>
          </cell>
          <cell r="F2619">
            <v>31</v>
          </cell>
          <cell r="G2619">
            <v>25514</v>
          </cell>
          <cell r="H2619" t="str">
            <v>IIB</v>
          </cell>
          <cell r="I2619" t="str">
            <v>North America</v>
          </cell>
          <cell r="J2619" t="str">
            <v>USA</v>
          </cell>
          <cell r="K2619">
            <v>25019</v>
          </cell>
        </row>
        <row r="2620">
          <cell r="A2620" t="str">
            <v>In service</v>
          </cell>
          <cell r="B2620" t="str">
            <v>Gulfstream Aerospace Gulfstream II</v>
          </cell>
          <cell r="C2620" t="str">
            <v>B</v>
          </cell>
          <cell r="D2620">
            <v>1969</v>
          </cell>
          <cell r="E2620" t="str">
            <v>New World Aviation Inc</v>
          </cell>
          <cell r="F2620">
            <v>31</v>
          </cell>
          <cell r="G2620">
            <v>25541</v>
          </cell>
          <cell r="H2620" t="str">
            <v>IIB</v>
          </cell>
          <cell r="I2620" t="str">
            <v>North America</v>
          </cell>
          <cell r="J2620" t="str">
            <v>USA</v>
          </cell>
          <cell r="K2620">
            <v>25019</v>
          </cell>
        </row>
        <row r="2621">
          <cell r="A2621" t="str">
            <v>In service</v>
          </cell>
          <cell r="B2621" t="str">
            <v>Gulfstream Aerospace Gulfstream II</v>
          </cell>
          <cell r="C2621" t="str">
            <v>B</v>
          </cell>
          <cell r="D2621">
            <v>1969</v>
          </cell>
          <cell r="E2621" t="str">
            <v>Bombardier Capital Inc</v>
          </cell>
          <cell r="F2621">
            <v>31</v>
          </cell>
          <cell r="G2621">
            <v>26360</v>
          </cell>
          <cell r="H2621" t="str">
            <v>IIB</v>
          </cell>
          <cell r="I2621" t="str">
            <v>North America</v>
          </cell>
          <cell r="J2621" t="str">
            <v>USA</v>
          </cell>
          <cell r="K2621">
            <v>25749</v>
          </cell>
        </row>
        <row r="2622">
          <cell r="A2622" t="str">
            <v>In service</v>
          </cell>
          <cell r="B2622" t="str">
            <v>Gulfstream Aerospace Gulfstream II</v>
          </cell>
          <cell r="C2622" t="str">
            <v>B</v>
          </cell>
          <cell r="D2622">
            <v>1970</v>
          </cell>
          <cell r="E2622" t="str">
            <v>Texas Eastern Transmission Corporation</v>
          </cell>
          <cell r="F2622">
            <v>30</v>
          </cell>
          <cell r="G2622">
            <v>25660</v>
          </cell>
          <cell r="H2622" t="str">
            <v>IIB</v>
          </cell>
          <cell r="I2622" t="str">
            <v>North America</v>
          </cell>
          <cell r="J2622" t="str">
            <v>USA</v>
          </cell>
          <cell r="K2622">
            <v>25019</v>
          </cell>
        </row>
        <row r="2623">
          <cell r="A2623" t="str">
            <v>In service</v>
          </cell>
          <cell r="B2623" t="str">
            <v>Gulfstream Aerospace Gulfstream II</v>
          </cell>
          <cell r="C2623" t="str">
            <v>B</v>
          </cell>
          <cell r="D2623">
            <v>1970</v>
          </cell>
          <cell r="E2623" t="str">
            <v>Weeks Davies Aviation Inc</v>
          </cell>
          <cell r="F2623">
            <v>30</v>
          </cell>
          <cell r="G2623">
            <v>25679</v>
          </cell>
          <cell r="H2623" t="str">
            <v>IIB</v>
          </cell>
          <cell r="I2623" t="str">
            <v>North America</v>
          </cell>
          <cell r="J2623" t="str">
            <v>USA</v>
          </cell>
          <cell r="K2623">
            <v>25384</v>
          </cell>
        </row>
        <row r="2624">
          <cell r="A2624" t="str">
            <v>In service</v>
          </cell>
          <cell r="B2624" t="str">
            <v>Gulfstream Aerospace Gulfstream II</v>
          </cell>
          <cell r="C2624" t="str">
            <v>B</v>
          </cell>
          <cell r="D2624">
            <v>1968</v>
          </cell>
          <cell r="E2624" t="str">
            <v>Eastman Chemical Co</v>
          </cell>
          <cell r="F2624">
            <v>32</v>
          </cell>
          <cell r="G2624">
            <v>24862</v>
          </cell>
          <cell r="H2624" t="str">
            <v>IIB</v>
          </cell>
          <cell r="I2624" t="str">
            <v>North America</v>
          </cell>
          <cell r="J2624" t="str">
            <v>USA</v>
          </cell>
          <cell r="K2624">
            <v>23923</v>
          </cell>
        </row>
        <row r="2625">
          <cell r="A2625" t="str">
            <v>In service</v>
          </cell>
          <cell r="B2625" t="str">
            <v>Gulfstream Aerospace Gulfstream II</v>
          </cell>
          <cell r="C2625" t="str">
            <v>B</v>
          </cell>
          <cell r="D2625">
            <v>1970</v>
          </cell>
          <cell r="E2625" t="str">
            <v>1998 Aircraft LLC</v>
          </cell>
          <cell r="F2625">
            <v>30</v>
          </cell>
          <cell r="G2625">
            <v>26038</v>
          </cell>
          <cell r="H2625" t="str">
            <v>IIB</v>
          </cell>
          <cell r="I2625" t="str">
            <v>North America</v>
          </cell>
          <cell r="J2625" t="str">
            <v>USA</v>
          </cell>
          <cell r="K2625">
            <v>25384</v>
          </cell>
        </row>
        <row r="2626">
          <cell r="A2626" t="str">
            <v>In service</v>
          </cell>
          <cell r="B2626" t="str">
            <v>Gulfstream Aerospace Gulfstream II</v>
          </cell>
          <cell r="C2626" t="str">
            <v>B</v>
          </cell>
          <cell r="D2626">
            <v>1970</v>
          </cell>
          <cell r="E2626" t="str">
            <v>Avjet Corp</v>
          </cell>
          <cell r="F2626">
            <v>30</v>
          </cell>
          <cell r="G2626">
            <v>25983</v>
          </cell>
          <cell r="H2626" t="str">
            <v>IIB</v>
          </cell>
          <cell r="I2626" t="str">
            <v>North America</v>
          </cell>
          <cell r="J2626" t="str">
            <v>USA</v>
          </cell>
          <cell r="K2626">
            <v>25384</v>
          </cell>
        </row>
        <row r="2627">
          <cell r="A2627" t="str">
            <v>In service</v>
          </cell>
          <cell r="B2627" t="str">
            <v>Gulfstream Aerospace Gulfstream II</v>
          </cell>
          <cell r="C2627" t="str">
            <v>SP</v>
          </cell>
          <cell r="D2627">
            <v>1966</v>
          </cell>
          <cell r="E2627" t="str">
            <v>Motorola Inc</v>
          </cell>
          <cell r="F2627">
            <v>34</v>
          </cell>
          <cell r="G2627">
            <v>25839</v>
          </cell>
          <cell r="H2627" t="str">
            <v>IISP</v>
          </cell>
          <cell r="I2627" t="str">
            <v>North America</v>
          </cell>
          <cell r="J2627" t="str">
            <v>USA</v>
          </cell>
        </row>
        <row r="2628">
          <cell r="A2628" t="str">
            <v>In service</v>
          </cell>
          <cell r="B2628" t="str">
            <v>Gulfstream Aerospace Gulfstream II</v>
          </cell>
          <cell r="C2628" t="str">
            <v>SP</v>
          </cell>
          <cell r="D2628">
            <v>1968</v>
          </cell>
          <cell r="E2628" t="str">
            <v>CX Air LLC</v>
          </cell>
          <cell r="F2628">
            <v>32</v>
          </cell>
          <cell r="G2628">
            <v>24876</v>
          </cell>
          <cell r="H2628" t="str">
            <v>IISP</v>
          </cell>
          <cell r="I2628" t="str">
            <v>North America</v>
          </cell>
          <cell r="J2628" t="str">
            <v>USA</v>
          </cell>
          <cell r="K2628">
            <v>24288</v>
          </cell>
        </row>
        <row r="2629">
          <cell r="A2629" t="str">
            <v>In service</v>
          </cell>
          <cell r="B2629" t="str">
            <v>Gulfstream Aerospace Gulfstream II</v>
          </cell>
          <cell r="C2629" t="str">
            <v>SP</v>
          </cell>
          <cell r="D2629">
            <v>1970</v>
          </cell>
          <cell r="E2629" t="str">
            <v>Maxim Aviation Co</v>
          </cell>
          <cell r="F2629">
            <v>30</v>
          </cell>
          <cell r="G2629">
            <v>26151</v>
          </cell>
          <cell r="H2629" t="str">
            <v>IISP</v>
          </cell>
          <cell r="I2629" t="str">
            <v>North America</v>
          </cell>
          <cell r="J2629" t="str">
            <v>USA</v>
          </cell>
          <cell r="K2629">
            <v>25384</v>
          </cell>
        </row>
        <row r="2630">
          <cell r="A2630" t="str">
            <v>In service</v>
          </cell>
          <cell r="B2630" t="str">
            <v>Gulfstream Aerospace Gulfstream II</v>
          </cell>
          <cell r="C2630" t="str">
            <v>SP</v>
          </cell>
          <cell r="D2630">
            <v>1970</v>
          </cell>
          <cell r="E2630" t="str">
            <v>Jetex International Inc</v>
          </cell>
          <cell r="F2630">
            <v>30</v>
          </cell>
          <cell r="G2630">
            <v>25930</v>
          </cell>
          <cell r="H2630" t="str">
            <v>IISP</v>
          </cell>
          <cell r="I2630" t="str">
            <v>North America</v>
          </cell>
          <cell r="J2630" t="str">
            <v>USA</v>
          </cell>
          <cell r="K2630">
            <v>25019</v>
          </cell>
        </row>
        <row r="2631">
          <cell r="A2631" t="str">
            <v>In service</v>
          </cell>
          <cell r="B2631" t="str">
            <v>Gulfstream Aerospace Gulfstream II</v>
          </cell>
          <cell r="C2631" t="str">
            <v>SP</v>
          </cell>
          <cell r="D2631">
            <v>1971</v>
          </cell>
          <cell r="E2631" t="str">
            <v>Tyler Jet LLC</v>
          </cell>
          <cell r="F2631">
            <v>29</v>
          </cell>
          <cell r="G2631">
            <v>27747</v>
          </cell>
          <cell r="H2631" t="str">
            <v>IISP</v>
          </cell>
          <cell r="I2631" t="str">
            <v>North America</v>
          </cell>
          <cell r="J2631" t="str">
            <v>USA</v>
          </cell>
        </row>
        <row r="2632">
          <cell r="A2632" t="str">
            <v>In service</v>
          </cell>
          <cell r="B2632" t="str">
            <v>Gulfstream Aerospace Gulfstream II</v>
          </cell>
          <cell r="C2632" t="str">
            <v>SP</v>
          </cell>
          <cell r="D2632">
            <v>1971</v>
          </cell>
          <cell r="E2632" t="str">
            <v>Newport/Signal Air Inc</v>
          </cell>
          <cell r="F2632">
            <v>29</v>
          </cell>
          <cell r="G2632">
            <v>26282</v>
          </cell>
          <cell r="H2632" t="str">
            <v>IISP</v>
          </cell>
          <cell r="I2632" t="str">
            <v>North America</v>
          </cell>
          <cell r="J2632" t="str">
            <v>USA</v>
          </cell>
          <cell r="K2632">
            <v>25384</v>
          </cell>
        </row>
        <row r="2633">
          <cell r="A2633" t="str">
            <v>In service</v>
          </cell>
          <cell r="B2633" t="str">
            <v>Gulfstream Aerospace Gulfstream II</v>
          </cell>
          <cell r="C2633" t="str">
            <v>SP</v>
          </cell>
          <cell r="D2633">
            <v>1972</v>
          </cell>
          <cell r="E2633" t="str">
            <v>Meridian Services Inc</v>
          </cell>
          <cell r="F2633">
            <v>28</v>
          </cell>
          <cell r="G2633">
            <v>26333</v>
          </cell>
          <cell r="H2633" t="str">
            <v>IISP</v>
          </cell>
          <cell r="I2633" t="str">
            <v>North America</v>
          </cell>
          <cell r="J2633" t="str">
            <v>USA</v>
          </cell>
          <cell r="K2633">
            <v>25749</v>
          </cell>
        </row>
        <row r="2634">
          <cell r="A2634" t="str">
            <v>In service</v>
          </cell>
          <cell r="B2634" t="str">
            <v>Gulfstream Aerospace Gulfstream II</v>
          </cell>
          <cell r="C2634" t="str">
            <v>SP</v>
          </cell>
          <cell r="D2634">
            <v>1972</v>
          </cell>
          <cell r="E2634" t="str">
            <v>Dealaero Inc</v>
          </cell>
          <cell r="F2634">
            <v>28</v>
          </cell>
          <cell r="G2634">
            <v>26353</v>
          </cell>
          <cell r="H2634" t="str">
            <v>IISP</v>
          </cell>
          <cell r="I2634" t="str">
            <v>North America</v>
          </cell>
          <cell r="J2634" t="str">
            <v>USA</v>
          </cell>
          <cell r="K2634">
            <v>25749</v>
          </cell>
        </row>
        <row r="2635">
          <cell r="A2635" t="str">
            <v>In service</v>
          </cell>
          <cell r="B2635" t="str">
            <v>Gulfstream Aerospace Gulfstream II</v>
          </cell>
          <cell r="C2635" t="str">
            <v>SP</v>
          </cell>
          <cell r="D2635">
            <v>1972</v>
          </cell>
          <cell r="E2635" t="str">
            <v>Adams Investment Enterprises LLC</v>
          </cell>
          <cell r="F2635">
            <v>28</v>
          </cell>
          <cell r="G2635">
            <v>26381</v>
          </cell>
          <cell r="H2635" t="str">
            <v>IISP</v>
          </cell>
          <cell r="I2635" t="str">
            <v>North America</v>
          </cell>
          <cell r="J2635" t="str">
            <v>USA</v>
          </cell>
          <cell r="K2635">
            <v>26114</v>
          </cell>
        </row>
        <row r="2636">
          <cell r="A2636" t="str">
            <v>In service</v>
          </cell>
          <cell r="B2636" t="str">
            <v>Gulfstream Aerospace Gulfstream II</v>
          </cell>
          <cell r="C2636" t="str">
            <v>SP</v>
          </cell>
          <cell r="D2636">
            <v>1972</v>
          </cell>
          <cell r="E2636" t="str">
            <v>Priority 1 Aviation Inc</v>
          </cell>
          <cell r="F2636">
            <v>28</v>
          </cell>
          <cell r="G2636">
            <v>26473</v>
          </cell>
          <cell r="H2636" t="str">
            <v>IISP</v>
          </cell>
          <cell r="I2636" t="str">
            <v>North America</v>
          </cell>
          <cell r="J2636" t="str">
            <v>USA</v>
          </cell>
          <cell r="K2636">
            <v>25749</v>
          </cell>
        </row>
        <row r="2637">
          <cell r="A2637" t="str">
            <v>In service</v>
          </cell>
          <cell r="B2637" t="str">
            <v>Gulfstream Aerospace Gulfstream II</v>
          </cell>
          <cell r="C2637" t="str">
            <v>SP</v>
          </cell>
          <cell r="D2637">
            <v>1972</v>
          </cell>
          <cell r="E2637" t="str">
            <v>Cable Holdings Aviation Corp</v>
          </cell>
          <cell r="F2637">
            <v>28</v>
          </cell>
          <cell r="G2637">
            <v>26461</v>
          </cell>
          <cell r="H2637" t="str">
            <v>IISP</v>
          </cell>
          <cell r="I2637" t="str">
            <v>North America</v>
          </cell>
          <cell r="J2637" t="str">
            <v>USA</v>
          </cell>
          <cell r="K2637">
            <v>25749</v>
          </cell>
        </row>
        <row r="2638">
          <cell r="A2638" t="str">
            <v>In service</v>
          </cell>
          <cell r="B2638" t="str">
            <v>Gulfstream Aerospace Gulfstream II</v>
          </cell>
          <cell r="C2638" t="str">
            <v>SP</v>
          </cell>
          <cell r="D2638">
            <v>1972</v>
          </cell>
          <cell r="E2638" t="str">
            <v>Benco Inc</v>
          </cell>
          <cell r="F2638">
            <v>28</v>
          </cell>
          <cell r="G2638">
            <v>26505</v>
          </cell>
          <cell r="H2638" t="str">
            <v>IISP</v>
          </cell>
          <cell r="I2638" t="str">
            <v>North America</v>
          </cell>
          <cell r="J2638" t="str">
            <v>USA</v>
          </cell>
          <cell r="K2638">
            <v>26114</v>
          </cell>
        </row>
        <row r="2639">
          <cell r="A2639" t="str">
            <v>In service</v>
          </cell>
          <cell r="B2639" t="str">
            <v>Gulfstream Aerospace Gulfstream II</v>
          </cell>
          <cell r="C2639" t="str">
            <v>SP</v>
          </cell>
          <cell r="D2639">
            <v>1972</v>
          </cell>
          <cell r="E2639" t="str">
            <v>Crown Controls Corp</v>
          </cell>
          <cell r="F2639">
            <v>28</v>
          </cell>
          <cell r="G2639">
            <v>26564</v>
          </cell>
          <cell r="H2639" t="str">
            <v>IISP</v>
          </cell>
          <cell r="I2639" t="str">
            <v>North America</v>
          </cell>
          <cell r="J2639" t="str">
            <v>USA</v>
          </cell>
          <cell r="K2639">
            <v>25749</v>
          </cell>
        </row>
        <row r="2640">
          <cell r="A2640" t="str">
            <v>In service</v>
          </cell>
          <cell r="B2640" t="str">
            <v>Gulfstream Aerospace Gulfstream II</v>
          </cell>
          <cell r="C2640" t="str">
            <v>SP</v>
          </cell>
          <cell r="D2640">
            <v>1968</v>
          </cell>
          <cell r="E2640" t="str">
            <v>R Squared LLC</v>
          </cell>
          <cell r="F2640">
            <v>32</v>
          </cell>
          <cell r="G2640">
            <v>24932</v>
          </cell>
          <cell r="H2640" t="str">
            <v>IISP</v>
          </cell>
          <cell r="I2640" t="str">
            <v>North America</v>
          </cell>
          <cell r="J2640" t="str">
            <v>USA</v>
          </cell>
          <cell r="K2640">
            <v>24288</v>
          </cell>
        </row>
        <row r="2641">
          <cell r="A2641" t="str">
            <v>In service</v>
          </cell>
          <cell r="B2641" t="str">
            <v>Gulfstream Aerospace Gulfstream II</v>
          </cell>
          <cell r="C2641" t="str">
            <v>SP</v>
          </cell>
          <cell r="D2641">
            <v>1972</v>
          </cell>
          <cell r="E2641" t="str">
            <v>Skyservice Airlines</v>
          </cell>
          <cell r="F2641">
            <v>28</v>
          </cell>
          <cell r="G2641">
            <v>26632</v>
          </cell>
          <cell r="H2641" t="str">
            <v>IISP</v>
          </cell>
          <cell r="I2641" t="str">
            <v>North America</v>
          </cell>
          <cell r="J2641" t="str">
            <v>Canada</v>
          </cell>
          <cell r="K2641">
            <v>25749</v>
          </cell>
        </row>
        <row r="2642">
          <cell r="A2642" t="str">
            <v>In service</v>
          </cell>
          <cell r="B2642" t="str">
            <v>Gulfstream Aerospace Gulfstream II</v>
          </cell>
          <cell r="C2642" t="str">
            <v>SP</v>
          </cell>
          <cell r="D2642">
            <v>1972</v>
          </cell>
          <cell r="E2642" t="str">
            <v>Trayton Aviation LLC</v>
          </cell>
          <cell r="F2642">
            <v>28</v>
          </cell>
          <cell r="G2642">
            <v>26650</v>
          </cell>
          <cell r="H2642" t="str">
            <v>IISP</v>
          </cell>
          <cell r="I2642" t="str">
            <v>North America</v>
          </cell>
          <cell r="J2642" t="str">
            <v>USA</v>
          </cell>
          <cell r="K2642">
            <v>26114</v>
          </cell>
        </row>
        <row r="2643">
          <cell r="A2643" t="str">
            <v>In service</v>
          </cell>
          <cell r="B2643" t="str">
            <v>Gulfstream Aerospace Gulfstream II</v>
          </cell>
          <cell r="C2643" t="str">
            <v>SP</v>
          </cell>
          <cell r="D2643">
            <v>1973</v>
          </cell>
          <cell r="E2643" t="str">
            <v>Evergreen International Aviation Inc</v>
          </cell>
          <cell r="F2643">
            <v>27</v>
          </cell>
          <cell r="G2643">
            <v>26974</v>
          </cell>
          <cell r="H2643" t="str">
            <v>IISP</v>
          </cell>
          <cell r="I2643" t="str">
            <v>North America</v>
          </cell>
          <cell r="J2643" t="str">
            <v>USA</v>
          </cell>
          <cell r="K2643">
            <v>25749</v>
          </cell>
        </row>
        <row r="2644">
          <cell r="A2644" t="str">
            <v>In service</v>
          </cell>
          <cell r="B2644" t="str">
            <v>Gulfstream Aerospace Gulfstream II</v>
          </cell>
          <cell r="C2644" t="str">
            <v>SP</v>
          </cell>
          <cell r="D2644">
            <v>1973</v>
          </cell>
          <cell r="E2644" t="str">
            <v>Executive Fliteways Inc</v>
          </cell>
          <cell r="F2644">
            <v>27</v>
          </cell>
          <cell r="G2644">
            <v>26837</v>
          </cell>
          <cell r="H2644" t="str">
            <v>IISP</v>
          </cell>
          <cell r="I2644" t="str">
            <v>North America</v>
          </cell>
          <cell r="J2644" t="str">
            <v>USA</v>
          </cell>
          <cell r="K2644">
            <v>26114</v>
          </cell>
        </row>
        <row r="2645">
          <cell r="A2645" t="str">
            <v>In service</v>
          </cell>
          <cell r="B2645" t="str">
            <v>Gulfstream Aerospace Gulfstream II</v>
          </cell>
          <cell r="C2645" t="str">
            <v>SP</v>
          </cell>
          <cell r="D2645">
            <v>1973</v>
          </cell>
          <cell r="E2645" t="str">
            <v>JT Aviation Corp</v>
          </cell>
          <cell r="F2645">
            <v>27</v>
          </cell>
          <cell r="G2645">
            <v>26938</v>
          </cell>
          <cell r="H2645" t="str">
            <v>IISP</v>
          </cell>
          <cell r="I2645" t="str">
            <v>North America</v>
          </cell>
          <cell r="J2645" t="str">
            <v>USA</v>
          </cell>
          <cell r="K2645">
            <v>26114</v>
          </cell>
        </row>
        <row r="2646">
          <cell r="A2646" t="str">
            <v>In service</v>
          </cell>
          <cell r="B2646" t="str">
            <v>Gulfstream Aerospace Gulfstream II</v>
          </cell>
          <cell r="C2646" t="str">
            <v>SP</v>
          </cell>
          <cell r="D2646">
            <v>1973</v>
          </cell>
          <cell r="E2646" t="str">
            <v>Aeromundo Ejecutivo SA de CV</v>
          </cell>
          <cell r="F2646">
            <v>27</v>
          </cell>
          <cell r="G2646">
            <v>26960</v>
          </cell>
          <cell r="H2646" t="str">
            <v>IISP</v>
          </cell>
          <cell r="I2646" t="str">
            <v>Latin America and Caribbean</v>
          </cell>
          <cell r="J2646" t="str">
            <v>Mexico</v>
          </cell>
          <cell r="K2646">
            <v>26480</v>
          </cell>
        </row>
        <row r="2647">
          <cell r="A2647" t="str">
            <v>In service</v>
          </cell>
          <cell r="B2647" t="str">
            <v>Gulfstream Aerospace Gulfstream II</v>
          </cell>
          <cell r="C2647" t="str">
            <v>SP</v>
          </cell>
          <cell r="D2647">
            <v>1974</v>
          </cell>
          <cell r="E2647" t="str">
            <v>Bison Air Corp</v>
          </cell>
          <cell r="F2647">
            <v>26</v>
          </cell>
          <cell r="G2647">
            <v>27316</v>
          </cell>
          <cell r="H2647" t="str">
            <v>IISP</v>
          </cell>
          <cell r="I2647" t="str">
            <v>North America</v>
          </cell>
          <cell r="J2647" t="str">
            <v>USA</v>
          </cell>
          <cell r="K2647">
            <v>26480</v>
          </cell>
        </row>
        <row r="2648">
          <cell r="A2648" t="str">
            <v>In service</v>
          </cell>
          <cell r="B2648" t="str">
            <v>Gulfstream Aerospace Gulfstream II</v>
          </cell>
          <cell r="C2648" t="str">
            <v>SP</v>
          </cell>
          <cell r="D2648">
            <v>1975</v>
          </cell>
          <cell r="E2648" t="str">
            <v>Amador LLC</v>
          </cell>
          <cell r="F2648">
            <v>25</v>
          </cell>
          <cell r="G2648">
            <v>27451</v>
          </cell>
          <cell r="H2648" t="str">
            <v>IISP</v>
          </cell>
          <cell r="I2648" t="str">
            <v>North America</v>
          </cell>
          <cell r="J2648" t="str">
            <v>USA</v>
          </cell>
          <cell r="K2648">
            <v>26845</v>
          </cell>
        </row>
        <row r="2649">
          <cell r="A2649" t="str">
            <v>In service</v>
          </cell>
          <cell r="B2649" t="str">
            <v>Gulfstream Aerospace Gulfstream II</v>
          </cell>
          <cell r="C2649" t="str">
            <v>SP</v>
          </cell>
          <cell r="D2649">
            <v>1975</v>
          </cell>
          <cell r="E2649" t="str">
            <v>Fargo Aviation Inc</v>
          </cell>
          <cell r="F2649">
            <v>25</v>
          </cell>
          <cell r="G2649">
            <v>27733</v>
          </cell>
          <cell r="H2649" t="str">
            <v>IISP</v>
          </cell>
          <cell r="I2649" t="str">
            <v>North America</v>
          </cell>
          <cell r="J2649" t="str">
            <v>USA</v>
          </cell>
        </row>
        <row r="2650">
          <cell r="A2650" t="str">
            <v>In service</v>
          </cell>
          <cell r="B2650" t="str">
            <v>Gulfstream Aerospace Gulfstream II</v>
          </cell>
          <cell r="C2650" t="str">
            <v>SP</v>
          </cell>
          <cell r="D2650">
            <v>1975</v>
          </cell>
          <cell r="E2650" t="str">
            <v>Gavilan Corp</v>
          </cell>
          <cell r="F2650">
            <v>25</v>
          </cell>
          <cell r="G2650">
            <v>27888</v>
          </cell>
          <cell r="H2650" t="str">
            <v>IISP</v>
          </cell>
          <cell r="I2650" t="str">
            <v>North America</v>
          </cell>
          <cell r="J2650" t="str">
            <v>USA</v>
          </cell>
        </row>
        <row r="2651">
          <cell r="A2651" t="str">
            <v>In service</v>
          </cell>
          <cell r="B2651" t="str">
            <v>Gulfstream Aerospace Gulfstream II</v>
          </cell>
          <cell r="C2651" t="str">
            <v>SP</v>
          </cell>
          <cell r="D2651">
            <v>1975</v>
          </cell>
          <cell r="E2651" t="str">
            <v>Horizon Natural Resources Holding Co LLC</v>
          </cell>
          <cell r="F2651">
            <v>25</v>
          </cell>
          <cell r="G2651">
            <v>27755</v>
          </cell>
          <cell r="H2651" t="str">
            <v>IISP</v>
          </cell>
          <cell r="I2651" t="str">
            <v>North America</v>
          </cell>
          <cell r="J2651" t="str">
            <v>USA</v>
          </cell>
          <cell r="K2651">
            <v>27210</v>
          </cell>
        </row>
        <row r="2652">
          <cell r="A2652" t="str">
            <v>In service</v>
          </cell>
          <cell r="B2652" t="str">
            <v>Gulfstream Aerospace Gulfstream II</v>
          </cell>
          <cell r="C2652" t="str">
            <v>SP</v>
          </cell>
          <cell r="D2652">
            <v>1975</v>
          </cell>
          <cell r="E2652" t="str">
            <v>Blue Sky Group Inc</v>
          </cell>
          <cell r="F2652">
            <v>25</v>
          </cell>
          <cell r="G2652">
            <v>27786</v>
          </cell>
          <cell r="H2652" t="str">
            <v>IISP</v>
          </cell>
          <cell r="I2652" t="str">
            <v>North America</v>
          </cell>
          <cell r="J2652" t="str">
            <v>USA</v>
          </cell>
        </row>
        <row r="2653">
          <cell r="A2653" t="str">
            <v>In service</v>
          </cell>
          <cell r="B2653" t="str">
            <v>Gulfstream Aerospace Gulfstream II</v>
          </cell>
          <cell r="C2653" t="str">
            <v>SP</v>
          </cell>
          <cell r="D2653">
            <v>1975</v>
          </cell>
          <cell r="E2653" t="str">
            <v>Euro Airways Inc</v>
          </cell>
          <cell r="F2653">
            <v>25</v>
          </cell>
          <cell r="G2653">
            <v>27634</v>
          </cell>
          <cell r="H2653" t="str">
            <v>IISP</v>
          </cell>
          <cell r="I2653" t="str">
            <v>North America</v>
          </cell>
          <cell r="J2653" t="str">
            <v>USA</v>
          </cell>
          <cell r="K2653">
            <v>26845</v>
          </cell>
        </row>
        <row r="2654">
          <cell r="A2654" t="str">
            <v>In service</v>
          </cell>
          <cell r="B2654" t="str">
            <v>Gulfstream Aerospace Gulfstream II</v>
          </cell>
          <cell r="C2654" t="str">
            <v>SP</v>
          </cell>
          <cell r="D2654">
            <v>1975</v>
          </cell>
          <cell r="E2654" t="str">
            <v>D Squared LLC</v>
          </cell>
          <cell r="F2654">
            <v>25</v>
          </cell>
          <cell r="G2654">
            <v>27823</v>
          </cell>
          <cell r="H2654" t="str">
            <v>IISP</v>
          </cell>
          <cell r="I2654" t="str">
            <v>North America</v>
          </cell>
          <cell r="J2654" t="str">
            <v>USA</v>
          </cell>
          <cell r="K2654">
            <v>27210</v>
          </cell>
        </row>
        <row r="2655">
          <cell r="A2655" t="str">
            <v>In service</v>
          </cell>
          <cell r="B2655" t="str">
            <v>Gulfstream Aerospace Gulfstream II</v>
          </cell>
          <cell r="C2655" t="str">
            <v>SP</v>
          </cell>
          <cell r="D2655">
            <v>1968</v>
          </cell>
          <cell r="E2655" t="str">
            <v>Cypress Aviation LLC</v>
          </cell>
          <cell r="F2655">
            <v>32</v>
          </cell>
          <cell r="G2655">
            <v>24968</v>
          </cell>
          <cell r="H2655" t="str">
            <v>IISP</v>
          </cell>
          <cell r="I2655" t="str">
            <v>North America</v>
          </cell>
          <cell r="J2655" t="str">
            <v>USA</v>
          </cell>
          <cell r="K2655">
            <v>24288</v>
          </cell>
        </row>
        <row r="2656">
          <cell r="A2656" t="str">
            <v>In service</v>
          </cell>
          <cell r="B2656" t="str">
            <v>Gulfstream Aerospace Gulfstream II</v>
          </cell>
          <cell r="C2656" t="str">
            <v>SP</v>
          </cell>
          <cell r="D2656">
            <v>1975</v>
          </cell>
          <cell r="E2656" t="str">
            <v>Adams Investment Enterprises LLC</v>
          </cell>
          <cell r="F2656">
            <v>25</v>
          </cell>
          <cell r="G2656">
            <v>27711</v>
          </cell>
          <cell r="H2656" t="str">
            <v>IISP</v>
          </cell>
          <cell r="I2656" t="str">
            <v>North America</v>
          </cell>
          <cell r="J2656" t="str">
            <v>USA</v>
          </cell>
          <cell r="K2656">
            <v>26845</v>
          </cell>
        </row>
        <row r="2657">
          <cell r="A2657" t="str">
            <v>In service</v>
          </cell>
          <cell r="B2657" t="str">
            <v>Gulfstream Aerospace Gulfstream II</v>
          </cell>
          <cell r="C2657" t="str">
            <v>SP</v>
          </cell>
          <cell r="D2657">
            <v>1975</v>
          </cell>
          <cell r="E2657" t="str">
            <v>Jetmark Aviation LLC</v>
          </cell>
          <cell r="F2657">
            <v>25</v>
          </cell>
          <cell r="G2657">
            <v>27751</v>
          </cell>
          <cell r="H2657" t="str">
            <v>IISP</v>
          </cell>
          <cell r="I2657" t="str">
            <v>North America</v>
          </cell>
          <cell r="J2657" t="str">
            <v>USA</v>
          </cell>
          <cell r="K2657">
            <v>27210</v>
          </cell>
        </row>
        <row r="2658">
          <cell r="A2658" t="str">
            <v>In service</v>
          </cell>
          <cell r="B2658" t="str">
            <v>Gulfstream Aerospace Gulfstream II</v>
          </cell>
          <cell r="C2658" t="str">
            <v>SP</v>
          </cell>
          <cell r="D2658">
            <v>1975</v>
          </cell>
          <cell r="E2658" t="str">
            <v>Policia Federal Preventiva de Mexico</v>
          </cell>
          <cell r="F2658">
            <v>25</v>
          </cell>
          <cell r="G2658">
            <v>27973</v>
          </cell>
          <cell r="H2658" t="str">
            <v>IISP</v>
          </cell>
          <cell r="I2658" t="str">
            <v>Latin America and Caribbean</v>
          </cell>
          <cell r="J2658" t="str">
            <v>Mexico</v>
          </cell>
          <cell r="K2658">
            <v>27575</v>
          </cell>
        </row>
        <row r="2659">
          <cell r="A2659" t="str">
            <v>In service</v>
          </cell>
          <cell r="B2659" t="str">
            <v>Gulfstream Aerospace Gulfstream II</v>
          </cell>
          <cell r="C2659" t="str">
            <v>SP</v>
          </cell>
          <cell r="D2659">
            <v>1976</v>
          </cell>
          <cell r="E2659" t="str">
            <v>Flightworks</v>
          </cell>
          <cell r="F2659">
            <v>24</v>
          </cell>
          <cell r="G2659">
            <v>27852</v>
          </cell>
          <cell r="H2659" t="str">
            <v>IISP</v>
          </cell>
          <cell r="I2659" t="str">
            <v>North America</v>
          </cell>
          <cell r="J2659" t="str">
            <v>USA</v>
          </cell>
          <cell r="K2659">
            <v>27210</v>
          </cell>
        </row>
        <row r="2660">
          <cell r="A2660" t="str">
            <v>In service</v>
          </cell>
          <cell r="B2660" t="str">
            <v>Gulfstream Aerospace Gulfstream II</v>
          </cell>
          <cell r="C2660" t="str">
            <v>SP</v>
          </cell>
          <cell r="D2660">
            <v>1976</v>
          </cell>
          <cell r="E2660" t="str">
            <v>Worldcom Inc &amp; MFS Communications Co Inc</v>
          </cell>
          <cell r="F2660">
            <v>24</v>
          </cell>
          <cell r="G2660">
            <v>28074</v>
          </cell>
          <cell r="H2660" t="str">
            <v>IISP</v>
          </cell>
          <cell r="I2660" t="str">
            <v>North America</v>
          </cell>
          <cell r="J2660" t="str">
            <v>USA</v>
          </cell>
          <cell r="K2660">
            <v>27575</v>
          </cell>
        </row>
        <row r="2661">
          <cell r="A2661" t="str">
            <v>In service</v>
          </cell>
          <cell r="B2661" t="str">
            <v>Gulfstream Aerospace Gulfstream II</v>
          </cell>
          <cell r="C2661" t="str">
            <v>SP</v>
          </cell>
          <cell r="D2661">
            <v>1976</v>
          </cell>
          <cell r="E2661" t="str">
            <v>Great Buy Inc</v>
          </cell>
          <cell r="F2661">
            <v>24</v>
          </cell>
          <cell r="G2661">
            <v>27947</v>
          </cell>
          <cell r="H2661" t="str">
            <v>IISP</v>
          </cell>
          <cell r="I2661" t="str">
            <v>North America</v>
          </cell>
          <cell r="J2661" t="str">
            <v>USA</v>
          </cell>
        </row>
        <row r="2662">
          <cell r="A2662" t="str">
            <v>In service</v>
          </cell>
          <cell r="B2662" t="str">
            <v>Gulfstream Aerospace Gulfstream II</v>
          </cell>
          <cell r="C2662" t="str">
            <v>SP</v>
          </cell>
          <cell r="D2662">
            <v>1968</v>
          </cell>
          <cell r="E2662" t="str">
            <v>ChanceCarson Inc</v>
          </cell>
          <cell r="F2662">
            <v>32</v>
          </cell>
          <cell r="G2662">
            <v>24992</v>
          </cell>
          <cell r="H2662" t="str">
            <v>IISP</v>
          </cell>
          <cell r="I2662" t="str">
            <v>North America</v>
          </cell>
          <cell r="J2662" t="str">
            <v>USA</v>
          </cell>
          <cell r="K2662">
            <v>24288</v>
          </cell>
        </row>
        <row r="2663">
          <cell r="A2663" t="str">
            <v>In service</v>
          </cell>
          <cell r="B2663" t="str">
            <v>Gulfstream Aerospace Gulfstream II</v>
          </cell>
          <cell r="C2663" t="str">
            <v>SP</v>
          </cell>
          <cell r="D2663">
            <v>1976</v>
          </cell>
          <cell r="E2663" t="str">
            <v>VG Inflight Inc</v>
          </cell>
          <cell r="F2663">
            <v>24</v>
          </cell>
          <cell r="G2663">
            <v>28033</v>
          </cell>
          <cell r="H2663" t="str">
            <v>IISP</v>
          </cell>
          <cell r="I2663" t="str">
            <v>North America</v>
          </cell>
          <cell r="J2663" t="str">
            <v>USA</v>
          </cell>
          <cell r="K2663">
            <v>27575</v>
          </cell>
        </row>
        <row r="2664">
          <cell r="A2664" t="str">
            <v>In service</v>
          </cell>
          <cell r="B2664" t="str">
            <v>Gulfstream Aerospace Gulfstream II</v>
          </cell>
          <cell r="C2664" t="str">
            <v>SP</v>
          </cell>
          <cell r="D2664">
            <v>1976</v>
          </cell>
          <cell r="E2664" t="str">
            <v>Kenair Inc</v>
          </cell>
          <cell r="F2664">
            <v>24</v>
          </cell>
          <cell r="G2664">
            <v>28048</v>
          </cell>
          <cell r="H2664" t="str">
            <v>IISP</v>
          </cell>
          <cell r="I2664" t="str">
            <v>North America</v>
          </cell>
          <cell r="J2664" t="str">
            <v>USA</v>
          </cell>
          <cell r="K2664">
            <v>27575</v>
          </cell>
        </row>
        <row r="2665">
          <cell r="A2665" t="str">
            <v>In service</v>
          </cell>
          <cell r="B2665" t="str">
            <v>Gulfstream Aerospace Gulfstream II</v>
          </cell>
          <cell r="C2665" t="str">
            <v>SP</v>
          </cell>
          <cell r="D2665">
            <v>1976</v>
          </cell>
          <cell r="E2665" t="str">
            <v>Stockwood Inc</v>
          </cell>
          <cell r="F2665">
            <v>24</v>
          </cell>
          <cell r="G2665">
            <v>28069</v>
          </cell>
          <cell r="H2665" t="str">
            <v>IISP</v>
          </cell>
          <cell r="I2665" t="str">
            <v>North America</v>
          </cell>
          <cell r="J2665" t="str">
            <v>USA</v>
          </cell>
          <cell r="K2665">
            <v>27210</v>
          </cell>
        </row>
        <row r="2666">
          <cell r="A2666" t="str">
            <v>In service</v>
          </cell>
          <cell r="B2666" t="str">
            <v>Gulfstream Aerospace Gulfstream II</v>
          </cell>
          <cell r="C2666" t="str">
            <v>SP</v>
          </cell>
          <cell r="D2666">
            <v>1967</v>
          </cell>
          <cell r="E2666" t="str">
            <v>Guild Investments LLC</v>
          </cell>
          <cell r="F2666">
            <v>33</v>
          </cell>
          <cell r="G2666">
            <v>32344</v>
          </cell>
          <cell r="H2666" t="str">
            <v>IISP</v>
          </cell>
          <cell r="I2666" t="str">
            <v>North America</v>
          </cell>
          <cell r="J2666" t="str">
            <v>USA</v>
          </cell>
        </row>
        <row r="2667">
          <cell r="A2667" t="str">
            <v>In service</v>
          </cell>
          <cell r="B2667" t="str">
            <v>Gulfstream Aerospace Gulfstream II</v>
          </cell>
          <cell r="C2667" t="str">
            <v>SP</v>
          </cell>
          <cell r="D2667">
            <v>1977</v>
          </cell>
          <cell r="E2667" t="str">
            <v>Not Yours LLC</v>
          </cell>
          <cell r="F2667">
            <v>23</v>
          </cell>
          <cell r="G2667">
            <v>28430</v>
          </cell>
          <cell r="H2667" t="str">
            <v>IISP</v>
          </cell>
          <cell r="I2667" t="str">
            <v>North America</v>
          </cell>
          <cell r="J2667" t="str">
            <v>USA</v>
          </cell>
          <cell r="K2667">
            <v>27575</v>
          </cell>
        </row>
        <row r="2668">
          <cell r="A2668" t="str">
            <v>In service</v>
          </cell>
          <cell r="B2668" t="str">
            <v>Gulfstream Aerospace Gulfstream II</v>
          </cell>
          <cell r="C2668" t="str">
            <v>SP</v>
          </cell>
          <cell r="D2668">
            <v>1977</v>
          </cell>
          <cell r="E2668" t="str">
            <v>J W Connolly &amp; Shirley B Connolly</v>
          </cell>
          <cell r="F2668">
            <v>23</v>
          </cell>
          <cell r="G2668">
            <v>28706</v>
          </cell>
          <cell r="H2668" t="str">
            <v>IISP</v>
          </cell>
          <cell r="I2668" t="str">
            <v>North America</v>
          </cell>
          <cell r="J2668" t="str">
            <v>USA</v>
          </cell>
          <cell r="K2668">
            <v>28306</v>
          </cell>
        </row>
        <row r="2669">
          <cell r="A2669" t="str">
            <v>In service</v>
          </cell>
          <cell r="B2669" t="str">
            <v>Gulfstream Aerospace Gulfstream II</v>
          </cell>
          <cell r="C2669" t="str">
            <v>SP</v>
          </cell>
          <cell r="D2669">
            <v>1977</v>
          </cell>
          <cell r="E2669" t="str">
            <v>Gulfstream Wings LLC</v>
          </cell>
          <cell r="F2669">
            <v>23</v>
          </cell>
          <cell r="G2669">
            <v>28600</v>
          </cell>
          <cell r="H2669" t="str">
            <v>IISP</v>
          </cell>
          <cell r="I2669" t="str">
            <v>North America</v>
          </cell>
          <cell r="J2669" t="str">
            <v>USA</v>
          </cell>
          <cell r="K2669">
            <v>28306</v>
          </cell>
        </row>
        <row r="2670">
          <cell r="A2670" t="str">
            <v>In service</v>
          </cell>
          <cell r="B2670" t="str">
            <v>Gulfstream Aerospace Gulfstream II</v>
          </cell>
          <cell r="C2670" t="str">
            <v>SP</v>
          </cell>
          <cell r="D2670">
            <v>1977</v>
          </cell>
          <cell r="E2670" t="str">
            <v>ER Aviation LLC</v>
          </cell>
          <cell r="F2670">
            <v>23</v>
          </cell>
          <cell r="G2670">
            <v>28360</v>
          </cell>
          <cell r="H2670" t="str">
            <v>IISP</v>
          </cell>
          <cell r="I2670" t="str">
            <v>North America</v>
          </cell>
          <cell r="J2670" t="str">
            <v>USA</v>
          </cell>
          <cell r="K2670">
            <v>27941</v>
          </cell>
        </row>
        <row r="2671">
          <cell r="A2671" t="str">
            <v>In service</v>
          </cell>
          <cell r="B2671" t="str">
            <v>Gulfstream Aerospace Gulfstream II</v>
          </cell>
          <cell r="C2671" t="str">
            <v>SP</v>
          </cell>
          <cell r="D2671">
            <v>1977</v>
          </cell>
          <cell r="E2671" t="str">
            <v>JI Aviation Inc</v>
          </cell>
          <cell r="F2671">
            <v>23</v>
          </cell>
          <cell r="G2671">
            <v>28454</v>
          </cell>
          <cell r="H2671" t="str">
            <v>IISP</v>
          </cell>
          <cell r="I2671" t="str">
            <v>North America</v>
          </cell>
          <cell r="J2671" t="str">
            <v>USA</v>
          </cell>
          <cell r="K2671">
            <v>27941</v>
          </cell>
        </row>
        <row r="2672">
          <cell r="A2672" t="str">
            <v>In service</v>
          </cell>
          <cell r="B2672" t="str">
            <v>Gulfstream Aerospace Gulfstream II</v>
          </cell>
          <cell r="C2672" t="str">
            <v>SP</v>
          </cell>
          <cell r="D2672">
            <v>1968</v>
          </cell>
          <cell r="E2672" t="str">
            <v>Rutter Aviation LLC</v>
          </cell>
          <cell r="F2672">
            <v>32</v>
          </cell>
          <cell r="G2672">
            <v>25009</v>
          </cell>
          <cell r="H2672" t="str">
            <v>IISP</v>
          </cell>
          <cell r="I2672" t="str">
            <v>North America</v>
          </cell>
          <cell r="J2672" t="str">
            <v>USA</v>
          </cell>
          <cell r="K2672">
            <v>24288</v>
          </cell>
        </row>
        <row r="2673">
          <cell r="A2673" t="str">
            <v>In service</v>
          </cell>
          <cell r="B2673" t="str">
            <v>Gulfstream Aerospace Gulfstream II</v>
          </cell>
          <cell r="C2673" t="str">
            <v>SP</v>
          </cell>
          <cell r="D2673">
            <v>1978</v>
          </cell>
          <cell r="E2673" t="str">
            <v>Harmony Leasing Co LLC</v>
          </cell>
          <cell r="F2673">
            <v>22</v>
          </cell>
          <cell r="G2673">
            <v>28608</v>
          </cell>
          <cell r="H2673" t="str">
            <v>IISP</v>
          </cell>
          <cell r="I2673" t="str">
            <v>North America</v>
          </cell>
          <cell r="J2673" t="str">
            <v>USA</v>
          </cell>
          <cell r="K2673">
            <v>27941</v>
          </cell>
        </row>
        <row r="2674">
          <cell r="A2674" t="str">
            <v>In service</v>
          </cell>
          <cell r="B2674" t="str">
            <v>Gulfstream Aerospace Gulfstream II</v>
          </cell>
          <cell r="C2674" t="str">
            <v>SP</v>
          </cell>
          <cell r="D2674">
            <v>1978</v>
          </cell>
          <cell r="E2674" t="str">
            <v>Lancaster Aviation Inc</v>
          </cell>
          <cell r="F2674">
            <v>22</v>
          </cell>
          <cell r="G2674">
            <v>28630</v>
          </cell>
          <cell r="H2674" t="str">
            <v>IISP</v>
          </cell>
          <cell r="I2674" t="str">
            <v>North America</v>
          </cell>
          <cell r="J2674" t="str">
            <v>USA</v>
          </cell>
          <cell r="K2674">
            <v>27941</v>
          </cell>
        </row>
        <row r="2675">
          <cell r="A2675" t="str">
            <v>In service</v>
          </cell>
          <cell r="B2675" t="str">
            <v>Gulfstream Aerospace Gulfstream II</v>
          </cell>
          <cell r="C2675" t="str">
            <v>SP</v>
          </cell>
          <cell r="D2675">
            <v>1978</v>
          </cell>
          <cell r="E2675" t="str">
            <v>Rollins Leasing LLC</v>
          </cell>
          <cell r="F2675">
            <v>22</v>
          </cell>
          <cell r="G2675">
            <v>29060</v>
          </cell>
          <cell r="H2675" t="str">
            <v>IISP</v>
          </cell>
          <cell r="I2675" t="str">
            <v>North America</v>
          </cell>
          <cell r="J2675" t="str">
            <v>USA</v>
          </cell>
          <cell r="K2675">
            <v>28671</v>
          </cell>
        </row>
        <row r="2676">
          <cell r="A2676" t="str">
            <v>In service</v>
          </cell>
          <cell r="B2676" t="str">
            <v>Gulfstream Aerospace Gulfstream II</v>
          </cell>
          <cell r="C2676" t="str">
            <v>SP</v>
          </cell>
          <cell r="D2676">
            <v>1978</v>
          </cell>
          <cell r="E2676" t="str">
            <v>Relco Resources Inc</v>
          </cell>
          <cell r="F2676">
            <v>22</v>
          </cell>
          <cell r="G2676">
            <v>28717</v>
          </cell>
          <cell r="H2676" t="str">
            <v>IISP</v>
          </cell>
          <cell r="I2676" t="str">
            <v>North America</v>
          </cell>
          <cell r="J2676" t="str">
            <v>USA</v>
          </cell>
          <cell r="K2676">
            <v>27941</v>
          </cell>
        </row>
        <row r="2677">
          <cell r="A2677" t="str">
            <v>In service</v>
          </cell>
          <cell r="B2677" t="str">
            <v>Gulfstream Aerospace Gulfstream II</v>
          </cell>
          <cell r="C2677" t="str">
            <v>SP</v>
          </cell>
          <cell r="D2677">
            <v>1978</v>
          </cell>
          <cell r="E2677" t="str">
            <v>Clay Lacy Aviation</v>
          </cell>
          <cell r="F2677">
            <v>22</v>
          </cell>
          <cell r="G2677">
            <v>28722</v>
          </cell>
          <cell r="H2677" t="str">
            <v>IISP</v>
          </cell>
          <cell r="I2677" t="str">
            <v>North America</v>
          </cell>
          <cell r="J2677" t="str">
            <v>USA</v>
          </cell>
          <cell r="K2677">
            <v>27941</v>
          </cell>
        </row>
        <row r="2678">
          <cell r="A2678" t="str">
            <v>In service</v>
          </cell>
          <cell r="B2678" t="str">
            <v>Gulfstream Aerospace Gulfstream II</v>
          </cell>
          <cell r="C2678" t="str">
            <v>SP</v>
          </cell>
          <cell r="D2678">
            <v>1978</v>
          </cell>
          <cell r="E2678" t="str">
            <v>Willis Stein Advisors LLC</v>
          </cell>
          <cell r="F2678">
            <v>22</v>
          </cell>
          <cell r="G2678">
            <v>28958</v>
          </cell>
          <cell r="H2678" t="str">
            <v>IISP</v>
          </cell>
          <cell r="I2678" t="str">
            <v>North America</v>
          </cell>
          <cell r="J2678" t="str">
            <v>USA</v>
          </cell>
          <cell r="K2678">
            <v>28306</v>
          </cell>
        </row>
        <row r="2679">
          <cell r="A2679" t="str">
            <v>In service</v>
          </cell>
          <cell r="B2679" t="str">
            <v>Gulfstream Aerospace Gulfstream II</v>
          </cell>
          <cell r="C2679" t="str">
            <v>SP</v>
          </cell>
          <cell r="D2679">
            <v>1979</v>
          </cell>
          <cell r="E2679" t="str">
            <v>Viasystems Technologies Corp</v>
          </cell>
          <cell r="F2679">
            <v>21</v>
          </cell>
          <cell r="G2679">
            <v>28901</v>
          </cell>
          <cell r="H2679" t="str">
            <v>IISP</v>
          </cell>
          <cell r="I2679" t="str">
            <v>North America</v>
          </cell>
          <cell r="J2679" t="str">
            <v>USA</v>
          </cell>
        </row>
        <row r="2680">
          <cell r="A2680" t="str">
            <v>In service</v>
          </cell>
          <cell r="B2680" t="str">
            <v>Gulfstream Aerospace Gulfstream II</v>
          </cell>
          <cell r="C2680" t="str">
            <v>SP</v>
          </cell>
          <cell r="D2680">
            <v>1979</v>
          </cell>
          <cell r="E2680" t="str">
            <v>MG-75 Inc</v>
          </cell>
          <cell r="F2680">
            <v>21</v>
          </cell>
          <cell r="G2680">
            <v>29082</v>
          </cell>
          <cell r="H2680" t="str">
            <v>IISP</v>
          </cell>
          <cell r="I2680" t="str">
            <v>North America</v>
          </cell>
          <cell r="J2680" t="str">
            <v>USA</v>
          </cell>
          <cell r="K2680">
            <v>28306</v>
          </cell>
        </row>
        <row r="2681">
          <cell r="A2681" t="str">
            <v>In service</v>
          </cell>
          <cell r="B2681" t="str">
            <v>Gulfstream Aerospace Gulfstream II</v>
          </cell>
          <cell r="C2681" t="str">
            <v>SP</v>
          </cell>
          <cell r="D2681">
            <v>1979</v>
          </cell>
          <cell r="E2681" t="str">
            <v>Chelsea Aviation LP</v>
          </cell>
          <cell r="F2681">
            <v>21</v>
          </cell>
          <cell r="G2681">
            <v>29306</v>
          </cell>
          <cell r="H2681" t="str">
            <v>IISP</v>
          </cell>
          <cell r="I2681" t="str">
            <v>North America</v>
          </cell>
          <cell r="J2681" t="str">
            <v>USA</v>
          </cell>
          <cell r="K2681">
            <v>28671</v>
          </cell>
        </row>
        <row r="2682">
          <cell r="A2682" t="str">
            <v>In service</v>
          </cell>
          <cell r="B2682" t="str">
            <v>Gulfstream Aerospace Gulfstream II</v>
          </cell>
          <cell r="C2682" t="str">
            <v>SP</v>
          </cell>
          <cell r="D2682">
            <v>1979</v>
          </cell>
          <cell r="E2682" t="str">
            <v>Consolidated Oil &amp; Gas</v>
          </cell>
          <cell r="F2682">
            <v>21</v>
          </cell>
          <cell r="G2682">
            <v>29174</v>
          </cell>
          <cell r="H2682" t="str">
            <v>IISP</v>
          </cell>
          <cell r="I2682" t="str">
            <v>North America</v>
          </cell>
          <cell r="J2682" t="str">
            <v>USA</v>
          </cell>
          <cell r="K2682">
            <v>29036</v>
          </cell>
        </row>
        <row r="2683">
          <cell r="A2683" t="str">
            <v>In service</v>
          </cell>
          <cell r="B2683" t="str">
            <v>Gulfstream Aerospace Gulfstream II</v>
          </cell>
          <cell r="C2683" t="str">
            <v>SP</v>
          </cell>
          <cell r="D2683">
            <v>1968</v>
          </cell>
          <cell r="E2683" t="str">
            <v>Hazben Inc</v>
          </cell>
          <cell r="F2683">
            <v>32</v>
          </cell>
          <cell r="G2683">
            <v>25084</v>
          </cell>
          <cell r="H2683" t="str">
            <v>IISP</v>
          </cell>
          <cell r="I2683" t="str">
            <v>North America</v>
          </cell>
          <cell r="J2683" t="str">
            <v>USA</v>
          </cell>
          <cell r="K2683">
            <v>24288</v>
          </cell>
        </row>
        <row r="2684">
          <cell r="A2684" t="str">
            <v>In service</v>
          </cell>
          <cell r="B2684" t="str">
            <v>Gulfstream Aerospace Gulfstream II</v>
          </cell>
          <cell r="C2684" t="str">
            <v>SP</v>
          </cell>
          <cell r="D2684">
            <v>1968</v>
          </cell>
          <cell r="E2684" t="str">
            <v>Hollywood Entertainment Corp</v>
          </cell>
          <cell r="F2684">
            <v>32</v>
          </cell>
          <cell r="G2684">
            <v>25084</v>
          </cell>
          <cell r="H2684" t="str">
            <v>IISP</v>
          </cell>
          <cell r="I2684" t="str">
            <v>North America</v>
          </cell>
          <cell r="J2684" t="str">
            <v>USA</v>
          </cell>
          <cell r="K2684">
            <v>24653</v>
          </cell>
        </row>
        <row r="2685">
          <cell r="A2685" t="str">
            <v>In service</v>
          </cell>
          <cell r="B2685" t="str">
            <v>Gulfstream Aerospace Gulfstream II</v>
          </cell>
          <cell r="C2685" t="str">
            <v>SP</v>
          </cell>
          <cell r="D2685">
            <v>1968</v>
          </cell>
          <cell r="E2685" t="str">
            <v>Bondstone Corp</v>
          </cell>
          <cell r="F2685">
            <v>32</v>
          </cell>
          <cell r="G2685">
            <v>25113</v>
          </cell>
          <cell r="H2685" t="str">
            <v>IISP</v>
          </cell>
          <cell r="I2685" t="str">
            <v>North America</v>
          </cell>
          <cell r="J2685" t="str">
            <v>USA</v>
          </cell>
          <cell r="K2685">
            <v>24288</v>
          </cell>
        </row>
        <row r="2686">
          <cell r="A2686" t="str">
            <v>In service</v>
          </cell>
          <cell r="B2686" t="str">
            <v>Gulfstream Aerospace Gulfstream II</v>
          </cell>
          <cell r="C2686" t="str">
            <v>SP</v>
          </cell>
          <cell r="D2686">
            <v>1968</v>
          </cell>
          <cell r="E2686" t="str">
            <v>FTO Co Inc</v>
          </cell>
          <cell r="F2686">
            <v>32</v>
          </cell>
          <cell r="G2686">
            <v>25153</v>
          </cell>
          <cell r="H2686" t="str">
            <v>IISP</v>
          </cell>
          <cell r="I2686" t="str">
            <v>North America</v>
          </cell>
          <cell r="J2686" t="str">
            <v>USA</v>
          </cell>
          <cell r="K2686">
            <v>24288</v>
          </cell>
        </row>
        <row r="2687">
          <cell r="A2687" t="str">
            <v>In service</v>
          </cell>
          <cell r="B2687" t="str">
            <v>Gulfstream Aerospace Gulfstream II</v>
          </cell>
          <cell r="C2687" t="str">
            <v>SP</v>
          </cell>
          <cell r="D2687">
            <v>1968</v>
          </cell>
          <cell r="E2687" t="str">
            <v>Pennsylvania Marine Services Inc</v>
          </cell>
          <cell r="F2687">
            <v>32</v>
          </cell>
          <cell r="G2687">
            <v>25192</v>
          </cell>
          <cell r="H2687" t="str">
            <v>IISP</v>
          </cell>
          <cell r="I2687" t="str">
            <v>North America</v>
          </cell>
          <cell r="J2687" t="str">
            <v>USA</v>
          </cell>
          <cell r="K2687">
            <v>24288</v>
          </cell>
        </row>
        <row r="2688">
          <cell r="A2688" t="str">
            <v>In service</v>
          </cell>
          <cell r="B2688" t="str">
            <v>Gulfstream Aerospace Gulfstream II</v>
          </cell>
          <cell r="C2688" t="str">
            <v>SP</v>
          </cell>
          <cell r="D2688">
            <v>1969</v>
          </cell>
          <cell r="E2688" t="str">
            <v>Martin Sprocket &amp; Gear Inc</v>
          </cell>
          <cell r="F2688">
            <v>31</v>
          </cell>
          <cell r="G2688">
            <v>25247</v>
          </cell>
          <cell r="H2688" t="str">
            <v>IISP</v>
          </cell>
          <cell r="I2688" t="str">
            <v>North America</v>
          </cell>
          <cell r="J2688" t="str">
            <v>USA</v>
          </cell>
          <cell r="K2688">
            <v>24653</v>
          </cell>
        </row>
        <row r="2689">
          <cell r="A2689" t="str">
            <v>In service</v>
          </cell>
          <cell r="B2689" t="str">
            <v>Gulfstream Aerospace Gulfstream II</v>
          </cell>
          <cell r="C2689" t="str">
            <v>SP</v>
          </cell>
          <cell r="D2689">
            <v>1969</v>
          </cell>
          <cell r="E2689" t="str">
            <v>Robert E Torray &amp; Co</v>
          </cell>
          <cell r="F2689">
            <v>31</v>
          </cell>
          <cell r="G2689">
            <v>25956</v>
          </cell>
          <cell r="H2689" t="str">
            <v>IISP</v>
          </cell>
          <cell r="I2689" t="str">
            <v>North America</v>
          </cell>
          <cell r="J2689" t="str">
            <v>USA</v>
          </cell>
        </row>
        <row r="2690">
          <cell r="A2690" t="str">
            <v>In service</v>
          </cell>
          <cell r="B2690" t="str">
            <v>Gulfstream Aerospace Gulfstream II</v>
          </cell>
          <cell r="C2690" t="str">
            <v>SP</v>
          </cell>
          <cell r="D2690">
            <v>1969</v>
          </cell>
          <cell r="E2690" t="str">
            <v>Hubbard Broadcasting Inc</v>
          </cell>
          <cell r="F2690">
            <v>31</v>
          </cell>
          <cell r="G2690">
            <v>25308</v>
          </cell>
          <cell r="H2690" t="str">
            <v>IISP</v>
          </cell>
          <cell r="I2690" t="str">
            <v>North America</v>
          </cell>
          <cell r="J2690" t="str">
            <v>USA</v>
          </cell>
          <cell r="K2690">
            <v>24653</v>
          </cell>
        </row>
        <row r="2691">
          <cell r="A2691" t="str">
            <v>In service</v>
          </cell>
          <cell r="B2691" t="str">
            <v>Gulfstream Aerospace Gulfstream II</v>
          </cell>
          <cell r="C2691" t="str">
            <v>SP</v>
          </cell>
          <cell r="D2691">
            <v>1969</v>
          </cell>
          <cell r="E2691" t="str">
            <v>Kingdom Harvest International</v>
          </cell>
          <cell r="F2691">
            <v>31</v>
          </cell>
          <cell r="G2691">
            <v>25321</v>
          </cell>
          <cell r="H2691" t="str">
            <v>IISP</v>
          </cell>
          <cell r="I2691" t="str">
            <v>North America</v>
          </cell>
          <cell r="J2691" t="str">
            <v>USA</v>
          </cell>
          <cell r="K2691">
            <v>24653</v>
          </cell>
        </row>
        <row r="2692">
          <cell r="A2692" t="str">
            <v>In service</v>
          </cell>
          <cell r="B2692" t="str">
            <v>Gulfstream Aerospace Gulfstream II</v>
          </cell>
          <cell r="C2692" t="str">
            <v>SP</v>
          </cell>
          <cell r="D2692">
            <v>1969</v>
          </cell>
          <cell r="E2692" t="str">
            <v>Oxy Petroleum Inc</v>
          </cell>
          <cell r="F2692">
            <v>31</v>
          </cell>
          <cell r="G2692">
            <v>25343</v>
          </cell>
          <cell r="H2692" t="str">
            <v>IISP</v>
          </cell>
          <cell r="I2692" t="str">
            <v>North America</v>
          </cell>
          <cell r="J2692" t="str">
            <v>USA</v>
          </cell>
          <cell r="K2692">
            <v>24653</v>
          </cell>
        </row>
        <row r="2693">
          <cell r="A2693" t="str">
            <v>In service</v>
          </cell>
          <cell r="B2693" t="str">
            <v>Gulfstream Aerospace Gulfstream II</v>
          </cell>
          <cell r="C2693" t="str">
            <v>SP</v>
          </cell>
          <cell r="D2693">
            <v>1969</v>
          </cell>
          <cell r="E2693" t="str">
            <v>Hubbard Broadcasting Inc</v>
          </cell>
          <cell r="F2693">
            <v>31</v>
          </cell>
          <cell r="G2693">
            <v>25357</v>
          </cell>
          <cell r="H2693" t="str">
            <v>IISP</v>
          </cell>
          <cell r="I2693" t="str">
            <v>North America</v>
          </cell>
          <cell r="J2693" t="str">
            <v>USA</v>
          </cell>
          <cell r="K2693">
            <v>24653</v>
          </cell>
        </row>
        <row r="2694">
          <cell r="A2694" t="str">
            <v>In service</v>
          </cell>
          <cell r="B2694" t="str">
            <v>Gulfstream Aerospace Gulfstream II</v>
          </cell>
          <cell r="C2694" t="str">
            <v>SP</v>
          </cell>
          <cell r="D2694">
            <v>1969</v>
          </cell>
          <cell r="E2694" t="str">
            <v>The Air Group Inc</v>
          </cell>
          <cell r="F2694">
            <v>31</v>
          </cell>
          <cell r="G2694">
            <v>25381</v>
          </cell>
          <cell r="H2694" t="str">
            <v>IISP</v>
          </cell>
          <cell r="I2694" t="str">
            <v>North America</v>
          </cell>
          <cell r="J2694" t="str">
            <v>USA</v>
          </cell>
          <cell r="K2694">
            <v>24653</v>
          </cell>
        </row>
        <row r="2695">
          <cell r="A2695" t="str">
            <v>In service</v>
          </cell>
          <cell r="B2695" t="str">
            <v>Gulfstream Aerospace Gulfstream II</v>
          </cell>
          <cell r="C2695" t="str">
            <v>SP</v>
          </cell>
          <cell r="D2695">
            <v>1969</v>
          </cell>
          <cell r="E2695" t="str">
            <v>Flightworks</v>
          </cell>
          <cell r="F2695">
            <v>31</v>
          </cell>
          <cell r="G2695">
            <v>25392</v>
          </cell>
          <cell r="H2695" t="str">
            <v>IISP</v>
          </cell>
          <cell r="I2695" t="str">
            <v>North America</v>
          </cell>
          <cell r="J2695" t="str">
            <v>USA</v>
          </cell>
          <cell r="K2695">
            <v>24653</v>
          </cell>
        </row>
        <row r="2696">
          <cell r="A2696" t="str">
            <v>In service</v>
          </cell>
          <cell r="B2696" t="str">
            <v>Gulfstream Aerospace Gulfstream II</v>
          </cell>
          <cell r="C2696" t="str">
            <v>SP</v>
          </cell>
          <cell r="D2696">
            <v>1969</v>
          </cell>
          <cell r="E2696" t="str">
            <v>Jayde Aviation LLC &amp; Regal Aviation LLC</v>
          </cell>
          <cell r="F2696">
            <v>31</v>
          </cell>
          <cell r="G2696">
            <v>25441</v>
          </cell>
          <cell r="H2696" t="str">
            <v>IISP</v>
          </cell>
          <cell r="I2696" t="str">
            <v>North America</v>
          </cell>
          <cell r="J2696" t="str">
            <v>USA</v>
          </cell>
          <cell r="K2696">
            <v>24653</v>
          </cell>
        </row>
        <row r="2697">
          <cell r="A2697" t="str">
            <v>In service</v>
          </cell>
          <cell r="B2697" t="str">
            <v>Gulfstream Aerospace Gulfstream II</v>
          </cell>
          <cell r="C2697" t="str">
            <v>SP</v>
          </cell>
          <cell r="D2697">
            <v>1969</v>
          </cell>
          <cell r="E2697" t="str">
            <v>Scores Inc</v>
          </cell>
          <cell r="F2697">
            <v>31</v>
          </cell>
          <cell r="G2697">
            <v>25474</v>
          </cell>
          <cell r="H2697" t="str">
            <v>IISP</v>
          </cell>
          <cell r="I2697" t="str">
            <v>North America</v>
          </cell>
          <cell r="J2697" t="str">
            <v>USA</v>
          </cell>
          <cell r="K2697">
            <v>25019</v>
          </cell>
        </row>
        <row r="2698">
          <cell r="A2698" t="str">
            <v>In service</v>
          </cell>
          <cell r="B2698" t="str">
            <v>Gulfstream Aerospace Gulfstream II</v>
          </cell>
          <cell r="C2698" t="str">
            <v>SP</v>
          </cell>
          <cell r="D2698">
            <v>1967</v>
          </cell>
          <cell r="E2698" t="str">
            <v>Jet Aviation West Palm Beach</v>
          </cell>
          <cell r="F2698">
            <v>33</v>
          </cell>
          <cell r="G2698">
            <v>24927</v>
          </cell>
          <cell r="H2698" t="str">
            <v>IISP</v>
          </cell>
          <cell r="I2698" t="str">
            <v>North America</v>
          </cell>
          <cell r="J2698" t="str">
            <v>USA</v>
          </cell>
          <cell r="K2698">
            <v>24288</v>
          </cell>
        </row>
        <row r="2699">
          <cell r="A2699" t="str">
            <v>In service</v>
          </cell>
          <cell r="B2699" t="str">
            <v>Gulfstream Aerospace Gulfstream II</v>
          </cell>
          <cell r="C2699" t="str">
            <v>SP</v>
          </cell>
          <cell r="D2699">
            <v>1969</v>
          </cell>
          <cell r="E2699" t="str">
            <v>C &amp; A Aircraft LLC</v>
          </cell>
          <cell r="F2699">
            <v>31</v>
          </cell>
          <cell r="G2699">
            <v>25531</v>
          </cell>
          <cell r="H2699" t="str">
            <v>IISP</v>
          </cell>
          <cell r="I2699" t="str">
            <v>North America</v>
          </cell>
          <cell r="J2699" t="str">
            <v>USA</v>
          </cell>
          <cell r="K2699">
            <v>25019</v>
          </cell>
        </row>
        <row r="2700">
          <cell r="A2700" t="str">
            <v>In service</v>
          </cell>
          <cell r="B2700" t="str">
            <v>Gulfstream Aerospace Gulfstream II</v>
          </cell>
          <cell r="C2700" t="str">
            <v>SP</v>
          </cell>
          <cell r="D2700">
            <v>1969</v>
          </cell>
          <cell r="E2700" t="str">
            <v>Midstate Aviation Corp</v>
          </cell>
          <cell r="F2700">
            <v>31</v>
          </cell>
          <cell r="G2700">
            <v>25549</v>
          </cell>
          <cell r="H2700" t="str">
            <v>IISP</v>
          </cell>
          <cell r="I2700" t="str">
            <v>North America</v>
          </cell>
          <cell r="J2700" t="str">
            <v>USA</v>
          </cell>
          <cell r="K2700">
            <v>25019</v>
          </cell>
        </row>
        <row r="2701">
          <cell r="A2701" t="str">
            <v>In service</v>
          </cell>
          <cell r="B2701" t="str">
            <v>Gulfstream Aerospace Gulfstream II</v>
          </cell>
          <cell r="C2701" t="str">
            <v>SP</v>
          </cell>
          <cell r="D2701">
            <v>1969</v>
          </cell>
          <cell r="E2701" t="str">
            <v>Aviation Company Inc</v>
          </cell>
          <cell r="F2701">
            <v>31</v>
          </cell>
          <cell r="G2701">
            <v>25599</v>
          </cell>
          <cell r="H2701" t="str">
            <v>IISP</v>
          </cell>
          <cell r="I2701" t="str">
            <v>North America</v>
          </cell>
          <cell r="J2701" t="str">
            <v>USA</v>
          </cell>
          <cell r="K2701">
            <v>25019</v>
          </cell>
        </row>
        <row r="2702">
          <cell r="A2702" t="str">
            <v>In service</v>
          </cell>
          <cell r="B2702" t="str">
            <v>Gulfstream Aerospace Gulfstream II</v>
          </cell>
          <cell r="C2702" t="str">
            <v>SP</v>
          </cell>
          <cell r="D2702">
            <v>1967</v>
          </cell>
          <cell r="E2702" t="str">
            <v>Zero Zero Eight Aviation LLC</v>
          </cell>
          <cell r="F2702">
            <v>33</v>
          </cell>
          <cell r="G2702">
            <v>24824</v>
          </cell>
          <cell r="H2702" t="str">
            <v>IISP</v>
          </cell>
          <cell r="I2702" t="str">
            <v>North America</v>
          </cell>
          <cell r="J2702" t="str">
            <v>USA</v>
          </cell>
          <cell r="K2702">
            <v>23923</v>
          </cell>
        </row>
        <row r="2703">
          <cell r="A2703" t="str">
            <v>In service</v>
          </cell>
          <cell r="B2703" t="str">
            <v>Gulfstream Aerospace Gulfstream II</v>
          </cell>
          <cell r="C2703" t="str">
            <v>SP</v>
          </cell>
          <cell r="D2703">
            <v>1970</v>
          </cell>
          <cell r="E2703" t="str">
            <v>DS Advisors Inc</v>
          </cell>
          <cell r="F2703">
            <v>30</v>
          </cell>
          <cell r="G2703">
            <v>25609</v>
          </cell>
          <cell r="H2703" t="str">
            <v>IISP</v>
          </cell>
          <cell r="I2703" t="str">
            <v>North America</v>
          </cell>
          <cell r="J2703" t="str">
            <v>USA</v>
          </cell>
          <cell r="K2703">
            <v>25019</v>
          </cell>
        </row>
        <row r="2704">
          <cell r="A2704" t="str">
            <v>In service</v>
          </cell>
          <cell r="B2704" t="str">
            <v>Gulfstream Aerospace Gulfstream II</v>
          </cell>
          <cell r="C2704" t="str">
            <v>SP</v>
          </cell>
          <cell r="D2704">
            <v>1970</v>
          </cell>
          <cell r="E2704" t="str">
            <v>Constellation Products Inc</v>
          </cell>
          <cell r="F2704">
            <v>30</v>
          </cell>
          <cell r="G2704">
            <v>25616</v>
          </cell>
          <cell r="H2704" t="str">
            <v>IISP</v>
          </cell>
          <cell r="I2704" t="str">
            <v>North America</v>
          </cell>
          <cell r="J2704" t="str">
            <v>USA</v>
          </cell>
          <cell r="K2704">
            <v>25019</v>
          </cell>
        </row>
        <row r="2705">
          <cell r="A2705" t="str">
            <v>In service</v>
          </cell>
          <cell r="B2705" t="str">
            <v>Gulfstream Aerospace Gulfstream II</v>
          </cell>
          <cell r="C2705" t="str">
            <v>SP</v>
          </cell>
          <cell r="D2705">
            <v>1970</v>
          </cell>
          <cell r="E2705" t="str">
            <v>BHM Corp</v>
          </cell>
          <cell r="F2705">
            <v>30</v>
          </cell>
          <cell r="G2705">
            <v>25640</v>
          </cell>
          <cell r="H2705" t="str">
            <v>IISP</v>
          </cell>
          <cell r="I2705" t="str">
            <v>North America</v>
          </cell>
          <cell r="J2705" t="str">
            <v>USA</v>
          </cell>
          <cell r="K2705">
            <v>25019</v>
          </cell>
        </row>
        <row r="2706">
          <cell r="A2706" t="str">
            <v>In service</v>
          </cell>
          <cell r="B2706" t="str">
            <v>Gulfstream Aerospace Gulfstream II</v>
          </cell>
          <cell r="C2706" t="str">
            <v>SP</v>
          </cell>
          <cell r="D2706">
            <v>1970</v>
          </cell>
          <cell r="E2706" t="str">
            <v>Jet Place Inc</v>
          </cell>
          <cell r="F2706">
            <v>30</v>
          </cell>
          <cell r="G2706">
            <v>25688</v>
          </cell>
          <cell r="H2706" t="str">
            <v>IISP</v>
          </cell>
          <cell r="I2706" t="str">
            <v>North America</v>
          </cell>
          <cell r="J2706" t="str">
            <v>USA</v>
          </cell>
          <cell r="K2706">
            <v>25019</v>
          </cell>
        </row>
        <row r="2707">
          <cell r="A2707" t="str">
            <v>In service</v>
          </cell>
          <cell r="B2707" t="str">
            <v>Gulfstream Aerospace Gulfstream II</v>
          </cell>
          <cell r="C2707" t="str">
            <v>SP</v>
          </cell>
          <cell r="D2707">
            <v>1970</v>
          </cell>
          <cell r="E2707" t="str">
            <v>Aero Air LLC</v>
          </cell>
          <cell r="F2707">
            <v>30</v>
          </cell>
          <cell r="G2707">
            <v>25941</v>
          </cell>
          <cell r="H2707" t="str">
            <v>IISP</v>
          </cell>
          <cell r="I2707" t="str">
            <v>North America</v>
          </cell>
          <cell r="J2707" t="str">
            <v>USA</v>
          </cell>
          <cell r="K2707">
            <v>25384</v>
          </cell>
        </row>
        <row r="2708">
          <cell r="A2708" t="str">
            <v>In service</v>
          </cell>
          <cell r="B2708" t="str">
            <v>Gulfstream Aerospace Gulfstream II</v>
          </cell>
          <cell r="C2708" t="str">
            <v>SP</v>
          </cell>
          <cell r="D2708">
            <v>1970</v>
          </cell>
          <cell r="E2708" t="str">
            <v>Cirrus GAS 2 LLC</v>
          </cell>
          <cell r="F2708">
            <v>30</v>
          </cell>
          <cell r="G2708">
            <v>25742</v>
          </cell>
          <cell r="H2708" t="str">
            <v>IISP</v>
          </cell>
          <cell r="I2708" t="str">
            <v>North America</v>
          </cell>
          <cell r="J2708" t="str">
            <v>USA</v>
          </cell>
          <cell r="K2708">
            <v>25019</v>
          </cell>
        </row>
        <row r="2709">
          <cell r="A2709" t="str">
            <v>In service</v>
          </cell>
          <cell r="B2709" t="str">
            <v>Gulfstream Aerospace Gulfstream II</v>
          </cell>
          <cell r="C2709" t="str">
            <v>SP</v>
          </cell>
          <cell r="D2709">
            <v>1970</v>
          </cell>
          <cell r="E2709" t="str">
            <v>Avjet Corp</v>
          </cell>
          <cell r="F2709">
            <v>30</v>
          </cell>
          <cell r="G2709">
            <v>26039</v>
          </cell>
          <cell r="H2709" t="str">
            <v>IISP</v>
          </cell>
          <cell r="I2709" t="str">
            <v>North America</v>
          </cell>
          <cell r="J2709" t="str">
            <v>USA</v>
          </cell>
          <cell r="K2709">
            <v>25384</v>
          </cell>
        </row>
        <row r="2710">
          <cell r="A2710" t="str">
            <v>In service</v>
          </cell>
          <cell r="B2710" t="str">
            <v>Gulfstream Aerospace Gulfstream II</v>
          </cell>
          <cell r="C2710" t="str">
            <v>SP</v>
          </cell>
          <cell r="D2710">
            <v>1970</v>
          </cell>
          <cell r="E2710" t="str">
            <v>Air Lake Lines Inc</v>
          </cell>
          <cell r="F2710">
            <v>30</v>
          </cell>
          <cell r="G2710">
            <v>26214</v>
          </cell>
          <cell r="H2710" t="str">
            <v>IISP</v>
          </cell>
          <cell r="I2710" t="str">
            <v>North America</v>
          </cell>
          <cell r="J2710" t="str">
            <v>USA</v>
          </cell>
          <cell r="K2710">
            <v>25749</v>
          </cell>
        </row>
        <row r="2711">
          <cell r="A2711" t="str">
            <v>In service</v>
          </cell>
          <cell r="B2711" t="str">
            <v>Gulfstream Aerospace Gulfstream II</v>
          </cell>
          <cell r="C2711" t="str">
            <v>SP</v>
          </cell>
          <cell r="D2711">
            <v>1971</v>
          </cell>
          <cell r="E2711" t="str">
            <v>Flightworks</v>
          </cell>
          <cell r="F2711">
            <v>29</v>
          </cell>
          <cell r="G2711">
            <v>26108</v>
          </cell>
          <cell r="H2711" t="str">
            <v>IISP</v>
          </cell>
          <cell r="I2711" t="str">
            <v>North America</v>
          </cell>
          <cell r="J2711" t="str">
            <v>USA</v>
          </cell>
          <cell r="K2711">
            <v>25749</v>
          </cell>
        </row>
        <row r="2712">
          <cell r="A2712" t="str">
            <v>In service</v>
          </cell>
          <cell r="B2712" t="str">
            <v>Gulfstream Aerospace Gulfstream II</v>
          </cell>
          <cell r="C2712" t="str">
            <v>Stage III Hushkit</v>
          </cell>
          <cell r="D2712">
            <v>1978</v>
          </cell>
          <cell r="E2712" t="str">
            <v>Really Quiet LLC</v>
          </cell>
          <cell r="F2712">
            <v>22</v>
          </cell>
          <cell r="G2712">
            <v>29075</v>
          </cell>
          <cell r="I2712" t="str">
            <v>North America</v>
          </cell>
          <cell r="J2712" t="str">
            <v>USA</v>
          </cell>
          <cell r="K2712">
            <v>28671</v>
          </cell>
        </row>
        <row r="2713">
          <cell r="A2713" t="str">
            <v>In service</v>
          </cell>
          <cell r="B2713" t="str">
            <v>Gulfstream Aerospace Gulfstream II</v>
          </cell>
          <cell r="C2713" t="str">
            <v>TT</v>
          </cell>
          <cell r="D2713">
            <v>1975</v>
          </cell>
          <cell r="E2713" t="str">
            <v>Executive Aviation Logistics Inc</v>
          </cell>
          <cell r="F2713">
            <v>25</v>
          </cell>
          <cell r="G2713">
            <v>28887</v>
          </cell>
          <cell r="H2713" t="str">
            <v>IITT</v>
          </cell>
          <cell r="I2713" t="str">
            <v>North America</v>
          </cell>
          <cell r="J2713" t="str">
            <v>USA</v>
          </cell>
        </row>
        <row r="2714">
          <cell r="A2714" t="str">
            <v>In service</v>
          </cell>
          <cell r="B2714" t="str">
            <v>Gulfstream Aerospace Gulfstream II</v>
          </cell>
          <cell r="C2714" t="str">
            <v>TT</v>
          </cell>
          <cell r="D2714">
            <v>1976</v>
          </cell>
          <cell r="E2714" t="str">
            <v>Moroccan Ministry of Defence</v>
          </cell>
          <cell r="F2714">
            <v>24</v>
          </cell>
          <cell r="G2714">
            <v>28228</v>
          </cell>
          <cell r="H2714" t="str">
            <v>IITT</v>
          </cell>
          <cell r="I2714" t="str">
            <v>Africa</v>
          </cell>
          <cell r="J2714" t="str">
            <v>Morocco</v>
          </cell>
        </row>
        <row r="2715">
          <cell r="A2715" t="str">
            <v>In service</v>
          </cell>
          <cell r="B2715" t="str">
            <v>Gulfstream Aerospace Gulfstream II</v>
          </cell>
          <cell r="C2715" t="str">
            <v>TT</v>
          </cell>
          <cell r="D2715">
            <v>1977</v>
          </cell>
          <cell r="E2715" t="str">
            <v>Saudi Arabian Airlines</v>
          </cell>
          <cell r="F2715">
            <v>23</v>
          </cell>
          <cell r="G2715">
            <v>28477</v>
          </cell>
          <cell r="H2715" t="str">
            <v>IITT</v>
          </cell>
          <cell r="I2715" t="str">
            <v>Middle East</v>
          </cell>
          <cell r="J2715" t="str">
            <v>Saudi Arabia</v>
          </cell>
          <cell r="K2715">
            <v>27941</v>
          </cell>
        </row>
        <row r="2716">
          <cell r="A2716" t="str">
            <v>In service</v>
          </cell>
          <cell r="B2716" t="str">
            <v>Gulfstream Aerospace Gulfstream II</v>
          </cell>
          <cell r="C2716" t="str">
            <v>TT</v>
          </cell>
          <cell r="D2716">
            <v>1977</v>
          </cell>
          <cell r="E2716" t="str">
            <v>Government of Bahrain</v>
          </cell>
          <cell r="F2716">
            <v>23</v>
          </cell>
          <cell r="G2716">
            <v>28529</v>
          </cell>
          <cell r="H2716" t="str">
            <v>IITT</v>
          </cell>
          <cell r="I2716" t="str">
            <v>Middle East</v>
          </cell>
          <cell r="J2716" t="str">
            <v>Bahrain</v>
          </cell>
          <cell r="K2716">
            <v>27941</v>
          </cell>
        </row>
        <row r="2717">
          <cell r="A2717" t="str">
            <v>In service</v>
          </cell>
          <cell r="B2717" t="str">
            <v>Gulfstream Aerospace Gulfstream II</v>
          </cell>
          <cell r="C2717" t="str">
            <v>TT</v>
          </cell>
          <cell r="D2717">
            <v>1977</v>
          </cell>
          <cell r="E2717" t="str">
            <v>Saudi Arabian Airlines</v>
          </cell>
          <cell r="F2717">
            <v>23</v>
          </cell>
          <cell r="G2717">
            <v>28487</v>
          </cell>
          <cell r="H2717" t="str">
            <v>IITT</v>
          </cell>
          <cell r="I2717" t="str">
            <v>Middle East</v>
          </cell>
          <cell r="J2717" t="str">
            <v>Saudi Arabia</v>
          </cell>
          <cell r="K2717">
            <v>27941</v>
          </cell>
        </row>
        <row r="2718">
          <cell r="A2718" t="str">
            <v>In service</v>
          </cell>
          <cell r="B2718" t="str">
            <v>Gulfstream Aerospace Gulfstream II</v>
          </cell>
          <cell r="C2718" t="str">
            <v>TT</v>
          </cell>
          <cell r="D2718">
            <v>1977</v>
          </cell>
          <cell r="E2718" t="str">
            <v>Lear 35 LLC</v>
          </cell>
          <cell r="F2718">
            <v>23</v>
          </cell>
          <cell r="G2718">
            <v>28625</v>
          </cell>
          <cell r="H2718" t="str">
            <v>IITT</v>
          </cell>
          <cell r="I2718" t="str">
            <v>North America</v>
          </cell>
          <cell r="J2718" t="str">
            <v>USA</v>
          </cell>
          <cell r="K2718">
            <v>27941</v>
          </cell>
        </row>
        <row r="2719">
          <cell r="A2719" t="str">
            <v>In service</v>
          </cell>
          <cell r="B2719" t="str">
            <v>Gulfstream Aerospace Gulfstream II</v>
          </cell>
          <cell r="C2719" t="str">
            <v>TT</v>
          </cell>
          <cell r="D2719">
            <v>1978</v>
          </cell>
          <cell r="E2719" t="str">
            <v>Harth Trading Establishment</v>
          </cell>
          <cell r="F2719">
            <v>22</v>
          </cell>
          <cell r="G2719">
            <v>28536</v>
          </cell>
          <cell r="H2719" t="str">
            <v>IITT</v>
          </cell>
          <cell r="I2719" t="str">
            <v>Middle East</v>
          </cell>
          <cell r="J2719" t="str">
            <v>Saudi Arabia</v>
          </cell>
          <cell r="K2719">
            <v>28306</v>
          </cell>
        </row>
        <row r="2720">
          <cell r="A2720" t="str">
            <v>In service</v>
          </cell>
          <cell r="B2720" t="str">
            <v>Gulfstream Aerospace Gulfstream II</v>
          </cell>
          <cell r="C2720" t="str">
            <v>TT</v>
          </cell>
          <cell r="D2720">
            <v>1978</v>
          </cell>
          <cell r="E2720" t="str">
            <v>PAM Aviation LLC</v>
          </cell>
          <cell r="F2720">
            <v>22</v>
          </cell>
          <cell r="G2720">
            <v>28778</v>
          </cell>
          <cell r="H2720" t="str">
            <v>IITT</v>
          </cell>
          <cell r="I2720" t="str">
            <v>North America</v>
          </cell>
          <cell r="J2720" t="str">
            <v>USA</v>
          </cell>
          <cell r="K2720">
            <v>27941</v>
          </cell>
        </row>
        <row r="2721">
          <cell r="A2721" t="str">
            <v>In service</v>
          </cell>
          <cell r="B2721" t="str">
            <v>Gulfstream Aerospace Gulfstream II</v>
          </cell>
          <cell r="C2721" t="str">
            <v>TT</v>
          </cell>
          <cell r="D2721">
            <v>1978</v>
          </cell>
          <cell r="E2721" t="str">
            <v>Jet-A-Way Charter LLC</v>
          </cell>
          <cell r="F2721">
            <v>22</v>
          </cell>
          <cell r="G2721">
            <v>28829</v>
          </cell>
          <cell r="H2721" t="str">
            <v>IITT</v>
          </cell>
          <cell r="I2721" t="str">
            <v>North America</v>
          </cell>
          <cell r="J2721" t="str">
            <v>USA</v>
          </cell>
          <cell r="K2721">
            <v>27941</v>
          </cell>
        </row>
        <row r="2722">
          <cell r="A2722" t="str">
            <v>In service</v>
          </cell>
          <cell r="B2722" t="str">
            <v>Gulfstream Aerospace Gulfstream II</v>
          </cell>
          <cell r="C2722" t="str">
            <v>TT</v>
          </cell>
          <cell r="D2722">
            <v>1978</v>
          </cell>
          <cell r="E2722" t="str">
            <v>R&amp;G Aviation LLC</v>
          </cell>
          <cell r="F2722">
            <v>22</v>
          </cell>
          <cell r="G2722">
            <v>29105</v>
          </cell>
          <cell r="H2722" t="str">
            <v>IITT</v>
          </cell>
          <cell r="I2722" t="str">
            <v>North America</v>
          </cell>
          <cell r="J2722" t="str">
            <v>USA</v>
          </cell>
          <cell r="K2722">
            <v>28671</v>
          </cell>
        </row>
        <row r="2723">
          <cell r="A2723" t="str">
            <v>In service</v>
          </cell>
          <cell r="B2723" t="str">
            <v>Gulfstream Aerospace Gulfstream II</v>
          </cell>
          <cell r="C2723" t="str">
            <v>TT</v>
          </cell>
          <cell r="D2723">
            <v>1978</v>
          </cell>
          <cell r="E2723" t="str">
            <v>The Hagadone Corporation</v>
          </cell>
          <cell r="F2723">
            <v>22</v>
          </cell>
          <cell r="G2723">
            <v>28843</v>
          </cell>
          <cell r="H2723" t="str">
            <v>IITT</v>
          </cell>
          <cell r="I2723" t="str">
            <v>North America</v>
          </cell>
          <cell r="J2723" t="str">
            <v>USA</v>
          </cell>
          <cell r="K2723">
            <v>28306</v>
          </cell>
        </row>
        <row r="2724">
          <cell r="A2724" t="str">
            <v>In service</v>
          </cell>
          <cell r="B2724" t="str">
            <v>Gulfstream Aerospace Gulfstream II</v>
          </cell>
          <cell r="C2724" t="str">
            <v>TT</v>
          </cell>
          <cell r="D2724">
            <v>1979</v>
          </cell>
          <cell r="E2724" t="str">
            <v>Haliburton Energy Services Inc</v>
          </cell>
          <cell r="F2724">
            <v>21</v>
          </cell>
          <cell r="G2724">
            <v>28901</v>
          </cell>
          <cell r="H2724" t="str">
            <v>IITT</v>
          </cell>
          <cell r="I2724" t="str">
            <v>North America</v>
          </cell>
          <cell r="J2724" t="str">
            <v>USA</v>
          </cell>
          <cell r="K2724">
            <v>28306</v>
          </cell>
        </row>
        <row r="2725">
          <cell r="A2725" t="str">
            <v>In service</v>
          </cell>
          <cell r="B2725" t="str">
            <v>Gulfstream Aerospace Gulfstream II</v>
          </cell>
          <cell r="C2725" t="str">
            <v>TT</v>
          </cell>
          <cell r="D2725">
            <v>1979</v>
          </cell>
          <cell r="E2725" t="str">
            <v>Saudi Arabian Airlines</v>
          </cell>
          <cell r="F2725">
            <v>21</v>
          </cell>
          <cell r="G2725">
            <v>29246</v>
          </cell>
          <cell r="H2725" t="str">
            <v>IITT</v>
          </cell>
          <cell r="I2725" t="str">
            <v>Middle East</v>
          </cell>
          <cell r="J2725" t="str">
            <v>Saudi Arabia</v>
          </cell>
          <cell r="K2725">
            <v>29036</v>
          </cell>
        </row>
        <row r="2726">
          <cell r="A2726" t="str">
            <v>In service</v>
          </cell>
          <cell r="B2726" t="str">
            <v>Gulfstream Aerospace Gulfstream II</v>
          </cell>
          <cell r="C2726" t="str">
            <v>TT</v>
          </cell>
          <cell r="D2726">
            <v>1979</v>
          </cell>
          <cell r="E2726" t="str">
            <v>Geneva International Ltd</v>
          </cell>
          <cell r="F2726">
            <v>21</v>
          </cell>
          <cell r="G2726">
            <v>29181</v>
          </cell>
          <cell r="H2726" t="str">
            <v>IITT</v>
          </cell>
          <cell r="I2726" t="str">
            <v>North America</v>
          </cell>
          <cell r="J2726" t="str">
            <v>USA</v>
          </cell>
          <cell r="K2726">
            <v>28671</v>
          </cell>
        </row>
        <row r="2727">
          <cell r="A2727" t="str">
            <v>In service</v>
          </cell>
          <cell r="B2727" t="str">
            <v>Gulfstream Aerospace Gulfstream II</v>
          </cell>
          <cell r="C2727" t="str">
            <v>TT</v>
          </cell>
          <cell r="D2727">
            <v>1979</v>
          </cell>
          <cell r="E2727" t="str">
            <v>Eli Lilly International Corp</v>
          </cell>
          <cell r="F2727">
            <v>21</v>
          </cell>
          <cell r="G2727">
            <v>29174</v>
          </cell>
          <cell r="H2727" t="str">
            <v>IITT</v>
          </cell>
          <cell r="I2727" t="str">
            <v>North America</v>
          </cell>
          <cell r="J2727" t="str">
            <v>USA</v>
          </cell>
          <cell r="K2727">
            <v>28306</v>
          </cell>
        </row>
        <row r="2728">
          <cell r="A2728" t="str">
            <v>In service</v>
          </cell>
          <cell r="B2728" t="str">
            <v>Gulfstream Aerospace Gulfstream II</v>
          </cell>
          <cell r="C2728" t="str">
            <v>TT</v>
          </cell>
          <cell r="D2728">
            <v>1969</v>
          </cell>
          <cell r="E2728" t="str">
            <v>KCS Aviation Corp</v>
          </cell>
          <cell r="F2728">
            <v>31</v>
          </cell>
          <cell r="G2728">
            <v>25258</v>
          </cell>
          <cell r="H2728" t="str">
            <v>IITT</v>
          </cell>
          <cell r="I2728" t="str">
            <v>North America</v>
          </cell>
          <cell r="J2728" t="str">
            <v>USA</v>
          </cell>
          <cell r="K2728">
            <v>24653</v>
          </cell>
        </row>
        <row r="2729">
          <cell r="A2729" t="str">
            <v>In service</v>
          </cell>
          <cell r="B2729" t="str">
            <v>Gulfstream Aerospace Gulfstream III</v>
          </cell>
          <cell r="C2729" t="str">
            <v xml:space="preserve"> </v>
          </cell>
          <cell r="D2729">
            <v>1979</v>
          </cell>
          <cell r="E2729" t="str">
            <v>247LG LLC</v>
          </cell>
          <cell r="F2729">
            <v>21</v>
          </cell>
          <cell r="G2729">
            <v>29216</v>
          </cell>
          <cell r="I2729" t="str">
            <v>North America</v>
          </cell>
          <cell r="J2729" t="str">
            <v>USA</v>
          </cell>
          <cell r="K2729">
            <v>28671</v>
          </cell>
        </row>
        <row r="2730">
          <cell r="A2730" t="str">
            <v>In service</v>
          </cell>
          <cell r="B2730" t="str">
            <v>Gulfstream Aerospace Gulfstream III</v>
          </cell>
          <cell r="C2730" t="str">
            <v xml:space="preserve"> </v>
          </cell>
          <cell r="D2730">
            <v>1980</v>
          </cell>
          <cell r="E2730" t="str">
            <v>B H G Flights LLC</v>
          </cell>
          <cell r="F2730">
            <v>20</v>
          </cell>
          <cell r="G2730">
            <v>29591</v>
          </cell>
          <cell r="I2730" t="str">
            <v>North America</v>
          </cell>
          <cell r="J2730" t="str">
            <v>USA</v>
          </cell>
          <cell r="K2730">
            <v>29036</v>
          </cell>
        </row>
        <row r="2731">
          <cell r="A2731" t="str">
            <v>In service</v>
          </cell>
          <cell r="B2731" t="str">
            <v>Gulfstream Aerospace Gulfstream III</v>
          </cell>
          <cell r="C2731" t="str">
            <v xml:space="preserve"> </v>
          </cell>
          <cell r="D2731">
            <v>1980</v>
          </cell>
          <cell r="E2731" t="str">
            <v>Regal Aviation LLC</v>
          </cell>
          <cell r="F2731">
            <v>20</v>
          </cell>
          <cell r="G2731">
            <v>29462</v>
          </cell>
          <cell r="I2731" t="str">
            <v>North America</v>
          </cell>
          <cell r="J2731" t="str">
            <v>USA</v>
          </cell>
          <cell r="K2731">
            <v>29036</v>
          </cell>
        </row>
        <row r="2732">
          <cell r="A2732" t="str">
            <v>In service</v>
          </cell>
          <cell r="B2732" t="str">
            <v>Gulfstream Aerospace Gulfstream III</v>
          </cell>
          <cell r="C2732" t="str">
            <v xml:space="preserve"> </v>
          </cell>
          <cell r="D2732">
            <v>1980</v>
          </cell>
          <cell r="E2732" t="str">
            <v>S T Aviation LLC</v>
          </cell>
          <cell r="F2732">
            <v>20</v>
          </cell>
          <cell r="G2732">
            <v>29361</v>
          </cell>
          <cell r="I2732" t="str">
            <v>North America</v>
          </cell>
          <cell r="J2732" t="str">
            <v>USA</v>
          </cell>
          <cell r="K2732">
            <v>29036</v>
          </cell>
        </row>
        <row r="2733">
          <cell r="A2733" t="str">
            <v>In service</v>
          </cell>
          <cell r="B2733" t="str">
            <v>Gulfstream Aerospace Gulfstream III</v>
          </cell>
          <cell r="C2733" t="str">
            <v xml:space="preserve"> </v>
          </cell>
          <cell r="D2733">
            <v>1980</v>
          </cell>
          <cell r="E2733" t="str">
            <v>Avjet Corp</v>
          </cell>
          <cell r="F2733">
            <v>20</v>
          </cell>
          <cell r="G2733">
            <v>29395</v>
          </cell>
          <cell r="I2733" t="str">
            <v>North America</v>
          </cell>
          <cell r="J2733" t="str">
            <v>USA</v>
          </cell>
          <cell r="K2733">
            <v>28671</v>
          </cell>
        </row>
        <row r="2734">
          <cell r="A2734" t="str">
            <v>In service</v>
          </cell>
          <cell r="B2734" t="str">
            <v>Gulfstream Aerospace Gulfstream III</v>
          </cell>
          <cell r="C2734" t="str">
            <v xml:space="preserve"> </v>
          </cell>
          <cell r="D2734">
            <v>1980</v>
          </cell>
          <cell r="E2734" t="str">
            <v>Tutor-Saliba Corp</v>
          </cell>
          <cell r="F2734">
            <v>20</v>
          </cell>
          <cell r="G2734">
            <v>29395</v>
          </cell>
          <cell r="I2734" t="str">
            <v>North America</v>
          </cell>
          <cell r="J2734" t="str">
            <v>USA</v>
          </cell>
          <cell r="K2734">
            <v>28671</v>
          </cell>
        </row>
        <row r="2735">
          <cell r="A2735" t="str">
            <v>In service</v>
          </cell>
          <cell r="B2735" t="str">
            <v>Gulfstream Aerospace Gulfstream III</v>
          </cell>
          <cell r="C2735" t="str">
            <v xml:space="preserve"> </v>
          </cell>
          <cell r="D2735">
            <v>1980</v>
          </cell>
          <cell r="E2735" t="str">
            <v>JT Aviation Corp</v>
          </cell>
          <cell r="F2735">
            <v>20</v>
          </cell>
          <cell r="G2735">
            <v>29408</v>
          </cell>
          <cell r="I2735" t="str">
            <v>North America</v>
          </cell>
          <cell r="J2735" t="str">
            <v>USA</v>
          </cell>
          <cell r="K2735">
            <v>28671</v>
          </cell>
        </row>
        <row r="2736">
          <cell r="A2736" t="str">
            <v>In service</v>
          </cell>
          <cell r="B2736" t="str">
            <v>Gulfstream Aerospace Gulfstream III</v>
          </cell>
          <cell r="C2736" t="str">
            <v xml:space="preserve"> </v>
          </cell>
          <cell r="D2736">
            <v>1980</v>
          </cell>
          <cell r="E2736" t="str">
            <v>Homedics Inc</v>
          </cell>
          <cell r="F2736">
            <v>20</v>
          </cell>
          <cell r="G2736">
            <v>29438</v>
          </cell>
          <cell r="I2736" t="str">
            <v>North America</v>
          </cell>
          <cell r="J2736" t="str">
            <v>USA</v>
          </cell>
          <cell r="K2736">
            <v>28671</v>
          </cell>
        </row>
        <row r="2737">
          <cell r="A2737" t="str">
            <v>In service</v>
          </cell>
          <cell r="B2737" t="str">
            <v>Gulfstream Aerospace Gulfstream III</v>
          </cell>
          <cell r="C2737" t="str">
            <v xml:space="preserve"> </v>
          </cell>
          <cell r="D2737">
            <v>1980</v>
          </cell>
          <cell r="E2737" t="str">
            <v>Barrick Gold Corp</v>
          </cell>
          <cell r="F2737">
            <v>20</v>
          </cell>
          <cell r="G2737">
            <v>29451</v>
          </cell>
          <cell r="I2737" t="str">
            <v>North America</v>
          </cell>
          <cell r="J2737" t="str">
            <v>Canada</v>
          </cell>
          <cell r="K2737">
            <v>28671</v>
          </cell>
        </row>
        <row r="2738">
          <cell r="A2738" t="str">
            <v>In service</v>
          </cell>
          <cell r="B2738" t="str">
            <v>Gulfstream Aerospace Gulfstream III</v>
          </cell>
          <cell r="C2738" t="str">
            <v xml:space="preserve"> </v>
          </cell>
          <cell r="D2738">
            <v>1980</v>
          </cell>
          <cell r="E2738" t="str">
            <v>Corporate Flight Inc</v>
          </cell>
          <cell r="F2738">
            <v>20</v>
          </cell>
          <cell r="G2738">
            <v>29437</v>
          </cell>
          <cell r="I2738" t="str">
            <v>North America</v>
          </cell>
          <cell r="J2738" t="str">
            <v>USA</v>
          </cell>
          <cell r="K2738">
            <v>28671</v>
          </cell>
        </row>
        <row r="2739">
          <cell r="A2739" t="str">
            <v>In service</v>
          </cell>
          <cell r="B2739" t="str">
            <v>Gulfstream Aerospace Gulfstream III</v>
          </cell>
          <cell r="C2739" t="str">
            <v xml:space="preserve"> </v>
          </cell>
          <cell r="D2739">
            <v>1980</v>
          </cell>
          <cell r="E2739" t="str">
            <v>NASA</v>
          </cell>
          <cell r="F2739">
            <v>20</v>
          </cell>
          <cell r="G2739">
            <v>29481</v>
          </cell>
          <cell r="I2739" t="str">
            <v>North America</v>
          </cell>
          <cell r="J2739" t="str">
            <v>USA</v>
          </cell>
          <cell r="K2739">
            <v>28671</v>
          </cell>
        </row>
        <row r="2740">
          <cell r="A2740" t="str">
            <v>In service</v>
          </cell>
          <cell r="B2740" t="str">
            <v>Gulfstream Aerospace Gulfstream III</v>
          </cell>
          <cell r="C2740" t="str">
            <v xml:space="preserve"> </v>
          </cell>
          <cell r="D2740">
            <v>1980</v>
          </cell>
          <cell r="E2740" t="str">
            <v>Assembly Pointe Aviation</v>
          </cell>
          <cell r="F2740">
            <v>20</v>
          </cell>
          <cell r="G2740">
            <v>29459</v>
          </cell>
          <cell r="I2740" t="str">
            <v>North America</v>
          </cell>
          <cell r="J2740" t="str">
            <v>USA</v>
          </cell>
          <cell r="K2740">
            <v>28671</v>
          </cell>
        </row>
        <row r="2741">
          <cell r="A2741" t="str">
            <v>In service</v>
          </cell>
          <cell r="B2741" t="str">
            <v>Gulfstream Aerospace Gulfstream III</v>
          </cell>
          <cell r="C2741" t="str">
            <v xml:space="preserve"> </v>
          </cell>
          <cell r="D2741">
            <v>1980</v>
          </cell>
          <cell r="E2741" t="str">
            <v>Kevyn LLC</v>
          </cell>
          <cell r="F2741">
            <v>20</v>
          </cell>
          <cell r="G2741">
            <v>29497</v>
          </cell>
          <cell r="I2741" t="str">
            <v>North America</v>
          </cell>
          <cell r="J2741" t="str">
            <v>USA</v>
          </cell>
          <cell r="K2741">
            <v>28306</v>
          </cell>
        </row>
        <row r="2742">
          <cell r="A2742" t="str">
            <v>In service</v>
          </cell>
          <cell r="B2742" t="str">
            <v>Gulfstream Aerospace Gulfstream III</v>
          </cell>
          <cell r="C2742" t="str">
            <v xml:space="preserve"> </v>
          </cell>
          <cell r="D2742">
            <v>1980</v>
          </cell>
          <cell r="E2742" t="str">
            <v>Northwestern Aircraft Capital Corp</v>
          </cell>
          <cell r="F2742">
            <v>20</v>
          </cell>
          <cell r="G2742">
            <v>29514</v>
          </cell>
          <cell r="I2742" t="str">
            <v>North America</v>
          </cell>
          <cell r="J2742" t="str">
            <v>USA</v>
          </cell>
          <cell r="K2742">
            <v>28306</v>
          </cell>
        </row>
        <row r="2743">
          <cell r="A2743" t="str">
            <v>In service</v>
          </cell>
          <cell r="B2743" t="str">
            <v>Gulfstream Aerospace Gulfstream III</v>
          </cell>
          <cell r="C2743" t="str">
            <v xml:space="preserve"> </v>
          </cell>
          <cell r="D2743">
            <v>1980</v>
          </cell>
          <cell r="E2743" t="str">
            <v>Phelps Dodge Corp</v>
          </cell>
          <cell r="F2743">
            <v>20</v>
          </cell>
          <cell r="G2743">
            <v>29570</v>
          </cell>
          <cell r="I2743" t="str">
            <v>North America</v>
          </cell>
          <cell r="J2743" t="str">
            <v>USA</v>
          </cell>
          <cell r="K2743">
            <v>29036</v>
          </cell>
        </row>
        <row r="2744">
          <cell r="A2744" t="str">
            <v>In service</v>
          </cell>
          <cell r="B2744" t="str">
            <v>Gulfstream Aerospace Gulfstream III</v>
          </cell>
          <cell r="C2744" t="str">
            <v xml:space="preserve"> </v>
          </cell>
          <cell r="D2744">
            <v>1980</v>
          </cell>
          <cell r="E2744" t="str">
            <v>Chouest Air Inc</v>
          </cell>
          <cell r="F2744">
            <v>20</v>
          </cell>
          <cell r="G2744">
            <v>29571</v>
          </cell>
          <cell r="I2744" t="str">
            <v>North America</v>
          </cell>
          <cell r="J2744" t="str">
            <v>USA</v>
          </cell>
          <cell r="K2744">
            <v>28671</v>
          </cell>
        </row>
        <row r="2745">
          <cell r="A2745" t="str">
            <v>In service</v>
          </cell>
          <cell r="B2745" t="str">
            <v>Gulfstream Aerospace Gulfstream III</v>
          </cell>
          <cell r="C2745" t="str">
            <v xml:space="preserve"> </v>
          </cell>
          <cell r="D2745">
            <v>1980</v>
          </cell>
          <cell r="E2745" t="str">
            <v>JetAlliance</v>
          </cell>
          <cell r="F2745">
            <v>20</v>
          </cell>
          <cell r="G2745">
            <v>29573</v>
          </cell>
          <cell r="I2745" t="str">
            <v>North America</v>
          </cell>
          <cell r="J2745" t="str">
            <v>USA</v>
          </cell>
          <cell r="K2745">
            <v>28671</v>
          </cell>
        </row>
        <row r="2746">
          <cell r="A2746" t="str">
            <v>In service</v>
          </cell>
          <cell r="B2746" t="str">
            <v>Gulfstream Aerospace Gulfstream III</v>
          </cell>
          <cell r="C2746" t="str">
            <v xml:space="preserve"> </v>
          </cell>
          <cell r="D2746">
            <v>1980</v>
          </cell>
          <cell r="E2746" t="str">
            <v>Dallah Avco</v>
          </cell>
          <cell r="F2746">
            <v>20</v>
          </cell>
          <cell r="G2746">
            <v>29578</v>
          </cell>
          <cell r="I2746" t="str">
            <v>Middle East</v>
          </cell>
          <cell r="J2746" t="str">
            <v>Saudi Arabia</v>
          </cell>
          <cell r="K2746">
            <v>28671</v>
          </cell>
        </row>
        <row r="2747">
          <cell r="A2747" t="str">
            <v>In service</v>
          </cell>
          <cell r="B2747" t="str">
            <v>Gulfstream Aerospace Gulfstream III</v>
          </cell>
          <cell r="C2747" t="str">
            <v xml:space="preserve"> </v>
          </cell>
          <cell r="D2747">
            <v>1980</v>
          </cell>
          <cell r="E2747" t="str">
            <v>Avjet Corp</v>
          </cell>
          <cell r="F2747">
            <v>20</v>
          </cell>
          <cell r="G2747">
            <v>29578</v>
          </cell>
          <cell r="I2747" t="str">
            <v>North America</v>
          </cell>
          <cell r="J2747" t="str">
            <v>USA</v>
          </cell>
          <cell r="K2747">
            <v>28671</v>
          </cell>
        </row>
        <row r="2748">
          <cell r="A2748" t="str">
            <v>In service</v>
          </cell>
          <cell r="B2748" t="str">
            <v>Gulfstream Aerospace Gulfstream III</v>
          </cell>
          <cell r="C2748" t="str">
            <v xml:space="preserve"> </v>
          </cell>
          <cell r="D2748">
            <v>1981</v>
          </cell>
          <cell r="E2748" t="str">
            <v>SK Travel LLC</v>
          </cell>
          <cell r="F2748">
            <v>19</v>
          </cell>
          <cell r="G2748">
            <v>29620</v>
          </cell>
          <cell r="I2748" t="str">
            <v>North America</v>
          </cell>
          <cell r="J2748" t="str">
            <v>USA</v>
          </cell>
          <cell r="K2748">
            <v>29402</v>
          </cell>
        </row>
        <row r="2749">
          <cell r="A2749" t="str">
            <v>In service</v>
          </cell>
          <cell r="B2749" t="str">
            <v>Gulfstream Aerospace Gulfstream III</v>
          </cell>
          <cell r="C2749" t="str">
            <v xml:space="preserve"> </v>
          </cell>
          <cell r="D2749">
            <v>1981</v>
          </cell>
          <cell r="E2749" t="str">
            <v>Ziff Aircraft Services Inc</v>
          </cell>
          <cell r="F2749">
            <v>19</v>
          </cell>
          <cell r="G2749">
            <v>29649</v>
          </cell>
          <cell r="I2749" t="str">
            <v>North America</v>
          </cell>
          <cell r="J2749" t="str">
            <v>USA</v>
          </cell>
          <cell r="K2749">
            <v>29036</v>
          </cell>
        </row>
        <row r="2750">
          <cell r="A2750" t="str">
            <v>In service</v>
          </cell>
          <cell r="B2750" t="str">
            <v>Gulfstream Aerospace Gulfstream III</v>
          </cell>
          <cell r="C2750" t="str">
            <v xml:space="preserve"> </v>
          </cell>
          <cell r="D2750">
            <v>1981</v>
          </cell>
          <cell r="E2750" t="str">
            <v>L&amp;L Manufacturing Co</v>
          </cell>
          <cell r="F2750">
            <v>19</v>
          </cell>
          <cell r="G2750">
            <v>29668</v>
          </cell>
          <cell r="I2750" t="str">
            <v>North America</v>
          </cell>
          <cell r="J2750" t="str">
            <v>USA</v>
          </cell>
          <cell r="K2750">
            <v>29036</v>
          </cell>
        </row>
        <row r="2751">
          <cell r="A2751" t="str">
            <v>In service</v>
          </cell>
          <cell r="B2751" t="str">
            <v>Gulfstream Aerospace Gulfstream III</v>
          </cell>
          <cell r="C2751" t="str">
            <v xml:space="preserve"> </v>
          </cell>
          <cell r="D2751">
            <v>1981</v>
          </cell>
          <cell r="E2751" t="str">
            <v>Jet Aviation Private Fleet LLC</v>
          </cell>
          <cell r="F2751">
            <v>19</v>
          </cell>
          <cell r="G2751">
            <v>29685</v>
          </cell>
          <cell r="I2751" t="str">
            <v>North America</v>
          </cell>
          <cell r="J2751" t="str">
            <v>USA</v>
          </cell>
          <cell r="K2751">
            <v>29402</v>
          </cell>
        </row>
        <row r="2752">
          <cell r="A2752" t="str">
            <v>In service</v>
          </cell>
          <cell r="B2752" t="str">
            <v>Gulfstream Aerospace Gulfstream III</v>
          </cell>
          <cell r="C2752" t="str">
            <v xml:space="preserve"> </v>
          </cell>
          <cell r="D2752">
            <v>1981</v>
          </cell>
          <cell r="E2752" t="str">
            <v>Jets Ejecutivos</v>
          </cell>
          <cell r="F2752">
            <v>19</v>
          </cell>
          <cell r="G2752">
            <v>29710</v>
          </cell>
          <cell r="I2752" t="str">
            <v>Latin America and Caribbean</v>
          </cell>
          <cell r="J2752" t="str">
            <v>Mexico</v>
          </cell>
          <cell r="K2752">
            <v>29036</v>
          </cell>
        </row>
        <row r="2753">
          <cell r="A2753" t="str">
            <v>In service</v>
          </cell>
          <cell r="B2753" t="str">
            <v>Gulfstream Aerospace Gulfstream III</v>
          </cell>
          <cell r="C2753" t="str">
            <v xml:space="preserve"> </v>
          </cell>
          <cell r="D2753">
            <v>1981</v>
          </cell>
          <cell r="E2753" t="str">
            <v>Cityair LLC</v>
          </cell>
          <cell r="F2753">
            <v>19</v>
          </cell>
          <cell r="G2753">
            <v>29730</v>
          </cell>
          <cell r="I2753" t="str">
            <v>North America</v>
          </cell>
          <cell r="J2753" t="str">
            <v>USA</v>
          </cell>
          <cell r="K2753">
            <v>28306</v>
          </cell>
        </row>
        <row r="2754">
          <cell r="A2754" t="str">
            <v>In service</v>
          </cell>
          <cell r="B2754" t="str">
            <v>Gulfstream Aerospace Gulfstream III</v>
          </cell>
          <cell r="C2754" t="str">
            <v xml:space="preserve"> </v>
          </cell>
          <cell r="D2754">
            <v>1981</v>
          </cell>
          <cell r="E2754" t="str">
            <v>N15MM LLC</v>
          </cell>
          <cell r="F2754">
            <v>19</v>
          </cell>
          <cell r="G2754">
            <v>29715</v>
          </cell>
          <cell r="I2754" t="str">
            <v>North America</v>
          </cell>
          <cell r="J2754" t="str">
            <v>USA</v>
          </cell>
          <cell r="K2754">
            <v>29036</v>
          </cell>
        </row>
        <row r="2755">
          <cell r="A2755" t="str">
            <v>In service</v>
          </cell>
          <cell r="B2755" t="str">
            <v>Gulfstream Aerospace Gulfstream III</v>
          </cell>
          <cell r="C2755" t="str">
            <v xml:space="preserve"> </v>
          </cell>
          <cell r="D2755">
            <v>1981</v>
          </cell>
          <cell r="E2755" t="str">
            <v>The Center Service LLC</v>
          </cell>
          <cell r="F2755">
            <v>19</v>
          </cell>
          <cell r="G2755">
            <v>29724</v>
          </cell>
          <cell r="I2755" t="str">
            <v>North America</v>
          </cell>
          <cell r="J2755" t="str">
            <v>USA</v>
          </cell>
          <cell r="K2755">
            <v>29036</v>
          </cell>
        </row>
        <row r="2756">
          <cell r="A2756" t="str">
            <v>In service</v>
          </cell>
          <cell r="B2756" t="str">
            <v>Gulfstream Aerospace Gulfstream III</v>
          </cell>
          <cell r="C2756" t="str">
            <v xml:space="preserve"> </v>
          </cell>
          <cell r="D2756">
            <v>1981</v>
          </cell>
          <cell r="E2756" t="str">
            <v>Presidential Aviation I Inc</v>
          </cell>
          <cell r="F2756">
            <v>19</v>
          </cell>
          <cell r="G2756">
            <v>29769</v>
          </cell>
          <cell r="I2756" t="str">
            <v>North America</v>
          </cell>
          <cell r="J2756" t="str">
            <v>USA</v>
          </cell>
          <cell r="K2756">
            <v>29036</v>
          </cell>
        </row>
        <row r="2757">
          <cell r="A2757" t="str">
            <v>In service</v>
          </cell>
          <cell r="B2757" t="str">
            <v>Gulfstream Aerospace Gulfstream III</v>
          </cell>
          <cell r="C2757" t="str">
            <v xml:space="preserve"> </v>
          </cell>
          <cell r="D2757">
            <v>1981</v>
          </cell>
          <cell r="E2757" t="str">
            <v>Martin Aviation</v>
          </cell>
          <cell r="F2757">
            <v>19</v>
          </cell>
          <cell r="G2757">
            <v>29781</v>
          </cell>
          <cell r="I2757" t="str">
            <v>North America</v>
          </cell>
          <cell r="J2757" t="str">
            <v>USA</v>
          </cell>
          <cell r="K2757">
            <v>29036</v>
          </cell>
        </row>
        <row r="2758">
          <cell r="A2758" t="str">
            <v>In service</v>
          </cell>
          <cell r="B2758" t="str">
            <v>Gulfstream Aerospace Gulfstream III</v>
          </cell>
          <cell r="C2758" t="str">
            <v xml:space="preserve"> </v>
          </cell>
          <cell r="D2758">
            <v>1981</v>
          </cell>
          <cell r="E2758" t="str">
            <v>Golden Bear International</v>
          </cell>
          <cell r="F2758">
            <v>19</v>
          </cell>
          <cell r="G2758">
            <v>29773</v>
          </cell>
          <cell r="I2758" t="str">
            <v>North America</v>
          </cell>
          <cell r="J2758" t="str">
            <v>USA</v>
          </cell>
          <cell r="K2758">
            <v>29036</v>
          </cell>
        </row>
        <row r="2759">
          <cell r="A2759" t="str">
            <v>In service</v>
          </cell>
          <cell r="B2759" t="str">
            <v>Gulfstream Aerospace Gulfstream III</v>
          </cell>
          <cell r="C2759" t="str">
            <v xml:space="preserve"> </v>
          </cell>
          <cell r="D2759">
            <v>1981</v>
          </cell>
          <cell r="E2759" t="str">
            <v>Royal Commission for Jubail &amp; Yanbu</v>
          </cell>
          <cell r="F2759">
            <v>19</v>
          </cell>
          <cell r="G2759">
            <v>29826</v>
          </cell>
          <cell r="I2759" t="str">
            <v>Middle East</v>
          </cell>
          <cell r="J2759" t="str">
            <v>Saudi Arabia</v>
          </cell>
          <cell r="K2759">
            <v>29036</v>
          </cell>
        </row>
        <row r="2760">
          <cell r="A2760" t="str">
            <v>In service</v>
          </cell>
          <cell r="B2760" t="str">
            <v>Gulfstream Aerospace Gulfstream III</v>
          </cell>
          <cell r="C2760" t="str">
            <v xml:space="preserve"> </v>
          </cell>
          <cell r="D2760">
            <v>1981</v>
          </cell>
          <cell r="E2760" t="str">
            <v>Aether Systems Inc</v>
          </cell>
          <cell r="F2760">
            <v>19</v>
          </cell>
          <cell r="G2760">
            <v>29837</v>
          </cell>
          <cell r="I2760" t="str">
            <v>North America</v>
          </cell>
          <cell r="J2760" t="str">
            <v>USA</v>
          </cell>
          <cell r="K2760">
            <v>29036</v>
          </cell>
        </row>
        <row r="2761">
          <cell r="A2761" t="str">
            <v>In service</v>
          </cell>
          <cell r="B2761" t="str">
            <v>Gulfstream Aerospace Gulfstream III</v>
          </cell>
          <cell r="C2761" t="str">
            <v xml:space="preserve"> </v>
          </cell>
          <cell r="D2761">
            <v>1981</v>
          </cell>
          <cell r="E2761" t="str">
            <v>Coca Cola Bottling Co Consolidated</v>
          </cell>
          <cell r="F2761">
            <v>19</v>
          </cell>
          <cell r="G2761">
            <v>29859</v>
          </cell>
          <cell r="I2761" t="str">
            <v>North America</v>
          </cell>
          <cell r="J2761" t="str">
            <v>USA</v>
          </cell>
          <cell r="K2761">
            <v>29036</v>
          </cell>
        </row>
        <row r="2762">
          <cell r="A2762" t="str">
            <v>In service</v>
          </cell>
          <cell r="B2762" t="str">
            <v>Gulfstream Aerospace Gulfstream III</v>
          </cell>
          <cell r="C2762" t="str">
            <v xml:space="preserve"> </v>
          </cell>
          <cell r="D2762">
            <v>1981</v>
          </cell>
          <cell r="E2762" t="str">
            <v>The Air Group Inc</v>
          </cell>
          <cell r="F2762">
            <v>19</v>
          </cell>
          <cell r="G2762">
            <v>29868</v>
          </cell>
          <cell r="I2762" t="str">
            <v>North America</v>
          </cell>
          <cell r="J2762" t="str">
            <v>USA</v>
          </cell>
          <cell r="K2762">
            <v>29402</v>
          </cell>
        </row>
        <row r="2763">
          <cell r="A2763" t="str">
            <v>In service</v>
          </cell>
          <cell r="B2763" t="str">
            <v>Gulfstream Aerospace Gulfstream III</v>
          </cell>
          <cell r="C2763" t="str">
            <v xml:space="preserve"> </v>
          </cell>
          <cell r="D2763">
            <v>1981</v>
          </cell>
          <cell r="E2763" t="str">
            <v>ITT Flight Operations Inc</v>
          </cell>
          <cell r="F2763">
            <v>19</v>
          </cell>
          <cell r="G2763">
            <v>29896</v>
          </cell>
          <cell r="I2763" t="str">
            <v>North America</v>
          </cell>
          <cell r="J2763" t="str">
            <v>USA</v>
          </cell>
          <cell r="K2763">
            <v>29036</v>
          </cell>
        </row>
        <row r="2764">
          <cell r="A2764" t="str">
            <v>In service</v>
          </cell>
          <cell r="B2764" t="str">
            <v>Gulfstream Aerospace Gulfstream III</v>
          </cell>
          <cell r="C2764" t="str">
            <v xml:space="preserve"> </v>
          </cell>
          <cell r="D2764">
            <v>1981</v>
          </cell>
          <cell r="E2764" t="str">
            <v>DX Service Co Inc &amp; DX Aviation Inc</v>
          </cell>
          <cell r="F2764">
            <v>19</v>
          </cell>
          <cell r="G2764">
            <v>29889</v>
          </cell>
          <cell r="I2764" t="str">
            <v>North America</v>
          </cell>
          <cell r="J2764" t="str">
            <v>USA</v>
          </cell>
          <cell r="K2764">
            <v>29036</v>
          </cell>
        </row>
        <row r="2765">
          <cell r="A2765" t="str">
            <v>In service</v>
          </cell>
          <cell r="B2765" t="str">
            <v>Gulfstream Aerospace Gulfstream III</v>
          </cell>
          <cell r="C2765" t="str">
            <v xml:space="preserve"> </v>
          </cell>
          <cell r="D2765">
            <v>1981</v>
          </cell>
          <cell r="E2765" t="str">
            <v>Sentry Aviation Services LLC</v>
          </cell>
          <cell r="F2765">
            <v>19</v>
          </cell>
          <cell r="G2765">
            <v>29902</v>
          </cell>
          <cell r="I2765" t="str">
            <v>North America</v>
          </cell>
          <cell r="J2765" t="str">
            <v>USA</v>
          </cell>
          <cell r="K2765">
            <v>29036</v>
          </cell>
        </row>
        <row r="2766">
          <cell r="A2766" t="str">
            <v>In service</v>
          </cell>
          <cell r="B2766" t="str">
            <v>Gulfstream Aerospace Gulfstream III</v>
          </cell>
          <cell r="C2766" t="str">
            <v xml:space="preserve"> </v>
          </cell>
          <cell r="D2766">
            <v>1981</v>
          </cell>
          <cell r="E2766" t="str">
            <v>Safeway Inc</v>
          </cell>
          <cell r="F2766">
            <v>19</v>
          </cell>
          <cell r="G2766">
            <v>29929</v>
          </cell>
          <cell r="I2766" t="str">
            <v>North America</v>
          </cell>
          <cell r="J2766" t="str">
            <v>USA</v>
          </cell>
          <cell r="K2766">
            <v>29036</v>
          </cell>
        </row>
        <row r="2767">
          <cell r="A2767" t="str">
            <v>In service</v>
          </cell>
          <cell r="B2767" t="str">
            <v>Gulfstream Aerospace Gulfstream III</v>
          </cell>
          <cell r="C2767" t="str">
            <v xml:space="preserve"> </v>
          </cell>
          <cell r="D2767">
            <v>1981</v>
          </cell>
          <cell r="E2767" t="str">
            <v>Salt Aire Associates LLC and Mill Creek Systems LL</v>
          </cell>
          <cell r="F2767">
            <v>19</v>
          </cell>
          <cell r="G2767">
            <v>29933</v>
          </cell>
          <cell r="I2767" t="str">
            <v>North America</v>
          </cell>
          <cell r="J2767" t="str">
            <v>USA</v>
          </cell>
          <cell r="K2767">
            <v>29402</v>
          </cell>
        </row>
        <row r="2768">
          <cell r="A2768" t="str">
            <v>In service</v>
          </cell>
          <cell r="B2768" t="str">
            <v>Gulfstream Aerospace Gulfstream III</v>
          </cell>
          <cell r="C2768" t="str">
            <v xml:space="preserve"> </v>
          </cell>
          <cell r="D2768">
            <v>1981</v>
          </cell>
          <cell r="E2768" t="str">
            <v>Bumi Aviation LLC</v>
          </cell>
          <cell r="F2768">
            <v>19</v>
          </cell>
          <cell r="G2768">
            <v>29950</v>
          </cell>
          <cell r="I2768" t="str">
            <v>North America</v>
          </cell>
          <cell r="J2768" t="str">
            <v>USA</v>
          </cell>
          <cell r="K2768">
            <v>29036</v>
          </cell>
        </row>
        <row r="2769">
          <cell r="A2769" t="str">
            <v>In service</v>
          </cell>
          <cell r="B2769" t="str">
            <v>Gulfstream Aerospace Gulfstream III</v>
          </cell>
          <cell r="C2769" t="str">
            <v xml:space="preserve"> </v>
          </cell>
          <cell r="D2769">
            <v>1981</v>
          </cell>
          <cell r="E2769" t="str">
            <v>Paragon Leasing LLC</v>
          </cell>
          <cell r="F2769">
            <v>19</v>
          </cell>
          <cell r="G2769">
            <v>29943</v>
          </cell>
          <cell r="I2769" t="str">
            <v>North America</v>
          </cell>
          <cell r="J2769" t="str">
            <v>USA</v>
          </cell>
          <cell r="K2769">
            <v>29943</v>
          </cell>
        </row>
        <row r="2770">
          <cell r="A2770" t="str">
            <v>In service</v>
          </cell>
          <cell r="B2770" t="str">
            <v>Gulfstream Aerospace Gulfstream III</v>
          </cell>
          <cell r="C2770" t="str">
            <v xml:space="preserve"> </v>
          </cell>
          <cell r="D2770">
            <v>1981</v>
          </cell>
          <cell r="E2770" t="str">
            <v>Pegasus North Inc</v>
          </cell>
          <cell r="F2770">
            <v>19</v>
          </cell>
          <cell r="G2770">
            <v>29950</v>
          </cell>
          <cell r="I2770" t="str">
            <v>North America</v>
          </cell>
          <cell r="J2770" t="str">
            <v>USA</v>
          </cell>
          <cell r="K2770">
            <v>29036</v>
          </cell>
        </row>
        <row r="2771">
          <cell r="A2771" t="str">
            <v>In service</v>
          </cell>
          <cell r="B2771" t="str">
            <v>Gulfstream Aerospace Gulfstream III</v>
          </cell>
          <cell r="C2771" t="str">
            <v xml:space="preserve"> </v>
          </cell>
          <cell r="D2771">
            <v>1982</v>
          </cell>
          <cell r="E2771" t="str">
            <v>Trans-Exec Air Services Inc</v>
          </cell>
          <cell r="F2771">
            <v>18</v>
          </cell>
          <cell r="G2771">
            <v>29987</v>
          </cell>
          <cell r="I2771" t="str">
            <v>North America</v>
          </cell>
          <cell r="J2771" t="str">
            <v>USA</v>
          </cell>
          <cell r="K2771">
            <v>29402</v>
          </cell>
        </row>
        <row r="2772">
          <cell r="A2772" t="str">
            <v>In service</v>
          </cell>
          <cell r="B2772" t="str">
            <v>Gulfstream Aerospace Gulfstream III</v>
          </cell>
          <cell r="C2772" t="str">
            <v xml:space="preserve"> </v>
          </cell>
          <cell r="D2772">
            <v>1982</v>
          </cell>
          <cell r="E2772" t="str">
            <v>Department of Energy Albuquerque operations Office</v>
          </cell>
          <cell r="F2772">
            <v>18</v>
          </cell>
          <cell r="G2772">
            <v>30002</v>
          </cell>
          <cell r="I2772" t="str">
            <v>North America</v>
          </cell>
          <cell r="J2772" t="str">
            <v>USA</v>
          </cell>
          <cell r="K2772">
            <v>29402</v>
          </cell>
        </row>
        <row r="2773">
          <cell r="A2773" t="str">
            <v>In service</v>
          </cell>
          <cell r="B2773" t="str">
            <v>Gulfstream Aerospace Gulfstream III</v>
          </cell>
          <cell r="C2773" t="str">
            <v xml:space="preserve"> </v>
          </cell>
          <cell r="D2773">
            <v>1982</v>
          </cell>
          <cell r="E2773" t="str">
            <v>Shaw Managed Services Inc</v>
          </cell>
          <cell r="F2773">
            <v>18</v>
          </cell>
          <cell r="G2773">
            <v>30130</v>
          </cell>
          <cell r="I2773" t="str">
            <v>North America</v>
          </cell>
          <cell r="J2773" t="str">
            <v>USA</v>
          </cell>
          <cell r="K2773">
            <v>29767</v>
          </cell>
        </row>
        <row r="2774">
          <cell r="A2774" t="str">
            <v>In service</v>
          </cell>
          <cell r="B2774" t="str">
            <v>Gulfstream Aerospace Gulfstream III</v>
          </cell>
          <cell r="C2774" t="str">
            <v xml:space="preserve"> </v>
          </cell>
          <cell r="D2774">
            <v>1982</v>
          </cell>
          <cell r="E2774" t="str">
            <v>Saudi Oger</v>
          </cell>
          <cell r="F2774">
            <v>18</v>
          </cell>
          <cell r="G2774">
            <v>30035</v>
          </cell>
          <cell r="I2774" t="str">
            <v>Middle East</v>
          </cell>
          <cell r="J2774" t="str">
            <v>Saudi Arabia</v>
          </cell>
          <cell r="K2774">
            <v>29402</v>
          </cell>
        </row>
        <row r="2775">
          <cell r="A2775" t="str">
            <v>In service</v>
          </cell>
          <cell r="B2775" t="str">
            <v>Gulfstream Aerospace Gulfstream III</v>
          </cell>
          <cell r="C2775" t="str">
            <v xml:space="preserve"> </v>
          </cell>
          <cell r="D2775">
            <v>1982</v>
          </cell>
          <cell r="E2775" t="str">
            <v>JT Aviation Corp</v>
          </cell>
          <cell r="F2775">
            <v>18</v>
          </cell>
          <cell r="G2775">
            <v>30050</v>
          </cell>
          <cell r="I2775" t="str">
            <v>North America</v>
          </cell>
          <cell r="J2775" t="str">
            <v>USA</v>
          </cell>
          <cell r="K2775">
            <v>29402</v>
          </cell>
        </row>
        <row r="2776">
          <cell r="A2776" t="str">
            <v>In service</v>
          </cell>
          <cell r="B2776" t="str">
            <v>Gulfstream Aerospace Gulfstream III</v>
          </cell>
          <cell r="C2776" t="str">
            <v xml:space="preserve"> </v>
          </cell>
          <cell r="D2776">
            <v>1982</v>
          </cell>
          <cell r="E2776" t="str">
            <v>From the Heart Church Ministries</v>
          </cell>
          <cell r="F2776">
            <v>18</v>
          </cell>
          <cell r="G2776">
            <v>30050</v>
          </cell>
          <cell r="I2776" t="str">
            <v>North America</v>
          </cell>
          <cell r="J2776" t="str">
            <v>USA</v>
          </cell>
          <cell r="K2776">
            <v>29402</v>
          </cell>
        </row>
        <row r="2777">
          <cell r="A2777" t="str">
            <v>In service</v>
          </cell>
          <cell r="B2777" t="str">
            <v>Gulfstream Aerospace Gulfstream III</v>
          </cell>
          <cell r="C2777" t="str">
            <v xml:space="preserve"> </v>
          </cell>
          <cell r="D2777">
            <v>1982</v>
          </cell>
          <cell r="E2777" t="str">
            <v>Entepreneurial Asset Management LLC</v>
          </cell>
          <cell r="F2777">
            <v>18</v>
          </cell>
          <cell r="G2777">
            <v>30062</v>
          </cell>
          <cell r="I2777" t="str">
            <v>North America</v>
          </cell>
          <cell r="J2777" t="str">
            <v>USA</v>
          </cell>
          <cell r="K2777">
            <v>29402</v>
          </cell>
        </row>
        <row r="2778">
          <cell r="A2778" t="str">
            <v>In service</v>
          </cell>
          <cell r="B2778" t="str">
            <v>Gulfstream Aerospace Gulfstream III</v>
          </cell>
          <cell r="C2778" t="str">
            <v xml:space="preserve"> </v>
          </cell>
          <cell r="D2778">
            <v>1982</v>
          </cell>
          <cell r="E2778" t="str">
            <v>Amerada Hess Corp</v>
          </cell>
          <cell r="F2778">
            <v>18</v>
          </cell>
          <cell r="G2778">
            <v>30072</v>
          </cell>
          <cell r="I2778" t="str">
            <v>North America</v>
          </cell>
          <cell r="J2778" t="str">
            <v>USA</v>
          </cell>
          <cell r="K2778">
            <v>29402</v>
          </cell>
        </row>
        <row r="2779">
          <cell r="A2779" t="str">
            <v>In service</v>
          </cell>
          <cell r="B2779" t="str">
            <v>Gulfstream Aerospace Gulfstream III</v>
          </cell>
          <cell r="C2779" t="str">
            <v xml:space="preserve"> </v>
          </cell>
          <cell r="D2779">
            <v>1982</v>
          </cell>
          <cell r="E2779" t="str">
            <v>Mexican Air Force</v>
          </cell>
          <cell r="F2779">
            <v>18</v>
          </cell>
          <cell r="G2779">
            <v>30089</v>
          </cell>
          <cell r="I2779" t="str">
            <v>Latin America and Caribbean</v>
          </cell>
          <cell r="J2779" t="str">
            <v>Mexico</v>
          </cell>
          <cell r="K2779">
            <v>29402</v>
          </cell>
        </row>
        <row r="2780">
          <cell r="A2780" t="str">
            <v>In service</v>
          </cell>
          <cell r="B2780" t="str">
            <v>Gulfstream Aerospace Gulfstream III</v>
          </cell>
          <cell r="C2780" t="str">
            <v xml:space="preserve"> </v>
          </cell>
          <cell r="D2780">
            <v>1982</v>
          </cell>
          <cell r="E2780" t="str">
            <v>Royal Saudi Arabian Air Force</v>
          </cell>
          <cell r="F2780">
            <v>18</v>
          </cell>
          <cell r="G2780">
            <v>30097</v>
          </cell>
          <cell r="I2780" t="str">
            <v>Middle East</v>
          </cell>
          <cell r="J2780" t="str">
            <v>Saudi Arabia</v>
          </cell>
          <cell r="K2780">
            <v>29402</v>
          </cell>
        </row>
        <row r="2781">
          <cell r="A2781" t="str">
            <v>In service</v>
          </cell>
          <cell r="B2781" t="str">
            <v>Gulfstream Aerospace Gulfstream III</v>
          </cell>
          <cell r="C2781" t="str">
            <v xml:space="preserve"> </v>
          </cell>
          <cell r="D2781">
            <v>1982</v>
          </cell>
          <cell r="E2781" t="str">
            <v>MTF Corp</v>
          </cell>
          <cell r="F2781">
            <v>18</v>
          </cell>
          <cell r="G2781">
            <v>30102</v>
          </cell>
          <cell r="I2781" t="str">
            <v>North America</v>
          </cell>
          <cell r="J2781" t="str">
            <v>USA</v>
          </cell>
          <cell r="K2781">
            <v>29767</v>
          </cell>
        </row>
        <row r="2782">
          <cell r="A2782" t="str">
            <v>In service</v>
          </cell>
          <cell r="B2782" t="str">
            <v>Gulfstream Aerospace Gulfstream III</v>
          </cell>
          <cell r="C2782" t="str">
            <v xml:space="preserve"> </v>
          </cell>
          <cell r="D2782">
            <v>1982</v>
          </cell>
          <cell r="E2782" t="str">
            <v>TransMeridian Aviation LLC</v>
          </cell>
          <cell r="F2782">
            <v>18</v>
          </cell>
          <cell r="G2782">
            <v>30117</v>
          </cell>
          <cell r="I2782" t="str">
            <v>North America</v>
          </cell>
          <cell r="J2782" t="str">
            <v>USA</v>
          </cell>
          <cell r="K2782">
            <v>29402</v>
          </cell>
        </row>
        <row r="2783">
          <cell r="A2783" t="str">
            <v>In service</v>
          </cell>
          <cell r="B2783" t="str">
            <v>Gulfstream Aerospace Gulfstream III</v>
          </cell>
          <cell r="C2783" t="str">
            <v xml:space="preserve"> </v>
          </cell>
          <cell r="D2783">
            <v>1982</v>
          </cell>
          <cell r="E2783" t="str">
            <v>Bridas Energy International Limited</v>
          </cell>
          <cell r="F2783">
            <v>18</v>
          </cell>
          <cell r="G2783">
            <v>30148</v>
          </cell>
          <cell r="I2783" t="str">
            <v>Unknown area</v>
          </cell>
          <cell r="J2783" t="str">
            <v>Unknown Country</v>
          </cell>
          <cell r="K2783">
            <v>29402</v>
          </cell>
        </row>
        <row r="2784">
          <cell r="A2784" t="str">
            <v>In service</v>
          </cell>
          <cell r="B2784" t="str">
            <v>Gulfstream Aerospace Gulfstream III</v>
          </cell>
          <cell r="C2784" t="str">
            <v xml:space="preserve"> </v>
          </cell>
          <cell r="D2784">
            <v>1982</v>
          </cell>
          <cell r="E2784" t="str">
            <v>MGM Grand Inc</v>
          </cell>
          <cell r="F2784">
            <v>18</v>
          </cell>
          <cell r="G2784">
            <v>30818</v>
          </cell>
          <cell r="I2784" t="str">
            <v>North America</v>
          </cell>
          <cell r="J2784" t="str">
            <v>USA</v>
          </cell>
        </row>
        <row r="2785">
          <cell r="A2785" t="str">
            <v>In service</v>
          </cell>
          <cell r="B2785" t="str">
            <v>Gulfstream Aerospace Gulfstream III</v>
          </cell>
          <cell r="C2785" t="str">
            <v xml:space="preserve"> </v>
          </cell>
          <cell r="D2785">
            <v>1982</v>
          </cell>
          <cell r="E2785" t="str">
            <v>International Jet Charter</v>
          </cell>
          <cell r="F2785">
            <v>18</v>
          </cell>
          <cell r="G2785">
            <v>30140</v>
          </cell>
          <cell r="I2785" t="str">
            <v>North America</v>
          </cell>
          <cell r="J2785" t="str">
            <v>USA</v>
          </cell>
          <cell r="K2785">
            <v>29402</v>
          </cell>
        </row>
        <row r="2786">
          <cell r="A2786" t="str">
            <v>In service</v>
          </cell>
          <cell r="B2786" t="str">
            <v>Gulfstream Aerospace Gulfstream III</v>
          </cell>
          <cell r="C2786" t="str">
            <v xml:space="preserve"> </v>
          </cell>
          <cell r="D2786">
            <v>1982</v>
          </cell>
          <cell r="E2786" t="str">
            <v>Aviation Enterprises Inc</v>
          </cell>
          <cell r="F2786">
            <v>18</v>
          </cell>
          <cell r="G2786">
            <v>30159</v>
          </cell>
          <cell r="I2786" t="str">
            <v>North America</v>
          </cell>
          <cell r="J2786" t="str">
            <v>USA</v>
          </cell>
          <cell r="K2786">
            <v>29767</v>
          </cell>
        </row>
        <row r="2787">
          <cell r="A2787" t="str">
            <v>In service</v>
          </cell>
          <cell r="B2787" t="str">
            <v>Gulfstream Aerospace Gulfstream III</v>
          </cell>
          <cell r="C2787" t="str">
            <v xml:space="preserve"> </v>
          </cell>
          <cell r="D2787">
            <v>1982</v>
          </cell>
          <cell r="E2787" t="str">
            <v>Jet Aviation Private Fleet LLC</v>
          </cell>
          <cell r="F2787">
            <v>18</v>
          </cell>
          <cell r="G2787">
            <v>30307</v>
          </cell>
          <cell r="I2787" t="str">
            <v>North America</v>
          </cell>
          <cell r="J2787" t="str">
            <v>USA</v>
          </cell>
          <cell r="K2787">
            <v>29402</v>
          </cell>
        </row>
        <row r="2788">
          <cell r="A2788" t="str">
            <v>In service</v>
          </cell>
          <cell r="B2788" t="str">
            <v>Gulfstream Aerospace Gulfstream III</v>
          </cell>
          <cell r="C2788" t="str">
            <v xml:space="preserve"> </v>
          </cell>
          <cell r="D2788">
            <v>1982</v>
          </cell>
          <cell r="E2788" t="str">
            <v>Anadarko Petroleum Corp</v>
          </cell>
          <cell r="F2788">
            <v>18</v>
          </cell>
          <cell r="G2788">
            <v>30181</v>
          </cell>
          <cell r="I2788" t="str">
            <v>North America</v>
          </cell>
          <cell r="J2788" t="str">
            <v>USA</v>
          </cell>
          <cell r="K2788">
            <v>29767</v>
          </cell>
        </row>
        <row r="2789">
          <cell r="A2789" t="str">
            <v>In service</v>
          </cell>
          <cell r="B2789" t="str">
            <v>Gulfstream Aerospace Gulfstream III</v>
          </cell>
          <cell r="C2789" t="str">
            <v xml:space="preserve"> </v>
          </cell>
          <cell r="D2789">
            <v>1982</v>
          </cell>
          <cell r="E2789" t="str">
            <v>Lazy Lane Farms Inc &amp; Perpetual Corp</v>
          </cell>
          <cell r="F2789">
            <v>18</v>
          </cell>
          <cell r="G2789">
            <v>30189</v>
          </cell>
          <cell r="I2789" t="str">
            <v>North America</v>
          </cell>
          <cell r="J2789" t="str">
            <v>USA</v>
          </cell>
          <cell r="K2789">
            <v>29767</v>
          </cell>
        </row>
        <row r="2790">
          <cell r="A2790" t="str">
            <v>In service</v>
          </cell>
          <cell r="B2790" t="str">
            <v>Gulfstream Aerospace Gulfstream III</v>
          </cell>
          <cell r="C2790" t="str">
            <v xml:space="preserve"> </v>
          </cell>
          <cell r="D2790">
            <v>1982</v>
          </cell>
          <cell r="E2790" t="str">
            <v>Atsinger Aviation LLC</v>
          </cell>
          <cell r="F2790">
            <v>18</v>
          </cell>
          <cell r="G2790">
            <v>30203</v>
          </cell>
          <cell r="I2790" t="str">
            <v>North America</v>
          </cell>
          <cell r="J2790" t="str">
            <v>USA</v>
          </cell>
          <cell r="K2790">
            <v>29402</v>
          </cell>
        </row>
        <row r="2791">
          <cell r="A2791" t="str">
            <v>In service</v>
          </cell>
          <cell r="B2791" t="str">
            <v>Gulfstream Aerospace Gulfstream III</v>
          </cell>
          <cell r="C2791" t="str">
            <v xml:space="preserve"> </v>
          </cell>
          <cell r="D2791">
            <v>1982</v>
          </cell>
          <cell r="E2791" t="str">
            <v>Saudi Arabian Airlines</v>
          </cell>
          <cell r="F2791">
            <v>18</v>
          </cell>
          <cell r="G2791">
            <v>30215</v>
          </cell>
          <cell r="I2791" t="str">
            <v>Middle East</v>
          </cell>
          <cell r="J2791" t="str">
            <v>Saudi Arabia</v>
          </cell>
          <cell r="K2791">
            <v>28306</v>
          </cell>
        </row>
        <row r="2792">
          <cell r="A2792" t="str">
            <v>In service</v>
          </cell>
          <cell r="B2792" t="str">
            <v>Gulfstream Aerospace Gulfstream III</v>
          </cell>
          <cell r="C2792" t="str">
            <v xml:space="preserve"> </v>
          </cell>
          <cell r="D2792">
            <v>1982</v>
          </cell>
          <cell r="E2792" t="str">
            <v>Government of Morocco</v>
          </cell>
          <cell r="F2792">
            <v>18</v>
          </cell>
          <cell r="G2792">
            <v>30227</v>
          </cell>
          <cell r="I2792" t="str">
            <v>Africa</v>
          </cell>
          <cell r="J2792" t="str">
            <v>Morocco</v>
          </cell>
          <cell r="K2792">
            <v>28306</v>
          </cell>
        </row>
        <row r="2793">
          <cell r="A2793" t="str">
            <v>In service</v>
          </cell>
          <cell r="B2793" t="str">
            <v>Gulfstream Aerospace Gulfstream III</v>
          </cell>
          <cell r="C2793" t="str">
            <v xml:space="preserve"> </v>
          </cell>
          <cell r="D2793">
            <v>1982</v>
          </cell>
          <cell r="E2793" t="str">
            <v>JetAlliance</v>
          </cell>
          <cell r="F2793">
            <v>18</v>
          </cell>
          <cell r="G2793">
            <v>30224</v>
          </cell>
          <cell r="I2793" t="str">
            <v>North America</v>
          </cell>
          <cell r="J2793" t="str">
            <v>USA</v>
          </cell>
          <cell r="K2793">
            <v>29402</v>
          </cell>
        </row>
        <row r="2794">
          <cell r="A2794" t="str">
            <v>In service</v>
          </cell>
          <cell r="B2794" t="str">
            <v>Gulfstream Aerospace Gulfstream III</v>
          </cell>
          <cell r="C2794" t="str">
            <v xml:space="preserve"> </v>
          </cell>
          <cell r="D2794">
            <v>1982</v>
          </cell>
          <cell r="E2794" t="str">
            <v>Flo-Sun Aircraft Inc</v>
          </cell>
          <cell r="F2794">
            <v>18</v>
          </cell>
          <cell r="G2794">
            <v>30237</v>
          </cell>
          <cell r="I2794" t="str">
            <v>North America</v>
          </cell>
          <cell r="J2794" t="str">
            <v>USA</v>
          </cell>
          <cell r="K2794">
            <v>29402</v>
          </cell>
        </row>
        <row r="2795">
          <cell r="A2795" t="str">
            <v>In service</v>
          </cell>
          <cell r="B2795" t="str">
            <v>Gulfstream Aerospace Gulfstream III</v>
          </cell>
          <cell r="C2795" t="str">
            <v xml:space="preserve"> </v>
          </cell>
          <cell r="D2795">
            <v>1982</v>
          </cell>
          <cell r="E2795" t="str">
            <v>Chartright Air</v>
          </cell>
          <cell r="F2795">
            <v>18</v>
          </cell>
          <cell r="G2795">
            <v>30242</v>
          </cell>
          <cell r="I2795" t="str">
            <v>North America</v>
          </cell>
          <cell r="J2795" t="str">
            <v>Canada</v>
          </cell>
          <cell r="K2795">
            <v>29767</v>
          </cell>
        </row>
        <row r="2796">
          <cell r="A2796" t="str">
            <v>In service</v>
          </cell>
          <cell r="B2796" t="str">
            <v>Gulfstream Aerospace Gulfstream III</v>
          </cell>
          <cell r="C2796" t="str">
            <v xml:space="preserve"> </v>
          </cell>
          <cell r="D2796">
            <v>1982</v>
          </cell>
          <cell r="E2796" t="str">
            <v>Walter H Shorestein &amp; First Security Bank Trustee</v>
          </cell>
          <cell r="F2796">
            <v>18</v>
          </cell>
          <cell r="G2796">
            <v>30245</v>
          </cell>
          <cell r="I2796" t="str">
            <v>North America</v>
          </cell>
          <cell r="J2796" t="str">
            <v>USA</v>
          </cell>
          <cell r="K2796">
            <v>29402</v>
          </cell>
        </row>
        <row r="2797">
          <cell r="A2797" t="str">
            <v>In service</v>
          </cell>
          <cell r="B2797" t="str">
            <v>Gulfstream Aerospace Gulfstream III</v>
          </cell>
          <cell r="C2797" t="str">
            <v xml:space="preserve"> </v>
          </cell>
          <cell r="D2797">
            <v>1982</v>
          </cell>
          <cell r="E2797" t="str">
            <v>Mainko LLC</v>
          </cell>
          <cell r="F2797">
            <v>18</v>
          </cell>
          <cell r="G2797">
            <v>30257</v>
          </cell>
          <cell r="I2797" t="str">
            <v>North America</v>
          </cell>
          <cell r="J2797" t="str">
            <v>USA</v>
          </cell>
          <cell r="K2797">
            <v>29767</v>
          </cell>
        </row>
        <row r="2798">
          <cell r="A2798" t="str">
            <v>In service</v>
          </cell>
          <cell r="B2798" t="str">
            <v>Gulfstream Aerospace Gulfstream III</v>
          </cell>
          <cell r="C2798" t="str">
            <v xml:space="preserve"> </v>
          </cell>
          <cell r="D2798">
            <v>1982</v>
          </cell>
          <cell r="E2798" t="str">
            <v>Avjet Corp</v>
          </cell>
          <cell r="F2798">
            <v>18</v>
          </cell>
          <cell r="G2798">
            <v>30298</v>
          </cell>
          <cell r="I2798" t="str">
            <v>North America</v>
          </cell>
          <cell r="J2798" t="str">
            <v>USA</v>
          </cell>
          <cell r="K2798">
            <v>29767</v>
          </cell>
        </row>
        <row r="2799">
          <cell r="A2799" t="str">
            <v>In service</v>
          </cell>
          <cell r="B2799" t="str">
            <v>Gulfstream Aerospace Gulfstream III</v>
          </cell>
          <cell r="C2799" t="str">
            <v xml:space="preserve"> </v>
          </cell>
          <cell r="D2799">
            <v>1982</v>
          </cell>
          <cell r="E2799" t="str">
            <v>Keystone Foods Corp</v>
          </cell>
          <cell r="F2799">
            <v>18</v>
          </cell>
          <cell r="G2799">
            <v>30275</v>
          </cell>
          <cell r="I2799" t="str">
            <v>North America</v>
          </cell>
          <cell r="J2799" t="str">
            <v>USA</v>
          </cell>
          <cell r="K2799">
            <v>29767</v>
          </cell>
        </row>
        <row r="2800">
          <cell r="A2800" t="str">
            <v>In service</v>
          </cell>
          <cell r="B2800" t="str">
            <v>Gulfstream Aerospace Gulfstream III</v>
          </cell>
          <cell r="C2800" t="str">
            <v xml:space="preserve"> </v>
          </cell>
          <cell r="D2800">
            <v>1982</v>
          </cell>
          <cell r="E2800" t="str">
            <v>Eugene Air Inc</v>
          </cell>
          <cell r="F2800">
            <v>18</v>
          </cell>
          <cell r="G2800">
            <v>30288</v>
          </cell>
          <cell r="I2800" t="str">
            <v>North America</v>
          </cell>
          <cell r="J2800" t="str">
            <v>USA</v>
          </cell>
          <cell r="K2800">
            <v>29767</v>
          </cell>
        </row>
        <row r="2801">
          <cell r="A2801" t="str">
            <v>In service</v>
          </cell>
          <cell r="B2801" t="str">
            <v>Gulfstream Aerospace Gulfstream III</v>
          </cell>
          <cell r="C2801" t="str">
            <v xml:space="preserve"> </v>
          </cell>
          <cell r="D2801">
            <v>1982</v>
          </cell>
          <cell r="E2801" t="str">
            <v>Parke Aviation Corp</v>
          </cell>
          <cell r="F2801">
            <v>18</v>
          </cell>
          <cell r="G2801">
            <v>30288</v>
          </cell>
          <cell r="I2801" t="str">
            <v>North America</v>
          </cell>
          <cell r="J2801" t="str">
            <v>USA</v>
          </cell>
          <cell r="K2801">
            <v>29767</v>
          </cell>
        </row>
        <row r="2802">
          <cell r="A2802" t="str">
            <v>In service</v>
          </cell>
          <cell r="B2802" t="str">
            <v>Gulfstream Aerospace Gulfstream III</v>
          </cell>
          <cell r="C2802" t="str">
            <v xml:space="preserve"> </v>
          </cell>
          <cell r="D2802">
            <v>1982</v>
          </cell>
          <cell r="E2802" t="str">
            <v>Bonzi Aviation Inc</v>
          </cell>
          <cell r="F2802">
            <v>18</v>
          </cell>
          <cell r="G2802">
            <v>30295</v>
          </cell>
          <cell r="I2802" t="str">
            <v>North America</v>
          </cell>
          <cell r="J2802" t="str">
            <v>USA</v>
          </cell>
          <cell r="K2802">
            <v>29402</v>
          </cell>
        </row>
        <row r="2803">
          <cell r="A2803" t="str">
            <v>In service</v>
          </cell>
          <cell r="B2803" t="str">
            <v>Gulfstream Aerospace Gulfstream III</v>
          </cell>
          <cell r="C2803" t="str">
            <v xml:space="preserve"> </v>
          </cell>
          <cell r="D2803">
            <v>1982</v>
          </cell>
          <cell r="E2803" t="str">
            <v>Northwestern Aircraft Capital Corp</v>
          </cell>
          <cell r="F2803">
            <v>18</v>
          </cell>
          <cell r="G2803">
            <v>30315</v>
          </cell>
          <cell r="I2803" t="str">
            <v>North America</v>
          </cell>
          <cell r="J2803" t="str">
            <v>USA</v>
          </cell>
          <cell r="K2803">
            <v>29402</v>
          </cell>
        </row>
        <row r="2804">
          <cell r="A2804" t="str">
            <v>In service</v>
          </cell>
          <cell r="B2804" t="str">
            <v>Gulfstream Aerospace Gulfstream III</v>
          </cell>
          <cell r="C2804" t="str">
            <v xml:space="preserve"> </v>
          </cell>
          <cell r="D2804">
            <v>1982</v>
          </cell>
          <cell r="E2804" t="str">
            <v>Hoescht Marion Roussel Inc</v>
          </cell>
          <cell r="F2804">
            <v>18</v>
          </cell>
          <cell r="G2804">
            <v>30313</v>
          </cell>
          <cell r="I2804" t="str">
            <v>North America</v>
          </cell>
          <cell r="J2804" t="str">
            <v>USA</v>
          </cell>
          <cell r="K2804">
            <v>29402</v>
          </cell>
        </row>
        <row r="2805">
          <cell r="A2805" t="str">
            <v>In service</v>
          </cell>
          <cell r="B2805" t="str">
            <v>Gulfstream Aerospace Gulfstream III</v>
          </cell>
          <cell r="C2805" t="str">
            <v xml:space="preserve"> </v>
          </cell>
          <cell r="D2805">
            <v>1982</v>
          </cell>
          <cell r="E2805" t="str">
            <v>Automotive Air Charter</v>
          </cell>
          <cell r="F2805">
            <v>18</v>
          </cell>
          <cell r="G2805">
            <v>30313</v>
          </cell>
          <cell r="I2805" t="str">
            <v>North America</v>
          </cell>
          <cell r="J2805" t="str">
            <v>USA</v>
          </cell>
          <cell r="K2805">
            <v>29767</v>
          </cell>
        </row>
        <row r="2806">
          <cell r="A2806" t="str">
            <v>In service</v>
          </cell>
          <cell r="B2806" t="str">
            <v>Gulfstream Aerospace Gulfstream III</v>
          </cell>
          <cell r="C2806" t="str">
            <v xml:space="preserve"> </v>
          </cell>
          <cell r="D2806">
            <v>1982</v>
          </cell>
          <cell r="E2806" t="str">
            <v>Sonoram Charters LLC</v>
          </cell>
          <cell r="F2806">
            <v>18</v>
          </cell>
          <cell r="G2806">
            <v>30337</v>
          </cell>
          <cell r="I2806" t="str">
            <v>North America</v>
          </cell>
          <cell r="J2806" t="str">
            <v>USA</v>
          </cell>
          <cell r="K2806">
            <v>29767</v>
          </cell>
        </row>
        <row r="2807">
          <cell r="A2807" t="str">
            <v>In service</v>
          </cell>
          <cell r="B2807" t="str">
            <v>Gulfstream Aerospace Gulfstream III</v>
          </cell>
          <cell r="C2807" t="str">
            <v xml:space="preserve"> </v>
          </cell>
          <cell r="D2807">
            <v>1983</v>
          </cell>
          <cell r="E2807" t="str">
            <v>LOR Inc</v>
          </cell>
          <cell r="F2807">
            <v>17</v>
          </cell>
          <cell r="G2807">
            <v>30347</v>
          </cell>
          <cell r="I2807" t="str">
            <v>North America</v>
          </cell>
          <cell r="J2807" t="str">
            <v>USA</v>
          </cell>
          <cell r="K2807">
            <v>29767</v>
          </cell>
        </row>
        <row r="2808">
          <cell r="A2808" t="str">
            <v>In service</v>
          </cell>
          <cell r="B2808" t="str">
            <v>Gulfstream Aerospace Gulfstream III</v>
          </cell>
          <cell r="C2808" t="str">
            <v xml:space="preserve"> </v>
          </cell>
          <cell r="D2808">
            <v>1983</v>
          </cell>
          <cell r="E2808" t="str">
            <v>SCS Investments Inc</v>
          </cell>
          <cell r="F2808">
            <v>17</v>
          </cell>
          <cell r="G2808">
            <v>30369</v>
          </cell>
          <cell r="I2808" t="str">
            <v>North America</v>
          </cell>
          <cell r="J2808" t="str">
            <v>USA</v>
          </cell>
          <cell r="K2808">
            <v>29767</v>
          </cell>
        </row>
        <row r="2809">
          <cell r="A2809" t="str">
            <v>In service</v>
          </cell>
          <cell r="B2809" t="str">
            <v>Gulfstream Aerospace Gulfstream III</v>
          </cell>
          <cell r="C2809" t="str">
            <v xml:space="preserve"> </v>
          </cell>
          <cell r="D2809">
            <v>1983</v>
          </cell>
          <cell r="E2809" t="str">
            <v>GSB Aviation (Two) LLC</v>
          </cell>
          <cell r="F2809">
            <v>17</v>
          </cell>
          <cell r="G2809">
            <v>30391</v>
          </cell>
          <cell r="I2809" t="str">
            <v>North America</v>
          </cell>
          <cell r="J2809" t="str">
            <v>USA</v>
          </cell>
          <cell r="K2809">
            <v>29767</v>
          </cell>
        </row>
        <row r="2810">
          <cell r="A2810" t="str">
            <v>In service</v>
          </cell>
          <cell r="B2810" t="str">
            <v>Gulfstream Aerospace Gulfstream III</v>
          </cell>
          <cell r="C2810" t="str">
            <v xml:space="preserve"> </v>
          </cell>
          <cell r="D2810">
            <v>1983</v>
          </cell>
          <cell r="E2810" t="str">
            <v>Saudi Aeromedical Evacuation</v>
          </cell>
          <cell r="F2810">
            <v>17</v>
          </cell>
          <cell r="G2810">
            <v>30431</v>
          </cell>
          <cell r="I2810" t="str">
            <v>Middle East</v>
          </cell>
          <cell r="J2810" t="str">
            <v>Saudi Arabia</v>
          </cell>
          <cell r="K2810">
            <v>29767</v>
          </cell>
        </row>
        <row r="2811">
          <cell r="A2811" t="str">
            <v>In service</v>
          </cell>
          <cell r="B2811" t="str">
            <v>Gulfstream Aerospace Gulfstream III</v>
          </cell>
          <cell r="C2811" t="str">
            <v xml:space="preserve"> </v>
          </cell>
          <cell r="D2811">
            <v>1983</v>
          </cell>
          <cell r="E2811" t="str">
            <v>Mexican Air Force</v>
          </cell>
          <cell r="F2811">
            <v>17</v>
          </cell>
          <cell r="G2811">
            <v>30406</v>
          </cell>
          <cell r="I2811" t="str">
            <v>Latin America and Caribbean</v>
          </cell>
          <cell r="J2811" t="str">
            <v>Mexico</v>
          </cell>
          <cell r="K2811">
            <v>30132</v>
          </cell>
        </row>
        <row r="2812">
          <cell r="A2812" t="str">
            <v>In service</v>
          </cell>
          <cell r="B2812" t="str">
            <v>Gulfstream Aerospace Gulfstream III</v>
          </cell>
          <cell r="C2812" t="str">
            <v xml:space="preserve"> </v>
          </cell>
          <cell r="D2812">
            <v>1983</v>
          </cell>
          <cell r="E2812" t="str">
            <v>Airstar Corp</v>
          </cell>
          <cell r="F2812">
            <v>17</v>
          </cell>
          <cell r="G2812">
            <v>30381</v>
          </cell>
          <cell r="I2812" t="str">
            <v>North America</v>
          </cell>
          <cell r="J2812" t="str">
            <v>USA</v>
          </cell>
          <cell r="K2812">
            <v>29767</v>
          </cell>
        </row>
        <row r="2813">
          <cell r="A2813" t="str">
            <v>In service</v>
          </cell>
          <cell r="B2813" t="str">
            <v>Gulfstream Aerospace Gulfstream III</v>
          </cell>
          <cell r="C2813" t="str">
            <v xml:space="preserve"> </v>
          </cell>
          <cell r="D2813">
            <v>1983</v>
          </cell>
          <cell r="E2813" t="str">
            <v>Continental Aviation Services Inc</v>
          </cell>
          <cell r="F2813">
            <v>17</v>
          </cell>
          <cell r="G2813">
            <v>30418</v>
          </cell>
          <cell r="I2813" t="str">
            <v>North America</v>
          </cell>
          <cell r="J2813" t="str">
            <v>USA</v>
          </cell>
          <cell r="K2813">
            <v>30132</v>
          </cell>
        </row>
        <row r="2814">
          <cell r="A2814" t="str">
            <v>In service</v>
          </cell>
          <cell r="B2814" t="str">
            <v>Gulfstream Aerospace Gulfstream III</v>
          </cell>
          <cell r="C2814" t="str">
            <v xml:space="preserve"> </v>
          </cell>
          <cell r="D2814">
            <v>1983</v>
          </cell>
          <cell r="E2814" t="str">
            <v>Mattei Holdings LLC</v>
          </cell>
          <cell r="F2814">
            <v>17</v>
          </cell>
          <cell r="G2814">
            <v>30409</v>
          </cell>
          <cell r="I2814" t="str">
            <v>North America</v>
          </cell>
          <cell r="J2814" t="str">
            <v>USA</v>
          </cell>
          <cell r="K2814">
            <v>29767</v>
          </cell>
        </row>
        <row r="2815">
          <cell r="A2815" t="str">
            <v>In service</v>
          </cell>
          <cell r="B2815" t="str">
            <v>Gulfstream Aerospace Gulfstream III</v>
          </cell>
          <cell r="C2815" t="str">
            <v xml:space="preserve"> </v>
          </cell>
          <cell r="D2815">
            <v>1983</v>
          </cell>
          <cell r="E2815" t="str">
            <v>Apogee Technologies Inc</v>
          </cell>
          <cell r="F2815">
            <v>17</v>
          </cell>
          <cell r="G2815">
            <v>30467</v>
          </cell>
          <cell r="I2815" t="str">
            <v>North America</v>
          </cell>
          <cell r="J2815" t="str">
            <v>USA</v>
          </cell>
          <cell r="K2815">
            <v>29767</v>
          </cell>
        </row>
        <row r="2816">
          <cell r="A2816" t="str">
            <v>In service</v>
          </cell>
          <cell r="B2816" t="str">
            <v>Gulfstream Aerospace Gulfstream III</v>
          </cell>
          <cell r="C2816" t="str">
            <v xml:space="preserve"> </v>
          </cell>
          <cell r="D2816">
            <v>1983</v>
          </cell>
          <cell r="E2816" t="str">
            <v>Worldcom Inc</v>
          </cell>
          <cell r="F2816">
            <v>17</v>
          </cell>
          <cell r="G2816">
            <v>30467</v>
          </cell>
          <cell r="I2816" t="str">
            <v>North America</v>
          </cell>
          <cell r="J2816" t="str">
            <v>USA</v>
          </cell>
          <cell r="K2816">
            <v>29767</v>
          </cell>
        </row>
        <row r="2817">
          <cell r="A2817" t="str">
            <v>In service</v>
          </cell>
          <cell r="B2817" t="str">
            <v>Gulfstream Aerospace Gulfstream III</v>
          </cell>
          <cell r="C2817" t="str">
            <v xml:space="preserve"> </v>
          </cell>
          <cell r="D2817">
            <v>1983</v>
          </cell>
          <cell r="E2817" t="str">
            <v>Aero Roca SA de CV</v>
          </cell>
          <cell r="F2817">
            <v>17</v>
          </cell>
          <cell r="G2817">
            <v>30497</v>
          </cell>
          <cell r="I2817" t="str">
            <v>Latin America and Caribbean</v>
          </cell>
          <cell r="J2817" t="str">
            <v>Mexico</v>
          </cell>
          <cell r="K2817">
            <v>29767</v>
          </cell>
        </row>
        <row r="2818">
          <cell r="A2818" t="str">
            <v>In service</v>
          </cell>
          <cell r="B2818" t="str">
            <v>Gulfstream Aerospace Gulfstream III</v>
          </cell>
          <cell r="C2818" t="str">
            <v xml:space="preserve"> </v>
          </cell>
          <cell r="D2818">
            <v>1983</v>
          </cell>
          <cell r="E2818" t="str">
            <v>Nexxus Products</v>
          </cell>
          <cell r="F2818">
            <v>17</v>
          </cell>
          <cell r="G2818">
            <v>30589</v>
          </cell>
          <cell r="I2818" t="str">
            <v>North America</v>
          </cell>
          <cell r="J2818" t="str">
            <v>USA</v>
          </cell>
          <cell r="K2818">
            <v>29767</v>
          </cell>
        </row>
        <row r="2819">
          <cell r="A2819" t="str">
            <v>In service</v>
          </cell>
          <cell r="B2819" t="str">
            <v>Gulfstream Aerospace Gulfstream III</v>
          </cell>
          <cell r="C2819" t="str">
            <v xml:space="preserve"> </v>
          </cell>
          <cell r="D2819">
            <v>1983</v>
          </cell>
          <cell r="E2819" t="str">
            <v>Northwestern Aircraft Capital Corp</v>
          </cell>
          <cell r="F2819">
            <v>17</v>
          </cell>
          <cell r="G2819">
            <v>30497</v>
          </cell>
          <cell r="I2819" t="str">
            <v>North America</v>
          </cell>
          <cell r="J2819" t="str">
            <v>USA</v>
          </cell>
          <cell r="K2819">
            <v>29767</v>
          </cell>
        </row>
        <row r="2820">
          <cell r="A2820" t="str">
            <v>In service</v>
          </cell>
          <cell r="B2820" t="str">
            <v>Gulfstream Aerospace Gulfstream III</v>
          </cell>
          <cell r="C2820" t="str">
            <v xml:space="preserve"> </v>
          </cell>
          <cell r="D2820">
            <v>1983</v>
          </cell>
          <cell r="E2820" t="str">
            <v>Bentley Aviation LLC</v>
          </cell>
          <cell r="F2820">
            <v>17</v>
          </cell>
          <cell r="G2820">
            <v>30497</v>
          </cell>
          <cell r="I2820" t="str">
            <v>North America</v>
          </cell>
          <cell r="J2820" t="str">
            <v>USA</v>
          </cell>
          <cell r="K2820">
            <v>29767</v>
          </cell>
        </row>
        <row r="2821">
          <cell r="A2821" t="str">
            <v>In service</v>
          </cell>
          <cell r="B2821" t="str">
            <v>Gulfstream Aerospace Gulfstream III</v>
          </cell>
          <cell r="C2821" t="str">
            <v xml:space="preserve"> </v>
          </cell>
          <cell r="D2821">
            <v>1983</v>
          </cell>
          <cell r="E2821" t="str">
            <v>General Instrument Services Inc</v>
          </cell>
          <cell r="F2821">
            <v>17</v>
          </cell>
          <cell r="G2821">
            <v>30528</v>
          </cell>
          <cell r="I2821" t="str">
            <v>North America</v>
          </cell>
          <cell r="J2821" t="str">
            <v>USA</v>
          </cell>
          <cell r="K2821">
            <v>30132</v>
          </cell>
        </row>
        <row r="2822">
          <cell r="A2822" t="str">
            <v>In service</v>
          </cell>
          <cell r="B2822" t="str">
            <v>Gulfstream Aerospace Gulfstream III</v>
          </cell>
          <cell r="C2822" t="str">
            <v xml:space="preserve"> </v>
          </cell>
          <cell r="D2822">
            <v>1983</v>
          </cell>
          <cell r="E2822" t="str">
            <v>Crescent Ridge Aviation Inc</v>
          </cell>
          <cell r="F2822">
            <v>17</v>
          </cell>
          <cell r="G2822">
            <v>30528</v>
          </cell>
          <cell r="I2822" t="str">
            <v>North America</v>
          </cell>
          <cell r="J2822" t="str">
            <v>USA</v>
          </cell>
          <cell r="K2822">
            <v>30132</v>
          </cell>
        </row>
        <row r="2823">
          <cell r="A2823" t="str">
            <v>In service</v>
          </cell>
          <cell r="B2823" t="str">
            <v>Gulfstream Aerospace Gulfstream III</v>
          </cell>
          <cell r="C2823" t="str">
            <v xml:space="preserve"> </v>
          </cell>
          <cell r="D2823">
            <v>1983</v>
          </cell>
          <cell r="E2823" t="str">
            <v>Nu Skin USA Inc</v>
          </cell>
          <cell r="F2823">
            <v>17</v>
          </cell>
          <cell r="G2823">
            <v>30559</v>
          </cell>
          <cell r="I2823" t="str">
            <v>North America</v>
          </cell>
          <cell r="J2823" t="str">
            <v>USA</v>
          </cell>
          <cell r="K2823">
            <v>29767</v>
          </cell>
        </row>
        <row r="2824">
          <cell r="A2824" t="str">
            <v>In service</v>
          </cell>
          <cell r="B2824" t="str">
            <v>Gulfstream Aerospace Gulfstream III</v>
          </cell>
          <cell r="C2824" t="str">
            <v xml:space="preserve"> </v>
          </cell>
          <cell r="D2824">
            <v>1983</v>
          </cell>
          <cell r="E2824" t="str">
            <v>Venezuelan Air Force</v>
          </cell>
          <cell r="F2824">
            <v>17</v>
          </cell>
          <cell r="G2824">
            <v>30559</v>
          </cell>
          <cell r="I2824" t="str">
            <v>Latin America and Caribbean</v>
          </cell>
          <cell r="J2824" t="str">
            <v>Venezuela</v>
          </cell>
          <cell r="K2824">
            <v>29767</v>
          </cell>
        </row>
        <row r="2825">
          <cell r="A2825" t="str">
            <v>In service</v>
          </cell>
          <cell r="B2825" t="str">
            <v>Gulfstream Aerospace Gulfstream III</v>
          </cell>
          <cell r="C2825" t="str">
            <v xml:space="preserve"> </v>
          </cell>
          <cell r="D2825">
            <v>1983</v>
          </cell>
          <cell r="E2825" t="str">
            <v>JGL Aviation LLC</v>
          </cell>
          <cell r="F2825">
            <v>17</v>
          </cell>
          <cell r="G2825">
            <v>30559</v>
          </cell>
          <cell r="I2825" t="str">
            <v>North America</v>
          </cell>
          <cell r="J2825" t="str">
            <v>USA</v>
          </cell>
          <cell r="K2825">
            <v>30132</v>
          </cell>
        </row>
        <row r="2826">
          <cell r="A2826" t="str">
            <v>In service</v>
          </cell>
          <cell r="B2826" t="str">
            <v>Gulfstream Aerospace Gulfstream III</v>
          </cell>
          <cell r="C2826" t="str">
            <v xml:space="preserve"> </v>
          </cell>
          <cell r="D2826">
            <v>1983</v>
          </cell>
          <cell r="E2826" t="str">
            <v>Servicios Aereos Norte Sur SA</v>
          </cell>
          <cell r="F2826">
            <v>17</v>
          </cell>
          <cell r="G2826">
            <v>30589</v>
          </cell>
          <cell r="I2826" t="str">
            <v>Latin America and Caribbean</v>
          </cell>
          <cell r="J2826" t="str">
            <v>Mexico</v>
          </cell>
          <cell r="K2826">
            <v>29767</v>
          </cell>
        </row>
        <row r="2827">
          <cell r="A2827" t="str">
            <v>In service</v>
          </cell>
          <cell r="B2827" t="str">
            <v>Gulfstream Aerospace Gulfstream III</v>
          </cell>
          <cell r="C2827" t="str">
            <v xml:space="preserve"> </v>
          </cell>
          <cell r="D2827">
            <v>1983</v>
          </cell>
          <cell r="E2827" t="str">
            <v>Jet Star LLC</v>
          </cell>
          <cell r="F2827">
            <v>17</v>
          </cell>
          <cell r="G2827">
            <v>30589</v>
          </cell>
          <cell r="I2827" t="str">
            <v>North America</v>
          </cell>
          <cell r="J2827" t="str">
            <v>USA</v>
          </cell>
          <cell r="K2827">
            <v>30132</v>
          </cell>
        </row>
        <row r="2828">
          <cell r="A2828" t="str">
            <v>In service</v>
          </cell>
          <cell r="B2828" t="str">
            <v>Gulfstream Aerospace Gulfstream III</v>
          </cell>
          <cell r="C2828" t="str">
            <v xml:space="preserve"> </v>
          </cell>
          <cell r="D2828">
            <v>1983</v>
          </cell>
          <cell r="E2828" t="str">
            <v>VCO Ltd</v>
          </cell>
          <cell r="F2828">
            <v>17</v>
          </cell>
          <cell r="G2828">
            <v>30589</v>
          </cell>
          <cell r="I2828" t="str">
            <v>Latin America and Caribbean</v>
          </cell>
          <cell r="J2828" t="str">
            <v>Virgin Islands (US)</v>
          </cell>
          <cell r="K2828">
            <v>29767</v>
          </cell>
        </row>
        <row r="2829">
          <cell r="A2829" t="str">
            <v>In service</v>
          </cell>
          <cell r="B2829" t="str">
            <v>Gulfstream Aerospace Gulfstream III</v>
          </cell>
          <cell r="C2829" t="str">
            <v xml:space="preserve"> </v>
          </cell>
          <cell r="D2829">
            <v>1983</v>
          </cell>
          <cell r="E2829" t="str">
            <v>United States Steel Corp</v>
          </cell>
          <cell r="F2829">
            <v>17</v>
          </cell>
          <cell r="G2829">
            <v>30620</v>
          </cell>
          <cell r="I2829" t="str">
            <v>North America</v>
          </cell>
          <cell r="J2829" t="str">
            <v>USA</v>
          </cell>
          <cell r="K2829">
            <v>29767</v>
          </cell>
        </row>
        <row r="2830">
          <cell r="A2830" t="str">
            <v>In service</v>
          </cell>
          <cell r="B2830" t="str">
            <v>Gulfstream Aerospace Gulfstream III</v>
          </cell>
          <cell r="C2830" t="str">
            <v xml:space="preserve"> </v>
          </cell>
          <cell r="D2830">
            <v>1983</v>
          </cell>
          <cell r="E2830" t="str">
            <v>Mary Kay Inc</v>
          </cell>
          <cell r="F2830">
            <v>17</v>
          </cell>
          <cell r="G2830">
            <v>30620</v>
          </cell>
          <cell r="I2830" t="str">
            <v>North America</v>
          </cell>
          <cell r="J2830" t="str">
            <v>USA</v>
          </cell>
          <cell r="K2830">
            <v>30132</v>
          </cell>
        </row>
        <row r="2831">
          <cell r="A2831" t="str">
            <v>In service</v>
          </cell>
          <cell r="B2831" t="str">
            <v>Gulfstream Aerospace Gulfstream III</v>
          </cell>
          <cell r="C2831" t="str">
            <v xml:space="preserve"> </v>
          </cell>
          <cell r="D2831">
            <v>1983</v>
          </cell>
          <cell r="E2831" t="str">
            <v>Presidential Aviation I Inc</v>
          </cell>
          <cell r="F2831">
            <v>17</v>
          </cell>
          <cell r="G2831">
            <v>30650</v>
          </cell>
          <cell r="I2831" t="str">
            <v>North America</v>
          </cell>
          <cell r="J2831" t="str">
            <v>USA</v>
          </cell>
          <cell r="K2831">
            <v>30132</v>
          </cell>
        </row>
        <row r="2832">
          <cell r="A2832" t="str">
            <v>In service</v>
          </cell>
          <cell r="B2832" t="str">
            <v>Gulfstream Aerospace Gulfstream III</v>
          </cell>
          <cell r="C2832" t="str">
            <v xml:space="preserve"> </v>
          </cell>
          <cell r="D2832">
            <v>1983</v>
          </cell>
          <cell r="E2832" t="str">
            <v>Saudi Arabian Airlines</v>
          </cell>
          <cell r="F2832">
            <v>17</v>
          </cell>
          <cell r="G2832">
            <v>30650</v>
          </cell>
          <cell r="I2832" t="str">
            <v>Middle East</v>
          </cell>
          <cell r="J2832" t="str">
            <v>Saudi Arabia</v>
          </cell>
          <cell r="K2832">
            <v>29767</v>
          </cell>
        </row>
        <row r="2833">
          <cell r="A2833" t="str">
            <v>In service</v>
          </cell>
          <cell r="B2833" t="str">
            <v>Gulfstream Aerospace Gulfstream III</v>
          </cell>
          <cell r="C2833" t="str">
            <v xml:space="preserve"> </v>
          </cell>
          <cell r="D2833">
            <v>1983</v>
          </cell>
          <cell r="E2833" t="str">
            <v>Deeside Trading Co Ltd</v>
          </cell>
          <cell r="F2833">
            <v>17</v>
          </cell>
          <cell r="G2833">
            <v>30650</v>
          </cell>
          <cell r="I2833" t="str">
            <v>North America</v>
          </cell>
          <cell r="J2833" t="str">
            <v>USA</v>
          </cell>
          <cell r="K2833">
            <v>29767</v>
          </cell>
        </row>
        <row r="2834">
          <cell r="A2834" t="str">
            <v>In service</v>
          </cell>
          <cell r="B2834" t="str">
            <v>Gulfstream Aerospace Gulfstream III</v>
          </cell>
          <cell r="C2834" t="str">
            <v xml:space="preserve"> </v>
          </cell>
          <cell r="D2834">
            <v>1983</v>
          </cell>
          <cell r="E2834" t="str">
            <v>Oxy Petroleum Inc</v>
          </cell>
          <cell r="F2834">
            <v>17</v>
          </cell>
          <cell r="G2834">
            <v>30650</v>
          </cell>
          <cell r="I2834" t="str">
            <v>North America</v>
          </cell>
          <cell r="J2834" t="str">
            <v>USA</v>
          </cell>
          <cell r="K2834">
            <v>30132</v>
          </cell>
        </row>
        <row r="2835">
          <cell r="A2835" t="str">
            <v>In service</v>
          </cell>
          <cell r="B2835" t="str">
            <v>Gulfstream Aerospace Gulfstream III</v>
          </cell>
          <cell r="C2835" t="str">
            <v xml:space="preserve"> </v>
          </cell>
          <cell r="D2835">
            <v>1983</v>
          </cell>
          <cell r="E2835" t="str">
            <v>Bombardier Capital Inc</v>
          </cell>
          <cell r="F2835">
            <v>17</v>
          </cell>
          <cell r="G2835">
            <v>30681</v>
          </cell>
          <cell r="I2835" t="str">
            <v>North America</v>
          </cell>
          <cell r="J2835" t="str">
            <v>USA</v>
          </cell>
          <cell r="K2835">
            <v>29767</v>
          </cell>
        </row>
        <row r="2836">
          <cell r="A2836" t="str">
            <v>In service</v>
          </cell>
          <cell r="B2836" t="str">
            <v>Gulfstream Aerospace Gulfstream III</v>
          </cell>
          <cell r="C2836" t="str">
            <v xml:space="preserve"> </v>
          </cell>
          <cell r="D2836">
            <v>1983</v>
          </cell>
          <cell r="E2836" t="str">
            <v>Harwinton Capital Corp</v>
          </cell>
          <cell r="F2836">
            <v>17</v>
          </cell>
          <cell r="G2836">
            <v>30681</v>
          </cell>
          <cell r="I2836" t="str">
            <v>North America</v>
          </cell>
          <cell r="J2836" t="str">
            <v>USA</v>
          </cell>
          <cell r="K2836">
            <v>29767</v>
          </cell>
        </row>
        <row r="2837">
          <cell r="A2837" t="str">
            <v>In service</v>
          </cell>
          <cell r="B2837" t="str">
            <v>Gulfstream Aerospace Gulfstream III</v>
          </cell>
          <cell r="C2837" t="str">
            <v xml:space="preserve"> </v>
          </cell>
          <cell r="D2837">
            <v>1983</v>
          </cell>
          <cell r="E2837" t="str">
            <v>Rashid Engineering</v>
          </cell>
          <cell r="F2837">
            <v>17</v>
          </cell>
          <cell r="G2837">
            <v>30712</v>
          </cell>
          <cell r="I2837" t="str">
            <v>Middle East</v>
          </cell>
          <cell r="J2837" t="str">
            <v>Saudi Arabia</v>
          </cell>
          <cell r="K2837">
            <v>30132</v>
          </cell>
        </row>
        <row r="2838">
          <cell r="A2838" t="str">
            <v>In service</v>
          </cell>
          <cell r="B2838" t="str">
            <v>Gulfstream Aerospace Gulfstream III</v>
          </cell>
          <cell r="C2838" t="str">
            <v xml:space="preserve"> </v>
          </cell>
          <cell r="D2838">
            <v>1983</v>
          </cell>
          <cell r="E2838" t="str">
            <v>Teratorn LLC</v>
          </cell>
          <cell r="F2838">
            <v>17</v>
          </cell>
          <cell r="G2838">
            <v>30712</v>
          </cell>
          <cell r="I2838" t="str">
            <v>North America</v>
          </cell>
          <cell r="J2838" t="str">
            <v>USA</v>
          </cell>
          <cell r="K2838">
            <v>30132</v>
          </cell>
        </row>
        <row r="2839">
          <cell r="A2839" t="str">
            <v>In service</v>
          </cell>
          <cell r="B2839" t="str">
            <v>Gulfstream Aerospace Gulfstream III</v>
          </cell>
          <cell r="C2839" t="str">
            <v xml:space="preserve"> </v>
          </cell>
          <cell r="D2839">
            <v>1983</v>
          </cell>
          <cell r="E2839" t="str">
            <v>JT Aviation Corp</v>
          </cell>
          <cell r="F2839">
            <v>17</v>
          </cell>
          <cell r="G2839">
            <v>30712</v>
          </cell>
          <cell r="I2839" t="str">
            <v>North America</v>
          </cell>
          <cell r="J2839" t="str">
            <v>USA</v>
          </cell>
          <cell r="K2839">
            <v>30132</v>
          </cell>
        </row>
        <row r="2840">
          <cell r="A2840" t="str">
            <v>In service</v>
          </cell>
          <cell r="B2840" t="str">
            <v>Gulfstream Aerospace Gulfstream III</v>
          </cell>
          <cell r="C2840" t="str">
            <v xml:space="preserve"> </v>
          </cell>
          <cell r="D2840">
            <v>1983</v>
          </cell>
          <cell r="E2840" t="str">
            <v>World Heir Inc</v>
          </cell>
          <cell r="F2840">
            <v>17</v>
          </cell>
          <cell r="G2840">
            <v>30741</v>
          </cell>
          <cell r="I2840" t="str">
            <v>North America</v>
          </cell>
          <cell r="J2840" t="str">
            <v>USA</v>
          </cell>
          <cell r="K2840">
            <v>30132</v>
          </cell>
        </row>
        <row r="2841">
          <cell r="A2841" t="str">
            <v>In service</v>
          </cell>
          <cell r="B2841" t="str">
            <v>Gulfstream Aerospace Gulfstream III</v>
          </cell>
          <cell r="C2841" t="str">
            <v xml:space="preserve"> </v>
          </cell>
          <cell r="D2841">
            <v>1984</v>
          </cell>
          <cell r="E2841" t="str">
            <v>Indian Air Force</v>
          </cell>
          <cell r="F2841">
            <v>16</v>
          </cell>
          <cell r="G2841">
            <v>31928</v>
          </cell>
          <cell r="H2841" t="str">
            <v>SRA-1</v>
          </cell>
          <cell r="I2841" t="str">
            <v>Asia</v>
          </cell>
          <cell r="J2841" t="str">
            <v>India</v>
          </cell>
        </row>
        <row r="2842">
          <cell r="A2842" t="str">
            <v>In service</v>
          </cell>
          <cell r="B2842" t="str">
            <v>Gulfstream Aerospace Gulfstream III</v>
          </cell>
          <cell r="C2842" t="str">
            <v xml:space="preserve"> </v>
          </cell>
          <cell r="D2842">
            <v>1984</v>
          </cell>
          <cell r="E2842" t="str">
            <v>Fertitta Enterprises</v>
          </cell>
          <cell r="F2842">
            <v>16</v>
          </cell>
          <cell r="G2842">
            <v>30741</v>
          </cell>
          <cell r="I2842" t="str">
            <v>North America</v>
          </cell>
          <cell r="J2842" t="str">
            <v>USA</v>
          </cell>
          <cell r="K2842">
            <v>30132</v>
          </cell>
        </row>
        <row r="2843">
          <cell r="A2843" t="str">
            <v>In service</v>
          </cell>
          <cell r="B2843" t="str">
            <v>Gulfstream Aerospace Gulfstream III</v>
          </cell>
          <cell r="C2843" t="str">
            <v xml:space="preserve"> </v>
          </cell>
          <cell r="D2843">
            <v>1984</v>
          </cell>
          <cell r="E2843" t="str">
            <v>Owen-Illinois Leasing Inc</v>
          </cell>
          <cell r="F2843">
            <v>16</v>
          </cell>
          <cell r="G2843">
            <v>30772</v>
          </cell>
          <cell r="I2843" t="str">
            <v>North America</v>
          </cell>
          <cell r="J2843" t="str">
            <v>USA</v>
          </cell>
          <cell r="K2843">
            <v>30132</v>
          </cell>
        </row>
        <row r="2844">
          <cell r="A2844" t="str">
            <v>In service</v>
          </cell>
          <cell r="B2844" t="str">
            <v>Gulfstream Aerospace Gulfstream III</v>
          </cell>
          <cell r="C2844" t="str">
            <v xml:space="preserve"> </v>
          </cell>
          <cell r="D2844">
            <v>1984</v>
          </cell>
          <cell r="E2844" t="str">
            <v>ChevronTexaco Corp</v>
          </cell>
          <cell r="F2844">
            <v>16</v>
          </cell>
          <cell r="G2844">
            <v>30772</v>
          </cell>
          <cell r="I2844" t="str">
            <v>North America</v>
          </cell>
          <cell r="J2844" t="str">
            <v>USA</v>
          </cell>
          <cell r="K2844">
            <v>30132</v>
          </cell>
        </row>
        <row r="2845">
          <cell r="A2845" t="str">
            <v>In service</v>
          </cell>
          <cell r="B2845" t="str">
            <v>Gulfstream Aerospace Gulfstream III</v>
          </cell>
          <cell r="C2845" t="str">
            <v xml:space="preserve"> </v>
          </cell>
          <cell r="D2845">
            <v>1984</v>
          </cell>
          <cell r="E2845" t="str">
            <v>Texas Aviation Sales &amp; Leasing LLC</v>
          </cell>
          <cell r="F2845">
            <v>16</v>
          </cell>
          <cell r="G2845">
            <v>30772</v>
          </cell>
          <cell r="I2845" t="str">
            <v>North America</v>
          </cell>
          <cell r="J2845" t="str">
            <v>USA</v>
          </cell>
          <cell r="K2845">
            <v>30132</v>
          </cell>
        </row>
        <row r="2846">
          <cell r="A2846" t="str">
            <v>In service</v>
          </cell>
          <cell r="B2846" t="str">
            <v>Gulfstream Aerospace Gulfstream III</v>
          </cell>
          <cell r="C2846" t="str">
            <v xml:space="preserve"> </v>
          </cell>
          <cell r="D2846">
            <v>1984</v>
          </cell>
          <cell r="E2846" t="str">
            <v>Sonic Financial Corp</v>
          </cell>
          <cell r="F2846">
            <v>16</v>
          </cell>
          <cell r="G2846">
            <v>30772</v>
          </cell>
          <cell r="I2846" t="str">
            <v>North America</v>
          </cell>
          <cell r="J2846" t="str">
            <v>USA</v>
          </cell>
          <cell r="K2846">
            <v>30132</v>
          </cell>
        </row>
        <row r="2847">
          <cell r="A2847" t="str">
            <v>In service</v>
          </cell>
          <cell r="B2847" t="str">
            <v>Gulfstream Aerospace Gulfstream III</v>
          </cell>
          <cell r="C2847" t="str">
            <v xml:space="preserve"> </v>
          </cell>
          <cell r="D2847">
            <v>1984</v>
          </cell>
          <cell r="E2847" t="str">
            <v>New World Jet Corp</v>
          </cell>
          <cell r="F2847">
            <v>16</v>
          </cell>
          <cell r="G2847">
            <v>30802</v>
          </cell>
          <cell r="I2847" t="str">
            <v>North America</v>
          </cell>
          <cell r="J2847" t="str">
            <v>USA</v>
          </cell>
          <cell r="K2847">
            <v>30497</v>
          </cell>
        </row>
        <row r="2848">
          <cell r="A2848" t="str">
            <v>In service</v>
          </cell>
          <cell r="B2848" t="str">
            <v>Gulfstream Aerospace Gulfstream III</v>
          </cell>
          <cell r="C2848" t="str">
            <v xml:space="preserve"> </v>
          </cell>
          <cell r="D2848">
            <v>1984</v>
          </cell>
          <cell r="E2848" t="str">
            <v>C&amp;S Aviation Ltd</v>
          </cell>
          <cell r="F2848">
            <v>16</v>
          </cell>
          <cell r="G2848">
            <v>30833</v>
          </cell>
          <cell r="I2848" t="str">
            <v>North America</v>
          </cell>
          <cell r="J2848" t="str">
            <v>USA</v>
          </cell>
          <cell r="K2848">
            <v>30497</v>
          </cell>
        </row>
        <row r="2849">
          <cell r="A2849" t="str">
            <v>In service</v>
          </cell>
          <cell r="B2849" t="str">
            <v>Gulfstream Aerospace Gulfstream III</v>
          </cell>
          <cell r="C2849" t="str">
            <v xml:space="preserve"> </v>
          </cell>
          <cell r="D2849">
            <v>1984</v>
          </cell>
          <cell r="E2849" t="str">
            <v>Papa Grande Aviation LLC</v>
          </cell>
          <cell r="F2849">
            <v>16</v>
          </cell>
          <cell r="G2849">
            <v>30833</v>
          </cell>
          <cell r="I2849" t="str">
            <v>North America</v>
          </cell>
          <cell r="J2849" t="str">
            <v>USA</v>
          </cell>
          <cell r="K2849">
            <v>30132</v>
          </cell>
        </row>
        <row r="2850">
          <cell r="A2850" t="str">
            <v>In service</v>
          </cell>
          <cell r="B2850" t="str">
            <v>Gulfstream Aerospace Gulfstream III</v>
          </cell>
          <cell r="C2850" t="str">
            <v xml:space="preserve"> </v>
          </cell>
          <cell r="D2850">
            <v>1984</v>
          </cell>
          <cell r="E2850" t="str">
            <v>Harbour Group Industries Inc</v>
          </cell>
          <cell r="F2850">
            <v>16</v>
          </cell>
          <cell r="G2850">
            <v>30833</v>
          </cell>
          <cell r="I2850" t="str">
            <v>North America</v>
          </cell>
          <cell r="J2850" t="str">
            <v>USA</v>
          </cell>
          <cell r="K2850">
            <v>30132</v>
          </cell>
        </row>
        <row r="2851">
          <cell r="A2851" t="str">
            <v>In service</v>
          </cell>
          <cell r="B2851" t="str">
            <v>Gulfstream Aerospace Gulfstream III</v>
          </cell>
          <cell r="C2851" t="str">
            <v xml:space="preserve"> </v>
          </cell>
          <cell r="D2851">
            <v>1984</v>
          </cell>
          <cell r="E2851" t="str">
            <v>Tenet Healthcare Corp</v>
          </cell>
          <cell r="F2851">
            <v>16</v>
          </cell>
          <cell r="G2851">
            <v>30833</v>
          </cell>
          <cell r="I2851" t="str">
            <v>North America</v>
          </cell>
          <cell r="J2851" t="str">
            <v>USA</v>
          </cell>
          <cell r="K2851">
            <v>30132</v>
          </cell>
        </row>
        <row r="2852">
          <cell r="A2852" t="str">
            <v>In service</v>
          </cell>
          <cell r="B2852" t="str">
            <v>Gulfstream Aerospace Gulfstream III</v>
          </cell>
          <cell r="C2852" t="str">
            <v xml:space="preserve"> </v>
          </cell>
          <cell r="D2852">
            <v>1984</v>
          </cell>
          <cell r="E2852" t="str">
            <v>Monarch Flight Inc</v>
          </cell>
          <cell r="F2852">
            <v>16</v>
          </cell>
          <cell r="G2852">
            <v>30863</v>
          </cell>
          <cell r="I2852" t="str">
            <v>North America</v>
          </cell>
          <cell r="J2852" t="str">
            <v>USA</v>
          </cell>
          <cell r="K2852">
            <v>30132</v>
          </cell>
        </row>
        <row r="2853">
          <cell r="A2853" t="str">
            <v>In service</v>
          </cell>
          <cell r="B2853" t="str">
            <v>Gulfstream Aerospace Gulfstream III</v>
          </cell>
          <cell r="C2853" t="str">
            <v xml:space="preserve"> </v>
          </cell>
          <cell r="D2853">
            <v>1984</v>
          </cell>
          <cell r="E2853" t="str">
            <v>New World Jet Corp</v>
          </cell>
          <cell r="F2853">
            <v>16</v>
          </cell>
          <cell r="G2853">
            <v>30863</v>
          </cell>
          <cell r="I2853" t="str">
            <v>North America</v>
          </cell>
          <cell r="J2853" t="str">
            <v>USA</v>
          </cell>
          <cell r="K2853">
            <v>30132</v>
          </cell>
        </row>
        <row r="2854">
          <cell r="A2854" t="str">
            <v>In service</v>
          </cell>
          <cell r="B2854" t="str">
            <v>Gulfstream Aerospace Gulfstream III</v>
          </cell>
          <cell r="C2854" t="str">
            <v xml:space="preserve"> </v>
          </cell>
          <cell r="D2854">
            <v>1984</v>
          </cell>
          <cell r="E2854" t="str">
            <v>Time Warner Entertainment</v>
          </cell>
          <cell r="F2854">
            <v>16</v>
          </cell>
          <cell r="G2854">
            <v>30863</v>
          </cell>
          <cell r="I2854" t="str">
            <v>North America</v>
          </cell>
          <cell r="J2854" t="str">
            <v>USA</v>
          </cell>
          <cell r="K2854">
            <v>30132</v>
          </cell>
        </row>
        <row r="2855">
          <cell r="A2855" t="str">
            <v>In service</v>
          </cell>
          <cell r="B2855" t="str">
            <v>Gulfstream Aerospace Gulfstream III</v>
          </cell>
          <cell r="C2855" t="str">
            <v xml:space="preserve"> </v>
          </cell>
          <cell r="D2855">
            <v>1984</v>
          </cell>
          <cell r="E2855" t="str">
            <v>World Healing Center Church Inc</v>
          </cell>
          <cell r="F2855">
            <v>16</v>
          </cell>
          <cell r="G2855">
            <v>30863</v>
          </cell>
          <cell r="I2855" t="str">
            <v>North America</v>
          </cell>
          <cell r="J2855" t="str">
            <v>USA</v>
          </cell>
          <cell r="K2855">
            <v>30132</v>
          </cell>
        </row>
        <row r="2856">
          <cell r="A2856" t="str">
            <v>In service</v>
          </cell>
          <cell r="B2856" t="str">
            <v>Gulfstream Aerospace Gulfstream III</v>
          </cell>
          <cell r="C2856" t="str">
            <v xml:space="preserve"> </v>
          </cell>
          <cell r="D2856">
            <v>1984</v>
          </cell>
          <cell r="E2856" t="str">
            <v>KOMAR Aviation LLC</v>
          </cell>
          <cell r="F2856">
            <v>16</v>
          </cell>
          <cell r="G2856">
            <v>30894</v>
          </cell>
          <cell r="I2856" t="str">
            <v>North America</v>
          </cell>
          <cell r="J2856" t="str">
            <v>USA</v>
          </cell>
          <cell r="K2856">
            <v>30132</v>
          </cell>
        </row>
        <row r="2857">
          <cell r="A2857" t="str">
            <v>In service</v>
          </cell>
          <cell r="B2857" t="str">
            <v>Gulfstream Aerospace Gulfstream III</v>
          </cell>
          <cell r="C2857" t="str">
            <v xml:space="preserve"> </v>
          </cell>
          <cell r="D2857">
            <v>1984</v>
          </cell>
          <cell r="E2857" t="str">
            <v>Sinclair Oil Corp</v>
          </cell>
          <cell r="F2857">
            <v>16</v>
          </cell>
          <cell r="G2857">
            <v>30925</v>
          </cell>
          <cell r="I2857" t="str">
            <v>North America</v>
          </cell>
          <cell r="J2857" t="str">
            <v>USA</v>
          </cell>
          <cell r="K2857">
            <v>30132</v>
          </cell>
        </row>
        <row r="2858">
          <cell r="A2858" t="str">
            <v>In service</v>
          </cell>
          <cell r="B2858" t="str">
            <v>Gulfstream Aerospace Gulfstream III</v>
          </cell>
          <cell r="C2858" t="str">
            <v xml:space="preserve"> </v>
          </cell>
          <cell r="D2858">
            <v>1984</v>
          </cell>
          <cell r="E2858" t="str">
            <v>Litton Industrial Products</v>
          </cell>
          <cell r="F2858">
            <v>16</v>
          </cell>
          <cell r="G2858">
            <v>30925</v>
          </cell>
          <cell r="I2858" t="str">
            <v>North America</v>
          </cell>
          <cell r="J2858" t="str">
            <v>USA</v>
          </cell>
          <cell r="K2858">
            <v>30497</v>
          </cell>
        </row>
        <row r="2859">
          <cell r="A2859" t="str">
            <v>In service</v>
          </cell>
          <cell r="B2859" t="str">
            <v>Gulfstream Aerospace Gulfstream III</v>
          </cell>
          <cell r="C2859" t="str">
            <v xml:space="preserve"> </v>
          </cell>
          <cell r="D2859">
            <v>1984</v>
          </cell>
          <cell r="E2859" t="str">
            <v>Automotive Air Charter</v>
          </cell>
          <cell r="F2859">
            <v>16</v>
          </cell>
          <cell r="G2859">
            <v>30925</v>
          </cell>
          <cell r="I2859" t="str">
            <v>North America</v>
          </cell>
          <cell r="J2859" t="str">
            <v>USA</v>
          </cell>
          <cell r="K2859">
            <v>30132</v>
          </cell>
        </row>
        <row r="2860">
          <cell r="A2860" t="str">
            <v>In service</v>
          </cell>
          <cell r="B2860" t="str">
            <v>Gulfstream Aerospace Gulfstream III</v>
          </cell>
          <cell r="C2860" t="str">
            <v xml:space="preserve"> </v>
          </cell>
          <cell r="D2860">
            <v>1984</v>
          </cell>
          <cell r="E2860" t="str">
            <v>Government of Egypt</v>
          </cell>
          <cell r="F2860">
            <v>16</v>
          </cell>
          <cell r="G2860">
            <v>30955</v>
          </cell>
          <cell r="I2860" t="str">
            <v>Africa</v>
          </cell>
          <cell r="J2860" t="str">
            <v>Egypt</v>
          </cell>
          <cell r="K2860">
            <v>30132</v>
          </cell>
        </row>
        <row r="2861">
          <cell r="A2861" t="str">
            <v>In service</v>
          </cell>
          <cell r="B2861" t="str">
            <v>Gulfstream Aerospace Gulfstream III</v>
          </cell>
          <cell r="C2861" t="str">
            <v xml:space="preserve"> </v>
          </cell>
          <cell r="D2861">
            <v>1984</v>
          </cell>
          <cell r="E2861" t="str">
            <v>Cyber Leasing Corp</v>
          </cell>
          <cell r="F2861">
            <v>16</v>
          </cell>
          <cell r="G2861">
            <v>30955</v>
          </cell>
          <cell r="I2861" t="str">
            <v>North America</v>
          </cell>
          <cell r="J2861" t="str">
            <v>USA</v>
          </cell>
          <cell r="K2861">
            <v>30132</v>
          </cell>
        </row>
        <row r="2862">
          <cell r="A2862" t="str">
            <v>In service</v>
          </cell>
          <cell r="B2862" t="str">
            <v>Gulfstream Aerospace Gulfstream III</v>
          </cell>
          <cell r="C2862" t="str">
            <v xml:space="preserve"> </v>
          </cell>
          <cell r="D2862">
            <v>1984</v>
          </cell>
          <cell r="E2862" t="str">
            <v>USX Corp</v>
          </cell>
          <cell r="F2862">
            <v>16</v>
          </cell>
          <cell r="G2862">
            <v>30955</v>
          </cell>
          <cell r="I2862" t="str">
            <v>North America</v>
          </cell>
          <cell r="J2862" t="str">
            <v>USA</v>
          </cell>
          <cell r="K2862">
            <v>30132</v>
          </cell>
        </row>
        <row r="2863">
          <cell r="A2863" t="str">
            <v>In service</v>
          </cell>
          <cell r="B2863" t="str">
            <v>Gulfstream Aerospace Gulfstream III</v>
          </cell>
          <cell r="C2863" t="str">
            <v xml:space="preserve"> </v>
          </cell>
          <cell r="D2863">
            <v>1984</v>
          </cell>
          <cell r="E2863" t="str">
            <v>Government of Egypt</v>
          </cell>
          <cell r="F2863">
            <v>16</v>
          </cell>
          <cell r="G2863">
            <v>30986</v>
          </cell>
          <cell r="I2863" t="str">
            <v>Africa</v>
          </cell>
          <cell r="J2863" t="str">
            <v>Egypt</v>
          </cell>
          <cell r="K2863">
            <v>30132</v>
          </cell>
        </row>
        <row r="2864">
          <cell r="A2864" t="str">
            <v>In service</v>
          </cell>
          <cell r="B2864" t="str">
            <v>Gulfstream Aerospace Gulfstream III</v>
          </cell>
          <cell r="C2864" t="str">
            <v xml:space="preserve"> </v>
          </cell>
          <cell r="D2864">
            <v>1984</v>
          </cell>
          <cell r="E2864" t="str">
            <v>DirecTV Group Inc</v>
          </cell>
          <cell r="F2864">
            <v>16</v>
          </cell>
          <cell r="G2864">
            <v>30986</v>
          </cell>
          <cell r="I2864" t="str">
            <v>North America</v>
          </cell>
          <cell r="J2864" t="str">
            <v>USA</v>
          </cell>
          <cell r="K2864">
            <v>30497</v>
          </cell>
        </row>
        <row r="2865">
          <cell r="A2865" t="str">
            <v>In service</v>
          </cell>
          <cell r="B2865" t="str">
            <v>Gulfstream Aerospace Gulfstream III</v>
          </cell>
          <cell r="C2865" t="str">
            <v xml:space="preserve"> </v>
          </cell>
          <cell r="D2865">
            <v>1984</v>
          </cell>
          <cell r="E2865" t="str">
            <v>DKH Services LLC</v>
          </cell>
          <cell r="F2865">
            <v>16</v>
          </cell>
          <cell r="G2865">
            <v>30986</v>
          </cell>
          <cell r="I2865" t="str">
            <v>North America</v>
          </cell>
          <cell r="J2865" t="str">
            <v>USA</v>
          </cell>
          <cell r="K2865">
            <v>30497</v>
          </cell>
        </row>
        <row r="2866">
          <cell r="A2866" t="str">
            <v>In service</v>
          </cell>
          <cell r="B2866" t="str">
            <v>Gulfstream Aerospace Gulfstream III</v>
          </cell>
          <cell r="C2866" t="str">
            <v xml:space="preserve"> </v>
          </cell>
          <cell r="D2866">
            <v>1984</v>
          </cell>
          <cell r="E2866" t="str">
            <v>SM 5105 LLC</v>
          </cell>
          <cell r="F2866">
            <v>16</v>
          </cell>
          <cell r="G2866">
            <v>31016</v>
          </cell>
          <cell r="I2866" t="str">
            <v>North America</v>
          </cell>
          <cell r="J2866" t="str">
            <v>USA</v>
          </cell>
          <cell r="K2866">
            <v>30132</v>
          </cell>
        </row>
        <row r="2867">
          <cell r="A2867" t="str">
            <v>In service</v>
          </cell>
          <cell r="B2867" t="str">
            <v>Gulfstream Aerospace Gulfstream III</v>
          </cell>
          <cell r="C2867" t="str">
            <v xml:space="preserve"> </v>
          </cell>
          <cell r="D2867">
            <v>1984</v>
          </cell>
          <cell r="E2867" t="str">
            <v>United Technologies Corp</v>
          </cell>
          <cell r="F2867">
            <v>16</v>
          </cell>
          <cell r="G2867">
            <v>31047</v>
          </cell>
          <cell r="I2867" t="str">
            <v>North America</v>
          </cell>
          <cell r="J2867" t="str">
            <v>USA</v>
          </cell>
          <cell r="K2867">
            <v>30497</v>
          </cell>
        </row>
        <row r="2868">
          <cell r="A2868" t="str">
            <v>In service</v>
          </cell>
          <cell r="B2868" t="str">
            <v>Gulfstream Aerospace Gulfstream III</v>
          </cell>
          <cell r="C2868" t="str">
            <v xml:space="preserve"> </v>
          </cell>
          <cell r="D2868">
            <v>1984</v>
          </cell>
          <cell r="E2868" t="str">
            <v>New World Jet Corp</v>
          </cell>
          <cell r="F2868">
            <v>16</v>
          </cell>
          <cell r="G2868">
            <v>31016</v>
          </cell>
          <cell r="I2868" t="str">
            <v>North America</v>
          </cell>
          <cell r="J2868" t="str">
            <v>USA</v>
          </cell>
          <cell r="K2868">
            <v>30132</v>
          </cell>
        </row>
        <row r="2869">
          <cell r="A2869" t="str">
            <v>In service</v>
          </cell>
          <cell r="B2869" t="str">
            <v>Gulfstream Aerospace Gulfstream III</v>
          </cell>
          <cell r="C2869" t="str">
            <v xml:space="preserve"> </v>
          </cell>
          <cell r="D2869">
            <v>1984</v>
          </cell>
          <cell r="E2869" t="str">
            <v>WMA Aviation LLC</v>
          </cell>
          <cell r="F2869">
            <v>16</v>
          </cell>
          <cell r="G2869">
            <v>31047</v>
          </cell>
          <cell r="I2869" t="str">
            <v>North America</v>
          </cell>
          <cell r="J2869" t="str">
            <v>USA</v>
          </cell>
          <cell r="K2869">
            <v>30497</v>
          </cell>
        </row>
        <row r="2870">
          <cell r="A2870" t="str">
            <v>In service</v>
          </cell>
          <cell r="B2870" t="str">
            <v>Gulfstream Aerospace Gulfstream III</v>
          </cell>
          <cell r="C2870" t="str">
            <v xml:space="preserve"> </v>
          </cell>
          <cell r="D2870">
            <v>1984</v>
          </cell>
          <cell r="E2870" t="str">
            <v>Jet Place Inc</v>
          </cell>
          <cell r="F2870">
            <v>16</v>
          </cell>
          <cell r="G2870">
            <v>31047</v>
          </cell>
          <cell r="I2870" t="str">
            <v>North America</v>
          </cell>
          <cell r="J2870" t="str">
            <v>USA</v>
          </cell>
          <cell r="K2870">
            <v>30132</v>
          </cell>
        </row>
        <row r="2871">
          <cell r="A2871" t="str">
            <v>In service</v>
          </cell>
          <cell r="B2871" t="str">
            <v>Gulfstream Aerospace Gulfstream III</v>
          </cell>
          <cell r="C2871" t="str">
            <v xml:space="preserve"> </v>
          </cell>
          <cell r="D2871">
            <v>1984</v>
          </cell>
          <cell r="E2871" t="str">
            <v>Trout LLC</v>
          </cell>
          <cell r="F2871">
            <v>16</v>
          </cell>
          <cell r="G2871">
            <v>31136</v>
          </cell>
          <cell r="I2871" t="str">
            <v>North America</v>
          </cell>
          <cell r="J2871" t="str">
            <v>USA</v>
          </cell>
          <cell r="K2871">
            <v>30497</v>
          </cell>
        </row>
        <row r="2872">
          <cell r="A2872" t="str">
            <v>In service</v>
          </cell>
          <cell r="B2872" t="str">
            <v>Gulfstream Aerospace Gulfstream III</v>
          </cell>
          <cell r="C2872" t="str">
            <v xml:space="preserve"> </v>
          </cell>
          <cell r="D2872">
            <v>1984</v>
          </cell>
          <cell r="E2872" t="str">
            <v>Italian Air Force</v>
          </cell>
          <cell r="F2872">
            <v>16</v>
          </cell>
          <cell r="G2872">
            <v>31047</v>
          </cell>
          <cell r="I2872" t="str">
            <v>Europe</v>
          </cell>
          <cell r="J2872" t="str">
            <v>Italy</v>
          </cell>
          <cell r="K2872">
            <v>30132</v>
          </cell>
        </row>
        <row r="2873">
          <cell r="A2873" t="str">
            <v>In service</v>
          </cell>
          <cell r="B2873" t="str">
            <v>Gulfstream Aerospace Gulfstream III</v>
          </cell>
          <cell r="C2873" t="str">
            <v xml:space="preserve"> </v>
          </cell>
          <cell r="D2873">
            <v>1985</v>
          </cell>
          <cell r="E2873" t="str">
            <v>D'Artagnan LLC</v>
          </cell>
          <cell r="F2873">
            <v>15</v>
          </cell>
          <cell r="G2873">
            <v>31670</v>
          </cell>
          <cell r="I2873" t="str">
            <v>North America</v>
          </cell>
          <cell r="J2873" t="str">
            <v>USA</v>
          </cell>
          <cell r="K2873">
            <v>30863</v>
          </cell>
        </row>
        <row r="2874">
          <cell r="A2874" t="str">
            <v>In service</v>
          </cell>
          <cell r="B2874" t="str">
            <v>Gulfstream Aerospace Gulfstream III</v>
          </cell>
          <cell r="C2874" t="str">
            <v xml:space="preserve"> </v>
          </cell>
          <cell r="D2874">
            <v>1985</v>
          </cell>
          <cell r="E2874" t="str">
            <v>Royal Saudi Arabian Air Force</v>
          </cell>
          <cell r="F2874">
            <v>15</v>
          </cell>
          <cell r="G2874">
            <v>31106</v>
          </cell>
          <cell r="I2874" t="str">
            <v>Middle East</v>
          </cell>
          <cell r="J2874" t="str">
            <v>Saudi Arabia</v>
          </cell>
          <cell r="K2874">
            <v>30497</v>
          </cell>
        </row>
        <row r="2875">
          <cell r="A2875" t="str">
            <v>In service</v>
          </cell>
          <cell r="B2875" t="str">
            <v>Gulfstream Aerospace Gulfstream III</v>
          </cell>
          <cell r="C2875" t="str">
            <v xml:space="preserve"> </v>
          </cell>
          <cell r="D2875">
            <v>1985</v>
          </cell>
          <cell r="E2875" t="str">
            <v>GTE Service Corp</v>
          </cell>
          <cell r="F2875">
            <v>15</v>
          </cell>
          <cell r="G2875">
            <v>31137</v>
          </cell>
          <cell r="I2875" t="str">
            <v>North America</v>
          </cell>
          <cell r="J2875" t="str">
            <v>USA</v>
          </cell>
          <cell r="K2875">
            <v>30497</v>
          </cell>
        </row>
        <row r="2876">
          <cell r="A2876" t="str">
            <v>In service</v>
          </cell>
          <cell r="B2876" t="str">
            <v>Gulfstream Aerospace Gulfstream III</v>
          </cell>
          <cell r="C2876" t="str">
            <v xml:space="preserve"> </v>
          </cell>
          <cell r="D2876">
            <v>1985</v>
          </cell>
          <cell r="E2876" t="str">
            <v>Mandalay Resort Group</v>
          </cell>
          <cell r="F2876">
            <v>15</v>
          </cell>
          <cell r="G2876">
            <v>31137</v>
          </cell>
          <cell r="I2876" t="str">
            <v>North America</v>
          </cell>
          <cell r="J2876" t="str">
            <v>USA</v>
          </cell>
          <cell r="K2876">
            <v>30497</v>
          </cell>
        </row>
        <row r="2877">
          <cell r="A2877" t="str">
            <v>In service</v>
          </cell>
          <cell r="B2877" t="str">
            <v>Gulfstream Aerospace Gulfstream III</v>
          </cell>
          <cell r="C2877" t="str">
            <v xml:space="preserve"> </v>
          </cell>
          <cell r="D2877">
            <v>1985</v>
          </cell>
          <cell r="E2877" t="str">
            <v>Verizon Southwest Inc</v>
          </cell>
          <cell r="F2877">
            <v>15</v>
          </cell>
          <cell r="G2877">
            <v>31137</v>
          </cell>
          <cell r="I2877" t="str">
            <v>North America</v>
          </cell>
          <cell r="J2877" t="str">
            <v>USA</v>
          </cell>
          <cell r="K2877">
            <v>30497</v>
          </cell>
        </row>
        <row r="2878">
          <cell r="A2878" t="str">
            <v>In service</v>
          </cell>
          <cell r="B2878" t="str">
            <v>Gulfstream Aerospace Gulfstream III</v>
          </cell>
          <cell r="C2878" t="str">
            <v xml:space="preserve"> </v>
          </cell>
          <cell r="D2878">
            <v>1985</v>
          </cell>
          <cell r="E2878" t="str">
            <v>E I DuPont de Nemours &amp; Co</v>
          </cell>
          <cell r="F2878">
            <v>15</v>
          </cell>
          <cell r="G2878">
            <v>31259</v>
          </cell>
          <cell r="I2878" t="str">
            <v>North America</v>
          </cell>
          <cell r="J2878" t="str">
            <v>USA</v>
          </cell>
          <cell r="K2878">
            <v>30863</v>
          </cell>
        </row>
        <row r="2879">
          <cell r="A2879" t="str">
            <v>In service</v>
          </cell>
          <cell r="B2879" t="str">
            <v>Gulfstream Aerospace Gulfstream III</v>
          </cell>
          <cell r="C2879" t="str">
            <v xml:space="preserve"> </v>
          </cell>
          <cell r="D2879">
            <v>1985</v>
          </cell>
          <cell r="E2879" t="str">
            <v>MBNA Corp</v>
          </cell>
          <cell r="F2879">
            <v>15</v>
          </cell>
          <cell r="G2879">
            <v>31198</v>
          </cell>
          <cell r="I2879" t="str">
            <v>North America</v>
          </cell>
          <cell r="J2879" t="str">
            <v>USA</v>
          </cell>
          <cell r="K2879">
            <v>30497</v>
          </cell>
        </row>
        <row r="2880">
          <cell r="A2880" t="str">
            <v>In service</v>
          </cell>
          <cell r="B2880" t="str">
            <v>Gulfstream Aerospace Gulfstream III</v>
          </cell>
          <cell r="C2880" t="str">
            <v xml:space="preserve"> </v>
          </cell>
          <cell r="D2880">
            <v>1985</v>
          </cell>
          <cell r="E2880" t="str">
            <v>Flying Eagle Aviation Inc</v>
          </cell>
          <cell r="F2880">
            <v>15</v>
          </cell>
          <cell r="G2880">
            <v>31228</v>
          </cell>
          <cell r="I2880" t="str">
            <v>North America</v>
          </cell>
          <cell r="J2880" t="str">
            <v>USA</v>
          </cell>
          <cell r="K2880">
            <v>30497</v>
          </cell>
        </row>
        <row r="2881">
          <cell r="A2881" t="str">
            <v>In service</v>
          </cell>
          <cell r="B2881" t="str">
            <v>Gulfstream Aerospace Gulfstream III</v>
          </cell>
          <cell r="C2881" t="str">
            <v xml:space="preserve"> </v>
          </cell>
          <cell r="D2881">
            <v>1985</v>
          </cell>
          <cell r="E2881" t="str">
            <v>Government of Ivory Coast</v>
          </cell>
          <cell r="F2881">
            <v>15</v>
          </cell>
          <cell r="G2881">
            <v>31228</v>
          </cell>
          <cell r="I2881" t="str">
            <v>Africa</v>
          </cell>
          <cell r="J2881" t="str">
            <v>Ivory Coast</v>
          </cell>
          <cell r="K2881">
            <v>30497</v>
          </cell>
        </row>
        <row r="2882">
          <cell r="A2882" t="str">
            <v>In service</v>
          </cell>
          <cell r="B2882" t="str">
            <v>Gulfstream Aerospace Gulfstream III</v>
          </cell>
          <cell r="C2882" t="str">
            <v xml:space="preserve"> </v>
          </cell>
          <cell r="D2882">
            <v>1985</v>
          </cell>
          <cell r="E2882" t="str">
            <v>Globair Bermuda</v>
          </cell>
          <cell r="F2882">
            <v>15</v>
          </cell>
          <cell r="G2882">
            <v>31259</v>
          </cell>
          <cell r="I2882" t="str">
            <v>Latin America and Caribbean</v>
          </cell>
          <cell r="J2882" t="str">
            <v>Bermuda</v>
          </cell>
          <cell r="K2882">
            <v>30497</v>
          </cell>
        </row>
        <row r="2883">
          <cell r="A2883" t="str">
            <v>In service</v>
          </cell>
          <cell r="B2883" t="str">
            <v>Gulfstream Aerospace Gulfstream III</v>
          </cell>
          <cell r="C2883" t="str">
            <v xml:space="preserve"> </v>
          </cell>
          <cell r="D2883">
            <v>1985</v>
          </cell>
          <cell r="E2883" t="str">
            <v>Caesar's Entertainment Inc</v>
          </cell>
          <cell r="F2883">
            <v>15</v>
          </cell>
          <cell r="G2883">
            <v>31381</v>
          </cell>
          <cell r="I2883" t="str">
            <v>North America</v>
          </cell>
          <cell r="J2883" t="str">
            <v>USA</v>
          </cell>
          <cell r="K2883">
            <v>30497</v>
          </cell>
        </row>
        <row r="2884">
          <cell r="A2884" t="str">
            <v>In service</v>
          </cell>
          <cell r="B2884" t="str">
            <v>Gulfstream Aerospace Gulfstream III</v>
          </cell>
          <cell r="C2884" t="str">
            <v xml:space="preserve"> </v>
          </cell>
          <cell r="D2884">
            <v>1985</v>
          </cell>
          <cell r="E2884" t="str">
            <v>Aqualon Co</v>
          </cell>
          <cell r="F2884">
            <v>15</v>
          </cell>
          <cell r="G2884">
            <v>31381</v>
          </cell>
          <cell r="I2884" t="str">
            <v>North America</v>
          </cell>
          <cell r="J2884" t="str">
            <v>USA</v>
          </cell>
          <cell r="K2884">
            <v>30863</v>
          </cell>
        </row>
        <row r="2885">
          <cell r="A2885" t="str">
            <v>In service</v>
          </cell>
          <cell r="B2885" t="str">
            <v>Gulfstream Aerospace Gulfstream III</v>
          </cell>
          <cell r="C2885" t="str">
            <v xml:space="preserve"> </v>
          </cell>
          <cell r="D2885">
            <v>1985</v>
          </cell>
          <cell r="E2885" t="str">
            <v>Mercury Communications Inc</v>
          </cell>
          <cell r="F2885">
            <v>15</v>
          </cell>
          <cell r="G2885">
            <v>31517</v>
          </cell>
          <cell r="I2885" t="str">
            <v>North America</v>
          </cell>
          <cell r="J2885" t="str">
            <v>USA</v>
          </cell>
          <cell r="K2885">
            <v>30863</v>
          </cell>
        </row>
        <row r="2886">
          <cell r="A2886" t="str">
            <v>In service</v>
          </cell>
          <cell r="B2886" t="str">
            <v>Gulfstream Aerospace Gulfstream III</v>
          </cell>
          <cell r="C2886" t="str">
            <v xml:space="preserve"> </v>
          </cell>
          <cell r="D2886">
            <v>1985</v>
          </cell>
          <cell r="E2886" t="str">
            <v>Hill Air Corp</v>
          </cell>
          <cell r="F2886">
            <v>15</v>
          </cell>
          <cell r="G2886">
            <v>31517</v>
          </cell>
          <cell r="I2886" t="str">
            <v>North America</v>
          </cell>
          <cell r="J2886" t="str">
            <v>USA</v>
          </cell>
          <cell r="K2886">
            <v>31228</v>
          </cell>
        </row>
        <row r="2887">
          <cell r="A2887" t="str">
            <v>In service</v>
          </cell>
          <cell r="B2887" t="str">
            <v>Gulfstream Aerospace Gulfstream III</v>
          </cell>
          <cell r="C2887" t="str">
            <v xml:space="preserve"> </v>
          </cell>
          <cell r="D2887">
            <v>1985</v>
          </cell>
          <cell r="E2887" t="str">
            <v>ConocoPhillips Co</v>
          </cell>
          <cell r="F2887">
            <v>15</v>
          </cell>
          <cell r="G2887">
            <v>31344</v>
          </cell>
          <cell r="I2887" t="str">
            <v>North America</v>
          </cell>
          <cell r="J2887" t="str">
            <v>USA</v>
          </cell>
          <cell r="K2887">
            <v>30863</v>
          </cell>
        </row>
        <row r="2888">
          <cell r="A2888" t="str">
            <v>In service</v>
          </cell>
          <cell r="B2888" t="str">
            <v>Gulfstream Aerospace Gulfstream III</v>
          </cell>
          <cell r="C2888" t="str">
            <v xml:space="preserve"> </v>
          </cell>
          <cell r="D2888">
            <v>1985</v>
          </cell>
          <cell r="E2888" t="str">
            <v>Huffair Inc</v>
          </cell>
          <cell r="F2888">
            <v>15</v>
          </cell>
          <cell r="G2888">
            <v>31412</v>
          </cell>
          <cell r="I2888" t="str">
            <v>North America</v>
          </cell>
          <cell r="J2888" t="str">
            <v>USA</v>
          </cell>
        </row>
        <row r="2889">
          <cell r="A2889" t="str">
            <v>In service</v>
          </cell>
          <cell r="B2889" t="str">
            <v>Gulfstream Aerospace Gulfstream III</v>
          </cell>
          <cell r="C2889" t="str">
            <v xml:space="preserve"> </v>
          </cell>
          <cell r="D2889">
            <v>1985</v>
          </cell>
          <cell r="E2889" t="str">
            <v>Government of Angola</v>
          </cell>
          <cell r="F2889">
            <v>15</v>
          </cell>
          <cell r="G2889">
            <v>31547</v>
          </cell>
          <cell r="I2889" t="str">
            <v>Africa</v>
          </cell>
          <cell r="J2889" t="str">
            <v>Angola</v>
          </cell>
          <cell r="K2889">
            <v>30863</v>
          </cell>
        </row>
        <row r="2890">
          <cell r="A2890" t="str">
            <v>In service</v>
          </cell>
          <cell r="B2890" t="str">
            <v>Gulfstream Aerospace Gulfstream III</v>
          </cell>
          <cell r="C2890" t="str">
            <v xml:space="preserve"> </v>
          </cell>
          <cell r="D2890">
            <v>1986</v>
          </cell>
          <cell r="E2890" t="str">
            <v>Italian Air Force</v>
          </cell>
          <cell r="F2890">
            <v>14</v>
          </cell>
          <cell r="G2890">
            <v>31761</v>
          </cell>
          <cell r="I2890" t="str">
            <v>Europe</v>
          </cell>
          <cell r="J2890" t="str">
            <v>Italy</v>
          </cell>
          <cell r="K2890">
            <v>30863</v>
          </cell>
        </row>
        <row r="2891">
          <cell r="A2891" t="str">
            <v>In service</v>
          </cell>
          <cell r="B2891" t="str">
            <v>Gulfstream Aerospace Gulfstream III</v>
          </cell>
          <cell r="C2891" t="str">
            <v xml:space="preserve"> </v>
          </cell>
          <cell r="D2891">
            <v>1986</v>
          </cell>
          <cell r="E2891" t="str">
            <v>Bausch &amp; Lomb Inc</v>
          </cell>
          <cell r="F2891">
            <v>14</v>
          </cell>
          <cell r="G2891">
            <v>31674</v>
          </cell>
          <cell r="I2891" t="str">
            <v>North America</v>
          </cell>
          <cell r="J2891" t="str">
            <v>USA</v>
          </cell>
          <cell r="K2891">
            <v>31228</v>
          </cell>
        </row>
        <row r="2892">
          <cell r="A2892" t="str">
            <v>In service</v>
          </cell>
          <cell r="B2892" t="str">
            <v>Gulfstream Aerospace Gulfstream III</v>
          </cell>
          <cell r="C2892" t="str">
            <v xml:space="preserve"> </v>
          </cell>
          <cell r="D2892">
            <v>1986</v>
          </cell>
          <cell r="E2892" t="str">
            <v>Hubbard Broadcasting Inc</v>
          </cell>
          <cell r="F2892">
            <v>14</v>
          </cell>
          <cell r="G2892">
            <v>31523</v>
          </cell>
          <cell r="I2892" t="str">
            <v>North America</v>
          </cell>
          <cell r="J2892" t="str">
            <v>USA</v>
          </cell>
          <cell r="K2892">
            <v>30863</v>
          </cell>
        </row>
        <row r="2893">
          <cell r="A2893" t="str">
            <v>In service</v>
          </cell>
          <cell r="B2893" t="str">
            <v>Gulfstream Aerospace Gulfstream III</v>
          </cell>
          <cell r="C2893" t="str">
            <v xml:space="preserve"> </v>
          </cell>
          <cell r="D2893">
            <v>1986</v>
          </cell>
          <cell r="E2893" t="str">
            <v>Rida Aviation Ltd</v>
          </cell>
          <cell r="F2893">
            <v>14</v>
          </cell>
          <cell r="G2893">
            <v>31560</v>
          </cell>
          <cell r="I2893" t="str">
            <v>Latin America and Caribbean</v>
          </cell>
          <cell r="J2893" t="str">
            <v>Bermuda</v>
          </cell>
          <cell r="K2893">
            <v>31228</v>
          </cell>
        </row>
        <row r="2894">
          <cell r="A2894" t="str">
            <v>In service</v>
          </cell>
          <cell r="B2894" t="str">
            <v>Gulfstream Aerospace Gulfstream III</v>
          </cell>
          <cell r="C2894" t="str">
            <v xml:space="preserve"> </v>
          </cell>
          <cell r="D2894">
            <v>1986</v>
          </cell>
          <cell r="E2894" t="str">
            <v>McWane Inc</v>
          </cell>
          <cell r="F2894">
            <v>14</v>
          </cell>
          <cell r="G2894">
            <v>31774</v>
          </cell>
          <cell r="I2894" t="str">
            <v>North America</v>
          </cell>
          <cell r="J2894" t="str">
            <v>USA</v>
          </cell>
        </row>
        <row r="2895">
          <cell r="A2895" t="str">
            <v>In service</v>
          </cell>
          <cell r="B2895" t="str">
            <v>Gulfstream Aerospace Gulfstream III</v>
          </cell>
          <cell r="C2895" t="str">
            <v xml:space="preserve"> </v>
          </cell>
          <cell r="D2895">
            <v>1986</v>
          </cell>
          <cell r="E2895" t="str">
            <v>Government of Cameroon</v>
          </cell>
          <cell r="F2895">
            <v>14</v>
          </cell>
          <cell r="G2895">
            <v>31578</v>
          </cell>
          <cell r="I2895" t="str">
            <v>Africa</v>
          </cell>
          <cell r="J2895" t="str">
            <v>Cameroon</v>
          </cell>
          <cell r="K2895">
            <v>30863</v>
          </cell>
        </row>
        <row r="2896">
          <cell r="A2896" t="str">
            <v>In service</v>
          </cell>
          <cell r="B2896" t="str">
            <v>Gulfstream Aerospace Gulfstream III</v>
          </cell>
          <cell r="C2896" t="str">
            <v xml:space="preserve"> </v>
          </cell>
          <cell r="D2896">
            <v>1986</v>
          </cell>
          <cell r="E2896" t="str">
            <v>Walter McPhail</v>
          </cell>
          <cell r="F2896">
            <v>14</v>
          </cell>
          <cell r="G2896">
            <v>31670</v>
          </cell>
          <cell r="I2896" t="str">
            <v>North America</v>
          </cell>
          <cell r="J2896" t="str">
            <v>USA</v>
          </cell>
          <cell r="K2896">
            <v>30863</v>
          </cell>
        </row>
        <row r="2897">
          <cell r="A2897" t="str">
            <v>In service</v>
          </cell>
          <cell r="B2897" t="str">
            <v>Gulfstream Aerospace Gulfstream III</v>
          </cell>
          <cell r="C2897" t="str">
            <v xml:space="preserve"> </v>
          </cell>
          <cell r="D2897">
            <v>1986</v>
          </cell>
          <cell r="E2897" t="str">
            <v>Commerce Leasing Co</v>
          </cell>
          <cell r="F2897">
            <v>14</v>
          </cell>
          <cell r="G2897">
            <v>31729</v>
          </cell>
          <cell r="I2897" t="str">
            <v>North America</v>
          </cell>
          <cell r="J2897" t="str">
            <v>USA</v>
          </cell>
          <cell r="K2897">
            <v>31228</v>
          </cell>
        </row>
        <row r="2898">
          <cell r="A2898" t="str">
            <v>In service</v>
          </cell>
          <cell r="B2898" t="str">
            <v>Gulfstream Aerospace Gulfstream III</v>
          </cell>
          <cell r="C2898" t="str">
            <v xml:space="preserve"> </v>
          </cell>
          <cell r="D2898">
            <v>1986</v>
          </cell>
          <cell r="E2898" t="str">
            <v>Countrywide Home Loans Inc</v>
          </cell>
          <cell r="F2898">
            <v>14</v>
          </cell>
          <cell r="G2898">
            <v>31700</v>
          </cell>
          <cell r="I2898" t="str">
            <v>North America</v>
          </cell>
          <cell r="J2898" t="str">
            <v>USA</v>
          </cell>
          <cell r="K2898">
            <v>31228</v>
          </cell>
        </row>
        <row r="2899">
          <cell r="A2899" t="str">
            <v>In service</v>
          </cell>
          <cell r="B2899" t="str">
            <v>Gulfstream Aerospace Gulfstream III</v>
          </cell>
          <cell r="C2899" t="str">
            <v xml:space="preserve"> </v>
          </cell>
          <cell r="D2899">
            <v>1986</v>
          </cell>
          <cell r="E2899" t="str">
            <v>Franklin/Templeton Travel Inc</v>
          </cell>
          <cell r="F2899">
            <v>14</v>
          </cell>
          <cell r="G2899">
            <v>31702</v>
          </cell>
          <cell r="I2899" t="str">
            <v>North America</v>
          </cell>
          <cell r="J2899" t="str">
            <v>USA</v>
          </cell>
          <cell r="K2899">
            <v>31228</v>
          </cell>
        </row>
        <row r="2900">
          <cell r="A2900" t="str">
            <v>In service</v>
          </cell>
          <cell r="B2900" t="str">
            <v>Gulfstream Aerospace Gulfstream III</v>
          </cell>
          <cell r="C2900" t="str">
            <v xml:space="preserve"> </v>
          </cell>
          <cell r="D2900">
            <v>1986</v>
          </cell>
          <cell r="E2900" t="str">
            <v>Pillowtex Corp</v>
          </cell>
          <cell r="F2900">
            <v>14</v>
          </cell>
          <cell r="G2900">
            <v>31728</v>
          </cell>
          <cell r="I2900" t="str">
            <v>North America</v>
          </cell>
          <cell r="J2900" t="str">
            <v>USA</v>
          </cell>
          <cell r="K2900">
            <v>31228</v>
          </cell>
        </row>
        <row r="2901">
          <cell r="A2901" t="str">
            <v>In service</v>
          </cell>
          <cell r="B2901" t="str">
            <v>Gulfstream Aerospace Gulfstream III</v>
          </cell>
          <cell r="C2901" t="str">
            <v xml:space="preserve"> </v>
          </cell>
          <cell r="D2901">
            <v>1986</v>
          </cell>
          <cell r="E2901" t="str">
            <v>TC Aviation Inc</v>
          </cell>
          <cell r="F2901">
            <v>14</v>
          </cell>
          <cell r="G2901">
            <v>32126</v>
          </cell>
          <cell r="I2901" t="str">
            <v>North America</v>
          </cell>
          <cell r="J2901" t="str">
            <v>USA</v>
          </cell>
          <cell r="K2901">
            <v>31593</v>
          </cell>
        </row>
        <row r="2902">
          <cell r="A2902" t="str">
            <v>In service</v>
          </cell>
          <cell r="B2902" t="str">
            <v>Gulfstream Aerospace Gulfstream III</v>
          </cell>
          <cell r="C2902" t="str">
            <v xml:space="preserve"> </v>
          </cell>
          <cell r="D2902">
            <v>1986</v>
          </cell>
          <cell r="E2902" t="str">
            <v>Ghana Air Force</v>
          </cell>
          <cell r="F2902">
            <v>14</v>
          </cell>
          <cell r="G2902">
            <v>31770</v>
          </cell>
          <cell r="I2902" t="str">
            <v>Africa</v>
          </cell>
          <cell r="J2902" t="str">
            <v>Ghana</v>
          </cell>
        </row>
        <row r="2903">
          <cell r="A2903" t="str">
            <v>In service</v>
          </cell>
          <cell r="B2903" t="str">
            <v>Gulfstream Aerospace Gulfstream III</v>
          </cell>
          <cell r="C2903" t="str">
            <v xml:space="preserve"> </v>
          </cell>
          <cell r="D2903">
            <v>1987</v>
          </cell>
          <cell r="E2903" t="str">
            <v xml:space="preserve">Independent Aviation Services Ltd Coutts (Cayman) </v>
          </cell>
          <cell r="F2903">
            <v>13</v>
          </cell>
          <cell r="G2903">
            <v>32134</v>
          </cell>
          <cell r="I2903" t="str">
            <v>Latin America and Caribbean</v>
          </cell>
          <cell r="J2903" t="str">
            <v>Cayman Islands</v>
          </cell>
        </row>
        <row r="2904">
          <cell r="A2904" t="str">
            <v>In service</v>
          </cell>
          <cell r="B2904" t="str">
            <v>Gulfstream Aerospace Gulfstream III</v>
          </cell>
          <cell r="C2904" t="str">
            <v xml:space="preserve"> </v>
          </cell>
          <cell r="D2904">
            <v>1981</v>
          </cell>
          <cell r="E2904" t="str">
            <v>Tatham Aviation Services Inc</v>
          </cell>
          <cell r="F2904">
            <v>19</v>
          </cell>
          <cell r="G2904">
            <v>29654</v>
          </cell>
          <cell r="I2904" t="str">
            <v>North America</v>
          </cell>
          <cell r="J2904" t="str">
            <v>USA</v>
          </cell>
          <cell r="K2904">
            <v>29036</v>
          </cell>
        </row>
        <row r="2905">
          <cell r="A2905" t="str">
            <v>In service</v>
          </cell>
          <cell r="B2905" t="str">
            <v>Gulfstream Aerospace Gulfstream III</v>
          </cell>
          <cell r="C2905" t="str">
            <v>(SCD)</v>
          </cell>
          <cell r="D2905">
            <v>1979</v>
          </cell>
          <cell r="E2905" t="str">
            <v>Royal Danish Air Force</v>
          </cell>
          <cell r="F2905">
            <v>21</v>
          </cell>
          <cell r="G2905">
            <v>30056</v>
          </cell>
          <cell r="H2905" t="str">
            <v>(SCD)</v>
          </cell>
          <cell r="I2905" t="str">
            <v>Europe</v>
          </cell>
          <cell r="J2905" t="str">
            <v>Denmark</v>
          </cell>
        </row>
        <row r="2906">
          <cell r="A2906" t="str">
            <v>In service</v>
          </cell>
          <cell r="B2906" t="str">
            <v>Gulfstream Aerospace Gulfstream III</v>
          </cell>
          <cell r="C2906" t="str">
            <v>(SCD)</v>
          </cell>
          <cell r="D2906">
            <v>1980</v>
          </cell>
          <cell r="E2906" t="str">
            <v>Royal Danish Air Force</v>
          </cell>
          <cell r="F2906">
            <v>20</v>
          </cell>
          <cell r="G2906">
            <v>29465</v>
          </cell>
          <cell r="H2906" t="str">
            <v>(SCD)</v>
          </cell>
          <cell r="I2906" t="str">
            <v>Europe</v>
          </cell>
          <cell r="J2906" t="str">
            <v>Denmark</v>
          </cell>
          <cell r="K2906">
            <v>29036</v>
          </cell>
        </row>
        <row r="2907">
          <cell r="A2907" t="str">
            <v>In service</v>
          </cell>
          <cell r="B2907" t="str">
            <v>Gulfstream Aerospace Gulfstream III</v>
          </cell>
          <cell r="C2907" t="str">
            <v>(SCD)</v>
          </cell>
          <cell r="D2907">
            <v>1986</v>
          </cell>
          <cell r="E2907" t="str">
            <v>Indian Air Force</v>
          </cell>
          <cell r="F2907">
            <v>14</v>
          </cell>
          <cell r="G2907">
            <v>31770</v>
          </cell>
          <cell r="H2907" t="str">
            <v>(SCD)</v>
          </cell>
          <cell r="I2907" t="str">
            <v>Asia</v>
          </cell>
          <cell r="J2907" t="str">
            <v>India</v>
          </cell>
        </row>
        <row r="2908">
          <cell r="A2908" t="str">
            <v>In service</v>
          </cell>
          <cell r="B2908" t="str">
            <v>Gulfstream Aerospace Gulfstream III</v>
          </cell>
          <cell r="C2908" t="str">
            <v>(SCD)</v>
          </cell>
          <cell r="D2908">
            <v>1986</v>
          </cell>
          <cell r="E2908" t="str">
            <v>Indian Air Force</v>
          </cell>
          <cell r="F2908">
            <v>14</v>
          </cell>
          <cell r="G2908">
            <v>31776</v>
          </cell>
          <cell r="H2908" t="str">
            <v>(SCD)</v>
          </cell>
          <cell r="I2908" t="str">
            <v>Asia</v>
          </cell>
          <cell r="J2908" t="str">
            <v>India</v>
          </cell>
        </row>
        <row r="2909">
          <cell r="A2909" t="str">
            <v>In service</v>
          </cell>
          <cell r="B2909" t="str">
            <v>Gulfstream Aerospace Gulfstream III</v>
          </cell>
          <cell r="C2909" t="str">
            <v>C-20A</v>
          </cell>
          <cell r="D2909">
            <v>1983</v>
          </cell>
          <cell r="E2909" t="str">
            <v>US Air Force</v>
          </cell>
          <cell r="F2909">
            <v>17</v>
          </cell>
          <cell r="G2909">
            <v>30619</v>
          </cell>
          <cell r="H2909" t="str">
            <v>C-20A</v>
          </cell>
          <cell r="I2909" t="str">
            <v>North America</v>
          </cell>
          <cell r="J2909" t="str">
            <v>USA</v>
          </cell>
          <cell r="K2909">
            <v>30474</v>
          </cell>
        </row>
        <row r="2910">
          <cell r="A2910" t="str">
            <v>In service</v>
          </cell>
          <cell r="B2910" t="str">
            <v>Gulfstream Aerospace Gulfstream III</v>
          </cell>
          <cell r="C2910" t="str">
            <v>C-20A</v>
          </cell>
          <cell r="D2910">
            <v>1983</v>
          </cell>
          <cell r="E2910" t="str">
            <v>US Air Force</v>
          </cell>
          <cell r="F2910">
            <v>17</v>
          </cell>
          <cell r="G2910">
            <v>30589</v>
          </cell>
          <cell r="H2910" t="str">
            <v>C-20A</v>
          </cell>
          <cell r="I2910" t="str">
            <v>North America</v>
          </cell>
          <cell r="J2910" t="str">
            <v>USA</v>
          </cell>
          <cell r="K2910">
            <v>30474</v>
          </cell>
        </row>
        <row r="2911">
          <cell r="A2911" t="str">
            <v>In service</v>
          </cell>
          <cell r="B2911" t="str">
            <v>Gulfstream Aerospace Gulfstream III</v>
          </cell>
          <cell r="C2911" t="str">
            <v>C-20A</v>
          </cell>
          <cell r="D2911">
            <v>1983</v>
          </cell>
          <cell r="E2911" t="str">
            <v>US Air Force</v>
          </cell>
          <cell r="F2911">
            <v>17</v>
          </cell>
          <cell r="G2911">
            <v>30650</v>
          </cell>
          <cell r="H2911" t="str">
            <v>C-20A</v>
          </cell>
          <cell r="I2911" t="str">
            <v>North America</v>
          </cell>
          <cell r="J2911" t="str">
            <v>USA</v>
          </cell>
          <cell r="K2911">
            <v>30474</v>
          </cell>
        </row>
        <row r="2912">
          <cell r="A2912" t="str">
            <v>In service</v>
          </cell>
          <cell r="B2912" t="str">
            <v>Gulfstream Aerospace Gulfstream III</v>
          </cell>
          <cell r="C2912" t="str">
            <v>C-20B</v>
          </cell>
          <cell r="D2912">
            <v>1985</v>
          </cell>
          <cell r="E2912" t="str">
            <v>Regal Aviation LLC</v>
          </cell>
          <cell r="F2912">
            <v>15</v>
          </cell>
          <cell r="G2912">
            <v>31851</v>
          </cell>
          <cell r="I2912" t="str">
            <v>North America</v>
          </cell>
          <cell r="J2912" t="str">
            <v>USA</v>
          </cell>
          <cell r="K2912">
            <v>31427</v>
          </cell>
        </row>
        <row r="2913">
          <cell r="A2913" t="str">
            <v>In service</v>
          </cell>
          <cell r="B2913" t="str">
            <v>Gulfstream Aerospace Gulfstream III</v>
          </cell>
          <cell r="C2913" t="str">
            <v>C-20B</v>
          </cell>
          <cell r="D2913">
            <v>1985</v>
          </cell>
          <cell r="E2913" t="str">
            <v>US Air Force</v>
          </cell>
          <cell r="F2913">
            <v>15</v>
          </cell>
          <cell r="G2913">
            <v>31882</v>
          </cell>
          <cell r="H2913" t="str">
            <v>C-20B</v>
          </cell>
          <cell r="I2913" t="str">
            <v>North America</v>
          </cell>
          <cell r="J2913" t="str">
            <v>USA</v>
          </cell>
          <cell r="K2913">
            <v>31427</v>
          </cell>
        </row>
        <row r="2914">
          <cell r="A2914" t="str">
            <v>In service</v>
          </cell>
          <cell r="B2914" t="str">
            <v>Gulfstream Aerospace Gulfstream III</v>
          </cell>
          <cell r="C2914" t="str">
            <v>C-20B</v>
          </cell>
          <cell r="D2914">
            <v>1985</v>
          </cell>
          <cell r="E2914" t="str">
            <v>US Air Force</v>
          </cell>
          <cell r="F2914">
            <v>15</v>
          </cell>
          <cell r="G2914">
            <v>31912</v>
          </cell>
          <cell r="H2914" t="str">
            <v>C-20B</v>
          </cell>
          <cell r="I2914" t="str">
            <v>North America</v>
          </cell>
          <cell r="J2914" t="str">
            <v>USA</v>
          </cell>
          <cell r="K2914">
            <v>31427</v>
          </cell>
        </row>
        <row r="2915">
          <cell r="A2915" t="str">
            <v>In service</v>
          </cell>
          <cell r="B2915" t="str">
            <v>Gulfstream Aerospace Gulfstream III</v>
          </cell>
          <cell r="C2915" t="str">
            <v>C-20B</v>
          </cell>
          <cell r="D2915">
            <v>1985</v>
          </cell>
          <cell r="E2915" t="str">
            <v>US Air Force</v>
          </cell>
          <cell r="F2915">
            <v>15</v>
          </cell>
          <cell r="G2915">
            <v>32004</v>
          </cell>
          <cell r="H2915" t="str">
            <v>C-20B</v>
          </cell>
          <cell r="I2915" t="str">
            <v>North America</v>
          </cell>
          <cell r="J2915" t="str">
            <v>USA</v>
          </cell>
          <cell r="K2915">
            <v>31427</v>
          </cell>
        </row>
        <row r="2916">
          <cell r="A2916" t="str">
            <v>In service</v>
          </cell>
          <cell r="B2916" t="str">
            <v>Gulfstream Aerospace Gulfstream III</v>
          </cell>
          <cell r="C2916" t="str">
            <v>C-20B</v>
          </cell>
          <cell r="D2916">
            <v>1985</v>
          </cell>
          <cell r="E2916" t="str">
            <v>US Air Force</v>
          </cell>
          <cell r="F2916">
            <v>15</v>
          </cell>
          <cell r="G2916">
            <v>32035</v>
          </cell>
          <cell r="H2916" t="str">
            <v>C-20B</v>
          </cell>
          <cell r="I2916" t="str">
            <v>North America</v>
          </cell>
          <cell r="J2916" t="str">
            <v>USA</v>
          </cell>
          <cell r="K2916">
            <v>31427</v>
          </cell>
        </row>
        <row r="2917">
          <cell r="A2917" t="str">
            <v>In service</v>
          </cell>
          <cell r="B2917" t="str">
            <v>Gulfstream Aerospace Gulfstream III</v>
          </cell>
          <cell r="C2917" t="str">
            <v>C-20B</v>
          </cell>
          <cell r="D2917">
            <v>1985</v>
          </cell>
          <cell r="E2917" t="str">
            <v>US Coast Guard</v>
          </cell>
          <cell r="F2917">
            <v>15</v>
          </cell>
          <cell r="G2917">
            <v>32065</v>
          </cell>
          <cell r="H2917" t="str">
            <v>C-20B</v>
          </cell>
          <cell r="I2917" t="str">
            <v>North America</v>
          </cell>
          <cell r="J2917" t="str">
            <v>USA</v>
          </cell>
          <cell r="K2917">
            <v>31427</v>
          </cell>
        </row>
        <row r="2918">
          <cell r="A2918" t="str">
            <v>In service</v>
          </cell>
          <cell r="B2918" t="str">
            <v>Gulfstream Aerospace Gulfstream III</v>
          </cell>
          <cell r="C2918" t="str">
            <v>C-20B</v>
          </cell>
          <cell r="D2918">
            <v>1985</v>
          </cell>
          <cell r="E2918" t="str">
            <v>US Air Force</v>
          </cell>
          <cell r="F2918">
            <v>15</v>
          </cell>
          <cell r="G2918">
            <v>31517</v>
          </cell>
          <cell r="H2918" t="str">
            <v>C-20B</v>
          </cell>
          <cell r="I2918" t="str">
            <v>North America</v>
          </cell>
          <cell r="J2918" t="str">
            <v>USA</v>
          </cell>
          <cell r="K2918">
            <v>31427</v>
          </cell>
        </row>
        <row r="2919">
          <cell r="A2919" t="str">
            <v>In service</v>
          </cell>
          <cell r="B2919" t="str">
            <v>Gulfstream Aerospace Gulfstream III</v>
          </cell>
          <cell r="C2919" t="str">
            <v>C-20C</v>
          </cell>
          <cell r="D2919">
            <v>1985</v>
          </cell>
          <cell r="E2919" t="str">
            <v>US Army</v>
          </cell>
          <cell r="F2919">
            <v>15</v>
          </cell>
          <cell r="G2919">
            <v>31593</v>
          </cell>
          <cell r="H2919" t="str">
            <v>C-20C</v>
          </cell>
          <cell r="I2919" t="str">
            <v>North America</v>
          </cell>
          <cell r="J2919" t="str">
            <v>USA</v>
          </cell>
          <cell r="K2919">
            <v>30863</v>
          </cell>
        </row>
        <row r="2920">
          <cell r="A2920" t="str">
            <v>In service</v>
          </cell>
          <cell r="B2920" t="str">
            <v>Gulfstream Aerospace Gulfstream III</v>
          </cell>
          <cell r="C2920" t="str">
            <v>C-20C</v>
          </cell>
          <cell r="D2920">
            <v>1985</v>
          </cell>
          <cell r="E2920" t="str">
            <v>US Army</v>
          </cell>
          <cell r="F2920">
            <v>15</v>
          </cell>
          <cell r="G2920">
            <v>31593</v>
          </cell>
          <cell r="H2920" t="str">
            <v>C-20C</v>
          </cell>
          <cell r="I2920" t="str">
            <v>North America</v>
          </cell>
          <cell r="J2920" t="str">
            <v>USA</v>
          </cell>
          <cell r="K2920">
            <v>30863</v>
          </cell>
        </row>
        <row r="2921">
          <cell r="A2921" t="str">
            <v>In service</v>
          </cell>
          <cell r="B2921" t="str">
            <v>Gulfstream Aerospace Gulfstream III</v>
          </cell>
          <cell r="C2921" t="str">
            <v>C-20C</v>
          </cell>
          <cell r="D2921">
            <v>1985</v>
          </cell>
          <cell r="E2921" t="str">
            <v>US Air Force</v>
          </cell>
          <cell r="F2921">
            <v>15</v>
          </cell>
          <cell r="G2921">
            <v>31973</v>
          </cell>
          <cell r="H2921" t="str">
            <v>C-20C</v>
          </cell>
          <cell r="I2921" t="str">
            <v>North America</v>
          </cell>
          <cell r="J2921" t="str">
            <v>USA</v>
          </cell>
          <cell r="K2921">
            <v>31593</v>
          </cell>
        </row>
        <row r="2922">
          <cell r="A2922" t="str">
            <v>In service</v>
          </cell>
          <cell r="B2922" t="str">
            <v>Gulfstream Aerospace Gulfstream III</v>
          </cell>
          <cell r="C2922" t="str">
            <v>C-20D</v>
          </cell>
          <cell r="D2922">
            <v>1986</v>
          </cell>
          <cell r="E2922" t="str">
            <v>US Navy</v>
          </cell>
          <cell r="F2922">
            <v>14</v>
          </cell>
          <cell r="G2922">
            <v>31578</v>
          </cell>
          <cell r="H2922" t="str">
            <v>C-20D</v>
          </cell>
          <cell r="I2922" t="str">
            <v>North America</v>
          </cell>
          <cell r="J2922" t="str">
            <v>USA</v>
          </cell>
          <cell r="K2922">
            <v>30863</v>
          </cell>
        </row>
        <row r="2923">
          <cell r="A2923" t="str">
            <v>In service</v>
          </cell>
          <cell r="B2923" t="str">
            <v>Gulfstream Aerospace Gulfstream III</v>
          </cell>
          <cell r="C2923" t="str">
            <v>C-20D</v>
          </cell>
          <cell r="D2923">
            <v>1986</v>
          </cell>
          <cell r="E2923" t="str">
            <v>US Navy</v>
          </cell>
          <cell r="F2923">
            <v>14</v>
          </cell>
          <cell r="G2923">
            <v>31578</v>
          </cell>
          <cell r="H2923" t="str">
            <v>C-20D</v>
          </cell>
          <cell r="I2923" t="str">
            <v>North America</v>
          </cell>
          <cell r="J2923" t="str">
            <v>USA</v>
          </cell>
          <cell r="K2923">
            <v>30863</v>
          </cell>
        </row>
        <row r="2924">
          <cell r="A2924" t="str">
            <v>In service</v>
          </cell>
          <cell r="B2924" t="str">
            <v>Gulfstream Aerospace Gulfstream III</v>
          </cell>
          <cell r="C2924" t="str">
            <v>C-20E</v>
          </cell>
          <cell r="D2924">
            <v>1987</v>
          </cell>
          <cell r="E2924" t="str">
            <v>US Army</v>
          </cell>
          <cell r="F2924">
            <v>13</v>
          </cell>
          <cell r="G2924">
            <v>32278</v>
          </cell>
          <cell r="H2924" t="str">
            <v>C-20E</v>
          </cell>
          <cell r="I2924" t="str">
            <v>North America</v>
          </cell>
          <cell r="J2924" t="str">
            <v>USA</v>
          </cell>
          <cell r="K2924">
            <v>31593</v>
          </cell>
        </row>
        <row r="2925">
          <cell r="A2925" t="str">
            <v>In service</v>
          </cell>
          <cell r="B2925" t="str">
            <v>Gulfstream Aerospace Gulfstream III</v>
          </cell>
          <cell r="C2925" t="str">
            <v>C-20E</v>
          </cell>
          <cell r="D2925">
            <v>1987</v>
          </cell>
          <cell r="E2925" t="str">
            <v>US Army</v>
          </cell>
          <cell r="F2925">
            <v>13</v>
          </cell>
          <cell r="G2925">
            <v>32278</v>
          </cell>
          <cell r="H2925" t="str">
            <v>C-20E</v>
          </cell>
          <cell r="I2925" t="str">
            <v>North America</v>
          </cell>
          <cell r="J2925" t="str">
            <v>USA</v>
          </cell>
          <cell r="K2925">
            <v>31593</v>
          </cell>
        </row>
        <row r="2926">
          <cell r="A2926" t="str">
            <v>In service</v>
          </cell>
          <cell r="B2926" t="str">
            <v>Gulfstream Aerospace Gulfstream IV</v>
          </cell>
          <cell r="C2926" t="str">
            <v xml:space="preserve"> </v>
          </cell>
          <cell r="D2926">
            <v>1985</v>
          </cell>
          <cell r="E2926" t="str">
            <v>Skybird Aviation</v>
          </cell>
          <cell r="F2926">
            <v>15</v>
          </cell>
          <cell r="G2926">
            <v>31396</v>
          </cell>
          <cell r="I2926" t="str">
            <v>North America</v>
          </cell>
          <cell r="J2926" t="str">
            <v>USA</v>
          </cell>
        </row>
        <row r="2927">
          <cell r="A2927" t="str">
            <v>In service</v>
          </cell>
          <cell r="B2927" t="str">
            <v>Gulfstream Aerospace Gulfstream IV</v>
          </cell>
          <cell r="C2927" t="str">
            <v xml:space="preserve"> </v>
          </cell>
          <cell r="D2927">
            <v>1986</v>
          </cell>
          <cell r="E2927" t="str">
            <v>Wal-Mart Leasing Inc</v>
          </cell>
          <cell r="F2927">
            <v>14</v>
          </cell>
          <cell r="G2927">
            <v>31756</v>
          </cell>
          <cell r="I2927" t="str">
            <v>North America</v>
          </cell>
          <cell r="J2927" t="str">
            <v>USA</v>
          </cell>
          <cell r="K2927">
            <v>30863</v>
          </cell>
        </row>
        <row r="2928">
          <cell r="A2928" t="str">
            <v>In service</v>
          </cell>
          <cell r="B2928" t="str">
            <v>Gulfstream Aerospace Gulfstream IV</v>
          </cell>
          <cell r="C2928" t="str">
            <v xml:space="preserve"> </v>
          </cell>
          <cell r="D2928">
            <v>1986</v>
          </cell>
          <cell r="E2928" t="str">
            <v>DRW Financial Inc</v>
          </cell>
          <cell r="F2928">
            <v>14</v>
          </cell>
          <cell r="G2928">
            <v>31775</v>
          </cell>
          <cell r="I2928" t="str">
            <v>North America</v>
          </cell>
          <cell r="J2928" t="str">
            <v>USA</v>
          </cell>
          <cell r="K2928">
            <v>30863</v>
          </cell>
        </row>
        <row r="2929">
          <cell r="A2929" t="str">
            <v>In service</v>
          </cell>
          <cell r="B2929" t="str">
            <v>Gulfstream Aerospace Gulfstream IV</v>
          </cell>
          <cell r="C2929" t="str">
            <v xml:space="preserve"> </v>
          </cell>
          <cell r="D2929">
            <v>1986</v>
          </cell>
          <cell r="E2929" t="str">
            <v>G IV Corp</v>
          </cell>
          <cell r="F2929">
            <v>14</v>
          </cell>
          <cell r="G2929">
            <v>31608</v>
          </cell>
          <cell r="I2929" t="str">
            <v>North America</v>
          </cell>
          <cell r="J2929" t="str">
            <v>USA</v>
          </cell>
          <cell r="K2929">
            <v>30863</v>
          </cell>
        </row>
        <row r="2930">
          <cell r="A2930" t="str">
            <v>In service</v>
          </cell>
          <cell r="B2930" t="str">
            <v>Gulfstream Aerospace Gulfstream IV</v>
          </cell>
          <cell r="C2930" t="str">
            <v xml:space="preserve"> </v>
          </cell>
          <cell r="D2930">
            <v>1986</v>
          </cell>
          <cell r="E2930" t="str">
            <v>Paramount Aviation II LLC</v>
          </cell>
          <cell r="F2930">
            <v>14</v>
          </cell>
          <cell r="G2930">
            <v>31653</v>
          </cell>
          <cell r="I2930" t="str">
            <v>North America</v>
          </cell>
          <cell r="J2930" t="str">
            <v>USA</v>
          </cell>
          <cell r="K2930">
            <v>31228</v>
          </cell>
        </row>
        <row r="2931">
          <cell r="A2931" t="str">
            <v>In service</v>
          </cell>
          <cell r="B2931" t="str">
            <v>Gulfstream Aerospace Gulfstream IV</v>
          </cell>
          <cell r="C2931" t="str">
            <v xml:space="preserve"> </v>
          </cell>
          <cell r="D2931">
            <v>1986</v>
          </cell>
          <cell r="E2931" t="str">
            <v>Pratt Industries</v>
          </cell>
          <cell r="F2931">
            <v>14</v>
          </cell>
          <cell r="G2931">
            <v>31700</v>
          </cell>
          <cell r="I2931" t="str">
            <v>Australasia</v>
          </cell>
          <cell r="J2931" t="str">
            <v>Australia</v>
          </cell>
          <cell r="K2931">
            <v>30863</v>
          </cell>
        </row>
        <row r="2932">
          <cell r="A2932" t="str">
            <v>In service</v>
          </cell>
          <cell r="B2932" t="str">
            <v>Gulfstream Aerospace Gulfstream IV</v>
          </cell>
          <cell r="C2932" t="str">
            <v xml:space="preserve"> </v>
          </cell>
          <cell r="D2932">
            <v>1986</v>
          </cell>
          <cell r="E2932" t="str">
            <v>Wilton Investment LC</v>
          </cell>
          <cell r="F2932">
            <v>14</v>
          </cell>
          <cell r="G2932">
            <v>31715</v>
          </cell>
          <cell r="I2932" t="str">
            <v>North America</v>
          </cell>
          <cell r="J2932" t="str">
            <v>USA</v>
          </cell>
          <cell r="K2932">
            <v>30863</v>
          </cell>
        </row>
        <row r="2933">
          <cell r="A2933" t="str">
            <v>In service</v>
          </cell>
          <cell r="B2933" t="str">
            <v>Gulfstream Aerospace Gulfstream IV</v>
          </cell>
          <cell r="C2933" t="str">
            <v xml:space="preserve"> </v>
          </cell>
          <cell r="D2933">
            <v>1986</v>
          </cell>
          <cell r="E2933" t="str">
            <v>Fightertown Inc</v>
          </cell>
          <cell r="F2933">
            <v>14</v>
          </cell>
          <cell r="G2933">
            <v>31749</v>
          </cell>
          <cell r="I2933" t="str">
            <v>North America</v>
          </cell>
          <cell r="J2933" t="str">
            <v>USA</v>
          </cell>
          <cell r="K2933">
            <v>30863</v>
          </cell>
        </row>
        <row r="2934">
          <cell r="A2934" t="str">
            <v>In service</v>
          </cell>
          <cell r="B2934" t="str">
            <v>Gulfstream Aerospace Gulfstream IV</v>
          </cell>
          <cell r="C2934" t="str">
            <v xml:space="preserve"> </v>
          </cell>
          <cell r="D2934">
            <v>1986</v>
          </cell>
          <cell r="E2934" t="str">
            <v>R J Reynolds Tobacco Co</v>
          </cell>
          <cell r="F2934">
            <v>14</v>
          </cell>
          <cell r="G2934">
            <v>31957</v>
          </cell>
          <cell r="I2934" t="str">
            <v>North America</v>
          </cell>
          <cell r="J2934" t="str">
            <v>USA</v>
          </cell>
          <cell r="K2934">
            <v>30863</v>
          </cell>
        </row>
        <row r="2935">
          <cell r="A2935" t="str">
            <v>In service</v>
          </cell>
          <cell r="B2935" t="str">
            <v>Gulfstream Aerospace Gulfstream IV</v>
          </cell>
          <cell r="C2935" t="str">
            <v xml:space="preserve"> </v>
          </cell>
          <cell r="D2935">
            <v>1986</v>
          </cell>
          <cell r="E2935" t="str">
            <v>Royal Netherlands Air Force</v>
          </cell>
          <cell r="F2935">
            <v>14</v>
          </cell>
          <cell r="G2935">
            <v>31766</v>
          </cell>
          <cell r="I2935" t="str">
            <v>Europe</v>
          </cell>
          <cell r="J2935" t="str">
            <v>Netherlands</v>
          </cell>
          <cell r="K2935">
            <v>30863</v>
          </cell>
        </row>
        <row r="2936">
          <cell r="A2936" t="str">
            <v>In service</v>
          </cell>
          <cell r="B2936" t="str">
            <v>Gulfstream Aerospace Gulfstream IV</v>
          </cell>
          <cell r="C2936" t="str">
            <v xml:space="preserve"> </v>
          </cell>
          <cell r="D2936">
            <v>1986</v>
          </cell>
          <cell r="E2936" t="str">
            <v>Fairmont Aviation Inc</v>
          </cell>
          <cell r="F2936">
            <v>14</v>
          </cell>
          <cell r="G2936">
            <v>31787</v>
          </cell>
          <cell r="I2936" t="str">
            <v>North America</v>
          </cell>
          <cell r="J2936" t="str">
            <v>USA</v>
          </cell>
          <cell r="K2936">
            <v>31228</v>
          </cell>
        </row>
        <row r="2937">
          <cell r="A2937" t="str">
            <v>In service</v>
          </cell>
          <cell r="B2937" t="str">
            <v>Gulfstream Aerospace Gulfstream IV</v>
          </cell>
          <cell r="C2937" t="str">
            <v xml:space="preserve"> </v>
          </cell>
          <cell r="D2937">
            <v>1987</v>
          </cell>
          <cell r="E2937" t="str">
            <v>Dubai Air Wing</v>
          </cell>
          <cell r="F2937">
            <v>13</v>
          </cell>
          <cell r="G2937">
            <v>32115</v>
          </cell>
          <cell r="I2937" t="str">
            <v>Middle East</v>
          </cell>
          <cell r="J2937" t="str">
            <v>United Arab Emirates</v>
          </cell>
          <cell r="K2937">
            <v>30863</v>
          </cell>
        </row>
        <row r="2938">
          <cell r="A2938" t="str">
            <v>In service</v>
          </cell>
          <cell r="B2938" t="str">
            <v>Gulfstream Aerospace Gulfstream IV</v>
          </cell>
          <cell r="C2938" t="str">
            <v xml:space="preserve"> </v>
          </cell>
          <cell r="D2938">
            <v>1987</v>
          </cell>
          <cell r="E2938" t="str">
            <v>Lord Aviation Group LLC</v>
          </cell>
          <cell r="F2938">
            <v>13</v>
          </cell>
          <cell r="G2938">
            <v>31868</v>
          </cell>
          <cell r="I2938" t="str">
            <v>North America</v>
          </cell>
          <cell r="J2938" t="str">
            <v>USA</v>
          </cell>
          <cell r="K2938">
            <v>31228</v>
          </cell>
        </row>
        <row r="2939">
          <cell r="A2939" t="str">
            <v>In service</v>
          </cell>
          <cell r="B2939" t="str">
            <v>Gulfstream Aerospace Gulfstream IV</v>
          </cell>
          <cell r="C2939" t="str">
            <v xml:space="preserve"> </v>
          </cell>
          <cell r="D2939">
            <v>1987</v>
          </cell>
          <cell r="E2939" t="str">
            <v>Fidelity National Financial inc</v>
          </cell>
          <cell r="F2939">
            <v>13</v>
          </cell>
          <cell r="G2939">
            <v>31883</v>
          </cell>
          <cell r="I2939" t="str">
            <v>North America</v>
          </cell>
          <cell r="J2939" t="str">
            <v>USA</v>
          </cell>
          <cell r="K2939">
            <v>31228</v>
          </cell>
        </row>
        <row r="2940">
          <cell r="A2940" t="str">
            <v>In service</v>
          </cell>
          <cell r="B2940" t="str">
            <v>Gulfstream Aerospace Gulfstream IV</v>
          </cell>
          <cell r="C2940" t="str">
            <v xml:space="preserve"> </v>
          </cell>
          <cell r="D2940">
            <v>1987</v>
          </cell>
          <cell r="E2940" t="str">
            <v>Swedish Air Force</v>
          </cell>
          <cell r="F2940">
            <v>13</v>
          </cell>
          <cell r="G2940">
            <v>31888</v>
          </cell>
          <cell r="H2940" t="str">
            <v>TP-102</v>
          </cell>
          <cell r="I2940" t="str">
            <v>Europe</v>
          </cell>
          <cell r="J2940" t="str">
            <v>Sweden</v>
          </cell>
          <cell r="K2940">
            <v>31228</v>
          </cell>
        </row>
        <row r="2941">
          <cell r="A2941" t="str">
            <v>In service</v>
          </cell>
          <cell r="B2941" t="str">
            <v>Gulfstream Aerospace Gulfstream IV</v>
          </cell>
          <cell r="C2941" t="str">
            <v xml:space="preserve"> </v>
          </cell>
          <cell r="D2941">
            <v>1987</v>
          </cell>
          <cell r="E2941" t="str">
            <v>Rashid Engineering</v>
          </cell>
          <cell r="F2941">
            <v>13</v>
          </cell>
          <cell r="G2941">
            <v>32006</v>
          </cell>
          <cell r="I2941" t="str">
            <v>Middle East</v>
          </cell>
          <cell r="J2941" t="str">
            <v>Saudi Arabia</v>
          </cell>
          <cell r="K2941">
            <v>31228</v>
          </cell>
        </row>
        <row r="2942">
          <cell r="A2942" t="str">
            <v>In service</v>
          </cell>
          <cell r="B2942" t="str">
            <v>Gulfstream Aerospace Gulfstream IV</v>
          </cell>
          <cell r="C2942" t="str">
            <v xml:space="preserve"> </v>
          </cell>
          <cell r="D2942">
            <v>1987</v>
          </cell>
          <cell r="E2942" t="str">
            <v>Guardian Industries Corp</v>
          </cell>
          <cell r="F2942">
            <v>13</v>
          </cell>
          <cell r="G2942">
            <v>31919</v>
          </cell>
          <cell r="I2942" t="str">
            <v>North America</v>
          </cell>
          <cell r="J2942" t="str">
            <v>USA</v>
          </cell>
          <cell r="K2942">
            <v>31228</v>
          </cell>
        </row>
        <row r="2943">
          <cell r="A2943" t="str">
            <v>In service</v>
          </cell>
          <cell r="B2943" t="str">
            <v>Gulfstream Aerospace Gulfstream IV</v>
          </cell>
          <cell r="C2943" t="str">
            <v xml:space="preserve"> </v>
          </cell>
          <cell r="D2943">
            <v>1987</v>
          </cell>
          <cell r="E2943" t="str">
            <v>Sugra Ltd</v>
          </cell>
          <cell r="F2943">
            <v>13</v>
          </cell>
          <cell r="G2943">
            <v>32203</v>
          </cell>
          <cell r="I2943" t="str">
            <v>Latin America and Caribbean</v>
          </cell>
          <cell r="J2943" t="str">
            <v>Bermuda</v>
          </cell>
          <cell r="K2943">
            <v>31593</v>
          </cell>
        </row>
        <row r="2944">
          <cell r="A2944" t="str">
            <v>In service</v>
          </cell>
          <cell r="B2944" t="str">
            <v>Gulfstream Aerospace Gulfstream IV</v>
          </cell>
          <cell r="C2944" t="str">
            <v xml:space="preserve"> </v>
          </cell>
          <cell r="D2944">
            <v>1987</v>
          </cell>
          <cell r="E2944" t="str">
            <v>Summit Aviation Inc &amp; Quest Software Inc</v>
          </cell>
          <cell r="F2944">
            <v>13</v>
          </cell>
          <cell r="G2944">
            <v>31992</v>
          </cell>
          <cell r="I2944" t="str">
            <v>North America</v>
          </cell>
          <cell r="J2944" t="str">
            <v>USA</v>
          </cell>
          <cell r="K2944">
            <v>31228</v>
          </cell>
        </row>
        <row r="2945">
          <cell r="A2945" t="str">
            <v>In service</v>
          </cell>
          <cell r="B2945" t="str">
            <v>Gulfstream Aerospace Gulfstream IV</v>
          </cell>
          <cell r="C2945" t="str">
            <v xml:space="preserve"> </v>
          </cell>
          <cell r="D2945">
            <v>1987</v>
          </cell>
          <cell r="E2945" t="str">
            <v>Government of Ivory Coast</v>
          </cell>
          <cell r="F2945">
            <v>13</v>
          </cell>
          <cell r="G2945">
            <v>32126</v>
          </cell>
          <cell r="I2945" t="str">
            <v>Africa</v>
          </cell>
          <cell r="J2945" t="str">
            <v>Ivory Coast</v>
          </cell>
          <cell r="K2945">
            <v>31228</v>
          </cell>
        </row>
        <row r="2946">
          <cell r="A2946" t="str">
            <v>In service</v>
          </cell>
          <cell r="B2946" t="str">
            <v>Gulfstream Aerospace Gulfstream IV</v>
          </cell>
          <cell r="C2946" t="str">
            <v xml:space="preserve"> </v>
          </cell>
          <cell r="D2946">
            <v>1987</v>
          </cell>
          <cell r="E2946" t="str">
            <v>The Air Group Inc</v>
          </cell>
          <cell r="F2946">
            <v>13</v>
          </cell>
          <cell r="G2946">
            <v>31957</v>
          </cell>
          <cell r="I2946" t="str">
            <v>North America</v>
          </cell>
          <cell r="J2946" t="str">
            <v>USA</v>
          </cell>
          <cell r="K2946">
            <v>31228</v>
          </cell>
        </row>
        <row r="2947">
          <cell r="A2947" t="str">
            <v>In service</v>
          </cell>
          <cell r="B2947" t="str">
            <v>Gulfstream Aerospace Gulfstream IV</v>
          </cell>
          <cell r="C2947" t="str">
            <v xml:space="preserve"> </v>
          </cell>
          <cell r="D2947">
            <v>1987</v>
          </cell>
          <cell r="E2947" t="str">
            <v>Gestair</v>
          </cell>
          <cell r="F2947">
            <v>13</v>
          </cell>
          <cell r="G2947">
            <v>32134</v>
          </cell>
          <cell r="I2947" t="str">
            <v>Europe</v>
          </cell>
          <cell r="J2947" t="str">
            <v>Spain</v>
          </cell>
          <cell r="K2947">
            <v>31228</v>
          </cell>
        </row>
        <row r="2948">
          <cell r="A2948" t="str">
            <v>In service</v>
          </cell>
          <cell r="B2948" t="str">
            <v>Gulfstream Aerospace Gulfstream IV</v>
          </cell>
          <cell r="C2948" t="str">
            <v xml:space="preserve"> </v>
          </cell>
          <cell r="D2948">
            <v>1987</v>
          </cell>
          <cell r="E2948" t="str">
            <v>N&amp;MD Investment Corp</v>
          </cell>
          <cell r="F2948">
            <v>13</v>
          </cell>
          <cell r="G2948">
            <v>32233</v>
          </cell>
          <cell r="I2948" t="str">
            <v>North America</v>
          </cell>
          <cell r="J2948" t="str">
            <v>USA</v>
          </cell>
          <cell r="K2948">
            <v>31228</v>
          </cell>
        </row>
        <row r="2949">
          <cell r="A2949" t="str">
            <v>In service</v>
          </cell>
          <cell r="B2949" t="str">
            <v>Gulfstream Aerospace Gulfstream IV</v>
          </cell>
          <cell r="C2949" t="str">
            <v xml:space="preserve"> </v>
          </cell>
          <cell r="D2949">
            <v>1987</v>
          </cell>
          <cell r="E2949" t="str">
            <v>MBNA Corp</v>
          </cell>
          <cell r="F2949">
            <v>13</v>
          </cell>
          <cell r="G2949">
            <v>31993</v>
          </cell>
          <cell r="I2949" t="str">
            <v>North America</v>
          </cell>
          <cell r="J2949" t="str">
            <v>USA</v>
          </cell>
          <cell r="K2949">
            <v>30863</v>
          </cell>
        </row>
        <row r="2950">
          <cell r="A2950" t="str">
            <v>In service</v>
          </cell>
          <cell r="B2950" t="str">
            <v>Gulfstream Aerospace Gulfstream IV</v>
          </cell>
          <cell r="C2950" t="str">
            <v xml:space="preserve"> </v>
          </cell>
          <cell r="D2950">
            <v>1987</v>
          </cell>
          <cell r="E2950" t="str">
            <v>Morita Inc</v>
          </cell>
          <cell r="F2950">
            <v>13</v>
          </cell>
          <cell r="G2950">
            <v>32016</v>
          </cell>
          <cell r="I2950" t="str">
            <v>North America</v>
          </cell>
          <cell r="J2950" t="str">
            <v>USA</v>
          </cell>
          <cell r="K2950">
            <v>31228</v>
          </cell>
        </row>
        <row r="2951">
          <cell r="A2951" t="str">
            <v>In service</v>
          </cell>
          <cell r="B2951" t="str">
            <v>Gulfstream Aerospace Gulfstream IV</v>
          </cell>
          <cell r="C2951" t="str">
            <v xml:space="preserve"> </v>
          </cell>
          <cell r="D2951">
            <v>1987</v>
          </cell>
          <cell r="E2951" t="str">
            <v>Eagle Flight Systems Inc</v>
          </cell>
          <cell r="F2951">
            <v>13</v>
          </cell>
          <cell r="G2951">
            <v>32024</v>
          </cell>
          <cell r="I2951" t="str">
            <v>North America</v>
          </cell>
          <cell r="J2951" t="str">
            <v>USA</v>
          </cell>
          <cell r="K2951">
            <v>31228</v>
          </cell>
        </row>
        <row r="2952">
          <cell r="A2952" t="str">
            <v>In service</v>
          </cell>
          <cell r="B2952" t="str">
            <v>Gulfstream Aerospace Gulfstream IV</v>
          </cell>
          <cell r="C2952" t="str">
            <v xml:space="preserve"> </v>
          </cell>
          <cell r="D2952">
            <v>1987</v>
          </cell>
          <cell r="E2952" t="str">
            <v>Petersen Aviation</v>
          </cell>
          <cell r="F2952">
            <v>13</v>
          </cell>
          <cell r="G2952">
            <v>32055</v>
          </cell>
          <cell r="I2952" t="str">
            <v>North America</v>
          </cell>
          <cell r="J2952" t="str">
            <v>USA</v>
          </cell>
          <cell r="K2952">
            <v>31228</v>
          </cell>
        </row>
        <row r="2953">
          <cell r="A2953" t="str">
            <v>In service</v>
          </cell>
          <cell r="B2953" t="str">
            <v>Gulfstream Aerospace Gulfstream IV</v>
          </cell>
          <cell r="C2953" t="str">
            <v xml:space="preserve"> </v>
          </cell>
          <cell r="D2953">
            <v>1987</v>
          </cell>
          <cell r="E2953" t="str">
            <v>Government of Turkey</v>
          </cell>
          <cell r="F2953">
            <v>13</v>
          </cell>
          <cell r="G2953">
            <v>32286</v>
          </cell>
          <cell r="I2953" t="str">
            <v>Europe</v>
          </cell>
          <cell r="J2953" t="str">
            <v>Turkey</v>
          </cell>
          <cell r="K2953">
            <v>31593</v>
          </cell>
        </row>
        <row r="2954">
          <cell r="A2954" t="str">
            <v>In service</v>
          </cell>
          <cell r="B2954" t="str">
            <v>Gulfstream Aerospace Gulfstream IV</v>
          </cell>
          <cell r="C2954" t="str">
            <v xml:space="preserve"> </v>
          </cell>
          <cell r="D2954">
            <v>1987</v>
          </cell>
          <cell r="E2954" t="str">
            <v>SAH Enterprises Inc</v>
          </cell>
          <cell r="F2954">
            <v>13</v>
          </cell>
          <cell r="G2954">
            <v>32134</v>
          </cell>
          <cell r="I2954" t="str">
            <v>North America</v>
          </cell>
          <cell r="J2954" t="str">
            <v>USA</v>
          </cell>
          <cell r="K2954">
            <v>31228</v>
          </cell>
        </row>
        <row r="2955">
          <cell r="A2955" t="str">
            <v>In service</v>
          </cell>
          <cell r="B2955" t="str">
            <v>Gulfstream Aerospace Gulfstream IV</v>
          </cell>
          <cell r="C2955" t="str">
            <v xml:space="preserve"> </v>
          </cell>
          <cell r="D2955">
            <v>1987</v>
          </cell>
          <cell r="E2955" t="str">
            <v>Specialised Transportation (Bermuda) Ltd</v>
          </cell>
          <cell r="F2955">
            <v>13</v>
          </cell>
          <cell r="G2955">
            <v>32078</v>
          </cell>
          <cell r="I2955" t="str">
            <v>Latin America and Caribbean</v>
          </cell>
          <cell r="J2955" t="str">
            <v>Bermuda</v>
          </cell>
          <cell r="K2955">
            <v>31228</v>
          </cell>
        </row>
        <row r="2956">
          <cell r="A2956" t="str">
            <v>In service</v>
          </cell>
          <cell r="B2956" t="str">
            <v>Gulfstream Aerospace Gulfstream IV</v>
          </cell>
          <cell r="C2956" t="str">
            <v xml:space="preserve"> </v>
          </cell>
          <cell r="D2956">
            <v>1987</v>
          </cell>
          <cell r="E2956" t="str">
            <v>WNP Aviation Inc</v>
          </cell>
          <cell r="F2956">
            <v>13</v>
          </cell>
          <cell r="G2956">
            <v>32188</v>
          </cell>
          <cell r="I2956" t="str">
            <v>North America</v>
          </cell>
          <cell r="J2956" t="str">
            <v>USA</v>
          </cell>
          <cell r="K2956">
            <v>31593</v>
          </cell>
        </row>
        <row r="2957">
          <cell r="A2957" t="str">
            <v>In service</v>
          </cell>
          <cell r="B2957" t="str">
            <v>Gulfstream Aerospace Gulfstream IV</v>
          </cell>
          <cell r="C2957" t="str">
            <v xml:space="preserve"> </v>
          </cell>
          <cell r="D2957">
            <v>1987</v>
          </cell>
          <cell r="E2957" t="str">
            <v>Saudi Arabian Airlines</v>
          </cell>
          <cell r="F2957">
            <v>13</v>
          </cell>
          <cell r="G2957">
            <v>32827</v>
          </cell>
          <cell r="I2957" t="str">
            <v>Middle East</v>
          </cell>
          <cell r="J2957" t="str">
            <v>Saudi Arabia</v>
          </cell>
          <cell r="K2957">
            <v>31593</v>
          </cell>
        </row>
        <row r="2958">
          <cell r="A2958" t="str">
            <v>In service</v>
          </cell>
          <cell r="B2958" t="str">
            <v>Gulfstream Aerospace Gulfstream IV</v>
          </cell>
          <cell r="C2958" t="str">
            <v xml:space="preserve"> </v>
          </cell>
          <cell r="D2958">
            <v>1987</v>
          </cell>
          <cell r="E2958" t="str">
            <v>Netjets Middle East</v>
          </cell>
          <cell r="F2958">
            <v>13</v>
          </cell>
          <cell r="G2958">
            <v>31847</v>
          </cell>
          <cell r="I2958" t="str">
            <v>Middle East</v>
          </cell>
          <cell r="J2958" t="str">
            <v>Saudi Arabia</v>
          </cell>
          <cell r="K2958">
            <v>31228</v>
          </cell>
        </row>
        <row r="2959">
          <cell r="A2959" t="str">
            <v>In service</v>
          </cell>
          <cell r="B2959" t="str">
            <v>Gulfstream Aerospace Gulfstream IV</v>
          </cell>
          <cell r="C2959" t="str">
            <v xml:space="preserve"> </v>
          </cell>
          <cell r="D2959">
            <v>1987</v>
          </cell>
          <cell r="E2959" t="str">
            <v>NIKE Inc</v>
          </cell>
          <cell r="F2959">
            <v>13</v>
          </cell>
          <cell r="G2959">
            <v>32278</v>
          </cell>
          <cell r="I2959" t="str">
            <v>North America</v>
          </cell>
          <cell r="J2959" t="str">
            <v>USA</v>
          </cell>
          <cell r="K2959">
            <v>31593</v>
          </cell>
        </row>
        <row r="2960">
          <cell r="A2960" t="str">
            <v>In service</v>
          </cell>
          <cell r="B2960" t="str">
            <v>Gulfstream Aerospace Gulfstream IV</v>
          </cell>
          <cell r="C2960" t="str">
            <v xml:space="preserve"> </v>
          </cell>
          <cell r="D2960">
            <v>1987</v>
          </cell>
          <cell r="E2960" t="str">
            <v>Tenet Healthcare Corp</v>
          </cell>
          <cell r="F2960">
            <v>13</v>
          </cell>
          <cell r="G2960">
            <v>33527</v>
          </cell>
          <cell r="I2960" t="str">
            <v>North America</v>
          </cell>
          <cell r="J2960" t="str">
            <v>USA</v>
          </cell>
        </row>
        <row r="2961">
          <cell r="A2961" t="str">
            <v>In service</v>
          </cell>
          <cell r="B2961" t="str">
            <v>Gulfstream Aerospace Gulfstream IV</v>
          </cell>
          <cell r="C2961" t="str">
            <v xml:space="preserve"> </v>
          </cell>
          <cell r="D2961">
            <v>1988</v>
          </cell>
          <cell r="E2961" t="str">
            <v>Saudi Arabian Airlines</v>
          </cell>
          <cell r="F2961">
            <v>12</v>
          </cell>
          <cell r="G2961">
            <v>32777</v>
          </cell>
          <cell r="I2961" t="str">
            <v>Middle East</v>
          </cell>
          <cell r="J2961" t="str">
            <v>Saudi Arabia</v>
          </cell>
          <cell r="K2961">
            <v>31593</v>
          </cell>
        </row>
        <row r="2962">
          <cell r="A2962" t="str">
            <v>In service</v>
          </cell>
          <cell r="B2962" t="str">
            <v>Gulfstream Aerospace Gulfstream IV</v>
          </cell>
          <cell r="C2962" t="str">
            <v xml:space="preserve"> </v>
          </cell>
          <cell r="D2962">
            <v>1987</v>
          </cell>
          <cell r="E2962" t="str">
            <v>ITT Industries Inc</v>
          </cell>
          <cell r="F2962">
            <v>13</v>
          </cell>
          <cell r="G2962">
            <v>32160</v>
          </cell>
          <cell r="I2962" t="str">
            <v>North America</v>
          </cell>
          <cell r="J2962" t="str">
            <v>USA</v>
          </cell>
          <cell r="K2962">
            <v>31228</v>
          </cell>
        </row>
        <row r="2963">
          <cell r="A2963" t="str">
            <v>In service</v>
          </cell>
          <cell r="B2963" t="str">
            <v>Gulfstream Aerospace Gulfstream IV</v>
          </cell>
          <cell r="C2963" t="str">
            <v xml:space="preserve"> </v>
          </cell>
          <cell r="D2963">
            <v>1987</v>
          </cell>
          <cell r="E2963" t="str">
            <v>Raytheon Middle East Systems</v>
          </cell>
          <cell r="F2963">
            <v>13</v>
          </cell>
          <cell r="G2963">
            <v>32309</v>
          </cell>
          <cell r="I2963" t="str">
            <v>Middle East</v>
          </cell>
          <cell r="J2963" t="str">
            <v>Saudi Arabia</v>
          </cell>
          <cell r="K2963">
            <v>31593</v>
          </cell>
        </row>
        <row r="2964">
          <cell r="A2964" t="str">
            <v>In service</v>
          </cell>
          <cell r="B2964" t="str">
            <v>Gulfstream Aerospace Gulfstream IV</v>
          </cell>
          <cell r="C2964" t="str">
            <v xml:space="preserve"> </v>
          </cell>
          <cell r="D2964">
            <v>1987</v>
          </cell>
          <cell r="E2964" t="str">
            <v>Saudi Arabian Airlines</v>
          </cell>
          <cell r="F2964">
            <v>13</v>
          </cell>
          <cell r="G2964">
            <v>32827</v>
          </cell>
          <cell r="I2964" t="str">
            <v>Middle East</v>
          </cell>
          <cell r="J2964" t="str">
            <v>Saudi Arabia</v>
          </cell>
          <cell r="K2964">
            <v>31593</v>
          </cell>
        </row>
        <row r="2965">
          <cell r="A2965" t="str">
            <v>In service</v>
          </cell>
          <cell r="B2965" t="str">
            <v>Gulfstream Aerospace Gulfstream IV</v>
          </cell>
          <cell r="C2965" t="str">
            <v xml:space="preserve"> </v>
          </cell>
          <cell r="D2965">
            <v>1988</v>
          </cell>
          <cell r="E2965" t="str">
            <v>Pharmacia Corp</v>
          </cell>
          <cell r="F2965">
            <v>12</v>
          </cell>
          <cell r="G2965">
            <v>32335</v>
          </cell>
          <cell r="I2965" t="str">
            <v>North America</v>
          </cell>
          <cell r="J2965" t="str">
            <v>USA</v>
          </cell>
          <cell r="K2965">
            <v>31593</v>
          </cell>
        </row>
        <row r="2966">
          <cell r="A2966" t="str">
            <v>In service</v>
          </cell>
          <cell r="B2966" t="str">
            <v>Gulfstream Aerospace Gulfstream IV</v>
          </cell>
          <cell r="C2966" t="str">
            <v xml:space="preserve"> </v>
          </cell>
          <cell r="D2966">
            <v>1987</v>
          </cell>
          <cell r="E2966" t="str">
            <v>620 Inc</v>
          </cell>
          <cell r="F2966">
            <v>13</v>
          </cell>
          <cell r="G2966">
            <v>32188</v>
          </cell>
          <cell r="I2966" t="str">
            <v>North America</v>
          </cell>
          <cell r="J2966" t="str">
            <v>USA</v>
          </cell>
          <cell r="K2966">
            <v>31593</v>
          </cell>
        </row>
        <row r="2967">
          <cell r="A2967" t="str">
            <v>In service</v>
          </cell>
          <cell r="B2967" t="str">
            <v>Gulfstream Aerospace Gulfstream IV</v>
          </cell>
          <cell r="C2967" t="str">
            <v xml:space="preserve"> </v>
          </cell>
          <cell r="D2967">
            <v>1987</v>
          </cell>
          <cell r="E2967" t="str">
            <v>New World Jet Corp</v>
          </cell>
          <cell r="F2967">
            <v>13</v>
          </cell>
          <cell r="G2967">
            <v>32188</v>
          </cell>
          <cell r="I2967" t="str">
            <v>North America</v>
          </cell>
          <cell r="J2967" t="str">
            <v>USA</v>
          </cell>
          <cell r="K2967">
            <v>31593</v>
          </cell>
        </row>
        <row r="2968">
          <cell r="A2968" t="str">
            <v>In service</v>
          </cell>
          <cell r="B2968" t="str">
            <v>Gulfstream Aerospace Gulfstream IV</v>
          </cell>
          <cell r="C2968" t="str">
            <v xml:space="preserve"> </v>
          </cell>
          <cell r="D2968">
            <v>1987</v>
          </cell>
          <cell r="E2968" t="str">
            <v>Pelican Ltd</v>
          </cell>
          <cell r="F2968">
            <v>13</v>
          </cell>
          <cell r="G2968">
            <v>34288</v>
          </cell>
          <cell r="I2968" t="str">
            <v>Europe</v>
          </cell>
          <cell r="J2968" t="str">
            <v>Gibraltar</v>
          </cell>
        </row>
        <row r="2969">
          <cell r="A2969" t="str">
            <v>In service</v>
          </cell>
          <cell r="B2969" t="str">
            <v>Gulfstream Aerospace Gulfstream IV</v>
          </cell>
          <cell r="C2969" t="str">
            <v xml:space="preserve"> </v>
          </cell>
          <cell r="D2969">
            <v>1988</v>
          </cell>
          <cell r="E2969" t="str">
            <v>Government of Turkey</v>
          </cell>
          <cell r="F2969">
            <v>12</v>
          </cell>
          <cell r="G2969">
            <v>32378</v>
          </cell>
          <cell r="I2969" t="str">
            <v>Europe</v>
          </cell>
          <cell r="J2969" t="str">
            <v>Turkey</v>
          </cell>
          <cell r="K2969">
            <v>31593</v>
          </cell>
        </row>
        <row r="2970">
          <cell r="A2970" t="str">
            <v>In service</v>
          </cell>
          <cell r="B2970" t="str">
            <v>Gulfstream Aerospace Gulfstream IV</v>
          </cell>
          <cell r="C2970" t="str">
            <v xml:space="preserve"> </v>
          </cell>
          <cell r="D2970">
            <v>1988</v>
          </cell>
          <cell r="E2970" t="str">
            <v>Timberland Aviation Inc</v>
          </cell>
          <cell r="F2970">
            <v>12</v>
          </cell>
          <cell r="G2970">
            <v>32380</v>
          </cell>
          <cell r="I2970" t="str">
            <v>North America</v>
          </cell>
          <cell r="J2970" t="str">
            <v>USA</v>
          </cell>
          <cell r="K2970">
            <v>31593</v>
          </cell>
        </row>
        <row r="2971">
          <cell r="A2971" t="str">
            <v>In service</v>
          </cell>
          <cell r="B2971" t="str">
            <v>Gulfstream Aerospace Gulfstream IV</v>
          </cell>
          <cell r="C2971" t="str">
            <v xml:space="preserve"> </v>
          </cell>
          <cell r="D2971">
            <v>1987</v>
          </cell>
          <cell r="E2971" t="str">
            <v>Mariner Management LLC</v>
          </cell>
          <cell r="F2971">
            <v>13</v>
          </cell>
          <cell r="G2971">
            <v>32204</v>
          </cell>
          <cell r="I2971" t="str">
            <v>North America</v>
          </cell>
          <cell r="J2971" t="str">
            <v>USA</v>
          </cell>
          <cell r="K2971">
            <v>31593</v>
          </cell>
        </row>
        <row r="2972">
          <cell r="A2972" t="str">
            <v>In service</v>
          </cell>
          <cell r="B2972" t="str">
            <v>Gulfstream Aerospace Gulfstream IV</v>
          </cell>
          <cell r="C2972" t="str">
            <v xml:space="preserve"> </v>
          </cell>
          <cell r="D2972">
            <v>1988</v>
          </cell>
          <cell r="E2972" t="str">
            <v>KaiserAir Inc</v>
          </cell>
          <cell r="F2972">
            <v>12</v>
          </cell>
          <cell r="G2972">
            <v>32552</v>
          </cell>
          <cell r="I2972" t="str">
            <v>North America</v>
          </cell>
          <cell r="J2972" t="str">
            <v>USA</v>
          </cell>
          <cell r="K2972">
            <v>31958</v>
          </cell>
        </row>
        <row r="2973">
          <cell r="A2973" t="str">
            <v>In service</v>
          </cell>
          <cell r="B2973" t="str">
            <v>Gulfstream Aerospace Gulfstream IV</v>
          </cell>
          <cell r="C2973" t="str">
            <v xml:space="preserve"> </v>
          </cell>
          <cell r="D2973">
            <v>1988</v>
          </cell>
          <cell r="E2973" t="str">
            <v>Government of Egypt</v>
          </cell>
          <cell r="F2973">
            <v>12</v>
          </cell>
          <cell r="G2973">
            <v>32462</v>
          </cell>
          <cell r="I2973" t="str">
            <v>Africa</v>
          </cell>
          <cell r="J2973" t="str">
            <v>Egypt</v>
          </cell>
          <cell r="K2973">
            <v>31593</v>
          </cell>
        </row>
        <row r="2974">
          <cell r="A2974" t="str">
            <v>In service</v>
          </cell>
          <cell r="B2974" t="str">
            <v>Gulfstream Aerospace Gulfstream IV</v>
          </cell>
          <cell r="C2974" t="str">
            <v xml:space="preserve"> </v>
          </cell>
          <cell r="D2974">
            <v>1988</v>
          </cell>
          <cell r="E2974" t="str">
            <v>Cordelia Scaife May</v>
          </cell>
          <cell r="F2974">
            <v>12</v>
          </cell>
          <cell r="G2974">
            <v>32519</v>
          </cell>
          <cell r="I2974" t="str">
            <v>North America</v>
          </cell>
          <cell r="J2974" t="str">
            <v>USA</v>
          </cell>
          <cell r="K2974">
            <v>31958</v>
          </cell>
        </row>
        <row r="2975">
          <cell r="A2975" t="str">
            <v>In service</v>
          </cell>
          <cell r="B2975" t="str">
            <v>Gulfstream Aerospace Gulfstream IV</v>
          </cell>
          <cell r="C2975" t="str">
            <v xml:space="preserve"> </v>
          </cell>
          <cell r="D2975">
            <v>1987</v>
          </cell>
          <cell r="E2975" t="str">
            <v>ITT Flight Operations Inc</v>
          </cell>
          <cell r="F2975">
            <v>13</v>
          </cell>
          <cell r="G2975">
            <v>32233</v>
          </cell>
          <cell r="I2975" t="str">
            <v>North America</v>
          </cell>
          <cell r="J2975" t="str">
            <v>USA</v>
          </cell>
          <cell r="K2975">
            <v>31228</v>
          </cell>
        </row>
        <row r="2976">
          <cell r="A2976" t="str">
            <v>In service</v>
          </cell>
          <cell r="B2976" t="str">
            <v>Gulfstream Aerospace Gulfstream IV</v>
          </cell>
          <cell r="C2976" t="str">
            <v xml:space="preserve"> </v>
          </cell>
          <cell r="D2976">
            <v>1987</v>
          </cell>
          <cell r="E2976" t="str">
            <v>Citiflight Inc</v>
          </cell>
          <cell r="F2976">
            <v>13</v>
          </cell>
          <cell r="G2976">
            <v>32259</v>
          </cell>
          <cell r="I2976" t="str">
            <v>North America</v>
          </cell>
          <cell r="J2976" t="str">
            <v>USA</v>
          </cell>
          <cell r="K2976">
            <v>31593</v>
          </cell>
        </row>
        <row r="2977">
          <cell r="A2977" t="str">
            <v>In service</v>
          </cell>
          <cell r="B2977" t="str">
            <v>Gulfstream Aerospace Gulfstream IV</v>
          </cell>
          <cell r="C2977" t="str">
            <v xml:space="preserve"> </v>
          </cell>
          <cell r="D2977">
            <v>1988</v>
          </cell>
          <cell r="E2977" t="str">
            <v>DaimlerChrysler Corp</v>
          </cell>
          <cell r="F2977">
            <v>12</v>
          </cell>
          <cell r="G2977">
            <v>32741</v>
          </cell>
          <cell r="I2977" t="str">
            <v>North America</v>
          </cell>
          <cell r="J2977" t="str">
            <v>USA</v>
          </cell>
          <cell r="K2977">
            <v>31958</v>
          </cell>
        </row>
        <row r="2978">
          <cell r="A2978" t="str">
            <v>In service</v>
          </cell>
          <cell r="B2978" t="str">
            <v>Gulfstream Aerospace Gulfstream IV</v>
          </cell>
          <cell r="C2978" t="str">
            <v xml:space="preserve"> </v>
          </cell>
          <cell r="D2978">
            <v>1988</v>
          </cell>
          <cell r="E2978" t="str">
            <v>JM Family Enterprises Inc</v>
          </cell>
          <cell r="F2978">
            <v>12</v>
          </cell>
          <cell r="G2978">
            <v>32278</v>
          </cell>
          <cell r="I2978" t="str">
            <v>North America</v>
          </cell>
          <cell r="J2978" t="str">
            <v>USA</v>
          </cell>
          <cell r="K2978">
            <v>31593</v>
          </cell>
        </row>
        <row r="2979">
          <cell r="A2979" t="str">
            <v>In service</v>
          </cell>
          <cell r="B2979" t="str">
            <v>Gulfstream Aerospace Gulfstream IV</v>
          </cell>
          <cell r="C2979" t="str">
            <v xml:space="preserve"> </v>
          </cell>
          <cell r="D2979">
            <v>1988</v>
          </cell>
          <cell r="E2979" t="str">
            <v>Motorola Inc</v>
          </cell>
          <cell r="F2979">
            <v>12</v>
          </cell>
          <cell r="G2979">
            <v>32275</v>
          </cell>
          <cell r="I2979" t="str">
            <v>North America</v>
          </cell>
          <cell r="J2979" t="str">
            <v>USA</v>
          </cell>
          <cell r="K2979">
            <v>31593</v>
          </cell>
        </row>
        <row r="2980">
          <cell r="A2980" t="str">
            <v>In service</v>
          </cell>
          <cell r="B2980" t="str">
            <v>Gulfstream Aerospace Gulfstream IV</v>
          </cell>
          <cell r="C2980" t="str">
            <v xml:space="preserve"> </v>
          </cell>
          <cell r="D2980">
            <v>1988</v>
          </cell>
          <cell r="E2980" t="str">
            <v>Netjets Middle East</v>
          </cell>
          <cell r="F2980">
            <v>12</v>
          </cell>
          <cell r="G2980">
            <v>32731</v>
          </cell>
          <cell r="I2980" t="str">
            <v>Middle East</v>
          </cell>
          <cell r="J2980" t="str">
            <v>Saudi Arabia</v>
          </cell>
          <cell r="K2980">
            <v>31958</v>
          </cell>
        </row>
        <row r="2981">
          <cell r="A2981" t="str">
            <v>In service</v>
          </cell>
          <cell r="B2981" t="str">
            <v>Gulfstream Aerospace Gulfstream IV</v>
          </cell>
          <cell r="C2981" t="str">
            <v xml:space="preserve"> </v>
          </cell>
          <cell r="D2981">
            <v>1988</v>
          </cell>
          <cell r="E2981" t="str">
            <v>STN Aviation Inc</v>
          </cell>
          <cell r="F2981">
            <v>12</v>
          </cell>
          <cell r="G2981">
            <v>32294</v>
          </cell>
          <cell r="I2981" t="str">
            <v>North America</v>
          </cell>
          <cell r="J2981" t="str">
            <v>USA</v>
          </cell>
          <cell r="K2981">
            <v>31228</v>
          </cell>
        </row>
        <row r="2982">
          <cell r="A2982" t="str">
            <v>In service</v>
          </cell>
          <cell r="B2982" t="str">
            <v>Gulfstream Aerospace Gulfstream IV</v>
          </cell>
          <cell r="C2982" t="str">
            <v xml:space="preserve"> </v>
          </cell>
          <cell r="D2982">
            <v>1988</v>
          </cell>
          <cell r="E2982" t="str">
            <v>DWAL LLC</v>
          </cell>
          <cell r="F2982">
            <v>12</v>
          </cell>
          <cell r="G2982">
            <v>32297</v>
          </cell>
          <cell r="I2982" t="str">
            <v>North America</v>
          </cell>
          <cell r="J2982" t="str">
            <v>USA</v>
          </cell>
          <cell r="K2982">
            <v>31228</v>
          </cell>
        </row>
        <row r="2983">
          <cell r="A2983" t="str">
            <v>In service</v>
          </cell>
          <cell r="B2983" t="str">
            <v>Gulfstream Aerospace Gulfstream IV</v>
          </cell>
          <cell r="C2983" t="str">
            <v xml:space="preserve"> </v>
          </cell>
          <cell r="D2983">
            <v>1988</v>
          </cell>
          <cell r="E2983" t="str">
            <v>KC Aviation Inc</v>
          </cell>
          <cell r="F2983">
            <v>12</v>
          </cell>
          <cell r="G2983">
            <v>32310</v>
          </cell>
          <cell r="I2983" t="str">
            <v>North America</v>
          </cell>
          <cell r="J2983" t="str">
            <v>USA</v>
          </cell>
          <cell r="K2983">
            <v>31593</v>
          </cell>
        </row>
        <row r="2984">
          <cell r="A2984" t="str">
            <v>In service</v>
          </cell>
          <cell r="B2984" t="str">
            <v>Gulfstream Aerospace Gulfstream IV</v>
          </cell>
          <cell r="C2984" t="str">
            <v xml:space="preserve"> </v>
          </cell>
          <cell r="D2984">
            <v>1989</v>
          </cell>
          <cell r="E2984" t="str">
            <v>Worldwide Services Ltd</v>
          </cell>
          <cell r="F2984">
            <v>11</v>
          </cell>
          <cell r="G2984">
            <v>32626</v>
          </cell>
          <cell r="I2984" t="str">
            <v>North America</v>
          </cell>
          <cell r="J2984" t="str">
            <v>USA</v>
          </cell>
          <cell r="K2984">
            <v>31958</v>
          </cell>
        </row>
        <row r="2985">
          <cell r="A2985" t="str">
            <v>In service</v>
          </cell>
          <cell r="B2985" t="str">
            <v>Gulfstream Aerospace Gulfstream IV</v>
          </cell>
          <cell r="C2985" t="str">
            <v xml:space="preserve"> </v>
          </cell>
          <cell r="D2985">
            <v>1988</v>
          </cell>
          <cell r="E2985" t="str">
            <v>Reliance Transport &amp; Travel LT</v>
          </cell>
          <cell r="F2985">
            <v>12</v>
          </cell>
          <cell r="G2985">
            <v>32463</v>
          </cell>
          <cell r="I2985" t="str">
            <v>Asia</v>
          </cell>
          <cell r="J2985" t="str">
            <v>India</v>
          </cell>
          <cell r="K2985">
            <v>31593</v>
          </cell>
        </row>
        <row r="2986">
          <cell r="A2986" t="str">
            <v>In service</v>
          </cell>
          <cell r="B2986" t="str">
            <v>Gulfstream Aerospace Gulfstream IV</v>
          </cell>
          <cell r="C2986" t="str">
            <v xml:space="preserve"> </v>
          </cell>
          <cell r="D2986">
            <v>1988</v>
          </cell>
          <cell r="E2986" t="str">
            <v>Prince Karim Aga Khan</v>
          </cell>
          <cell r="F2986">
            <v>12</v>
          </cell>
          <cell r="G2986">
            <v>32330</v>
          </cell>
          <cell r="I2986" t="str">
            <v>Europe</v>
          </cell>
          <cell r="J2986" t="str">
            <v>Switzerland</v>
          </cell>
          <cell r="K2986">
            <v>31958</v>
          </cell>
        </row>
        <row r="2987">
          <cell r="A2987" t="str">
            <v>In service</v>
          </cell>
          <cell r="B2987" t="str">
            <v>Gulfstream Aerospace Gulfstream IV</v>
          </cell>
          <cell r="C2987" t="str">
            <v xml:space="preserve"> </v>
          </cell>
          <cell r="D2987">
            <v>1988</v>
          </cell>
          <cell r="E2987" t="str">
            <v>MSF Aviation Ltd</v>
          </cell>
          <cell r="F2987">
            <v>12</v>
          </cell>
          <cell r="G2987">
            <v>32337</v>
          </cell>
          <cell r="I2987" t="str">
            <v>Latin America and Caribbean</v>
          </cell>
          <cell r="J2987" t="str">
            <v>Cayman Islands</v>
          </cell>
          <cell r="K2987">
            <v>31593</v>
          </cell>
        </row>
        <row r="2988">
          <cell r="A2988" t="str">
            <v>In service</v>
          </cell>
          <cell r="B2988" t="str">
            <v>Gulfstream Aerospace Gulfstream IV</v>
          </cell>
          <cell r="C2988" t="str">
            <v xml:space="preserve"> </v>
          </cell>
          <cell r="D2988">
            <v>1988</v>
          </cell>
          <cell r="E2988" t="str">
            <v>Tyco Healthcare Group LP</v>
          </cell>
          <cell r="F2988">
            <v>12</v>
          </cell>
          <cell r="G2988">
            <v>32489</v>
          </cell>
          <cell r="I2988" t="str">
            <v>North America</v>
          </cell>
          <cell r="J2988" t="str">
            <v>USA</v>
          </cell>
          <cell r="K2988">
            <v>31593</v>
          </cell>
        </row>
        <row r="2989">
          <cell r="A2989" t="str">
            <v>In service</v>
          </cell>
          <cell r="B2989" t="str">
            <v>Gulfstream Aerospace Gulfstream IV</v>
          </cell>
          <cell r="C2989" t="str">
            <v xml:space="preserve"> </v>
          </cell>
          <cell r="D2989">
            <v>1988</v>
          </cell>
          <cell r="E2989" t="str">
            <v>Petersen Aviation</v>
          </cell>
          <cell r="F2989">
            <v>12</v>
          </cell>
          <cell r="G2989">
            <v>32346</v>
          </cell>
          <cell r="I2989" t="str">
            <v>North America</v>
          </cell>
          <cell r="J2989" t="str">
            <v>USA</v>
          </cell>
          <cell r="K2989">
            <v>31593</v>
          </cell>
        </row>
        <row r="2990">
          <cell r="A2990" t="str">
            <v>In service</v>
          </cell>
          <cell r="B2990" t="str">
            <v>Gulfstream Aerospace Gulfstream IV</v>
          </cell>
          <cell r="C2990" t="str">
            <v xml:space="preserve"> </v>
          </cell>
          <cell r="D2990">
            <v>1988</v>
          </cell>
          <cell r="E2990" t="str">
            <v>ConocoPhillips Co</v>
          </cell>
          <cell r="F2990">
            <v>12</v>
          </cell>
          <cell r="G2990">
            <v>32324</v>
          </cell>
          <cell r="I2990" t="str">
            <v>North America</v>
          </cell>
          <cell r="J2990" t="str">
            <v>USA</v>
          </cell>
          <cell r="K2990">
            <v>31593</v>
          </cell>
        </row>
        <row r="2991">
          <cell r="A2991" t="str">
            <v>In service</v>
          </cell>
          <cell r="B2991" t="str">
            <v>Gulfstream Aerospace Gulfstream IV</v>
          </cell>
          <cell r="C2991" t="str">
            <v xml:space="preserve"> </v>
          </cell>
          <cell r="D2991">
            <v>1988</v>
          </cell>
          <cell r="E2991" t="str">
            <v>R J Reynolds Tobacco Co</v>
          </cell>
          <cell r="F2991">
            <v>12</v>
          </cell>
          <cell r="G2991">
            <v>32358</v>
          </cell>
          <cell r="I2991" t="str">
            <v>North America</v>
          </cell>
          <cell r="J2991" t="str">
            <v>USA</v>
          </cell>
          <cell r="K2991">
            <v>31593</v>
          </cell>
        </row>
        <row r="2992">
          <cell r="A2992" t="str">
            <v>In service</v>
          </cell>
          <cell r="B2992" t="str">
            <v>Gulfstream Aerospace Gulfstream IV</v>
          </cell>
          <cell r="C2992" t="str">
            <v xml:space="preserve"> </v>
          </cell>
          <cell r="D2992">
            <v>1988</v>
          </cell>
          <cell r="E2992" t="str">
            <v>Loral SpaceCom Corp</v>
          </cell>
          <cell r="F2992">
            <v>12</v>
          </cell>
          <cell r="G2992">
            <v>32353</v>
          </cell>
          <cell r="I2992" t="str">
            <v>North America</v>
          </cell>
          <cell r="J2992" t="str">
            <v>USA</v>
          </cell>
          <cell r="K2992">
            <v>31593</v>
          </cell>
        </row>
        <row r="2993">
          <cell r="A2993" t="str">
            <v>In service</v>
          </cell>
          <cell r="B2993" t="str">
            <v>Gulfstream Aerospace Gulfstream IV</v>
          </cell>
          <cell r="C2993" t="str">
            <v xml:space="preserve"> </v>
          </cell>
          <cell r="D2993">
            <v>1989</v>
          </cell>
          <cell r="E2993" t="str">
            <v>Prudential Insurance Company of America</v>
          </cell>
          <cell r="F2993">
            <v>11</v>
          </cell>
          <cell r="G2993">
            <v>32821</v>
          </cell>
          <cell r="I2993" t="str">
            <v>North America</v>
          </cell>
          <cell r="J2993" t="str">
            <v>USA</v>
          </cell>
          <cell r="K2993">
            <v>31958</v>
          </cell>
        </row>
        <row r="2994">
          <cell r="A2994" t="str">
            <v>In service</v>
          </cell>
          <cell r="B2994" t="str">
            <v>Gulfstream Aerospace Gulfstream IV</v>
          </cell>
          <cell r="C2994" t="str">
            <v xml:space="preserve"> </v>
          </cell>
          <cell r="D2994">
            <v>1988</v>
          </cell>
          <cell r="E2994" t="str">
            <v>Saudi ARAMCO Aviation</v>
          </cell>
          <cell r="F2994">
            <v>12</v>
          </cell>
          <cell r="G2994">
            <v>32388</v>
          </cell>
          <cell r="I2994" t="str">
            <v>Middle East</v>
          </cell>
          <cell r="J2994" t="str">
            <v>Saudi Arabia</v>
          </cell>
          <cell r="K2994">
            <v>31228</v>
          </cell>
        </row>
        <row r="2995">
          <cell r="A2995" t="str">
            <v>In service</v>
          </cell>
          <cell r="B2995" t="str">
            <v>Gulfstream Aerospace Gulfstream IV</v>
          </cell>
          <cell r="C2995" t="str">
            <v xml:space="preserve"> </v>
          </cell>
          <cell r="D2995">
            <v>1988</v>
          </cell>
          <cell r="E2995" t="str">
            <v>Saudi ARAMCO Aviation</v>
          </cell>
          <cell r="F2995">
            <v>12</v>
          </cell>
          <cell r="G2995">
            <v>32400</v>
          </cell>
          <cell r="I2995" t="str">
            <v>Middle East</v>
          </cell>
          <cell r="J2995" t="str">
            <v>Saudi Arabia</v>
          </cell>
          <cell r="K2995">
            <v>31228</v>
          </cell>
        </row>
        <row r="2996">
          <cell r="A2996" t="str">
            <v>In service</v>
          </cell>
          <cell r="B2996" t="str">
            <v>Gulfstream Aerospace Gulfstream IV</v>
          </cell>
          <cell r="C2996" t="str">
            <v xml:space="preserve"> </v>
          </cell>
          <cell r="D2996">
            <v>1988</v>
          </cell>
          <cell r="E2996" t="str">
            <v>FAA / US DoT</v>
          </cell>
          <cell r="F2996">
            <v>12</v>
          </cell>
          <cell r="G2996">
            <v>32674</v>
          </cell>
          <cell r="I2996" t="str">
            <v>North America</v>
          </cell>
          <cell r="J2996" t="str">
            <v>USA</v>
          </cell>
          <cell r="K2996">
            <v>31943</v>
          </cell>
        </row>
        <row r="2997">
          <cell r="A2997" t="str">
            <v>In service</v>
          </cell>
          <cell r="B2997" t="str">
            <v>Gulfstream Aerospace Gulfstream IV</v>
          </cell>
          <cell r="C2997" t="str">
            <v xml:space="preserve"> </v>
          </cell>
          <cell r="D2997">
            <v>1989</v>
          </cell>
          <cell r="E2997" t="str">
            <v>Exxon Centre Services</v>
          </cell>
          <cell r="F2997">
            <v>11</v>
          </cell>
          <cell r="G2997">
            <v>32652</v>
          </cell>
          <cell r="I2997" t="str">
            <v>North America</v>
          </cell>
          <cell r="J2997" t="str">
            <v>USA</v>
          </cell>
          <cell r="K2997">
            <v>31958</v>
          </cell>
        </row>
        <row r="2998">
          <cell r="A2998" t="str">
            <v>In service</v>
          </cell>
          <cell r="B2998" t="str">
            <v>Gulfstream Aerospace Gulfstream IV</v>
          </cell>
          <cell r="C2998" t="str">
            <v xml:space="preserve"> </v>
          </cell>
          <cell r="D2998">
            <v>1988</v>
          </cell>
          <cell r="E2998" t="str">
            <v>Solar II Inc</v>
          </cell>
          <cell r="F2998">
            <v>12</v>
          </cell>
          <cell r="G2998">
            <v>32423</v>
          </cell>
          <cell r="I2998" t="str">
            <v>North America</v>
          </cell>
          <cell r="J2998" t="str">
            <v>USA</v>
          </cell>
          <cell r="K2998">
            <v>31593</v>
          </cell>
        </row>
        <row r="2999">
          <cell r="A2999" t="str">
            <v>In service</v>
          </cell>
          <cell r="B2999" t="str">
            <v>Gulfstream Aerospace Gulfstream IV</v>
          </cell>
          <cell r="C2999" t="str">
            <v xml:space="preserve"> </v>
          </cell>
          <cell r="D2999">
            <v>1989</v>
          </cell>
          <cell r="E2999" t="str">
            <v>Natascha Establishment Ltd</v>
          </cell>
          <cell r="F2999">
            <v>11</v>
          </cell>
          <cell r="G2999">
            <v>32609</v>
          </cell>
          <cell r="I2999" t="str">
            <v>Latin America and Caribbean</v>
          </cell>
          <cell r="J2999" t="str">
            <v>Bermuda</v>
          </cell>
          <cell r="K2999">
            <v>31958</v>
          </cell>
        </row>
        <row r="3000">
          <cell r="A3000" t="str">
            <v>In service</v>
          </cell>
          <cell r="B3000" t="str">
            <v>Gulfstream Aerospace Gulfstream IV</v>
          </cell>
          <cell r="C3000" t="str">
            <v xml:space="preserve"> </v>
          </cell>
          <cell r="D3000">
            <v>1988</v>
          </cell>
          <cell r="E3000" t="str">
            <v>Liamaj Aviation Inc</v>
          </cell>
          <cell r="F3000">
            <v>12</v>
          </cell>
          <cell r="G3000">
            <v>32426</v>
          </cell>
          <cell r="I3000" t="str">
            <v>North America</v>
          </cell>
          <cell r="J3000" t="str">
            <v>USA</v>
          </cell>
          <cell r="K3000">
            <v>31958</v>
          </cell>
        </row>
        <row r="3001">
          <cell r="A3001" t="str">
            <v>In service</v>
          </cell>
          <cell r="B3001" t="str">
            <v>Gulfstream Aerospace Gulfstream IV</v>
          </cell>
          <cell r="C3001" t="str">
            <v xml:space="preserve"> </v>
          </cell>
          <cell r="D3001">
            <v>1989</v>
          </cell>
          <cell r="E3001" t="str">
            <v>Templeton Asset Management Ltd</v>
          </cell>
          <cell r="F3001">
            <v>11</v>
          </cell>
          <cell r="G3001">
            <v>32829</v>
          </cell>
          <cell r="I3001" t="str">
            <v>Asia</v>
          </cell>
          <cell r="J3001" t="str">
            <v>Singapore</v>
          </cell>
          <cell r="K3001">
            <v>31958</v>
          </cell>
        </row>
        <row r="3002">
          <cell r="A3002" t="str">
            <v>In service</v>
          </cell>
          <cell r="B3002" t="str">
            <v>Gulfstream Aerospace Gulfstream IV</v>
          </cell>
          <cell r="C3002" t="str">
            <v xml:space="preserve"> </v>
          </cell>
          <cell r="D3002">
            <v>1988</v>
          </cell>
          <cell r="E3002" t="str">
            <v>Dankjold Reed Aviation LLC</v>
          </cell>
          <cell r="F3002">
            <v>12</v>
          </cell>
          <cell r="G3002">
            <v>32447</v>
          </cell>
          <cell r="I3002" t="str">
            <v>North America</v>
          </cell>
          <cell r="J3002" t="str">
            <v>USA</v>
          </cell>
          <cell r="K3002">
            <v>31593</v>
          </cell>
        </row>
        <row r="3003">
          <cell r="A3003" t="str">
            <v>In service</v>
          </cell>
          <cell r="B3003" t="str">
            <v>Gulfstream Aerospace Gulfstream IV</v>
          </cell>
          <cell r="C3003" t="str">
            <v xml:space="preserve"> </v>
          </cell>
          <cell r="D3003">
            <v>1989</v>
          </cell>
          <cell r="E3003" t="str">
            <v>Shell Aircraft Ltd</v>
          </cell>
          <cell r="F3003">
            <v>11</v>
          </cell>
          <cell r="G3003">
            <v>32805</v>
          </cell>
          <cell r="I3003" t="str">
            <v>Europe</v>
          </cell>
          <cell r="J3003" t="str">
            <v>United Kingdom</v>
          </cell>
          <cell r="K3003">
            <v>31958</v>
          </cell>
        </row>
        <row r="3004">
          <cell r="A3004" t="str">
            <v>In service</v>
          </cell>
          <cell r="B3004" t="str">
            <v>Gulfstream Aerospace Gulfstream IV</v>
          </cell>
          <cell r="C3004" t="str">
            <v xml:space="preserve"> </v>
          </cell>
          <cell r="D3004">
            <v>1989</v>
          </cell>
          <cell r="E3004" t="str">
            <v>Wham Leasing Corp</v>
          </cell>
          <cell r="F3004">
            <v>11</v>
          </cell>
          <cell r="G3004">
            <v>32689</v>
          </cell>
          <cell r="I3004" t="str">
            <v>North America</v>
          </cell>
          <cell r="J3004" t="str">
            <v>USA</v>
          </cell>
          <cell r="K3004">
            <v>32324</v>
          </cell>
        </row>
        <row r="3005">
          <cell r="A3005" t="str">
            <v>In service</v>
          </cell>
          <cell r="B3005" t="str">
            <v>Gulfstream Aerospace Gulfstream IV</v>
          </cell>
          <cell r="C3005" t="str">
            <v xml:space="preserve"> </v>
          </cell>
          <cell r="D3005">
            <v>1988</v>
          </cell>
          <cell r="E3005" t="str">
            <v>Oxy Petroleum Inc</v>
          </cell>
          <cell r="F3005">
            <v>12</v>
          </cell>
          <cell r="G3005">
            <v>32478</v>
          </cell>
          <cell r="I3005" t="str">
            <v>North America</v>
          </cell>
          <cell r="J3005" t="str">
            <v>USA</v>
          </cell>
          <cell r="K3005">
            <v>31593</v>
          </cell>
        </row>
        <row r="3006">
          <cell r="A3006" t="str">
            <v>In service</v>
          </cell>
          <cell r="B3006" t="str">
            <v>Gulfstream Aerospace Gulfstream IV</v>
          </cell>
          <cell r="C3006" t="str">
            <v xml:space="preserve"> </v>
          </cell>
          <cell r="D3006">
            <v>1988</v>
          </cell>
          <cell r="E3006" t="str">
            <v>Management Investments Enterprises LLC</v>
          </cell>
          <cell r="F3006">
            <v>12</v>
          </cell>
          <cell r="G3006">
            <v>32476</v>
          </cell>
          <cell r="I3006" t="str">
            <v>North America</v>
          </cell>
          <cell r="J3006" t="str">
            <v>USA</v>
          </cell>
          <cell r="K3006">
            <v>31958</v>
          </cell>
        </row>
        <row r="3007">
          <cell r="A3007" t="str">
            <v>In service</v>
          </cell>
          <cell r="B3007" t="str">
            <v>Gulfstream Aerospace Gulfstream IV</v>
          </cell>
          <cell r="C3007" t="str">
            <v xml:space="preserve"> </v>
          </cell>
          <cell r="D3007">
            <v>1988</v>
          </cell>
          <cell r="E3007" t="str">
            <v>Burlington Resources Oil &amp; Gas Co</v>
          </cell>
          <cell r="F3007">
            <v>12</v>
          </cell>
          <cell r="G3007">
            <v>32498</v>
          </cell>
          <cell r="I3007" t="str">
            <v>North America</v>
          </cell>
          <cell r="J3007" t="str">
            <v>USA</v>
          </cell>
          <cell r="K3007">
            <v>31958</v>
          </cell>
        </row>
        <row r="3008">
          <cell r="A3008" t="str">
            <v>In service</v>
          </cell>
          <cell r="B3008" t="str">
            <v>Gulfstream Aerospace Gulfstream IV</v>
          </cell>
          <cell r="C3008" t="str">
            <v xml:space="preserve"> </v>
          </cell>
          <cell r="D3008">
            <v>1988</v>
          </cell>
          <cell r="E3008" t="str">
            <v>Crown Ltd</v>
          </cell>
          <cell r="F3008">
            <v>12</v>
          </cell>
          <cell r="G3008">
            <v>32766</v>
          </cell>
          <cell r="I3008" t="str">
            <v>Australasia</v>
          </cell>
          <cell r="J3008" t="str">
            <v>Australia</v>
          </cell>
          <cell r="K3008">
            <v>31958</v>
          </cell>
        </row>
        <row r="3009">
          <cell r="A3009" t="str">
            <v>In service</v>
          </cell>
          <cell r="B3009" t="str">
            <v>Gulfstream Aerospace Gulfstream IV</v>
          </cell>
          <cell r="C3009" t="str">
            <v xml:space="preserve"> </v>
          </cell>
          <cell r="D3009">
            <v>1989</v>
          </cell>
          <cell r="E3009" t="str">
            <v>Sit-Set Aviation AG</v>
          </cell>
          <cell r="F3009">
            <v>11</v>
          </cell>
          <cell r="G3009">
            <v>32746</v>
          </cell>
          <cell r="I3009" t="str">
            <v>Europe</v>
          </cell>
          <cell r="J3009" t="str">
            <v>Switzerland</v>
          </cell>
          <cell r="K3009">
            <v>31958</v>
          </cell>
        </row>
        <row r="3010">
          <cell r="A3010" t="str">
            <v>In service</v>
          </cell>
          <cell r="B3010" t="str">
            <v>Gulfstream Aerospace Gulfstream IV</v>
          </cell>
          <cell r="C3010" t="str">
            <v xml:space="preserve"> </v>
          </cell>
          <cell r="D3010">
            <v>1988</v>
          </cell>
          <cell r="E3010" t="str">
            <v>Petersen Aviation</v>
          </cell>
          <cell r="F3010">
            <v>12</v>
          </cell>
          <cell r="G3010">
            <v>32506</v>
          </cell>
          <cell r="I3010" t="str">
            <v>North America</v>
          </cell>
          <cell r="J3010" t="str">
            <v>USA</v>
          </cell>
          <cell r="K3010">
            <v>31958</v>
          </cell>
        </row>
        <row r="3011">
          <cell r="A3011" t="str">
            <v>In service</v>
          </cell>
          <cell r="B3011" t="str">
            <v>Gulfstream Aerospace Gulfstream IV</v>
          </cell>
          <cell r="C3011" t="str">
            <v xml:space="preserve"> </v>
          </cell>
          <cell r="D3011">
            <v>1988</v>
          </cell>
          <cell r="E3011" t="str">
            <v>Stockwood Inc</v>
          </cell>
          <cell r="F3011">
            <v>12</v>
          </cell>
          <cell r="G3011">
            <v>32506</v>
          </cell>
          <cell r="I3011" t="str">
            <v>North America</v>
          </cell>
          <cell r="J3011" t="str">
            <v>USA</v>
          </cell>
          <cell r="K3011">
            <v>31958</v>
          </cell>
        </row>
        <row r="3012">
          <cell r="A3012" t="str">
            <v>In service</v>
          </cell>
          <cell r="B3012" t="str">
            <v>Gulfstream Aerospace Gulfstream IV</v>
          </cell>
          <cell r="C3012" t="str">
            <v xml:space="preserve"> </v>
          </cell>
          <cell r="D3012">
            <v>1989</v>
          </cell>
          <cell r="E3012" t="str">
            <v>AirFlite</v>
          </cell>
          <cell r="F3012">
            <v>11</v>
          </cell>
          <cell r="G3012">
            <v>32560</v>
          </cell>
          <cell r="I3012" t="str">
            <v>North America</v>
          </cell>
          <cell r="J3012" t="str">
            <v>USA</v>
          </cell>
          <cell r="K3012">
            <v>31958</v>
          </cell>
        </row>
        <row r="3013">
          <cell r="A3013" t="str">
            <v>In service</v>
          </cell>
          <cell r="B3013" t="str">
            <v>Gulfstream Aerospace Gulfstream IV</v>
          </cell>
          <cell r="C3013" t="str">
            <v xml:space="preserve"> </v>
          </cell>
          <cell r="D3013">
            <v>1989</v>
          </cell>
          <cell r="E3013" t="str">
            <v>Exxon Mobil Corp</v>
          </cell>
          <cell r="F3013">
            <v>11</v>
          </cell>
          <cell r="G3013">
            <v>32561</v>
          </cell>
          <cell r="I3013" t="str">
            <v>North America</v>
          </cell>
          <cell r="J3013" t="str">
            <v>USA</v>
          </cell>
          <cell r="K3013">
            <v>31958</v>
          </cell>
        </row>
        <row r="3014">
          <cell r="A3014" t="str">
            <v>In service</v>
          </cell>
          <cell r="B3014" t="str">
            <v>Gulfstream Aerospace Gulfstream IV</v>
          </cell>
          <cell r="C3014" t="str">
            <v xml:space="preserve"> </v>
          </cell>
          <cell r="D3014">
            <v>1989</v>
          </cell>
          <cell r="E3014" t="str">
            <v>Chilean Air Force</v>
          </cell>
          <cell r="F3014">
            <v>11</v>
          </cell>
          <cell r="G3014">
            <v>32566</v>
          </cell>
          <cell r="I3014" t="str">
            <v>Latin America and Caribbean</v>
          </cell>
          <cell r="J3014" t="str">
            <v>Chile</v>
          </cell>
          <cell r="K3014">
            <v>31593</v>
          </cell>
        </row>
        <row r="3015">
          <cell r="A3015" t="str">
            <v>In service</v>
          </cell>
          <cell r="B3015" t="str">
            <v>Gulfstream Aerospace Gulfstream IV</v>
          </cell>
          <cell r="C3015" t="str">
            <v xml:space="preserve"> </v>
          </cell>
          <cell r="D3015">
            <v>1989</v>
          </cell>
          <cell r="E3015" t="str">
            <v>JetFly Aviation Ltd</v>
          </cell>
          <cell r="F3015">
            <v>11</v>
          </cell>
          <cell r="G3015">
            <v>32947</v>
          </cell>
          <cell r="I3015" t="str">
            <v>Latin America and Caribbean</v>
          </cell>
          <cell r="J3015" t="str">
            <v>Cayman Islands</v>
          </cell>
          <cell r="K3015">
            <v>32324</v>
          </cell>
        </row>
        <row r="3016">
          <cell r="A3016" t="str">
            <v>In service</v>
          </cell>
          <cell r="B3016" t="str">
            <v>Gulfstream Aerospace Gulfstream IV</v>
          </cell>
          <cell r="C3016" t="str">
            <v xml:space="preserve"> </v>
          </cell>
          <cell r="D3016">
            <v>1989</v>
          </cell>
          <cell r="E3016" t="str">
            <v>General Electric Company</v>
          </cell>
          <cell r="F3016">
            <v>11</v>
          </cell>
          <cell r="G3016">
            <v>32583</v>
          </cell>
          <cell r="I3016" t="str">
            <v>North America</v>
          </cell>
          <cell r="J3016" t="str">
            <v>USA</v>
          </cell>
          <cell r="K3016">
            <v>31958</v>
          </cell>
        </row>
        <row r="3017">
          <cell r="A3017" t="str">
            <v>In service</v>
          </cell>
          <cell r="B3017" t="str">
            <v>Gulfstream Aerospace Gulfstream IV</v>
          </cell>
          <cell r="C3017" t="str">
            <v xml:space="preserve"> </v>
          </cell>
          <cell r="D3017">
            <v>1989</v>
          </cell>
          <cell r="E3017" t="str">
            <v>NBL LLC</v>
          </cell>
          <cell r="F3017">
            <v>11</v>
          </cell>
          <cell r="G3017">
            <v>32590</v>
          </cell>
          <cell r="I3017" t="str">
            <v>North America</v>
          </cell>
          <cell r="J3017" t="str">
            <v>USA</v>
          </cell>
          <cell r="K3017">
            <v>31958</v>
          </cell>
        </row>
        <row r="3018">
          <cell r="A3018" t="str">
            <v>In service</v>
          </cell>
          <cell r="B3018" t="str">
            <v>Gulfstream Aerospace Gulfstream IV</v>
          </cell>
          <cell r="C3018" t="str">
            <v xml:space="preserve"> </v>
          </cell>
          <cell r="D3018">
            <v>1989</v>
          </cell>
          <cell r="E3018" t="str">
            <v>Ogden Flight Services Group Inc</v>
          </cell>
          <cell r="F3018">
            <v>11</v>
          </cell>
          <cell r="G3018">
            <v>32857</v>
          </cell>
          <cell r="I3018" t="str">
            <v>North America</v>
          </cell>
          <cell r="J3018" t="str">
            <v>USA</v>
          </cell>
          <cell r="K3018">
            <v>31958</v>
          </cell>
        </row>
        <row r="3019">
          <cell r="A3019" t="str">
            <v>In service</v>
          </cell>
          <cell r="B3019" t="str">
            <v>Gulfstream Aerospace Gulfstream IV</v>
          </cell>
          <cell r="C3019" t="str">
            <v xml:space="preserve"> </v>
          </cell>
          <cell r="D3019">
            <v>1989</v>
          </cell>
          <cell r="E3019" t="str">
            <v>Exxon Mobil Corp</v>
          </cell>
          <cell r="F3019">
            <v>11</v>
          </cell>
          <cell r="G3019">
            <v>32611</v>
          </cell>
          <cell r="I3019" t="str">
            <v>North America</v>
          </cell>
          <cell r="J3019" t="str">
            <v>USA</v>
          </cell>
          <cell r="K3019">
            <v>31958</v>
          </cell>
        </row>
        <row r="3020">
          <cell r="A3020" t="str">
            <v>In service</v>
          </cell>
          <cell r="B3020" t="str">
            <v>Gulfstream Aerospace Gulfstream IV</v>
          </cell>
          <cell r="C3020" t="str">
            <v xml:space="preserve"> </v>
          </cell>
          <cell r="D3020">
            <v>1989</v>
          </cell>
          <cell r="E3020" t="str">
            <v>Eli Lilly International Corp</v>
          </cell>
          <cell r="F3020">
            <v>11</v>
          </cell>
          <cell r="G3020">
            <v>32619</v>
          </cell>
          <cell r="I3020" t="str">
            <v>North America</v>
          </cell>
          <cell r="J3020" t="str">
            <v>USA</v>
          </cell>
          <cell r="K3020">
            <v>31958</v>
          </cell>
        </row>
        <row r="3021">
          <cell r="A3021" t="str">
            <v>In service</v>
          </cell>
          <cell r="B3021" t="str">
            <v>Gulfstream Aerospace Gulfstream IV</v>
          </cell>
          <cell r="C3021" t="str">
            <v xml:space="preserve"> </v>
          </cell>
          <cell r="D3021">
            <v>1989</v>
          </cell>
          <cell r="E3021" t="str">
            <v>Rolls-Royce</v>
          </cell>
          <cell r="F3021">
            <v>11</v>
          </cell>
          <cell r="G3021">
            <v>32857</v>
          </cell>
          <cell r="I3021" t="str">
            <v>Europe</v>
          </cell>
          <cell r="J3021" t="str">
            <v>United Kingdom</v>
          </cell>
          <cell r="K3021">
            <v>31958</v>
          </cell>
        </row>
        <row r="3022">
          <cell r="A3022" t="str">
            <v>In service</v>
          </cell>
          <cell r="B3022" t="str">
            <v>Gulfstream Aerospace Gulfstream IV</v>
          </cell>
          <cell r="C3022" t="str">
            <v xml:space="preserve"> </v>
          </cell>
          <cell r="D3022">
            <v>1989</v>
          </cell>
          <cell r="E3022" t="str">
            <v>ABT Flight Inc</v>
          </cell>
          <cell r="F3022">
            <v>11</v>
          </cell>
          <cell r="G3022">
            <v>32637</v>
          </cell>
          <cell r="I3022" t="str">
            <v>North America</v>
          </cell>
          <cell r="J3022" t="str">
            <v>USA</v>
          </cell>
          <cell r="K3022">
            <v>31958</v>
          </cell>
        </row>
        <row r="3023">
          <cell r="A3023" t="str">
            <v>In service</v>
          </cell>
          <cell r="B3023" t="str">
            <v>Gulfstream Aerospace Gulfstream IV</v>
          </cell>
          <cell r="C3023" t="str">
            <v xml:space="preserve"> </v>
          </cell>
          <cell r="D3023">
            <v>1989</v>
          </cell>
          <cell r="E3023" t="str">
            <v>Wings Venture Ltd</v>
          </cell>
          <cell r="F3023">
            <v>11</v>
          </cell>
          <cell r="G3023">
            <v>32660</v>
          </cell>
          <cell r="I3023" t="str">
            <v>North America</v>
          </cell>
          <cell r="J3023" t="str">
            <v>USA</v>
          </cell>
          <cell r="K3023">
            <v>31958</v>
          </cell>
        </row>
        <row r="3024">
          <cell r="A3024" t="str">
            <v>In service</v>
          </cell>
          <cell r="B3024" t="str">
            <v>Gulfstream Aerospace Gulfstream IV</v>
          </cell>
          <cell r="C3024" t="str">
            <v xml:space="preserve"> </v>
          </cell>
          <cell r="D3024">
            <v>1989</v>
          </cell>
          <cell r="E3024" t="str">
            <v>CKE Associates LLC</v>
          </cell>
          <cell r="F3024">
            <v>11</v>
          </cell>
          <cell r="G3024">
            <v>32780</v>
          </cell>
          <cell r="I3024" t="str">
            <v>North America</v>
          </cell>
          <cell r="J3024" t="str">
            <v>USA</v>
          </cell>
          <cell r="K3024">
            <v>31958</v>
          </cell>
        </row>
        <row r="3025">
          <cell r="A3025" t="str">
            <v>In service</v>
          </cell>
          <cell r="B3025" t="str">
            <v>Gulfstream Aerospace Gulfstream IV</v>
          </cell>
          <cell r="C3025" t="str">
            <v xml:space="preserve"> </v>
          </cell>
          <cell r="D3025">
            <v>1989</v>
          </cell>
          <cell r="E3025" t="str">
            <v>GC Pacific Landing Corp</v>
          </cell>
          <cell r="F3025">
            <v>11</v>
          </cell>
          <cell r="G3025">
            <v>32668</v>
          </cell>
          <cell r="I3025" t="str">
            <v>Latin America and Caribbean</v>
          </cell>
          <cell r="J3025" t="str">
            <v>Bermuda</v>
          </cell>
          <cell r="K3025">
            <v>31958</v>
          </cell>
        </row>
        <row r="3026">
          <cell r="A3026" t="str">
            <v>In service</v>
          </cell>
          <cell r="B3026" t="str">
            <v>Gulfstream Aerospace Gulfstream IV</v>
          </cell>
          <cell r="C3026" t="str">
            <v xml:space="preserve"> </v>
          </cell>
          <cell r="D3026">
            <v>1989</v>
          </cell>
          <cell r="E3026" t="str">
            <v>General Electric Company</v>
          </cell>
          <cell r="F3026">
            <v>11</v>
          </cell>
          <cell r="G3026">
            <v>32675</v>
          </cell>
          <cell r="I3026" t="str">
            <v>North America</v>
          </cell>
          <cell r="J3026" t="str">
            <v>USA</v>
          </cell>
          <cell r="K3026">
            <v>31958</v>
          </cell>
        </row>
        <row r="3027">
          <cell r="A3027" t="str">
            <v>In service</v>
          </cell>
          <cell r="B3027" t="str">
            <v>Gulfstream Aerospace Gulfstream IV</v>
          </cell>
          <cell r="C3027" t="str">
            <v xml:space="preserve"> </v>
          </cell>
          <cell r="D3027">
            <v>1989</v>
          </cell>
          <cell r="E3027" t="str">
            <v>BP Amoco Corp</v>
          </cell>
          <cell r="F3027">
            <v>11</v>
          </cell>
          <cell r="G3027">
            <v>32687</v>
          </cell>
          <cell r="I3027" t="str">
            <v>North America</v>
          </cell>
          <cell r="J3027" t="str">
            <v>USA</v>
          </cell>
          <cell r="K3027">
            <v>31958</v>
          </cell>
        </row>
        <row r="3028">
          <cell r="A3028" t="str">
            <v>In service</v>
          </cell>
          <cell r="B3028" t="str">
            <v>Gulfstream Aerospace Gulfstream IV</v>
          </cell>
          <cell r="C3028" t="str">
            <v xml:space="preserve"> </v>
          </cell>
          <cell r="D3028">
            <v>1989</v>
          </cell>
          <cell r="E3028" t="str">
            <v>Fordair</v>
          </cell>
          <cell r="F3028">
            <v>11</v>
          </cell>
          <cell r="G3028">
            <v>32692</v>
          </cell>
          <cell r="I3028" t="str">
            <v>Europe</v>
          </cell>
          <cell r="J3028" t="str">
            <v>United Kingdom</v>
          </cell>
          <cell r="K3028">
            <v>31958</v>
          </cell>
        </row>
        <row r="3029">
          <cell r="A3029" t="str">
            <v>In service</v>
          </cell>
          <cell r="B3029" t="str">
            <v>Gulfstream Aerospace Gulfstream IV</v>
          </cell>
          <cell r="C3029" t="str">
            <v xml:space="preserve"> </v>
          </cell>
          <cell r="D3029">
            <v>1989</v>
          </cell>
          <cell r="E3029" t="str">
            <v>MC Group</v>
          </cell>
          <cell r="F3029">
            <v>11</v>
          </cell>
          <cell r="G3029">
            <v>32884</v>
          </cell>
          <cell r="I3029" t="str">
            <v>North America</v>
          </cell>
          <cell r="J3029" t="str">
            <v>USA</v>
          </cell>
          <cell r="K3029">
            <v>32324</v>
          </cell>
        </row>
        <row r="3030">
          <cell r="A3030" t="str">
            <v>In service</v>
          </cell>
          <cell r="B3030" t="str">
            <v>Gulfstream Aerospace Gulfstream IV</v>
          </cell>
          <cell r="C3030" t="str">
            <v xml:space="preserve"> </v>
          </cell>
          <cell r="D3030">
            <v>1989</v>
          </cell>
          <cell r="E3030" t="str">
            <v>Eli Lilly International Corp</v>
          </cell>
          <cell r="F3030">
            <v>11</v>
          </cell>
          <cell r="G3030">
            <v>32722</v>
          </cell>
          <cell r="I3030" t="str">
            <v>North America</v>
          </cell>
          <cell r="J3030" t="str">
            <v>USA</v>
          </cell>
          <cell r="K3030">
            <v>31958</v>
          </cell>
        </row>
        <row r="3031">
          <cell r="A3031" t="str">
            <v>In service</v>
          </cell>
          <cell r="B3031" t="str">
            <v>Gulfstream Aerospace Gulfstream IV</v>
          </cell>
          <cell r="C3031" t="str">
            <v xml:space="preserve"> </v>
          </cell>
          <cell r="D3031">
            <v>1990</v>
          </cell>
          <cell r="E3031" t="str">
            <v>Sultanate of Johore Malaysia</v>
          </cell>
          <cell r="F3031">
            <v>10</v>
          </cell>
          <cell r="G3031">
            <v>33312</v>
          </cell>
          <cell r="I3031" t="str">
            <v>Asia</v>
          </cell>
          <cell r="J3031" t="str">
            <v>Malaysia</v>
          </cell>
          <cell r="K3031">
            <v>32689</v>
          </cell>
        </row>
        <row r="3032">
          <cell r="A3032" t="str">
            <v>In service</v>
          </cell>
          <cell r="B3032" t="str">
            <v>Gulfstream Aerospace Gulfstream IV</v>
          </cell>
          <cell r="C3032" t="str">
            <v xml:space="preserve"> </v>
          </cell>
          <cell r="D3032">
            <v>1989</v>
          </cell>
          <cell r="E3032" t="str">
            <v>GSB Aviation LLC</v>
          </cell>
          <cell r="F3032">
            <v>11</v>
          </cell>
          <cell r="G3032">
            <v>32919</v>
          </cell>
          <cell r="I3032" t="str">
            <v>North America</v>
          </cell>
          <cell r="J3032" t="str">
            <v>USA</v>
          </cell>
          <cell r="K3032">
            <v>32324</v>
          </cell>
        </row>
        <row r="3033">
          <cell r="A3033" t="str">
            <v>In service</v>
          </cell>
          <cell r="B3033" t="str">
            <v>Gulfstream Aerospace Gulfstream IV</v>
          </cell>
          <cell r="C3033" t="str">
            <v xml:space="preserve"> </v>
          </cell>
          <cell r="D3033">
            <v>1989</v>
          </cell>
          <cell r="E3033" t="str">
            <v>News Limited</v>
          </cell>
          <cell r="F3033">
            <v>11</v>
          </cell>
          <cell r="G3033">
            <v>32736</v>
          </cell>
          <cell r="I3033" t="str">
            <v>Australasia</v>
          </cell>
          <cell r="J3033" t="str">
            <v>Australia</v>
          </cell>
          <cell r="K3033">
            <v>31958</v>
          </cell>
        </row>
        <row r="3034">
          <cell r="A3034" t="str">
            <v>In service</v>
          </cell>
          <cell r="B3034" t="str">
            <v>Gulfstream Aerospace Gulfstream IV</v>
          </cell>
          <cell r="C3034" t="str">
            <v xml:space="preserve"> </v>
          </cell>
          <cell r="D3034">
            <v>1990</v>
          </cell>
          <cell r="E3034" t="str">
            <v>Gestair</v>
          </cell>
          <cell r="F3034">
            <v>10</v>
          </cell>
          <cell r="G3034">
            <v>33312</v>
          </cell>
          <cell r="I3034" t="str">
            <v>Europe</v>
          </cell>
          <cell r="J3034" t="str">
            <v>Spain</v>
          </cell>
          <cell r="K3034">
            <v>32689</v>
          </cell>
        </row>
        <row r="3035">
          <cell r="A3035" t="str">
            <v>In service</v>
          </cell>
          <cell r="B3035" t="str">
            <v>Gulfstream Aerospace Gulfstream IV</v>
          </cell>
          <cell r="C3035" t="str">
            <v xml:space="preserve"> </v>
          </cell>
          <cell r="D3035">
            <v>1989</v>
          </cell>
          <cell r="E3035" t="str">
            <v>JJSA Aviation LLC</v>
          </cell>
          <cell r="F3035">
            <v>11</v>
          </cell>
          <cell r="G3035">
            <v>32744</v>
          </cell>
          <cell r="I3035" t="str">
            <v>North America</v>
          </cell>
          <cell r="J3035" t="str">
            <v>USA</v>
          </cell>
          <cell r="K3035">
            <v>31958</v>
          </cell>
        </row>
        <row r="3036">
          <cell r="A3036" t="str">
            <v>In service</v>
          </cell>
          <cell r="B3036" t="str">
            <v>Gulfstream Aerospace Gulfstream IV</v>
          </cell>
          <cell r="C3036" t="str">
            <v xml:space="preserve"> </v>
          </cell>
          <cell r="D3036">
            <v>1989</v>
          </cell>
          <cell r="E3036" t="str">
            <v>Apex Oil Co Inc</v>
          </cell>
          <cell r="F3036">
            <v>11</v>
          </cell>
          <cell r="G3036">
            <v>32762</v>
          </cell>
          <cell r="I3036" t="str">
            <v>North America</v>
          </cell>
          <cell r="J3036" t="str">
            <v>USA</v>
          </cell>
          <cell r="K3036">
            <v>31958</v>
          </cell>
        </row>
        <row r="3037">
          <cell r="A3037" t="str">
            <v>In service</v>
          </cell>
          <cell r="B3037" t="str">
            <v>Gulfstream Aerospace Gulfstream IV</v>
          </cell>
          <cell r="C3037" t="str">
            <v xml:space="preserve"> </v>
          </cell>
          <cell r="D3037">
            <v>1989</v>
          </cell>
          <cell r="E3037" t="str">
            <v>United Technologies Corp</v>
          </cell>
          <cell r="F3037">
            <v>11</v>
          </cell>
          <cell r="G3037">
            <v>32770</v>
          </cell>
          <cell r="I3037" t="str">
            <v>North America</v>
          </cell>
          <cell r="J3037" t="str">
            <v>USA</v>
          </cell>
          <cell r="K3037">
            <v>31958</v>
          </cell>
        </row>
        <row r="3038">
          <cell r="A3038" t="str">
            <v>In service</v>
          </cell>
          <cell r="B3038" t="str">
            <v>Gulfstream Aerospace Gulfstream IV</v>
          </cell>
          <cell r="C3038" t="str">
            <v xml:space="preserve"> </v>
          </cell>
          <cell r="D3038">
            <v>1989</v>
          </cell>
          <cell r="E3038" t="str">
            <v>Garthorpe Inc</v>
          </cell>
          <cell r="F3038">
            <v>11</v>
          </cell>
          <cell r="G3038">
            <v>32787</v>
          </cell>
          <cell r="I3038" t="str">
            <v>North America</v>
          </cell>
          <cell r="J3038" t="str">
            <v>USA</v>
          </cell>
          <cell r="K3038">
            <v>32324</v>
          </cell>
        </row>
        <row r="3039">
          <cell r="A3039" t="str">
            <v>In service</v>
          </cell>
          <cell r="B3039" t="str">
            <v>Gulfstream Aerospace Gulfstream IV</v>
          </cell>
          <cell r="C3039" t="str">
            <v xml:space="preserve"> </v>
          </cell>
          <cell r="D3039">
            <v>1989</v>
          </cell>
          <cell r="E3039" t="str">
            <v>Lexair Ltd</v>
          </cell>
          <cell r="F3039">
            <v>11</v>
          </cell>
          <cell r="G3039">
            <v>33012</v>
          </cell>
          <cell r="I3039" t="str">
            <v>North America</v>
          </cell>
          <cell r="J3039" t="str">
            <v>USA</v>
          </cell>
          <cell r="K3039">
            <v>32324</v>
          </cell>
        </row>
        <row r="3040">
          <cell r="A3040" t="str">
            <v>In service</v>
          </cell>
          <cell r="B3040" t="str">
            <v>Gulfstream Aerospace Gulfstream IV</v>
          </cell>
          <cell r="C3040" t="str">
            <v xml:space="preserve"> </v>
          </cell>
          <cell r="D3040">
            <v>1989</v>
          </cell>
          <cell r="E3040" t="str">
            <v>SNS Aviation LLC</v>
          </cell>
          <cell r="F3040">
            <v>11</v>
          </cell>
          <cell r="G3040">
            <v>32799</v>
          </cell>
          <cell r="I3040" t="str">
            <v>North America</v>
          </cell>
          <cell r="J3040" t="str">
            <v>USA</v>
          </cell>
          <cell r="K3040">
            <v>31958</v>
          </cell>
        </row>
        <row r="3041">
          <cell r="A3041" t="str">
            <v>In service</v>
          </cell>
          <cell r="B3041" t="str">
            <v>Gulfstream Aerospace Gulfstream IV</v>
          </cell>
          <cell r="C3041" t="str">
            <v xml:space="preserve"> </v>
          </cell>
          <cell r="D3041">
            <v>1989</v>
          </cell>
          <cell r="E3041" t="str">
            <v>National City Leasing Corp</v>
          </cell>
          <cell r="F3041">
            <v>11</v>
          </cell>
          <cell r="G3041">
            <v>33100</v>
          </cell>
          <cell r="I3041" t="str">
            <v>North America</v>
          </cell>
          <cell r="J3041" t="str">
            <v>USA</v>
          </cell>
          <cell r="K3041">
            <v>32324</v>
          </cell>
        </row>
        <row r="3042">
          <cell r="A3042" t="str">
            <v>In service</v>
          </cell>
          <cell r="B3042" t="str">
            <v>Gulfstream Aerospace Gulfstream IV</v>
          </cell>
          <cell r="C3042" t="str">
            <v xml:space="preserve"> </v>
          </cell>
          <cell r="D3042">
            <v>1991</v>
          </cell>
          <cell r="E3042" t="str">
            <v>Fayair</v>
          </cell>
          <cell r="F3042">
            <v>9</v>
          </cell>
          <cell r="G3042">
            <v>33520</v>
          </cell>
          <cell r="I3042" t="str">
            <v>Europe</v>
          </cell>
          <cell r="J3042" t="str">
            <v>United Kingdom</v>
          </cell>
          <cell r="K3042">
            <v>32689</v>
          </cell>
        </row>
        <row r="3043">
          <cell r="A3043" t="str">
            <v>In service</v>
          </cell>
          <cell r="B3043" t="str">
            <v>Gulfstream Aerospace Gulfstream IV</v>
          </cell>
          <cell r="C3043" t="str">
            <v xml:space="preserve"> </v>
          </cell>
          <cell r="D3043">
            <v>1989</v>
          </cell>
          <cell r="E3043" t="str">
            <v>Pfizer Inc</v>
          </cell>
          <cell r="F3043">
            <v>11</v>
          </cell>
          <cell r="G3043">
            <v>32821</v>
          </cell>
          <cell r="I3043" t="str">
            <v>North America</v>
          </cell>
          <cell r="J3043" t="str">
            <v>USA</v>
          </cell>
          <cell r="K3043">
            <v>31958</v>
          </cell>
        </row>
        <row r="3044">
          <cell r="A3044" t="str">
            <v>In service</v>
          </cell>
          <cell r="B3044" t="str">
            <v>Gulfstream Aerospace Gulfstream IV</v>
          </cell>
          <cell r="C3044" t="str">
            <v xml:space="preserve"> </v>
          </cell>
          <cell r="D3044">
            <v>1989</v>
          </cell>
          <cell r="E3044" t="str">
            <v>Julio Inglesias</v>
          </cell>
          <cell r="F3044">
            <v>11</v>
          </cell>
          <cell r="G3044">
            <v>32834</v>
          </cell>
          <cell r="I3044" t="str">
            <v>Europe</v>
          </cell>
          <cell r="J3044" t="str">
            <v>Spain</v>
          </cell>
          <cell r="K3044">
            <v>32324</v>
          </cell>
        </row>
        <row r="3045">
          <cell r="A3045" t="str">
            <v>In service</v>
          </cell>
          <cell r="B3045" t="str">
            <v>Gulfstream Aerospace Gulfstream IV</v>
          </cell>
          <cell r="C3045" t="str">
            <v xml:space="preserve"> </v>
          </cell>
          <cell r="D3045">
            <v>1990</v>
          </cell>
          <cell r="E3045" t="str">
            <v>Chargers Football Co LLC</v>
          </cell>
          <cell r="F3045">
            <v>10</v>
          </cell>
          <cell r="G3045">
            <v>33082</v>
          </cell>
          <cell r="I3045" t="str">
            <v>North America</v>
          </cell>
          <cell r="J3045" t="str">
            <v>USA</v>
          </cell>
          <cell r="K3045">
            <v>32324</v>
          </cell>
        </row>
        <row r="3046">
          <cell r="A3046" t="str">
            <v>In service</v>
          </cell>
          <cell r="B3046" t="str">
            <v>Gulfstream Aerospace Gulfstream IV</v>
          </cell>
          <cell r="C3046" t="str">
            <v xml:space="preserve"> </v>
          </cell>
          <cell r="D3046">
            <v>1989</v>
          </cell>
          <cell r="E3046" t="str">
            <v>Bombardier Capital Inc</v>
          </cell>
          <cell r="F3046">
            <v>11</v>
          </cell>
          <cell r="G3046">
            <v>32843</v>
          </cell>
          <cell r="I3046" t="str">
            <v>North America</v>
          </cell>
          <cell r="J3046" t="str">
            <v>USA</v>
          </cell>
          <cell r="K3046">
            <v>32324</v>
          </cell>
        </row>
        <row r="3047">
          <cell r="A3047" t="str">
            <v>In service</v>
          </cell>
          <cell r="B3047" t="str">
            <v>Gulfstream Aerospace Gulfstream IV</v>
          </cell>
          <cell r="C3047" t="str">
            <v xml:space="preserve"> </v>
          </cell>
          <cell r="D3047">
            <v>1989</v>
          </cell>
          <cell r="E3047" t="str">
            <v>MBNA Corp</v>
          </cell>
          <cell r="F3047">
            <v>11</v>
          </cell>
          <cell r="G3047">
            <v>32849</v>
          </cell>
          <cell r="I3047" t="str">
            <v>North America</v>
          </cell>
          <cell r="J3047" t="str">
            <v>USA</v>
          </cell>
          <cell r="K3047">
            <v>31958</v>
          </cell>
        </row>
        <row r="3048">
          <cell r="A3048" t="str">
            <v>In service</v>
          </cell>
          <cell r="B3048" t="str">
            <v>Gulfstream Aerospace Gulfstream IV</v>
          </cell>
          <cell r="C3048" t="str">
            <v xml:space="preserve"> </v>
          </cell>
          <cell r="D3048">
            <v>1990</v>
          </cell>
          <cell r="E3048" t="str">
            <v>ALBA Servici Aerotrasporti SpA</v>
          </cell>
          <cell r="F3048">
            <v>10</v>
          </cell>
          <cell r="G3048">
            <v>33222</v>
          </cell>
          <cell r="I3048" t="str">
            <v>Europe</v>
          </cell>
          <cell r="J3048" t="str">
            <v>Italy</v>
          </cell>
          <cell r="K3048">
            <v>32324</v>
          </cell>
        </row>
        <row r="3049">
          <cell r="A3049" t="str">
            <v>In service</v>
          </cell>
          <cell r="B3049" t="str">
            <v>Gulfstream Aerospace Gulfstream IV</v>
          </cell>
          <cell r="C3049" t="str">
            <v xml:space="preserve"> </v>
          </cell>
          <cell r="D3049">
            <v>1990</v>
          </cell>
          <cell r="E3049" t="str">
            <v>Whirlpool Corp</v>
          </cell>
          <cell r="F3049">
            <v>10</v>
          </cell>
          <cell r="G3049">
            <v>33162</v>
          </cell>
          <cell r="I3049" t="str">
            <v>North America</v>
          </cell>
          <cell r="J3049" t="str">
            <v>USA</v>
          </cell>
          <cell r="K3049">
            <v>32324</v>
          </cell>
        </row>
        <row r="3050">
          <cell r="A3050" t="str">
            <v>In service</v>
          </cell>
          <cell r="B3050" t="str">
            <v>Gulfstream Aerospace Gulfstream IV</v>
          </cell>
          <cell r="C3050" t="str">
            <v xml:space="preserve"> </v>
          </cell>
          <cell r="D3050">
            <v>1989</v>
          </cell>
          <cell r="E3050" t="str">
            <v>LVH Corp</v>
          </cell>
          <cell r="F3050">
            <v>11</v>
          </cell>
          <cell r="G3050">
            <v>32869</v>
          </cell>
          <cell r="I3050" t="str">
            <v>North America</v>
          </cell>
          <cell r="J3050" t="str">
            <v>USA</v>
          </cell>
          <cell r="K3050">
            <v>31958</v>
          </cell>
        </row>
        <row r="3051">
          <cell r="A3051" t="str">
            <v>In service</v>
          </cell>
          <cell r="B3051" t="str">
            <v>Gulfstream Aerospace Gulfstream IV</v>
          </cell>
          <cell r="C3051" t="str">
            <v xml:space="preserve"> </v>
          </cell>
          <cell r="D3051">
            <v>1990</v>
          </cell>
          <cell r="E3051" t="str">
            <v>Federal Government of Nigeria</v>
          </cell>
          <cell r="F3051">
            <v>10</v>
          </cell>
          <cell r="G3051">
            <v>33192</v>
          </cell>
          <cell r="I3051" t="str">
            <v>Africa</v>
          </cell>
          <cell r="J3051" t="str">
            <v>Nigeria</v>
          </cell>
          <cell r="K3051">
            <v>31958</v>
          </cell>
        </row>
        <row r="3052">
          <cell r="A3052" t="str">
            <v>In service</v>
          </cell>
          <cell r="B3052" t="str">
            <v>Gulfstream Aerospace Gulfstream IV</v>
          </cell>
          <cell r="C3052" t="str">
            <v xml:space="preserve"> </v>
          </cell>
          <cell r="D3052">
            <v>1990</v>
          </cell>
          <cell r="E3052" t="str">
            <v>AEC International Ltd</v>
          </cell>
          <cell r="F3052">
            <v>10</v>
          </cell>
          <cell r="G3052">
            <v>32912</v>
          </cell>
          <cell r="I3052" t="str">
            <v>Latin America and Caribbean</v>
          </cell>
          <cell r="J3052" t="str">
            <v>Bermuda</v>
          </cell>
          <cell r="K3052">
            <v>32689</v>
          </cell>
        </row>
        <row r="3053">
          <cell r="A3053" t="str">
            <v>In service</v>
          </cell>
          <cell r="B3053" t="str">
            <v>Gulfstream Aerospace Gulfstream IV</v>
          </cell>
          <cell r="C3053" t="str">
            <v xml:space="preserve"> </v>
          </cell>
          <cell r="D3053">
            <v>1990</v>
          </cell>
          <cell r="E3053" t="str">
            <v>Saudi Arabian Airlines</v>
          </cell>
          <cell r="F3053">
            <v>10</v>
          </cell>
          <cell r="G3053">
            <v>33297</v>
          </cell>
          <cell r="I3053" t="str">
            <v>Middle East</v>
          </cell>
          <cell r="J3053" t="str">
            <v>Saudi Arabia</v>
          </cell>
          <cell r="K3053">
            <v>32324</v>
          </cell>
        </row>
        <row r="3054">
          <cell r="A3054" t="str">
            <v>In service</v>
          </cell>
          <cell r="B3054" t="str">
            <v>Gulfstream Aerospace Gulfstream IV</v>
          </cell>
          <cell r="C3054" t="str">
            <v xml:space="preserve"> </v>
          </cell>
          <cell r="D3054">
            <v>1990</v>
          </cell>
          <cell r="E3054" t="str">
            <v>Anglo American Corp of South Africa</v>
          </cell>
          <cell r="F3054">
            <v>10</v>
          </cell>
          <cell r="G3054">
            <v>33131</v>
          </cell>
          <cell r="I3054" t="str">
            <v>Africa</v>
          </cell>
          <cell r="J3054" t="str">
            <v>South Africa</v>
          </cell>
          <cell r="K3054">
            <v>32324</v>
          </cell>
        </row>
        <row r="3055">
          <cell r="A3055" t="str">
            <v>In service</v>
          </cell>
          <cell r="B3055" t="str">
            <v>Gulfstream Aerospace Gulfstream IV</v>
          </cell>
          <cell r="C3055" t="str">
            <v xml:space="preserve"> </v>
          </cell>
          <cell r="D3055">
            <v>1990</v>
          </cell>
          <cell r="E3055" t="str">
            <v>Lockheed Martin Corp</v>
          </cell>
          <cell r="F3055">
            <v>10</v>
          </cell>
          <cell r="G3055">
            <v>32954</v>
          </cell>
          <cell r="I3055" t="str">
            <v>North America</v>
          </cell>
          <cell r="J3055" t="str">
            <v>USA</v>
          </cell>
          <cell r="K3055">
            <v>32324</v>
          </cell>
        </row>
        <row r="3056">
          <cell r="A3056" t="str">
            <v>In service</v>
          </cell>
          <cell r="B3056" t="str">
            <v>Gulfstream Aerospace Gulfstream IV</v>
          </cell>
          <cell r="C3056" t="str">
            <v xml:space="preserve"> </v>
          </cell>
          <cell r="D3056">
            <v>1990</v>
          </cell>
          <cell r="E3056" t="str">
            <v>The Coca-Cola Co</v>
          </cell>
          <cell r="F3056">
            <v>10</v>
          </cell>
          <cell r="G3056">
            <v>32969</v>
          </cell>
          <cell r="I3056" t="str">
            <v>North America</v>
          </cell>
          <cell r="J3056" t="str">
            <v>USA</v>
          </cell>
          <cell r="K3056">
            <v>32324</v>
          </cell>
        </row>
        <row r="3057">
          <cell r="A3057" t="str">
            <v>In service</v>
          </cell>
          <cell r="B3057" t="str">
            <v>Gulfstream Aerospace Gulfstream IV</v>
          </cell>
          <cell r="C3057" t="str">
            <v xml:space="preserve"> </v>
          </cell>
          <cell r="D3057">
            <v>1991</v>
          </cell>
          <cell r="E3057" t="str">
            <v>K-C Aviation Inc</v>
          </cell>
          <cell r="F3057">
            <v>9</v>
          </cell>
          <cell r="G3057">
            <v>33434</v>
          </cell>
          <cell r="I3057" t="str">
            <v>North America</v>
          </cell>
          <cell r="J3057" t="str">
            <v>USA</v>
          </cell>
          <cell r="K3057">
            <v>32689</v>
          </cell>
        </row>
        <row r="3058">
          <cell r="A3058" t="str">
            <v>In service</v>
          </cell>
          <cell r="B3058" t="str">
            <v>Gulfstream Aerospace Gulfstream IV</v>
          </cell>
          <cell r="C3058" t="str">
            <v xml:space="preserve"> </v>
          </cell>
          <cell r="D3058">
            <v>1990</v>
          </cell>
          <cell r="E3058" t="str">
            <v>Copley Press Inc</v>
          </cell>
          <cell r="F3058">
            <v>10</v>
          </cell>
          <cell r="G3058">
            <v>33192</v>
          </cell>
          <cell r="I3058" t="str">
            <v>North America</v>
          </cell>
          <cell r="J3058" t="str">
            <v>USA</v>
          </cell>
          <cell r="K3058">
            <v>32324</v>
          </cell>
        </row>
        <row r="3059">
          <cell r="A3059" t="str">
            <v>In service</v>
          </cell>
          <cell r="B3059" t="str">
            <v>Gulfstream Aerospace Gulfstream IV</v>
          </cell>
          <cell r="C3059" t="str">
            <v xml:space="preserve"> </v>
          </cell>
          <cell r="D3059">
            <v>1990</v>
          </cell>
          <cell r="E3059" t="str">
            <v>Transworld Oil America</v>
          </cell>
          <cell r="F3059">
            <v>10</v>
          </cell>
          <cell r="G3059">
            <v>33193</v>
          </cell>
          <cell r="I3059" t="str">
            <v>North America</v>
          </cell>
          <cell r="J3059" t="str">
            <v>USA</v>
          </cell>
          <cell r="K3059">
            <v>32324</v>
          </cell>
        </row>
        <row r="3060">
          <cell r="A3060" t="str">
            <v>In service</v>
          </cell>
          <cell r="B3060" t="str">
            <v>Gulfstream Aerospace Gulfstream IV</v>
          </cell>
          <cell r="C3060" t="str">
            <v xml:space="preserve"> </v>
          </cell>
          <cell r="D3060">
            <v>1990</v>
          </cell>
          <cell r="E3060" t="str">
            <v>Earth Star Inc</v>
          </cell>
          <cell r="F3060">
            <v>10</v>
          </cell>
          <cell r="G3060">
            <v>33253</v>
          </cell>
          <cell r="I3060" t="str">
            <v>North America</v>
          </cell>
          <cell r="J3060" t="str">
            <v>USA</v>
          </cell>
          <cell r="K3060">
            <v>32689</v>
          </cell>
        </row>
        <row r="3061">
          <cell r="A3061" t="str">
            <v>In service</v>
          </cell>
          <cell r="B3061" t="str">
            <v>Gulfstream Aerospace Gulfstream IV</v>
          </cell>
          <cell r="C3061" t="str">
            <v xml:space="preserve"> </v>
          </cell>
          <cell r="D3061">
            <v>1990</v>
          </cell>
          <cell r="E3061" t="str">
            <v>Schering Plough Corp</v>
          </cell>
          <cell r="F3061">
            <v>10</v>
          </cell>
          <cell r="G3061">
            <v>33207</v>
          </cell>
          <cell r="I3061" t="str">
            <v>North America</v>
          </cell>
          <cell r="J3061" t="str">
            <v>USA</v>
          </cell>
          <cell r="K3061">
            <v>32324</v>
          </cell>
        </row>
        <row r="3062">
          <cell r="A3062" t="str">
            <v>In service</v>
          </cell>
          <cell r="B3062" t="str">
            <v>Gulfstream Aerospace Gulfstream IV</v>
          </cell>
          <cell r="C3062" t="str">
            <v xml:space="preserve"> </v>
          </cell>
          <cell r="D3062">
            <v>1990</v>
          </cell>
          <cell r="E3062" t="str">
            <v xml:space="preserve">I M S Health Transportation Services </v>
          </cell>
          <cell r="F3062">
            <v>10</v>
          </cell>
          <cell r="G3062">
            <v>33161</v>
          </cell>
          <cell r="I3062" t="str">
            <v>North America</v>
          </cell>
          <cell r="J3062" t="str">
            <v>USA</v>
          </cell>
          <cell r="K3062">
            <v>32324</v>
          </cell>
        </row>
        <row r="3063">
          <cell r="A3063" t="str">
            <v>In service</v>
          </cell>
          <cell r="B3063" t="str">
            <v>Gulfstream Aerospace Gulfstream IV</v>
          </cell>
          <cell r="C3063" t="str">
            <v xml:space="preserve"> </v>
          </cell>
          <cell r="D3063">
            <v>1991</v>
          </cell>
          <cell r="E3063" t="str">
            <v>Exxon Mobil Corp</v>
          </cell>
          <cell r="F3063">
            <v>9</v>
          </cell>
          <cell r="G3063">
            <v>33249</v>
          </cell>
          <cell r="I3063" t="str">
            <v>North America</v>
          </cell>
          <cell r="J3063" t="str">
            <v>USA</v>
          </cell>
          <cell r="K3063">
            <v>32689</v>
          </cell>
        </row>
        <row r="3064">
          <cell r="A3064" t="str">
            <v>In service</v>
          </cell>
          <cell r="B3064" t="str">
            <v>Gulfstream Aerospace Gulfstream IV</v>
          </cell>
          <cell r="C3064" t="str">
            <v xml:space="preserve"> </v>
          </cell>
          <cell r="D3064">
            <v>1991</v>
          </cell>
          <cell r="E3064" t="str">
            <v>Comfort Aviation/Bennett Realty</v>
          </cell>
          <cell r="F3064">
            <v>9</v>
          </cell>
          <cell r="G3064">
            <v>33253</v>
          </cell>
          <cell r="I3064" t="str">
            <v>North America</v>
          </cell>
          <cell r="J3064" t="str">
            <v>USA</v>
          </cell>
          <cell r="K3064">
            <v>32689</v>
          </cell>
        </row>
        <row r="3065">
          <cell r="A3065" t="str">
            <v>In service</v>
          </cell>
          <cell r="B3065" t="str">
            <v>Gulfstream Aerospace Gulfstream IV</v>
          </cell>
          <cell r="C3065" t="str">
            <v xml:space="preserve"> </v>
          </cell>
          <cell r="D3065">
            <v>1990</v>
          </cell>
          <cell r="E3065" t="str">
            <v>McDonalds Corp</v>
          </cell>
          <cell r="F3065">
            <v>10</v>
          </cell>
          <cell r="G3065">
            <v>33053</v>
          </cell>
          <cell r="I3065" t="str">
            <v>North America</v>
          </cell>
          <cell r="J3065" t="str">
            <v>USA</v>
          </cell>
          <cell r="K3065">
            <v>32324</v>
          </cell>
        </row>
        <row r="3066">
          <cell r="A3066" t="str">
            <v>In service</v>
          </cell>
          <cell r="B3066" t="str">
            <v>Gulfstream Aerospace Gulfstream IV</v>
          </cell>
          <cell r="C3066" t="str">
            <v xml:space="preserve"> </v>
          </cell>
          <cell r="D3066">
            <v>1990</v>
          </cell>
          <cell r="E3066" t="str">
            <v>Ronin LLC</v>
          </cell>
          <cell r="F3066">
            <v>10</v>
          </cell>
          <cell r="G3066">
            <v>33087</v>
          </cell>
          <cell r="I3066" t="str">
            <v>North America</v>
          </cell>
          <cell r="J3066" t="str">
            <v>USA</v>
          </cell>
          <cell r="K3066">
            <v>32324</v>
          </cell>
        </row>
        <row r="3067">
          <cell r="A3067" t="str">
            <v>In service</v>
          </cell>
          <cell r="B3067" t="str">
            <v>Gulfstream Aerospace Gulfstream IV</v>
          </cell>
          <cell r="C3067" t="str">
            <v xml:space="preserve"> </v>
          </cell>
          <cell r="D3067">
            <v>1991</v>
          </cell>
          <cell r="E3067" t="str">
            <v>Jetstream Inc</v>
          </cell>
          <cell r="F3067">
            <v>9</v>
          </cell>
          <cell r="G3067">
            <v>33343</v>
          </cell>
          <cell r="I3067" t="str">
            <v>North America</v>
          </cell>
          <cell r="J3067" t="str">
            <v>USA</v>
          </cell>
          <cell r="K3067">
            <v>33054</v>
          </cell>
        </row>
        <row r="3068">
          <cell r="A3068" t="str">
            <v>In service</v>
          </cell>
          <cell r="B3068" t="str">
            <v>Gulfstream Aerospace Gulfstream IV</v>
          </cell>
          <cell r="C3068" t="str">
            <v xml:space="preserve"> </v>
          </cell>
          <cell r="D3068">
            <v>1991</v>
          </cell>
          <cell r="E3068" t="str">
            <v>Saudi Arabian Airlines</v>
          </cell>
          <cell r="F3068">
            <v>9</v>
          </cell>
          <cell r="G3068">
            <v>33320</v>
          </cell>
          <cell r="I3068" t="str">
            <v>Middle East</v>
          </cell>
          <cell r="J3068" t="str">
            <v>Saudi Arabia</v>
          </cell>
          <cell r="K3068">
            <v>32689</v>
          </cell>
        </row>
        <row r="3069">
          <cell r="A3069" t="str">
            <v>In service</v>
          </cell>
          <cell r="B3069" t="str">
            <v>Gulfstream Aerospace Gulfstream IV</v>
          </cell>
          <cell r="C3069" t="str">
            <v xml:space="preserve"> </v>
          </cell>
          <cell r="D3069">
            <v>1991</v>
          </cell>
          <cell r="E3069" t="str">
            <v>Gulfstream Aerospace Corp</v>
          </cell>
          <cell r="F3069">
            <v>9</v>
          </cell>
          <cell r="G3069">
            <v>33284</v>
          </cell>
          <cell r="I3069" t="str">
            <v>North America</v>
          </cell>
          <cell r="J3069" t="str">
            <v>USA</v>
          </cell>
          <cell r="K3069">
            <v>32689</v>
          </cell>
        </row>
        <row r="3070">
          <cell r="A3070" t="str">
            <v>In service</v>
          </cell>
          <cell r="B3070" t="str">
            <v>Gulfstream Aerospace Gulfstream IV</v>
          </cell>
          <cell r="C3070" t="str">
            <v xml:space="preserve"> </v>
          </cell>
          <cell r="D3070">
            <v>1991</v>
          </cell>
          <cell r="E3070" t="str">
            <v>Stevens Express Leasing Inc</v>
          </cell>
          <cell r="F3070">
            <v>9</v>
          </cell>
          <cell r="G3070">
            <v>33399</v>
          </cell>
          <cell r="I3070" t="str">
            <v>North America</v>
          </cell>
          <cell r="J3070" t="str">
            <v>USA</v>
          </cell>
          <cell r="K3070">
            <v>32689</v>
          </cell>
        </row>
        <row r="3071">
          <cell r="A3071" t="str">
            <v>In service</v>
          </cell>
          <cell r="B3071" t="str">
            <v>Gulfstream Aerospace Gulfstream IV</v>
          </cell>
          <cell r="C3071" t="str">
            <v xml:space="preserve"> </v>
          </cell>
          <cell r="D3071">
            <v>1990</v>
          </cell>
          <cell r="E3071" t="str">
            <v>Universal Studios Inc</v>
          </cell>
          <cell r="F3071">
            <v>10</v>
          </cell>
          <cell r="G3071">
            <v>33337</v>
          </cell>
          <cell r="I3071" t="str">
            <v>North America</v>
          </cell>
          <cell r="J3071" t="str">
            <v>USA</v>
          </cell>
          <cell r="K3071">
            <v>32689</v>
          </cell>
        </row>
        <row r="3072">
          <cell r="A3072" t="str">
            <v>In service</v>
          </cell>
          <cell r="B3072" t="str">
            <v>Gulfstream Aerospace Gulfstream IV</v>
          </cell>
          <cell r="C3072" t="str">
            <v xml:space="preserve"> </v>
          </cell>
          <cell r="D3072">
            <v>1990</v>
          </cell>
          <cell r="E3072" t="str">
            <v>Altria Corporate Services Inc</v>
          </cell>
          <cell r="F3072">
            <v>10</v>
          </cell>
          <cell r="G3072">
            <v>33161</v>
          </cell>
          <cell r="I3072" t="str">
            <v>North America</v>
          </cell>
          <cell r="J3072" t="str">
            <v>USA</v>
          </cell>
          <cell r="K3072">
            <v>32324</v>
          </cell>
        </row>
        <row r="3073">
          <cell r="A3073" t="str">
            <v>In service</v>
          </cell>
          <cell r="B3073" t="str">
            <v>Gulfstream Aerospace Gulfstream IV</v>
          </cell>
          <cell r="C3073" t="str">
            <v xml:space="preserve"> </v>
          </cell>
          <cell r="D3073">
            <v>1991</v>
          </cell>
          <cell r="E3073" t="str">
            <v>SR Transportation Services SA</v>
          </cell>
          <cell r="F3073">
            <v>9</v>
          </cell>
          <cell r="G3073">
            <v>33511</v>
          </cell>
          <cell r="I3073" t="str">
            <v>Europe</v>
          </cell>
          <cell r="J3073" t="str">
            <v>Switzerland</v>
          </cell>
          <cell r="K3073">
            <v>32689</v>
          </cell>
        </row>
        <row r="3074">
          <cell r="A3074" t="str">
            <v>In service</v>
          </cell>
          <cell r="B3074" t="str">
            <v>Gulfstream Aerospace Gulfstream IV</v>
          </cell>
          <cell r="C3074" t="str">
            <v xml:space="preserve"> </v>
          </cell>
          <cell r="D3074">
            <v>1990</v>
          </cell>
          <cell r="E3074" t="str">
            <v>Blum Capital Partners LP</v>
          </cell>
          <cell r="F3074">
            <v>10</v>
          </cell>
          <cell r="G3074">
            <v>33069</v>
          </cell>
          <cell r="I3074" t="str">
            <v>North America</v>
          </cell>
          <cell r="J3074" t="str">
            <v>USA</v>
          </cell>
          <cell r="K3074">
            <v>32689</v>
          </cell>
        </row>
        <row r="3075">
          <cell r="A3075" t="str">
            <v>In service</v>
          </cell>
          <cell r="B3075" t="str">
            <v>Gulfstream Aerospace Gulfstream IV</v>
          </cell>
          <cell r="C3075" t="str">
            <v xml:space="preserve"> </v>
          </cell>
          <cell r="D3075">
            <v>1991</v>
          </cell>
          <cell r="E3075" t="str">
            <v>Ispat Aviation Ltd</v>
          </cell>
          <cell r="F3075">
            <v>9</v>
          </cell>
          <cell r="G3075">
            <v>33587</v>
          </cell>
          <cell r="I3075" t="str">
            <v>Latin America and Caribbean</v>
          </cell>
          <cell r="J3075" t="str">
            <v>Bermuda</v>
          </cell>
          <cell r="K3075">
            <v>32689</v>
          </cell>
        </row>
        <row r="3076">
          <cell r="A3076" t="str">
            <v>In service</v>
          </cell>
          <cell r="B3076" t="str">
            <v>Gulfstream Aerospace Gulfstream IV</v>
          </cell>
          <cell r="C3076" t="str">
            <v xml:space="preserve"> </v>
          </cell>
          <cell r="D3076">
            <v>1990</v>
          </cell>
          <cell r="E3076" t="str">
            <v>S T Aviation LLC</v>
          </cell>
          <cell r="F3076">
            <v>10</v>
          </cell>
          <cell r="G3076">
            <v>33222</v>
          </cell>
          <cell r="I3076" t="str">
            <v>North America</v>
          </cell>
          <cell r="J3076" t="str">
            <v>USA</v>
          </cell>
          <cell r="K3076">
            <v>32324</v>
          </cell>
        </row>
        <row r="3077">
          <cell r="A3077" t="str">
            <v>In service</v>
          </cell>
          <cell r="B3077" t="str">
            <v>Gulfstream Aerospace Gulfstream IV</v>
          </cell>
          <cell r="C3077" t="str">
            <v xml:space="preserve"> </v>
          </cell>
          <cell r="D3077">
            <v>1990</v>
          </cell>
          <cell r="E3077" t="str">
            <v>International Group Inc</v>
          </cell>
          <cell r="F3077">
            <v>10</v>
          </cell>
          <cell r="G3077">
            <v>33203</v>
          </cell>
          <cell r="I3077" t="str">
            <v>North America</v>
          </cell>
          <cell r="J3077" t="str">
            <v>USA</v>
          </cell>
          <cell r="K3077">
            <v>32324</v>
          </cell>
        </row>
        <row r="3078">
          <cell r="A3078" t="str">
            <v>In service</v>
          </cell>
          <cell r="B3078" t="str">
            <v>Gulfstream Aerospace Gulfstream IV</v>
          </cell>
          <cell r="C3078" t="str">
            <v xml:space="preserve"> </v>
          </cell>
          <cell r="D3078">
            <v>1990</v>
          </cell>
          <cell r="E3078" t="str">
            <v>International Home Foods Inc</v>
          </cell>
          <cell r="F3078">
            <v>10</v>
          </cell>
          <cell r="G3078">
            <v>33224</v>
          </cell>
          <cell r="I3078" t="str">
            <v>North America</v>
          </cell>
          <cell r="J3078" t="str">
            <v>USA</v>
          </cell>
          <cell r="K3078">
            <v>32324</v>
          </cell>
        </row>
        <row r="3079">
          <cell r="A3079" t="str">
            <v>In service</v>
          </cell>
          <cell r="B3079" t="str">
            <v>Gulfstream Aerospace Gulfstream IV</v>
          </cell>
          <cell r="C3079" t="str">
            <v xml:space="preserve"> </v>
          </cell>
          <cell r="D3079">
            <v>1990</v>
          </cell>
          <cell r="E3079" t="str">
            <v>DSC Communications Corp</v>
          </cell>
          <cell r="F3079">
            <v>10</v>
          </cell>
          <cell r="G3079">
            <v>33225</v>
          </cell>
          <cell r="I3079" t="str">
            <v>North America</v>
          </cell>
          <cell r="J3079" t="str">
            <v>USA</v>
          </cell>
        </row>
        <row r="3080">
          <cell r="A3080" t="str">
            <v>In service</v>
          </cell>
          <cell r="B3080" t="str">
            <v>Gulfstream Aerospace Gulfstream IV</v>
          </cell>
          <cell r="C3080" t="str">
            <v xml:space="preserve"> </v>
          </cell>
          <cell r="D3080">
            <v>1990</v>
          </cell>
          <cell r="E3080" t="str">
            <v>BP Amoco Corp</v>
          </cell>
          <cell r="F3080">
            <v>10</v>
          </cell>
          <cell r="G3080">
            <v>33235</v>
          </cell>
          <cell r="I3080" t="str">
            <v>North America</v>
          </cell>
          <cell r="J3080" t="str">
            <v>USA</v>
          </cell>
          <cell r="K3080">
            <v>32324</v>
          </cell>
        </row>
        <row r="3081">
          <cell r="A3081" t="str">
            <v>In service</v>
          </cell>
          <cell r="B3081" t="str">
            <v>Gulfstream Aerospace Gulfstream IV</v>
          </cell>
          <cell r="C3081" t="str">
            <v xml:space="preserve"> </v>
          </cell>
          <cell r="D3081">
            <v>1990</v>
          </cell>
          <cell r="E3081" t="str">
            <v>Gandel Group Pty Ltd</v>
          </cell>
          <cell r="F3081">
            <v>10</v>
          </cell>
          <cell r="G3081">
            <v>33260</v>
          </cell>
          <cell r="I3081" t="str">
            <v>Australasia</v>
          </cell>
          <cell r="J3081" t="str">
            <v>Australia</v>
          </cell>
          <cell r="K3081">
            <v>33054</v>
          </cell>
        </row>
        <row r="3082">
          <cell r="A3082" t="str">
            <v>In service</v>
          </cell>
          <cell r="B3082" t="str">
            <v>Gulfstream Aerospace Gulfstream IV</v>
          </cell>
          <cell r="C3082" t="str">
            <v xml:space="preserve"> </v>
          </cell>
          <cell r="D3082">
            <v>1991</v>
          </cell>
          <cell r="E3082" t="str">
            <v>Kuwait Int'l Aircraft Leasing Sales &amp; Possession</v>
          </cell>
          <cell r="F3082">
            <v>9</v>
          </cell>
          <cell r="G3082">
            <v>33529</v>
          </cell>
          <cell r="I3082" t="str">
            <v>Middle East</v>
          </cell>
          <cell r="J3082" t="str">
            <v>Kuwait</v>
          </cell>
          <cell r="K3082">
            <v>32689</v>
          </cell>
        </row>
        <row r="3083">
          <cell r="A3083" t="str">
            <v>In service</v>
          </cell>
          <cell r="B3083" t="str">
            <v>Gulfstream Aerospace Gulfstream IV</v>
          </cell>
          <cell r="C3083" t="str">
            <v xml:space="preserve"> </v>
          </cell>
          <cell r="D3083">
            <v>1991</v>
          </cell>
          <cell r="E3083" t="str">
            <v>NAVAIR LLC</v>
          </cell>
          <cell r="F3083">
            <v>9</v>
          </cell>
          <cell r="G3083">
            <v>33288</v>
          </cell>
          <cell r="I3083" t="str">
            <v>North America</v>
          </cell>
          <cell r="J3083" t="str">
            <v>USA</v>
          </cell>
          <cell r="K3083">
            <v>32689</v>
          </cell>
        </row>
        <row r="3084">
          <cell r="A3084" t="str">
            <v>In service</v>
          </cell>
          <cell r="B3084" t="str">
            <v>Gulfstream Aerospace Gulfstream IV</v>
          </cell>
          <cell r="C3084" t="str">
            <v xml:space="preserve"> </v>
          </cell>
          <cell r="D3084">
            <v>1991</v>
          </cell>
          <cell r="E3084" t="str">
            <v>Jetclub AG</v>
          </cell>
          <cell r="F3084">
            <v>9</v>
          </cell>
          <cell r="G3084">
            <v>33591</v>
          </cell>
          <cell r="I3084" t="str">
            <v>Europe</v>
          </cell>
          <cell r="J3084" t="str">
            <v>Switzerland</v>
          </cell>
          <cell r="K3084">
            <v>32689</v>
          </cell>
        </row>
        <row r="3085">
          <cell r="A3085" t="str">
            <v>In service</v>
          </cell>
          <cell r="B3085" t="str">
            <v>Gulfstream Aerospace Gulfstream IV</v>
          </cell>
          <cell r="C3085" t="str">
            <v xml:space="preserve"> </v>
          </cell>
          <cell r="D3085">
            <v>1991</v>
          </cell>
          <cell r="E3085" t="str">
            <v>Irish Air Corps</v>
          </cell>
          <cell r="F3085">
            <v>9</v>
          </cell>
          <cell r="G3085">
            <v>33591</v>
          </cell>
          <cell r="I3085" t="str">
            <v>Europe</v>
          </cell>
          <cell r="J3085" t="str">
            <v>Ireland</v>
          </cell>
          <cell r="K3085">
            <v>33054</v>
          </cell>
        </row>
        <row r="3086">
          <cell r="A3086" t="str">
            <v>In service</v>
          </cell>
          <cell r="B3086" t="str">
            <v>Gulfstream Aerospace Gulfstream IV</v>
          </cell>
          <cell r="C3086" t="str">
            <v xml:space="preserve"> </v>
          </cell>
          <cell r="D3086">
            <v>1992</v>
          </cell>
          <cell r="E3086" t="str">
            <v>Executive Fliteways Inc</v>
          </cell>
          <cell r="F3086">
            <v>8</v>
          </cell>
          <cell r="G3086">
            <v>33616</v>
          </cell>
          <cell r="I3086" t="str">
            <v>North America</v>
          </cell>
          <cell r="J3086" t="str">
            <v>USA</v>
          </cell>
          <cell r="K3086">
            <v>32689</v>
          </cell>
        </row>
        <row r="3087">
          <cell r="A3087" t="str">
            <v>In service</v>
          </cell>
          <cell r="B3087" t="str">
            <v>Gulfstream Aerospace Gulfstream IV</v>
          </cell>
          <cell r="C3087" t="str">
            <v xml:space="preserve"> </v>
          </cell>
          <cell r="D3087">
            <v>1991</v>
          </cell>
          <cell r="E3087" t="str">
            <v>Turkish Air Force</v>
          </cell>
          <cell r="F3087">
            <v>9</v>
          </cell>
          <cell r="G3087">
            <v>33587</v>
          </cell>
          <cell r="I3087" t="str">
            <v>Europe</v>
          </cell>
          <cell r="J3087" t="str">
            <v>Turkey</v>
          </cell>
        </row>
        <row r="3088">
          <cell r="A3088" t="str">
            <v>In service</v>
          </cell>
          <cell r="B3088" t="str">
            <v>Gulfstream Aerospace Gulfstream IV</v>
          </cell>
          <cell r="C3088" t="str">
            <v xml:space="preserve"> </v>
          </cell>
          <cell r="D3088">
            <v>1991</v>
          </cell>
          <cell r="E3088" t="str">
            <v>Wells Fargo &amp; Co</v>
          </cell>
          <cell r="F3088">
            <v>9</v>
          </cell>
          <cell r="G3088">
            <v>33353</v>
          </cell>
          <cell r="I3088" t="str">
            <v>North America</v>
          </cell>
          <cell r="J3088" t="str">
            <v>USA</v>
          </cell>
          <cell r="K3088">
            <v>32689</v>
          </cell>
        </row>
        <row r="3089">
          <cell r="A3089" t="str">
            <v>In service</v>
          </cell>
          <cell r="B3089" t="str">
            <v>Gulfstream Aerospace Gulfstream IV</v>
          </cell>
          <cell r="C3089" t="str">
            <v xml:space="preserve"> </v>
          </cell>
          <cell r="D3089">
            <v>1991</v>
          </cell>
          <cell r="E3089" t="str">
            <v>International Business Machines (IBM) Corp</v>
          </cell>
          <cell r="F3089">
            <v>9</v>
          </cell>
          <cell r="G3089">
            <v>33284</v>
          </cell>
          <cell r="I3089" t="str">
            <v>North America</v>
          </cell>
          <cell r="J3089" t="str">
            <v>USA</v>
          </cell>
        </row>
        <row r="3090">
          <cell r="A3090" t="str">
            <v>In service</v>
          </cell>
          <cell r="B3090" t="str">
            <v>Gulfstream Aerospace Gulfstream IV</v>
          </cell>
          <cell r="C3090" t="str">
            <v xml:space="preserve"> </v>
          </cell>
          <cell r="D3090">
            <v>1991</v>
          </cell>
          <cell r="E3090" t="str">
            <v>Saudi Arabian Airlines</v>
          </cell>
          <cell r="F3090">
            <v>9</v>
          </cell>
          <cell r="G3090">
            <v>33526</v>
          </cell>
          <cell r="I3090" t="str">
            <v>Middle East</v>
          </cell>
          <cell r="J3090" t="str">
            <v>Saudi Arabia</v>
          </cell>
        </row>
        <row r="3091">
          <cell r="A3091" t="str">
            <v>In service</v>
          </cell>
          <cell r="B3091" t="str">
            <v>Gulfstream Aerospace Gulfstream IV</v>
          </cell>
          <cell r="C3091" t="str">
            <v xml:space="preserve"> </v>
          </cell>
          <cell r="D3091">
            <v>1991</v>
          </cell>
          <cell r="E3091" t="str">
            <v>Sara Lee Corp</v>
          </cell>
          <cell r="F3091">
            <v>9</v>
          </cell>
          <cell r="G3091">
            <v>33399</v>
          </cell>
          <cell r="I3091" t="str">
            <v>North America</v>
          </cell>
          <cell r="J3091" t="str">
            <v>USA</v>
          </cell>
          <cell r="K3091">
            <v>32689</v>
          </cell>
        </row>
        <row r="3092">
          <cell r="A3092" t="str">
            <v>In service</v>
          </cell>
          <cell r="B3092" t="str">
            <v>Gulfstream Aerospace Gulfstream IV</v>
          </cell>
          <cell r="C3092" t="str">
            <v xml:space="preserve"> </v>
          </cell>
          <cell r="D3092">
            <v>1991</v>
          </cell>
          <cell r="E3092" t="str">
            <v>Oman Royal Flight</v>
          </cell>
          <cell r="F3092">
            <v>9</v>
          </cell>
          <cell r="G3092">
            <v>33395</v>
          </cell>
          <cell r="I3092" t="str">
            <v>Middle East</v>
          </cell>
          <cell r="J3092" t="str">
            <v>Oman</v>
          </cell>
        </row>
        <row r="3093">
          <cell r="A3093" t="str">
            <v>In service</v>
          </cell>
          <cell r="B3093" t="str">
            <v>Gulfstream Aerospace Gulfstream IV</v>
          </cell>
          <cell r="C3093" t="str">
            <v xml:space="preserve"> </v>
          </cell>
          <cell r="D3093">
            <v>1991</v>
          </cell>
          <cell r="E3093" t="str">
            <v>Dreamworks LLC</v>
          </cell>
          <cell r="F3093">
            <v>9</v>
          </cell>
          <cell r="G3093">
            <v>33441</v>
          </cell>
          <cell r="I3093" t="str">
            <v>North America</v>
          </cell>
          <cell r="J3093" t="str">
            <v>USA</v>
          </cell>
          <cell r="K3093">
            <v>32689</v>
          </cell>
        </row>
        <row r="3094">
          <cell r="A3094" t="str">
            <v>In service</v>
          </cell>
          <cell r="B3094" t="str">
            <v>Gulfstream Aerospace Gulfstream IV</v>
          </cell>
          <cell r="C3094" t="str">
            <v xml:space="preserve"> </v>
          </cell>
          <cell r="D3094">
            <v>1991</v>
          </cell>
          <cell r="E3094" t="str">
            <v>Rifton Aviation Services</v>
          </cell>
          <cell r="F3094">
            <v>9</v>
          </cell>
          <cell r="G3094">
            <v>33504</v>
          </cell>
          <cell r="I3094" t="str">
            <v>North America</v>
          </cell>
          <cell r="J3094" t="str">
            <v>USA</v>
          </cell>
          <cell r="K3094">
            <v>33054</v>
          </cell>
        </row>
        <row r="3095">
          <cell r="A3095" t="str">
            <v>In service</v>
          </cell>
          <cell r="B3095" t="str">
            <v>Gulfstream Aerospace Gulfstream IV</v>
          </cell>
          <cell r="C3095" t="str">
            <v xml:space="preserve"> </v>
          </cell>
          <cell r="D3095">
            <v>1991</v>
          </cell>
          <cell r="E3095" t="str">
            <v>SC Leasing Corp Inc</v>
          </cell>
          <cell r="F3095">
            <v>9</v>
          </cell>
          <cell r="G3095">
            <v>33470</v>
          </cell>
          <cell r="I3095" t="str">
            <v>North America</v>
          </cell>
          <cell r="J3095" t="str">
            <v>USA</v>
          </cell>
          <cell r="K3095">
            <v>32689</v>
          </cell>
        </row>
        <row r="3096">
          <cell r="A3096" t="str">
            <v>In service</v>
          </cell>
          <cell r="B3096" t="str">
            <v>Gulfstream Aerospace Gulfstream IV</v>
          </cell>
          <cell r="C3096" t="str">
            <v xml:space="preserve"> </v>
          </cell>
          <cell r="D3096">
            <v>1991</v>
          </cell>
          <cell r="E3096" t="str">
            <v>Aviation Enterprises Inc</v>
          </cell>
          <cell r="F3096">
            <v>9</v>
          </cell>
          <cell r="G3096">
            <v>33526</v>
          </cell>
          <cell r="I3096" t="str">
            <v>North America</v>
          </cell>
          <cell r="J3096" t="str">
            <v>USA</v>
          </cell>
          <cell r="K3096">
            <v>32689</v>
          </cell>
        </row>
        <row r="3097">
          <cell r="A3097" t="str">
            <v>In service</v>
          </cell>
          <cell r="B3097" t="str">
            <v>Gulfstream Aerospace Gulfstream IV</v>
          </cell>
          <cell r="C3097" t="str">
            <v xml:space="preserve"> </v>
          </cell>
          <cell r="D3097">
            <v>1992</v>
          </cell>
          <cell r="E3097" t="str">
            <v>Government of Botswana</v>
          </cell>
          <cell r="F3097">
            <v>8</v>
          </cell>
          <cell r="G3097">
            <v>33636</v>
          </cell>
          <cell r="I3097" t="str">
            <v>Africa</v>
          </cell>
          <cell r="J3097" t="str">
            <v>Botswana</v>
          </cell>
          <cell r="K3097">
            <v>33192</v>
          </cell>
        </row>
        <row r="3098">
          <cell r="A3098" t="str">
            <v>In service</v>
          </cell>
          <cell r="B3098" t="str">
            <v>Gulfstream Aerospace Gulfstream IV</v>
          </cell>
          <cell r="C3098" t="str">
            <v xml:space="preserve"> </v>
          </cell>
          <cell r="D3098">
            <v>1992</v>
          </cell>
          <cell r="E3098" t="str">
            <v>Paramount Pictures Corp</v>
          </cell>
          <cell r="F3098">
            <v>8</v>
          </cell>
          <cell r="G3098">
            <v>33862</v>
          </cell>
          <cell r="I3098" t="str">
            <v>North America</v>
          </cell>
          <cell r="J3098" t="str">
            <v>USA</v>
          </cell>
          <cell r="K3098">
            <v>33054</v>
          </cell>
        </row>
        <row r="3099">
          <cell r="A3099" t="str">
            <v>In service</v>
          </cell>
          <cell r="B3099" t="str">
            <v>Gulfstream Aerospace Gulfstream IV</v>
          </cell>
          <cell r="C3099" t="str">
            <v xml:space="preserve"> </v>
          </cell>
          <cell r="D3099">
            <v>1992</v>
          </cell>
          <cell r="E3099" t="str">
            <v>Westfield Aviation Inc</v>
          </cell>
          <cell r="F3099">
            <v>8</v>
          </cell>
          <cell r="G3099">
            <v>33936</v>
          </cell>
          <cell r="I3099" t="str">
            <v>North America</v>
          </cell>
          <cell r="J3099" t="str">
            <v>USA</v>
          </cell>
          <cell r="K3099">
            <v>33054</v>
          </cell>
        </row>
        <row r="3100">
          <cell r="A3100" t="str">
            <v>In service</v>
          </cell>
          <cell r="B3100" t="str">
            <v>Gulfstream Aerospace Gulfstream IV</v>
          </cell>
          <cell r="C3100" t="str">
            <v xml:space="preserve"> </v>
          </cell>
          <cell r="D3100">
            <v>1992</v>
          </cell>
          <cell r="E3100" t="str">
            <v>PrimAvia</v>
          </cell>
          <cell r="F3100">
            <v>8</v>
          </cell>
          <cell r="G3100">
            <v>33798</v>
          </cell>
          <cell r="I3100" t="str">
            <v>Europe</v>
          </cell>
          <cell r="J3100" t="str">
            <v>United Kingdom</v>
          </cell>
          <cell r="K3100">
            <v>33054</v>
          </cell>
        </row>
        <row r="3101">
          <cell r="A3101" t="str">
            <v>In service</v>
          </cell>
          <cell r="B3101" t="str">
            <v>Gulfstream Aerospace Gulfstream IV</v>
          </cell>
          <cell r="C3101" t="str">
            <v xml:space="preserve"> </v>
          </cell>
          <cell r="D3101">
            <v>1992</v>
          </cell>
          <cell r="E3101" t="str">
            <v>The Coca-Cola Co</v>
          </cell>
          <cell r="F3101">
            <v>8</v>
          </cell>
          <cell r="G3101">
            <v>34010</v>
          </cell>
          <cell r="I3101" t="str">
            <v>North America</v>
          </cell>
          <cell r="J3101" t="str">
            <v>USA</v>
          </cell>
          <cell r="K3101">
            <v>33419</v>
          </cell>
        </row>
        <row r="3102">
          <cell r="A3102" t="str">
            <v>In service</v>
          </cell>
          <cell r="B3102" t="str">
            <v>Gulfstream Aerospace Gulfstream IV</v>
          </cell>
          <cell r="C3102" t="str">
            <v xml:space="preserve"> </v>
          </cell>
          <cell r="D3102">
            <v>1992</v>
          </cell>
          <cell r="E3102" t="str">
            <v>APEX Park One LLC</v>
          </cell>
          <cell r="F3102">
            <v>8</v>
          </cell>
          <cell r="G3102">
            <v>33678</v>
          </cell>
          <cell r="I3102" t="str">
            <v>North America</v>
          </cell>
          <cell r="J3102" t="str">
            <v>USA</v>
          </cell>
          <cell r="K3102">
            <v>33054</v>
          </cell>
        </row>
        <row r="3103">
          <cell r="A3103" t="str">
            <v>In service</v>
          </cell>
          <cell r="B3103" t="str">
            <v>Gulfstream Aerospace Gulfstream IV</v>
          </cell>
          <cell r="C3103" t="str">
            <v xml:space="preserve"> </v>
          </cell>
          <cell r="D3103">
            <v>1991</v>
          </cell>
          <cell r="E3103" t="str">
            <v>JM Family Enterprises Inc</v>
          </cell>
          <cell r="F3103">
            <v>9</v>
          </cell>
          <cell r="G3103">
            <v>33557</v>
          </cell>
          <cell r="I3103" t="str">
            <v>North America</v>
          </cell>
          <cell r="J3103" t="str">
            <v>USA</v>
          </cell>
          <cell r="K3103">
            <v>32689</v>
          </cell>
        </row>
        <row r="3104">
          <cell r="A3104" t="str">
            <v>In service</v>
          </cell>
          <cell r="B3104" t="str">
            <v>Gulfstream Aerospace Gulfstream IV</v>
          </cell>
          <cell r="C3104" t="str">
            <v xml:space="preserve"> </v>
          </cell>
          <cell r="D3104">
            <v>1992</v>
          </cell>
          <cell r="E3104" t="str">
            <v>Beachline LLC</v>
          </cell>
          <cell r="F3104">
            <v>8</v>
          </cell>
          <cell r="G3104">
            <v>33759</v>
          </cell>
          <cell r="I3104" t="str">
            <v>North America</v>
          </cell>
          <cell r="J3104" t="str">
            <v>USA</v>
          </cell>
          <cell r="K3104">
            <v>33054</v>
          </cell>
        </row>
        <row r="3105">
          <cell r="A3105" t="str">
            <v>In service</v>
          </cell>
          <cell r="B3105" t="str">
            <v>Gulfstream Aerospace Gulfstream IV</v>
          </cell>
          <cell r="C3105" t="str">
            <v xml:space="preserve"> </v>
          </cell>
          <cell r="D3105">
            <v>1992</v>
          </cell>
          <cell r="E3105" t="str">
            <v>Limited Service Corp</v>
          </cell>
          <cell r="F3105">
            <v>8</v>
          </cell>
          <cell r="G3105">
            <v>33812</v>
          </cell>
          <cell r="I3105" t="str">
            <v>North America</v>
          </cell>
          <cell r="J3105" t="str">
            <v>USA</v>
          </cell>
          <cell r="K3105">
            <v>33054</v>
          </cell>
        </row>
        <row r="3106">
          <cell r="A3106" t="str">
            <v>In service</v>
          </cell>
          <cell r="B3106" t="str">
            <v>Gulfstream Aerospace Gulfstream IV</v>
          </cell>
          <cell r="C3106" t="str">
            <v xml:space="preserve"> </v>
          </cell>
          <cell r="D3106">
            <v>1992</v>
          </cell>
          <cell r="E3106" t="str">
            <v>Jerome S Moss</v>
          </cell>
          <cell r="F3106">
            <v>8</v>
          </cell>
          <cell r="G3106">
            <v>33680</v>
          </cell>
          <cell r="I3106" t="str">
            <v>North America</v>
          </cell>
          <cell r="J3106" t="str">
            <v>USA</v>
          </cell>
          <cell r="K3106">
            <v>33054</v>
          </cell>
        </row>
        <row r="3107">
          <cell r="A3107" t="str">
            <v>In service</v>
          </cell>
          <cell r="B3107" t="str">
            <v>Gulfstream Aerospace Gulfstream IV</v>
          </cell>
          <cell r="C3107" t="str">
            <v xml:space="preserve"> </v>
          </cell>
          <cell r="D3107">
            <v>1992</v>
          </cell>
          <cell r="E3107" t="str">
            <v>711 Air Corp</v>
          </cell>
          <cell r="F3107">
            <v>8</v>
          </cell>
          <cell r="G3107">
            <v>34150</v>
          </cell>
          <cell r="I3107" t="str">
            <v>North America</v>
          </cell>
          <cell r="J3107" t="str">
            <v>USA</v>
          </cell>
          <cell r="K3107">
            <v>33419</v>
          </cell>
        </row>
        <row r="3108">
          <cell r="A3108" t="str">
            <v>In service</v>
          </cell>
          <cell r="B3108" t="str">
            <v>Gulfstream Aerospace Gulfstream IV</v>
          </cell>
          <cell r="C3108" t="str">
            <v xml:space="preserve"> </v>
          </cell>
          <cell r="D3108">
            <v>1992</v>
          </cell>
          <cell r="E3108" t="str">
            <v>Korean Air</v>
          </cell>
          <cell r="F3108">
            <v>8</v>
          </cell>
          <cell r="G3108">
            <v>34655</v>
          </cell>
          <cell r="I3108" t="str">
            <v>Asia</v>
          </cell>
          <cell r="J3108" t="str">
            <v>South Korea</v>
          </cell>
          <cell r="K3108">
            <v>33785</v>
          </cell>
        </row>
        <row r="3109">
          <cell r="A3109" t="str">
            <v>In service</v>
          </cell>
          <cell r="B3109" t="str">
            <v>Gulfstream Aerospace Gulfstream IV</v>
          </cell>
          <cell r="C3109" t="str">
            <v xml:space="preserve"> </v>
          </cell>
          <cell r="D3109">
            <v>1992</v>
          </cell>
          <cell r="E3109" t="str">
            <v>Japan Civil Aviation Bureau</v>
          </cell>
          <cell r="F3109">
            <v>8</v>
          </cell>
          <cell r="G3109">
            <v>34237</v>
          </cell>
          <cell r="I3109" t="str">
            <v>Asia</v>
          </cell>
          <cell r="J3109" t="str">
            <v>Japan</v>
          </cell>
          <cell r="K3109">
            <v>34150</v>
          </cell>
        </row>
        <row r="3110">
          <cell r="A3110" t="str">
            <v>In service</v>
          </cell>
          <cell r="B3110" t="str">
            <v>Gulfstream Aerospace Gulfstream IV</v>
          </cell>
          <cell r="C3110" t="str">
            <v xml:space="preserve"> </v>
          </cell>
          <cell r="D3110">
            <v>1992</v>
          </cell>
          <cell r="E3110" t="str">
            <v>MBNA Corp</v>
          </cell>
          <cell r="F3110">
            <v>8</v>
          </cell>
          <cell r="G3110">
            <v>34124</v>
          </cell>
          <cell r="I3110" t="str">
            <v>North America</v>
          </cell>
          <cell r="J3110" t="str">
            <v>USA</v>
          </cell>
          <cell r="K3110">
            <v>33419</v>
          </cell>
        </row>
        <row r="3111">
          <cell r="A3111" t="str">
            <v>In service</v>
          </cell>
          <cell r="B3111" t="str">
            <v>Gulfstream Aerospace Gulfstream IV</v>
          </cell>
          <cell r="C3111" t="str">
            <v xml:space="preserve"> </v>
          </cell>
          <cell r="D3111">
            <v>1993</v>
          </cell>
          <cell r="E3111" t="str">
            <v>Newcourt Capital USA Inc</v>
          </cell>
          <cell r="F3111">
            <v>7</v>
          </cell>
          <cell r="G3111">
            <v>34059</v>
          </cell>
          <cell r="I3111" t="str">
            <v>North America</v>
          </cell>
          <cell r="J3111" t="str">
            <v>Canada</v>
          </cell>
          <cell r="K3111">
            <v>33419</v>
          </cell>
        </row>
        <row r="3112">
          <cell r="A3112" t="str">
            <v>In service</v>
          </cell>
          <cell r="B3112" t="str">
            <v>Gulfstream Aerospace Gulfstream IV</v>
          </cell>
          <cell r="C3112" t="str">
            <v xml:space="preserve"> </v>
          </cell>
          <cell r="D3112">
            <v>1992</v>
          </cell>
          <cell r="E3112" t="str">
            <v>Eastman Kodak Co</v>
          </cell>
          <cell r="F3112">
            <v>8</v>
          </cell>
          <cell r="G3112">
            <v>33926</v>
          </cell>
          <cell r="I3112" t="str">
            <v>North America</v>
          </cell>
          <cell r="J3112" t="str">
            <v>USA</v>
          </cell>
          <cell r="K3112">
            <v>33054</v>
          </cell>
        </row>
        <row r="3113">
          <cell r="A3113" t="str">
            <v>In service</v>
          </cell>
          <cell r="B3113" t="str">
            <v>Gulfstream Aerospace Gulfstream IV</v>
          </cell>
          <cell r="C3113" t="str">
            <v xml:space="preserve"> </v>
          </cell>
          <cell r="D3113">
            <v>1992</v>
          </cell>
          <cell r="E3113" t="str">
            <v>Automotive Air Charter</v>
          </cell>
          <cell r="F3113">
            <v>8</v>
          </cell>
          <cell r="G3113">
            <v>33926</v>
          </cell>
          <cell r="I3113" t="str">
            <v>North America</v>
          </cell>
          <cell r="J3113" t="str">
            <v>USA</v>
          </cell>
          <cell r="K3113">
            <v>33054</v>
          </cell>
        </row>
        <row r="3114">
          <cell r="A3114" t="str">
            <v>In service</v>
          </cell>
          <cell r="B3114" t="str">
            <v>Gulfstream Aerospace Gulfstream IV</v>
          </cell>
          <cell r="C3114" t="str">
            <v xml:space="preserve"> </v>
          </cell>
          <cell r="D3114">
            <v>1993</v>
          </cell>
          <cell r="E3114" t="str">
            <v>Red White &amp; Blue Pictures</v>
          </cell>
          <cell r="F3114">
            <v>7</v>
          </cell>
          <cell r="G3114">
            <v>34074</v>
          </cell>
          <cell r="I3114" t="str">
            <v>North America</v>
          </cell>
          <cell r="J3114" t="str">
            <v>USA</v>
          </cell>
          <cell r="K3114">
            <v>33419</v>
          </cell>
        </row>
        <row r="3115">
          <cell r="A3115" t="str">
            <v>In service</v>
          </cell>
          <cell r="B3115" t="str">
            <v>Gulfstream Aerospace Gulfstream IV</v>
          </cell>
          <cell r="C3115" t="str">
            <v xml:space="preserve"> </v>
          </cell>
          <cell r="D3115">
            <v>1992</v>
          </cell>
          <cell r="E3115" t="str">
            <v>Oman Royal Flight</v>
          </cell>
          <cell r="F3115">
            <v>8</v>
          </cell>
          <cell r="G3115">
            <v>33947</v>
          </cell>
          <cell r="I3115" t="str">
            <v>Middle East</v>
          </cell>
          <cell r="J3115" t="str">
            <v>Oman</v>
          </cell>
          <cell r="K3115">
            <v>33054</v>
          </cell>
        </row>
        <row r="3116">
          <cell r="A3116" t="str">
            <v>In service</v>
          </cell>
          <cell r="B3116" t="str">
            <v>Gulfstream Aerospace Gulfstream IV</v>
          </cell>
          <cell r="C3116" t="str">
            <v xml:space="preserve"> </v>
          </cell>
          <cell r="D3116">
            <v>1992</v>
          </cell>
          <cell r="E3116" t="str">
            <v>Moon Doggie Aircraft Services Corp</v>
          </cell>
          <cell r="F3116">
            <v>8</v>
          </cell>
          <cell r="G3116">
            <v>33830</v>
          </cell>
          <cell r="I3116" t="str">
            <v>North America</v>
          </cell>
          <cell r="J3116" t="str">
            <v>USA</v>
          </cell>
          <cell r="K3116">
            <v>33054</v>
          </cell>
        </row>
        <row r="3117">
          <cell r="A3117" t="str">
            <v>In service</v>
          </cell>
          <cell r="B3117" t="str">
            <v>Gulfstream Aerospace Gulfstream IV</v>
          </cell>
          <cell r="C3117" t="str">
            <v xml:space="preserve"> </v>
          </cell>
          <cell r="D3117">
            <v>1992</v>
          </cell>
          <cell r="E3117" t="str">
            <v>Viad Corp</v>
          </cell>
          <cell r="F3117">
            <v>8</v>
          </cell>
          <cell r="G3117">
            <v>33872</v>
          </cell>
          <cell r="I3117" t="str">
            <v>North America</v>
          </cell>
          <cell r="J3117" t="str">
            <v>USA</v>
          </cell>
          <cell r="K3117">
            <v>33054</v>
          </cell>
        </row>
        <row r="3118">
          <cell r="A3118" t="str">
            <v>In service</v>
          </cell>
          <cell r="B3118" t="str">
            <v>Gulfstream Aerospace Gulfstream IV</v>
          </cell>
          <cell r="C3118" t="str">
            <v xml:space="preserve"> </v>
          </cell>
          <cell r="D3118">
            <v>1993</v>
          </cell>
          <cell r="E3118" t="str">
            <v>Roni Capital LLC</v>
          </cell>
          <cell r="F3118">
            <v>7</v>
          </cell>
          <cell r="G3118">
            <v>34165</v>
          </cell>
          <cell r="I3118" t="str">
            <v>North America</v>
          </cell>
          <cell r="J3118" t="str">
            <v>USA</v>
          </cell>
          <cell r="K3118">
            <v>33419</v>
          </cell>
        </row>
        <row r="3119">
          <cell r="A3119" t="str">
            <v>In service</v>
          </cell>
          <cell r="B3119" t="str">
            <v>Gulfstream Aerospace Gulfstream IV</v>
          </cell>
          <cell r="C3119" t="str">
            <v xml:space="preserve"> </v>
          </cell>
          <cell r="D3119">
            <v>1993</v>
          </cell>
          <cell r="E3119" t="str">
            <v>AT&amp;T Corp</v>
          </cell>
          <cell r="F3119">
            <v>7</v>
          </cell>
          <cell r="G3119">
            <v>34213</v>
          </cell>
          <cell r="I3119" t="str">
            <v>North America</v>
          </cell>
          <cell r="J3119" t="str">
            <v>USA</v>
          </cell>
          <cell r="K3119">
            <v>33054</v>
          </cell>
        </row>
        <row r="3120">
          <cell r="A3120" t="str">
            <v>In service</v>
          </cell>
          <cell r="B3120" t="str">
            <v>Gulfstream Aerospace Gulfstream IV</v>
          </cell>
          <cell r="C3120" t="str">
            <v xml:space="preserve"> </v>
          </cell>
          <cell r="D3120">
            <v>1992</v>
          </cell>
          <cell r="E3120" t="str">
            <v>Cox Communications Inc</v>
          </cell>
          <cell r="F3120">
            <v>8</v>
          </cell>
          <cell r="G3120">
            <v>33938</v>
          </cell>
          <cell r="I3120" t="str">
            <v>North America</v>
          </cell>
          <cell r="J3120" t="str">
            <v>USA</v>
          </cell>
          <cell r="K3120">
            <v>33054</v>
          </cell>
        </row>
        <row r="3121">
          <cell r="A3121" t="str">
            <v>In service</v>
          </cell>
          <cell r="B3121" t="str">
            <v>Gulfstream Aerospace Gulfstream IV</v>
          </cell>
          <cell r="C3121" t="str">
            <v xml:space="preserve"> </v>
          </cell>
          <cell r="D3121">
            <v>1993</v>
          </cell>
          <cell r="E3121" t="str">
            <v>Vivendi Universal</v>
          </cell>
          <cell r="F3121">
            <v>7</v>
          </cell>
          <cell r="G3121">
            <v>34204</v>
          </cell>
          <cell r="I3121" t="str">
            <v>North America</v>
          </cell>
          <cell r="J3121" t="str">
            <v>USA</v>
          </cell>
          <cell r="K3121">
            <v>33419</v>
          </cell>
        </row>
        <row r="3122">
          <cell r="A3122" t="str">
            <v>In service</v>
          </cell>
          <cell r="B3122" t="str">
            <v>Gulfstream Aerospace Gulfstream IV</v>
          </cell>
          <cell r="C3122" t="str">
            <v xml:space="preserve"> </v>
          </cell>
          <cell r="D3122">
            <v>1993</v>
          </cell>
          <cell r="E3122" t="str">
            <v>Aviation Methods Inc</v>
          </cell>
          <cell r="F3122">
            <v>7</v>
          </cell>
          <cell r="G3122">
            <v>34229</v>
          </cell>
          <cell r="I3122" t="str">
            <v>Europe</v>
          </cell>
          <cell r="J3122" t="str">
            <v>United Kingdom</v>
          </cell>
          <cell r="K3122">
            <v>33419</v>
          </cell>
        </row>
        <row r="3123">
          <cell r="A3123" t="str">
            <v>In service</v>
          </cell>
          <cell r="B3123" t="str">
            <v>Gulfstream Aerospace Gulfstream IV</v>
          </cell>
          <cell r="C3123" t="str">
            <v xml:space="preserve"> </v>
          </cell>
          <cell r="D3123">
            <v>1993</v>
          </cell>
          <cell r="E3123" t="str">
            <v>H J Heinz Co</v>
          </cell>
          <cell r="F3123">
            <v>7</v>
          </cell>
          <cell r="G3123">
            <v>34380</v>
          </cell>
          <cell r="I3123" t="str">
            <v>North America</v>
          </cell>
          <cell r="J3123" t="str">
            <v>USA</v>
          </cell>
        </row>
        <row r="3124">
          <cell r="A3124" t="str">
            <v>In service</v>
          </cell>
          <cell r="B3124" t="str">
            <v>Gulfstream Aerospace Gulfstream IV</v>
          </cell>
          <cell r="C3124" t="str">
            <v xml:space="preserve"> </v>
          </cell>
          <cell r="D3124">
            <v>1992</v>
          </cell>
          <cell r="E3124" t="str">
            <v>PK Aire Inc</v>
          </cell>
          <cell r="F3124">
            <v>8</v>
          </cell>
          <cell r="G3124">
            <v>33962</v>
          </cell>
          <cell r="I3124" t="str">
            <v>North America</v>
          </cell>
          <cell r="J3124" t="str">
            <v>USA</v>
          </cell>
          <cell r="K3124">
            <v>33054</v>
          </cell>
        </row>
        <row r="3125">
          <cell r="A3125" t="str">
            <v>In service</v>
          </cell>
          <cell r="B3125" t="str">
            <v>Gulfstream Aerospace Gulfstream IV</v>
          </cell>
          <cell r="C3125" t="str">
            <v xml:space="preserve"> </v>
          </cell>
          <cell r="D3125">
            <v>1993</v>
          </cell>
          <cell r="E3125" t="str">
            <v>Luft Aviation Charter Pty Ltd</v>
          </cell>
          <cell r="F3125">
            <v>7</v>
          </cell>
          <cell r="G3125">
            <v>34488</v>
          </cell>
          <cell r="I3125" t="str">
            <v>Australasia</v>
          </cell>
          <cell r="J3125" t="str">
            <v>Australia</v>
          </cell>
          <cell r="K3125">
            <v>33785</v>
          </cell>
        </row>
        <row r="3126">
          <cell r="A3126" t="str">
            <v>In service</v>
          </cell>
          <cell r="B3126" t="str">
            <v>Gulfstream Aerospace Gulfstream IV</v>
          </cell>
          <cell r="C3126" t="str">
            <v xml:space="preserve"> </v>
          </cell>
          <cell r="D3126">
            <v>1993</v>
          </cell>
          <cell r="E3126" t="str">
            <v>Hewlett-Packard Co</v>
          </cell>
          <cell r="F3126">
            <v>7</v>
          </cell>
          <cell r="G3126">
            <v>34194</v>
          </cell>
          <cell r="I3126" t="str">
            <v>North America</v>
          </cell>
          <cell r="J3126" t="str">
            <v>USA</v>
          </cell>
          <cell r="K3126">
            <v>33419</v>
          </cell>
        </row>
        <row r="3127">
          <cell r="A3127" t="str">
            <v>In service</v>
          </cell>
          <cell r="B3127" t="str">
            <v>Gulfstream Aerospace Gulfstream IV</v>
          </cell>
          <cell r="C3127" t="str">
            <v xml:space="preserve"> </v>
          </cell>
          <cell r="D3127">
            <v>1993</v>
          </cell>
          <cell r="E3127" t="str">
            <v>News America Inc</v>
          </cell>
          <cell r="F3127">
            <v>7</v>
          </cell>
          <cell r="G3127">
            <v>34369</v>
          </cell>
          <cell r="I3127" t="str">
            <v>North America</v>
          </cell>
          <cell r="J3127" t="str">
            <v>USA</v>
          </cell>
          <cell r="K3127">
            <v>34150</v>
          </cell>
        </row>
        <row r="3128">
          <cell r="A3128" t="str">
            <v>In service</v>
          </cell>
          <cell r="B3128" t="str">
            <v>Gulfstream Aerospace Gulfstream IV</v>
          </cell>
          <cell r="C3128" t="str">
            <v xml:space="preserve"> </v>
          </cell>
          <cell r="D3128">
            <v>1993</v>
          </cell>
          <cell r="E3128" t="str">
            <v>Exxon Mobil Corp</v>
          </cell>
          <cell r="F3128">
            <v>7</v>
          </cell>
          <cell r="G3128">
            <v>34227</v>
          </cell>
          <cell r="I3128" t="str">
            <v>North America</v>
          </cell>
          <cell r="J3128" t="str">
            <v>USA</v>
          </cell>
          <cell r="K3128">
            <v>33419</v>
          </cell>
        </row>
        <row r="3129">
          <cell r="A3129" t="str">
            <v>In service</v>
          </cell>
          <cell r="B3129" t="str">
            <v>Gulfstream Aerospace Gulfstream IV</v>
          </cell>
          <cell r="C3129" t="str">
            <v xml:space="preserve"> </v>
          </cell>
          <cell r="D3129">
            <v>1993</v>
          </cell>
          <cell r="E3129" t="str">
            <v>Hewlett-Packard Co</v>
          </cell>
          <cell r="F3129">
            <v>7</v>
          </cell>
          <cell r="G3129">
            <v>34311</v>
          </cell>
          <cell r="I3129" t="str">
            <v>North America</v>
          </cell>
          <cell r="J3129" t="str">
            <v>USA</v>
          </cell>
          <cell r="K3129">
            <v>33419</v>
          </cell>
        </row>
        <row r="3130">
          <cell r="A3130" t="str">
            <v>In service</v>
          </cell>
          <cell r="B3130" t="str">
            <v>Gulfstream Aerospace Gulfstream IV</v>
          </cell>
          <cell r="C3130" t="str">
            <v xml:space="preserve"> </v>
          </cell>
          <cell r="D3130">
            <v>1993</v>
          </cell>
          <cell r="E3130" t="str">
            <v>Time Warner Inc</v>
          </cell>
          <cell r="F3130">
            <v>7</v>
          </cell>
          <cell r="G3130">
            <v>34380</v>
          </cell>
          <cell r="I3130" t="str">
            <v>North America</v>
          </cell>
          <cell r="J3130" t="str">
            <v>USA</v>
          </cell>
          <cell r="K3130">
            <v>33785</v>
          </cell>
        </row>
        <row r="3131">
          <cell r="A3131" t="str">
            <v>In service</v>
          </cell>
          <cell r="B3131" t="str">
            <v>Gulfstream Aerospace Gulfstream IV</v>
          </cell>
          <cell r="C3131" t="str">
            <v xml:space="preserve"> </v>
          </cell>
          <cell r="D3131">
            <v>1993</v>
          </cell>
          <cell r="E3131" t="str">
            <v>Dana Commercial Credit Corp</v>
          </cell>
          <cell r="F3131">
            <v>7</v>
          </cell>
          <cell r="G3131">
            <v>34349</v>
          </cell>
          <cell r="I3131" t="str">
            <v>North America</v>
          </cell>
          <cell r="J3131" t="str">
            <v>USA</v>
          </cell>
          <cell r="K3131">
            <v>33785</v>
          </cell>
        </row>
        <row r="3132">
          <cell r="A3132" t="str">
            <v>In service</v>
          </cell>
          <cell r="B3132" t="str">
            <v>Gulfstream Aerospace Gulfstream IV</v>
          </cell>
          <cell r="C3132" t="str">
            <v xml:space="preserve"> </v>
          </cell>
          <cell r="D3132">
            <v>1993</v>
          </cell>
          <cell r="E3132" t="str">
            <v>N171JC LLC</v>
          </cell>
          <cell r="F3132">
            <v>7</v>
          </cell>
          <cell r="G3132">
            <v>34380</v>
          </cell>
          <cell r="I3132" t="str">
            <v>North America</v>
          </cell>
          <cell r="J3132" t="str">
            <v>USA</v>
          </cell>
          <cell r="K3132">
            <v>33785</v>
          </cell>
        </row>
        <row r="3133">
          <cell r="A3133" t="str">
            <v>In service</v>
          </cell>
          <cell r="B3133" t="str">
            <v>Gulfstream Aerospace Gulfstream IV</v>
          </cell>
          <cell r="C3133" t="str">
            <v xml:space="preserve"> </v>
          </cell>
          <cell r="D3133">
            <v>1993</v>
          </cell>
          <cell r="E3133" t="str">
            <v>H J Heinz Co</v>
          </cell>
          <cell r="F3133">
            <v>7</v>
          </cell>
          <cell r="G3133">
            <v>34682</v>
          </cell>
          <cell r="I3133" t="str">
            <v>North America</v>
          </cell>
          <cell r="J3133" t="str">
            <v>USA</v>
          </cell>
          <cell r="K3133">
            <v>33785</v>
          </cell>
        </row>
        <row r="3134">
          <cell r="A3134" t="str">
            <v>In service</v>
          </cell>
          <cell r="B3134" t="str">
            <v>Gulfstream Aerospace Gulfstream IV</v>
          </cell>
          <cell r="C3134" t="str">
            <v xml:space="preserve"> </v>
          </cell>
          <cell r="D3134">
            <v>1993</v>
          </cell>
          <cell r="E3134" t="str">
            <v>SDA Enterprises Inc</v>
          </cell>
          <cell r="F3134">
            <v>7</v>
          </cell>
          <cell r="G3134">
            <v>34318</v>
          </cell>
          <cell r="I3134" t="str">
            <v>North America</v>
          </cell>
          <cell r="J3134" t="str">
            <v>USA</v>
          </cell>
          <cell r="K3134">
            <v>33419</v>
          </cell>
        </row>
        <row r="3135">
          <cell r="A3135" t="str">
            <v>In service</v>
          </cell>
          <cell r="B3135" t="str">
            <v>Gulfstream Aerospace Gulfstream IV</v>
          </cell>
          <cell r="C3135" t="str">
            <v xml:space="preserve"> </v>
          </cell>
          <cell r="D3135">
            <v>1993</v>
          </cell>
          <cell r="E3135" t="str">
            <v>Verochris Corp</v>
          </cell>
          <cell r="F3135">
            <v>7</v>
          </cell>
          <cell r="G3135">
            <v>34212</v>
          </cell>
          <cell r="I3135" t="str">
            <v>North America</v>
          </cell>
          <cell r="J3135" t="str">
            <v>USA</v>
          </cell>
          <cell r="K3135">
            <v>33419</v>
          </cell>
        </row>
        <row r="3136">
          <cell r="A3136" t="str">
            <v>In service</v>
          </cell>
          <cell r="B3136" t="str">
            <v>Gulfstream Aerospace Gulfstream IV</v>
          </cell>
          <cell r="C3136" t="str">
            <v xml:space="preserve"> </v>
          </cell>
          <cell r="D3136">
            <v>1993</v>
          </cell>
          <cell r="E3136" t="str">
            <v>OMG American Inc</v>
          </cell>
          <cell r="F3136">
            <v>7</v>
          </cell>
          <cell r="G3136">
            <v>34515</v>
          </cell>
          <cell r="I3136" t="str">
            <v>North America</v>
          </cell>
          <cell r="J3136" t="str">
            <v>USA</v>
          </cell>
          <cell r="K3136">
            <v>33785</v>
          </cell>
        </row>
        <row r="3137">
          <cell r="A3137" t="str">
            <v>In service</v>
          </cell>
          <cell r="B3137" t="str">
            <v>Gulfstream Aerospace Gulfstream IV</v>
          </cell>
          <cell r="C3137" t="str">
            <v xml:space="preserve"> </v>
          </cell>
          <cell r="D3137">
            <v>1993</v>
          </cell>
          <cell r="E3137" t="str">
            <v>Trillium Leasing LLC</v>
          </cell>
          <cell r="F3137">
            <v>7</v>
          </cell>
          <cell r="G3137">
            <v>34452</v>
          </cell>
          <cell r="I3137" t="str">
            <v>North America</v>
          </cell>
          <cell r="J3137" t="str">
            <v>USA</v>
          </cell>
          <cell r="K3137">
            <v>33785</v>
          </cell>
        </row>
        <row r="3138">
          <cell r="A3138" t="str">
            <v>In service</v>
          </cell>
          <cell r="B3138" t="str">
            <v>Gulfstream Aerospace Gulfstream IV</v>
          </cell>
          <cell r="C3138" t="str">
            <v xml:space="preserve"> </v>
          </cell>
          <cell r="D3138">
            <v>1993</v>
          </cell>
          <cell r="E3138" t="str">
            <v>Trans Exec Air Service</v>
          </cell>
          <cell r="F3138">
            <v>7</v>
          </cell>
          <cell r="G3138">
            <v>34561</v>
          </cell>
          <cell r="I3138" t="str">
            <v>North America</v>
          </cell>
          <cell r="J3138" t="str">
            <v>USA</v>
          </cell>
          <cell r="K3138">
            <v>33785</v>
          </cell>
        </row>
        <row r="3139">
          <cell r="A3139" t="str">
            <v>In service</v>
          </cell>
          <cell r="B3139" t="str">
            <v>Gulfstream Aerospace Gulfstream IV</v>
          </cell>
          <cell r="C3139" t="str">
            <v>C-20F</v>
          </cell>
          <cell r="D3139">
            <v>1991</v>
          </cell>
          <cell r="E3139" t="str">
            <v>US Army</v>
          </cell>
          <cell r="F3139">
            <v>9</v>
          </cell>
          <cell r="G3139">
            <v>33411</v>
          </cell>
          <cell r="H3139" t="str">
            <v>C-20F</v>
          </cell>
          <cell r="I3139" t="str">
            <v>North America</v>
          </cell>
          <cell r="J3139" t="str">
            <v>USA</v>
          </cell>
        </row>
        <row r="3140">
          <cell r="A3140" t="str">
            <v>In service</v>
          </cell>
          <cell r="B3140" t="str">
            <v>Gulfstream Aerospace Gulfstream IV</v>
          </cell>
          <cell r="C3140" t="str">
            <v>C-20G</v>
          </cell>
          <cell r="D3140">
            <v>1994</v>
          </cell>
          <cell r="E3140" t="str">
            <v>US Air Force</v>
          </cell>
          <cell r="F3140">
            <v>6</v>
          </cell>
          <cell r="G3140">
            <v>34622</v>
          </cell>
          <cell r="H3140" t="str">
            <v>C-20G</v>
          </cell>
          <cell r="I3140" t="str">
            <v>North America</v>
          </cell>
          <cell r="J3140" t="str">
            <v>USA</v>
          </cell>
          <cell r="K3140">
            <v>34150</v>
          </cell>
        </row>
        <row r="3141">
          <cell r="A3141" t="str">
            <v>In service</v>
          </cell>
          <cell r="B3141" t="str">
            <v>Gulfstream Aerospace Gulfstream IV</v>
          </cell>
          <cell r="C3141" t="str">
            <v>C-20G</v>
          </cell>
          <cell r="D3141">
            <v>1992</v>
          </cell>
          <cell r="E3141" t="str">
            <v>US Navy</v>
          </cell>
          <cell r="F3141">
            <v>8</v>
          </cell>
          <cell r="G3141">
            <v>34369</v>
          </cell>
          <cell r="H3141" t="str">
            <v>C-20G</v>
          </cell>
          <cell r="I3141" t="str">
            <v>North America</v>
          </cell>
          <cell r="J3141" t="str">
            <v>USA</v>
          </cell>
          <cell r="K3141">
            <v>33284</v>
          </cell>
        </row>
        <row r="3142">
          <cell r="A3142" t="str">
            <v>In service</v>
          </cell>
          <cell r="B3142" t="str">
            <v>Gulfstream Aerospace Gulfstream IV</v>
          </cell>
          <cell r="C3142" t="str">
            <v>C-20G</v>
          </cell>
          <cell r="D3142">
            <v>1992</v>
          </cell>
          <cell r="E3142" t="str">
            <v>US Navy</v>
          </cell>
          <cell r="F3142">
            <v>8</v>
          </cell>
          <cell r="G3142">
            <v>34515</v>
          </cell>
          <cell r="H3142" t="str">
            <v>C-20G</v>
          </cell>
          <cell r="I3142" t="str">
            <v>North America</v>
          </cell>
          <cell r="J3142" t="str">
            <v>USA</v>
          </cell>
          <cell r="K3142">
            <v>33284</v>
          </cell>
        </row>
        <row r="3143">
          <cell r="A3143" t="str">
            <v>In service</v>
          </cell>
          <cell r="B3143" t="str">
            <v>Gulfstream Aerospace Gulfstream IV</v>
          </cell>
          <cell r="C3143" t="str">
            <v>C-20G</v>
          </cell>
          <cell r="D3143">
            <v>1992</v>
          </cell>
          <cell r="E3143" t="str">
            <v>US Navy</v>
          </cell>
          <cell r="F3143">
            <v>8</v>
          </cell>
          <cell r="G3143">
            <v>34683</v>
          </cell>
          <cell r="H3143" t="str">
            <v>C-20G</v>
          </cell>
          <cell r="I3143" t="str">
            <v>North America</v>
          </cell>
          <cell r="J3143" t="str">
            <v>USA</v>
          </cell>
          <cell r="K3143">
            <v>33785</v>
          </cell>
        </row>
        <row r="3144">
          <cell r="A3144" t="str">
            <v>In service</v>
          </cell>
          <cell r="B3144" t="str">
            <v>Gulfstream Aerospace Gulfstream IV</v>
          </cell>
          <cell r="C3144" t="str">
            <v>C-20G</v>
          </cell>
          <cell r="D3144">
            <v>1992</v>
          </cell>
          <cell r="E3144" t="str">
            <v>US Marine Corps</v>
          </cell>
          <cell r="F3144">
            <v>8</v>
          </cell>
          <cell r="G3144">
            <v>34653</v>
          </cell>
          <cell r="H3144" t="str">
            <v>C-20G</v>
          </cell>
          <cell r="I3144" t="str">
            <v>North America</v>
          </cell>
          <cell r="J3144" t="str">
            <v>USA</v>
          </cell>
          <cell r="K3144">
            <v>33785</v>
          </cell>
        </row>
        <row r="3145">
          <cell r="A3145" t="str">
            <v>In service</v>
          </cell>
          <cell r="B3145" t="str">
            <v>Gulfstream Aerospace Gulfstream IV</v>
          </cell>
          <cell r="C3145" t="str">
            <v>C-20H</v>
          </cell>
          <cell r="D3145">
            <v>1995</v>
          </cell>
          <cell r="E3145" t="str">
            <v>US Air Force</v>
          </cell>
          <cell r="F3145">
            <v>5</v>
          </cell>
          <cell r="G3145">
            <v>35110</v>
          </cell>
          <cell r="H3145" t="str">
            <v>C-20H</v>
          </cell>
          <cell r="I3145" t="str">
            <v>North America</v>
          </cell>
          <cell r="J3145" t="str">
            <v>USA</v>
          </cell>
          <cell r="K3145">
            <v>33785</v>
          </cell>
        </row>
        <row r="3146">
          <cell r="A3146" t="str">
            <v>In service</v>
          </cell>
          <cell r="B3146" t="str">
            <v>Gulfstream Aerospace Gulfstream IV</v>
          </cell>
          <cell r="C3146" t="str">
            <v>S 102B</v>
          </cell>
          <cell r="D3146">
            <v>1993</v>
          </cell>
          <cell r="E3146" t="str">
            <v>Swedish Air Force</v>
          </cell>
          <cell r="F3146">
            <v>7</v>
          </cell>
          <cell r="G3146">
            <v>34935</v>
          </cell>
          <cell r="H3146" t="str">
            <v>S 102B</v>
          </cell>
          <cell r="I3146" t="str">
            <v>Europe</v>
          </cell>
          <cell r="J3146" t="str">
            <v>Sweden</v>
          </cell>
          <cell r="K3146">
            <v>33784</v>
          </cell>
        </row>
        <row r="3147">
          <cell r="A3147" t="str">
            <v>In service</v>
          </cell>
          <cell r="B3147" t="str">
            <v>Gulfstream Aerospace Gulfstream IV</v>
          </cell>
          <cell r="C3147" t="str">
            <v>S 102B</v>
          </cell>
          <cell r="D3147">
            <v>1993</v>
          </cell>
          <cell r="E3147" t="str">
            <v>Swedish Air Force</v>
          </cell>
          <cell r="F3147">
            <v>7</v>
          </cell>
          <cell r="G3147">
            <v>34987</v>
          </cell>
          <cell r="H3147" t="str">
            <v>S 102B</v>
          </cell>
          <cell r="I3147" t="str">
            <v>Europe</v>
          </cell>
          <cell r="J3147" t="str">
            <v>Sweden</v>
          </cell>
          <cell r="K3147">
            <v>33784</v>
          </cell>
        </row>
        <row r="3148">
          <cell r="A3148" t="str">
            <v>In service</v>
          </cell>
          <cell r="B3148" t="str">
            <v>Gulfstream Aerospace Gulfstream IV</v>
          </cell>
          <cell r="C3148" t="str">
            <v>SP</v>
          </cell>
          <cell r="D3148">
            <v>1991</v>
          </cell>
          <cell r="E3148" t="str">
            <v>Jetclub AG</v>
          </cell>
          <cell r="F3148">
            <v>9</v>
          </cell>
          <cell r="G3148">
            <v>34380</v>
          </cell>
          <cell r="H3148" t="str">
            <v>SP</v>
          </cell>
          <cell r="I3148" t="str">
            <v>Europe</v>
          </cell>
          <cell r="J3148" t="str">
            <v>Switzerland</v>
          </cell>
        </row>
        <row r="3149">
          <cell r="A3149" t="str">
            <v>In service</v>
          </cell>
          <cell r="B3149" t="str">
            <v>Gulfstream Aerospace Gulfstream IV</v>
          </cell>
          <cell r="C3149" t="str">
            <v>SP</v>
          </cell>
          <cell r="D3149">
            <v>1992</v>
          </cell>
          <cell r="E3149" t="str">
            <v>The Air Group Inc</v>
          </cell>
          <cell r="F3149">
            <v>8</v>
          </cell>
          <cell r="G3149">
            <v>33785</v>
          </cell>
          <cell r="H3149" t="str">
            <v>SP</v>
          </cell>
          <cell r="I3149" t="str">
            <v>North America</v>
          </cell>
          <cell r="J3149" t="str">
            <v>USA</v>
          </cell>
        </row>
        <row r="3150">
          <cell r="A3150" t="str">
            <v>In service</v>
          </cell>
          <cell r="B3150" t="str">
            <v>Gulfstream Aerospace Gulfstream IV</v>
          </cell>
          <cell r="C3150" t="str">
            <v>SP</v>
          </cell>
          <cell r="D3150">
            <v>1992</v>
          </cell>
          <cell r="E3150" t="str">
            <v>Zeno Air Inc</v>
          </cell>
          <cell r="F3150">
            <v>8</v>
          </cell>
          <cell r="G3150">
            <v>33907</v>
          </cell>
          <cell r="H3150" t="str">
            <v>SP</v>
          </cell>
          <cell r="I3150" t="str">
            <v>North America</v>
          </cell>
          <cell r="J3150" t="str">
            <v>USA</v>
          </cell>
          <cell r="K3150">
            <v>33419</v>
          </cell>
        </row>
        <row r="3151">
          <cell r="A3151" t="str">
            <v>In service</v>
          </cell>
          <cell r="B3151" t="str">
            <v>Gulfstream Aerospace Gulfstream IV</v>
          </cell>
          <cell r="C3151" t="str">
            <v>SP</v>
          </cell>
          <cell r="D3151">
            <v>1993</v>
          </cell>
          <cell r="E3151" t="str">
            <v>USA Video Distribution LLC &amp; Nineteen Forty CC Inc</v>
          </cell>
          <cell r="F3151">
            <v>7</v>
          </cell>
          <cell r="G3151">
            <v>34200</v>
          </cell>
          <cell r="H3151" t="str">
            <v>SP</v>
          </cell>
          <cell r="I3151" t="str">
            <v>North America</v>
          </cell>
          <cell r="J3151" t="str">
            <v>USA</v>
          </cell>
          <cell r="K3151">
            <v>33785</v>
          </cell>
        </row>
        <row r="3152">
          <cell r="A3152" t="str">
            <v>In service</v>
          </cell>
          <cell r="B3152" t="str">
            <v>Gulfstream Aerospace Gulfstream IV</v>
          </cell>
          <cell r="C3152" t="str">
            <v>SP</v>
          </cell>
          <cell r="D3152">
            <v>1993</v>
          </cell>
          <cell r="E3152" t="str">
            <v>Harrahs Operating Co Inc</v>
          </cell>
          <cell r="F3152">
            <v>7</v>
          </cell>
          <cell r="G3152">
            <v>34058</v>
          </cell>
          <cell r="H3152" t="str">
            <v>SP</v>
          </cell>
          <cell r="I3152" t="str">
            <v>North America</v>
          </cell>
          <cell r="J3152" t="str">
            <v>USA</v>
          </cell>
          <cell r="K3152">
            <v>33419</v>
          </cell>
        </row>
        <row r="3153">
          <cell r="A3153" t="str">
            <v>In service</v>
          </cell>
          <cell r="B3153" t="str">
            <v>Gulfstream Aerospace Gulfstream IV</v>
          </cell>
          <cell r="C3153" t="str">
            <v>SP</v>
          </cell>
          <cell r="D3153">
            <v>1993</v>
          </cell>
          <cell r="E3153" t="str">
            <v>Georgetown Interstate Aviation Inc</v>
          </cell>
          <cell r="F3153">
            <v>7</v>
          </cell>
          <cell r="G3153">
            <v>34096</v>
          </cell>
          <cell r="H3153" t="str">
            <v>SP</v>
          </cell>
          <cell r="I3153" t="str">
            <v>North America</v>
          </cell>
          <cell r="J3153" t="str">
            <v>USA</v>
          </cell>
          <cell r="K3153">
            <v>33419</v>
          </cell>
        </row>
        <row r="3154">
          <cell r="A3154" t="str">
            <v>In service</v>
          </cell>
          <cell r="B3154" t="str">
            <v>Gulfstream Aerospace Gulfstream IV</v>
          </cell>
          <cell r="C3154" t="str">
            <v>SP</v>
          </cell>
          <cell r="D3154">
            <v>1993</v>
          </cell>
          <cell r="E3154" t="str">
            <v>AON Service Corporation</v>
          </cell>
          <cell r="F3154">
            <v>7</v>
          </cell>
          <cell r="G3154">
            <v>34495</v>
          </cell>
          <cell r="H3154" t="str">
            <v>SP</v>
          </cell>
          <cell r="I3154" t="str">
            <v>North America</v>
          </cell>
          <cell r="J3154" t="str">
            <v>USA</v>
          </cell>
          <cell r="K3154">
            <v>33785</v>
          </cell>
        </row>
        <row r="3155">
          <cell r="A3155" t="str">
            <v>In service</v>
          </cell>
          <cell r="B3155" t="str">
            <v>Gulfstream Aerospace Gulfstream IV</v>
          </cell>
          <cell r="C3155" t="str">
            <v>SP</v>
          </cell>
          <cell r="D3155">
            <v>1993</v>
          </cell>
          <cell r="E3155" t="str">
            <v>CSC Transport Inc</v>
          </cell>
          <cell r="F3155">
            <v>7</v>
          </cell>
          <cell r="G3155">
            <v>34564</v>
          </cell>
          <cell r="H3155" t="str">
            <v>SP</v>
          </cell>
          <cell r="I3155" t="str">
            <v>North America</v>
          </cell>
          <cell r="J3155" t="str">
            <v>USA</v>
          </cell>
          <cell r="K3155">
            <v>33785</v>
          </cell>
        </row>
        <row r="3156">
          <cell r="A3156" t="str">
            <v>In service</v>
          </cell>
          <cell r="B3156" t="str">
            <v>Gulfstream Aerospace Gulfstream IV</v>
          </cell>
          <cell r="C3156" t="str">
            <v>SP</v>
          </cell>
          <cell r="D3156">
            <v>1993</v>
          </cell>
          <cell r="E3156" t="str">
            <v>Dacion Corp</v>
          </cell>
          <cell r="F3156">
            <v>7</v>
          </cell>
          <cell r="G3156">
            <v>34333</v>
          </cell>
          <cell r="H3156" t="str">
            <v>SP</v>
          </cell>
          <cell r="I3156" t="str">
            <v>North America</v>
          </cell>
          <cell r="J3156" t="str">
            <v>USA</v>
          </cell>
          <cell r="K3156">
            <v>33419</v>
          </cell>
        </row>
        <row r="3157">
          <cell r="A3157" t="str">
            <v>In service</v>
          </cell>
          <cell r="B3157" t="str">
            <v>Gulfstream Aerospace Gulfstream IV</v>
          </cell>
          <cell r="C3157" t="str">
            <v>SP</v>
          </cell>
          <cell r="D3157">
            <v>1993</v>
          </cell>
          <cell r="E3157" t="str">
            <v>KaiserAir Inc</v>
          </cell>
          <cell r="F3157">
            <v>7</v>
          </cell>
          <cell r="G3157">
            <v>34522</v>
          </cell>
          <cell r="H3157" t="str">
            <v>SP</v>
          </cell>
          <cell r="I3157" t="str">
            <v>North America</v>
          </cell>
          <cell r="J3157" t="str">
            <v>USA</v>
          </cell>
          <cell r="K3157">
            <v>33785</v>
          </cell>
        </row>
        <row r="3158">
          <cell r="A3158" t="str">
            <v>In service</v>
          </cell>
          <cell r="B3158" t="str">
            <v>Gulfstream Aerospace Gulfstream IV</v>
          </cell>
          <cell r="C3158" t="str">
            <v>SP</v>
          </cell>
          <cell r="D3158">
            <v>1994</v>
          </cell>
          <cell r="E3158" t="str">
            <v>ChevronTexaco Corp</v>
          </cell>
          <cell r="F3158">
            <v>6</v>
          </cell>
          <cell r="G3158">
            <v>34590</v>
          </cell>
          <cell r="H3158" t="str">
            <v>SP</v>
          </cell>
          <cell r="I3158" t="str">
            <v>North America</v>
          </cell>
          <cell r="J3158" t="str">
            <v>USA</v>
          </cell>
          <cell r="K3158">
            <v>33785</v>
          </cell>
        </row>
        <row r="3159">
          <cell r="A3159" t="str">
            <v>In service</v>
          </cell>
          <cell r="B3159" t="str">
            <v>Gulfstream Aerospace Gulfstream IV</v>
          </cell>
          <cell r="C3159" t="str">
            <v>SP</v>
          </cell>
          <cell r="D3159">
            <v>1994</v>
          </cell>
          <cell r="E3159" t="str">
            <v>Sirio</v>
          </cell>
          <cell r="F3159">
            <v>6</v>
          </cell>
          <cell r="G3159">
            <v>34592</v>
          </cell>
          <cell r="H3159" t="str">
            <v>SP</v>
          </cell>
          <cell r="I3159" t="str">
            <v>Europe</v>
          </cell>
          <cell r="J3159" t="str">
            <v>Italy</v>
          </cell>
          <cell r="K3159">
            <v>34150</v>
          </cell>
        </row>
        <row r="3160">
          <cell r="A3160" t="str">
            <v>In service</v>
          </cell>
          <cell r="B3160" t="str">
            <v>Gulfstream Aerospace Gulfstream IV</v>
          </cell>
          <cell r="C3160" t="str">
            <v>SP</v>
          </cell>
          <cell r="D3160">
            <v>1994</v>
          </cell>
          <cell r="E3160" t="str">
            <v>Exxon Mobil Corp</v>
          </cell>
          <cell r="F3160">
            <v>6</v>
          </cell>
          <cell r="G3160">
            <v>34611</v>
          </cell>
          <cell r="H3160" t="str">
            <v>SP</v>
          </cell>
          <cell r="I3160" t="str">
            <v>North America</v>
          </cell>
          <cell r="J3160" t="str">
            <v>USA</v>
          </cell>
          <cell r="K3160">
            <v>33785</v>
          </cell>
        </row>
        <row r="3161">
          <cell r="A3161" t="str">
            <v>In service</v>
          </cell>
          <cell r="B3161" t="str">
            <v>Gulfstream Aerospace Gulfstream IV</v>
          </cell>
          <cell r="C3161" t="str">
            <v>SP</v>
          </cell>
          <cell r="D3161">
            <v>1994</v>
          </cell>
          <cell r="E3161" t="str">
            <v>Gannett Co Inc</v>
          </cell>
          <cell r="F3161">
            <v>6</v>
          </cell>
          <cell r="G3161">
            <v>34773</v>
          </cell>
          <cell r="H3161" t="str">
            <v>SP</v>
          </cell>
          <cell r="I3161" t="str">
            <v>North America</v>
          </cell>
          <cell r="J3161" t="str">
            <v>USA</v>
          </cell>
          <cell r="K3161">
            <v>34150</v>
          </cell>
        </row>
        <row r="3162">
          <cell r="A3162" t="str">
            <v>In service</v>
          </cell>
          <cell r="B3162" t="str">
            <v>Gulfstream Aerospace Gulfstream IV</v>
          </cell>
          <cell r="C3162" t="str">
            <v>SP</v>
          </cell>
          <cell r="D3162">
            <v>1994</v>
          </cell>
          <cell r="E3162" t="str">
            <v>Whirlpool Corp</v>
          </cell>
          <cell r="F3162">
            <v>6</v>
          </cell>
          <cell r="G3162">
            <v>34421</v>
          </cell>
          <cell r="H3162" t="str">
            <v>SP</v>
          </cell>
          <cell r="I3162" t="str">
            <v>North America</v>
          </cell>
          <cell r="J3162" t="str">
            <v>USA</v>
          </cell>
          <cell r="K3162">
            <v>33785</v>
          </cell>
        </row>
        <row r="3163">
          <cell r="A3163" t="str">
            <v>In service</v>
          </cell>
          <cell r="B3163" t="str">
            <v>Gulfstream Aerospace Gulfstream IV</v>
          </cell>
          <cell r="C3163" t="str">
            <v>SP</v>
          </cell>
          <cell r="D3163">
            <v>1994</v>
          </cell>
          <cell r="E3163" t="str">
            <v>Leucadia Aviation Inc</v>
          </cell>
          <cell r="F3163">
            <v>6</v>
          </cell>
          <cell r="G3163">
            <v>34764</v>
          </cell>
          <cell r="H3163" t="str">
            <v>SP</v>
          </cell>
          <cell r="I3163" t="str">
            <v>North America</v>
          </cell>
          <cell r="J3163" t="str">
            <v>USA</v>
          </cell>
          <cell r="K3163">
            <v>34515</v>
          </cell>
        </row>
        <row r="3164">
          <cell r="A3164" t="str">
            <v>In service</v>
          </cell>
          <cell r="B3164" t="str">
            <v>Gulfstream Aerospace Gulfstream IV</v>
          </cell>
          <cell r="C3164" t="str">
            <v>SP</v>
          </cell>
          <cell r="D3164">
            <v>1994</v>
          </cell>
          <cell r="E3164" t="str">
            <v>Hoescht Marion Roussel Inc</v>
          </cell>
          <cell r="F3164">
            <v>6</v>
          </cell>
          <cell r="G3164">
            <v>34653</v>
          </cell>
          <cell r="H3164" t="str">
            <v>SP</v>
          </cell>
          <cell r="I3164" t="str">
            <v>North America</v>
          </cell>
          <cell r="J3164" t="str">
            <v>USA</v>
          </cell>
          <cell r="K3164">
            <v>33785</v>
          </cell>
        </row>
        <row r="3165">
          <cell r="A3165" t="str">
            <v>In service</v>
          </cell>
          <cell r="B3165" t="str">
            <v>Gulfstream Aerospace Gulfstream IV</v>
          </cell>
          <cell r="C3165" t="str">
            <v>SP</v>
          </cell>
          <cell r="D3165">
            <v>1994</v>
          </cell>
          <cell r="E3165" t="str">
            <v>Gulfstream Aerospace Corp</v>
          </cell>
          <cell r="F3165">
            <v>6</v>
          </cell>
          <cell r="G3165">
            <v>34696</v>
          </cell>
          <cell r="H3165" t="str">
            <v>SP</v>
          </cell>
          <cell r="I3165" t="str">
            <v>North America</v>
          </cell>
          <cell r="J3165" t="str">
            <v>USA</v>
          </cell>
          <cell r="K3165">
            <v>33785</v>
          </cell>
        </row>
        <row r="3166">
          <cell r="A3166" t="str">
            <v>In service</v>
          </cell>
          <cell r="B3166" t="str">
            <v>Gulfstream Aerospace Gulfstream IV</v>
          </cell>
          <cell r="C3166" t="str">
            <v>SP</v>
          </cell>
          <cell r="D3166">
            <v>1994</v>
          </cell>
          <cell r="E3166" t="str">
            <v>Computer Associates International Inc</v>
          </cell>
          <cell r="F3166">
            <v>6</v>
          </cell>
          <cell r="G3166">
            <v>34782</v>
          </cell>
          <cell r="H3166" t="str">
            <v>SP</v>
          </cell>
          <cell r="I3166" t="str">
            <v>North America</v>
          </cell>
          <cell r="J3166" t="str">
            <v>USA</v>
          </cell>
          <cell r="K3166">
            <v>34150</v>
          </cell>
        </row>
        <row r="3167">
          <cell r="A3167" t="str">
            <v>In service</v>
          </cell>
          <cell r="B3167" t="str">
            <v>Gulfstream Aerospace Gulfstream IV</v>
          </cell>
          <cell r="C3167" t="str">
            <v>SP</v>
          </cell>
          <cell r="D3167">
            <v>1994</v>
          </cell>
          <cell r="E3167" t="str">
            <v>Penobscot Properties LLC</v>
          </cell>
          <cell r="F3167">
            <v>6</v>
          </cell>
          <cell r="G3167">
            <v>34859</v>
          </cell>
          <cell r="H3167" t="str">
            <v>SP</v>
          </cell>
          <cell r="I3167" t="str">
            <v>North America</v>
          </cell>
          <cell r="J3167" t="str">
            <v>USA</v>
          </cell>
          <cell r="K3167">
            <v>34150</v>
          </cell>
        </row>
        <row r="3168">
          <cell r="A3168" t="str">
            <v>In service</v>
          </cell>
          <cell r="B3168" t="str">
            <v>Gulfstream Aerospace Gulfstream IV</v>
          </cell>
          <cell r="C3168" t="str">
            <v>SP</v>
          </cell>
          <cell r="D3168">
            <v>1995</v>
          </cell>
          <cell r="E3168" t="str">
            <v>Huizenga Holdings</v>
          </cell>
          <cell r="F3168">
            <v>5</v>
          </cell>
          <cell r="G3168">
            <v>35292</v>
          </cell>
          <cell r="H3168" t="str">
            <v>SP</v>
          </cell>
          <cell r="I3168" t="str">
            <v>North America</v>
          </cell>
          <cell r="J3168" t="str">
            <v>USA</v>
          </cell>
        </row>
        <row r="3169">
          <cell r="A3169" t="str">
            <v>In service</v>
          </cell>
          <cell r="B3169" t="str">
            <v>Gulfstream Aerospace Gulfstream IV</v>
          </cell>
          <cell r="C3169" t="str">
            <v>SP</v>
          </cell>
          <cell r="D3169">
            <v>1994</v>
          </cell>
          <cell r="E3169" t="str">
            <v>Japan Civil Aviation Bureau</v>
          </cell>
          <cell r="F3169">
            <v>6</v>
          </cell>
          <cell r="G3169">
            <v>35016</v>
          </cell>
          <cell r="H3169" t="str">
            <v>SP</v>
          </cell>
          <cell r="I3169" t="str">
            <v>Asia</v>
          </cell>
          <cell r="J3169" t="str">
            <v>Japan</v>
          </cell>
          <cell r="K3169">
            <v>34150</v>
          </cell>
        </row>
        <row r="3170">
          <cell r="A3170" t="str">
            <v>In service</v>
          </cell>
          <cell r="B3170" t="str">
            <v>Gulfstream Aerospace Gulfstream IV</v>
          </cell>
          <cell r="C3170" t="str">
            <v>SP</v>
          </cell>
          <cell r="D3170">
            <v>1994</v>
          </cell>
          <cell r="E3170" t="str">
            <v>Unocal</v>
          </cell>
          <cell r="F3170">
            <v>6</v>
          </cell>
          <cell r="G3170">
            <v>34829</v>
          </cell>
          <cell r="H3170" t="str">
            <v>SP</v>
          </cell>
          <cell r="I3170" t="str">
            <v>North America</v>
          </cell>
          <cell r="J3170" t="str">
            <v>USA</v>
          </cell>
          <cell r="K3170">
            <v>34515</v>
          </cell>
        </row>
        <row r="3171">
          <cell r="A3171" t="str">
            <v>In service</v>
          </cell>
          <cell r="B3171" t="str">
            <v>Gulfstream Aerospace Gulfstream IV</v>
          </cell>
          <cell r="C3171" t="str">
            <v>SP</v>
          </cell>
          <cell r="D3171">
            <v>1994</v>
          </cell>
          <cell r="E3171" t="str">
            <v>US Department of Commerce - NOAA</v>
          </cell>
          <cell r="F3171">
            <v>6</v>
          </cell>
          <cell r="G3171">
            <v>34682</v>
          </cell>
          <cell r="H3171" t="str">
            <v>SP</v>
          </cell>
          <cell r="I3171" t="str">
            <v>North America</v>
          </cell>
          <cell r="J3171" t="str">
            <v>USA</v>
          </cell>
          <cell r="K3171">
            <v>33785</v>
          </cell>
        </row>
        <row r="3172">
          <cell r="A3172" t="str">
            <v>In service</v>
          </cell>
          <cell r="B3172" t="str">
            <v>Gulfstream Aerospace Gulfstream IV</v>
          </cell>
          <cell r="C3172" t="str">
            <v>SP</v>
          </cell>
          <cell r="D3172">
            <v>1994</v>
          </cell>
          <cell r="E3172" t="str">
            <v>Petersen Aviation</v>
          </cell>
          <cell r="F3172">
            <v>6</v>
          </cell>
          <cell r="G3172">
            <v>34871</v>
          </cell>
          <cell r="H3172" t="str">
            <v>SP</v>
          </cell>
          <cell r="I3172" t="str">
            <v>North America</v>
          </cell>
          <cell r="J3172" t="str">
            <v>USA</v>
          </cell>
          <cell r="K3172">
            <v>34150</v>
          </cell>
        </row>
        <row r="3173">
          <cell r="A3173" t="str">
            <v>In service</v>
          </cell>
          <cell r="B3173" t="str">
            <v>Gulfstream Aerospace Gulfstream IV</v>
          </cell>
          <cell r="C3173" t="str">
            <v>SP</v>
          </cell>
          <cell r="D3173">
            <v>1994</v>
          </cell>
          <cell r="E3173" t="str">
            <v>Melvin Simon &amp; Associates</v>
          </cell>
          <cell r="F3173">
            <v>6</v>
          </cell>
          <cell r="G3173">
            <v>34698</v>
          </cell>
          <cell r="H3173" t="str">
            <v>SP</v>
          </cell>
          <cell r="I3173" t="str">
            <v>North America</v>
          </cell>
          <cell r="J3173" t="str">
            <v>USA</v>
          </cell>
          <cell r="K3173">
            <v>33785</v>
          </cell>
        </row>
        <row r="3174">
          <cell r="A3174" t="str">
            <v>In service</v>
          </cell>
          <cell r="B3174" t="str">
            <v>Gulfstream Aerospace Gulfstream IV</v>
          </cell>
          <cell r="C3174" t="str">
            <v>SP</v>
          </cell>
          <cell r="D3174">
            <v>1994</v>
          </cell>
          <cell r="E3174" t="str">
            <v>Air Simon Inc</v>
          </cell>
          <cell r="F3174">
            <v>6</v>
          </cell>
          <cell r="G3174">
            <v>34908</v>
          </cell>
          <cell r="H3174" t="str">
            <v>SP</v>
          </cell>
          <cell r="I3174" t="str">
            <v>North America</v>
          </cell>
          <cell r="J3174" t="str">
            <v>USA</v>
          </cell>
          <cell r="K3174">
            <v>33785</v>
          </cell>
        </row>
        <row r="3175">
          <cell r="A3175" t="str">
            <v>In service</v>
          </cell>
          <cell r="B3175" t="str">
            <v>Gulfstream Aerospace Gulfstream IV</v>
          </cell>
          <cell r="C3175" t="str">
            <v>SP</v>
          </cell>
          <cell r="D3175">
            <v>1994</v>
          </cell>
          <cell r="E3175" t="str">
            <v>The Laredo National Bank</v>
          </cell>
          <cell r="F3175">
            <v>6</v>
          </cell>
          <cell r="G3175">
            <v>34963</v>
          </cell>
          <cell r="H3175" t="str">
            <v>SP</v>
          </cell>
          <cell r="I3175" t="str">
            <v>North America</v>
          </cell>
          <cell r="J3175" t="str">
            <v>USA</v>
          </cell>
          <cell r="K3175">
            <v>34150</v>
          </cell>
        </row>
        <row r="3176">
          <cell r="A3176" t="str">
            <v>In service</v>
          </cell>
          <cell r="B3176" t="str">
            <v>Gulfstream Aerospace Gulfstream IV</v>
          </cell>
          <cell r="C3176" t="str">
            <v>SP</v>
          </cell>
          <cell r="D3176">
            <v>1994</v>
          </cell>
          <cell r="E3176" t="str">
            <v>Jet Flight Corp</v>
          </cell>
          <cell r="F3176">
            <v>6</v>
          </cell>
          <cell r="G3176">
            <v>35004</v>
          </cell>
          <cell r="H3176" t="str">
            <v>SP</v>
          </cell>
          <cell r="I3176" t="str">
            <v>North America</v>
          </cell>
          <cell r="J3176" t="str">
            <v>USA</v>
          </cell>
          <cell r="K3176">
            <v>34150</v>
          </cell>
        </row>
        <row r="3177">
          <cell r="A3177" t="str">
            <v>In service</v>
          </cell>
          <cell r="B3177" t="str">
            <v>Gulfstream Aerospace Gulfstream IV</v>
          </cell>
          <cell r="C3177" t="str">
            <v>SP</v>
          </cell>
          <cell r="D3177">
            <v>1994</v>
          </cell>
          <cell r="E3177" t="str">
            <v>Cargill Inc</v>
          </cell>
          <cell r="F3177">
            <v>6</v>
          </cell>
          <cell r="G3177">
            <v>34972</v>
          </cell>
          <cell r="H3177" t="str">
            <v>SP</v>
          </cell>
          <cell r="I3177" t="str">
            <v>North America</v>
          </cell>
          <cell r="J3177" t="str">
            <v>USA</v>
          </cell>
          <cell r="K3177">
            <v>34150</v>
          </cell>
        </row>
        <row r="3178">
          <cell r="A3178" t="str">
            <v>In service</v>
          </cell>
          <cell r="B3178" t="str">
            <v>Gulfstream Aerospace Gulfstream IV</v>
          </cell>
          <cell r="C3178" t="str">
            <v>SP</v>
          </cell>
          <cell r="D3178">
            <v>1994</v>
          </cell>
          <cell r="E3178" t="str">
            <v>The Coca-Cola Co</v>
          </cell>
          <cell r="F3178">
            <v>6</v>
          </cell>
          <cell r="G3178">
            <v>34901</v>
          </cell>
          <cell r="H3178" t="str">
            <v>SP</v>
          </cell>
          <cell r="I3178" t="str">
            <v>North America</v>
          </cell>
          <cell r="J3178" t="str">
            <v>USA</v>
          </cell>
          <cell r="K3178">
            <v>34150</v>
          </cell>
        </row>
        <row r="3179">
          <cell r="A3179" t="str">
            <v>In service</v>
          </cell>
          <cell r="B3179" t="str">
            <v>Gulfstream Aerospace Gulfstream IV</v>
          </cell>
          <cell r="C3179" t="str">
            <v>SP</v>
          </cell>
          <cell r="D3179">
            <v>1995</v>
          </cell>
          <cell r="E3179" t="str">
            <v>DaimlerChrysler Corp</v>
          </cell>
          <cell r="F3179">
            <v>5</v>
          </cell>
          <cell r="G3179">
            <v>34926</v>
          </cell>
          <cell r="H3179" t="str">
            <v>SP</v>
          </cell>
          <cell r="I3179" t="str">
            <v>North America</v>
          </cell>
          <cell r="J3179" t="str">
            <v>USA</v>
          </cell>
          <cell r="K3179">
            <v>34150</v>
          </cell>
        </row>
        <row r="3180">
          <cell r="A3180" t="str">
            <v>In service</v>
          </cell>
          <cell r="B3180" t="str">
            <v>Gulfstream Aerospace Gulfstream IV</v>
          </cell>
          <cell r="C3180" t="str">
            <v>SP</v>
          </cell>
          <cell r="D3180">
            <v>1994</v>
          </cell>
          <cell r="E3180" t="str">
            <v>Altria Corporate Services Inc</v>
          </cell>
          <cell r="F3180">
            <v>6</v>
          </cell>
          <cell r="G3180">
            <v>34729</v>
          </cell>
          <cell r="H3180" t="str">
            <v>SP</v>
          </cell>
          <cell r="I3180" t="str">
            <v>North America</v>
          </cell>
          <cell r="J3180" t="str">
            <v>USA</v>
          </cell>
          <cell r="K3180">
            <v>34150</v>
          </cell>
        </row>
        <row r="3181">
          <cell r="A3181" t="str">
            <v>In service</v>
          </cell>
          <cell r="B3181" t="str">
            <v>Gulfstream Aerospace Gulfstream IV</v>
          </cell>
          <cell r="C3181" t="str">
            <v>SP</v>
          </cell>
          <cell r="D3181">
            <v>1994</v>
          </cell>
          <cell r="E3181" t="str">
            <v>Pfizer Inc</v>
          </cell>
          <cell r="F3181">
            <v>6</v>
          </cell>
          <cell r="G3181">
            <v>34941</v>
          </cell>
          <cell r="H3181" t="str">
            <v>SP</v>
          </cell>
          <cell r="I3181" t="str">
            <v>North America</v>
          </cell>
          <cell r="J3181" t="str">
            <v>USA</v>
          </cell>
          <cell r="K3181">
            <v>34150</v>
          </cell>
        </row>
        <row r="3182">
          <cell r="A3182" t="str">
            <v>In service</v>
          </cell>
          <cell r="B3182" t="str">
            <v>Gulfstream Aerospace Gulfstream IV</v>
          </cell>
          <cell r="C3182" t="str">
            <v>SP</v>
          </cell>
          <cell r="D3182">
            <v>1995</v>
          </cell>
          <cell r="E3182" t="str">
            <v>E I DuPont de Nemours &amp; Co</v>
          </cell>
          <cell r="F3182">
            <v>5</v>
          </cell>
          <cell r="G3182">
            <v>34950</v>
          </cell>
          <cell r="H3182" t="str">
            <v>SP</v>
          </cell>
          <cell r="I3182" t="str">
            <v>North America</v>
          </cell>
          <cell r="J3182" t="str">
            <v>USA</v>
          </cell>
          <cell r="K3182">
            <v>34150</v>
          </cell>
        </row>
        <row r="3183">
          <cell r="A3183" t="str">
            <v>In service</v>
          </cell>
          <cell r="B3183" t="str">
            <v>Gulfstream Aerospace Gulfstream IV</v>
          </cell>
          <cell r="C3183" t="str">
            <v>SP</v>
          </cell>
          <cell r="D3183">
            <v>1995</v>
          </cell>
          <cell r="E3183" t="str">
            <v>The Proctor &amp; Gamble Co</v>
          </cell>
          <cell r="F3183">
            <v>5</v>
          </cell>
          <cell r="G3183">
            <v>34975</v>
          </cell>
          <cell r="H3183" t="str">
            <v>SP</v>
          </cell>
          <cell r="I3183" t="str">
            <v>North America</v>
          </cell>
          <cell r="J3183" t="str">
            <v>USA</v>
          </cell>
          <cell r="K3183">
            <v>34150</v>
          </cell>
        </row>
        <row r="3184">
          <cell r="A3184" t="str">
            <v>In service</v>
          </cell>
          <cell r="B3184" t="str">
            <v>Gulfstream Aerospace Gulfstream IV</v>
          </cell>
          <cell r="C3184" t="str">
            <v>SP</v>
          </cell>
          <cell r="D3184">
            <v>1995</v>
          </cell>
          <cell r="E3184" t="str">
            <v>Citiflight Inc</v>
          </cell>
          <cell r="F3184">
            <v>5</v>
          </cell>
          <cell r="G3184">
            <v>34758</v>
          </cell>
          <cell r="H3184" t="str">
            <v>SP</v>
          </cell>
          <cell r="I3184" t="str">
            <v>North America</v>
          </cell>
          <cell r="J3184" t="str">
            <v>USA</v>
          </cell>
          <cell r="K3184">
            <v>34150</v>
          </cell>
        </row>
        <row r="3185">
          <cell r="A3185" t="str">
            <v>In service</v>
          </cell>
          <cell r="B3185" t="str">
            <v>Gulfstream Aerospace Gulfstream IV</v>
          </cell>
          <cell r="C3185" t="str">
            <v>SP</v>
          </cell>
          <cell r="D3185">
            <v>1995</v>
          </cell>
          <cell r="E3185" t="str">
            <v>Netjets International</v>
          </cell>
          <cell r="F3185">
            <v>5</v>
          </cell>
          <cell r="G3185">
            <v>35039</v>
          </cell>
          <cell r="H3185" t="str">
            <v>SP</v>
          </cell>
          <cell r="I3185" t="str">
            <v>North America</v>
          </cell>
          <cell r="J3185" t="str">
            <v>USA</v>
          </cell>
          <cell r="K3185">
            <v>34716</v>
          </cell>
        </row>
        <row r="3186">
          <cell r="A3186" t="str">
            <v>In service</v>
          </cell>
          <cell r="B3186" t="str">
            <v>Gulfstream Aerospace Gulfstream IV</v>
          </cell>
          <cell r="C3186" t="str">
            <v>SP</v>
          </cell>
          <cell r="D3186">
            <v>1995</v>
          </cell>
          <cell r="E3186" t="str">
            <v>Shamrock Aviation Inc</v>
          </cell>
          <cell r="F3186">
            <v>5</v>
          </cell>
          <cell r="G3186">
            <v>34927</v>
          </cell>
          <cell r="H3186" t="str">
            <v>SP</v>
          </cell>
          <cell r="I3186" t="str">
            <v>North America</v>
          </cell>
          <cell r="J3186" t="str">
            <v>USA</v>
          </cell>
          <cell r="K3186">
            <v>34150</v>
          </cell>
        </row>
        <row r="3187">
          <cell r="A3187" t="str">
            <v>In service</v>
          </cell>
          <cell r="B3187" t="str">
            <v>Gulfstream Aerospace Gulfstream IV</v>
          </cell>
          <cell r="C3187" t="str">
            <v>SP</v>
          </cell>
          <cell r="D3187">
            <v>1995</v>
          </cell>
          <cell r="E3187" t="str">
            <v>Netjets International</v>
          </cell>
          <cell r="F3187">
            <v>5</v>
          </cell>
          <cell r="G3187">
            <v>35061</v>
          </cell>
          <cell r="H3187" t="str">
            <v>SP</v>
          </cell>
          <cell r="I3187" t="str">
            <v>North America</v>
          </cell>
          <cell r="J3187" t="str">
            <v>USA</v>
          </cell>
          <cell r="K3187">
            <v>34716</v>
          </cell>
        </row>
        <row r="3188">
          <cell r="A3188" t="str">
            <v>In service</v>
          </cell>
          <cell r="B3188" t="str">
            <v>Gulfstream Aerospace Gulfstream IV</v>
          </cell>
          <cell r="C3188" t="str">
            <v>SP</v>
          </cell>
          <cell r="D3188">
            <v>1995</v>
          </cell>
          <cell r="E3188" t="str">
            <v>Harpo Inc</v>
          </cell>
          <cell r="F3188">
            <v>5</v>
          </cell>
          <cell r="G3188">
            <v>35046</v>
          </cell>
          <cell r="H3188" t="str">
            <v>SP</v>
          </cell>
          <cell r="I3188" t="str">
            <v>North America</v>
          </cell>
          <cell r="J3188" t="str">
            <v>USA</v>
          </cell>
          <cell r="K3188">
            <v>34150</v>
          </cell>
        </row>
        <row r="3189">
          <cell r="A3189" t="str">
            <v>In service</v>
          </cell>
          <cell r="B3189" t="str">
            <v>Gulfstream Aerospace Gulfstream IV</v>
          </cell>
          <cell r="C3189" t="str">
            <v>SP</v>
          </cell>
          <cell r="D3189">
            <v>1995</v>
          </cell>
          <cell r="E3189" t="str">
            <v>Leucadia Aviation Inc</v>
          </cell>
          <cell r="F3189">
            <v>5</v>
          </cell>
          <cell r="G3189">
            <v>35046</v>
          </cell>
          <cell r="H3189" t="str">
            <v>SP</v>
          </cell>
          <cell r="I3189" t="str">
            <v>North America</v>
          </cell>
          <cell r="J3189" t="str">
            <v>USA</v>
          </cell>
          <cell r="K3189">
            <v>34895</v>
          </cell>
        </row>
        <row r="3190">
          <cell r="A3190" t="str">
            <v>In service</v>
          </cell>
          <cell r="B3190" t="str">
            <v>Gulfstream Aerospace Gulfstream IV</v>
          </cell>
          <cell r="C3190" t="str">
            <v>SP</v>
          </cell>
          <cell r="D3190">
            <v>1995</v>
          </cell>
          <cell r="E3190" t="str">
            <v>Peregrine Aviation LLC</v>
          </cell>
          <cell r="F3190">
            <v>5</v>
          </cell>
          <cell r="G3190">
            <v>35053</v>
          </cell>
          <cell r="H3190" t="str">
            <v>SP</v>
          </cell>
          <cell r="I3190" t="str">
            <v>North America</v>
          </cell>
          <cell r="J3190" t="str">
            <v>USA</v>
          </cell>
          <cell r="K3190">
            <v>34895</v>
          </cell>
        </row>
        <row r="3191">
          <cell r="A3191" t="str">
            <v>In service</v>
          </cell>
          <cell r="B3191" t="str">
            <v>Gulfstream Aerospace Gulfstream IV</v>
          </cell>
          <cell r="C3191" t="str">
            <v>SP</v>
          </cell>
          <cell r="D3191">
            <v>1995</v>
          </cell>
          <cell r="E3191" t="str">
            <v>Warnaco Corp</v>
          </cell>
          <cell r="F3191">
            <v>5</v>
          </cell>
          <cell r="G3191">
            <v>34871</v>
          </cell>
          <cell r="H3191" t="str">
            <v>SP</v>
          </cell>
          <cell r="I3191" t="str">
            <v>North America</v>
          </cell>
          <cell r="J3191" t="str">
            <v>USA</v>
          </cell>
          <cell r="K3191">
            <v>34515</v>
          </cell>
        </row>
        <row r="3192">
          <cell r="A3192" t="str">
            <v>In service</v>
          </cell>
          <cell r="B3192" t="str">
            <v>Gulfstream Aerospace Gulfstream IV</v>
          </cell>
          <cell r="C3192" t="str">
            <v>SP</v>
          </cell>
          <cell r="D3192">
            <v>1995</v>
          </cell>
          <cell r="E3192" t="str">
            <v>Vivendi Universal</v>
          </cell>
          <cell r="F3192">
            <v>5</v>
          </cell>
          <cell r="G3192">
            <v>35053</v>
          </cell>
          <cell r="H3192" t="str">
            <v>SP</v>
          </cell>
          <cell r="I3192" t="str">
            <v>North America</v>
          </cell>
          <cell r="J3192" t="str">
            <v>USA</v>
          </cell>
          <cell r="K3192">
            <v>34515</v>
          </cell>
        </row>
        <row r="3193">
          <cell r="A3193" t="str">
            <v>In service</v>
          </cell>
          <cell r="B3193" t="str">
            <v>Gulfstream Aerospace Gulfstream IV</v>
          </cell>
          <cell r="C3193" t="str">
            <v>SP</v>
          </cell>
          <cell r="D3193">
            <v>1995</v>
          </cell>
          <cell r="E3193" t="str">
            <v>Huntsman Petrochemical Corp</v>
          </cell>
          <cell r="F3193">
            <v>5</v>
          </cell>
          <cell r="G3193">
            <v>34942</v>
          </cell>
          <cell r="H3193" t="str">
            <v>SP</v>
          </cell>
          <cell r="I3193" t="str">
            <v>North America</v>
          </cell>
          <cell r="J3193" t="str">
            <v>USA</v>
          </cell>
          <cell r="K3193">
            <v>34515</v>
          </cell>
        </row>
        <row r="3194">
          <cell r="A3194" t="str">
            <v>In service</v>
          </cell>
          <cell r="B3194" t="str">
            <v>Gulfstream Aerospace Gulfstream IV</v>
          </cell>
          <cell r="C3194" t="str">
            <v>SP</v>
          </cell>
          <cell r="D3194">
            <v>1995</v>
          </cell>
          <cell r="E3194" t="str">
            <v>Berwind Corp</v>
          </cell>
          <cell r="F3194">
            <v>5</v>
          </cell>
          <cell r="G3194">
            <v>34935</v>
          </cell>
          <cell r="H3194" t="str">
            <v>SP</v>
          </cell>
          <cell r="I3194" t="str">
            <v>North America</v>
          </cell>
          <cell r="J3194" t="str">
            <v>USA</v>
          </cell>
          <cell r="K3194">
            <v>34515</v>
          </cell>
        </row>
        <row r="3195">
          <cell r="A3195" t="str">
            <v>In service</v>
          </cell>
          <cell r="B3195" t="str">
            <v>Gulfstream Aerospace Gulfstream IV</v>
          </cell>
          <cell r="C3195" t="str">
            <v>SP</v>
          </cell>
          <cell r="D3195">
            <v>1995</v>
          </cell>
          <cell r="E3195" t="str">
            <v>Swedish Air Force</v>
          </cell>
          <cell r="F3195">
            <v>5</v>
          </cell>
          <cell r="G3195">
            <v>35150</v>
          </cell>
          <cell r="H3195" t="str">
            <v>TP-102</v>
          </cell>
          <cell r="I3195" t="str">
            <v>Europe</v>
          </cell>
          <cell r="J3195" t="str">
            <v>Sweden</v>
          </cell>
          <cell r="K3195">
            <v>34515</v>
          </cell>
        </row>
        <row r="3196">
          <cell r="A3196" t="str">
            <v>In service</v>
          </cell>
          <cell r="B3196" t="str">
            <v>Gulfstream Aerospace Gulfstream IV</v>
          </cell>
          <cell r="C3196" t="str">
            <v>SP</v>
          </cell>
          <cell r="D3196">
            <v>1995</v>
          </cell>
          <cell r="E3196" t="str">
            <v>Netjets International</v>
          </cell>
          <cell r="F3196">
            <v>5</v>
          </cell>
          <cell r="G3196">
            <v>35149</v>
          </cell>
          <cell r="H3196" t="str">
            <v>SP</v>
          </cell>
          <cell r="I3196" t="str">
            <v>North America</v>
          </cell>
          <cell r="J3196" t="str">
            <v>USA</v>
          </cell>
          <cell r="K3196">
            <v>34716</v>
          </cell>
        </row>
        <row r="3197">
          <cell r="A3197" t="str">
            <v>In service</v>
          </cell>
          <cell r="B3197" t="str">
            <v>Gulfstream Aerospace Gulfstream IV</v>
          </cell>
          <cell r="C3197" t="str">
            <v>SP</v>
          </cell>
          <cell r="D3197">
            <v>1995</v>
          </cell>
          <cell r="E3197" t="str">
            <v>McDonalds Corp</v>
          </cell>
          <cell r="F3197">
            <v>5</v>
          </cell>
          <cell r="G3197">
            <v>35153</v>
          </cell>
          <cell r="H3197" t="str">
            <v>SP</v>
          </cell>
          <cell r="I3197" t="str">
            <v>North America</v>
          </cell>
          <cell r="J3197" t="str">
            <v>USA</v>
          </cell>
          <cell r="K3197">
            <v>34515</v>
          </cell>
        </row>
        <row r="3198">
          <cell r="A3198" t="str">
            <v>In service</v>
          </cell>
          <cell r="B3198" t="str">
            <v>Gulfstream Aerospace Gulfstream IV</v>
          </cell>
          <cell r="C3198" t="str">
            <v>SP</v>
          </cell>
          <cell r="D3198">
            <v>1996</v>
          </cell>
          <cell r="E3198" t="str">
            <v>American Home Products Inc</v>
          </cell>
          <cell r="F3198">
            <v>4</v>
          </cell>
          <cell r="G3198">
            <v>35200</v>
          </cell>
          <cell r="H3198" t="str">
            <v>SP</v>
          </cell>
          <cell r="I3198" t="str">
            <v>North America</v>
          </cell>
          <cell r="J3198" t="str">
            <v>USA</v>
          </cell>
          <cell r="K3198">
            <v>34880</v>
          </cell>
        </row>
        <row r="3199">
          <cell r="A3199" t="str">
            <v>In service</v>
          </cell>
          <cell r="B3199" t="str">
            <v>Gulfstream Aerospace Gulfstream IV</v>
          </cell>
          <cell r="C3199" t="str">
            <v>SP</v>
          </cell>
          <cell r="D3199">
            <v>1996</v>
          </cell>
          <cell r="E3199" t="str">
            <v>Lucent Technologies Inc</v>
          </cell>
          <cell r="F3199">
            <v>4</v>
          </cell>
          <cell r="G3199">
            <v>35200</v>
          </cell>
          <cell r="H3199" t="str">
            <v>SP</v>
          </cell>
          <cell r="I3199" t="str">
            <v>North America</v>
          </cell>
          <cell r="J3199" t="str">
            <v>USA</v>
          </cell>
          <cell r="K3199">
            <v>34515</v>
          </cell>
        </row>
        <row r="3200">
          <cell r="A3200" t="str">
            <v>In service</v>
          </cell>
          <cell r="B3200" t="str">
            <v>Gulfstream Aerospace Gulfstream IV</v>
          </cell>
          <cell r="C3200" t="str">
            <v>SP</v>
          </cell>
          <cell r="D3200">
            <v>1995</v>
          </cell>
          <cell r="E3200" t="str">
            <v>J C Penney Company Inc</v>
          </cell>
          <cell r="F3200">
            <v>5</v>
          </cell>
          <cell r="G3200">
            <v>35240</v>
          </cell>
          <cell r="H3200" t="str">
            <v>SP</v>
          </cell>
          <cell r="I3200" t="str">
            <v>North America</v>
          </cell>
          <cell r="J3200" t="str">
            <v>USA</v>
          </cell>
          <cell r="K3200">
            <v>34515</v>
          </cell>
        </row>
        <row r="3201">
          <cell r="A3201" t="str">
            <v>In service</v>
          </cell>
          <cell r="B3201" t="str">
            <v>Gulfstream Aerospace Gulfstream IV</v>
          </cell>
          <cell r="C3201" t="str">
            <v>SP</v>
          </cell>
          <cell r="D3201">
            <v>1995</v>
          </cell>
          <cell r="E3201" t="str">
            <v>Open Road Airways Inc</v>
          </cell>
          <cell r="F3201">
            <v>5</v>
          </cell>
          <cell r="G3201">
            <v>35051</v>
          </cell>
          <cell r="H3201" t="str">
            <v>SP</v>
          </cell>
          <cell r="I3201" t="str">
            <v>North America</v>
          </cell>
          <cell r="J3201" t="str">
            <v>USA</v>
          </cell>
          <cell r="K3201">
            <v>34503</v>
          </cell>
        </row>
        <row r="3202">
          <cell r="A3202" t="str">
            <v>In service</v>
          </cell>
          <cell r="B3202" t="str">
            <v>Gulfstream Aerospace Gulfstream IV</v>
          </cell>
          <cell r="C3202" t="str">
            <v>SP</v>
          </cell>
          <cell r="D3202">
            <v>1996</v>
          </cell>
          <cell r="E3202" t="str">
            <v>Netjets International</v>
          </cell>
          <cell r="F3202">
            <v>4</v>
          </cell>
          <cell r="G3202">
            <v>35237</v>
          </cell>
          <cell r="H3202" t="str">
            <v>SP</v>
          </cell>
          <cell r="I3202" t="str">
            <v>North America</v>
          </cell>
          <cell r="J3202" t="str">
            <v>USA</v>
          </cell>
          <cell r="K3202">
            <v>34716</v>
          </cell>
        </row>
        <row r="3203">
          <cell r="A3203" t="str">
            <v>In service</v>
          </cell>
          <cell r="B3203" t="str">
            <v>Gulfstream Aerospace Gulfstream IV</v>
          </cell>
          <cell r="C3203" t="str">
            <v>SP</v>
          </cell>
          <cell r="D3203">
            <v>1996</v>
          </cell>
          <cell r="E3203" t="str">
            <v>Med Services Overseas Ltd</v>
          </cell>
          <cell r="F3203">
            <v>4</v>
          </cell>
          <cell r="G3203">
            <v>35231</v>
          </cell>
          <cell r="H3203" t="str">
            <v>SP</v>
          </cell>
          <cell r="I3203" t="str">
            <v>Europe</v>
          </cell>
          <cell r="J3203" t="str">
            <v>United Kingdom</v>
          </cell>
          <cell r="K3203">
            <v>34515</v>
          </cell>
        </row>
        <row r="3204">
          <cell r="A3204" t="str">
            <v>In service</v>
          </cell>
          <cell r="B3204" t="str">
            <v>Gulfstream Aerospace Gulfstream IV</v>
          </cell>
          <cell r="C3204" t="str">
            <v>SP</v>
          </cell>
          <cell r="D3204">
            <v>1996</v>
          </cell>
          <cell r="E3204" t="str">
            <v>Colleen Corp</v>
          </cell>
          <cell r="F3204">
            <v>4</v>
          </cell>
          <cell r="G3204">
            <v>35195</v>
          </cell>
          <cell r="H3204" t="str">
            <v>SP</v>
          </cell>
          <cell r="I3204" t="str">
            <v>North America</v>
          </cell>
          <cell r="J3204" t="str">
            <v>USA</v>
          </cell>
          <cell r="K3204">
            <v>34515</v>
          </cell>
        </row>
        <row r="3205">
          <cell r="A3205" t="str">
            <v>In service</v>
          </cell>
          <cell r="B3205" t="str">
            <v>Gulfstream Aerospace Gulfstream IV</v>
          </cell>
          <cell r="C3205" t="str">
            <v>SP</v>
          </cell>
          <cell r="D3205">
            <v>1996</v>
          </cell>
          <cell r="E3205" t="str">
            <v>ChevronTexaco Corp</v>
          </cell>
          <cell r="F3205">
            <v>4</v>
          </cell>
          <cell r="G3205">
            <v>35123</v>
          </cell>
          <cell r="H3205" t="str">
            <v>SP</v>
          </cell>
          <cell r="I3205" t="str">
            <v>North America</v>
          </cell>
          <cell r="J3205" t="str">
            <v>USA</v>
          </cell>
          <cell r="K3205">
            <v>34515</v>
          </cell>
        </row>
        <row r="3206">
          <cell r="A3206" t="str">
            <v>In service</v>
          </cell>
          <cell r="B3206" t="str">
            <v>Gulfstream Aerospace Gulfstream IV</v>
          </cell>
          <cell r="C3206" t="str">
            <v>SP</v>
          </cell>
          <cell r="D3206">
            <v>1996</v>
          </cell>
          <cell r="E3206" t="str">
            <v>Anadarko Petroleum Corp</v>
          </cell>
          <cell r="F3206">
            <v>4</v>
          </cell>
          <cell r="G3206">
            <v>35129</v>
          </cell>
          <cell r="H3206" t="str">
            <v>SP</v>
          </cell>
          <cell r="I3206" t="str">
            <v>North America</v>
          </cell>
          <cell r="J3206" t="str">
            <v>USA</v>
          </cell>
          <cell r="K3206">
            <v>34515</v>
          </cell>
        </row>
        <row r="3207">
          <cell r="A3207" t="str">
            <v>In service</v>
          </cell>
          <cell r="B3207" t="str">
            <v>Gulfstream Aerospace Gulfstream IV</v>
          </cell>
          <cell r="C3207" t="str">
            <v>SP</v>
          </cell>
          <cell r="D3207">
            <v>1996</v>
          </cell>
          <cell r="E3207" t="str">
            <v>GFSC Aircraft Acquisition Financing Corp</v>
          </cell>
          <cell r="F3207">
            <v>4</v>
          </cell>
          <cell r="G3207">
            <v>35430</v>
          </cell>
          <cell r="H3207" t="str">
            <v>SP</v>
          </cell>
          <cell r="I3207" t="str">
            <v>North America</v>
          </cell>
          <cell r="J3207" t="str">
            <v>USA</v>
          </cell>
        </row>
        <row r="3208">
          <cell r="A3208" t="str">
            <v>In service</v>
          </cell>
          <cell r="B3208" t="str">
            <v>Gulfstream Aerospace Gulfstream IV</v>
          </cell>
          <cell r="C3208" t="str">
            <v>SP</v>
          </cell>
          <cell r="D3208">
            <v>1996</v>
          </cell>
          <cell r="E3208" t="str">
            <v>Netjets International</v>
          </cell>
          <cell r="F3208">
            <v>4</v>
          </cell>
          <cell r="G3208">
            <v>35277</v>
          </cell>
          <cell r="H3208" t="str">
            <v>SP</v>
          </cell>
          <cell r="I3208" t="str">
            <v>North America</v>
          </cell>
          <cell r="J3208" t="str">
            <v>USA</v>
          </cell>
          <cell r="K3208">
            <v>34716</v>
          </cell>
        </row>
        <row r="3209">
          <cell r="A3209" t="str">
            <v>In service</v>
          </cell>
          <cell r="B3209" t="str">
            <v>Gulfstream Aerospace Gulfstream IV</v>
          </cell>
          <cell r="C3209" t="str">
            <v>SP</v>
          </cell>
          <cell r="D3209">
            <v>1996</v>
          </cell>
          <cell r="E3209" t="str">
            <v>Government of Algeria</v>
          </cell>
          <cell r="F3209">
            <v>4</v>
          </cell>
          <cell r="G3209">
            <v>35353</v>
          </cell>
          <cell r="H3209" t="str">
            <v>SP</v>
          </cell>
          <cell r="I3209" t="str">
            <v>Africa</v>
          </cell>
          <cell r="J3209" t="str">
            <v>Algeria</v>
          </cell>
          <cell r="K3209">
            <v>35246</v>
          </cell>
        </row>
        <row r="3210">
          <cell r="A3210" t="str">
            <v>In service</v>
          </cell>
          <cell r="B3210" t="str">
            <v>Gulfstream Aerospace Gulfstream IV</v>
          </cell>
          <cell r="C3210" t="str">
            <v>SP</v>
          </cell>
          <cell r="D3210">
            <v>1996</v>
          </cell>
          <cell r="E3210" t="str">
            <v>MCI Transcom Corp</v>
          </cell>
          <cell r="F3210">
            <v>4</v>
          </cell>
          <cell r="G3210">
            <v>35328</v>
          </cell>
          <cell r="H3210" t="str">
            <v>SP</v>
          </cell>
          <cell r="I3210" t="str">
            <v>North America</v>
          </cell>
          <cell r="J3210" t="str">
            <v>USA</v>
          </cell>
          <cell r="K3210">
            <v>34515</v>
          </cell>
        </row>
        <row r="3211">
          <cell r="A3211" t="str">
            <v>In service</v>
          </cell>
          <cell r="B3211" t="str">
            <v>Gulfstream Aerospace Gulfstream IV</v>
          </cell>
          <cell r="C3211" t="str">
            <v>SP</v>
          </cell>
          <cell r="D3211">
            <v>1996</v>
          </cell>
          <cell r="E3211" t="str">
            <v>Bank of America Corp</v>
          </cell>
          <cell r="F3211">
            <v>4</v>
          </cell>
          <cell r="G3211">
            <v>35366</v>
          </cell>
          <cell r="H3211" t="str">
            <v>SP</v>
          </cell>
          <cell r="I3211" t="str">
            <v>North America</v>
          </cell>
          <cell r="J3211" t="str">
            <v>USA</v>
          </cell>
          <cell r="K3211">
            <v>34515</v>
          </cell>
        </row>
        <row r="3212">
          <cell r="A3212" t="str">
            <v>In service</v>
          </cell>
          <cell r="B3212" t="str">
            <v>Gulfstream Aerospace Gulfstream IV</v>
          </cell>
          <cell r="C3212" t="str">
            <v>SP</v>
          </cell>
          <cell r="D3212">
            <v>1996</v>
          </cell>
          <cell r="E3212" t="str">
            <v>Government of Algeria</v>
          </cell>
          <cell r="F3212">
            <v>4</v>
          </cell>
          <cell r="G3212">
            <v>35384</v>
          </cell>
          <cell r="H3212" t="str">
            <v>SP</v>
          </cell>
          <cell r="I3212" t="str">
            <v>Africa</v>
          </cell>
          <cell r="J3212" t="str">
            <v>Algeria</v>
          </cell>
          <cell r="K3212">
            <v>35246</v>
          </cell>
        </row>
        <row r="3213">
          <cell r="A3213" t="str">
            <v>In service</v>
          </cell>
          <cell r="B3213" t="str">
            <v>Gulfstream Aerospace Gulfstream IV</v>
          </cell>
          <cell r="C3213" t="str">
            <v>SP</v>
          </cell>
          <cell r="D3213">
            <v>1996</v>
          </cell>
          <cell r="E3213" t="str">
            <v>GTE Service Corp</v>
          </cell>
          <cell r="F3213">
            <v>4</v>
          </cell>
          <cell r="G3213">
            <v>35381</v>
          </cell>
          <cell r="H3213" t="str">
            <v>SP</v>
          </cell>
          <cell r="I3213" t="str">
            <v>North America</v>
          </cell>
          <cell r="J3213" t="str">
            <v>USA</v>
          </cell>
          <cell r="K3213">
            <v>34515</v>
          </cell>
        </row>
        <row r="3214">
          <cell r="A3214" t="str">
            <v>In service</v>
          </cell>
          <cell r="B3214" t="str">
            <v>Gulfstream Aerospace Gulfstream IV</v>
          </cell>
          <cell r="C3214" t="str">
            <v>SP</v>
          </cell>
          <cell r="D3214">
            <v>1996</v>
          </cell>
          <cell r="E3214" t="str">
            <v>Netjets International</v>
          </cell>
          <cell r="F3214">
            <v>4</v>
          </cell>
          <cell r="G3214">
            <v>35383</v>
          </cell>
          <cell r="H3214" t="str">
            <v>SP</v>
          </cell>
          <cell r="I3214" t="str">
            <v>North America</v>
          </cell>
          <cell r="J3214" t="str">
            <v>USA</v>
          </cell>
          <cell r="K3214">
            <v>34716</v>
          </cell>
        </row>
        <row r="3215">
          <cell r="A3215" t="str">
            <v>In service</v>
          </cell>
          <cell r="B3215" t="str">
            <v>Gulfstream Aerospace Gulfstream IV</v>
          </cell>
          <cell r="C3215" t="str">
            <v>SP</v>
          </cell>
          <cell r="D3215">
            <v>1996</v>
          </cell>
          <cell r="E3215" t="str">
            <v>Mawarid Ltd</v>
          </cell>
          <cell r="F3215">
            <v>4</v>
          </cell>
          <cell r="G3215">
            <v>35384</v>
          </cell>
          <cell r="H3215" t="str">
            <v>SP</v>
          </cell>
          <cell r="I3215" t="str">
            <v>Middle East</v>
          </cell>
          <cell r="J3215" t="str">
            <v>Saudi Arabia</v>
          </cell>
          <cell r="K3215">
            <v>34880</v>
          </cell>
        </row>
        <row r="3216">
          <cell r="A3216" t="str">
            <v>In service</v>
          </cell>
          <cell r="B3216" t="str">
            <v>Gulfstream Aerospace Gulfstream IV</v>
          </cell>
          <cell r="C3216" t="str">
            <v>SP</v>
          </cell>
          <cell r="D3216">
            <v>1997</v>
          </cell>
          <cell r="E3216" t="str">
            <v>Netjets International</v>
          </cell>
          <cell r="F3216">
            <v>3</v>
          </cell>
          <cell r="G3216">
            <v>35446</v>
          </cell>
          <cell r="H3216" t="str">
            <v>SP</v>
          </cell>
          <cell r="I3216" t="str">
            <v>North America</v>
          </cell>
          <cell r="J3216" t="str">
            <v>USA</v>
          </cell>
          <cell r="K3216">
            <v>34716</v>
          </cell>
        </row>
        <row r="3217">
          <cell r="A3217" t="str">
            <v>In service</v>
          </cell>
          <cell r="B3217" t="str">
            <v>Gulfstream Aerospace Gulfstream IV</v>
          </cell>
          <cell r="C3217" t="str">
            <v>SP</v>
          </cell>
          <cell r="D3217">
            <v>1996</v>
          </cell>
          <cell r="E3217" t="str">
            <v>Shoreline Aviation Inc</v>
          </cell>
          <cell r="F3217">
            <v>4</v>
          </cell>
          <cell r="G3217">
            <v>35282</v>
          </cell>
          <cell r="H3217" t="str">
            <v>SP</v>
          </cell>
          <cell r="I3217" t="str">
            <v>North America</v>
          </cell>
          <cell r="J3217" t="str">
            <v>USA</v>
          </cell>
          <cell r="K3217">
            <v>34515</v>
          </cell>
        </row>
        <row r="3218">
          <cell r="A3218" t="str">
            <v>In service</v>
          </cell>
          <cell r="B3218" t="str">
            <v>Gulfstream Aerospace Gulfstream IV</v>
          </cell>
          <cell r="C3218" t="str">
            <v>SP</v>
          </cell>
          <cell r="D3218">
            <v>1996</v>
          </cell>
          <cell r="E3218" t="str">
            <v>Aguilla Del Sur SA</v>
          </cell>
          <cell r="F3218">
            <v>4</v>
          </cell>
          <cell r="G3218">
            <v>35476</v>
          </cell>
          <cell r="H3218" t="str">
            <v>SP</v>
          </cell>
          <cell r="I3218" t="str">
            <v>Latin America and Caribbean</v>
          </cell>
          <cell r="J3218" t="str">
            <v>Argentina</v>
          </cell>
          <cell r="K3218">
            <v>35246</v>
          </cell>
        </row>
        <row r="3219">
          <cell r="A3219" t="str">
            <v>In service</v>
          </cell>
          <cell r="B3219" t="str">
            <v>Gulfstream Aerospace Gulfstream IV</v>
          </cell>
          <cell r="C3219" t="str">
            <v>SP</v>
          </cell>
          <cell r="D3219">
            <v>1996</v>
          </cell>
          <cell r="E3219" t="str">
            <v>PepsiCo Inc</v>
          </cell>
          <cell r="F3219">
            <v>4</v>
          </cell>
          <cell r="G3219">
            <v>35480</v>
          </cell>
          <cell r="H3219" t="str">
            <v>SP</v>
          </cell>
          <cell r="I3219" t="str">
            <v>North America</v>
          </cell>
          <cell r="J3219" t="str">
            <v>USA</v>
          </cell>
          <cell r="K3219">
            <v>35246</v>
          </cell>
        </row>
        <row r="3220">
          <cell r="A3220" t="str">
            <v>In service</v>
          </cell>
          <cell r="B3220" t="str">
            <v>Gulfstream Aerospace Gulfstream IV</v>
          </cell>
          <cell r="C3220" t="str">
            <v>SP</v>
          </cell>
          <cell r="D3220">
            <v>1997</v>
          </cell>
          <cell r="E3220" t="str">
            <v>Netjets International</v>
          </cell>
          <cell r="F3220">
            <v>3</v>
          </cell>
          <cell r="G3220">
            <v>35515</v>
          </cell>
          <cell r="H3220" t="str">
            <v>SP</v>
          </cell>
          <cell r="I3220" t="str">
            <v>North America</v>
          </cell>
          <cell r="J3220" t="str">
            <v>USA</v>
          </cell>
          <cell r="K3220">
            <v>35311</v>
          </cell>
        </row>
        <row r="3221">
          <cell r="A3221" t="str">
            <v>In service</v>
          </cell>
          <cell r="B3221" t="str">
            <v>Gulfstream Aerospace Gulfstream IV</v>
          </cell>
          <cell r="C3221" t="str">
            <v>SP</v>
          </cell>
          <cell r="D3221">
            <v>1996</v>
          </cell>
          <cell r="E3221" t="str">
            <v>Odyssey Aviation Inc</v>
          </cell>
          <cell r="F3221">
            <v>4</v>
          </cell>
          <cell r="G3221">
            <v>35506</v>
          </cell>
          <cell r="H3221" t="str">
            <v>SP</v>
          </cell>
          <cell r="I3221" t="str">
            <v>North America</v>
          </cell>
          <cell r="J3221" t="str">
            <v>USA</v>
          </cell>
          <cell r="K3221">
            <v>35246</v>
          </cell>
        </row>
        <row r="3222">
          <cell r="A3222" t="str">
            <v>In service</v>
          </cell>
          <cell r="B3222" t="str">
            <v>Gulfstream Aerospace Gulfstream IV</v>
          </cell>
          <cell r="C3222" t="str">
            <v>SP</v>
          </cell>
          <cell r="D3222">
            <v>1997</v>
          </cell>
          <cell r="E3222" t="str">
            <v>American Express</v>
          </cell>
          <cell r="F3222">
            <v>3</v>
          </cell>
          <cell r="G3222">
            <v>35598</v>
          </cell>
          <cell r="H3222" t="str">
            <v>SP</v>
          </cell>
          <cell r="I3222" t="str">
            <v>North America</v>
          </cell>
          <cell r="J3222" t="str">
            <v>USA</v>
          </cell>
          <cell r="K3222">
            <v>35414</v>
          </cell>
        </row>
        <row r="3223">
          <cell r="A3223" t="str">
            <v>In service</v>
          </cell>
          <cell r="B3223" t="str">
            <v>Gulfstream Aerospace Gulfstream IV</v>
          </cell>
          <cell r="C3223" t="str">
            <v>SP</v>
          </cell>
          <cell r="D3223">
            <v>1997</v>
          </cell>
          <cell r="E3223" t="str">
            <v>National Express Co</v>
          </cell>
          <cell r="F3223">
            <v>3</v>
          </cell>
          <cell r="G3223">
            <v>35611</v>
          </cell>
          <cell r="H3223" t="str">
            <v>SP</v>
          </cell>
          <cell r="I3223" t="str">
            <v>North America</v>
          </cell>
          <cell r="J3223" t="str">
            <v>USA</v>
          </cell>
          <cell r="K3223">
            <v>35414</v>
          </cell>
        </row>
        <row r="3224">
          <cell r="A3224" t="str">
            <v>In service</v>
          </cell>
          <cell r="B3224" t="str">
            <v>Gulfstream Aerospace Gulfstream IV</v>
          </cell>
          <cell r="C3224" t="str">
            <v>SP</v>
          </cell>
          <cell r="D3224">
            <v>1997</v>
          </cell>
          <cell r="E3224" t="str">
            <v>Netjets International</v>
          </cell>
          <cell r="F3224">
            <v>3</v>
          </cell>
          <cell r="G3224">
            <v>35605</v>
          </cell>
          <cell r="H3224" t="str">
            <v>SP</v>
          </cell>
          <cell r="I3224" t="str">
            <v>North America</v>
          </cell>
          <cell r="J3224" t="str">
            <v>USA</v>
          </cell>
          <cell r="K3224">
            <v>35311</v>
          </cell>
        </row>
        <row r="3225">
          <cell r="A3225" t="str">
            <v>In service</v>
          </cell>
          <cell r="B3225" t="str">
            <v>Gulfstream Aerospace Gulfstream IV</v>
          </cell>
          <cell r="C3225" t="str">
            <v>SP</v>
          </cell>
          <cell r="D3225">
            <v>1997</v>
          </cell>
          <cell r="E3225" t="str">
            <v>Sprint-United Management Co</v>
          </cell>
          <cell r="F3225">
            <v>3</v>
          </cell>
          <cell r="G3225">
            <v>35604</v>
          </cell>
          <cell r="H3225" t="str">
            <v>SP</v>
          </cell>
          <cell r="I3225" t="str">
            <v>North America</v>
          </cell>
          <cell r="J3225" t="str">
            <v>USA</v>
          </cell>
          <cell r="K3225">
            <v>35414</v>
          </cell>
        </row>
        <row r="3226">
          <cell r="A3226" t="str">
            <v>In service</v>
          </cell>
          <cell r="B3226" t="str">
            <v>Gulfstream Aerospace Gulfstream IV</v>
          </cell>
          <cell r="C3226" t="str">
            <v>SP</v>
          </cell>
          <cell r="D3226">
            <v>1997</v>
          </cell>
          <cell r="E3226" t="str">
            <v>New World Jet Corp</v>
          </cell>
          <cell r="F3226">
            <v>3</v>
          </cell>
          <cell r="G3226">
            <v>35692</v>
          </cell>
          <cell r="H3226" t="str">
            <v>SP</v>
          </cell>
          <cell r="I3226" t="str">
            <v>North America</v>
          </cell>
          <cell r="J3226" t="str">
            <v>USA</v>
          </cell>
          <cell r="K3226">
            <v>34880</v>
          </cell>
        </row>
        <row r="3227">
          <cell r="A3227" t="str">
            <v>In service</v>
          </cell>
          <cell r="B3227" t="str">
            <v>Gulfstream Aerospace Gulfstream IV</v>
          </cell>
          <cell r="C3227" t="str">
            <v>SP</v>
          </cell>
          <cell r="D3227">
            <v>1997</v>
          </cell>
          <cell r="E3227" t="str">
            <v>American Express</v>
          </cell>
          <cell r="F3227">
            <v>3</v>
          </cell>
          <cell r="G3227">
            <v>35644</v>
          </cell>
          <cell r="H3227" t="str">
            <v>SP</v>
          </cell>
          <cell r="I3227" t="str">
            <v>North America</v>
          </cell>
          <cell r="J3227" t="str">
            <v>USA</v>
          </cell>
          <cell r="K3227">
            <v>35414</v>
          </cell>
        </row>
        <row r="3228">
          <cell r="A3228" t="str">
            <v>In service</v>
          </cell>
          <cell r="B3228" t="str">
            <v>Gulfstream Aerospace Gulfstream IV</v>
          </cell>
          <cell r="C3228" t="str">
            <v>SP</v>
          </cell>
          <cell r="D3228">
            <v>1997</v>
          </cell>
          <cell r="E3228" t="str">
            <v>Netjets International</v>
          </cell>
          <cell r="F3228">
            <v>3</v>
          </cell>
          <cell r="G3228">
            <v>35698</v>
          </cell>
          <cell r="H3228" t="str">
            <v>SP</v>
          </cell>
          <cell r="I3228" t="str">
            <v>North America</v>
          </cell>
          <cell r="J3228" t="str">
            <v>USA</v>
          </cell>
          <cell r="K3228">
            <v>35311</v>
          </cell>
        </row>
        <row r="3229">
          <cell r="A3229" t="str">
            <v>In service</v>
          </cell>
          <cell r="B3229" t="str">
            <v>Gulfstream Aerospace Gulfstream IV</v>
          </cell>
          <cell r="C3229" t="str">
            <v>SP</v>
          </cell>
          <cell r="D3229">
            <v>1997</v>
          </cell>
          <cell r="E3229" t="str">
            <v>IHFG4 Corp</v>
          </cell>
          <cell r="F3229">
            <v>3</v>
          </cell>
          <cell r="G3229">
            <v>35650</v>
          </cell>
          <cell r="H3229" t="str">
            <v>SP</v>
          </cell>
          <cell r="I3229" t="str">
            <v>North America</v>
          </cell>
          <cell r="J3229" t="str">
            <v>USA</v>
          </cell>
          <cell r="K3229">
            <v>35246</v>
          </cell>
        </row>
        <row r="3230">
          <cell r="A3230" t="str">
            <v>In service</v>
          </cell>
          <cell r="B3230" t="str">
            <v>Gulfstream Aerospace Gulfstream IV</v>
          </cell>
          <cell r="C3230" t="str">
            <v>SP</v>
          </cell>
          <cell r="D3230">
            <v>1997</v>
          </cell>
          <cell r="E3230" t="str">
            <v>Owens-Illinois Inc</v>
          </cell>
          <cell r="F3230">
            <v>3</v>
          </cell>
          <cell r="G3230">
            <v>35794</v>
          </cell>
          <cell r="H3230" t="str">
            <v>SP</v>
          </cell>
          <cell r="I3230" t="str">
            <v>North America</v>
          </cell>
          <cell r="J3230" t="str">
            <v>USA</v>
          </cell>
          <cell r="K3230">
            <v>35246</v>
          </cell>
        </row>
        <row r="3231">
          <cell r="A3231" t="str">
            <v>In service</v>
          </cell>
          <cell r="B3231" t="str">
            <v>Gulfstream Aerospace Gulfstream IV</v>
          </cell>
          <cell r="C3231" t="str">
            <v>SP</v>
          </cell>
          <cell r="D3231">
            <v>1997</v>
          </cell>
          <cell r="E3231" t="str">
            <v>Netjets International</v>
          </cell>
          <cell r="F3231">
            <v>3</v>
          </cell>
          <cell r="G3231">
            <v>35782</v>
          </cell>
          <cell r="H3231" t="str">
            <v>SP</v>
          </cell>
          <cell r="I3231" t="str">
            <v>North America</v>
          </cell>
          <cell r="J3231" t="str">
            <v>USA</v>
          </cell>
          <cell r="K3231">
            <v>35311</v>
          </cell>
        </row>
        <row r="3232">
          <cell r="A3232" t="str">
            <v>In service</v>
          </cell>
          <cell r="B3232" t="str">
            <v>Gulfstream Aerospace Gulfstream IV</v>
          </cell>
          <cell r="C3232" t="str">
            <v>SP</v>
          </cell>
          <cell r="D3232">
            <v>1997</v>
          </cell>
          <cell r="E3232" t="str">
            <v>Jet Club Ltd Bermuda</v>
          </cell>
          <cell r="F3232">
            <v>3</v>
          </cell>
          <cell r="G3232">
            <v>35832</v>
          </cell>
          <cell r="H3232" t="str">
            <v>SP</v>
          </cell>
          <cell r="I3232" t="str">
            <v>Latin America and Caribbean</v>
          </cell>
          <cell r="J3232" t="str">
            <v>Bermuda</v>
          </cell>
          <cell r="K3232">
            <v>35246</v>
          </cell>
        </row>
        <row r="3233">
          <cell r="A3233" t="str">
            <v>In service</v>
          </cell>
          <cell r="B3233" t="str">
            <v>Gulfstream Aerospace Gulfstream IV</v>
          </cell>
          <cell r="C3233" t="str">
            <v>SP</v>
          </cell>
          <cell r="D3233">
            <v>1997</v>
          </cell>
          <cell r="E3233" t="str">
            <v>Lucent Technologies Inc</v>
          </cell>
          <cell r="F3233">
            <v>3</v>
          </cell>
          <cell r="G3233">
            <v>35807</v>
          </cell>
          <cell r="H3233" t="str">
            <v>SP</v>
          </cell>
          <cell r="I3233" t="str">
            <v>North America</v>
          </cell>
          <cell r="J3233" t="str">
            <v>USA</v>
          </cell>
          <cell r="K3233">
            <v>35246</v>
          </cell>
        </row>
        <row r="3234">
          <cell r="A3234" t="str">
            <v>In service</v>
          </cell>
          <cell r="B3234" t="str">
            <v>Gulfstream Aerospace Gulfstream IV</v>
          </cell>
          <cell r="C3234" t="str">
            <v>SP</v>
          </cell>
          <cell r="D3234">
            <v>1997</v>
          </cell>
          <cell r="E3234" t="str">
            <v>United States Automobile Assoc</v>
          </cell>
          <cell r="F3234">
            <v>3</v>
          </cell>
          <cell r="G3234">
            <v>35793</v>
          </cell>
          <cell r="H3234" t="str">
            <v>SP</v>
          </cell>
          <cell r="I3234" t="str">
            <v>North America</v>
          </cell>
          <cell r="J3234" t="str">
            <v>USA</v>
          </cell>
          <cell r="K3234">
            <v>35246</v>
          </cell>
        </row>
        <row r="3235">
          <cell r="A3235" t="str">
            <v>In service</v>
          </cell>
          <cell r="B3235" t="str">
            <v>Gulfstream Aerospace Gulfstream IV</v>
          </cell>
          <cell r="C3235" t="str">
            <v>SP</v>
          </cell>
          <cell r="D3235">
            <v>1997</v>
          </cell>
          <cell r="E3235" t="str">
            <v>Electronic Data Systems Corp</v>
          </cell>
          <cell r="F3235">
            <v>3</v>
          </cell>
          <cell r="G3235">
            <v>35783</v>
          </cell>
          <cell r="H3235" t="str">
            <v>SP</v>
          </cell>
          <cell r="I3235" t="str">
            <v>North America</v>
          </cell>
          <cell r="J3235" t="str">
            <v>USA</v>
          </cell>
          <cell r="K3235">
            <v>35246</v>
          </cell>
        </row>
        <row r="3236">
          <cell r="A3236" t="str">
            <v>In service</v>
          </cell>
          <cell r="B3236" t="str">
            <v>Gulfstream Aerospace Gulfstream IV</v>
          </cell>
          <cell r="C3236" t="str">
            <v>SP</v>
          </cell>
          <cell r="D3236">
            <v>1997</v>
          </cell>
          <cell r="E3236" t="str">
            <v>Netjets International</v>
          </cell>
          <cell r="F3236">
            <v>3</v>
          </cell>
          <cell r="G3236">
            <v>35794</v>
          </cell>
          <cell r="H3236" t="str">
            <v>SP</v>
          </cell>
          <cell r="I3236" t="str">
            <v>North America</v>
          </cell>
          <cell r="J3236" t="str">
            <v>USA</v>
          </cell>
          <cell r="K3236">
            <v>35311</v>
          </cell>
        </row>
        <row r="3237">
          <cell r="A3237" t="str">
            <v>In service</v>
          </cell>
          <cell r="B3237" t="str">
            <v>Gulfstream Aerospace Gulfstream IV</v>
          </cell>
          <cell r="C3237" t="str">
            <v>SP</v>
          </cell>
          <cell r="D3237">
            <v>1997</v>
          </cell>
          <cell r="E3237" t="str">
            <v>LKM Inc &amp; Eeyore Aviation LLC</v>
          </cell>
          <cell r="F3237">
            <v>3</v>
          </cell>
          <cell r="G3237">
            <v>35821</v>
          </cell>
          <cell r="H3237" t="str">
            <v>SP</v>
          </cell>
          <cell r="I3237" t="str">
            <v>North America</v>
          </cell>
          <cell r="J3237" t="str">
            <v>USA</v>
          </cell>
          <cell r="K3237">
            <v>35246</v>
          </cell>
        </row>
        <row r="3238">
          <cell r="A3238" t="str">
            <v>In service</v>
          </cell>
          <cell r="B3238" t="str">
            <v>Gulfstream Aerospace Gulfstream IV</v>
          </cell>
          <cell r="C3238" t="str">
            <v>SP</v>
          </cell>
          <cell r="D3238">
            <v>1998</v>
          </cell>
          <cell r="E3238" t="str">
            <v>Texaco Inc</v>
          </cell>
          <cell r="F3238">
            <v>2</v>
          </cell>
          <cell r="G3238">
            <v>35991</v>
          </cell>
          <cell r="H3238" t="str">
            <v>SP</v>
          </cell>
          <cell r="I3238" t="str">
            <v>North America</v>
          </cell>
          <cell r="J3238" t="str">
            <v>USA</v>
          </cell>
          <cell r="K3238">
            <v>35246</v>
          </cell>
        </row>
        <row r="3239">
          <cell r="A3239" t="str">
            <v>In service</v>
          </cell>
          <cell r="B3239" t="str">
            <v>Gulfstream Aerospace Gulfstream IV</v>
          </cell>
          <cell r="C3239" t="str">
            <v>SP</v>
          </cell>
          <cell r="D3239">
            <v>1998</v>
          </cell>
          <cell r="E3239" t="str">
            <v>Symax Aviation LLC</v>
          </cell>
          <cell r="F3239">
            <v>2</v>
          </cell>
          <cell r="G3239">
            <v>35885</v>
          </cell>
          <cell r="H3239" t="str">
            <v>SP</v>
          </cell>
          <cell r="I3239" t="str">
            <v>North America</v>
          </cell>
          <cell r="J3239" t="str">
            <v>USA</v>
          </cell>
          <cell r="K3239">
            <v>35246</v>
          </cell>
        </row>
        <row r="3240">
          <cell r="A3240" t="str">
            <v>In service</v>
          </cell>
          <cell r="B3240" t="str">
            <v>Gulfstream Aerospace Gulfstream IV</v>
          </cell>
          <cell r="C3240" t="str">
            <v>SP</v>
          </cell>
          <cell r="D3240">
            <v>1998</v>
          </cell>
          <cell r="E3240" t="str">
            <v>Netjets International</v>
          </cell>
          <cell r="F3240">
            <v>2</v>
          </cell>
          <cell r="G3240">
            <v>35908</v>
          </cell>
          <cell r="H3240" t="str">
            <v>SP</v>
          </cell>
          <cell r="I3240" t="str">
            <v>North America</v>
          </cell>
          <cell r="J3240" t="str">
            <v>USA</v>
          </cell>
          <cell r="K3240">
            <v>35311</v>
          </cell>
        </row>
        <row r="3241">
          <cell r="A3241" t="str">
            <v>In service</v>
          </cell>
          <cell r="B3241" t="str">
            <v>Gulfstream Aerospace Gulfstream IV</v>
          </cell>
          <cell r="C3241" t="str">
            <v>SP</v>
          </cell>
          <cell r="D3241">
            <v>1998</v>
          </cell>
          <cell r="E3241" t="str">
            <v>New World Jet Corp</v>
          </cell>
          <cell r="F3241">
            <v>2</v>
          </cell>
          <cell r="G3241">
            <v>35989</v>
          </cell>
          <cell r="H3241" t="str">
            <v>SP</v>
          </cell>
          <cell r="I3241" t="str">
            <v>North America</v>
          </cell>
          <cell r="J3241" t="str">
            <v>USA</v>
          </cell>
          <cell r="K3241">
            <v>35246</v>
          </cell>
        </row>
        <row r="3242">
          <cell r="A3242" t="str">
            <v>In service</v>
          </cell>
          <cell r="B3242" t="str">
            <v>Gulfstream Aerospace Gulfstream IV</v>
          </cell>
          <cell r="C3242" t="str">
            <v>SP</v>
          </cell>
          <cell r="D3242">
            <v>1998</v>
          </cell>
          <cell r="E3242" t="str">
            <v>Netjets International</v>
          </cell>
          <cell r="F3242">
            <v>2</v>
          </cell>
          <cell r="G3242">
            <v>35964</v>
          </cell>
          <cell r="H3242" t="str">
            <v>SP</v>
          </cell>
          <cell r="I3242" t="str">
            <v>North America</v>
          </cell>
          <cell r="J3242" t="str">
            <v>USA</v>
          </cell>
          <cell r="K3242">
            <v>35311</v>
          </cell>
        </row>
        <row r="3243">
          <cell r="A3243" t="str">
            <v>In service</v>
          </cell>
          <cell r="B3243" t="str">
            <v>Gulfstream Aerospace Gulfstream IV</v>
          </cell>
          <cell r="C3243" t="str">
            <v>SP</v>
          </cell>
          <cell r="D3243">
            <v>1998</v>
          </cell>
          <cell r="E3243" t="str">
            <v>PepsiCo Inc</v>
          </cell>
          <cell r="F3243">
            <v>2</v>
          </cell>
          <cell r="G3243">
            <v>35944</v>
          </cell>
          <cell r="H3243" t="str">
            <v>SP</v>
          </cell>
          <cell r="I3243" t="str">
            <v>North America</v>
          </cell>
          <cell r="J3243" t="str">
            <v>USA</v>
          </cell>
          <cell r="K3243">
            <v>35246</v>
          </cell>
        </row>
        <row r="3244">
          <cell r="A3244" t="str">
            <v>In service</v>
          </cell>
          <cell r="B3244" t="str">
            <v>Gulfstream Aerospace Gulfstream IV</v>
          </cell>
          <cell r="C3244" t="str">
            <v>SP</v>
          </cell>
          <cell r="D3244">
            <v>1998</v>
          </cell>
          <cell r="E3244" t="str">
            <v>Netjets International</v>
          </cell>
          <cell r="F3244">
            <v>2</v>
          </cell>
          <cell r="G3244">
            <v>36013</v>
          </cell>
          <cell r="H3244" t="str">
            <v>SP</v>
          </cell>
          <cell r="I3244" t="str">
            <v>North America</v>
          </cell>
          <cell r="J3244" t="str">
            <v>USA</v>
          </cell>
          <cell r="K3244">
            <v>35311</v>
          </cell>
        </row>
        <row r="3245">
          <cell r="A3245" t="str">
            <v>In service</v>
          </cell>
          <cell r="B3245" t="str">
            <v>Gulfstream Aerospace Gulfstream IV</v>
          </cell>
          <cell r="C3245" t="str">
            <v>SP</v>
          </cell>
          <cell r="D3245">
            <v>1997</v>
          </cell>
          <cell r="E3245" t="str">
            <v>Federal Mogul Corp</v>
          </cell>
          <cell r="F3245">
            <v>3</v>
          </cell>
          <cell r="G3245">
            <v>35794</v>
          </cell>
          <cell r="H3245" t="str">
            <v>SP</v>
          </cell>
          <cell r="I3245" t="str">
            <v>North America</v>
          </cell>
          <cell r="J3245" t="str">
            <v>USA</v>
          </cell>
          <cell r="K3245">
            <v>35611</v>
          </cell>
        </row>
        <row r="3246">
          <cell r="A3246" t="str">
            <v>In service</v>
          </cell>
          <cell r="B3246" t="str">
            <v>Gulfstream Aerospace Gulfstream IV</v>
          </cell>
          <cell r="C3246" t="str">
            <v>SP</v>
          </cell>
          <cell r="D3246">
            <v>1998</v>
          </cell>
          <cell r="E3246" t="str">
            <v>Government of Gabon</v>
          </cell>
          <cell r="F3246">
            <v>2</v>
          </cell>
          <cell r="G3246">
            <v>36114</v>
          </cell>
          <cell r="H3246" t="str">
            <v>SP</v>
          </cell>
          <cell r="I3246" t="str">
            <v>Africa</v>
          </cell>
          <cell r="J3246" t="str">
            <v>Gabon</v>
          </cell>
          <cell r="K3246">
            <v>35976</v>
          </cell>
        </row>
        <row r="3247">
          <cell r="A3247" t="str">
            <v>In service</v>
          </cell>
          <cell r="B3247" t="str">
            <v>Gulfstream Aerospace Gulfstream IV</v>
          </cell>
          <cell r="C3247" t="str">
            <v>SP</v>
          </cell>
          <cell r="D3247">
            <v>1998</v>
          </cell>
          <cell r="E3247" t="str">
            <v>Netjets International</v>
          </cell>
          <cell r="F3247">
            <v>2</v>
          </cell>
          <cell r="G3247">
            <v>36056</v>
          </cell>
          <cell r="H3247" t="str">
            <v>SP</v>
          </cell>
          <cell r="I3247" t="str">
            <v>North America</v>
          </cell>
          <cell r="J3247" t="str">
            <v>USA</v>
          </cell>
          <cell r="K3247">
            <v>35311</v>
          </cell>
        </row>
        <row r="3248">
          <cell r="A3248" t="str">
            <v>In service</v>
          </cell>
          <cell r="B3248" t="str">
            <v>Gulfstream Aerospace Gulfstream IV</v>
          </cell>
          <cell r="C3248" t="str">
            <v>SP</v>
          </cell>
          <cell r="D3248">
            <v>1998</v>
          </cell>
          <cell r="E3248" t="str">
            <v>Government of Egypt</v>
          </cell>
          <cell r="F3248">
            <v>2</v>
          </cell>
          <cell r="G3248">
            <v>36114</v>
          </cell>
          <cell r="H3248" t="str">
            <v>SP</v>
          </cell>
          <cell r="I3248" t="str">
            <v>Africa</v>
          </cell>
          <cell r="J3248" t="str">
            <v>Egypt</v>
          </cell>
          <cell r="K3248">
            <v>35976</v>
          </cell>
        </row>
        <row r="3249">
          <cell r="A3249" t="str">
            <v>In service</v>
          </cell>
          <cell r="B3249" t="str">
            <v>Gulfstream Aerospace Gulfstream IV</v>
          </cell>
          <cell r="C3249" t="str">
            <v>SP</v>
          </cell>
          <cell r="D3249">
            <v>1998</v>
          </cell>
          <cell r="E3249" t="str">
            <v>Johnson &amp; Johnson</v>
          </cell>
          <cell r="F3249">
            <v>2</v>
          </cell>
          <cell r="G3249">
            <v>36080</v>
          </cell>
          <cell r="H3249" t="str">
            <v>SP</v>
          </cell>
          <cell r="I3249" t="str">
            <v>North America</v>
          </cell>
          <cell r="J3249" t="str">
            <v>USA</v>
          </cell>
          <cell r="K3249">
            <v>35611</v>
          </cell>
        </row>
        <row r="3250">
          <cell r="A3250" t="str">
            <v>In service</v>
          </cell>
          <cell r="B3250" t="str">
            <v>Gulfstream Aerospace Gulfstream IV</v>
          </cell>
          <cell r="C3250" t="str">
            <v>SP</v>
          </cell>
          <cell r="D3250">
            <v>1998</v>
          </cell>
          <cell r="E3250" t="str">
            <v>General Dynamics Corp</v>
          </cell>
          <cell r="F3250">
            <v>2</v>
          </cell>
          <cell r="G3250">
            <v>36133</v>
          </cell>
          <cell r="H3250" t="str">
            <v>SP</v>
          </cell>
          <cell r="I3250" t="str">
            <v>North America</v>
          </cell>
          <cell r="J3250" t="str">
            <v>USA</v>
          </cell>
          <cell r="K3250">
            <v>35611</v>
          </cell>
        </row>
        <row r="3251">
          <cell r="A3251" t="str">
            <v>In service</v>
          </cell>
          <cell r="B3251" t="str">
            <v>Gulfstream Aerospace Gulfstream IV</v>
          </cell>
          <cell r="C3251" t="str">
            <v>SP</v>
          </cell>
          <cell r="D3251">
            <v>1998</v>
          </cell>
          <cell r="E3251" t="str">
            <v>Government of Egypt</v>
          </cell>
          <cell r="F3251">
            <v>2</v>
          </cell>
          <cell r="G3251">
            <v>36144</v>
          </cell>
          <cell r="H3251" t="str">
            <v>SP</v>
          </cell>
          <cell r="I3251" t="str">
            <v>Africa</v>
          </cell>
          <cell r="J3251" t="str">
            <v>Egypt</v>
          </cell>
          <cell r="K3251">
            <v>35976</v>
          </cell>
        </row>
        <row r="3252">
          <cell r="A3252" t="str">
            <v>In service</v>
          </cell>
          <cell r="B3252" t="str">
            <v>Gulfstream Aerospace Gulfstream IV</v>
          </cell>
          <cell r="C3252" t="str">
            <v>SP</v>
          </cell>
          <cell r="D3252">
            <v>1998</v>
          </cell>
          <cell r="E3252" t="str">
            <v>Johnson &amp; Johnson</v>
          </cell>
          <cell r="F3252">
            <v>2</v>
          </cell>
          <cell r="G3252">
            <v>36123</v>
          </cell>
          <cell r="H3252" t="str">
            <v>SP</v>
          </cell>
          <cell r="I3252" t="str">
            <v>North America</v>
          </cell>
          <cell r="J3252" t="str">
            <v>USA</v>
          </cell>
          <cell r="K3252">
            <v>35611</v>
          </cell>
        </row>
        <row r="3253">
          <cell r="A3253" t="str">
            <v>In service</v>
          </cell>
          <cell r="B3253" t="str">
            <v>Gulfstream Aerospace Gulfstream IV</v>
          </cell>
          <cell r="C3253" t="str">
            <v>SP</v>
          </cell>
          <cell r="D3253">
            <v>1998</v>
          </cell>
          <cell r="E3253" t="str">
            <v>Netjets International</v>
          </cell>
          <cell r="F3253">
            <v>2</v>
          </cell>
          <cell r="G3253">
            <v>36123</v>
          </cell>
          <cell r="H3253" t="str">
            <v>SP</v>
          </cell>
          <cell r="I3253" t="str">
            <v>North America</v>
          </cell>
          <cell r="J3253" t="str">
            <v>USA</v>
          </cell>
          <cell r="K3253">
            <v>35521</v>
          </cell>
        </row>
        <row r="3254">
          <cell r="A3254" t="str">
            <v>In service</v>
          </cell>
          <cell r="B3254" t="str">
            <v>Gulfstream Aerospace Gulfstream IV</v>
          </cell>
          <cell r="C3254" t="str">
            <v>SP</v>
          </cell>
          <cell r="D3254">
            <v>1998</v>
          </cell>
          <cell r="E3254" t="str">
            <v>Bank of America NA</v>
          </cell>
          <cell r="F3254">
            <v>2</v>
          </cell>
          <cell r="G3254">
            <v>36151</v>
          </cell>
          <cell r="H3254" t="str">
            <v>SP</v>
          </cell>
          <cell r="I3254" t="str">
            <v>North America</v>
          </cell>
          <cell r="J3254" t="str">
            <v>USA</v>
          </cell>
          <cell r="K3254">
            <v>35611</v>
          </cell>
        </row>
        <row r="3255">
          <cell r="A3255" t="str">
            <v>In service</v>
          </cell>
          <cell r="B3255" t="str">
            <v>Gulfstream Aerospace Gulfstream IV</v>
          </cell>
          <cell r="C3255" t="str">
            <v>SP</v>
          </cell>
          <cell r="D3255">
            <v>1998</v>
          </cell>
          <cell r="E3255" t="str">
            <v>Pfizer Inc</v>
          </cell>
          <cell r="F3255">
            <v>2</v>
          </cell>
          <cell r="G3255">
            <v>36339</v>
          </cell>
          <cell r="H3255" t="str">
            <v>SP</v>
          </cell>
          <cell r="I3255" t="str">
            <v>North America</v>
          </cell>
          <cell r="J3255" t="str">
            <v>USA</v>
          </cell>
          <cell r="K3255">
            <v>35976</v>
          </cell>
        </row>
        <row r="3256">
          <cell r="A3256" t="str">
            <v>In service</v>
          </cell>
          <cell r="B3256" t="str">
            <v>Gulfstream Aerospace Gulfstream IV</v>
          </cell>
          <cell r="C3256" t="str">
            <v>SP</v>
          </cell>
          <cell r="D3256">
            <v>1999</v>
          </cell>
          <cell r="E3256" t="str">
            <v>Michael J Kittredge</v>
          </cell>
          <cell r="F3256">
            <v>1</v>
          </cell>
          <cell r="G3256">
            <v>36215</v>
          </cell>
          <cell r="H3256" t="str">
            <v>SP</v>
          </cell>
          <cell r="I3256" t="str">
            <v>North America</v>
          </cell>
          <cell r="J3256" t="str">
            <v>USA</v>
          </cell>
          <cell r="K3256">
            <v>35611</v>
          </cell>
        </row>
        <row r="3257">
          <cell r="A3257" t="str">
            <v>In service</v>
          </cell>
          <cell r="B3257" t="str">
            <v>Gulfstream Aerospace Gulfstream IV</v>
          </cell>
          <cell r="C3257" t="str">
            <v>SP</v>
          </cell>
          <cell r="D3257">
            <v>1999</v>
          </cell>
          <cell r="E3257" t="str">
            <v>MESH Inc</v>
          </cell>
          <cell r="F3257">
            <v>1</v>
          </cell>
          <cell r="G3257">
            <v>36210</v>
          </cell>
          <cell r="H3257" t="str">
            <v>SP</v>
          </cell>
          <cell r="I3257" t="str">
            <v>North America</v>
          </cell>
          <cell r="J3257" t="str">
            <v>USA</v>
          </cell>
          <cell r="K3257">
            <v>35611</v>
          </cell>
        </row>
        <row r="3258">
          <cell r="A3258" t="str">
            <v>In service</v>
          </cell>
          <cell r="B3258" t="str">
            <v>Gulfstream Aerospace Gulfstream IV</v>
          </cell>
          <cell r="C3258" t="str">
            <v>SP</v>
          </cell>
          <cell r="D3258">
            <v>1998</v>
          </cell>
          <cell r="E3258" t="str">
            <v>TAL Leasing Co LLC</v>
          </cell>
          <cell r="F3258">
            <v>2</v>
          </cell>
          <cell r="G3258">
            <v>36158</v>
          </cell>
          <cell r="H3258" t="str">
            <v>SP</v>
          </cell>
          <cell r="I3258" t="str">
            <v>North America</v>
          </cell>
          <cell r="J3258" t="str">
            <v>USA</v>
          </cell>
          <cell r="K3258">
            <v>35611</v>
          </cell>
        </row>
        <row r="3259">
          <cell r="A3259" t="str">
            <v>In service</v>
          </cell>
          <cell r="B3259" t="str">
            <v>Gulfstream Aerospace Gulfstream IV</v>
          </cell>
          <cell r="C3259" t="str">
            <v>SP</v>
          </cell>
          <cell r="D3259">
            <v>1999</v>
          </cell>
          <cell r="E3259" t="str">
            <v>Abbott Laboratories Inc</v>
          </cell>
          <cell r="F3259">
            <v>1</v>
          </cell>
          <cell r="G3259">
            <v>36221</v>
          </cell>
          <cell r="H3259" t="str">
            <v>SP</v>
          </cell>
          <cell r="I3259" t="str">
            <v>North America</v>
          </cell>
          <cell r="J3259" t="str">
            <v>USA</v>
          </cell>
          <cell r="K3259">
            <v>35611</v>
          </cell>
        </row>
        <row r="3260">
          <cell r="A3260" t="str">
            <v>In service</v>
          </cell>
          <cell r="B3260" t="str">
            <v>Gulfstream Aerospace Gulfstream IV</v>
          </cell>
          <cell r="C3260" t="str">
            <v>SP</v>
          </cell>
          <cell r="D3260">
            <v>1998</v>
          </cell>
          <cell r="E3260" t="str">
            <v>Netjets International</v>
          </cell>
          <cell r="F3260">
            <v>2</v>
          </cell>
          <cell r="G3260">
            <v>36152</v>
          </cell>
          <cell r="H3260" t="str">
            <v>SP</v>
          </cell>
          <cell r="I3260" t="str">
            <v>North America</v>
          </cell>
          <cell r="J3260" t="str">
            <v>USA</v>
          </cell>
          <cell r="K3260">
            <v>35521</v>
          </cell>
        </row>
        <row r="3261">
          <cell r="A3261" t="str">
            <v>In service</v>
          </cell>
          <cell r="B3261" t="str">
            <v>Gulfstream Aerospace Gulfstream IV</v>
          </cell>
          <cell r="C3261" t="str">
            <v>SP</v>
          </cell>
          <cell r="D3261">
            <v>1998</v>
          </cell>
          <cell r="E3261" t="str">
            <v>Avjet Corp</v>
          </cell>
          <cell r="F3261">
            <v>2</v>
          </cell>
          <cell r="G3261">
            <v>36000</v>
          </cell>
          <cell r="H3261" t="str">
            <v>SP</v>
          </cell>
          <cell r="I3261" t="str">
            <v>North America</v>
          </cell>
          <cell r="J3261" t="str">
            <v>USA</v>
          </cell>
          <cell r="K3261">
            <v>35611</v>
          </cell>
        </row>
        <row r="3262">
          <cell r="A3262" t="str">
            <v>In service</v>
          </cell>
          <cell r="B3262" t="str">
            <v>Gulfstream Aerospace Gulfstream IV</v>
          </cell>
          <cell r="C3262" t="str">
            <v>SP</v>
          </cell>
          <cell r="D3262">
            <v>1999</v>
          </cell>
          <cell r="E3262" t="str">
            <v>SS Platinum Limited Liabilty Co</v>
          </cell>
          <cell r="F3262">
            <v>1</v>
          </cell>
          <cell r="G3262">
            <v>36339</v>
          </cell>
          <cell r="H3262" t="str">
            <v>SP</v>
          </cell>
          <cell r="I3262" t="str">
            <v>North America</v>
          </cell>
          <cell r="J3262" t="str">
            <v>USA</v>
          </cell>
          <cell r="K3262">
            <v>35611</v>
          </cell>
        </row>
        <row r="3263">
          <cell r="A3263" t="str">
            <v>In service</v>
          </cell>
          <cell r="B3263" t="str">
            <v>Gulfstream Aerospace Gulfstream IV</v>
          </cell>
          <cell r="C3263" t="str">
            <v>SP</v>
          </cell>
          <cell r="D3263">
            <v>1999</v>
          </cell>
          <cell r="E3263" t="str">
            <v>Eighteen LLC</v>
          </cell>
          <cell r="F3263">
            <v>1</v>
          </cell>
          <cell r="G3263">
            <v>36390</v>
          </cell>
          <cell r="H3263" t="str">
            <v>SP</v>
          </cell>
          <cell r="I3263" t="str">
            <v>Latin America and Caribbean</v>
          </cell>
          <cell r="J3263" t="str">
            <v>Bermuda</v>
          </cell>
          <cell r="K3263">
            <v>35611</v>
          </cell>
        </row>
        <row r="3264">
          <cell r="A3264" t="str">
            <v>In service</v>
          </cell>
          <cell r="B3264" t="str">
            <v>Gulfstream Aerospace Gulfstream IV</v>
          </cell>
          <cell r="C3264" t="str">
            <v>SP</v>
          </cell>
          <cell r="D3264">
            <v>1999</v>
          </cell>
          <cell r="E3264" t="str">
            <v>Seminole Tribe of Florida</v>
          </cell>
          <cell r="F3264">
            <v>1</v>
          </cell>
          <cell r="G3264">
            <v>36342</v>
          </cell>
          <cell r="H3264" t="str">
            <v>SP</v>
          </cell>
          <cell r="I3264" t="str">
            <v>North America</v>
          </cell>
          <cell r="J3264" t="str">
            <v>USA</v>
          </cell>
          <cell r="K3264">
            <v>35976</v>
          </cell>
        </row>
        <row r="3265">
          <cell r="A3265" t="str">
            <v>In service</v>
          </cell>
          <cell r="B3265" t="str">
            <v>Gulfstream Aerospace Gulfstream IV</v>
          </cell>
          <cell r="C3265" t="str">
            <v>SP</v>
          </cell>
          <cell r="D3265">
            <v>1998</v>
          </cell>
          <cell r="E3265" t="str">
            <v>Andalex Resources</v>
          </cell>
          <cell r="F3265">
            <v>2</v>
          </cell>
          <cell r="G3265">
            <v>36048</v>
          </cell>
          <cell r="H3265" t="str">
            <v>SP</v>
          </cell>
          <cell r="I3265" t="str">
            <v>North America</v>
          </cell>
          <cell r="J3265" t="str">
            <v>USA</v>
          </cell>
          <cell r="K3265">
            <v>35611</v>
          </cell>
        </row>
        <row r="3266">
          <cell r="A3266" t="str">
            <v>In service</v>
          </cell>
          <cell r="B3266" t="str">
            <v>Gulfstream Aerospace Gulfstream IV</v>
          </cell>
          <cell r="C3266" t="str">
            <v>SP</v>
          </cell>
          <cell r="D3266">
            <v>1998</v>
          </cell>
          <cell r="E3266" t="str">
            <v>Coanda Inc</v>
          </cell>
          <cell r="F3266">
            <v>2</v>
          </cell>
          <cell r="G3266">
            <v>36073</v>
          </cell>
          <cell r="H3266" t="str">
            <v>SP</v>
          </cell>
          <cell r="I3266" t="str">
            <v>North America</v>
          </cell>
          <cell r="J3266" t="str">
            <v>USA</v>
          </cell>
          <cell r="K3266">
            <v>35611</v>
          </cell>
        </row>
        <row r="3267">
          <cell r="A3267" t="str">
            <v>In service</v>
          </cell>
          <cell r="B3267" t="str">
            <v>Gulfstream Aerospace Gulfstream IV</v>
          </cell>
          <cell r="C3267" t="str">
            <v>SP</v>
          </cell>
          <cell r="D3267">
            <v>1999</v>
          </cell>
          <cell r="E3267" t="str">
            <v>USX Corp</v>
          </cell>
          <cell r="F3267">
            <v>1</v>
          </cell>
          <cell r="G3267">
            <v>36495</v>
          </cell>
          <cell r="H3267" t="str">
            <v>SP</v>
          </cell>
          <cell r="I3267" t="str">
            <v>North America</v>
          </cell>
          <cell r="J3267" t="str">
            <v>USA</v>
          </cell>
          <cell r="K3267">
            <v>35976</v>
          </cell>
        </row>
        <row r="3268">
          <cell r="A3268" t="str">
            <v>In service</v>
          </cell>
          <cell r="B3268" t="str">
            <v>Gulfstream Aerospace Gulfstream IV</v>
          </cell>
          <cell r="C3268" t="str">
            <v>SP</v>
          </cell>
          <cell r="D3268">
            <v>1999</v>
          </cell>
          <cell r="E3268" t="str">
            <v>DJW Aviation LLC</v>
          </cell>
          <cell r="F3268">
            <v>1</v>
          </cell>
          <cell r="G3268">
            <v>36461</v>
          </cell>
          <cell r="H3268" t="str">
            <v>SP</v>
          </cell>
          <cell r="I3268" t="str">
            <v>North America</v>
          </cell>
          <cell r="J3268" t="str">
            <v>USA</v>
          </cell>
          <cell r="K3268">
            <v>35869</v>
          </cell>
        </row>
        <row r="3269">
          <cell r="A3269" t="str">
            <v>In service</v>
          </cell>
          <cell r="B3269" t="str">
            <v>Gulfstream Aerospace Gulfstream IV</v>
          </cell>
          <cell r="C3269" t="str">
            <v>SP</v>
          </cell>
          <cell r="D3269">
            <v>1998</v>
          </cell>
          <cell r="E3269" t="str">
            <v>Unisys Corp</v>
          </cell>
          <cell r="F3269">
            <v>2</v>
          </cell>
          <cell r="G3269">
            <v>36144</v>
          </cell>
          <cell r="H3269" t="str">
            <v>SP</v>
          </cell>
          <cell r="I3269" t="str">
            <v>North America</v>
          </cell>
          <cell r="J3269" t="str">
            <v>USA</v>
          </cell>
          <cell r="K3269">
            <v>35611</v>
          </cell>
        </row>
        <row r="3270">
          <cell r="A3270" t="str">
            <v>In service</v>
          </cell>
          <cell r="B3270" t="str">
            <v>Gulfstream Aerospace Gulfstream IV</v>
          </cell>
          <cell r="C3270" t="str">
            <v>SP</v>
          </cell>
          <cell r="D3270">
            <v>1999</v>
          </cell>
          <cell r="E3270" t="str">
            <v>Netjets International</v>
          </cell>
          <cell r="F3270">
            <v>1</v>
          </cell>
          <cell r="G3270">
            <v>36299</v>
          </cell>
          <cell r="H3270" t="str">
            <v>SP</v>
          </cell>
          <cell r="I3270" t="str">
            <v>North America</v>
          </cell>
          <cell r="J3270" t="str">
            <v>USA</v>
          </cell>
          <cell r="K3270">
            <v>35521</v>
          </cell>
        </row>
        <row r="3271">
          <cell r="A3271" t="str">
            <v>In service</v>
          </cell>
          <cell r="B3271" t="str">
            <v>Gulfstream Aerospace Gulfstream IV</v>
          </cell>
          <cell r="C3271" t="str">
            <v>SP</v>
          </cell>
          <cell r="D3271">
            <v>1999</v>
          </cell>
          <cell r="E3271" t="str">
            <v>Netjets International</v>
          </cell>
          <cell r="F3271">
            <v>1</v>
          </cell>
          <cell r="G3271">
            <v>36249</v>
          </cell>
          <cell r="H3271" t="str">
            <v>SP</v>
          </cell>
          <cell r="I3271" t="str">
            <v>North America</v>
          </cell>
          <cell r="J3271" t="str">
            <v>USA</v>
          </cell>
          <cell r="K3271">
            <v>35521</v>
          </cell>
        </row>
        <row r="3272">
          <cell r="A3272" t="str">
            <v>In service</v>
          </cell>
          <cell r="B3272" t="str">
            <v>Gulfstream Aerospace Gulfstream IV</v>
          </cell>
          <cell r="C3272" t="str">
            <v>SP</v>
          </cell>
          <cell r="D3272">
            <v>1999</v>
          </cell>
          <cell r="E3272" t="str">
            <v>Government of Bahrain</v>
          </cell>
          <cell r="F3272">
            <v>1</v>
          </cell>
          <cell r="G3272">
            <v>36364</v>
          </cell>
          <cell r="H3272" t="str">
            <v>SP</v>
          </cell>
          <cell r="I3272" t="str">
            <v>Middle East</v>
          </cell>
          <cell r="J3272" t="str">
            <v>Bahrain</v>
          </cell>
          <cell r="K3272">
            <v>35976</v>
          </cell>
        </row>
        <row r="3273">
          <cell r="A3273" t="str">
            <v>In service</v>
          </cell>
          <cell r="B3273" t="str">
            <v>Gulfstream Aerospace Gulfstream IV</v>
          </cell>
          <cell r="C3273" t="str">
            <v>SP</v>
          </cell>
          <cell r="D3273">
            <v>1998</v>
          </cell>
          <cell r="E3273" t="str">
            <v>Recovery Services International Inc</v>
          </cell>
          <cell r="F3273">
            <v>2</v>
          </cell>
          <cell r="G3273">
            <v>36139</v>
          </cell>
          <cell r="H3273" t="str">
            <v>SP</v>
          </cell>
          <cell r="I3273" t="str">
            <v>North America</v>
          </cell>
          <cell r="J3273" t="str">
            <v>USA</v>
          </cell>
          <cell r="K3273">
            <v>35611</v>
          </cell>
        </row>
        <row r="3274">
          <cell r="A3274" t="str">
            <v>In service</v>
          </cell>
          <cell r="B3274" t="str">
            <v>Gulfstream Aerospace Gulfstream IV</v>
          </cell>
          <cell r="C3274" t="str">
            <v>SP</v>
          </cell>
          <cell r="D3274">
            <v>1998</v>
          </cell>
          <cell r="E3274" t="str">
            <v>Thrall Car Manufacturing Co and Duchossois Ind</v>
          </cell>
          <cell r="F3274">
            <v>2</v>
          </cell>
          <cell r="G3274">
            <v>36192</v>
          </cell>
          <cell r="H3274" t="str">
            <v>SP</v>
          </cell>
          <cell r="I3274" t="str">
            <v>North America</v>
          </cell>
          <cell r="J3274" t="str">
            <v>USA</v>
          </cell>
          <cell r="K3274">
            <v>35976</v>
          </cell>
        </row>
        <row r="3275">
          <cell r="A3275" t="str">
            <v>In service</v>
          </cell>
          <cell r="B3275" t="str">
            <v>Gulfstream Aerospace Gulfstream IV</v>
          </cell>
          <cell r="C3275" t="str">
            <v>SP</v>
          </cell>
          <cell r="D3275">
            <v>1999</v>
          </cell>
          <cell r="E3275" t="str">
            <v>Dominion Resources Inc</v>
          </cell>
          <cell r="F3275">
            <v>1</v>
          </cell>
          <cell r="G3275">
            <v>36388</v>
          </cell>
          <cell r="H3275" t="str">
            <v>SP</v>
          </cell>
          <cell r="I3275" t="str">
            <v>North America</v>
          </cell>
          <cell r="J3275" t="str">
            <v>USA</v>
          </cell>
          <cell r="K3275">
            <v>35976</v>
          </cell>
        </row>
        <row r="3276">
          <cell r="A3276" t="str">
            <v>In service</v>
          </cell>
          <cell r="B3276" t="str">
            <v>Gulfstream Aerospace Gulfstream IV</v>
          </cell>
          <cell r="C3276" t="str">
            <v>SP</v>
          </cell>
          <cell r="D3276">
            <v>1999</v>
          </cell>
          <cell r="E3276" t="str">
            <v>K Services Inc</v>
          </cell>
          <cell r="F3276">
            <v>1</v>
          </cell>
          <cell r="G3276">
            <v>36524</v>
          </cell>
          <cell r="H3276" t="str">
            <v>SP</v>
          </cell>
          <cell r="I3276" t="str">
            <v>North America</v>
          </cell>
          <cell r="J3276" t="str">
            <v>USA</v>
          </cell>
          <cell r="K3276">
            <v>35976</v>
          </cell>
        </row>
        <row r="3277">
          <cell r="A3277" t="str">
            <v>In service</v>
          </cell>
          <cell r="B3277" t="str">
            <v>Gulfstream Aerospace Gulfstream IV</v>
          </cell>
          <cell r="C3277" t="str">
            <v>SP</v>
          </cell>
          <cell r="D3277">
            <v>1999</v>
          </cell>
          <cell r="E3277" t="str">
            <v>Texaco Inc</v>
          </cell>
          <cell r="F3277">
            <v>1</v>
          </cell>
          <cell r="G3277">
            <v>36516</v>
          </cell>
          <cell r="H3277" t="str">
            <v>SP</v>
          </cell>
          <cell r="I3277" t="str">
            <v>North America</v>
          </cell>
          <cell r="J3277" t="str">
            <v>USA</v>
          </cell>
          <cell r="K3277">
            <v>35246</v>
          </cell>
        </row>
        <row r="3278">
          <cell r="A3278" t="str">
            <v>In service</v>
          </cell>
          <cell r="B3278" t="str">
            <v>Gulfstream Aerospace Gulfstream IV</v>
          </cell>
          <cell r="C3278" t="str">
            <v>SP</v>
          </cell>
          <cell r="D3278">
            <v>1999</v>
          </cell>
          <cell r="E3278" t="str">
            <v>Netjets International</v>
          </cell>
          <cell r="F3278">
            <v>1</v>
          </cell>
          <cell r="G3278">
            <v>36333</v>
          </cell>
          <cell r="H3278" t="str">
            <v>SP</v>
          </cell>
          <cell r="I3278" t="str">
            <v>North America</v>
          </cell>
          <cell r="J3278" t="str">
            <v>USA</v>
          </cell>
          <cell r="K3278">
            <v>35521</v>
          </cell>
        </row>
        <row r="3279">
          <cell r="A3279" t="str">
            <v>In service</v>
          </cell>
          <cell r="B3279" t="str">
            <v>Gulfstream Aerospace Gulfstream IV</v>
          </cell>
          <cell r="C3279" t="str">
            <v>SP</v>
          </cell>
          <cell r="D3279">
            <v>1999</v>
          </cell>
          <cell r="E3279" t="str">
            <v>Campbell Sales Co</v>
          </cell>
          <cell r="F3279">
            <v>1</v>
          </cell>
          <cell r="G3279">
            <v>36364</v>
          </cell>
          <cell r="H3279" t="str">
            <v>SP</v>
          </cell>
          <cell r="I3279" t="str">
            <v>North America</v>
          </cell>
          <cell r="J3279" t="str">
            <v>USA</v>
          </cell>
          <cell r="K3279">
            <v>35976</v>
          </cell>
        </row>
        <row r="3280">
          <cell r="A3280" t="str">
            <v>In service</v>
          </cell>
          <cell r="B3280" t="str">
            <v>Gulfstream Aerospace Gulfstream IV</v>
          </cell>
          <cell r="C3280" t="str">
            <v>SP</v>
          </cell>
          <cell r="D3280">
            <v>2000</v>
          </cell>
          <cell r="E3280" t="str">
            <v>Deerport Aviation Corp</v>
          </cell>
          <cell r="F3280">
            <v>0</v>
          </cell>
          <cell r="G3280">
            <v>36643</v>
          </cell>
          <cell r="H3280" t="str">
            <v>SP</v>
          </cell>
          <cell r="I3280" t="str">
            <v>North America</v>
          </cell>
          <cell r="J3280" t="str">
            <v>USA</v>
          </cell>
          <cell r="K3280">
            <v>35976</v>
          </cell>
        </row>
        <row r="3281">
          <cell r="A3281" t="str">
            <v>In service</v>
          </cell>
          <cell r="B3281" t="str">
            <v>Gulfstream Aerospace Gulfstream IV</v>
          </cell>
          <cell r="C3281" t="str">
            <v>SP</v>
          </cell>
          <cell r="D3281">
            <v>1999</v>
          </cell>
          <cell r="E3281" t="str">
            <v>Netjets International</v>
          </cell>
          <cell r="F3281">
            <v>1</v>
          </cell>
          <cell r="G3281">
            <v>36370</v>
          </cell>
          <cell r="H3281" t="str">
            <v>SP</v>
          </cell>
          <cell r="I3281" t="str">
            <v>North America</v>
          </cell>
          <cell r="J3281" t="str">
            <v>USA</v>
          </cell>
          <cell r="K3281">
            <v>35521</v>
          </cell>
        </row>
        <row r="3282">
          <cell r="A3282" t="str">
            <v>In service</v>
          </cell>
          <cell r="B3282" t="str">
            <v>Gulfstream Aerospace Gulfstream IV</v>
          </cell>
          <cell r="C3282" t="str">
            <v>SP</v>
          </cell>
          <cell r="D3282">
            <v>2000</v>
          </cell>
          <cell r="E3282" t="str">
            <v>Spectacor Inc &amp; Kalco Corp</v>
          </cell>
          <cell r="F3282">
            <v>0</v>
          </cell>
          <cell r="G3282">
            <v>36615</v>
          </cell>
          <cell r="H3282" t="str">
            <v>SP</v>
          </cell>
          <cell r="I3282" t="str">
            <v>North America</v>
          </cell>
          <cell r="J3282" t="str">
            <v>USA</v>
          </cell>
          <cell r="K3282">
            <v>36053</v>
          </cell>
        </row>
        <row r="3283">
          <cell r="A3283" t="str">
            <v>In service</v>
          </cell>
          <cell r="B3283" t="str">
            <v>Gulfstream Aerospace Gulfstream IV</v>
          </cell>
          <cell r="C3283" t="str">
            <v>SP</v>
          </cell>
          <cell r="D3283">
            <v>2000</v>
          </cell>
          <cell r="E3283" t="str">
            <v>Saudi Aeromedical Evacuation</v>
          </cell>
          <cell r="F3283">
            <v>0</v>
          </cell>
          <cell r="G3283">
            <v>36666</v>
          </cell>
          <cell r="H3283" t="str">
            <v>SP</v>
          </cell>
          <cell r="I3283" t="str">
            <v>Middle East</v>
          </cell>
          <cell r="J3283" t="str">
            <v>Saudi Arabia</v>
          </cell>
          <cell r="K3283">
            <v>36341</v>
          </cell>
        </row>
        <row r="3284">
          <cell r="A3284" t="str">
            <v>In service</v>
          </cell>
          <cell r="B3284" t="str">
            <v>Gulfstream Aerospace Gulfstream IV</v>
          </cell>
          <cell r="C3284" t="str">
            <v>SP</v>
          </cell>
          <cell r="D3284">
            <v>1999</v>
          </cell>
          <cell r="E3284" t="str">
            <v>Bristol-Myers Squibb Company</v>
          </cell>
          <cell r="F3284">
            <v>1</v>
          </cell>
          <cell r="G3284">
            <v>36455</v>
          </cell>
          <cell r="H3284" t="str">
            <v>SP</v>
          </cell>
          <cell r="I3284" t="str">
            <v>North America</v>
          </cell>
          <cell r="J3284" t="str">
            <v>USA</v>
          </cell>
          <cell r="K3284">
            <v>35976</v>
          </cell>
        </row>
        <row r="3285">
          <cell r="A3285" t="str">
            <v>In service</v>
          </cell>
          <cell r="B3285" t="str">
            <v>Gulfstream Aerospace Gulfstream IV</v>
          </cell>
          <cell r="C3285" t="str">
            <v>SP</v>
          </cell>
          <cell r="D3285">
            <v>1999</v>
          </cell>
          <cell r="E3285" t="str">
            <v>Premiere Radio Networks</v>
          </cell>
          <cell r="F3285">
            <v>1</v>
          </cell>
          <cell r="G3285">
            <v>36523</v>
          </cell>
          <cell r="H3285" t="str">
            <v>SP</v>
          </cell>
          <cell r="I3285" t="str">
            <v>North America</v>
          </cell>
          <cell r="J3285" t="str">
            <v>USA</v>
          </cell>
          <cell r="K3285">
            <v>35869</v>
          </cell>
        </row>
        <row r="3286">
          <cell r="A3286" t="str">
            <v>In service</v>
          </cell>
          <cell r="B3286" t="str">
            <v>Gulfstream Aerospace Gulfstream IV</v>
          </cell>
          <cell r="C3286" t="str">
            <v>SP</v>
          </cell>
          <cell r="D3286">
            <v>2000</v>
          </cell>
          <cell r="E3286" t="str">
            <v>McDonalds Corp</v>
          </cell>
          <cell r="F3286">
            <v>0</v>
          </cell>
          <cell r="G3286">
            <v>36685</v>
          </cell>
          <cell r="H3286" t="str">
            <v>SP</v>
          </cell>
          <cell r="I3286" t="str">
            <v>North America</v>
          </cell>
          <cell r="J3286" t="str">
            <v>USA</v>
          </cell>
          <cell r="K3286">
            <v>35611</v>
          </cell>
        </row>
        <row r="3287">
          <cell r="A3287" t="str">
            <v>In service</v>
          </cell>
          <cell r="B3287" t="str">
            <v>Gulfstream Aerospace Gulfstream IV</v>
          </cell>
          <cell r="C3287" t="str">
            <v>SP</v>
          </cell>
          <cell r="D3287">
            <v>1999</v>
          </cell>
          <cell r="E3287" t="str">
            <v>Netjets International</v>
          </cell>
          <cell r="F3287">
            <v>1</v>
          </cell>
          <cell r="G3287">
            <v>36416</v>
          </cell>
          <cell r="H3287" t="str">
            <v>SP</v>
          </cell>
          <cell r="I3287" t="str">
            <v>North America</v>
          </cell>
          <cell r="J3287" t="str">
            <v>USA</v>
          </cell>
          <cell r="K3287">
            <v>35521</v>
          </cell>
        </row>
        <row r="3288">
          <cell r="A3288" t="str">
            <v>In service</v>
          </cell>
          <cell r="B3288" t="str">
            <v>Gulfstream Aerospace Gulfstream IV</v>
          </cell>
          <cell r="C3288" t="str">
            <v>SP</v>
          </cell>
          <cell r="D3288">
            <v>1999</v>
          </cell>
          <cell r="E3288" t="str">
            <v>Skyaire Inc</v>
          </cell>
          <cell r="F3288">
            <v>1</v>
          </cell>
          <cell r="G3288">
            <v>36279</v>
          </cell>
          <cell r="H3288" t="str">
            <v>SP</v>
          </cell>
          <cell r="I3288" t="str">
            <v>North America</v>
          </cell>
          <cell r="J3288" t="str">
            <v>USA</v>
          </cell>
          <cell r="K3288">
            <v>35976</v>
          </cell>
        </row>
        <row r="3289">
          <cell r="A3289" t="str">
            <v>In service</v>
          </cell>
          <cell r="B3289" t="str">
            <v>Gulfstream Aerospace Gulfstream IV</v>
          </cell>
          <cell r="C3289" t="str">
            <v>SP</v>
          </cell>
          <cell r="D3289">
            <v>1999</v>
          </cell>
          <cell r="E3289" t="str">
            <v>TAG Aviation USA</v>
          </cell>
          <cell r="F3289">
            <v>1</v>
          </cell>
          <cell r="G3289">
            <v>36631</v>
          </cell>
          <cell r="H3289" t="str">
            <v>SP</v>
          </cell>
          <cell r="I3289" t="str">
            <v>North America</v>
          </cell>
          <cell r="J3289" t="str">
            <v>USA</v>
          </cell>
          <cell r="K3289">
            <v>35976</v>
          </cell>
        </row>
        <row r="3290">
          <cell r="A3290" t="str">
            <v>In service</v>
          </cell>
          <cell r="B3290" t="str">
            <v>Gulfstream Aerospace Gulfstream IV</v>
          </cell>
          <cell r="C3290" t="str">
            <v>SP</v>
          </cell>
          <cell r="D3290">
            <v>1999</v>
          </cell>
          <cell r="E3290" t="str">
            <v>Netjets International</v>
          </cell>
          <cell r="F3290">
            <v>1</v>
          </cell>
          <cell r="G3290">
            <v>36452</v>
          </cell>
          <cell r="H3290" t="str">
            <v>SP</v>
          </cell>
          <cell r="I3290" t="str">
            <v>North America</v>
          </cell>
          <cell r="J3290" t="str">
            <v>USA</v>
          </cell>
          <cell r="K3290">
            <v>35521</v>
          </cell>
        </row>
        <row r="3291">
          <cell r="A3291" t="str">
            <v>In service</v>
          </cell>
          <cell r="B3291" t="str">
            <v>Gulfstream Aerospace Gulfstream IV</v>
          </cell>
          <cell r="C3291" t="str">
            <v>SP</v>
          </cell>
          <cell r="D3291">
            <v>1999</v>
          </cell>
          <cell r="E3291" t="str">
            <v>Kodi Air LLC</v>
          </cell>
          <cell r="F3291">
            <v>1</v>
          </cell>
          <cell r="G3291">
            <v>36314</v>
          </cell>
          <cell r="H3291" t="str">
            <v>SP</v>
          </cell>
          <cell r="I3291" t="str">
            <v>North America</v>
          </cell>
          <cell r="J3291" t="str">
            <v>USA</v>
          </cell>
          <cell r="K3291">
            <v>35611</v>
          </cell>
        </row>
        <row r="3292">
          <cell r="A3292" t="str">
            <v>In service</v>
          </cell>
          <cell r="B3292" t="str">
            <v>Gulfstream Aerospace Gulfstream IV</v>
          </cell>
          <cell r="C3292" t="str">
            <v>SP</v>
          </cell>
          <cell r="D3292">
            <v>2000</v>
          </cell>
          <cell r="E3292" t="str">
            <v>The Proctor &amp; Gamble Co</v>
          </cell>
          <cell r="F3292">
            <v>0</v>
          </cell>
          <cell r="G3292">
            <v>36648</v>
          </cell>
          <cell r="H3292" t="str">
            <v>SP</v>
          </cell>
          <cell r="I3292" t="str">
            <v>North America</v>
          </cell>
          <cell r="J3292" t="str">
            <v>USA</v>
          </cell>
          <cell r="K3292">
            <v>36341</v>
          </cell>
        </row>
        <row r="3293">
          <cell r="A3293" t="str">
            <v>In service</v>
          </cell>
          <cell r="B3293" t="str">
            <v>Gulfstream Aerospace Gulfstream IV</v>
          </cell>
          <cell r="C3293" t="str">
            <v>SP</v>
          </cell>
          <cell r="D3293">
            <v>1999</v>
          </cell>
          <cell r="E3293" t="str">
            <v>United Healthcare Services Inc</v>
          </cell>
          <cell r="F3293">
            <v>1</v>
          </cell>
          <cell r="G3293">
            <v>36524</v>
          </cell>
          <cell r="H3293" t="str">
            <v>SP</v>
          </cell>
          <cell r="I3293" t="str">
            <v>North America</v>
          </cell>
          <cell r="J3293" t="str">
            <v>USA</v>
          </cell>
          <cell r="K3293">
            <v>36045</v>
          </cell>
        </row>
        <row r="3294">
          <cell r="A3294" t="str">
            <v>In service</v>
          </cell>
          <cell r="B3294" t="str">
            <v>Gulfstream Aerospace Gulfstream IV</v>
          </cell>
          <cell r="C3294" t="str">
            <v>SP</v>
          </cell>
          <cell r="D3294">
            <v>1999</v>
          </cell>
          <cell r="E3294" t="str">
            <v>New World Jet Corp</v>
          </cell>
          <cell r="F3294">
            <v>1</v>
          </cell>
          <cell r="G3294">
            <v>36572</v>
          </cell>
          <cell r="H3294" t="str">
            <v>SP</v>
          </cell>
          <cell r="I3294" t="str">
            <v>North America</v>
          </cell>
          <cell r="J3294" t="str">
            <v>USA</v>
          </cell>
          <cell r="K3294">
            <v>35976</v>
          </cell>
        </row>
        <row r="3295">
          <cell r="A3295" t="str">
            <v>In service</v>
          </cell>
          <cell r="B3295" t="str">
            <v>Gulfstream Aerospace Gulfstream IV</v>
          </cell>
          <cell r="C3295" t="str">
            <v>SP</v>
          </cell>
          <cell r="D3295">
            <v>1999</v>
          </cell>
          <cell r="E3295" t="str">
            <v>Netjets International</v>
          </cell>
          <cell r="F3295">
            <v>1</v>
          </cell>
          <cell r="G3295">
            <v>36486</v>
          </cell>
          <cell r="H3295" t="str">
            <v>SP</v>
          </cell>
          <cell r="I3295" t="str">
            <v>North America</v>
          </cell>
          <cell r="J3295" t="str">
            <v>USA</v>
          </cell>
          <cell r="K3295">
            <v>35521</v>
          </cell>
        </row>
        <row r="3296">
          <cell r="A3296" t="str">
            <v>In service</v>
          </cell>
          <cell r="B3296" t="str">
            <v>Gulfstream Aerospace Gulfstream IV</v>
          </cell>
          <cell r="C3296" t="str">
            <v>SP</v>
          </cell>
          <cell r="D3296">
            <v>2000</v>
          </cell>
          <cell r="E3296" t="str">
            <v>The Proctor &amp; Gamble Co</v>
          </cell>
          <cell r="F3296">
            <v>0</v>
          </cell>
          <cell r="G3296">
            <v>36668</v>
          </cell>
          <cell r="H3296" t="str">
            <v>SP</v>
          </cell>
          <cell r="I3296" t="str">
            <v>North America</v>
          </cell>
          <cell r="J3296" t="str">
            <v>USA</v>
          </cell>
          <cell r="K3296">
            <v>36341</v>
          </cell>
        </row>
        <row r="3297">
          <cell r="A3297" t="str">
            <v>In service</v>
          </cell>
          <cell r="B3297" t="str">
            <v>Gulfstream Aerospace Gulfstream IV</v>
          </cell>
          <cell r="C3297" t="str">
            <v>SP</v>
          </cell>
          <cell r="D3297">
            <v>1999</v>
          </cell>
          <cell r="E3297" t="str">
            <v>Penske Jet Inc</v>
          </cell>
          <cell r="F3297">
            <v>1</v>
          </cell>
          <cell r="G3297">
            <v>36430</v>
          </cell>
          <cell r="H3297" t="str">
            <v>SP</v>
          </cell>
          <cell r="I3297" t="str">
            <v>North America</v>
          </cell>
          <cell r="J3297" t="str">
            <v>USA</v>
          </cell>
          <cell r="K3297">
            <v>35976</v>
          </cell>
        </row>
        <row r="3298">
          <cell r="A3298" t="str">
            <v>In service</v>
          </cell>
          <cell r="B3298" t="str">
            <v>Gulfstream Aerospace Gulfstream IV</v>
          </cell>
          <cell r="C3298" t="str">
            <v>SP</v>
          </cell>
          <cell r="D3298">
            <v>1999</v>
          </cell>
          <cell r="E3298" t="str">
            <v>Netjets International</v>
          </cell>
          <cell r="F3298">
            <v>1</v>
          </cell>
          <cell r="G3298">
            <v>36516</v>
          </cell>
          <cell r="H3298" t="str">
            <v>SP</v>
          </cell>
          <cell r="I3298" t="str">
            <v>North America</v>
          </cell>
          <cell r="J3298" t="str">
            <v>USA</v>
          </cell>
          <cell r="K3298">
            <v>35521</v>
          </cell>
        </row>
        <row r="3299">
          <cell r="A3299" t="str">
            <v>In service</v>
          </cell>
          <cell r="B3299" t="str">
            <v>Gulfstream Aerospace Gulfstream IV</v>
          </cell>
          <cell r="C3299" t="str">
            <v>SP</v>
          </cell>
          <cell r="D3299">
            <v>2000</v>
          </cell>
          <cell r="E3299" t="str">
            <v>Palmarina Investments</v>
          </cell>
          <cell r="F3299">
            <v>0</v>
          </cell>
          <cell r="G3299">
            <v>36790</v>
          </cell>
          <cell r="H3299" t="str">
            <v>SP</v>
          </cell>
          <cell r="I3299" t="str">
            <v>Latin America and Caribbean</v>
          </cell>
          <cell r="J3299" t="str">
            <v>Bermuda</v>
          </cell>
          <cell r="K3299">
            <v>35976</v>
          </cell>
        </row>
        <row r="3300">
          <cell r="A3300" t="str">
            <v>In service</v>
          </cell>
          <cell r="B3300" t="str">
            <v>Gulfstream Aerospace Gulfstream IV</v>
          </cell>
          <cell r="C3300" t="str">
            <v>SP</v>
          </cell>
          <cell r="D3300">
            <v>2000</v>
          </cell>
          <cell r="E3300" t="str">
            <v>Friedkin Aviation/Gulf States Toyota/Friedkin Co</v>
          </cell>
          <cell r="F3300">
            <v>0</v>
          </cell>
          <cell r="G3300">
            <v>36630</v>
          </cell>
          <cell r="H3300" t="str">
            <v>SP</v>
          </cell>
          <cell r="I3300" t="str">
            <v>North America</v>
          </cell>
          <cell r="J3300" t="str">
            <v>USA</v>
          </cell>
          <cell r="K3300">
            <v>35611</v>
          </cell>
        </row>
        <row r="3301">
          <cell r="A3301" t="str">
            <v>In service</v>
          </cell>
          <cell r="B3301" t="str">
            <v>Gulfstream Aerospace Gulfstream IV</v>
          </cell>
          <cell r="C3301" t="str">
            <v>SP</v>
          </cell>
          <cell r="D3301">
            <v>2000</v>
          </cell>
          <cell r="E3301" t="str">
            <v>Honeywell Inc</v>
          </cell>
          <cell r="F3301">
            <v>0</v>
          </cell>
          <cell r="G3301">
            <v>36594</v>
          </cell>
          <cell r="H3301" t="str">
            <v>SP</v>
          </cell>
          <cell r="I3301" t="str">
            <v>North America</v>
          </cell>
          <cell r="J3301" t="str">
            <v>USA</v>
          </cell>
          <cell r="K3301">
            <v>35976</v>
          </cell>
        </row>
        <row r="3302">
          <cell r="A3302" t="str">
            <v>In service</v>
          </cell>
          <cell r="B3302" t="str">
            <v>Gulfstream Aerospace Gulfstream IV</v>
          </cell>
          <cell r="C3302" t="str">
            <v>SP</v>
          </cell>
          <cell r="D3302">
            <v>1999</v>
          </cell>
          <cell r="E3302" t="str">
            <v>Vivendi Universal</v>
          </cell>
          <cell r="F3302">
            <v>1</v>
          </cell>
          <cell r="G3302">
            <v>36433</v>
          </cell>
          <cell r="H3302" t="str">
            <v>SP</v>
          </cell>
          <cell r="I3302" t="str">
            <v>North America</v>
          </cell>
          <cell r="J3302" t="str">
            <v>USA</v>
          </cell>
          <cell r="K3302">
            <v>35976</v>
          </cell>
        </row>
        <row r="3303">
          <cell r="A3303" t="str">
            <v>In service</v>
          </cell>
          <cell r="B3303" t="str">
            <v>Gulfstream Aerospace Gulfstream IV</v>
          </cell>
          <cell r="C3303" t="str">
            <v>SP</v>
          </cell>
          <cell r="D3303">
            <v>2000</v>
          </cell>
          <cell r="E3303" t="str">
            <v>Netjets International</v>
          </cell>
          <cell r="F3303">
            <v>0</v>
          </cell>
          <cell r="G3303">
            <v>36580</v>
          </cell>
          <cell r="H3303" t="str">
            <v>SP</v>
          </cell>
          <cell r="I3303" t="str">
            <v>North America</v>
          </cell>
          <cell r="J3303" t="str">
            <v>USA</v>
          </cell>
          <cell r="K3303">
            <v>35521</v>
          </cell>
        </row>
        <row r="3304">
          <cell r="A3304" t="str">
            <v>In service</v>
          </cell>
          <cell r="B3304" t="str">
            <v>Gulfstream Aerospace Gulfstream IV</v>
          </cell>
          <cell r="C3304" t="str">
            <v>SP</v>
          </cell>
          <cell r="D3304">
            <v>2000</v>
          </cell>
          <cell r="E3304" t="str">
            <v>John M Moores</v>
          </cell>
          <cell r="F3304">
            <v>0</v>
          </cell>
          <cell r="G3304">
            <v>36649</v>
          </cell>
          <cell r="H3304" t="str">
            <v>SP</v>
          </cell>
          <cell r="I3304" t="str">
            <v>North America</v>
          </cell>
          <cell r="J3304" t="str">
            <v>USA</v>
          </cell>
          <cell r="K3304">
            <v>35976</v>
          </cell>
        </row>
        <row r="3305">
          <cell r="A3305" t="str">
            <v>In service</v>
          </cell>
          <cell r="B3305" t="str">
            <v>Gulfstream Aerospace Gulfstream IV</v>
          </cell>
          <cell r="C3305" t="str">
            <v>SP</v>
          </cell>
          <cell r="D3305">
            <v>1999</v>
          </cell>
          <cell r="E3305" t="str">
            <v>Gulfstream Aerospace Corp</v>
          </cell>
          <cell r="F3305">
            <v>1</v>
          </cell>
          <cell r="G3305">
            <v>36705</v>
          </cell>
          <cell r="H3305" t="str">
            <v>SP</v>
          </cell>
          <cell r="I3305" t="str">
            <v>North America</v>
          </cell>
          <cell r="J3305" t="str">
            <v>USA</v>
          </cell>
          <cell r="K3305">
            <v>35976</v>
          </cell>
        </row>
        <row r="3306">
          <cell r="A3306" t="str">
            <v>In service</v>
          </cell>
          <cell r="B3306" t="str">
            <v>Gulfstream Aerospace Gulfstream IV</v>
          </cell>
          <cell r="C3306" t="str">
            <v>SP</v>
          </cell>
          <cell r="D3306">
            <v>2000</v>
          </cell>
          <cell r="E3306" t="str">
            <v>Netjets International</v>
          </cell>
          <cell r="F3306">
            <v>0</v>
          </cell>
          <cell r="G3306">
            <v>36613</v>
          </cell>
          <cell r="H3306" t="str">
            <v>SP</v>
          </cell>
          <cell r="I3306" t="str">
            <v>North America</v>
          </cell>
          <cell r="J3306" t="str">
            <v>USA</v>
          </cell>
          <cell r="K3306">
            <v>36045</v>
          </cell>
        </row>
        <row r="3307">
          <cell r="A3307" t="str">
            <v>In service</v>
          </cell>
          <cell r="B3307" t="str">
            <v>Gulfstream Aerospace Gulfstream IV</v>
          </cell>
          <cell r="C3307" t="str">
            <v>SP</v>
          </cell>
          <cell r="D3307">
            <v>2000</v>
          </cell>
          <cell r="E3307" t="str">
            <v>United Air Group LLC</v>
          </cell>
          <cell r="F3307">
            <v>0</v>
          </cell>
          <cell r="G3307">
            <v>36706</v>
          </cell>
          <cell r="H3307" t="str">
            <v>SP</v>
          </cell>
          <cell r="I3307" t="str">
            <v>North America</v>
          </cell>
          <cell r="J3307" t="str">
            <v>USA</v>
          </cell>
          <cell r="K3307">
            <v>36341</v>
          </cell>
        </row>
        <row r="3308">
          <cell r="A3308" t="str">
            <v>In service</v>
          </cell>
          <cell r="B3308" t="str">
            <v>Gulfstream Aerospace Gulfstream IV</v>
          </cell>
          <cell r="C3308" t="str">
            <v>SP</v>
          </cell>
          <cell r="D3308">
            <v>2000</v>
          </cell>
          <cell r="E3308" t="str">
            <v>PPG Industries Properties LLC</v>
          </cell>
          <cell r="F3308">
            <v>0</v>
          </cell>
          <cell r="G3308">
            <v>36706</v>
          </cell>
          <cell r="H3308" t="str">
            <v>SP</v>
          </cell>
          <cell r="I3308" t="str">
            <v>North America</v>
          </cell>
          <cell r="J3308" t="str">
            <v>USA</v>
          </cell>
          <cell r="K3308">
            <v>36341</v>
          </cell>
        </row>
        <row r="3309">
          <cell r="A3309" t="str">
            <v>In service</v>
          </cell>
          <cell r="B3309" t="str">
            <v>Gulfstream Aerospace Gulfstream IV</v>
          </cell>
          <cell r="C3309" t="str">
            <v>SP</v>
          </cell>
          <cell r="D3309">
            <v>2000</v>
          </cell>
          <cell r="E3309" t="str">
            <v>Netjets International</v>
          </cell>
          <cell r="F3309">
            <v>0</v>
          </cell>
          <cell r="G3309">
            <v>36644</v>
          </cell>
          <cell r="H3309" t="str">
            <v>SP</v>
          </cell>
          <cell r="I3309" t="str">
            <v>North America</v>
          </cell>
          <cell r="J3309" t="str">
            <v>USA</v>
          </cell>
          <cell r="K3309">
            <v>36045</v>
          </cell>
        </row>
        <row r="3310">
          <cell r="A3310" t="str">
            <v>In service</v>
          </cell>
          <cell r="B3310" t="str">
            <v>Gulfstream Aerospace Gulfstream IV</v>
          </cell>
          <cell r="C3310" t="str">
            <v>SP</v>
          </cell>
          <cell r="D3310">
            <v>1999</v>
          </cell>
          <cell r="E3310" t="str">
            <v>Frontliner Inc</v>
          </cell>
          <cell r="F3310">
            <v>1</v>
          </cell>
          <cell r="G3310">
            <v>36497</v>
          </cell>
          <cell r="H3310" t="str">
            <v>SP</v>
          </cell>
          <cell r="I3310" t="str">
            <v>North America</v>
          </cell>
          <cell r="J3310" t="str">
            <v>USA</v>
          </cell>
          <cell r="K3310">
            <v>35976</v>
          </cell>
        </row>
        <row r="3311">
          <cell r="A3311" t="str">
            <v>In service</v>
          </cell>
          <cell r="B3311" t="str">
            <v>Gulfstream Aerospace Gulfstream IV</v>
          </cell>
          <cell r="C3311" t="str">
            <v>SP</v>
          </cell>
          <cell r="D3311">
            <v>2000</v>
          </cell>
          <cell r="E3311" t="str">
            <v>High Tech Aircraft Corp</v>
          </cell>
          <cell r="F3311">
            <v>0</v>
          </cell>
          <cell r="G3311">
            <v>36825</v>
          </cell>
          <cell r="H3311" t="str">
            <v>SP</v>
          </cell>
          <cell r="I3311" t="str">
            <v>North America</v>
          </cell>
          <cell r="J3311" t="str">
            <v>USA</v>
          </cell>
          <cell r="K3311">
            <v>36341</v>
          </cell>
        </row>
        <row r="3312">
          <cell r="A3312" t="str">
            <v>In service</v>
          </cell>
          <cell r="B3312" t="str">
            <v>Gulfstream Aerospace Gulfstream IV</v>
          </cell>
          <cell r="C3312" t="str">
            <v>SP</v>
          </cell>
          <cell r="D3312">
            <v>2000</v>
          </cell>
          <cell r="E3312" t="str">
            <v>Harmony Management Inc</v>
          </cell>
          <cell r="F3312">
            <v>0</v>
          </cell>
          <cell r="G3312">
            <v>36768</v>
          </cell>
          <cell r="H3312" t="str">
            <v>SP</v>
          </cell>
          <cell r="I3312" t="str">
            <v>North America</v>
          </cell>
          <cell r="J3312" t="str">
            <v>USA</v>
          </cell>
          <cell r="K3312">
            <v>36341</v>
          </cell>
        </row>
        <row r="3313">
          <cell r="A3313" t="str">
            <v>In service</v>
          </cell>
          <cell r="B3313" t="str">
            <v>Gulfstream Aerospace Gulfstream IV</v>
          </cell>
          <cell r="C3313" t="str">
            <v>SP</v>
          </cell>
          <cell r="D3313">
            <v>2000</v>
          </cell>
          <cell r="E3313" t="str">
            <v>Alcoa Aircraft Operations</v>
          </cell>
          <cell r="F3313">
            <v>0</v>
          </cell>
          <cell r="G3313">
            <v>36769</v>
          </cell>
          <cell r="H3313" t="str">
            <v>SP</v>
          </cell>
          <cell r="I3313" t="str">
            <v>North America</v>
          </cell>
          <cell r="J3313" t="str">
            <v>USA</v>
          </cell>
          <cell r="K3313">
            <v>36341</v>
          </cell>
        </row>
        <row r="3314">
          <cell r="A3314" t="str">
            <v>In service</v>
          </cell>
          <cell r="B3314" t="str">
            <v>Gulfstream Aerospace Gulfstream IV</v>
          </cell>
          <cell r="C3314" t="str">
            <v>SP</v>
          </cell>
          <cell r="D3314">
            <v>2000</v>
          </cell>
          <cell r="E3314" t="str">
            <v>Hutching Automotive Products Inc</v>
          </cell>
          <cell r="F3314">
            <v>0</v>
          </cell>
          <cell r="G3314">
            <v>36725</v>
          </cell>
          <cell r="H3314" t="str">
            <v>SP</v>
          </cell>
          <cell r="I3314" t="str">
            <v>North America</v>
          </cell>
          <cell r="J3314" t="str">
            <v>USA</v>
          </cell>
          <cell r="K3314">
            <v>36341</v>
          </cell>
        </row>
        <row r="3315">
          <cell r="A3315" t="str">
            <v>In service</v>
          </cell>
          <cell r="B3315" t="str">
            <v>Gulfstream Aerospace Gulfstream IV</v>
          </cell>
          <cell r="C3315" t="str">
            <v>SP</v>
          </cell>
          <cell r="D3315">
            <v>2000</v>
          </cell>
          <cell r="E3315" t="str">
            <v>Netjets International</v>
          </cell>
          <cell r="F3315">
            <v>0</v>
          </cell>
          <cell r="G3315">
            <v>36699</v>
          </cell>
          <cell r="H3315" t="str">
            <v>SP</v>
          </cell>
          <cell r="I3315" t="str">
            <v>North America</v>
          </cell>
          <cell r="J3315" t="str">
            <v>USA</v>
          </cell>
          <cell r="K3315">
            <v>36045</v>
          </cell>
        </row>
        <row r="3316">
          <cell r="A3316" t="str">
            <v>In service</v>
          </cell>
          <cell r="B3316" t="str">
            <v>Gulfstream Aerospace Gulfstream IV</v>
          </cell>
          <cell r="C3316" t="str">
            <v>SP</v>
          </cell>
          <cell r="D3316">
            <v>2000</v>
          </cell>
          <cell r="E3316" t="str">
            <v>Rim Air LLC</v>
          </cell>
          <cell r="F3316">
            <v>0</v>
          </cell>
          <cell r="G3316">
            <v>36843</v>
          </cell>
          <cell r="H3316" t="str">
            <v>SP</v>
          </cell>
          <cell r="I3316" t="str">
            <v>North America</v>
          </cell>
          <cell r="J3316" t="str">
            <v>USA</v>
          </cell>
          <cell r="K3316">
            <v>36045</v>
          </cell>
        </row>
        <row r="3317">
          <cell r="A3317" t="str">
            <v>In service</v>
          </cell>
          <cell r="B3317" t="str">
            <v>Gulfstream Aerospace Gulfstream IV</v>
          </cell>
          <cell r="C3317" t="str">
            <v>SP</v>
          </cell>
          <cell r="D3317">
            <v>2000</v>
          </cell>
          <cell r="E3317" t="str">
            <v>Masanori Honjo &amp; Teruko Honjo</v>
          </cell>
          <cell r="F3317">
            <v>0</v>
          </cell>
          <cell r="G3317">
            <v>36797</v>
          </cell>
          <cell r="H3317" t="str">
            <v>SP</v>
          </cell>
          <cell r="I3317" t="str">
            <v>North America</v>
          </cell>
          <cell r="J3317" t="str">
            <v>USA</v>
          </cell>
          <cell r="K3317">
            <v>36045</v>
          </cell>
        </row>
        <row r="3318">
          <cell r="A3318" t="str">
            <v>In service</v>
          </cell>
          <cell r="B3318" t="str">
            <v>Gulfstream Aerospace Gulfstream IV</v>
          </cell>
          <cell r="C3318" t="str">
            <v>SP</v>
          </cell>
          <cell r="D3318">
            <v>2000</v>
          </cell>
          <cell r="E3318" t="str">
            <v>Limited Service Corp</v>
          </cell>
          <cell r="F3318">
            <v>0</v>
          </cell>
          <cell r="G3318">
            <v>36889</v>
          </cell>
          <cell r="H3318" t="str">
            <v>SP</v>
          </cell>
          <cell r="I3318" t="str">
            <v>North America</v>
          </cell>
          <cell r="J3318" t="str">
            <v>USA</v>
          </cell>
          <cell r="K3318">
            <v>36341</v>
          </cell>
        </row>
        <row r="3319">
          <cell r="A3319" t="str">
            <v>In service</v>
          </cell>
          <cell r="B3319" t="str">
            <v>Gulfstream Aerospace Gulfstream IV</v>
          </cell>
          <cell r="C3319" t="str">
            <v>SP</v>
          </cell>
          <cell r="D3319">
            <v>2000</v>
          </cell>
          <cell r="E3319" t="str">
            <v>Altria Corporate Services Inc</v>
          </cell>
          <cell r="F3319">
            <v>0</v>
          </cell>
          <cell r="G3319">
            <v>36790</v>
          </cell>
          <cell r="H3319" t="str">
            <v>SP</v>
          </cell>
          <cell r="I3319" t="str">
            <v>North America</v>
          </cell>
          <cell r="J3319" t="str">
            <v>USA</v>
          </cell>
          <cell r="K3319">
            <v>36045</v>
          </cell>
        </row>
        <row r="3320">
          <cell r="A3320" t="str">
            <v>In service</v>
          </cell>
          <cell r="B3320" t="str">
            <v>Gulfstream Aerospace Gulfstream IV</v>
          </cell>
          <cell r="C3320" t="str">
            <v>SP</v>
          </cell>
          <cell r="D3320">
            <v>2000</v>
          </cell>
          <cell r="E3320" t="str">
            <v>Netjets International</v>
          </cell>
          <cell r="F3320">
            <v>0</v>
          </cell>
          <cell r="G3320">
            <v>36733</v>
          </cell>
          <cell r="H3320" t="str">
            <v>SP</v>
          </cell>
          <cell r="I3320" t="str">
            <v>North America</v>
          </cell>
          <cell r="J3320" t="str">
            <v>USA</v>
          </cell>
          <cell r="K3320">
            <v>36087</v>
          </cell>
        </row>
        <row r="3321">
          <cell r="A3321" t="str">
            <v>In service</v>
          </cell>
          <cell r="B3321" t="str">
            <v>Gulfstream Aerospace Gulfstream IV</v>
          </cell>
          <cell r="C3321" t="str">
            <v>SP</v>
          </cell>
          <cell r="D3321">
            <v>2000</v>
          </cell>
          <cell r="E3321" t="str">
            <v>H &amp; S Ventures LLC</v>
          </cell>
          <cell r="F3321">
            <v>0</v>
          </cell>
          <cell r="G3321">
            <v>36880</v>
          </cell>
          <cell r="H3321" t="str">
            <v>SP</v>
          </cell>
          <cell r="I3321" t="str">
            <v>North America</v>
          </cell>
          <cell r="J3321" t="str">
            <v>USA</v>
          </cell>
          <cell r="K3321">
            <v>35976</v>
          </cell>
        </row>
        <row r="3322">
          <cell r="A3322" t="str">
            <v>In service</v>
          </cell>
          <cell r="B3322" t="str">
            <v>Gulfstream Aerospace Gulfstream IV</v>
          </cell>
          <cell r="C3322" t="str">
            <v>SP</v>
          </cell>
          <cell r="D3322">
            <v>2000</v>
          </cell>
          <cell r="E3322" t="str">
            <v>Bright Flight Inc</v>
          </cell>
          <cell r="F3322">
            <v>0</v>
          </cell>
          <cell r="G3322">
            <v>36829</v>
          </cell>
          <cell r="H3322" t="str">
            <v>SP</v>
          </cell>
          <cell r="I3322" t="str">
            <v>North America</v>
          </cell>
          <cell r="J3322" t="str">
            <v>USA</v>
          </cell>
          <cell r="K3322">
            <v>35976</v>
          </cell>
        </row>
        <row r="3323">
          <cell r="A3323" t="str">
            <v>In service</v>
          </cell>
          <cell r="B3323" t="str">
            <v>Gulfstream Aerospace Gulfstream IV</v>
          </cell>
          <cell r="C3323" t="str">
            <v>SP</v>
          </cell>
          <cell r="D3323">
            <v>2000</v>
          </cell>
          <cell r="E3323" t="str">
            <v>Dennis Vanguard (Switchgear) Ltd</v>
          </cell>
          <cell r="F3323">
            <v>0</v>
          </cell>
          <cell r="G3323">
            <v>36840</v>
          </cell>
          <cell r="H3323" t="str">
            <v>SP</v>
          </cell>
          <cell r="I3323" t="str">
            <v>Europe</v>
          </cell>
          <cell r="J3323" t="str">
            <v>United Kingdom</v>
          </cell>
          <cell r="K3323">
            <v>35976</v>
          </cell>
        </row>
        <row r="3324">
          <cell r="A3324" t="str">
            <v>In service</v>
          </cell>
          <cell r="B3324" t="str">
            <v>Gulfstream Aerospace Gulfstream IV</v>
          </cell>
          <cell r="C3324" t="str">
            <v>SP</v>
          </cell>
          <cell r="D3324">
            <v>2000</v>
          </cell>
          <cell r="E3324" t="str">
            <v>Netjets International</v>
          </cell>
          <cell r="F3324">
            <v>0</v>
          </cell>
          <cell r="G3324">
            <v>36839</v>
          </cell>
          <cell r="H3324" t="str">
            <v>SP</v>
          </cell>
          <cell r="I3324" t="str">
            <v>North America</v>
          </cell>
          <cell r="J3324" t="str">
            <v>USA</v>
          </cell>
          <cell r="K3324">
            <v>36087</v>
          </cell>
        </row>
        <row r="3325">
          <cell r="A3325" t="str">
            <v>In service</v>
          </cell>
          <cell r="B3325" t="str">
            <v>Gulfstream Aerospace Gulfstream IV</v>
          </cell>
          <cell r="C3325" t="str">
            <v>SP</v>
          </cell>
          <cell r="D3325">
            <v>2000</v>
          </cell>
          <cell r="E3325" t="str">
            <v>Netjets International</v>
          </cell>
          <cell r="F3325">
            <v>0</v>
          </cell>
          <cell r="G3325">
            <v>36780</v>
          </cell>
          <cell r="H3325" t="str">
            <v>SP</v>
          </cell>
          <cell r="I3325" t="str">
            <v>North America</v>
          </cell>
          <cell r="J3325" t="str">
            <v>USA</v>
          </cell>
          <cell r="K3325">
            <v>36087</v>
          </cell>
        </row>
        <row r="3326">
          <cell r="A3326" t="str">
            <v>In service</v>
          </cell>
          <cell r="B3326" t="str">
            <v>Gulfstream Aerospace Gulfstream IV</v>
          </cell>
          <cell r="C3326" t="str">
            <v>SP</v>
          </cell>
          <cell r="D3326">
            <v>2000</v>
          </cell>
          <cell r="E3326" t="str">
            <v>EMC Corp</v>
          </cell>
          <cell r="F3326">
            <v>0</v>
          </cell>
          <cell r="G3326">
            <v>36838</v>
          </cell>
          <cell r="H3326" t="str">
            <v>SP</v>
          </cell>
          <cell r="I3326" t="str">
            <v>North America</v>
          </cell>
          <cell r="J3326" t="str">
            <v>USA</v>
          </cell>
          <cell r="K3326">
            <v>36341</v>
          </cell>
        </row>
        <row r="3327">
          <cell r="A3327" t="str">
            <v>In service</v>
          </cell>
          <cell r="B3327" t="str">
            <v>Gulfstream Aerospace Gulfstream IV</v>
          </cell>
          <cell r="C3327" t="str">
            <v>SP</v>
          </cell>
          <cell r="D3327">
            <v>2000</v>
          </cell>
          <cell r="E3327" t="str">
            <v>Taubman Enterprises Inc</v>
          </cell>
          <cell r="F3327">
            <v>0</v>
          </cell>
          <cell r="G3327">
            <v>36864</v>
          </cell>
          <cell r="H3327" t="str">
            <v>SP</v>
          </cell>
          <cell r="I3327" t="str">
            <v>North America</v>
          </cell>
          <cell r="J3327" t="str">
            <v>USA</v>
          </cell>
          <cell r="K3327">
            <v>35976</v>
          </cell>
        </row>
        <row r="3328">
          <cell r="A3328" t="str">
            <v>In service</v>
          </cell>
          <cell r="B3328" t="str">
            <v>Gulfstream Aerospace Gulfstream IV</v>
          </cell>
          <cell r="C3328" t="str">
            <v>SP</v>
          </cell>
          <cell r="D3328">
            <v>2000</v>
          </cell>
          <cell r="E3328" t="str">
            <v>Snowbird Aviation LLC</v>
          </cell>
          <cell r="F3328">
            <v>0</v>
          </cell>
          <cell r="G3328">
            <v>36669</v>
          </cell>
          <cell r="H3328" t="str">
            <v>SP</v>
          </cell>
          <cell r="I3328" t="str">
            <v>North America</v>
          </cell>
          <cell r="J3328" t="str">
            <v>USA</v>
          </cell>
          <cell r="K3328">
            <v>36341</v>
          </cell>
        </row>
        <row r="3329">
          <cell r="A3329" t="str">
            <v>In service</v>
          </cell>
          <cell r="B3329" t="str">
            <v>Gulfstream Aerospace Gulfstream IV</v>
          </cell>
          <cell r="C3329" t="str">
            <v>SP</v>
          </cell>
          <cell r="D3329">
            <v>2000</v>
          </cell>
          <cell r="E3329" t="str">
            <v>Government of Uganda</v>
          </cell>
          <cell r="F3329">
            <v>0</v>
          </cell>
          <cell r="G3329">
            <v>36878</v>
          </cell>
          <cell r="H3329" t="str">
            <v>SP</v>
          </cell>
          <cell r="I3329" t="str">
            <v>Africa</v>
          </cell>
          <cell r="J3329" t="str">
            <v>Uganda</v>
          </cell>
          <cell r="K3329">
            <v>36707</v>
          </cell>
        </row>
        <row r="3330">
          <cell r="A3330" t="str">
            <v>In service</v>
          </cell>
          <cell r="B3330" t="str">
            <v>Gulfstream Aerospace Gulfstream IV</v>
          </cell>
          <cell r="C3330" t="str">
            <v>SP</v>
          </cell>
          <cell r="D3330">
            <v>2000</v>
          </cell>
          <cell r="E3330" t="str">
            <v>General Electric Credit Corp of Tennessee</v>
          </cell>
          <cell r="F3330">
            <v>0</v>
          </cell>
          <cell r="G3330">
            <v>36881</v>
          </cell>
          <cell r="H3330" t="str">
            <v>SP</v>
          </cell>
          <cell r="I3330" t="str">
            <v>North America</v>
          </cell>
          <cell r="J3330" t="str">
            <v>USA</v>
          </cell>
          <cell r="K3330">
            <v>36341</v>
          </cell>
        </row>
        <row r="3331">
          <cell r="A3331" t="str">
            <v>In service</v>
          </cell>
          <cell r="B3331" t="str">
            <v>Gulfstream Aerospace Gulfstream IV</v>
          </cell>
          <cell r="C3331" t="str">
            <v>U-4</v>
          </cell>
          <cell r="D3331">
            <v>1995</v>
          </cell>
          <cell r="E3331" t="str">
            <v>Japanese Air Self Defence Force</v>
          </cell>
          <cell r="F3331">
            <v>5</v>
          </cell>
          <cell r="G3331">
            <v>35384</v>
          </cell>
          <cell r="H3331" t="str">
            <v>U-4</v>
          </cell>
          <cell r="I3331" t="str">
            <v>Asia</v>
          </cell>
          <cell r="J3331" t="str">
            <v>Japan</v>
          </cell>
          <cell r="K3331">
            <v>34880</v>
          </cell>
        </row>
        <row r="3332">
          <cell r="A3332" t="str">
            <v>In service</v>
          </cell>
          <cell r="B3332" t="str">
            <v>Gulfstream Aerospace Gulfstream IV</v>
          </cell>
          <cell r="C3332" t="str">
            <v>U-4</v>
          </cell>
          <cell r="D3332">
            <v>1995</v>
          </cell>
          <cell r="E3332" t="str">
            <v>Japanese Air Self Defence Force</v>
          </cell>
          <cell r="F3332">
            <v>5</v>
          </cell>
          <cell r="G3332">
            <v>35504</v>
          </cell>
          <cell r="H3332" t="str">
            <v>U-4</v>
          </cell>
          <cell r="I3332" t="str">
            <v>Asia</v>
          </cell>
          <cell r="J3332" t="str">
            <v>Japan</v>
          </cell>
          <cell r="K3332">
            <v>34880</v>
          </cell>
        </row>
        <row r="3333">
          <cell r="A3333" t="str">
            <v>In service</v>
          </cell>
          <cell r="B3333" t="str">
            <v>Gulfstream Aerospace Gulfstream IV</v>
          </cell>
          <cell r="C3333" t="str">
            <v>U-4</v>
          </cell>
          <cell r="D3333">
            <v>1997</v>
          </cell>
          <cell r="E3333" t="str">
            <v>Japanese Air Self Defence Force</v>
          </cell>
          <cell r="F3333">
            <v>3</v>
          </cell>
          <cell r="G3333">
            <v>35688</v>
          </cell>
          <cell r="H3333" t="str">
            <v>U-4</v>
          </cell>
          <cell r="I3333" t="str">
            <v>Asia</v>
          </cell>
          <cell r="J3333" t="str">
            <v>Japan</v>
          </cell>
          <cell r="K3333">
            <v>35246</v>
          </cell>
        </row>
        <row r="3334">
          <cell r="A3334" t="str">
            <v>In service</v>
          </cell>
          <cell r="B3334" t="str">
            <v>Gulfstream Aerospace Gulfstream IV</v>
          </cell>
          <cell r="C3334" t="str">
            <v>U-4</v>
          </cell>
          <cell r="D3334">
            <v>1999</v>
          </cell>
          <cell r="E3334" t="str">
            <v>Japanese Air Self Defence Force</v>
          </cell>
          <cell r="F3334">
            <v>1</v>
          </cell>
          <cell r="G3334">
            <v>36234</v>
          </cell>
          <cell r="H3334" t="str">
            <v>U-4</v>
          </cell>
          <cell r="I3334" t="str">
            <v>Asia</v>
          </cell>
          <cell r="J3334" t="str">
            <v>Japan</v>
          </cell>
          <cell r="K3334">
            <v>35611</v>
          </cell>
        </row>
        <row r="3335">
          <cell r="A3335" t="str">
            <v>In service</v>
          </cell>
          <cell r="B3335" t="str">
            <v>Gulfstream Aerospace Gulfstream IV</v>
          </cell>
          <cell r="C3335" t="str">
            <v>U-4</v>
          </cell>
          <cell r="D3335">
            <v>1999</v>
          </cell>
          <cell r="E3335" t="str">
            <v>Japanese Air Self Defence Force</v>
          </cell>
          <cell r="F3335">
            <v>1</v>
          </cell>
          <cell r="G3335">
            <v>36586</v>
          </cell>
          <cell r="H3335" t="str">
            <v>U-4</v>
          </cell>
          <cell r="I3335" t="str">
            <v>Asia</v>
          </cell>
          <cell r="J3335" t="str">
            <v>Japan</v>
          </cell>
          <cell r="K3335">
            <v>35976</v>
          </cell>
        </row>
        <row r="3336">
          <cell r="A3336" t="str">
            <v>In service</v>
          </cell>
          <cell r="B3336" t="str">
            <v>Gulfstream Aerospace Gulfstream V</v>
          </cell>
          <cell r="C3336" t="str">
            <v xml:space="preserve"> </v>
          </cell>
          <cell r="D3336">
            <v>1995</v>
          </cell>
          <cell r="E3336" t="str">
            <v>Ford Air Services LLC</v>
          </cell>
          <cell r="F3336">
            <v>5</v>
          </cell>
          <cell r="G3336">
            <v>35864</v>
          </cell>
          <cell r="I3336" t="str">
            <v>North America</v>
          </cell>
          <cell r="J3336" t="str">
            <v>USA</v>
          </cell>
        </row>
        <row r="3337">
          <cell r="A3337" t="str">
            <v>In service</v>
          </cell>
          <cell r="B3337" t="str">
            <v>Gulfstream Aerospace Gulfstream V</v>
          </cell>
          <cell r="C3337" t="str">
            <v xml:space="preserve"> </v>
          </cell>
          <cell r="D3337">
            <v>1996</v>
          </cell>
          <cell r="E3337" t="str">
            <v>Skyflight Leasing Ltd</v>
          </cell>
          <cell r="F3337">
            <v>4</v>
          </cell>
          <cell r="G3337">
            <v>36405</v>
          </cell>
          <cell r="I3337" t="str">
            <v>North America</v>
          </cell>
          <cell r="J3337" t="str">
            <v>USA</v>
          </cell>
        </row>
        <row r="3338">
          <cell r="A3338" t="str">
            <v>In service</v>
          </cell>
          <cell r="B3338" t="str">
            <v>Gulfstream Aerospace Gulfstream V</v>
          </cell>
          <cell r="C3338" t="str">
            <v xml:space="preserve"> </v>
          </cell>
          <cell r="D3338">
            <v>1996</v>
          </cell>
          <cell r="E3338" t="str">
            <v>FL Aviation Group Inc</v>
          </cell>
          <cell r="F3338">
            <v>4</v>
          </cell>
          <cell r="G3338">
            <v>35976</v>
          </cell>
          <cell r="I3338" t="str">
            <v>North America</v>
          </cell>
          <cell r="J3338" t="str">
            <v>USA</v>
          </cell>
        </row>
        <row r="3339">
          <cell r="A3339" t="str">
            <v>In service</v>
          </cell>
          <cell r="B3339" t="str">
            <v>Gulfstream Aerospace Gulfstream V</v>
          </cell>
          <cell r="C3339" t="str">
            <v xml:space="preserve"> </v>
          </cell>
          <cell r="D3339">
            <v>1996</v>
          </cell>
          <cell r="E3339" t="str">
            <v>Renco Group Inc</v>
          </cell>
          <cell r="F3339">
            <v>4</v>
          </cell>
          <cell r="G3339">
            <v>35685</v>
          </cell>
          <cell r="I3339" t="str">
            <v>North America</v>
          </cell>
          <cell r="J3339" t="str">
            <v>USA</v>
          </cell>
        </row>
        <row r="3340">
          <cell r="A3340" t="str">
            <v>In service</v>
          </cell>
          <cell r="B3340" t="str">
            <v>Gulfstream Aerospace Gulfstream V</v>
          </cell>
          <cell r="C3340" t="str">
            <v xml:space="preserve"> </v>
          </cell>
          <cell r="D3340">
            <v>1996</v>
          </cell>
          <cell r="E3340" t="str">
            <v>Westair Aviation</v>
          </cell>
          <cell r="F3340">
            <v>4</v>
          </cell>
          <cell r="G3340">
            <v>35756</v>
          </cell>
          <cell r="I3340" t="str">
            <v>Europe</v>
          </cell>
          <cell r="J3340" t="str">
            <v>Ireland</v>
          </cell>
        </row>
        <row r="3341">
          <cell r="A3341" t="str">
            <v>In service</v>
          </cell>
          <cell r="B3341" t="str">
            <v>Gulfstream Aerospace Gulfstream V</v>
          </cell>
          <cell r="C3341" t="str">
            <v xml:space="preserve"> </v>
          </cell>
          <cell r="D3341">
            <v>1997</v>
          </cell>
          <cell r="E3341" t="str">
            <v>Loma Negra CIASA</v>
          </cell>
          <cell r="F3341">
            <v>3</v>
          </cell>
          <cell r="G3341">
            <v>35648</v>
          </cell>
          <cell r="I3341" t="str">
            <v>Latin America and Caribbean</v>
          </cell>
          <cell r="J3341" t="str">
            <v>Argentina</v>
          </cell>
          <cell r="K3341">
            <v>35246</v>
          </cell>
        </row>
        <row r="3342">
          <cell r="A3342" t="str">
            <v>In service</v>
          </cell>
          <cell r="B3342" t="str">
            <v>Gulfstream Aerospace Gulfstream V</v>
          </cell>
          <cell r="C3342" t="str">
            <v xml:space="preserve"> </v>
          </cell>
          <cell r="D3342">
            <v>1997</v>
          </cell>
          <cell r="E3342" t="str">
            <v>JB Air Corp</v>
          </cell>
          <cell r="F3342">
            <v>3</v>
          </cell>
          <cell r="G3342">
            <v>35612</v>
          </cell>
          <cell r="I3342" t="str">
            <v>North America</v>
          </cell>
          <cell r="J3342" t="str">
            <v>USA</v>
          </cell>
          <cell r="K3342">
            <v>34880</v>
          </cell>
        </row>
        <row r="3343">
          <cell r="A3343" t="str">
            <v>In service</v>
          </cell>
          <cell r="B3343" t="str">
            <v>Gulfstream Aerospace Gulfstream V</v>
          </cell>
          <cell r="C3343" t="str">
            <v xml:space="preserve"> </v>
          </cell>
          <cell r="D3343">
            <v>1996</v>
          </cell>
          <cell r="E3343" t="str">
            <v>BancBoston Transport Leasing Inc</v>
          </cell>
          <cell r="F3343">
            <v>4</v>
          </cell>
          <cell r="G3343">
            <v>35461</v>
          </cell>
          <cell r="I3343" t="str">
            <v>North America</v>
          </cell>
          <cell r="J3343" t="str">
            <v>USA</v>
          </cell>
          <cell r="K3343">
            <v>34880</v>
          </cell>
        </row>
        <row r="3344">
          <cell r="A3344" t="str">
            <v>In service</v>
          </cell>
          <cell r="B3344" t="str">
            <v>Gulfstream Aerospace Gulfstream V</v>
          </cell>
          <cell r="C3344" t="str">
            <v xml:space="preserve"> </v>
          </cell>
          <cell r="D3344">
            <v>1997</v>
          </cell>
          <cell r="E3344" t="str">
            <v>Gulfstream Aerospace Corp</v>
          </cell>
          <cell r="F3344">
            <v>3</v>
          </cell>
          <cell r="G3344">
            <v>35476</v>
          </cell>
          <cell r="I3344" t="str">
            <v>North America</v>
          </cell>
          <cell r="J3344" t="str">
            <v>USA</v>
          </cell>
          <cell r="K3344">
            <v>35246</v>
          </cell>
        </row>
        <row r="3345">
          <cell r="A3345" t="str">
            <v>In service</v>
          </cell>
          <cell r="B3345" t="str">
            <v>Gulfstream Aerospace Gulfstream V</v>
          </cell>
          <cell r="C3345" t="str">
            <v xml:space="preserve"> </v>
          </cell>
          <cell r="D3345">
            <v>1997</v>
          </cell>
          <cell r="E3345" t="str">
            <v>BMW Flugdienst</v>
          </cell>
          <cell r="F3345">
            <v>3</v>
          </cell>
          <cell r="G3345">
            <v>35802</v>
          </cell>
          <cell r="I3345" t="str">
            <v>Europe</v>
          </cell>
          <cell r="J3345" t="str">
            <v>Germany</v>
          </cell>
          <cell r="K3345">
            <v>35246</v>
          </cell>
        </row>
        <row r="3346">
          <cell r="A3346" t="str">
            <v>In service</v>
          </cell>
          <cell r="B3346" t="str">
            <v>Gulfstream Aerospace Gulfstream V</v>
          </cell>
          <cell r="C3346" t="str">
            <v xml:space="preserve"> </v>
          </cell>
          <cell r="D3346">
            <v>1997</v>
          </cell>
          <cell r="E3346" t="str">
            <v>Rolls-Royce</v>
          </cell>
          <cell r="F3346">
            <v>3</v>
          </cell>
          <cell r="G3346">
            <v>35749</v>
          </cell>
          <cell r="I3346" t="str">
            <v>Europe</v>
          </cell>
          <cell r="J3346" t="str">
            <v>United Kingdom</v>
          </cell>
          <cell r="K3346">
            <v>34880</v>
          </cell>
        </row>
        <row r="3347">
          <cell r="A3347" t="str">
            <v>In service</v>
          </cell>
          <cell r="B3347" t="str">
            <v>Gulfstream Aerospace Gulfstream V</v>
          </cell>
          <cell r="C3347" t="str">
            <v xml:space="preserve"> </v>
          </cell>
          <cell r="D3347">
            <v>1997</v>
          </cell>
          <cell r="E3347" t="str">
            <v>Ropa Two Corp</v>
          </cell>
          <cell r="F3347">
            <v>3</v>
          </cell>
          <cell r="G3347">
            <v>35515</v>
          </cell>
          <cell r="I3347" t="str">
            <v>North America</v>
          </cell>
          <cell r="J3347" t="str">
            <v>USA</v>
          </cell>
          <cell r="K3347">
            <v>34880</v>
          </cell>
        </row>
        <row r="3348">
          <cell r="A3348" t="str">
            <v>In service</v>
          </cell>
          <cell r="B3348" t="str">
            <v>Gulfstream Aerospace Gulfstream V</v>
          </cell>
          <cell r="C3348" t="str">
            <v xml:space="preserve"> </v>
          </cell>
          <cell r="D3348">
            <v>1997</v>
          </cell>
          <cell r="E3348" t="str">
            <v>Jet Aviation Business Jets</v>
          </cell>
          <cell r="F3348">
            <v>3</v>
          </cell>
          <cell r="G3348">
            <v>35587</v>
          </cell>
          <cell r="I3348" t="str">
            <v>Europe</v>
          </cell>
          <cell r="J3348" t="str">
            <v>Switzerland</v>
          </cell>
          <cell r="K3348">
            <v>35246</v>
          </cell>
        </row>
        <row r="3349">
          <cell r="A3349" t="str">
            <v>In service</v>
          </cell>
          <cell r="B3349" t="str">
            <v>Gulfstream Aerospace Gulfstream V</v>
          </cell>
          <cell r="C3349" t="str">
            <v xml:space="preserve"> </v>
          </cell>
          <cell r="D3349">
            <v>1997</v>
          </cell>
          <cell r="E3349" t="str">
            <v>Ford Motor Co</v>
          </cell>
          <cell r="F3349">
            <v>3</v>
          </cell>
          <cell r="G3349">
            <v>35565</v>
          </cell>
          <cell r="I3349" t="str">
            <v>North America</v>
          </cell>
          <cell r="J3349" t="str">
            <v>USA</v>
          </cell>
          <cell r="K3349">
            <v>35246</v>
          </cell>
        </row>
        <row r="3350">
          <cell r="A3350" t="str">
            <v>In service</v>
          </cell>
          <cell r="B3350" t="str">
            <v>Gulfstream Aerospace Gulfstream V</v>
          </cell>
          <cell r="C3350" t="str">
            <v xml:space="preserve"> </v>
          </cell>
          <cell r="D3350">
            <v>1997</v>
          </cell>
          <cell r="E3350" t="str">
            <v>Government of Brunei</v>
          </cell>
          <cell r="F3350">
            <v>3</v>
          </cell>
          <cell r="G3350">
            <v>35688</v>
          </cell>
          <cell r="I3350" t="str">
            <v>Asia</v>
          </cell>
          <cell r="J3350" t="str">
            <v>Brunei</v>
          </cell>
          <cell r="K3350">
            <v>35246</v>
          </cell>
        </row>
        <row r="3351">
          <cell r="A3351" t="str">
            <v>In service</v>
          </cell>
          <cell r="B3351" t="str">
            <v>Gulfstream Aerospace Gulfstream V</v>
          </cell>
          <cell r="C3351" t="str">
            <v xml:space="preserve"> </v>
          </cell>
          <cell r="D3351">
            <v>1997</v>
          </cell>
          <cell r="E3351" t="str">
            <v>Bank of America Special Assets Corp</v>
          </cell>
          <cell r="F3351">
            <v>3</v>
          </cell>
          <cell r="G3351">
            <v>35611</v>
          </cell>
          <cell r="I3351" t="str">
            <v>North America</v>
          </cell>
          <cell r="J3351" t="str">
            <v>USA</v>
          </cell>
          <cell r="K3351">
            <v>34880</v>
          </cell>
        </row>
        <row r="3352">
          <cell r="A3352" t="str">
            <v>In service</v>
          </cell>
          <cell r="B3352" t="str">
            <v>Gulfstream Aerospace Gulfstream V</v>
          </cell>
          <cell r="C3352" t="str">
            <v xml:space="preserve"> </v>
          </cell>
          <cell r="D3352">
            <v>1997</v>
          </cell>
          <cell r="E3352" t="str">
            <v>G5 Executive</v>
          </cell>
          <cell r="F3352">
            <v>3</v>
          </cell>
          <cell r="G3352">
            <v>35657</v>
          </cell>
          <cell r="I3352" t="str">
            <v>Europe</v>
          </cell>
          <cell r="J3352" t="str">
            <v>Switzerland</v>
          </cell>
          <cell r="K3352">
            <v>34880</v>
          </cell>
        </row>
        <row r="3353">
          <cell r="A3353" t="str">
            <v>In service</v>
          </cell>
          <cell r="B3353" t="str">
            <v>Gulfstream Aerospace Gulfstream V</v>
          </cell>
          <cell r="C3353" t="str">
            <v xml:space="preserve"> </v>
          </cell>
          <cell r="D3353">
            <v>1997</v>
          </cell>
          <cell r="E3353" t="str">
            <v>Gulfstream Aerospace Corp</v>
          </cell>
          <cell r="F3353">
            <v>3</v>
          </cell>
          <cell r="G3353">
            <v>35991</v>
          </cell>
          <cell r="I3353" t="str">
            <v>North America</v>
          </cell>
          <cell r="J3353" t="str">
            <v>USA</v>
          </cell>
          <cell r="K3353">
            <v>35246</v>
          </cell>
        </row>
        <row r="3354">
          <cell r="A3354" t="str">
            <v>In service</v>
          </cell>
          <cell r="B3354" t="str">
            <v>Gulfstream Aerospace Gulfstream V</v>
          </cell>
          <cell r="C3354" t="str">
            <v xml:space="preserve"> </v>
          </cell>
          <cell r="D3354">
            <v>1997</v>
          </cell>
          <cell r="E3354" t="str">
            <v>Trans World Oil</v>
          </cell>
          <cell r="F3354">
            <v>3</v>
          </cell>
          <cell r="G3354">
            <v>35836</v>
          </cell>
          <cell r="I3354" t="str">
            <v>Latin America and Caribbean</v>
          </cell>
          <cell r="J3354" t="str">
            <v>Cayman Islands</v>
          </cell>
          <cell r="K3354">
            <v>35246</v>
          </cell>
        </row>
        <row r="3355">
          <cell r="A3355" t="str">
            <v>In service</v>
          </cell>
          <cell r="B3355" t="str">
            <v>Gulfstream Aerospace Gulfstream V</v>
          </cell>
          <cell r="C3355" t="str">
            <v xml:space="preserve"> </v>
          </cell>
          <cell r="D3355">
            <v>1998</v>
          </cell>
          <cell r="E3355" t="str">
            <v>Wing and A Prayer Inc</v>
          </cell>
          <cell r="F3355">
            <v>2</v>
          </cell>
          <cell r="G3355">
            <v>35872</v>
          </cell>
          <cell r="I3355" t="str">
            <v>North America</v>
          </cell>
          <cell r="J3355" t="str">
            <v>USA</v>
          </cell>
          <cell r="K3355">
            <v>35246</v>
          </cell>
        </row>
        <row r="3356">
          <cell r="A3356" t="str">
            <v>In service</v>
          </cell>
          <cell r="B3356" t="str">
            <v>Gulfstream Aerospace Gulfstream V</v>
          </cell>
          <cell r="C3356" t="str">
            <v xml:space="preserve"> </v>
          </cell>
          <cell r="D3356">
            <v>1998</v>
          </cell>
          <cell r="E3356" t="str">
            <v>US Air Force</v>
          </cell>
          <cell r="F3356">
            <v>2</v>
          </cell>
          <cell r="G3356">
            <v>36082</v>
          </cell>
          <cell r="H3356" t="str">
            <v>C-37A</v>
          </cell>
          <cell r="I3356" t="str">
            <v>North America</v>
          </cell>
          <cell r="J3356" t="str">
            <v>USA</v>
          </cell>
          <cell r="K3356">
            <v>35559</v>
          </cell>
        </row>
        <row r="3357">
          <cell r="A3357" t="str">
            <v>In service</v>
          </cell>
          <cell r="B3357" t="str">
            <v>Gulfstream Aerospace Gulfstream V</v>
          </cell>
          <cell r="C3357" t="str">
            <v xml:space="preserve"> </v>
          </cell>
          <cell r="D3357">
            <v>1998</v>
          </cell>
          <cell r="E3357" t="str">
            <v>Hubbard Broadcasting Inc</v>
          </cell>
          <cell r="F3357">
            <v>2</v>
          </cell>
          <cell r="G3357">
            <v>35905</v>
          </cell>
          <cell r="I3357" t="str">
            <v>North America</v>
          </cell>
          <cell r="J3357" t="str">
            <v>USA</v>
          </cell>
          <cell r="K3357">
            <v>34880</v>
          </cell>
        </row>
        <row r="3358">
          <cell r="A3358" t="str">
            <v>In service</v>
          </cell>
          <cell r="B3358" t="str">
            <v>Gulfstream Aerospace Gulfstream V</v>
          </cell>
          <cell r="C3358" t="str">
            <v xml:space="preserve"> </v>
          </cell>
          <cell r="D3358">
            <v>1997</v>
          </cell>
          <cell r="E3358" t="str">
            <v>McLeodUSA &amp; C&amp;M Consulting LLC</v>
          </cell>
          <cell r="F3358">
            <v>3</v>
          </cell>
          <cell r="G3358">
            <v>36342</v>
          </cell>
          <cell r="I3358" t="str">
            <v>North America</v>
          </cell>
          <cell r="J3358" t="str">
            <v>USA</v>
          </cell>
          <cell r="K3358">
            <v>35246</v>
          </cell>
        </row>
        <row r="3359">
          <cell r="A3359" t="str">
            <v>In service</v>
          </cell>
          <cell r="B3359" t="str">
            <v>Gulfstream Aerospace Gulfstream V</v>
          </cell>
          <cell r="C3359" t="str">
            <v xml:space="preserve"> </v>
          </cell>
          <cell r="D3359">
            <v>1997</v>
          </cell>
          <cell r="E3359" t="str">
            <v>Deere &amp; Co</v>
          </cell>
          <cell r="F3359">
            <v>3</v>
          </cell>
          <cell r="G3359">
            <v>35668</v>
          </cell>
          <cell r="I3359" t="str">
            <v>North America</v>
          </cell>
          <cell r="J3359" t="str">
            <v>USA</v>
          </cell>
          <cell r="K3359">
            <v>35246</v>
          </cell>
        </row>
        <row r="3360">
          <cell r="A3360" t="str">
            <v>In service</v>
          </cell>
          <cell r="B3360" t="str">
            <v>Gulfstream Aerospace Gulfstream V</v>
          </cell>
          <cell r="C3360" t="str">
            <v xml:space="preserve"> </v>
          </cell>
          <cell r="D3360">
            <v>1997</v>
          </cell>
          <cell r="E3360" t="str">
            <v>Jefferson Smurfit Corp</v>
          </cell>
          <cell r="F3360">
            <v>3</v>
          </cell>
          <cell r="G3360">
            <v>35697</v>
          </cell>
          <cell r="I3360" t="str">
            <v>North America</v>
          </cell>
          <cell r="J3360" t="str">
            <v>USA</v>
          </cell>
          <cell r="K3360">
            <v>35246</v>
          </cell>
        </row>
        <row r="3361">
          <cell r="A3361" t="str">
            <v>In service</v>
          </cell>
          <cell r="B3361" t="str">
            <v>Gulfstream Aerospace Gulfstream V</v>
          </cell>
          <cell r="C3361" t="str">
            <v xml:space="preserve"> </v>
          </cell>
          <cell r="D3361">
            <v>1998</v>
          </cell>
          <cell r="E3361" t="str">
            <v>The Coca-Cola Co</v>
          </cell>
          <cell r="F3361">
            <v>2</v>
          </cell>
          <cell r="G3361">
            <v>36031</v>
          </cell>
          <cell r="I3361" t="str">
            <v>North America</v>
          </cell>
          <cell r="J3361" t="str">
            <v>USA</v>
          </cell>
          <cell r="K3361">
            <v>35246</v>
          </cell>
        </row>
        <row r="3362">
          <cell r="A3362" t="str">
            <v>In service</v>
          </cell>
          <cell r="B3362" t="str">
            <v>Gulfstream Aerospace Gulfstream V</v>
          </cell>
          <cell r="C3362" t="str">
            <v xml:space="preserve"> </v>
          </cell>
          <cell r="D3362">
            <v>1998</v>
          </cell>
          <cell r="E3362" t="str">
            <v>Wekel SA</v>
          </cell>
          <cell r="F3362">
            <v>2</v>
          </cell>
          <cell r="G3362">
            <v>36068</v>
          </cell>
          <cell r="I3362" t="str">
            <v>Latin America and Caribbean</v>
          </cell>
          <cell r="J3362" t="str">
            <v>Colombia</v>
          </cell>
          <cell r="K3362">
            <v>35246</v>
          </cell>
        </row>
        <row r="3363">
          <cell r="A3363" t="str">
            <v>In service</v>
          </cell>
          <cell r="B3363" t="str">
            <v>Gulfstream Aerospace Gulfstream V</v>
          </cell>
          <cell r="C3363" t="str">
            <v xml:space="preserve"> </v>
          </cell>
          <cell r="D3363">
            <v>1997</v>
          </cell>
          <cell r="E3363" t="str">
            <v>Consortium of AOL Time Warner Companies</v>
          </cell>
          <cell r="F3363">
            <v>3</v>
          </cell>
          <cell r="G3363">
            <v>35969</v>
          </cell>
          <cell r="I3363" t="str">
            <v>North America</v>
          </cell>
          <cell r="J3363" t="str">
            <v>USA</v>
          </cell>
          <cell r="K3363">
            <v>35246</v>
          </cell>
        </row>
        <row r="3364">
          <cell r="A3364" t="str">
            <v>In service</v>
          </cell>
          <cell r="B3364" t="str">
            <v>Gulfstream Aerospace Gulfstream V</v>
          </cell>
          <cell r="C3364" t="str">
            <v xml:space="preserve"> </v>
          </cell>
          <cell r="D3364">
            <v>1997</v>
          </cell>
          <cell r="E3364" t="str">
            <v>Consortium of AOL Time Warner Companies</v>
          </cell>
          <cell r="F3364">
            <v>3</v>
          </cell>
          <cell r="G3364">
            <v>35969</v>
          </cell>
          <cell r="I3364" t="str">
            <v>North America</v>
          </cell>
          <cell r="J3364" t="str">
            <v>USA</v>
          </cell>
          <cell r="K3364">
            <v>35246</v>
          </cell>
        </row>
        <row r="3365">
          <cell r="A3365" t="str">
            <v>In service</v>
          </cell>
          <cell r="B3365" t="str">
            <v>Gulfstream Aerospace Gulfstream V</v>
          </cell>
          <cell r="C3365" t="str">
            <v xml:space="preserve"> </v>
          </cell>
          <cell r="D3365">
            <v>1998</v>
          </cell>
          <cell r="E3365" t="str">
            <v>IBM Corp</v>
          </cell>
          <cell r="F3365">
            <v>2</v>
          </cell>
          <cell r="G3365">
            <v>36062</v>
          </cell>
          <cell r="I3365" t="str">
            <v>North America</v>
          </cell>
          <cell r="J3365" t="str">
            <v>USA</v>
          </cell>
          <cell r="K3365">
            <v>35246</v>
          </cell>
        </row>
        <row r="3366">
          <cell r="A3366" t="str">
            <v>In service</v>
          </cell>
          <cell r="B3366" t="str">
            <v>Gulfstream Aerospace Gulfstream V</v>
          </cell>
          <cell r="C3366" t="str">
            <v xml:space="preserve"> </v>
          </cell>
          <cell r="D3366">
            <v>1997</v>
          </cell>
          <cell r="E3366" t="str">
            <v>The Air Group Inc</v>
          </cell>
          <cell r="F3366">
            <v>3</v>
          </cell>
          <cell r="G3366">
            <v>35741</v>
          </cell>
          <cell r="I3366" t="str">
            <v>North America</v>
          </cell>
          <cell r="J3366" t="str">
            <v>USA</v>
          </cell>
          <cell r="K3366">
            <v>35246</v>
          </cell>
        </row>
        <row r="3367">
          <cell r="A3367" t="str">
            <v>In service</v>
          </cell>
          <cell r="B3367" t="str">
            <v>Gulfstream Aerospace Gulfstream V</v>
          </cell>
          <cell r="C3367" t="str">
            <v xml:space="preserve"> </v>
          </cell>
          <cell r="D3367">
            <v>1997</v>
          </cell>
          <cell r="E3367" t="str">
            <v>North Carolina Air &amp; Travel LLC</v>
          </cell>
          <cell r="F3367">
            <v>3</v>
          </cell>
          <cell r="G3367">
            <v>35759</v>
          </cell>
          <cell r="I3367" t="str">
            <v>North America</v>
          </cell>
          <cell r="J3367" t="str">
            <v>USA</v>
          </cell>
          <cell r="K3367">
            <v>35246</v>
          </cell>
        </row>
        <row r="3368">
          <cell r="A3368" t="str">
            <v>In service</v>
          </cell>
          <cell r="B3368" t="str">
            <v>Gulfstream Aerospace Gulfstream V</v>
          </cell>
          <cell r="C3368" t="str">
            <v xml:space="preserve"> </v>
          </cell>
          <cell r="D3368">
            <v>1997</v>
          </cell>
          <cell r="E3368" t="str">
            <v>Commander Mexicana SA de CV</v>
          </cell>
          <cell r="F3368">
            <v>3</v>
          </cell>
          <cell r="G3368">
            <v>35807</v>
          </cell>
          <cell r="I3368" t="str">
            <v>Latin America and Caribbean</v>
          </cell>
          <cell r="J3368" t="str">
            <v>Mexico</v>
          </cell>
          <cell r="K3368">
            <v>35246</v>
          </cell>
        </row>
        <row r="3369">
          <cell r="A3369" t="str">
            <v>In service</v>
          </cell>
          <cell r="B3369" t="str">
            <v>Gulfstream Aerospace Gulfstream V</v>
          </cell>
          <cell r="C3369" t="str">
            <v xml:space="preserve"> </v>
          </cell>
          <cell r="D3369">
            <v>1998</v>
          </cell>
          <cell r="E3369" t="str">
            <v>Automotive Air Charter</v>
          </cell>
          <cell r="F3369">
            <v>2</v>
          </cell>
          <cell r="G3369">
            <v>36076</v>
          </cell>
          <cell r="I3369" t="str">
            <v>North America</v>
          </cell>
          <cell r="J3369" t="str">
            <v>USA</v>
          </cell>
          <cell r="K3369">
            <v>35611</v>
          </cell>
        </row>
        <row r="3370">
          <cell r="A3370" t="str">
            <v>In service</v>
          </cell>
          <cell r="B3370" t="str">
            <v>Gulfstream Aerospace Gulfstream V</v>
          </cell>
          <cell r="C3370" t="str">
            <v xml:space="preserve"> </v>
          </cell>
          <cell r="D3370">
            <v>1997</v>
          </cell>
          <cell r="E3370" t="str">
            <v>Vivendi Universal</v>
          </cell>
          <cell r="F3370">
            <v>3</v>
          </cell>
          <cell r="G3370">
            <v>35804</v>
          </cell>
          <cell r="I3370" t="str">
            <v>North America</v>
          </cell>
          <cell r="J3370" t="str">
            <v>USA</v>
          </cell>
          <cell r="K3370">
            <v>35246</v>
          </cell>
        </row>
        <row r="3371">
          <cell r="A3371" t="str">
            <v>In service</v>
          </cell>
          <cell r="B3371" t="str">
            <v>Gulfstream Aerospace Gulfstream V</v>
          </cell>
          <cell r="C3371" t="str">
            <v xml:space="preserve"> </v>
          </cell>
          <cell r="D3371">
            <v>1998</v>
          </cell>
          <cell r="E3371" t="str">
            <v>United Healthcare Services Inc</v>
          </cell>
          <cell r="F3371">
            <v>2</v>
          </cell>
          <cell r="G3371">
            <v>35830</v>
          </cell>
          <cell r="I3371" t="str">
            <v>North America</v>
          </cell>
          <cell r="J3371" t="str">
            <v>USA</v>
          </cell>
          <cell r="K3371">
            <v>35246</v>
          </cell>
        </row>
        <row r="3372">
          <cell r="A3372" t="str">
            <v>In service</v>
          </cell>
          <cell r="B3372" t="str">
            <v>Gulfstream Aerospace Gulfstream V</v>
          </cell>
          <cell r="C3372" t="str">
            <v xml:space="preserve"> </v>
          </cell>
          <cell r="D3372">
            <v>1999</v>
          </cell>
          <cell r="E3372" t="str">
            <v>Helicol</v>
          </cell>
          <cell r="F3372">
            <v>1</v>
          </cell>
          <cell r="G3372">
            <v>36234</v>
          </cell>
          <cell r="I3372" t="str">
            <v>Latin America and Caribbean</v>
          </cell>
          <cell r="J3372" t="str">
            <v>Colombia</v>
          </cell>
          <cell r="K3372">
            <v>35611</v>
          </cell>
        </row>
        <row r="3373">
          <cell r="A3373" t="str">
            <v>In service</v>
          </cell>
          <cell r="B3373" t="str">
            <v>Gulfstream Aerospace Gulfstream V</v>
          </cell>
          <cell r="C3373" t="str">
            <v xml:space="preserve"> </v>
          </cell>
          <cell r="D3373">
            <v>1998</v>
          </cell>
          <cell r="E3373" t="str">
            <v>Open Road Airways Inc</v>
          </cell>
          <cell r="F3373">
            <v>2</v>
          </cell>
          <cell r="G3373">
            <v>35845</v>
          </cell>
          <cell r="I3373" t="str">
            <v>North America</v>
          </cell>
          <cell r="J3373" t="str">
            <v>USA</v>
          </cell>
          <cell r="K3373">
            <v>35611</v>
          </cell>
        </row>
        <row r="3374">
          <cell r="A3374" t="str">
            <v>In service</v>
          </cell>
          <cell r="B3374" t="str">
            <v>Gulfstream Aerospace Gulfstream V</v>
          </cell>
          <cell r="C3374" t="str">
            <v xml:space="preserve"> </v>
          </cell>
          <cell r="D3374">
            <v>1998</v>
          </cell>
          <cell r="E3374" t="str">
            <v>Flight Management LLC</v>
          </cell>
          <cell r="F3374">
            <v>2</v>
          </cell>
          <cell r="G3374">
            <v>36307</v>
          </cell>
          <cell r="I3374" t="str">
            <v>North America</v>
          </cell>
          <cell r="J3374" t="str">
            <v>USA</v>
          </cell>
          <cell r="K3374">
            <v>35611</v>
          </cell>
        </row>
        <row r="3375">
          <cell r="A3375" t="str">
            <v>In service</v>
          </cell>
          <cell r="B3375" t="str">
            <v>Gulfstream Aerospace Gulfstream V</v>
          </cell>
          <cell r="C3375" t="str">
            <v xml:space="preserve"> </v>
          </cell>
          <cell r="D3375">
            <v>1998</v>
          </cell>
          <cell r="E3375" t="str">
            <v>Organizacion Editorial Mexicana SA de CV</v>
          </cell>
          <cell r="F3375">
            <v>2</v>
          </cell>
          <cell r="G3375">
            <v>36265</v>
          </cell>
          <cell r="I3375" t="str">
            <v>Latin America and Caribbean</v>
          </cell>
          <cell r="J3375" t="str">
            <v>Mexico</v>
          </cell>
          <cell r="K3375">
            <v>35246</v>
          </cell>
        </row>
        <row r="3376">
          <cell r="A3376" t="str">
            <v>In service</v>
          </cell>
          <cell r="B3376" t="str">
            <v>Gulfstream Aerospace Gulfstream V</v>
          </cell>
          <cell r="C3376" t="str">
            <v xml:space="preserve"> </v>
          </cell>
          <cell r="D3376">
            <v>1999</v>
          </cell>
          <cell r="E3376" t="str">
            <v>Lockheed Martin Corp</v>
          </cell>
          <cell r="F3376">
            <v>1</v>
          </cell>
          <cell r="G3376">
            <v>36266</v>
          </cell>
          <cell r="I3376" t="str">
            <v>North America</v>
          </cell>
          <cell r="J3376" t="str">
            <v>USA</v>
          </cell>
          <cell r="K3376">
            <v>35611</v>
          </cell>
        </row>
        <row r="3377">
          <cell r="A3377" t="str">
            <v>In service</v>
          </cell>
          <cell r="B3377" t="str">
            <v>Gulfstream Aerospace Gulfstream V</v>
          </cell>
          <cell r="C3377" t="str">
            <v xml:space="preserve"> </v>
          </cell>
          <cell r="D3377">
            <v>1998</v>
          </cell>
          <cell r="E3377" t="str">
            <v>US Air Force</v>
          </cell>
          <cell r="F3377">
            <v>2</v>
          </cell>
          <cell r="G3377">
            <v>36175</v>
          </cell>
          <cell r="H3377" t="str">
            <v>C-37A</v>
          </cell>
          <cell r="I3377" t="str">
            <v>North America</v>
          </cell>
          <cell r="J3377" t="str">
            <v>USA</v>
          </cell>
          <cell r="K3377">
            <v>35559</v>
          </cell>
        </row>
        <row r="3378">
          <cell r="A3378" t="str">
            <v>In service</v>
          </cell>
          <cell r="B3378" t="str">
            <v>Gulfstream Aerospace Gulfstream V</v>
          </cell>
          <cell r="C3378" t="str">
            <v xml:space="preserve"> </v>
          </cell>
          <cell r="D3378">
            <v>1998</v>
          </cell>
          <cell r="E3378" t="str">
            <v>Foreign Manufacturers Finance Corp</v>
          </cell>
          <cell r="F3378">
            <v>2</v>
          </cell>
          <cell r="G3378">
            <v>35928</v>
          </cell>
          <cell r="I3378" t="str">
            <v>North America</v>
          </cell>
          <cell r="J3378" t="str">
            <v>USA</v>
          </cell>
          <cell r="K3378">
            <v>35611</v>
          </cell>
        </row>
        <row r="3379">
          <cell r="A3379" t="str">
            <v>In service</v>
          </cell>
          <cell r="B3379" t="str">
            <v>Gulfstream Aerospace Gulfstream V</v>
          </cell>
          <cell r="C3379" t="str">
            <v xml:space="preserve"> </v>
          </cell>
          <cell r="D3379">
            <v>1998</v>
          </cell>
          <cell r="E3379" t="str">
            <v>Automotive Air Charter</v>
          </cell>
          <cell r="F3379">
            <v>2</v>
          </cell>
          <cell r="G3379">
            <v>35921</v>
          </cell>
          <cell r="I3379" t="str">
            <v>North America</v>
          </cell>
          <cell r="J3379" t="str">
            <v>USA</v>
          </cell>
          <cell r="K3379">
            <v>35246</v>
          </cell>
        </row>
        <row r="3380">
          <cell r="A3380" t="str">
            <v>In service</v>
          </cell>
          <cell r="B3380" t="str">
            <v>Gulfstream Aerospace Gulfstream V</v>
          </cell>
          <cell r="C3380" t="str">
            <v xml:space="preserve"> </v>
          </cell>
          <cell r="D3380">
            <v>1998</v>
          </cell>
          <cell r="E3380" t="str">
            <v>United States Aviation Co</v>
          </cell>
          <cell r="F3380">
            <v>2</v>
          </cell>
          <cell r="G3380">
            <v>35933</v>
          </cell>
          <cell r="I3380" t="str">
            <v>North America</v>
          </cell>
          <cell r="J3380" t="str">
            <v>USA</v>
          </cell>
          <cell r="K3380">
            <v>35611</v>
          </cell>
        </row>
        <row r="3381">
          <cell r="A3381" t="str">
            <v>In service</v>
          </cell>
          <cell r="B3381" t="str">
            <v>Gulfstream Aerospace Gulfstream V</v>
          </cell>
          <cell r="C3381" t="str">
            <v xml:space="preserve"> </v>
          </cell>
          <cell r="D3381">
            <v>1999</v>
          </cell>
          <cell r="E3381" t="str">
            <v>Aerovics SA</v>
          </cell>
          <cell r="F3381">
            <v>1</v>
          </cell>
          <cell r="G3381">
            <v>36353</v>
          </cell>
          <cell r="I3381" t="str">
            <v>Latin America and Caribbean</v>
          </cell>
          <cell r="J3381" t="str">
            <v>Mexico</v>
          </cell>
          <cell r="K3381">
            <v>35611</v>
          </cell>
        </row>
        <row r="3382">
          <cell r="A3382" t="str">
            <v>In service</v>
          </cell>
          <cell r="B3382" t="str">
            <v>Gulfstream Aerospace Gulfstream V</v>
          </cell>
          <cell r="C3382" t="str">
            <v xml:space="preserve"> </v>
          </cell>
          <cell r="D3382">
            <v>1999</v>
          </cell>
          <cell r="E3382" t="str">
            <v>3M Co</v>
          </cell>
          <cell r="F3382">
            <v>1</v>
          </cell>
          <cell r="G3382">
            <v>36286</v>
          </cell>
          <cell r="I3382" t="str">
            <v>North America</v>
          </cell>
          <cell r="J3382" t="str">
            <v>USA</v>
          </cell>
          <cell r="K3382">
            <v>35976</v>
          </cell>
        </row>
        <row r="3383">
          <cell r="A3383" t="str">
            <v>In service</v>
          </cell>
          <cell r="B3383" t="str">
            <v>Gulfstream Aerospace Gulfstream V</v>
          </cell>
          <cell r="C3383" t="str">
            <v xml:space="preserve"> </v>
          </cell>
          <cell r="D3383">
            <v>1999</v>
          </cell>
          <cell r="E3383" t="str">
            <v>Wotan America Inc</v>
          </cell>
          <cell r="F3383">
            <v>1</v>
          </cell>
          <cell r="G3383">
            <v>36293</v>
          </cell>
          <cell r="I3383" t="str">
            <v>North America</v>
          </cell>
          <cell r="J3383" t="str">
            <v>USA</v>
          </cell>
          <cell r="K3383">
            <v>35611</v>
          </cell>
        </row>
        <row r="3384">
          <cell r="A3384" t="str">
            <v>In service</v>
          </cell>
          <cell r="B3384" t="str">
            <v>Gulfstream Aerospace Gulfstream V</v>
          </cell>
          <cell r="C3384" t="str">
            <v xml:space="preserve"> </v>
          </cell>
          <cell r="D3384">
            <v>1998</v>
          </cell>
          <cell r="E3384" t="str">
            <v>Radical Ventures LLC</v>
          </cell>
          <cell r="F3384">
            <v>2</v>
          </cell>
          <cell r="G3384">
            <v>36101</v>
          </cell>
          <cell r="I3384" t="str">
            <v>North America</v>
          </cell>
          <cell r="J3384" t="str">
            <v>USA</v>
          </cell>
          <cell r="K3384">
            <v>35611</v>
          </cell>
        </row>
        <row r="3385">
          <cell r="A3385" t="str">
            <v>In service</v>
          </cell>
          <cell r="B3385" t="str">
            <v>Gulfstream Aerospace Gulfstream V</v>
          </cell>
          <cell r="C3385" t="str">
            <v xml:space="preserve"> </v>
          </cell>
          <cell r="D3385">
            <v>1999</v>
          </cell>
          <cell r="E3385" t="str">
            <v>Automotive Air Charter</v>
          </cell>
          <cell r="F3385">
            <v>1</v>
          </cell>
          <cell r="G3385">
            <v>36297</v>
          </cell>
          <cell r="I3385" t="str">
            <v>North America</v>
          </cell>
          <cell r="J3385" t="str">
            <v>USA</v>
          </cell>
          <cell r="K3385">
            <v>35611</v>
          </cell>
        </row>
        <row r="3386">
          <cell r="A3386" t="str">
            <v>In service</v>
          </cell>
          <cell r="B3386" t="str">
            <v>Gulfstream Aerospace Gulfstream V</v>
          </cell>
          <cell r="C3386" t="str">
            <v xml:space="preserve"> </v>
          </cell>
          <cell r="D3386">
            <v>1999</v>
          </cell>
          <cell r="E3386" t="str">
            <v>Automotive Air Charter</v>
          </cell>
          <cell r="F3386">
            <v>1</v>
          </cell>
          <cell r="G3386">
            <v>36333</v>
          </cell>
          <cell r="I3386" t="str">
            <v>North America</v>
          </cell>
          <cell r="J3386" t="str">
            <v>USA</v>
          </cell>
          <cell r="K3386">
            <v>35611</v>
          </cell>
        </row>
        <row r="3387">
          <cell r="A3387" t="str">
            <v>In service</v>
          </cell>
          <cell r="B3387" t="str">
            <v>Gulfstream Aerospace Gulfstream V</v>
          </cell>
          <cell r="C3387" t="str">
            <v xml:space="preserve"> </v>
          </cell>
          <cell r="D3387">
            <v>1999</v>
          </cell>
          <cell r="E3387" t="str">
            <v>SCI Texas Funeral Services Inc</v>
          </cell>
          <cell r="F3387">
            <v>1</v>
          </cell>
          <cell r="G3387">
            <v>36403</v>
          </cell>
          <cell r="I3387" t="str">
            <v>North America</v>
          </cell>
          <cell r="J3387" t="str">
            <v>USA</v>
          </cell>
          <cell r="K3387">
            <v>35611</v>
          </cell>
        </row>
        <row r="3388">
          <cell r="A3388" t="str">
            <v>In service</v>
          </cell>
          <cell r="B3388" t="str">
            <v>Gulfstream Aerospace Gulfstream V</v>
          </cell>
          <cell r="C3388" t="str">
            <v xml:space="preserve"> </v>
          </cell>
          <cell r="D3388">
            <v>1999</v>
          </cell>
          <cell r="E3388" t="str">
            <v>MDL Consulting Associates LLC</v>
          </cell>
          <cell r="F3388">
            <v>1</v>
          </cell>
          <cell r="G3388">
            <v>36405</v>
          </cell>
          <cell r="I3388" t="str">
            <v>North America</v>
          </cell>
          <cell r="J3388" t="str">
            <v>USA</v>
          </cell>
          <cell r="K3388">
            <v>35611</v>
          </cell>
        </row>
        <row r="3389">
          <cell r="A3389" t="str">
            <v>In service</v>
          </cell>
          <cell r="B3389" t="str">
            <v>Gulfstream Aerospace Gulfstream V</v>
          </cell>
          <cell r="C3389" t="str">
            <v xml:space="preserve"> </v>
          </cell>
          <cell r="D3389">
            <v>1999</v>
          </cell>
          <cell r="E3389" t="str">
            <v>Cirrus GAS 5 LLC</v>
          </cell>
          <cell r="F3389">
            <v>1</v>
          </cell>
          <cell r="G3389">
            <v>36472</v>
          </cell>
          <cell r="I3389" t="str">
            <v>North America</v>
          </cell>
          <cell r="J3389" t="str">
            <v>USA</v>
          </cell>
          <cell r="K3389">
            <v>35611</v>
          </cell>
        </row>
        <row r="3390">
          <cell r="A3390" t="str">
            <v>In service</v>
          </cell>
          <cell r="B3390" t="str">
            <v>Gulfstream Aerospace Gulfstream V</v>
          </cell>
          <cell r="C3390" t="str">
            <v xml:space="preserve"> </v>
          </cell>
          <cell r="D3390">
            <v>1998</v>
          </cell>
          <cell r="E3390" t="str">
            <v>Rashid Engineering</v>
          </cell>
          <cell r="F3390">
            <v>2</v>
          </cell>
          <cell r="G3390">
            <v>36144</v>
          </cell>
          <cell r="I3390" t="str">
            <v>Middle East</v>
          </cell>
          <cell r="J3390" t="str">
            <v>Saudi Arabia</v>
          </cell>
          <cell r="K3390">
            <v>35611</v>
          </cell>
        </row>
        <row r="3391">
          <cell r="A3391" t="str">
            <v>In service</v>
          </cell>
          <cell r="B3391" t="str">
            <v>Gulfstream Aerospace Gulfstream V</v>
          </cell>
          <cell r="C3391" t="str">
            <v xml:space="preserve"> </v>
          </cell>
          <cell r="D3391">
            <v>1999</v>
          </cell>
          <cell r="E3391" t="str">
            <v>Rigg Bank NA</v>
          </cell>
          <cell r="F3391">
            <v>1</v>
          </cell>
          <cell r="G3391">
            <v>36432</v>
          </cell>
          <cell r="I3391" t="str">
            <v>North America</v>
          </cell>
          <cell r="J3391" t="str">
            <v>USA</v>
          </cell>
          <cell r="K3391">
            <v>35976</v>
          </cell>
        </row>
        <row r="3392">
          <cell r="A3392" t="str">
            <v>In service</v>
          </cell>
          <cell r="B3392" t="str">
            <v>Gulfstream Aerospace Gulfstream V</v>
          </cell>
          <cell r="C3392" t="str">
            <v xml:space="preserve"> </v>
          </cell>
          <cell r="D3392">
            <v>1999</v>
          </cell>
          <cell r="E3392" t="str">
            <v>3M Co</v>
          </cell>
          <cell r="F3392">
            <v>1</v>
          </cell>
          <cell r="G3392">
            <v>36341</v>
          </cell>
          <cell r="I3392" t="str">
            <v>North America</v>
          </cell>
          <cell r="J3392" t="str">
            <v>USA</v>
          </cell>
          <cell r="K3392">
            <v>35976</v>
          </cell>
        </row>
        <row r="3393">
          <cell r="A3393" t="str">
            <v>In service</v>
          </cell>
          <cell r="B3393" t="str">
            <v>Gulfstream Aerospace Gulfstream V</v>
          </cell>
          <cell r="C3393" t="str">
            <v xml:space="preserve"> </v>
          </cell>
          <cell r="D3393">
            <v>1999</v>
          </cell>
          <cell r="E3393" t="str">
            <v>BancAmerica Special Assets Corp</v>
          </cell>
          <cell r="F3393">
            <v>1</v>
          </cell>
          <cell r="G3393">
            <v>36385</v>
          </cell>
          <cell r="I3393" t="str">
            <v>North America</v>
          </cell>
          <cell r="J3393" t="str">
            <v>USA</v>
          </cell>
          <cell r="K3393">
            <v>35976</v>
          </cell>
        </row>
        <row r="3394">
          <cell r="A3394" t="str">
            <v>In service</v>
          </cell>
          <cell r="B3394" t="str">
            <v>Gulfstream Aerospace Gulfstream V</v>
          </cell>
          <cell r="C3394" t="str">
            <v xml:space="preserve"> </v>
          </cell>
          <cell r="D3394">
            <v>1999</v>
          </cell>
          <cell r="E3394" t="str">
            <v>Grand Warehouse Inc</v>
          </cell>
          <cell r="F3394">
            <v>1</v>
          </cell>
          <cell r="G3394">
            <v>36377</v>
          </cell>
          <cell r="I3394" t="str">
            <v>Asia</v>
          </cell>
          <cell r="J3394" t="str">
            <v>Japan</v>
          </cell>
          <cell r="K3394">
            <v>35976</v>
          </cell>
        </row>
        <row r="3395">
          <cell r="A3395" t="str">
            <v>In service</v>
          </cell>
          <cell r="B3395" t="str">
            <v>Gulfstream Aerospace Gulfstream V</v>
          </cell>
          <cell r="C3395" t="str">
            <v xml:space="preserve"> </v>
          </cell>
          <cell r="D3395">
            <v>1999</v>
          </cell>
          <cell r="E3395" t="str">
            <v>Government of Kuwait</v>
          </cell>
          <cell r="F3395">
            <v>1</v>
          </cell>
          <cell r="G3395">
            <v>36448</v>
          </cell>
          <cell r="I3395" t="str">
            <v>Middle East</v>
          </cell>
          <cell r="J3395" t="str">
            <v>Kuwait</v>
          </cell>
          <cell r="K3395">
            <v>35864</v>
          </cell>
        </row>
        <row r="3396">
          <cell r="A3396" t="str">
            <v>In service</v>
          </cell>
          <cell r="B3396" t="str">
            <v>Gulfstream Aerospace Gulfstream V</v>
          </cell>
          <cell r="C3396" t="str">
            <v xml:space="preserve"> </v>
          </cell>
          <cell r="D3396">
            <v>1999</v>
          </cell>
          <cell r="E3396" t="str">
            <v>DaimlerChrysler Aviation</v>
          </cell>
          <cell r="F3396">
            <v>1</v>
          </cell>
          <cell r="G3396">
            <v>36516</v>
          </cell>
          <cell r="I3396" t="str">
            <v>Europe</v>
          </cell>
          <cell r="J3396" t="str">
            <v>Germany</v>
          </cell>
          <cell r="K3396">
            <v>36206</v>
          </cell>
        </row>
        <row r="3397">
          <cell r="A3397" t="str">
            <v>In service</v>
          </cell>
          <cell r="B3397" t="str">
            <v>Gulfstream Aerospace Gulfstream V</v>
          </cell>
          <cell r="C3397" t="str">
            <v xml:space="preserve"> </v>
          </cell>
          <cell r="D3397">
            <v>2000</v>
          </cell>
          <cell r="E3397" t="str">
            <v>American Express</v>
          </cell>
          <cell r="F3397">
            <v>0</v>
          </cell>
          <cell r="G3397">
            <v>36649</v>
          </cell>
          <cell r="I3397" t="str">
            <v>North America</v>
          </cell>
          <cell r="J3397" t="str">
            <v>USA</v>
          </cell>
          <cell r="K3397">
            <v>35976</v>
          </cell>
        </row>
        <row r="3398">
          <cell r="A3398" t="str">
            <v>In service</v>
          </cell>
          <cell r="B3398" t="str">
            <v>Gulfstream Aerospace Gulfstream V</v>
          </cell>
          <cell r="C3398" t="str">
            <v xml:space="preserve"> </v>
          </cell>
          <cell r="D3398">
            <v>1999</v>
          </cell>
          <cell r="E3398" t="str">
            <v>Computer Associates International Inc</v>
          </cell>
          <cell r="F3398">
            <v>1</v>
          </cell>
          <cell r="G3398">
            <v>36518</v>
          </cell>
          <cell r="I3398" t="str">
            <v>North America</v>
          </cell>
          <cell r="J3398" t="str">
            <v>USA</v>
          </cell>
          <cell r="K3398">
            <v>35976</v>
          </cell>
        </row>
        <row r="3399">
          <cell r="A3399" t="str">
            <v>In service</v>
          </cell>
          <cell r="B3399" t="str">
            <v>Gulfstream Aerospace Gulfstream V</v>
          </cell>
          <cell r="C3399" t="str">
            <v xml:space="preserve"> </v>
          </cell>
          <cell r="D3399">
            <v>1999</v>
          </cell>
          <cell r="E3399" t="str">
            <v>Prime Resources LLC</v>
          </cell>
          <cell r="F3399">
            <v>1</v>
          </cell>
          <cell r="I3399" t="str">
            <v>North America</v>
          </cell>
          <cell r="J3399" t="str">
            <v>USA</v>
          </cell>
        </row>
        <row r="3400">
          <cell r="A3400" t="str">
            <v>In service</v>
          </cell>
          <cell r="B3400" t="str">
            <v>Gulfstream Aerospace Gulfstream V</v>
          </cell>
          <cell r="C3400" t="str">
            <v xml:space="preserve"> </v>
          </cell>
          <cell r="D3400">
            <v>1999</v>
          </cell>
          <cell r="E3400" t="str">
            <v>Pfizer Inc</v>
          </cell>
          <cell r="F3400">
            <v>1</v>
          </cell>
          <cell r="G3400">
            <v>36426</v>
          </cell>
          <cell r="I3400" t="str">
            <v>North America</v>
          </cell>
          <cell r="J3400" t="str">
            <v>USA</v>
          </cell>
          <cell r="K3400">
            <v>35976</v>
          </cell>
        </row>
        <row r="3401">
          <cell r="A3401" t="str">
            <v>In service</v>
          </cell>
          <cell r="B3401" t="str">
            <v>Gulfstream Aerospace Gulfstream V</v>
          </cell>
          <cell r="C3401" t="str">
            <v xml:space="preserve"> </v>
          </cell>
          <cell r="D3401">
            <v>1999</v>
          </cell>
          <cell r="E3401" t="str">
            <v>US Army</v>
          </cell>
          <cell r="F3401">
            <v>1</v>
          </cell>
          <cell r="G3401">
            <v>36448</v>
          </cell>
          <cell r="H3401" t="str">
            <v>C-37A</v>
          </cell>
          <cell r="I3401" t="str">
            <v>North America</v>
          </cell>
          <cell r="J3401" t="str">
            <v>USA</v>
          </cell>
          <cell r="K3401">
            <v>35880</v>
          </cell>
        </row>
        <row r="3402">
          <cell r="A3402" t="str">
            <v>In service</v>
          </cell>
          <cell r="B3402" t="str">
            <v>Gulfstream Aerospace Gulfstream V</v>
          </cell>
          <cell r="C3402" t="str">
            <v xml:space="preserve"> </v>
          </cell>
          <cell r="D3402">
            <v>1999</v>
          </cell>
          <cell r="E3402" t="str">
            <v>3M Co</v>
          </cell>
          <cell r="F3402">
            <v>1</v>
          </cell>
          <cell r="G3402">
            <v>36426</v>
          </cell>
          <cell r="I3402" t="str">
            <v>North America</v>
          </cell>
          <cell r="J3402" t="str">
            <v>USA</v>
          </cell>
          <cell r="K3402">
            <v>35976</v>
          </cell>
        </row>
        <row r="3403">
          <cell r="A3403" t="str">
            <v>In service</v>
          </cell>
          <cell r="B3403" t="str">
            <v>Gulfstream Aerospace Gulfstream V</v>
          </cell>
          <cell r="C3403" t="str">
            <v xml:space="preserve"> </v>
          </cell>
          <cell r="D3403">
            <v>1999</v>
          </cell>
          <cell r="E3403" t="str">
            <v>HealthSouth Corp</v>
          </cell>
          <cell r="F3403">
            <v>1</v>
          </cell>
          <cell r="G3403">
            <v>36462</v>
          </cell>
          <cell r="I3403" t="str">
            <v>North America</v>
          </cell>
          <cell r="J3403" t="str">
            <v>USA</v>
          </cell>
          <cell r="K3403">
            <v>35611</v>
          </cell>
        </row>
        <row r="3404">
          <cell r="A3404" t="str">
            <v>In service</v>
          </cell>
          <cell r="B3404" t="str">
            <v>Gulfstream Aerospace Gulfstream V</v>
          </cell>
          <cell r="C3404" t="str">
            <v xml:space="preserve"> </v>
          </cell>
          <cell r="D3404">
            <v>1999</v>
          </cell>
          <cell r="E3404" t="str">
            <v>Government of Kuwait</v>
          </cell>
          <cell r="F3404">
            <v>1</v>
          </cell>
          <cell r="G3404">
            <v>36514</v>
          </cell>
          <cell r="I3404" t="str">
            <v>Middle East</v>
          </cell>
          <cell r="J3404" t="str">
            <v>Kuwait</v>
          </cell>
          <cell r="K3404">
            <v>35841</v>
          </cell>
        </row>
        <row r="3405">
          <cell r="A3405" t="str">
            <v>In service</v>
          </cell>
          <cell r="B3405" t="str">
            <v>Gulfstream Aerospace Gulfstream V</v>
          </cell>
          <cell r="C3405" t="str">
            <v xml:space="preserve"> </v>
          </cell>
          <cell r="D3405">
            <v>1999</v>
          </cell>
          <cell r="E3405" t="str">
            <v>Avjet Corp</v>
          </cell>
          <cell r="F3405">
            <v>1</v>
          </cell>
          <cell r="G3405">
            <v>36523</v>
          </cell>
          <cell r="I3405" t="str">
            <v>North America</v>
          </cell>
          <cell r="J3405" t="str">
            <v>USA</v>
          </cell>
          <cell r="K3405">
            <v>35611</v>
          </cell>
        </row>
        <row r="3406">
          <cell r="A3406" t="str">
            <v>In service</v>
          </cell>
          <cell r="B3406" t="str">
            <v>Gulfstream Aerospace Gulfstream V</v>
          </cell>
          <cell r="C3406" t="str">
            <v xml:space="preserve"> </v>
          </cell>
          <cell r="D3406">
            <v>1999</v>
          </cell>
          <cell r="E3406" t="str">
            <v>US Air Force</v>
          </cell>
          <cell r="F3406">
            <v>1</v>
          </cell>
          <cell r="G3406">
            <v>36579</v>
          </cell>
          <cell r="H3406" t="str">
            <v>C-37A</v>
          </cell>
          <cell r="I3406" t="str">
            <v>North America</v>
          </cell>
          <cell r="J3406" t="str">
            <v>USA</v>
          </cell>
          <cell r="K3406">
            <v>36222</v>
          </cell>
        </row>
        <row r="3407">
          <cell r="A3407" t="str">
            <v>In service</v>
          </cell>
          <cell r="B3407" t="str">
            <v>Gulfstream Aerospace Gulfstream V</v>
          </cell>
          <cell r="C3407" t="str">
            <v xml:space="preserve"> </v>
          </cell>
          <cell r="D3407">
            <v>1999</v>
          </cell>
          <cell r="E3407" t="str">
            <v>Bowman Aviation LLC</v>
          </cell>
          <cell r="F3407">
            <v>1</v>
          </cell>
          <cell r="G3407">
            <v>36573</v>
          </cell>
          <cell r="I3407" t="str">
            <v>North America</v>
          </cell>
          <cell r="J3407" t="str">
            <v>USA</v>
          </cell>
          <cell r="K3407">
            <v>36206</v>
          </cell>
        </row>
        <row r="3408">
          <cell r="A3408" t="str">
            <v>In service</v>
          </cell>
          <cell r="B3408" t="str">
            <v>Gulfstream Aerospace Gulfstream V</v>
          </cell>
          <cell r="C3408" t="str">
            <v xml:space="preserve"> </v>
          </cell>
          <cell r="D3408">
            <v>1999</v>
          </cell>
          <cell r="E3408" t="str">
            <v>Government of Kuwait</v>
          </cell>
          <cell r="F3408">
            <v>1</v>
          </cell>
          <cell r="G3408">
            <v>36567</v>
          </cell>
          <cell r="I3408" t="str">
            <v>Middle East</v>
          </cell>
          <cell r="J3408" t="str">
            <v>Kuwait</v>
          </cell>
          <cell r="K3408">
            <v>35864</v>
          </cell>
        </row>
        <row r="3409">
          <cell r="A3409" t="str">
            <v>In service</v>
          </cell>
          <cell r="B3409" t="str">
            <v>Gulfstream Aerospace Gulfstream V</v>
          </cell>
          <cell r="C3409" t="str">
            <v xml:space="preserve"> </v>
          </cell>
          <cell r="D3409">
            <v>1999</v>
          </cell>
          <cell r="E3409" t="str">
            <v>NIKE Inc</v>
          </cell>
          <cell r="F3409">
            <v>1</v>
          </cell>
          <cell r="G3409">
            <v>36560</v>
          </cell>
          <cell r="I3409" t="str">
            <v>North America</v>
          </cell>
          <cell r="J3409" t="str">
            <v>USA</v>
          </cell>
          <cell r="K3409">
            <v>35611</v>
          </cell>
        </row>
        <row r="3410">
          <cell r="A3410" t="str">
            <v>In service</v>
          </cell>
          <cell r="B3410" t="str">
            <v>Gulfstream Aerospace Gulfstream V</v>
          </cell>
          <cell r="C3410" t="str">
            <v xml:space="preserve"> </v>
          </cell>
          <cell r="D3410">
            <v>1999</v>
          </cell>
          <cell r="E3410" t="str">
            <v>Bristol-Myers Squibb Company</v>
          </cell>
          <cell r="F3410">
            <v>1</v>
          </cell>
          <cell r="G3410">
            <v>36530</v>
          </cell>
          <cell r="I3410" t="str">
            <v>North America</v>
          </cell>
          <cell r="J3410" t="str">
            <v>USA</v>
          </cell>
          <cell r="K3410">
            <v>35611</v>
          </cell>
        </row>
        <row r="3411">
          <cell r="A3411" t="str">
            <v>In service</v>
          </cell>
          <cell r="B3411" t="str">
            <v>Gulfstream Aerospace Gulfstream V</v>
          </cell>
          <cell r="C3411" t="str">
            <v xml:space="preserve"> </v>
          </cell>
          <cell r="D3411">
            <v>1999</v>
          </cell>
          <cell r="E3411" t="str">
            <v>The Air Group Inc</v>
          </cell>
          <cell r="F3411">
            <v>1</v>
          </cell>
          <cell r="G3411">
            <v>36517</v>
          </cell>
          <cell r="I3411" t="str">
            <v>North America</v>
          </cell>
          <cell r="J3411" t="str">
            <v>USA</v>
          </cell>
          <cell r="K3411">
            <v>36341</v>
          </cell>
        </row>
        <row r="3412">
          <cell r="A3412" t="str">
            <v>In service</v>
          </cell>
          <cell r="B3412" t="str">
            <v>Gulfstream Aerospace Gulfstream V</v>
          </cell>
          <cell r="C3412" t="str">
            <v xml:space="preserve"> </v>
          </cell>
          <cell r="D3412">
            <v>2000</v>
          </cell>
          <cell r="E3412" t="str">
            <v>Neet Air AG</v>
          </cell>
          <cell r="F3412">
            <v>0</v>
          </cell>
          <cell r="G3412">
            <v>36574</v>
          </cell>
          <cell r="I3412" t="str">
            <v>Europe</v>
          </cell>
          <cell r="J3412" t="str">
            <v>Switzerland</v>
          </cell>
          <cell r="K3412">
            <v>35611</v>
          </cell>
        </row>
        <row r="3413">
          <cell r="A3413" t="str">
            <v>In service</v>
          </cell>
          <cell r="B3413" t="str">
            <v>Gulfstream Aerospace Gulfstream V</v>
          </cell>
          <cell r="C3413" t="str">
            <v xml:space="preserve"> </v>
          </cell>
          <cell r="D3413">
            <v>1999</v>
          </cell>
          <cell r="E3413" t="str">
            <v>Gulfstream Aerospace Corp</v>
          </cell>
          <cell r="F3413">
            <v>1</v>
          </cell>
          <cell r="G3413">
            <v>36529</v>
          </cell>
          <cell r="I3413" t="str">
            <v>North America</v>
          </cell>
          <cell r="J3413" t="str">
            <v>USA</v>
          </cell>
          <cell r="K3413">
            <v>35976</v>
          </cell>
        </row>
        <row r="3414">
          <cell r="A3414" t="str">
            <v>In service</v>
          </cell>
          <cell r="B3414" t="str">
            <v>Gulfstream Aerospace Gulfstream V</v>
          </cell>
          <cell r="C3414" t="str">
            <v xml:space="preserve"> </v>
          </cell>
          <cell r="D3414">
            <v>1999</v>
          </cell>
          <cell r="E3414" t="str">
            <v>3M Co</v>
          </cell>
          <cell r="F3414">
            <v>1</v>
          </cell>
          <cell r="G3414">
            <v>36516</v>
          </cell>
          <cell r="I3414" t="str">
            <v>North America</v>
          </cell>
          <cell r="J3414" t="str">
            <v>USA</v>
          </cell>
          <cell r="K3414">
            <v>35611</v>
          </cell>
        </row>
        <row r="3415">
          <cell r="A3415" t="str">
            <v>In service</v>
          </cell>
          <cell r="B3415" t="str">
            <v>Gulfstream Aerospace Gulfstream V</v>
          </cell>
          <cell r="C3415" t="str">
            <v xml:space="preserve"> </v>
          </cell>
          <cell r="D3415">
            <v>1999</v>
          </cell>
          <cell r="E3415" t="str">
            <v>Cox Aviation Inc</v>
          </cell>
          <cell r="F3415">
            <v>1</v>
          </cell>
          <cell r="G3415">
            <v>36602</v>
          </cell>
          <cell r="I3415" t="str">
            <v>North America</v>
          </cell>
          <cell r="J3415" t="str">
            <v>USA</v>
          </cell>
          <cell r="K3415">
            <v>35976</v>
          </cell>
        </row>
        <row r="3416">
          <cell r="A3416" t="str">
            <v>In service</v>
          </cell>
          <cell r="B3416" t="str">
            <v>Gulfstream Aerospace Gulfstream V</v>
          </cell>
          <cell r="C3416" t="str">
            <v xml:space="preserve"> </v>
          </cell>
          <cell r="D3416">
            <v>1999</v>
          </cell>
          <cell r="E3416" t="str">
            <v>Premier Executive Transport Services Inc</v>
          </cell>
          <cell r="F3416">
            <v>1</v>
          </cell>
          <cell r="G3416">
            <v>36482</v>
          </cell>
          <cell r="I3416" t="str">
            <v>North America</v>
          </cell>
          <cell r="J3416" t="str">
            <v>USA</v>
          </cell>
          <cell r="K3416">
            <v>35976</v>
          </cell>
        </row>
        <row r="3417">
          <cell r="A3417" t="str">
            <v>In service</v>
          </cell>
          <cell r="B3417" t="str">
            <v>Gulfstream Aerospace Gulfstream V</v>
          </cell>
          <cell r="C3417" t="str">
            <v xml:space="preserve"> </v>
          </cell>
          <cell r="D3417">
            <v>2000</v>
          </cell>
          <cell r="E3417" t="str">
            <v>Telefonica Internacional SA</v>
          </cell>
          <cell r="F3417">
            <v>0</v>
          </cell>
          <cell r="G3417">
            <v>36703</v>
          </cell>
          <cell r="I3417" t="str">
            <v>Europe</v>
          </cell>
          <cell r="J3417" t="str">
            <v>Spain</v>
          </cell>
          <cell r="K3417">
            <v>35976</v>
          </cell>
        </row>
        <row r="3418">
          <cell r="A3418" t="str">
            <v>In service</v>
          </cell>
          <cell r="B3418" t="str">
            <v>Gulfstream Aerospace Gulfstream V</v>
          </cell>
          <cell r="C3418" t="str">
            <v xml:space="preserve"> </v>
          </cell>
          <cell r="D3418">
            <v>2000</v>
          </cell>
          <cell r="E3418" t="str">
            <v>Saudi Aeromedical Evacuation</v>
          </cell>
          <cell r="F3418">
            <v>0</v>
          </cell>
          <cell r="G3418">
            <v>36762</v>
          </cell>
          <cell r="I3418" t="str">
            <v>Middle East</v>
          </cell>
          <cell r="J3418" t="str">
            <v>Saudi Arabia</v>
          </cell>
          <cell r="K3418">
            <v>36707</v>
          </cell>
        </row>
        <row r="3419">
          <cell r="A3419" t="str">
            <v>In service</v>
          </cell>
          <cell r="B3419" t="str">
            <v>Gulfstream Aerospace Gulfstream V</v>
          </cell>
          <cell r="C3419" t="str">
            <v xml:space="preserve"> </v>
          </cell>
          <cell r="D3419">
            <v>2000</v>
          </cell>
          <cell r="E3419" t="str">
            <v>Electronic Data Systems Corp</v>
          </cell>
          <cell r="F3419">
            <v>0</v>
          </cell>
          <cell r="G3419">
            <v>36644</v>
          </cell>
          <cell r="I3419" t="str">
            <v>North America</v>
          </cell>
          <cell r="J3419" t="str">
            <v>USA</v>
          </cell>
          <cell r="K3419">
            <v>35976</v>
          </cell>
        </row>
        <row r="3420">
          <cell r="A3420" t="str">
            <v>In service</v>
          </cell>
          <cell r="B3420" t="str">
            <v>Gulfstream Aerospace Gulfstream V</v>
          </cell>
          <cell r="C3420" t="str">
            <v xml:space="preserve"> </v>
          </cell>
          <cell r="D3420">
            <v>1999</v>
          </cell>
          <cell r="E3420" t="str">
            <v>Business Aircraft Corp</v>
          </cell>
          <cell r="F3420">
            <v>1</v>
          </cell>
          <cell r="G3420">
            <v>36446</v>
          </cell>
          <cell r="I3420" t="str">
            <v>North America</v>
          </cell>
          <cell r="J3420" t="str">
            <v>USA</v>
          </cell>
          <cell r="K3420">
            <v>35976</v>
          </cell>
        </row>
        <row r="3421">
          <cell r="A3421" t="str">
            <v>In service</v>
          </cell>
          <cell r="B3421" t="str">
            <v>Gulfstream Aerospace Gulfstream V</v>
          </cell>
          <cell r="C3421" t="str">
            <v xml:space="preserve"> </v>
          </cell>
          <cell r="D3421">
            <v>2000</v>
          </cell>
          <cell r="E3421" t="str">
            <v>Ford Motor Co</v>
          </cell>
          <cell r="F3421">
            <v>0</v>
          </cell>
          <cell r="G3421">
            <v>36696</v>
          </cell>
          <cell r="I3421" t="str">
            <v>North America</v>
          </cell>
          <cell r="J3421" t="str">
            <v>USA</v>
          </cell>
          <cell r="K3421">
            <v>36341</v>
          </cell>
        </row>
        <row r="3422">
          <cell r="A3422" t="str">
            <v>In service</v>
          </cell>
          <cell r="B3422" t="str">
            <v>Gulfstream Aerospace Gulfstream V</v>
          </cell>
          <cell r="C3422" t="str">
            <v xml:space="preserve"> </v>
          </cell>
          <cell r="D3422">
            <v>2000</v>
          </cell>
          <cell r="E3422" t="str">
            <v>Johnson Controls Inc</v>
          </cell>
          <cell r="F3422">
            <v>0</v>
          </cell>
          <cell r="G3422">
            <v>36699</v>
          </cell>
          <cell r="I3422" t="str">
            <v>North America</v>
          </cell>
          <cell r="J3422" t="str">
            <v>USA</v>
          </cell>
          <cell r="K3422">
            <v>36045</v>
          </cell>
        </row>
        <row r="3423">
          <cell r="A3423" t="str">
            <v>In service</v>
          </cell>
          <cell r="B3423" t="str">
            <v>Gulfstream Aerospace Gulfstream V</v>
          </cell>
          <cell r="C3423" t="str">
            <v xml:space="preserve"> </v>
          </cell>
          <cell r="D3423">
            <v>2000</v>
          </cell>
          <cell r="E3423" t="str">
            <v>United Coal Co</v>
          </cell>
          <cell r="F3423">
            <v>0</v>
          </cell>
          <cell r="G3423">
            <v>36707</v>
          </cell>
          <cell r="I3423" t="str">
            <v>North America</v>
          </cell>
          <cell r="J3423" t="str">
            <v>USA</v>
          </cell>
          <cell r="K3423">
            <v>35976</v>
          </cell>
        </row>
        <row r="3424">
          <cell r="A3424" t="str">
            <v>In service</v>
          </cell>
          <cell r="B3424" t="str">
            <v>Gulfstream Aerospace Gulfstream V</v>
          </cell>
          <cell r="C3424" t="str">
            <v xml:space="preserve"> </v>
          </cell>
          <cell r="D3424">
            <v>2000</v>
          </cell>
          <cell r="E3424" t="str">
            <v>US Air Force</v>
          </cell>
          <cell r="F3424">
            <v>0</v>
          </cell>
          <cell r="G3424">
            <v>36862</v>
          </cell>
          <cell r="H3424" t="str">
            <v>C-37A</v>
          </cell>
          <cell r="I3424" t="str">
            <v>North America</v>
          </cell>
          <cell r="J3424" t="str">
            <v>USA</v>
          </cell>
          <cell r="K3424">
            <v>36256</v>
          </cell>
        </row>
        <row r="3425">
          <cell r="A3425" t="str">
            <v>In service</v>
          </cell>
          <cell r="B3425" t="str">
            <v>Gulfstream Aerospace Gulfstream V</v>
          </cell>
          <cell r="C3425" t="str">
            <v xml:space="preserve"> </v>
          </cell>
          <cell r="D3425">
            <v>2000</v>
          </cell>
          <cell r="E3425" t="str">
            <v>Ford Motor Co</v>
          </cell>
          <cell r="F3425">
            <v>0</v>
          </cell>
          <cell r="G3425">
            <v>36739</v>
          </cell>
          <cell r="I3425" t="str">
            <v>North America</v>
          </cell>
          <cell r="J3425" t="str">
            <v>USA</v>
          </cell>
          <cell r="K3425">
            <v>36341</v>
          </cell>
        </row>
        <row r="3426">
          <cell r="A3426" t="str">
            <v>In service</v>
          </cell>
          <cell r="B3426" t="str">
            <v>Gulfstream Aerospace Gulfstream V</v>
          </cell>
          <cell r="C3426" t="str">
            <v xml:space="preserve"> </v>
          </cell>
          <cell r="D3426">
            <v>2000</v>
          </cell>
          <cell r="E3426" t="str">
            <v>Raven Acquisitions Inc</v>
          </cell>
          <cell r="F3426">
            <v>0</v>
          </cell>
          <cell r="G3426">
            <v>36760</v>
          </cell>
          <cell r="I3426" t="str">
            <v>North America</v>
          </cell>
          <cell r="J3426" t="str">
            <v>USA</v>
          </cell>
          <cell r="K3426">
            <v>35976</v>
          </cell>
        </row>
        <row r="3427">
          <cell r="A3427" t="str">
            <v>In service</v>
          </cell>
          <cell r="B3427" t="str">
            <v>Gulfstream Aerospace Gulfstream V</v>
          </cell>
          <cell r="C3427" t="str">
            <v xml:space="preserve"> </v>
          </cell>
          <cell r="D3427">
            <v>1999</v>
          </cell>
          <cell r="E3427" t="str">
            <v>ALBA Servici Aerotrasporti SpA</v>
          </cell>
          <cell r="F3427">
            <v>1</v>
          </cell>
          <cell r="G3427">
            <v>36517</v>
          </cell>
          <cell r="I3427" t="str">
            <v>Europe</v>
          </cell>
          <cell r="J3427" t="str">
            <v>Italy</v>
          </cell>
          <cell r="K3427">
            <v>35976</v>
          </cell>
        </row>
        <row r="3428">
          <cell r="A3428" t="str">
            <v>In service</v>
          </cell>
          <cell r="B3428" t="str">
            <v>Gulfstream Aerospace Gulfstream V</v>
          </cell>
          <cell r="C3428" t="str">
            <v xml:space="preserve"> </v>
          </cell>
          <cell r="D3428">
            <v>2000</v>
          </cell>
          <cell r="E3428" t="str">
            <v>3M Co</v>
          </cell>
          <cell r="F3428">
            <v>0</v>
          </cell>
          <cell r="G3428">
            <v>36797</v>
          </cell>
          <cell r="I3428" t="str">
            <v>North America</v>
          </cell>
          <cell r="J3428" t="str">
            <v>USA</v>
          </cell>
          <cell r="K3428">
            <v>35611</v>
          </cell>
        </row>
        <row r="3429">
          <cell r="A3429" t="str">
            <v>In service</v>
          </cell>
          <cell r="B3429" t="str">
            <v>Gulfstream Aerospace Gulfstream V</v>
          </cell>
          <cell r="C3429" t="str">
            <v xml:space="preserve"> </v>
          </cell>
          <cell r="D3429">
            <v>2000</v>
          </cell>
          <cell r="E3429" t="str">
            <v>El Paso Natural Gas Co</v>
          </cell>
          <cell r="F3429">
            <v>0</v>
          </cell>
          <cell r="G3429">
            <v>36777</v>
          </cell>
          <cell r="I3429" t="str">
            <v>North America</v>
          </cell>
          <cell r="J3429" t="str">
            <v>USA</v>
          </cell>
          <cell r="K3429">
            <v>35611</v>
          </cell>
        </row>
        <row r="3430">
          <cell r="A3430" t="str">
            <v>In service</v>
          </cell>
          <cell r="B3430" t="str">
            <v>Gulfstream Aerospace Gulfstream V</v>
          </cell>
          <cell r="C3430" t="str">
            <v xml:space="preserve"> </v>
          </cell>
          <cell r="D3430">
            <v>2000</v>
          </cell>
          <cell r="E3430" t="str">
            <v>Mac Holdings (America) Inc</v>
          </cell>
          <cell r="F3430">
            <v>0</v>
          </cell>
          <cell r="G3430">
            <v>36850</v>
          </cell>
          <cell r="I3430" t="str">
            <v>North America</v>
          </cell>
          <cell r="J3430" t="str">
            <v>USA</v>
          </cell>
          <cell r="K3430">
            <v>35976</v>
          </cell>
        </row>
        <row r="3431">
          <cell r="A3431" t="str">
            <v>In service</v>
          </cell>
          <cell r="B3431" t="str">
            <v>Gulfstream Aerospace Gulfstream V</v>
          </cell>
          <cell r="C3431" t="str">
            <v xml:space="preserve"> </v>
          </cell>
          <cell r="D3431">
            <v>2000</v>
          </cell>
          <cell r="E3431" t="str">
            <v>Netjets International</v>
          </cell>
          <cell r="F3431">
            <v>0</v>
          </cell>
          <cell r="G3431">
            <v>36882</v>
          </cell>
          <cell r="I3431" t="str">
            <v>North America</v>
          </cell>
          <cell r="J3431" t="str">
            <v>USA</v>
          </cell>
          <cell r="K3431">
            <v>35311</v>
          </cell>
        </row>
        <row r="3432">
          <cell r="A3432" t="str">
            <v>In service</v>
          </cell>
          <cell r="B3432" t="str">
            <v>Gulfstream Aerospace Gulfstream V</v>
          </cell>
          <cell r="C3432" t="str">
            <v xml:space="preserve"> </v>
          </cell>
          <cell r="D3432">
            <v>2000</v>
          </cell>
          <cell r="E3432" t="str">
            <v>BP Amoco Corp</v>
          </cell>
          <cell r="F3432">
            <v>0</v>
          </cell>
          <cell r="G3432">
            <v>36860</v>
          </cell>
          <cell r="I3432" t="str">
            <v>North America</v>
          </cell>
          <cell r="J3432" t="str">
            <v>USA</v>
          </cell>
          <cell r="K3432">
            <v>36045</v>
          </cell>
        </row>
        <row r="3433">
          <cell r="A3433" t="str">
            <v>In service</v>
          </cell>
          <cell r="B3433" t="str">
            <v>Gulfstream Aerospace Gulfstream V</v>
          </cell>
          <cell r="C3433" t="str">
            <v xml:space="preserve"> </v>
          </cell>
          <cell r="D3433">
            <v>2000</v>
          </cell>
          <cell r="E3433" t="str">
            <v>Schering Plough Corp</v>
          </cell>
          <cell r="F3433">
            <v>0</v>
          </cell>
          <cell r="G3433">
            <v>36889</v>
          </cell>
          <cell r="I3433" t="str">
            <v>North America</v>
          </cell>
          <cell r="J3433" t="str">
            <v>USA</v>
          </cell>
          <cell r="K3433">
            <v>35976</v>
          </cell>
        </row>
        <row r="3434">
          <cell r="A3434" t="str">
            <v>In service</v>
          </cell>
          <cell r="B3434" t="str">
            <v>Gulfstream Aerospace Gulfstream V</v>
          </cell>
          <cell r="C3434" t="str">
            <v xml:space="preserve"> </v>
          </cell>
          <cell r="D3434">
            <v>2000</v>
          </cell>
          <cell r="E3434" t="str">
            <v>Macair Jet SA</v>
          </cell>
          <cell r="F3434">
            <v>0</v>
          </cell>
          <cell r="G3434">
            <v>36880</v>
          </cell>
          <cell r="I3434" t="str">
            <v>Latin America and Caribbean</v>
          </cell>
          <cell r="J3434" t="str">
            <v>Argentina</v>
          </cell>
          <cell r="K3434">
            <v>35976</v>
          </cell>
        </row>
      </sheetData>
      <sheetData sheetId="21" refreshError="1"/>
      <sheetData sheetId="22" refreshError="1"/>
      <sheetData sheetId="23" refreshError="1"/>
      <sheetData sheetId="24" refreshError="1">
        <row r="1">
          <cell r="AE1" t="str">
            <v>GD Combat Systems Team:</v>
          </cell>
          <cell r="AI1" t="str">
            <v>President</v>
          </cell>
          <cell r="AK1" t="str">
            <v>Charles Hall</v>
          </cell>
        </row>
        <row r="2">
          <cell r="AI2" t="str">
            <v>Land systems</v>
          </cell>
        </row>
        <row r="3">
          <cell r="AI3" t="str">
            <v>Arm/Tech Prods</v>
          </cell>
        </row>
        <row r="4">
          <cell r="AI4" t="str">
            <v>Euro Land Combat</v>
          </cell>
          <cell r="AK4" t="str">
            <v>Michael Malzacher</v>
          </cell>
        </row>
        <row r="5">
          <cell r="AI5" t="str">
            <v>Ordnance/Tact</v>
          </cell>
          <cell r="AK5" t="str">
            <v>Mike Wilson</v>
          </cell>
        </row>
        <row r="8">
          <cell r="A8" t="str">
            <v>General Dynamics' Combat Vehicles Division P&amp;L ($MM)</v>
          </cell>
          <cell r="AC8" t="str">
            <v>General Dynamics' Combat Vehicles Revenues By Program  ($MM)</v>
          </cell>
          <cell r="AN8" t="str">
            <v>last updated 4/04</v>
          </cell>
        </row>
        <row r="9">
          <cell r="J9" t="str">
            <v>heidi - update 4/04</v>
          </cell>
        </row>
        <row r="10">
          <cell r="A10" t="str">
            <v>Armored Vehicles</v>
          </cell>
          <cell r="C10" t="str">
            <v xml:space="preserve"> </v>
          </cell>
          <cell r="F10" t="str">
            <v xml:space="preserve"> </v>
          </cell>
          <cell r="U10" t="str">
            <v>Combat Sales</v>
          </cell>
        </row>
        <row r="11">
          <cell r="B11" t="str">
            <v>1986</v>
          </cell>
          <cell r="C11" t="str">
            <v>1987</v>
          </cell>
          <cell r="D11" t="str">
            <v>1988</v>
          </cell>
          <cell r="E11" t="str">
            <v>1989</v>
          </cell>
          <cell r="F11" t="str">
            <v>1990</v>
          </cell>
          <cell r="G11" t="str">
            <v>1991</v>
          </cell>
          <cell r="H11" t="str">
            <v>1992</v>
          </cell>
          <cell r="I11" t="str">
            <v>1993</v>
          </cell>
          <cell r="J11" t="str">
            <v>1994</v>
          </cell>
          <cell r="K11" t="str">
            <v>1995</v>
          </cell>
          <cell r="L11" t="str">
            <v>1996</v>
          </cell>
          <cell r="M11" t="str">
            <v>1997</v>
          </cell>
          <cell r="N11" t="str">
            <v>1998E</v>
          </cell>
          <cell r="O11" t="str">
            <v>1999E</v>
          </cell>
          <cell r="P11" t="str">
            <v>2000E</v>
          </cell>
          <cell r="Q11" t="str">
            <v>2001E</v>
          </cell>
          <cell r="R11" t="str">
            <v>Assumptions</v>
          </cell>
          <cell r="AB11" t="str">
            <v>Armored Vehs</v>
          </cell>
          <cell r="AD11">
            <v>1995</v>
          </cell>
          <cell r="AE11">
            <v>1996</v>
          </cell>
          <cell r="AF11">
            <v>1997</v>
          </cell>
          <cell r="AG11">
            <v>1998</v>
          </cell>
          <cell r="AH11">
            <v>1999</v>
          </cell>
          <cell r="AI11">
            <v>2000</v>
          </cell>
          <cell r="AJ11">
            <v>2001</v>
          </cell>
          <cell r="AK11">
            <v>2002</v>
          </cell>
          <cell r="AL11" t="str">
            <v>2003A</v>
          </cell>
          <cell r="AM11" t="str">
            <v>2004E</v>
          </cell>
          <cell r="AN11" t="str">
            <v>2005E</v>
          </cell>
          <cell r="AO11" t="str">
            <v>2006E</v>
          </cell>
          <cell r="AP11" t="str">
            <v>2007E</v>
          </cell>
          <cell r="AQ11" t="str">
            <v>2008E</v>
          </cell>
          <cell r="AR11" t="str">
            <v>2009E</v>
          </cell>
          <cell r="AS11" t="str">
            <v>2010E</v>
          </cell>
          <cell r="AT11" t="str">
            <v>2011E</v>
          </cell>
          <cell r="AU11" t="str">
            <v>2012E</v>
          </cell>
          <cell r="AV11" t="str">
            <v>Comments</v>
          </cell>
        </row>
        <row r="12">
          <cell r="A12" t="str">
            <v xml:space="preserve">Production </v>
          </cell>
          <cell r="B12">
            <v>700</v>
          </cell>
          <cell r="C12">
            <v>875</v>
          </cell>
          <cell r="D12">
            <v>825</v>
          </cell>
          <cell r="E12">
            <v>790</v>
          </cell>
          <cell r="F12">
            <v>750</v>
          </cell>
          <cell r="G12">
            <v>756.00000000000011</v>
          </cell>
          <cell r="H12">
            <v>955</v>
          </cell>
          <cell r="I12">
            <v>945</v>
          </cell>
          <cell r="J12">
            <v>800</v>
          </cell>
          <cell r="K12">
            <v>680</v>
          </cell>
          <cell r="L12">
            <v>470</v>
          </cell>
          <cell r="M12">
            <v>400</v>
          </cell>
          <cell r="N12">
            <v>330</v>
          </cell>
          <cell r="O12">
            <v>380</v>
          </cell>
          <cell r="P12">
            <v>400</v>
          </cell>
          <cell r="Q12">
            <v>485</v>
          </cell>
          <cell r="R12" t="str">
            <v>- M1A2 upgrades/ 1 foreign award</v>
          </cell>
          <cell r="V12" t="str">
            <v>Q1:99</v>
          </cell>
          <cell r="W12">
            <v>1996</v>
          </cell>
          <cell r="X12">
            <v>1997</v>
          </cell>
          <cell r="Y12">
            <v>1998</v>
          </cell>
          <cell r="AB12" t="str">
            <v>M1A1</v>
          </cell>
          <cell r="AD12">
            <v>130</v>
          </cell>
          <cell r="AE12">
            <v>90</v>
          </cell>
          <cell r="AF12">
            <v>75</v>
          </cell>
          <cell r="AG12" t="str">
            <v>--</v>
          </cell>
          <cell r="AH12" t="str">
            <v>--</v>
          </cell>
          <cell r="AI12" t="str">
            <v>--</v>
          </cell>
          <cell r="AJ12">
            <v>75</v>
          </cell>
          <cell r="AK12" t="str">
            <v>--</v>
          </cell>
          <cell r="AL12" t="str">
            <v>--</v>
          </cell>
          <cell r="AM12" t="str">
            <v>--</v>
          </cell>
          <cell r="AN12" t="str">
            <v>--</v>
          </cell>
          <cell r="AO12" t="str">
            <v>--</v>
          </cell>
          <cell r="AP12" t="str">
            <v>--</v>
          </cell>
          <cell r="AQ12" t="str">
            <v>--</v>
          </cell>
        </row>
        <row r="13">
          <cell r="A13" t="str">
            <v>Engineering</v>
          </cell>
          <cell r="B13">
            <v>428</v>
          </cell>
          <cell r="C13">
            <v>168</v>
          </cell>
          <cell r="D13">
            <v>176</v>
          </cell>
          <cell r="E13">
            <v>199</v>
          </cell>
          <cell r="F13">
            <v>257</v>
          </cell>
          <cell r="G13">
            <v>299</v>
          </cell>
          <cell r="H13">
            <v>210</v>
          </cell>
          <cell r="I13">
            <v>235</v>
          </cell>
          <cell r="J13">
            <v>245</v>
          </cell>
          <cell r="K13">
            <v>175</v>
          </cell>
          <cell r="L13">
            <v>280</v>
          </cell>
          <cell r="M13">
            <v>265</v>
          </cell>
          <cell r="N13">
            <v>330</v>
          </cell>
          <cell r="O13">
            <v>335</v>
          </cell>
          <cell r="P13">
            <v>285</v>
          </cell>
          <cell r="Q13">
            <v>330</v>
          </cell>
          <cell r="R13" t="str">
            <v>-Holds up</v>
          </cell>
          <cell r="U13" t="str">
            <v>Armored Vehs</v>
          </cell>
          <cell r="W13">
            <v>889</v>
          </cell>
          <cell r="X13">
            <v>960</v>
          </cell>
          <cell r="Y13">
            <v>915</v>
          </cell>
          <cell r="AB13" t="str">
            <v>M1A2</v>
          </cell>
          <cell r="AD13">
            <v>220</v>
          </cell>
          <cell r="AE13">
            <v>30</v>
          </cell>
          <cell r="AF13" t="str">
            <v>--</v>
          </cell>
          <cell r="AG13" t="str">
            <v>--</v>
          </cell>
          <cell r="AH13" t="str">
            <v>--</v>
          </cell>
          <cell r="AI13" t="str">
            <v>--</v>
          </cell>
          <cell r="AJ13">
            <v>0</v>
          </cell>
          <cell r="AK13">
            <v>80</v>
          </cell>
          <cell r="AL13">
            <v>150</v>
          </cell>
          <cell r="AM13">
            <v>75</v>
          </cell>
          <cell r="AN13">
            <v>25</v>
          </cell>
          <cell r="AO13">
            <v>25</v>
          </cell>
          <cell r="AP13">
            <v>25</v>
          </cell>
          <cell r="AQ13">
            <v>25</v>
          </cell>
        </row>
        <row r="14">
          <cell r="A14" t="str">
            <v>AAAV - Eng'g</v>
          </cell>
          <cell r="L14">
            <v>15</v>
          </cell>
          <cell r="M14">
            <v>50</v>
          </cell>
          <cell r="N14">
            <v>50</v>
          </cell>
          <cell r="O14">
            <v>60</v>
          </cell>
          <cell r="P14">
            <v>65</v>
          </cell>
          <cell r="Q14">
            <v>125</v>
          </cell>
          <cell r="R14" t="str">
            <v>- EMD 00-03</v>
          </cell>
          <cell r="U14" t="str">
            <v>Ordnance</v>
          </cell>
          <cell r="X14">
            <v>265</v>
          </cell>
          <cell r="Y14">
            <v>257</v>
          </cell>
          <cell r="AB14" t="str">
            <v>M1A2 Army Upgrade</v>
          </cell>
          <cell r="AD14">
            <v>240</v>
          </cell>
          <cell r="AE14">
            <v>260</v>
          </cell>
          <cell r="AF14">
            <v>260</v>
          </cell>
          <cell r="AG14">
            <v>250</v>
          </cell>
          <cell r="AH14">
            <v>300</v>
          </cell>
          <cell r="AI14">
            <v>300</v>
          </cell>
          <cell r="AJ14">
            <v>300</v>
          </cell>
          <cell r="AK14">
            <v>300</v>
          </cell>
          <cell r="AL14">
            <v>276</v>
          </cell>
          <cell r="AM14">
            <v>250</v>
          </cell>
          <cell r="AN14">
            <v>250</v>
          </cell>
          <cell r="AO14">
            <v>250</v>
          </cell>
          <cell r="AP14">
            <v>150</v>
          </cell>
          <cell r="AQ14">
            <v>0</v>
          </cell>
          <cell r="AV14" t="str">
            <v>- $741MM 3 yr. multiyear expires 2004</v>
          </cell>
          <cell r="AZ14" t="str">
            <v>upgrade ends Aug 04, retrofit M1A2 ends Dec. 04</v>
          </cell>
        </row>
        <row r="15">
          <cell r="A15" t="str">
            <v>Crusader - Eng'g</v>
          </cell>
          <cell r="L15">
            <v>40</v>
          </cell>
          <cell r="M15">
            <v>40</v>
          </cell>
          <cell r="N15">
            <v>50</v>
          </cell>
          <cell r="O15">
            <v>80</v>
          </cell>
          <cell r="P15">
            <v>125</v>
          </cell>
          <cell r="Q15">
            <v>150</v>
          </cell>
          <cell r="R15" t="str">
            <v>- EMD 00-03</v>
          </cell>
          <cell r="U15" t="str">
            <v>Other</v>
          </cell>
          <cell r="W15">
            <v>137</v>
          </cell>
          <cell r="X15">
            <v>284</v>
          </cell>
          <cell r="Y15">
            <v>100</v>
          </cell>
          <cell r="AB15" t="str">
            <v>Stryker Vehicles</v>
          </cell>
          <cell r="AJ15">
            <v>100</v>
          </cell>
          <cell r="AK15">
            <v>250</v>
          </cell>
          <cell r="AL15">
            <v>325</v>
          </cell>
          <cell r="AM15">
            <v>525</v>
          </cell>
          <cell r="AN15">
            <v>610</v>
          </cell>
          <cell r="AO15">
            <v>625</v>
          </cell>
          <cell r="AP15">
            <v>600</v>
          </cell>
          <cell r="AQ15">
            <v>450</v>
          </cell>
          <cell r="AV15" t="str">
            <v xml:space="preserve">- $306MM K thru 2003 (?); $350MM </v>
          </cell>
        </row>
        <row r="16">
          <cell r="A16" t="str">
            <v>Heavy Assault Bridge</v>
          </cell>
          <cell r="M16">
            <v>10</v>
          </cell>
          <cell r="N16">
            <v>35</v>
          </cell>
          <cell r="O16">
            <v>40</v>
          </cell>
          <cell r="P16">
            <v>45</v>
          </cell>
          <cell r="Q16">
            <v>50</v>
          </cell>
          <cell r="U16" t="str">
            <v>AV Total</v>
          </cell>
          <cell r="V16">
            <v>290</v>
          </cell>
          <cell r="W16">
            <v>1026</v>
          </cell>
          <cell r="X16">
            <v>1509</v>
          </cell>
          <cell r="Y16">
            <v>1272</v>
          </cell>
          <cell r="AB16" t="str">
            <v>Prodn tank</v>
          </cell>
          <cell r="AD16">
            <v>90</v>
          </cell>
          <cell r="AE16">
            <v>90</v>
          </cell>
          <cell r="AF16">
            <v>80</v>
          </cell>
          <cell r="AG16">
            <v>80</v>
          </cell>
          <cell r="AH16">
            <v>80</v>
          </cell>
          <cell r="AI16">
            <v>90</v>
          </cell>
          <cell r="AJ16">
            <v>100</v>
          </cell>
          <cell r="AK16">
            <v>100</v>
          </cell>
          <cell r="AL16">
            <v>100</v>
          </cell>
          <cell r="AM16">
            <v>100</v>
          </cell>
          <cell r="AN16">
            <v>100</v>
          </cell>
          <cell r="AO16">
            <v>100</v>
          </cell>
          <cell r="AP16">
            <v>100</v>
          </cell>
          <cell r="AQ16">
            <v>100</v>
          </cell>
          <cell r="AV16" t="str">
            <v>- misc. tank repair work</v>
          </cell>
        </row>
        <row r="17">
          <cell r="A17" t="str">
            <v>Services</v>
          </cell>
          <cell r="E17">
            <v>96</v>
          </cell>
          <cell r="F17">
            <v>81</v>
          </cell>
          <cell r="G17">
            <v>92</v>
          </cell>
          <cell r="H17">
            <v>80</v>
          </cell>
          <cell r="I17">
            <v>75</v>
          </cell>
          <cell r="J17">
            <v>75</v>
          </cell>
          <cell r="K17">
            <v>70</v>
          </cell>
          <cell r="L17">
            <v>90</v>
          </cell>
          <cell r="M17">
            <v>85</v>
          </cell>
          <cell r="N17">
            <v>80</v>
          </cell>
          <cell r="O17">
            <v>45</v>
          </cell>
          <cell r="P17">
            <v>45</v>
          </cell>
          <cell r="Q17">
            <v>45</v>
          </cell>
          <cell r="R17" t="str">
            <v>-Kuwait/Saudi</v>
          </cell>
          <cell r="AB17" t="str">
            <v>Engine work</v>
          </cell>
          <cell r="AI17">
            <v>25</v>
          </cell>
          <cell r="AJ17">
            <v>40</v>
          </cell>
          <cell r="AK17">
            <v>50</v>
          </cell>
          <cell r="AL17">
            <v>70</v>
          </cell>
          <cell r="AM17">
            <v>70</v>
          </cell>
          <cell r="AN17">
            <v>70</v>
          </cell>
          <cell r="AO17">
            <v>70</v>
          </cell>
          <cell r="AP17">
            <v>70</v>
          </cell>
          <cell r="AQ17">
            <v>70</v>
          </cell>
          <cell r="AV17" t="str">
            <v>- Propulsion (diesel) upgrades</v>
          </cell>
        </row>
        <row r="18">
          <cell r="A18" t="str">
            <v>Sincgars</v>
          </cell>
          <cell r="G18">
            <v>10</v>
          </cell>
          <cell r="H18">
            <v>12</v>
          </cell>
          <cell r="I18">
            <v>31</v>
          </cell>
          <cell r="J18">
            <v>64</v>
          </cell>
          <cell r="K18">
            <v>125</v>
          </cell>
          <cell r="L18">
            <v>130</v>
          </cell>
          <cell r="M18">
            <v>125</v>
          </cell>
          <cell r="N18">
            <v>100</v>
          </cell>
          <cell r="O18">
            <v>0</v>
          </cell>
          <cell r="P18">
            <v>0</v>
          </cell>
          <cell r="Q18">
            <v>0</v>
          </cell>
          <cell r="R18" t="str">
            <v xml:space="preserve">-Lost single up </v>
          </cell>
          <cell r="U18" t="str">
            <v>DDA</v>
          </cell>
          <cell r="V18">
            <v>7</v>
          </cell>
          <cell r="W18">
            <v>12</v>
          </cell>
          <cell r="X18">
            <v>36</v>
          </cell>
          <cell r="Y18">
            <v>27</v>
          </cell>
          <cell r="AB18" t="str">
            <v>Fox</v>
          </cell>
          <cell r="AD18" t="str">
            <v>--</v>
          </cell>
          <cell r="AE18">
            <v>30</v>
          </cell>
          <cell r="AF18">
            <v>180</v>
          </cell>
          <cell r="AG18">
            <v>60</v>
          </cell>
          <cell r="AH18">
            <v>34.5</v>
          </cell>
          <cell r="AI18">
            <v>35</v>
          </cell>
          <cell r="AJ18">
            <v>65</v>
          </cell>
          <cell r="AK18">
            <v>30</v>
          </cell>
          <cell r="AL18">
            <v>30</v>
          </cell>
          <cell r="AM18">
            <v>30</v>
          </cell>
          <cell r="AN18">
            <v>30</v>
          </cell>
          <cell r="AO18">
            <v>30</v>
          </cell>
          <cell r="AP18">
            <v>30</v>
          </cell>
          <cell r="AQ18">
            <v>30</v>
          </cell>
          <cell r="AV18" t="str">
            <v>- foreign sls potential</v>
          </cell>
        </row>
        <row r="19">
          <cell r="A19" t="str">
            <v xml:space="preserve"> Total Revs</v>
          </cell>
          <cell r="B19">
            <v>1128</v>
          </cell>
          <cell r="C19">
            <v>1043</v>
          </cell>
          <cell r="D19">
            <v>1001</v>
          </cell>
          <cell r="E19">
            <v>1085</v>
          </cell>
          <cell r="F19">
            <v>1088</v>
          </cell>
          <cell r="G19">
            <v>1157</v>
          </cell>
          <cell r="H19">
            <v>1257</v>
          </cell>
          <cell r="I19">
            <v>1286</v>
          </cell>
          <cell r="J19">
            <v>1184</v>
          </cell>
          <cell r="K19">
            <v>1050</v>
          </cell>
          <cell r="L19">
            <v>1025</v>
          </cell>
          <cell r="M19">
            <v>975</v>
          </cell>
          <cell r="N19">
            <v>975</v>
          </cell>
          <cell r="O19">
            <v>940</v>
          </cell>
          <cell r="P19">
            <v>965</v>
          </cell>
          <cell r="Q19">
            <v>1185</v>
          </cell>
          <cell r="U19" t="str">
            <v>Capex</v>
          </cell>
          <cell r="V19" t="str">
            <v>--</v>
          </cell>
          <cell r="W19">
            <v>14</v>
          </cell>
          <cell r="X19">
            <v>17</v>
          </cell>
          <cell r="Y19">
            <v>18</v>
          </cell>
          <cell r="AB19" t="str">
            <v>Heavy Assault Bridge</v>
          </cell>
          <cell r="AF19">
            <v>15</v>
          </cell>
          <cell r="AG19">
            <v>35</v>
          </cell>
          <cell r="AH19">
            <v>40</v>
          </cell>
          <cell r="AI19">
            <v>45</v>
          </cell>
          <cell r="AJ19">
            <v>50</v>
          </cell>
          <cell r="AK19">
            <v>20</v>
          </cell>
          <cell r="AL19">
            <v>20</v>
          </cell>
          <cell r="AM19">
            <v>10</v>
          </cell>
          <cell r="AN19">
            <v>0</v>
          </cell>
          <cell r="AO19">
            <v>0</v>
          </cell>
          <cell r="AP19">
            <v>0</v>
          </cell>
          <cell r="AQ19">
            <v>0</v>
          </cell>
        </row>
        <row r="20">
          <cell r="U20" t="str">
            <v>Assets</v>
          </cell>
          <cell r="V20">
            <v>927</v>
          </cell>
          <cell r="W20">
            <v>336</v>
          </cell>
          <cell r="X20">
            <v>974</v>
          </cell>
          <cell r="Y20">
            <v>923</v>
          </cell>
          <cell r="AB20" t="str">
            <v>Crusader</v>
          </cell>
          <cell r="AD20" t="str">
            <v>--</v>
          </cell>
          <cell r="AE20">
            <v>40</v>
          </cell>
          <cell r="AF20">
            <v>40</v>
          </cell>
          <cell r="AG20">
            <v>50</v>
          </cell>
          <cell r="AH20">
            <v>80</v>
          </cell>
          <cell r="AI20">
            <v>120</v>
          </cell>
          <cell r="AJ20">
            <v>135</v>
          </cell>
          <cell r="AK20">
            <v>180</v>
          </cell>
          <cell r="AL20">
            <v>50</v>
          </cell>
          <cell r="AM20">
            <v>0</v>
          </cell>
          <cell r="AN20">
            <v>0</v>
          </cell>
          <cell r="AO20">
            <v>0</v>
          </cell>
          <cell r="AP20">
            <v>0</v>
          </cell>
          <cell r="AQ20">
            <v>0</v>
          </cell>
          <cell r="AV20" t="str">
            <v>- Canceled</v>
          </cell>
        </row>
        <row r="21">
          <cell r="A21" t="str">
            <v>% Ch.</v>
          </cell>
          <cell r="C21">
            <v>-7.5354609929078054E-2</v>
          </cell>
          <cell r="D21">
            <v>-4.0268456375838979E-2</v>
          </cell>
          <cell r="E21">
            <v>8.3916083916083961E-2</v>
          </cell>
          <cell r="F21">
            <v>2.7649769585254003E-3</v>
          </cell>
          <cell r="G21">
            <v>6.3419117647058876E-2</v>
          </cell>
          <cell r="H21">
            <v>8.6430423509075149E-2</v>
          </cell>
          <cell r="I21">
            <v>2.3070803500397696E-2</v>
          </cell>
          <cell r="J21">
            <v>-7.9315707620528753E-2</v>
          </cell>
          <cell r="K21">
            <v>-0.11317567567567566</v>
          </cell>
          <cell r="L21">
            <v>-2.3809523809523836E-2</v>
          </cell>
          <cell r="M21">
            <v>-4.8780487804878092E-2</v>
          </cell>
          <cell r="N21">
            <v>0</v>
          </cell>
          <cell r="O21">
            <v>-3.5897435897435881E-2</v>
          </cell>
          <cell r="P21">
            <v>2.659574468085113E-2</v>
          </cell>
          <cell r="Q21">
            <v>0.22797927461139889</v>
          </cell>
          <cell r="U21" t="str">
            <v>ROA</v>
          </cell>
          <cell r="V21">
            <v>0.31283710895361383</v>
          </cell>
          <cell r="W21">
            <v>3.0535714285714284</v>
          </cell>
          <cell r="X21">
            <v>1.5492813141683779</v>
          </cell>
          <cell r="Y21">
            <v>1.3781148429035752</v>
          </cell>
          <cell r="AB21" t="str">
            <v>AAAV</v>
          </cell>
          <cell r="AD21" t="str">
            <v>--</v>
          </cell>
          <cell r="AE21">
            <v>15</v>
          </cell>
          <cell r="AF21">
            <v>50</v>
          </cell>
          <cell r="AG21">
            <v>50</v>
          </cell>
          <cell r="AH21">
            <v>40</v>
          </cell>
          <cell r="AI21">
            <v>50</v>
          </cell>
          <cell r="AJ21">
            <v>100</v>
          </cell>
          <cell r="AK21">
            <v>200</v>
          </cell>
          <cell r="AL21">
            <v>225</v>
          </cell>
          <cell r="AM21">
            <v>325</v>
          </cell>
          <cell r="AN21">
            <v>450</v>
          </cell>
          <cell r="AO21">
            <v>550</v>
          </cell>
          <cell r="AP21">
            <v>665</v>
          </cell>
          <cell r="AQ21">
            <v>775</v>
          </cell>
          <cell r="AV21" t="str">
            <v>- LRIP in 04, full rate in 2006</v>
          </cell>
        </row>
        <row r="22">
          <cell r="A22" t="str">
            <v>Adj. Op Prof.</v>
          </cell>
          <cell r="B22">
            <v>86</v>
          </cell>
          <cell r="C22">
            <v>72</v>
          </cell>
          <cell r="D22">
            <v>74</v>
          </cell>
          <cell r="E22">
            <v>114</v>
          </cell>
          <cell r="F22">
            <v>102</v>
          </cell>
          <cell r="G22">
            <v>103</v>
          </cell>
          <cell r="H22">
            <v>122</v>
          </cell>
          <cell r="I22">
            <v>165</v>
          </cell>
          <cell r="J22">
            <v>140</v>
          </cell>
          <cell r="K22">
            <v>140</v>
          </cell>
          <cell r="L22">
            <v>136</v>
          </cell>
          <cell r="M22">
            <v>138</v>
          </cell>
          <cell r="N22">
            <v>136</v>
          </cell>
          <cell r="O22">
            <v>135</v>
          </cell>
          <cell r="P22">
            <v>135</v>
          </cell>
          <cell r="Q22">
            <v>169</v>
          </cell>
          <cell r="R22" t="str">
            <v>- $10-20MM= svgs from Muskegon</v>
          </cell>
          <cell r="AB22" t="str">
            <v>Objective Force Warrior</v>
          </cell>
          <cell r="AL22">
            <v>20</v>
          </cell>
          <cell r="AM22">
            <v>50</v>
          </cell>
          <cell r="AN22">
            <v>50</v>
          </cell>
          <cell r="AO22">
            <v>250</v>
          </cell>
          <cell r="AP22">
            <v>300</v>
          </cell>
          <cell r="AQ22">
            <v>350</v>
          </cell>
          <cell r="AV22" t="str">
            <v>- Prime, ruggedize, work w/ Stryker, long term potential 1-3B over ten years (Est. 2006-2015)</v>
          </cell>
        </row>
        <row r="23">
          <cell r="A23" t="str">
            <v xml:space="preserve">  %Sales</v>
          </cell>
          <cell r="B23">
            <v>7.6241134751773049E-2</v>
          </cell>
          <cell r="C23">
            <v>6.9031639501438161E-2</v>
          </cell>
          <cell r="D23">
            <v>7.3926073926073921E-2</v>
          </cell>
          <cell r="E23">
            <v>0.10506912442396313</v>
          </cell>
          <cell r="F23">
            <v>9.375E-2</v>
          </cell>
          <cell r="G23">
            <v>8.9023336214347451E-2</v>
          </cell>
          <cell r="H23">
            <v>9.7056483691328563E-2</v>
          </cell>
          <cell r="I23">
            <v>0.12830482115085537</v>
          </cell>
          <cell r="J23">
            <v>0.11824324324324324</v>
          </cell>
          <cell r="K23">
            <v>0.13333333333333333</v>
          </cell>
          <cell r="L23">
            <v>0.1326829268292683</v>
          </cell>
          <cell r="M23">
            <v>0.14153846153846153</v>
          </cell>
          <cell r="N23">
            <v>0.13948717948717948</v>
          </cell>
          <cell r="O23">
            <v>0.14361702127659576</v>
          </cell>
          <cell r="P23">
            <v>0.13989637305699482</v>
          </cell>
          <cell r="Q23">
            <v>0.14261603375527426</v>
          </cell>
          <cell r="R23" t="str">
            <v>- 16%+ mgn foreign tanks boost mix</v>
          </cell>
          <cell r="AB23" t="str">
            <v>Future Combat Systems</v>
          </cell>
          <cell r="AL23">
            <v>75</v>
          </cell>
          <cell r="AM23">
            <v>125</v>
          </cell>
          <cell r="AN23">
            <v>225</v>
          </cell>
          <cell r="AO23">
            <v>320</v>
          </cell>
          <cell r="AP23">
            <v>400</v>
          </cell>
          <cell r="AQ23">
            <v>500</v>
          </cell>
          <cell r="AV23" t="str">
            <v>- subcontractor to BA, initial deliver 2008, IOC 2010</v>
          </cell>
        </row>
        <row r="24">
          <cell r="AB24" t="str">
            <v>Objective Crew Served Weapon</v>
          </cell>
          <cell r="AV24" t="str">
            <v>- should this be moved to IST?</v>
          </cell>
        </row>
        <row r="25">
          <cell r="AB25" t="str">
            <v>GM Defense</v>
          </cell>
          <cell r="AL25">
            <v>980</v>
          </cell>
          <cell r="AM25">
            <v>1060</v>
          </cell>
          <cell r="AN25">
            <v>1090</v>
          </cell>
          <cell r="AO25">
            <v>1144.5</v>
          </cell>
          <cell r="AP25">
            <v>1201.7250000000001</v>
          </cell>
          <cell r="AQ25">
            <v>1261.8112500000002</v>
          </cell>
          <cell r="AV25" t="str">
            <v>-4-5% growth reasonable according to IR</v>
          </cell>
        </row>
        <row r="26">
          <cell r="A26" t="str">
            <v>G/W Amort</v>
          </cell>
          <cell r="B26">
            <v>-34</v>
          </cell>
          <cell r="C26">
            <v>-43</v>
          </cell>
          <cell r="D26">
            <v>-35.325000000000003</v>
          </cell>
          <cell r="E26">
            <v>-32</v>
          </cell>
          <cell r="F26">
            <v>-30</v>
          </cell>
          <cell r="G26">
            <v>-2</v>
          </cell>
          <cell r="AB26" t="str">
            <v>AIMXX21</v>
          </cell>
          <cell r="AG26">
            <v>5</v>
          </cell>
          <cell r="AH26">
            <v>20</v>
          </cell>
          <cell r="AI26">
            <v>50</v>
          </cell>
          <cell r="AJ26">
            <v>80</v>
          </cell>
          <cell r="AK26">
            <v>115</v>
          </cell>
          <cell r="AL26">
            <v>115</v>
          </cell>
          <cell r="AM26">
            <v>120</v>
          </cell>
          <cell r="AN26">
            <v>120</v>
          </cell>
          <cell r="AO26">
            <v>120</v>
          </cell>
          <cell r="AP26">
            <v>120</v>
          </cell>
          <cell r="AQ26">
            <v>102</v>
          </cell>
          <cell r="AV26" t="str">
            <v>- Myles can you work on seeing if you can get better clarity on this program and its vols?</v>
          </cell>
        </row>
        <row r="27">
          <cell r="A27" t="str">
            <v>Op. Profit</v>
          </cell>
          <cell r="B27">
            <v>52</v>
          </cell>
          <cell r="C27">
            <v>29</v>
          </cell>
          <cell r="D27">
            <v>38.674999999999997</v>
          </cell>
          <cell r="E27">
            <v>82</v>
          </cell>
          <cell r="F27">
            <v>72</v>
          </cell>
          <cell r="G27">
            <v>101</v>
          </cell>
          <cell r="H27">
            <v>122</v>
          </cell>
          <cell r="I27">
            <v>165</v>
          </cell>
          <cell r="J27">
            <v>140</v>
          </cell>
          <cell r="K27">
            <v>140</v>
          </cell>
          <cell r="L27">
            <v>136</v>
          </cell>
          <cell r="M27">
            <v>138</v>
          </cell>
          <cell r="N27">
            <v>136</v>
          </cell>
          <cell r="O27">
            <v>135</v>
          </cell>
          <cell r="P27">
            <v>135</v>
          </cell>
          <cell r="Q27">
            <v>169</v>
          </cell>
          <cell r="AB27" t="str">
            <v>SINCGARS</v>
          </cell>
          <cell r="AD27">
            <v>125</v>
          </cell>
          <cell r="AE27">
            <v>130</v>
          </cell>
          <cell r="AF27">
            <v>125</v>
          </cell>
          <cell r="AG27">
            <v>100</v>
          </cell>
          <cell r="AH27">
            <v>0</v>
          </cell>
          <cell r="AI27">
            <v>0</v>
          </cell>
          <cell r="AJ27">
            <v>0</v>
          </cell>
          <cell r="AK27">
            <v>0</v>
          </cell>
          <cell r="AL27">
            <v>0</v>
          </cell>
          <cell r="AM27">
            <v>0</v>
          </cell>
          <cell r="AN27">
            <v>0</v>
          </cell>
          <cell r="AO27">
            <v>0</v>
          </cell>
          <cell r="AP27">
            <v>0</v>
          </cell>
          <cell r="AQ27">
            <v>0</v>
          </cell>
          <cell r="AV27" t="str">
            <v>- Lost to ITT</v>
          </cell>
        </row>
        <row r="28">
          <cell r="A28" t="str">
            <v xml:space="preserve">  %Sales</v>
          </cell>
          <cell r="B28">
            <v>4.6099290780141841E-2</v>
          </cell>
          <cell r="C28">
            <v>2.7804410354745925E-2</v>
          </cell>
          <cell r="D28">
            <v>3.8636363636363635E-2</v>
          </cell>
          <cell r="E28">
            <v>7.5576036866359442E-2</v>
          </cell>
          <cell r="F28">
            <v>6.6176470588235295E-2</v>
          </cell>
          <cell r="G28">
            <v>8.729472774416594E-2</v>
          </cell>
          <cell r="H28">
            <v>9.7056483691328563E-2</v>
          </cell>
          <cell r="I28">
            <v>0.12830482115085537</v>
          </cell>
          <cell r="J28">
            <v>0.11824324324324324</v>
          </cell>
          <cell r="K28">
            <v>0.13333333333333333</v>
          </cell>
          <cell r="L28">
            <v>0.1326829268292683</v>
          </cell>
          <cell r="M28">
            <v>0.14153846153846153</v>
          </cell>
          <cell r="N28">
            <v>0.13948717948717948</v>
          </cell>
          <cell r="O28">
            <v>0.14361702127659576</v>
          </cell>
          <cell r="P28">
            <v>0.13989637305699482</v>
          </cell>
          <cell r="Q28">
            <v>0.14261603375527426</v>
          </cell>
          <cell r="AB28" t="str">
            <v>Combat Eng Veh</v>
          </cell>
          <cell r="AE28">
            <v>15</v>
          </cell>
          <cell r="AF28">
            <v>15</v>
          </cell>
          <cell r="AG28">
            <v>15</v>
          </cell>
          <cell r="AH28">
            <v>15</v>
          </cell>
          <cell r="AI28">
            <v>25</v>
          </cell>
          <cell r="AJ28">
            <v>25</v>
          </cell>
          <cell r="AK28">
            <v>25</v>
          </cell>
          <cell r="AL28">
            <v>25</v>
          </cell>
          <cell r="AM28">
            <v>25</v>
          </cell>
          <cell r="AN28">
            <v>25</v>
          </cell>
          <cell r="AO28">
            <v>25</v>
          </cell>
          <cell r="AP28">
            <v>25</v>
          </cell>
          <cell r="AQ28">
            <v>25</v>
          </cell>
          <cell r="AV28" t="str">
            <v>- R&amp;D program</v>
          </cell>
        </row>
        <row r="29">
          <cell r="A29" t="str">
            <v>Defense/Arm Systems</v>
          </cell>
          <cell r="AB29" t="str">
            <v>Support services</v>
          </cell>
          <cell r="AD29">
            <v>70</v>
          </cell>
          <cell r="AE29">
            <v>90</v>
          </cell>
          <cell r="AF29">
            <v>90</v>
          </cell>
          <cell r="AG29">
            <v>80</v>
          </cell>
          <cell r="AH29">
            <v>45</v>
          </cell>
          <cell r="AI29">
            <v>45</v>
          </cell>
          <cell r="AJ29">
            <v>45</v>
          </cell>
          <cell r="AK29">
            <v>45</v>
          </cell>
          <cell r="AL29">
            <v>20</v>
          </cell>
          <cell r="AM29">
            <v>20</v>
          </cell>
          <cell r="AN29">
            <v>20</v>
          </cell>
          <cell r="AO29">
            <v>20</v>
          </cell>
          <cell r="AP29">
            <v>20</v>
          </cell>
          <cell r="AQ29">
            <v>20</v>
          </cell>
          <cell r="AV29" t="str">
            <v>- Middle East, drops off 50% if no new contracts</v>
          </cell>
        </row>
        <row r="30">
          <cell r="AB30" t="str">
            <v>Dragoon/Pandur</v>
          </cell>
          <cell r="AH30">
            <v>15</v>
          </cell>
          <cell r="AI30">
            <v>20</v>
          </cell>
          <cell r="AJ30">
            <v>20</v>
          </cell>
          <cell r="AK30">
            <v>40</v>
          </cell>
          <cell r="AL30">
            <v>50</v>
          </cell>
          <cell r="AM30">
            <v>100</v>
          </cell>
          <cell r="AN30">
            <v>120</v>
          </cell>
          <cell r="AO30">
            <v>120</v>
          </cell>
          <cell r="AP30">
            <v>150</v>
          </cell>
          <cell r="AQ30">
            <v>150</v>
          </cell>
          <cell r="AV30" t="str">
            <v>- lt army, hvy Police vehs, 4-6 wheeled vehs</v>
          </cell>
        </row>
        <row r="31">
          <cell r="A31" t="str">
            <v>Defense Systems</v>
          </cell>
          <cell r="M31">
            <v>250</v>
          </cell>
          <cell r="N31">
            <v>95</v>
          </cell>
          <cell r="O31">
            <v>125</v>
          </cell>
          <cell r="P31">
            <v>140</v>
          </cell>
          <cell r="Q31">
            <v>175</v>
          </cell>
          <cell r="AB31" t="str">
            <v>Armament systems</v>
          </cell>
          <cell r="AF31">
            <v>284</v>
          </cell>
          <cell r="AG31">
            <v>295</v>
          </cell>
          <cell r="AH31">
            <v>360</v>
          </cell>
          <cell r="AI31">
            <v>280</v>
          </cell>
          <cell r="AJ31">
            <v>275</v>
          </cell>
          <cell r="AK31">
            <v>285</v>
          </cell>
          <cell r="AL31">
            <v>285</v>
          </cell>
          <cell r="AM31">
            <v>350</v>
          </cell>
          <cell r="AN31">
            <v>380</v>
          </cell>
          <cell r="AO31">
            <v>350</v>
          </cell>
          <cell r="AP31">
            <v>350</v>
          </cell>
          <cell r="AQ31">
            <v>350</v>
          </cell>
          <cell r="AV31" t="str">
            <v>- Hydra rocket primary driver..Hydra $834MM order from 1999-3/2006</v>
          </cell>
        </row>
        <row r="32">
          <cell r="AB32" t="str">
            <v>ATPS</v>
          </cell>
          <cell r="AK32">
            <v>130</v>
          </cell>
          <cell r="AL32">
            <v>225</v>
          </cell>
          <cell r="AM32">
            <v>245</v>
          </cell>
          <cell r="AN32">
            <v>275</v>
          </cell>
          <cell r="AO32">
            <v>285</v>
          </cell>
          <cell r="AP32">
            <v>300</v>
          </cell>
          <cell r="AQ32">
            <v>315</v>
          </cell>
          <cell r="AV32" t="str">
            <v>- acq'd 2002, adv'd tech prods sys</v>
          </cell>
        </row>
        <row r="33">
          <cell r="A33" t="str">
            <v>Armament Systems</v>
          </cell>
          <cell r="M33">
            <v>284</v>
          </cell>
          <cell r="N33">
            <v>200</v>
          </cell>
          <cell r="O33">
            <v>235</v>
          </cell>
          <cell r="P33">
            <v>295</v>
          </cell>
          <cell r="Q33">
            <v>320</v>
          </cell>
          <cell r="AB33" t="str">
            <v>Other Eng'g</v>
          </cell>
          <cell r="AD33">
            <v>175</v>
          </cell>
          <cell r="AE33">
            <v>236</v>
          </cell>
          <cell r="AF33">
            <v>295</v>
          </cell>
          <cell r="AG33">
            <v>252</v>
          </cell>
          <cell r="AH33">
            <v>260</v>
          </cell>
          <cell r="AI33">
            <v>190</v>
          </cell>
          <cell r="AJ33">
            <v>152</v>
          </cell>
          <cell r="AK33">
            <v>150</v>
          </cell>
          <cell r="AL33">
            <v>150</v>
          </cell>
          <cell r="AM33">
            <v>150</v>
          </cell>
          <cell r="AN33">
            <v>300</v>
          </cell>
          <cell r="AO33">
            <v>400</v>
          </cell>
          <cell r="AP33">
            <v>400</v>
          </cell>
          <cell r="AQ33">
            <v>400</v>
          </cell>
          <cell r="AV33" t="str">
            <v>- 97 some in Fox prog</v>
          </cell>
        </row>
        <row r="34">
          <cell r="A34" t="str">
            <v>Total</v>
          </cell>
          <cell r="M34">
            <v>534</v>
          </cell>
          <cell r="N34">
            <v>295</v>
          </cell>
          <cell r="O34">
            <v>360</v>
          </cell>
          <cell r="P34">
            <v>435</v>
          </cell>
          <cell r="Q34">
            <v>495</v>
          </cell>
          <cell r="R34" t="str">
            <v>- fire control/naval training moved to Marine</v>
          </cell>
          <cell r="AB34" t="str">
            <v>subtotal</v>
          </cell>
          <cell r="AD34">
            <v>1050</v>
          </cell>
          <cell r="AE34">
            <v>1026</v>
          </cell>
          <cell r="AF34">
            <v>1509</v>
          </cell>
          <cell r="AG34">
            <v>1272</v>
          </cell>
          <cell r="AH34">
            <v>1289.5</v>
          </cell>
          <cell r="AI34">
            <v>1275</v>
          </cell>
          <cell r="AJ34">
            <v>1562</v>
          </cell>
          <cell r="AK34">
            <v>2000</v>
          </cell>
          <cell r="AL34">
            <v>3191</v>
          </cell>
          <cell r="AM34">
            <v>3630</v>
          </cell>
          <cell r="AN34">
            <v>4140</v>
          </cell>
          <cell r="AO34">
            <v>4684.5</v>
          </cell>
          <cell r="AP34">
            <v>4906.7250000000004</v>
          </cell>
          <cell r="AQ34">
            <v>4923.8112500000007</v>
          </cell>
        </row>
        <row r="35">
          <cell r="A35" t="str">
            <v>Adj. Op Prof.</v>
          </cell>
          <cell r="M35">
            <v>60</v>
          </cell>
          <cell r="N35">
            <v>40</v>
          </cell>
          <cell r="O35">
            <v>48</v>
          </cell>
          <cell r="P35">
            <v>61</v>
          </cell>
          <cell r="Q35">
            <v>69</v>
          </cell>
          <cell r="AB35" t="str">
            <v>Primex</v>
          </cell>
          <cell r="AJ35">
            <v>530</v>
          </cell>
          <cell r="AK35">
            <v>623</v>
          </cell>
          <cell r="AL35">
            <v>650</v>
          </cell>
          <cell r="AM35">
            <v>745</v>
          </cell>
          <cell r="AN35">
            <v>800</v>
          </cell>
          <cell r="AO35">
            <v>850</v>
          </cell>
          <cell r="AP35">
            <v>865</v>
          </cell>
          <cell r="AQ35">
            <v>885</v>
          </cell>
          <cell r="AV35" t="str">
            <v>- acq'd in 2000</v>
          </cell>
        </row>
        <row r="36">
          <cell r="A36" t="str">
            <v xml:space="preserve">  %Sales</v>
          </cell>
          <cell r="M36">
            <v>0.11235955056179775</v>
          </cell>
          <cell r="N36">
            <v>0.13559322033898305</v>
          </cell>
          <cell r="O36">
            <v>0.13333333333333333</v>
          </cell>
          <cell r="P36">
            <v>0.14022988505747128</v>
          </cell>
          <cell r="Q36">
            <v>0.1393939393939394</v>
          </cell>
          <cell r="AB36" t="str">
            <v>Santa Barbara</v>
          </cell>
          <cell r="AJ36">
            <v>118</v>
          </cell>
          <cell r="AK36">
            <v>300</v>
          </cell>
          <cell r="AL36">
            <v>325</v>
          </cell>
          <cell r="AM36">
            <v>350</v>
          </cell>
          <cell r="AN36">
            <v>400</v>
          </cell>
          <cell r="AO36">
            <v>400</v>
          </cell>
          <cell r="AP36">
            <v>425</v>
          </cell>
          <cell r="AQ36">
            <v>425</v>
          </cell>
          <cell r="AV36" t="str">
            <v>- 2001 Backlog $1.6B; 235 Main Leopard Battle Tanks 2002-08; 48 Pizarro infantry fighting vehicles</v>
          </cell>
        </row>
        <row r="37">
          <cell r="A37" t="str">
            <v>G/W Amort</v>
          </cell>
          <cell r="M37">
            <v>-11</v>
          </cell>
          <cell r="N37">
            <v>-11</v>
          </cell>
          <cell r="O37">
            <v>-11</v>
          </cell>
          <cell r="P37">
            <v>-11</v>
          </cell>
          <cell r="Q37">
            <v>-11</v>
          </cell>
          <cell r="R37" t="str">
            <v>- $330MM/30 yrs</v>
          </cell>
          <cell r="AB37" t="str">
            <v>Total</v>
          </cell>
          <cell r="AJ37">
            <v>2210</v>
          </cell>
          <cell r="AK37">
            <v>2923</v>
          </cell>
          <cell r="AL37">
            <v>4166</v>
          </cell>
          <cell r="AM37">
            <v>4725</v>
          </cell>
          <cell r="AN37">
            <v>5340</v>
          </cell>
          <cell r="AO37">
            <v>5934.5</v>
          </cell>
          <cell r="AP37">
            <v>6196.7250000000004</v>
          </cell>
          <cell r="AQ37">
            <v>6233.8112500000007</v>
          </cell>
        </row>
        <row r="38">
          <cell r="A38" t="str">
            <v>Op. Profit</v>
          </cell>
          <cell r="M38">
            <v>49</v>
          </cell>
          <cell r="N38">
            <v>29</v>
          </cell>
          <cell r="O38">
            <v>37</v>
          </cell>
          <cell r="P38">
            <v>50</v>
          </cell>
          <cell r="Q38">
            <v>58</v>
          </cell>
          <cell r="AB38" t="str">
            <v>Cushion</v>
          </cell>
          <cell r="AL38">
            <v>-159</v>
          </cell>
          <cell r="AM38">
            <v>-318</v>
          </cell>
          <cell r="AN38">
            <v>-319</v>
          </cell>
          <cell r="AO38">
            <v>48.5</v>
          </cell>
          <cell r="AP38">
            <v>1600.2749999999996</v>
          </cell>
          <cell r="AQ38">
            <v>1960.1887499999993</v>
          </cell>
        </row>
        <row r="39">
          <cell r="A39" t="str">
            <v xml:space="preserve">  %Sales</v>
          </cell>
          <cell r="M39">
            <v>9.1760299625468167E-2</v>
          </cell>
          <cell r="N39">
            <v>9.8305084745762716E-2</v>
          </cell>
          <cell r="O39">
            <v>0.10277777777777777</v>
          </cell>
          <cell r="P39">
            <v>0.11494252873563218</v>
          </cell>
          <cell r="Q39">
            <v>0.11717171717171718</v>
          </cell>
          <cell r="AB39" t="str">
            <v>vs. Main ---&gt;</v>
          </cell>
          <cell r="AD39">
            <v>1050</v>
          </cell>
          <cell r="AE39">
            <v>1026</v>
          </cell>
          <cell r="AF39">
            <v>1387</v>
          </cell>
          <cell r="AG39">
            <v>1272</v>
          </cell>
          <cell r="AH39">
            <v>1290</v>
          </cell>
          <cell r="AI39">
            <v>1273</v>
          </cell>
          <cell r="AJ39">
            <v>2210</v>
          </cell>
          <cell r="AK39">
            <v>2786</v>
          </cell>
          <cell r="AL39">
            <v>4007</v>
          </cell>
          <cell r="AM39">
            <v>4407</v>
          </cell>
          <cell r="AN39">
            <v>5021</v>
          </cell>
          <cell r="AO39">
            <v>5983</v>
          </cell>
          <cell r="AP39">
            <v>7797</v>
          </cell>
          <cell r="AQ39">
            <v>8194</v>
          </cell>
        </row>
        <row r="40">
          <cell r="A40" t="str">
            <v>TOTAL COMBAT REVS</v>
          </cell>
          <cell r="K40">
            <v>1050</v>
          </cell>
          <cell r="L40">
            <v>1025</v>
          </cell>
          <cell r="M40">
            <v>1509</v>
          </cell>
          <cell r="N40">
            <v>1270</v>
          </cell>
          <cell r="O40">
            <v>1300</v>
          </cell>
          <cell r="P40">
            <v>1400</v>
          </cell>
          <cell r="Q40">
            <v>1680</v>
          </cell>
        </row>
        <row r="41">
          <cell r="AB41" t="str">
            <v>Op Profit pre GW</v>
          </cell>
          <cell r="AF41">
            <v>190</v>
          </cell>
          <cell r="AG41">
            <v>177</v>
          </cell>
          <cell r="AH41">
            <v>166</v>
          </cell>
          <cell r="AI41">
            <v>167</v>
          </cell>
          <cell r="AJ41">
            <v>249</v>
          </cell>
          <cell r="AK41">
            <v>309</v>
          </cell>
          <cell r="AL41">
            <v>458</v>
          </cell>
          <cell r="AM41">
            <v>538.65</v>
          </cell>
          <cell r="AN41">
            <v>634.92600000000004</v>
          </cell>
          <cell r="AO41">
            <v>735.28454999999997</v>
          </cell>
          <cell r="AP41">
            <v>827.88246000000004</v>
          </cell>
          <cell r="AQ41">
            <v>854.65552237500003</v>
          </cell>
        </row>
        <row r="42">
          <cell r="AB42" t="str">
            <v>% Sls</v>
          </cell>
          <cell r="AK42">
            <v>0.11091170136396267</v>
          </cell>
          <cell r="AL42">
            <v>0.11429997504367358</v>
          </cell>
          <cell r="AM42">
            <v>0.114</v>
          </cell>
          <cell r="AN42">
            <v>0.11890000000000001</v>
          </cell>
          <cell r="AO42">
            <v>0.1239</v>
          </cell>
          <cell r="AP42">
            <v>0.1336</v>
          </cell>
          <cell r="AQ42">
            <v>0.1371</v>
          </cell>
        </row>
        <row r="43">
          <cell r="A43" t="str">
            <v>Per Above</v>
          </cell>
          <cell r="L43">
            <v>1026</v>
          </cell>
          <cell r="M43">
            <v>1387</v>
          </cell>
          <cell r="N43">
            <v>1272</v>
          </cell>
          <cell r="O43">
            <v>1290</v>
          </cell>
          <cell r="P43">
            <v>1273</v>
          </cell>
          <cell r="Q43">
            <v>2210</v>
          </cell>
          <cell r="AB43" t="str">
            <v>Cushion</v>
          </cell>
          <cell r="AL43">
            <v>-15</v>
          </cell>
          <cell r="AM43">
            <v>-16.649999999999977</v>
          </cell>
          <cell r="AN43">
            <v>-58.926000000000045</v>
          </cell>
          <cell r="AO43">
            <v>-58.284549999999967</v>
          </cell>
          <cell r="AP43">
            <v>88.117539999999963</v>
          </cell>
          <cell r="AQ43">
            <v>256.34447762499997</v>
          </cell>
        </row>
        <row r="44">
          <cell r="A44" t="str">
            <v>% Ch Revs</v>
          </cell>
          <cell r="M44">
            <v>0.47219512195121949</v>
          </cell>
          <cell r="N44">
            <v>-0.15838303512259777</v>
          </cell>
          <cell r="O44">
            <v>2.3622047244094446E-2</v>
          </cell>
          <cell r="P44">
            <v>7.6923076923076872E-2</v>
          </cell>
          <cell r="Q44">
            <v>0.19999999999999996</v>
          </cell>
          <cell r="AB44" t="str">
            <v>vs. Main ---&gt;</v>
          </cell>
          <cell r="AD44">
            <v>140</v>
          </cell>
          <cell r="AE44">
            <v>140</v>
          </cell>
          <cell r="AF44">
            <v>179</v>
          </cell>
          <cell r="AG44">
            <v>166</v>
          </cell>
          <cell r="AH44">
            <v>155</v>
          </cell>
          <cell r="AI44">
            <v>156</v>
          </cell>
          <cell r="AJ44">
            <v>238</v>
          </cell>
          <cell r="AK44">
            <v>309</v>
          </cell>
          <cell r="AL44">
            <v>443</v>
          </cell>
          <cell r="AM44">
            <v>522</v>
          </cell>
          <cell r="AN44">
            <v>576</v>
          </cell>
          <cell r="AO44">
            <v>677</v>
          </cell>
          <cell r="AP44">
            <v>916</v>
          </cell>
          <cell r="AQ44">
            <v>1111</v>
          </cell>
        </row>
        <row r="45">
          <cell r="A45" t="str">
            <v>Total Combat Op Pr</v>
          </cell>
          <cell r="M45">
            <v>187</v>
          </cell>
          <cell r="N45">
            <v>165</v>
          </cell>
          <cell r="O45">
            <v>172</v>
          </cell>
          <cell r="P45">
            <v>185</v>
          </cell>
          <cell r="Q45">
            <v>227</v>
          </cell>
        </row>
        <row r="46">
          <cell r="A46" t="str">
            <v>Per Above</v>
          </cell>
          <cell r="M46">
            <v>179</v>
          </cell>
          <cell r="N46">
            <v>166</v>
          </cell>
          <cell r="O46">
            <v>155</v>
          </cell>
          <cell r="P46">
            <v>156</v>
          </cell>
          <cell r="Q46">
            <v>238</v>
          </cell>
          <cell r="AB46" t="str">
            <v>GW</v>
          </cell>
          <cell r="AF46">
            <v>-11</v>
          </cell>
          <cell r="AG46">
            <v>-11</v>
          </cell>
          <cell r="AH46">
            <v>-11</v>
          </cell>
          <cell r="AI46">
            <v>-11</v>
          </cell>
          <cell r="AJ46">
            <v>-11</v>
          </cell>
        </row>
        <row r="47">
          <cell r="A47" t="str">
            <v>% Sales</v>
          </cell>
          <cell r="M47">
            <v>0.12392312789927104</v>
          </cell>
          <cell r="N47">
            <v>0.12992125984251968</v>
          </cell>
          <cell r="O47">
            <v>0.13230769230769232</v>
          </cell>
          <cell r="P47">
            <v>0.13214285714285715</v>
          </cell>
          <cell r="Q47">
            <v>0.13511904761904761</v>
          </cell>
          <cell r="AB47" t="str">
            <v>Op Profit post GW</v>
          </cell>
          <cell r="AD47">
            <v>140</v>
          </cell>
          <cell r="AE47">
            <v>140</v>
          </cell>
          <cell r="AF47">
            <v>179</v>
          </cell>
          <cell r="AG47">
            <v>166</v>
          </cell>
          <cell r="AH47">
            <v>155</v>
          </cell>
          <cell r="AI47">
            <v>156</v>
          </cell>
          <cell r="AJ47">
            <v>238</v>
          </cell>
          <cell r="AK47">
            <v>309</v>
          </cell>
        </row>
        <row r="48">
          <cell r="A48" t="str">
            <v>M-1 Delivs</v>
          </cell>
          <cell r="AB48" t="str">
            <v>Op Margin</v>
          </cell>
          <cell r="AD48">
            <v>0.13333333333333333</v>
          </cell>
          <cell r="AE48">
            <v>0.1364522417153996</v>
          </cell>
          <cell r="AF48">
            <v>0.12905551550108146</v>
          </cell>
          <cell r="AG48">
            <v>0.13050314465408805</v>
          </cell>
          <cell r="AH48">
            <v>0.12015503875968993</v>
          </cell>
          <cell r="AI48">
            <v>0.12254516889238021</v>
          </cell>
          <cell r="AJ48">
            <v>0.1076923076923077</v>
          </cell>
        </row>
        <row r="49">
          <cell r="A49" t="str">
            <v xml:space="preserve"> U.S.</v>
          </cell>
          <cell r="B49">
            <v>755</v>
          </cell>
          <cell r="C49">
            <v>947</v>
          </cell>
          <cell r="D49">
            <v>785</v>
          </cell>
          <cell r="E49">
            <v>720</v>
          </cell>
          <cell r="F49">
            <v>718</v>
          </cell>
          <cell r="G49">
            <v>630</v>
          </cell>
          <cell r="H49">
            <v>406</v>
          </cell>
          <cell r="I49">
            <v>122</v>
          </cell>
          <cell r="J49">
            <v>1</v>
          </cell>
          <cell r="K49" t="str">
            <v xml:space="preserve"> </v>
          </cell>
          <cell r="L49" t="str">
            <v xml:space="preserve"> </v>
          </cell>
          <cell r="R49" t="str">
            <v>-Ex prop. HASC add-on for 60</v>
          </cell>
        </row>
        <row r="50">
          <cell r="A50" t="str">
            <v>U.S. M1A2 Upgrades</v>
          </cell>
          <cell r="J50">
            <v>16</v>
          </cell>
          <cell r="K50">
            <v>110</v>
          </cell>
          <cell r="L50">
            <v>112</v>
          </cell>
          <cell r="M50">
            <v>120</v>
          </cell>
          <cell r="N50">
            <v>120</v>
          </cell>
          <cell r="O50">
            <v>120</v>
          </cell>
          <cell r="P50">
            <v>120</v>
          </cell>
          <cell r="Q50">
            <v>120</v>
          </cell>
          <cell r="R50" t="str">
            <v>- 5 yr. multiyear</v>
          </cell>
        </row>
        <row r="51">
          <cell r="A51" t="str">
            <v xml:space="preserve"> Saudi </v>
          </cell>
          <cell r="H51" t="str">
            <v xml:space="preserve"> </v>
          </cell>
          <cell r="I51">
            <v>167</v>
          </cell>
          <cell r="J51">
            <v>148</v>
          </cell>
          <cell r="K51" t="str">
            <v xml:space="preserve"> </v>
          </cell>
          <cell r="L51" t="str">
            <v xml:space="preserve"> </v>
          </cell>
          <cell r="Q51">
            <v>50</v>
          </cell>
          <cell r="R51" t="str">
            <v>-315 approved/ex 150 request</v>
          </cell>
        </row>
        <row r="52">
          <cell r="A52" t="str">
            <v>Kuwait</v>
          </cell>
          <cell r="J52">
            <v>54</v>
          </cell>
          <cell r="K52">
            <v>135</v>
          </cell>
          <cell r="L52">
            <v>29</v>
          </cell>
        </row>
        <row r="53">
          <cell r="A53" t="str">
            <v xml:space="preserve"> Egypt co-prodn</v>
          </cell>
          <cell r="G53">
            <v>19</v>
          </cell>
          <cell r="H53">
            <v>77</v>
          </cell>
          <cell r="I53">
            <v>95</v>
          </cell>
          <cell r="J53">
            <v>98</v>
          </cell>
          <cell r="K53">
            <v>95</v>
          </cell>
          <cell r="L53">
            <v>90</v>
          </cell>
          <cell r="M53">
            <v>31</v>
          </cell>
          <cell r="N53">
            <v>0</v>
          </cell>
          <cell r="Q53">
            <v>10</v>
          </cell>
          <cell r="R53" t="str">
            <v>- expect a complete f/o</v>
          </cell>
          <cell r="AB53" t="str">
            <v>Deliveries</v>
          </cell>
        </row>
        <row r="54">
          <cell r="A54" t="str">
            <v>Other FMS</v>
          </cell>
          <cell r="L54" t="str">
            <v xml:space="preserve"> </v>
          </cell>
          <cell r="M54">
            <v>60</v>
          </cell>
          <cell r="N54">
            <v>60</v>
          </cell>
          <cell r="AB54" t="str">
            <v>AIM21 uits</v>
          </cell>
          <cell r="AI54">
            <v>78</v>
          </cell>
          <cell r="AJ54">
            <v>112</v>
          </cell>
          <cell r="AK54">
            <v>135</v>
          </cell>
          <cell r="AL54">
            <v>135</v>
          </cell>
          <cell r="AM54">
            <v>120</v>
          </cell>
          <cell r="AN54">
            <v>121</v>
          </cell>
          <cell r="AQ54" t="str">
            <v>-$500-800K/unit</v>
          </cell>
        </row>
        <row r="55">
          <cell r="A55" t="str">
            <v>Total</v>
          </cell>
          <cell r="G55">
            <v>649</v>
          </cell>
          <cell r="H55">
            <v>483</v>
          </cell>
          <cell r="I55">
            <v>384</v>
          </cell>
          <cell r="J55">
            <v>317</v>
          </cell>
          <cell r="K55">
            <v>340</v>
          </cell>
          <cell r="L55">
            <v>231</v>
          </cell>
          <cell r="M55">
            <v>211</v>
          </cell>
          <cell r="N55">
            <v>180</v>
          </cell>
          <cell r="O55">
            <v>120</v>
          </cell>
          <cell r="P55">
            <v>120</v>
          </cell>
          <cell r="Q55">
            <v>180</v>
          </cell>
        </row>
        <row r="56">
          <cell r="A56" t="str">
            <v>SINCGARS</v>
          </cell>
          <cell r="J56">
            <v>10764</v>
          </cell>
          <cell r="K56">
            <v>13013</v>
          </cell>
          <cell r="L56">
            <v>10400</v>
          </cell>
          <cell r="M56">
            <v>10264</v>
          </cell>
          <cell r="N56">
            <v>10000</v>
          </cell>
          <cell r="O56">
            <v>0</v>
          </cell>
          <cell r="P56">
            <v>0</v>
          </cell>
          <cell r="Q56">
            <v>0</v>
          </cell>
          <cell r="R56" t="str">
            <v>- lost to ITT</v>
          </cell>
        </row>
        <row r="73">
          <cell r="AY73" t="str">
            <v>Comp Guid</v>
          </cell>
          <cell r="AZ73" t="str">
            <v>Our Est</v>
          </cell>
          <cell r="BA73" t="str">
            <v>Comp Guid</v>
          </cell>
          <cell r="BB73" t="str">
            <v>Our Est</v>
          </cell>
        </row>
        <row r="74">
          <cell r="AE74" t="str">
            <v>checked w/ Ray 3/03</v>
          </cell>
          <cell r="AY74">
            <v>2002</v>
          </cell>
          <cell r="BA74">
            <v>2003</v>
          </cell>
        </row>
        <row r="75">
          <cell r="AB75" t="str">
            <v>GD Combat Systems</v>
          </cell>
          <cell r="AE75" t="str">
            <v>last updated 3/03</v>
          </cell>
          <cell r="AH75" t="str">
            <v>note to self:  make dovetail w/ models above 3/03</v>
          </cell>
          <cell r="AQ75" t="str">
            <v>Armament</v>
          </cell>
          <cell r="BM75" t="str">
            <v>GD Combat Systems</v>
          </cell>
          <cell r="BP75" t="str">
            <v>last updated 4/05</v>
          </cell>
        </row>
        <row r="76">
          <cell r="X76" t="str">
            <v>&gt;12% mgns, mbt=v. hi, service hi sd, egypt coprodn 10% (my guess)</v>
          </cell>
          <cell r="Y76" t="str">
            <v>SEP upgrade/foreign tanks/coprodn Egypt/support/AIMXX1</v>
          </cell>
          <cell r="AQ76" t="str">
            <v>Arman</v>
          </cell>
          <cell r="AZ76">
            <v>285</v>
          </cell>
          <cell r="BB76">
            <v>285</v>
          </cell>
        </row>
        <row r="77">
          <cell r="X77" t="str">
            <v>6-8% mgns</v>
          </cell>
          <cell r="Y77" t="str">
            <v>AAAV partly here/FCS</v>
          </cell>
          <cell r="AB77" t="str">
            <v>Sales</v>
          </cell>
          <cell r="AE77">
            <v>2000</v>
          </cell>
          <cell r="AF77">
            <v>2001</v>
          </cell>
          <cell r="AG77">
            <v>2002</v>
          </cell>
          <cell r="AH77" t="str">
            <v>2003E</v>
          </cell>
          <cell r="AI77" t="str">
            <v>2004E</v>
          </cell>
          <cell r="AJ77" t="str">
            <v>2005E</v>
          </cell>
          <cell r="AK77" t="str">
            <v>Comments</v>
          </cell>
          <cell r="AQ77" t="str">
            <v>ATPS</v>
          </cell>
          <cell r="AY77">
            <v>235</v>
          </cell>
          <cell r="AZ77">
            <v>130</v>
          </cell>
          <cell r="BB77">
            <v>225</v>
          </cell>
          <cell r="BM77" t="str">
            <v>Sales</v>
          </cell>
          <cell r="BP77">
            <v>2000</v>
          </cell>
          <cell r="BQ77">
            <v>2001</v>
          </cell>
          <cell r="BR77">
            <v>2002</v>
          </cell>
          <cell r="BS77" t="str">
            <v>2003</v>
          </cell>
          <cell r="BT77" t="str">
            <v>2004</v>
          </cell>
          <cell r="BU77" t="str">
            <v>2005E</v>
          </cell>
          <cell r="BV77" t="str">
            <v>Comments</v>
          </cell>
        </row>
        <row r="78">
          <cell r="Y78" t="str">
            <v>AAAV a little here/Stryker, reactive armor tile for Bradleys</v>
          </cell>
          <cell r="AB78" t="str">
            <v>Main battle tanks/related</v>
          </cell>
          <cell r="AE78">
            <v>515</v>
          </cell>
          <cell r="AF78">
            <v>624</v>
          </cell>
          <cell r="AG78">
            <v>732</v>
          </cell>
          <cell r="AH78">
            <v>750</v>
          </cell>
          <cell r="AI78">
            <v>700</v>
          </cell>
          <cell r="AJ78">
            <v>650</v>
          </cell>
          <cell r="AK78" t="str">
            <v>- SEP ends 2004, ramps dn ex foreign sls</v>
          </cell>
          <cell r="AQ78" t="str">
            <v>subtotal</v>
          </cell>
          <cell r="AY78">
            <v>700</v>
          </cell>
          <cell r="AZ78">
            <v>415</v>
          </cell>
          <cell r="BA78" t="str">
            <v>700 ('03)</v>
          </cell>
          <cell r="BB78">
            <v>510</v>
          </cell>
          <cell r="BM78" t="str">
            <v>Main battle tanks/related</v>
          </cell>
          <cell r="BP78">
            <v>515</v>
          </cell>
          <cell r="BQ78">
            <v>619</v>
          </cell>
          <cell r="BR78">
            <v>759</v>
          </cell>
          <cell r="BS78">
            <v>799</v>
          </cell>
          <cell r="BT78">
            <v>819</v>
          </cell>
          <cell r="BU78">
            <v>1000</v>
          </cell>
          <cell r="BV78" t="str">
            <v>- SEP ends 2004, ramps dn ex foreign sls</v>
          </cell>
        </row>
        <row r="79">
          <cell r="Y79" t="str">
            <v>primex- bullets/bombs/fuses</v>
          </cell>
          <cell r="AB79" t="str">
            <v>Engin &amp; develop</v>
          </cell>
          <cell r="AE79">
            <v>303</v>
          </cell>
          <cell r="AF79">
            <v>406</v>
          </cell>
          <cell r="AG79">
            <v>590</v>
          </cell>
          <cell r="AH79">
            <v>700</v>
          </cell>
          <cell r="AI79">
            <v>850</v>
          </cell>
          <cell r="AJ79">
            <v>900</v>
          </cell>
          <cell r="AK79" t="str">
            <v>- FCS, AAAV</v>
          </cell>
          <cell r="AQ79" t="str">
            <v>Land sys</v>
          </cell>
          <cell r="BM79" t="str">
            <v>Engin &amp; develop</v>
          </cell>
          <cell r="BP79">
            <v>303</v>
          </cell>
          <cell r="BQ79">
            <v>445</v>
          </cell>
          <cell r="BR79">
            <v>639</v>
          </cell>
          <cell r="BS79">
            <v>639</v>
          </cell>
          <cell r="BT79">
            <v>763</v>
          </cell>
          <cell r="BU79">
            <v>900</v>
          </cell>
          <cell r="BV79" t="str">
            <v>- FCS, AAAV</v>
          </cell>
        </row>
        <row r="80">
          <cell r="Y80" t="str">
            <v>hydra rockets</v>
          </cell>
          <cell r="Z80" t="str">
            <v>adv'd precisio kill weapon system</v>
          </cell>
          <cell r="AB80" t="str">
            <v>Medium armored vehls/related</v>
          </cell>
          <cell r="AE80">
            <v>108</v>
          </cell>
          <cell r="AF80">
            <v>336</v>
          </cell>
          <cell r="AG80">
            <v>561</v>
          </cell>
          <cell r="AH80">
            <v>1150</v>
          </cell>
          <cell r="AI80">
            <v>1525</v>
          </cell>
          <cell r="AJ80">
            <v>1750</v>
          </cell>
          <cell r="AK80" t="str">
            <v>- Stryker thru '07, LRIP AAAV 06, full prodn 07</v>
          </cell>
          <cell r="AQ80" t="str">
            <v>Tanks</v>
          </cell>
          <cell r="AY80">
            <v>500</v>
          </cell>
          <cell r="AZ80">
            <v>530</v>
          </cell>
          <cell r="BB80">
            <v>596</v>
          </cell>
          <cell r="BM80" t="str">
            <v>Medium armored vehls/related</v>
          </cell>
          <cell r="BP80">
            <v>108</v>
          </cell>
          <cell r="BQ80">
            <v>236</v>
          </cell>
          <cell r="BR80">
            <v>333</v>
          </cell>
          <cell r="BS80">
            <v>1228</v>
          </cell>
          <cell r="BT80">
            <v>1295</v>
          </cell>
          <cell r="BU80">
            <v>1750</v>
          </cell>
          <cell r="BV80" t="str">
            <v>- Stryker thru '07, LRIP AAAV 06, full prodn 07</v>
          </cell>
        </row>
        <row r="81">
          <cell r="X81" t="str">
            <v>armament = little better division avg</v>
          </cell>
          <cell r="Y81" t="str">
            <v>gun system F35</v>
          </cell>
          <cell r="Z81" t="str">
            <v xml:space="preserve">multi barreled med caliber gun sys </v>
          </cell>
          <cell r="AB81" t="str">
            <v>Munitions &amp; propellant</v>
          </cell>
          <cell r="AE81">
            <v>28</v>
          </cell>
          <cell r="AF81">
            <v>339</v>
          </cell>
          <cell r="AG81">
            <v>383</v>
          </cell>
          <cell r="AH81">
            <v>410</v>
          </cell>
          <cell r="AI81">
            <v>450</v>
          </cell>
          <cell r="AJ81">
            <v>500</v>
          </cell>
          <cell r="AK81" t="str">
            <v>- post war restocking</v>
          </cell>
          <cell r="AQ81" t="str">
            <v>AAAV</v>
          </cell>
          <cell r="AZ81">
            <v>200</v>
          </cell>
          <cell r="BB81">
            <v>225</v>
          </cell>
          <cell r="BM81" t="str">
            <v>Munitions &amp; propellant</v>
          </cell>
          <cell r="BP81">
            <v>28</v>
          </cell>
          <cell r="BQ81">
            <v>295</v>
          </cell>
          <cell r="BR81">
            <v>340</v>
          </cell>
          <cell r="BS81">
            <v>406</v>
          </cell>
          <cell r="BT81">
            <v>525</v>
          </cell>
          <cell r="BU81">
            <v>600</v>
          </cell>
          <cell r="BV81" t="str">
            <v>- post war restocking</v>
          </cell>
        </row>
        <row r="82">
          <cell r="AB82" t="str">
            <v>Rockets &amp; missile components</v>
          </cell>
          <cell r="AE82">
            <v>144</v>
          </cell>
          <cell r="AF82">
            <v>278</v>
          </cell>
          <cell r="AG82">
            <v>254</v>
          </cell>
          <cell r="AH82">
            <v>320</v>
          </cell>
          <cell r="AI82">
            <v>350</v>
          </cell>
          <cell r="AJ82">
            <v>350</v>
          </cell>
          <cell r="AK82" t="str">
            <v>- stable biz</v>
          </cell>
          <cell r="AQ82" t="str">
            <v>Stryker</v>
          </cell>
          <cell r="AZ82">
            <v>250</v>
          </cell>
          <cell r="BB82">
            <v>325</v>
          </cell>
          <cell r="BM82" t="str">
            <v>Rockets &amp; missile components</v>
          </cell>
          <cell r="BP82">
            <v>144</v>
          </cell>
          <cell r="BQ82">
            <v>280</v>
          </cell>
          <cell r="BR82">
            <v>264</v>
          </cell>
          <cell r="BS82">
            <v>278</v>
          </cell>
          <cell r="BT82">
            <v>335</v>
          </cell>
          <cell r="BU82">
            <v>350</v>
          </cell>
          <cell r="BV82" t="str">
            <v>- stable biz</v>
          </cell>
        </row>
        <row r="83">
          <cell r="B83" t="str">
            <v>Est. Contrib New Orders/Progs  to EPS</v>
          </cell>
          <cell r="AB83" t="str">
            <v>Armament systems</v>
          </cell>
          <cell r="AE83">
            <v>75</v>
          </cell>
          <cell r="AF83">
            <v>97</v>
          </cell>
          <cell r="AG83">
            <v>103</v>
          </cell>
          <cell r="AH83">
            <v>120</v>
          </cell>
          <cell r="AI83">
            <v>135</v>
          </cell>
          <cell r="AJ83">
            <v>150</v>
          </cell>
          <cell r="AK83" t="str">
            <v>- stable biz</v>
          </cell>
          <cell r="AQ83" t="str">
            <v>Dragoon/Pandur</v>
          </cell>
          <cell r="AZ83">
            <v>40</v>
          </cell>
          <cell r="BB83">
            <v>50</v>
          </cell>
          <cell r="BM83" t="str">
            <v>Armament systems</v>
          </cell>
          <cell r="BP83">
            <v>75</v>
          </cell>
          <cell r="BQ83">
            <v>84</v>
          </cell>
          <cell r="BR83">
            <v>116</v>
          </cell>
          <cell r="BS83">
            <v>145</v>
          </cell>
          <cell r="BT83">
            <v>133</v>
          </cell>
          <cell r="BU83">
            <v>150</v>
          </cell>
          <cell r="BV83" t="str">
            <v>- stable biz</v>
          </cell>
        </row>
        <row r="84">
          <cell r="C84" t="str">
            <v>Egypt</v>
          </cell>
          <cell r="AB84" t="str">
            <v>Aerospace comps/other</v>
          </cell>
          <cell r="AE84">
            <v>100</v>
          </cell>
          <cell r="AF84">
            <v>130</v>
          </cell>
          <cell r="AG84">
            <v>300</v>
          </cell>
          <cell r="AH84">
            <v>300</v>
          </cell>
          <cell r="AI84">
            <v>340</v>
          </cell>
          <cell r="AJ84">
            <v>350</v>
          </cell>
          <cell r="AK84" t="str">
            <v>- adv'd comps F16/18/22/C17/F35/UAVs</v>
          </cell>
          <cell r="AQ84" t="str">
            <v>Crusader</v>
          </cell>
          <cell r="AZ84">
            <v>180</v>
          </cell>
          <cell r="BB84">
            <v>50</v>
          </cell>
          <cell r="BM84" t="str">
            <v>Aerospace comps/other</v>
          </cell>
          <cell r="BP84">
            <v>100</v>
          </cell>
          <cell r="BQ84">
            <v>251</v>
          </cell>
          <cell r="BR84">
            <v>335</v>
          </cell>
          <cell r="BS84">
            <v>512</v>
          </cell>
          <cell r="BT84">
            <v>537</v>
          </cell>
          <cell r="BU84">
            <v>350</v>
          </cell>
          <cell r="BV84" t="str">
            <v>- adv'd comps F16/18/22/C17/F35/UAVs</v>
          </cell>
        </row>
        <row r="85">
          <cell r="B85" t="str">
            <v>Revs</v>
          </cell>
          <cell r="C85">
            <v>50</v>
          </cell>
          <cell r="D85" t="str">
            <v>-100 kits, probably over $100/2 yrs</v>
          </cell>
          <cell r="W85" t="str">
            <v>st barbara high sds</v>
          </cell>
          <cell r="AB85" t="str">
            <v>Combat Vehicles Total</v>
          </cell>
          <cell r="AE85">
            <v>1273</v>
          </cell>
          <cell r="AF85">
            <v>2210</v>
          </cell>
          <cell r="AG85">
            <v>2923</v>
          </cell>
          <cell r="AH85">
            <v>3750</v>
          </cell>
          <cell r="AI85">
            <v>4350</v>
          </cell>
          <cell r="AJ85">
            <v>4650</v>
          </cell>
          <cell r="AQ85" t="str">
            <v>Fox</v>
          </cell>
          <cell r="AZ85">
            <v>30</v>
          </cell>
          <cell r="BB85">
            <v>30</v>
          </cell>
          <cell r="BM85" t="str">
            <v>Combat Vehicles Total</v>
          </cell>
          <cell r="BP85">
            <v>1273</v>
          </cell>
          <cell r="BQ85">
            <v>2210</v>
          </cell>
          <cell r="BR85">
            <v>2786</v>
          </cell>
          <cell r="BS85">
            <v>4007</v>
          </cell>
          <cell r="BT85">
            <v>4407</v>
          </cell>
          <cell r="BU85">
            <v>5100</v>
          </cell>
        </row>
        <row r="86">
          <cell r="B86" t="str">
            <v>Op Pr</v>
          </cell>
          <cell r="C86">
            <v>8</v>
          </cell>
          <cell r="D86" t="str">
            <v>- 16% mgns</v>
          </cell>
          <cell r="W86" t="str">
            <v>manufacturing = REAL good</v>
          </cell>
          <cell r="AB86" t="str">
            <v>per main</v>
          </cell>
          <cell r="AE86">
            <v>1273</v>
          </cell>
          <cell r="AF86">
            <v>2210</v>
          </cell>
          <cell r="AG86">
            <v>2786</v>
          </cell>
          <cell r="AH86">
            <v>4007</v>
          </cell>
          <cell r="AI86">
            <v>4407</v>
          </cell>
          <cell r="AJ86">
            <v>5021</v>
          </cell>
          <cell r="AQ86" t="str">
            <v>AIM</v>
          </cell>
          <cell r="AZ86">
            <v>115</v>
          </cell>
          <cell r="BB86">
            <v>115</v>
          </cell>
          <cell r="BM86" t="str">
            <v>per main</v>
          </cell>
          <cell r="BP86">
            <v>1273</v>
          </cell>
          <cell r="BQ86">
            <v>2210</v>
          </cell>
          <cell r="BR86">
            <v>2786</v>
          </cell>
          <cell r="BS86">
            <v>4007</v>
          </cell>
          <cell r="BT86">
            <v>4407</v>
          </cell>
          <cell r="BU86">
            <v>5021</v>
          </cell>
        </row>
        <row r="87">
          <cell r="B87" t="str">
            <v>EPS</v>
          </cell>
          <cell r="C87">
            <v>1.2858555885262118E-2</v>
          </cell>
          <cell r="D87" t="str">
            <v>- per yr. X 2</v>
          </cell>
          <cell r="W87" t="str">
            <v>stryker, actual tank manu= real gun</v>
          </cell>
          <cell r="AQ87" t="str">
            <v>Support Services</v>
          </cell>
          <cell r="AZ87">
            <v>45</v>
          </cell>
          <cell r="BB87">
            <v>20</v>
          </cell>
        </row>
        <row r="88">
          <cell r="W88" t="str">
            <v>gun manufacturing = way up there</v>
          </cell>
          <cell r="AB88" t="str">
            <v>% Ch. Y/Y</v>
          </cell>
          <cell r="AQ88" t="str">
            <v>Combat Eng Veh</v>
          </cell>
          <cell r="AZ88">
            <v>25</v>
          </cell>
          <cell r="BB88">
            <v>25</v>
          </cell>
          <cell r="BM88" t="str">
            <v>% Ch. Y/Y</v>
          </cell>
        </row>
        <row r="89">
          <cell r="B89" t="str">
            <v>Nearer Term - Congress appr'd</v>
          </cell>
          <cell r="G89" t="str">
            <v>Outyr - if 700 tank goal stands</v>
          </cell>
          <cell r="W89" t="str">
            <v>services/research lower</v>
          </cell>
          <cell r="AB89" t="str">
            <v>Main battle tanks/related</v>
          </cell>
          <cell r="AF89">
            <v>0.21165048543689324</v>
          </cell>
          <cell r="AG89">
            <v>0.17307692307692313</v>
          </cell>
          <cell r="AH89">
            <v>2.4590163934426146E-2</v>
          </cell>
          <cell r="AI89">
            <v>-6.6666666666666652E-2</v>
          </cell>
          <cell r="AJ89">
            <v>-7.1428571428571397E-2</v>
          </cell>
          <cell r="AQ89" t="str">
            <v>Heavy Bridge</v>
          </cell>
          <cell r="AZ89">
            <v>20</v>
          </cell>
          <cell r="BB89">
            <v>20</v>
          </cell>
          <cell r="BM89" t="str">
            <v>Main battle tanks/related</v>
          </cell>
          <cell r="BQ89">
            <v>0.20194174757281558</v>
          </cell>
          <cell r="BR89">
            <v>0.22617124394184174</v>
          </cell>
          <cell r="BS89">
            <v>5.2700922266139649E-2</v>
          </cell>
          <cell r="BT89">
            <v>2.5031289111389299E-2</v>
          </cell>
          <cell r="BU89">
            <v>0.2210012210012211</v>
          </cell>
        </row>
        <row r="90">
          <cell r="C90" t="str">
            <v>Saudi</v>
          </cell>
          <cell r="D90" t="str">
            <v>Part I - 150 tanks</v>
          </cell>
          <cell r="G90" t="str">
            <v>Saudi</v>
          </cell>
          <cell r="H90" t="str">
            <v>Part II - 237 tanks</v>
          </cell>
          <cell r="W90" t="str">
            <v>aerospace components=low teens</v>
          </cell>
          <cell r="AB90" t="str">
            <v>Engin &amp; develop</v>
          </cell>
          <cell r="AF90">
            <v>0.33993399339933994</v>
          </cell>
          <cell r="AG90">
            <v>0.45320197044334964</v>
          </cell>
          <cell r="AH90">
            <v>0.18644067796610164</v>
          </cell>
          <cell r="AI90">
            <v>0.21428571428571419</v>
          </cell>
          <cell r="AJ90">
            <v>5.8823529411764719E-2</v>
          </cell>
          <cell r="AQ90" t="str">
            <v>subtotal</v>
          </cell>
          <cell r="AY90">
            <v>1500</v>
          </cell>
          <cell r="AZ90">
            <v>1435</v>
          </cell>
          <cell r="BB90">
            <v>1456</v>
          </cell>
          <cell r="BM90" t="str">
            <v>Engin &amp; develop</v>
          </cell>
          <cell r="BQ90">
            <v>0.46864686468646855</v>
          </cell>
          <cell r="BR90">
            <v>0.43595505617977537</v>
          </cell>
          <cell r="BS90">
            <v>0</v>
          </cell>
          <cell r="BT90">
            <v>0.19405320813771509</v>
          </cell>
          <cell r="BU90">
            <v>0.17955439056356481</v>
          </cell>
        </row>
        <row r="91">
          <cell r="B91" t="str">
            <v>Revs</v>
          </cell>
          <cell r="C91">
            <v>187.5</v>
          </cell>
          <cell r="D91" t="str">
            <v>- $2.5MM each</v>
          </cell>
          <cell r="G91">
            <v>200</v>
          </cell>
          <cell r="H91" t="str">
            <v>- $2.5MM each over 3 yrs</v>
          </cell>
          <cell r="W91" t="str">
            <v>AAAV only produced prototypes, once built = med. Armed vehs</v>
          </cell>
          <cell r="AB91" t="str">
            <v>Medium armored vehls/related</v>
          </cell>
          <cell r="AF91">
            <v>2.1111111111111112</v>
          </cell>
          <cell r="AG91">
            <v>0.66964285714285721</v>
          </cell>
          <cell r="AH91">
            <v>1.0499108734402851</v>
          </cell>
          <cell r="AI91">
            <v>0.32608695652173902</v>
          </cell>
          <cell r="AJ91">
            <v>0.14754098360655732</v>
          </cell>
          <cell r="AQ91" t="str">
            <v>OTS</v>
          </cell>
          <cell r="BM91" t="str">
            <v>Medium armored vehls/related</v>
          </cell>
          <cell r="BQ91">
            <v>1.1851851851851851</v>
          </cell>
          <cell r="BR91">
            <v>0.41101694915254239</v>
          </cell>
          <cell r="BS91">
            <v>2.6876876876876876</v>
          </cell>
          <cell r="BT91">
            <v>5.4560260586319131E-2</v>
          </cell>
          <cell r="BU91">
            <v>0.35135135135135132</v>
          </cell>
        </row>
        <row r="92">
          <cell r="B92" t="str">
            <v>Op Pr</v>
          </cell>
          <cell r="C92">
            <v>30</v>
          </cell>
          <cell r="D92" t="str">
            <v>- 16% mgns</v>
          </cell>
          <cell r="G92">
            <v>32</v>
          </cell>
          <cell r="H92" t="str">
            <v>- assumes 16% mgns</v>
          </cell>
          <cell r="AB92" t="str">
            <v>Munitions &amp; propellant</v>
          </cell>
          <cell r="AF92">
            <v>11.107142857142858</v>
          </cell>
          <cell r="AG92">
            <v>0.12979351032448383</v>
          </cell>
          <cell r="AH92">
            <v>7.0496083550913857E-2</v>
          </cell>
          <cell r="AI92">
            <v>9.7560975609756184E-2</v>
          </cell>
          <cell r="AJ92">
            <v>0.11111111111111116</v>
          </cell>
          <cell r="AQ92" t="str">
            <v>Primex</v>
          </cell>
          <cell r="AZ92">
            <v>623</v>
          </cell>
          <cell r="BB92">
            <v>650</v>
          </cell>
          <cell r="BM92" t="str">
            <v>Munitions &amp; propellant</v>
          </cell>
          <cell r="BQ92">
            <v>9.5357142857142865</v>
          </cell>
          <cell r="BR92">
            <v>0.15254237288135597</v>
          </cell>
          <cell r="BS92">
            <v>0.19411764705882351</v>
          </cell>
          <cell r="BT92">
            <v>0.2931034482758621</v>
          </cell>
          <cell r="BU92">
            <v>0.14285714285714279</v>
          </cell>
        </row>
        <row r="93">
          <cell r="B93" t="str">
            <v>EPS</v>
          </cell>
          <cell r="C93">
            <v>4.8219584569732937E-2</v>
          </cell>
          <cell r="D93" t="str">
            <v>- per yr. X 2</v>
          </cell>
          <cell r="G93">
            <v>0.33015873015873015</v>
          </cell>
          <cell r="H93" t="str">
            <v>- per yr. X 2</v>
          </cell>
          <cell r="AB93" t="str">
            <v>Rockets &amp; missile components</v>
          </cell>
          <cell r="AF93">
            <v>0.93055555555555558</v>
          </cell>
          <cell r="AG93">
            <v>-8.633093525179858E-2</v>
          </cell>
          <cell r="AH93">
            <v>0.25984251968503935</v>
          </cell>
          <cell r="AI93">
            <v>9.375E-2</v>
          </cell>
          <cell r="AJ93">
            <v>0</v>
          </cell>
          <cell r="AQ93" t="str">
            <v>subtotal</v>
          </cell>
          <cell r="AY93">
            <v>400</v>
          </cell>
          <cell r="AZ93">
            <v>623</v>
          </cell>
          <cell r="BB93">
            <v>650</v>
          </cell>
          <cell r="BM93" t="str">
            <v>Rockets &amp; missile components</v>
          </cell>
          <cell r="BQ93">
            <v>0.94444444444444442</v>
          </cell>
          <cell r="BR93">
            <v>-5.7142857142857162E-2</v>
          </cell>
          <cell r="BS93">
            <v>5.3030303030302983E-2</v>
          </cell>
          <cell r="BT93">
            <v>0.20503597122302164</v>
          </cell>
          <cell r="BU93">
            <v>4.4776119402984982E-2</v>
          </cell>
        </row>
        <row r="94">
          <cell r="AB94" t="str">
            <v>Armament systems</v>
          </cell>
          <cell r="AF94">
            <v>0.29333333333333322</v>
          </cell>
          <cell r="AG94">
            <v>6.1855670103092786E-2</v>
          </cell>
          <cell r="AH94">
            <v>0.16504854368932032</v>
          </cell>
          <cell r="AI94">
            <v>0.125</v>
          </cell>
          <cell r="AJ94">
            <v>0.11111111111111116</v>
          </cell>
          <cell r="AQ94" t="str">
            <v>Santa Barbara</v>
          </cell>
          <cell r="AZ94">
            <v>300</v>
          </cell>
          <cell r="BB94">
            <v>325</v>
          </cell>
          <cell r="BM94" t="str">
            <v>Armament systems</v>
          </cell>
          <cell r="BQ94">
            <v>0.12000000000000011</v>
          </cell>
          <cell r="BR94">
            <v>0.38095238095238093</v>
          </cell>
          <cell r="BS94">
            <v>0.25</v>
          </cell>
          <cell r="BT94">
            <v>-8.2758620689655227E-2</v>
          </cell>
          <cell r="BU94">
            <v>0.1278195488721805</v>
          </cell>
        </row>
        <row r="95">
          <cell r="AB95" t="str">
            <v>Aerospace comps/other</v>
          </cell>
          <cell r="AF95">
            <v>0.30000000000000004</v>
          </cell>
          <cell r="AG95">
            <v>1.3076923076923075</v>
          </cell>
          <cell r="AH95">
            <v>0</v>
          </cell>
          <cell r="AI95">
            <v>0.1333333333333333</v>
          </cell>
          <cell r="AJ95">
            <v>2.9411764705882248E-2</v>
          </cell>
          <cell r="AQ95" t="str">
            <v>subtotal</v>
          </cell>
          <cell r="AY95">
            <v>325</v>
          </cell>
          <cell r="AZ95">
            <v>300</v>
          </cell>
          <cell r="BB95">
            <v>325</v>
          </cell>
          <cell r="BM95" t="str">
            <v>Aerospace comps/other</v>
          </cell>
          <cell r="BQ95">
            <v>1.5099999999999998</v>
          </cell>
          <cell r="BR95">
            <v>0.33466135458167323</v>
          </cell>
          <cell r="BS95">
            <v>0.5283582089552239</v>
          </cell>
          <cell r="BT95">
            <v>4.8828125E-2</v>
          </cell>
          <cell r="BU95">
            <v>-0.34823091247672255</v>
          </cell>
        </row>
        <row r="96">
          <cell r="B96" t="str">
            <v>Est. Foreign Tank Sales Contrib. to EPS</v>
          </cell>
          <cell r="AB96" t="str">
            <v>Combat Vehicles Total</v>
          </cell>
          <cell r="AF96">
            <v>0.7360565593087196</v>
          </cell>
          <cell r="AG96">
            <v>0.32262443438914024</v>
          </cell>
          <cell r="AH96">
            <v>0.28292849811837151</v>
          </cell>
          <cell r="AI96">
            <v>0.15999999999999992</v>
          </cell>
          <cell r="AJ96">
            <v>6.8965517241379226E-2</v>
          </cell>
          <cell r="AQ96" t="str">
            <v>Unassigned Engineering</v>
          </cell>
          <cell r="AZ96">
            <v>170</v>
          </cell>
          <cell r="BB96">
            <v>170</v>
          </cell>
          <cell r="BM96" t="str">
            <v>Combat Vehicles Total</v>
          </cell>
          <cell r="BQ96">
            <v>0.7360565593087196</v>
          </cell>
          <cell r="BR96">
            <v>0.26063348416289589</v>
          </cell>
          <cell r="BS96">
            <v>0.43826274228284268</v>
          </cell>
          <cell r="BT96">
            <v>9.9825305714998702E-2</v>
          </cell>
          <cell r="BU96">
            <v>0.1572498298162015</v>
          </cell>
        </row>
        <row r="97">
          <cell r="AQ97" t="str">
            <v>Total</v>
          </cell>
          <cell r="AY97">
            <v>2925</v>
          </cell>
          <cell r="AZ97">
            <v>2943</v>
          </cell>
          <cell r="BB97">
            <v>3111</v>
          </cell>
        </row>
        <row r="98">
          <cell r="B98" t="str">
            <v>Est. Size ($MM)</v>
          </cell>
          <cell r="C98" t="str">
            <v>Est. Order</v>
          </cell>
          <cell r="D98" t="str">
            <v># Initial dels</v>
          </cell>
          <cell r="E98" t="str">
            <v>Add to EPS</v>
          </cell>
          <cell r="F98" t="str">
            <v>Assumptions</v>
          </cell>
          <cell r="AB98" t="str">
            <v>Stryker notes 3/03:</v>
          </cell>
          <cell r="BM98" t="str">
            <v>GD breakdown of Combat Vehicles - A Single Pie Chart By Percentage of Total CS Sales</v>
          </cell>
          <cell r="BS98">
            <v>2003</v>
          </cell>
          <cell r="BT98" t="str">
            <v>By Implication</v>
          </cell>
        </row>
        <row r="99">
          <cell r="A99" t="str">
            <v>Saudi</v>
          </cell>
          <cell r="B99">
            <v>375</v>
          </cell>
          <cell r="C99">
            <v>2000</v>
          </cell>
          <cell r="D99">
            <v>48</v>
          </cell>
          <cell r="E99">
            <v>3.0754066042385411E-2</v>
          </cell>
          <cell r="F99" t="str">
            <v>- 150 tank total</v>
          </cell>
          <cell r="AB99" t="str">
            <v>US army wants up to 2131 eight wheeled armed vehcs. 356 deld' to date</v>
          </cell>
          <cell r="BM99" t="str">
            <v>Armored Vehicles</v>
          </cell>
          <cell r="BS99">
            <v>0.21</v>
          </cell>
          <cell r="BT99">
            <v>841.46999999999991</v>
          </cell>
        </row>
        <row r="100">
          <cell r="A100" t="str">
            <v>Egypt</v>
          </cell>
          <cell r="B100">
            <v>400</v>
          </cell>
          <cell r="C100">
            <v>2000</v>
          </cell>
          <cell r="D100">
            <v>12</v>
          </cell>
          <cell r="E100">
            <v>7.6885165105963528E-3</v>
          </cell>
          <cell r="F100" t="str">
            <v>- 200 tank kits</v>
          </cell>
          <cell r="AB100" t="str">
            <v>Stryker, Leopard &amp; AAAV were key drivers to orgo g in 2002</v>
          </cell>
          <cell r="BM100" t="str">
            <v>Future Combat Systems</v>
          </cell>
          <cell r="BS100">
            <v>0.09</v>
          </cell>
          <cell r="BT100">
            <v>360.63</v>
          </cell>
        </row>
        <row r="101">
          <cell r="A101" t="str">
            <v>Qatar</v>
          </cell>
          <cell r="B101">
            <v>75</v>
          </cell>
          <cell r="C101">
            <v>2000</v>
          </cell>
          <cell r="D101">
            <v>9</v>
          </cell>
          <cell r="E101">
            <v>5.7663873829472655E-3</v>
          </cell>
          <cell r="F101" t="str">
            <v>- 30 tanks</v>
          </cell>
          <cell r="AB101" t="str">
            <v>FY04 includes funding thur 2008 for 3 add'l Styker brigades - 6 brigades = 2100 vehs</v>
          </cell>
          <cell r="BM101" t="str">
            <v>Fighting Vehicles</v>
          </cell>
          <cell r="BS101">
            <v>0.1</v>
          </cell>
          <cell r="BT101">
            <v>400.70000000000005</v>
          </cell>
        </row>
        <row r="102">
          <cell r="A102" t="str">
            <v>Greece</v>
          </cell>
          <cell r="B102">
            <v>625</v>
          </cell>
          <cell r="C102">
            <v>2001</v>
          </cell>
          <cell r="D102">
            <v>27</v>
          </cell>
          <cell r="E102">
            <v>1.7299162148841793E-2</v>
          </cell>
          <cell r="F102" t="str">
            <v>- 250 tanks</v>
          </cell>
          <cell r="AB102" t="str">
            <v>objective force warrior (OFW) one of 2 contracts</v>
          </cell>
          <cell r="BM102" t="str">
            <v>Armament and Tech Products</v>
          </cell>
          <cell r="BS102">
            <v>0.17</v>
          </cell>
          <cell r="BT102">
            <v>681.19</v>
          </cell>
        </row>
        <row r="103">
          <cell r="A103" t="str">
            <v>Turkey</v>
          </cell>
          <cell r="B103">
            <v>1750</v>
          </cell>
          <cell r="C103">
            <v>2002</v>
          </cell>
          <cell r="D103">
            <v>48</v>
          </cell>
          <cell r="E103">
            <v>3.0754066042385411E-2</v>
          </cell>
          <cell r="F103" t="str">
            <v>- 700 tanks</v>
          </cell>
          <cell r="AB103" t="str">
            <v>sole source on APKWS, successor to Hydra 70</v>
          </cell>
          <cell r="BM103" t="str">
            <v>Ammunition</v>
          </cell>
          <cell r="BS103">
            <v>0.16</v>
          </cell>
          <cell r="BT103">
            <v>641.12</v>
          </cell>
        </row>
        <row r="104">
          <cell r="AB104" t="str">
            <v>AAAV lrip begins 2006, full scale prodn AAAV for 1K vehs starts in 2008</v>
          </cell>
          <cell r="BM104" t="str">
            <v>Main Battle Tanks</v>
          </cell>
          <cell r="BS104">
            <v>0.18</v>
          </cell>
          <cell r="BT104">
            <v>721.26</v>
          </cell>
        </row>
        <row r="105">
          <cell r="AB105" t="str">
            <v>armored systems - $1.4B for leopards (235) 2003-08 delivery period</v>
          </cell>
          <cell r="BM105" t="str">
            <v>Other</v>
          </cell>
          <cell r="BS105">
            <v>0.09</v>
          </cell>
          <cell r="BT105">
            <v>360.63</v>
          </cell>
        </row>
        <row r="106">
          <cell r="AB106" t="str">
            <v>pizarro=$400MM of backlog, program phase $540MM value potential, 176 infantry vehs, 22 command vehs</v>
          </cell>
          <cell r="BM106" t="str">
            <v>Total</v>
          </cell>
          <cell r="BS106">
            <v>1.0000000000000002</v>
          </cell>
          <cell r="BT106">
            <v>4007</v>
          </cell>
        </row>
        <row r="108">
          <cell r="AB108" t="str">
            <v>Backlog</v>
          </cell>
          <cell r="BM108" t="str">
            <v>Morgan Stanley Breakdown of Combat - Proprietary and Unpublished</v>
          </cell>
          <cell r="BS108" t="str">
            <v>2003E</v>
          </cell>
          <cell r="BT108" t="str">
            <v>2004E</v>
          </cell>
          <cell r="BU108">
            <v>2003</v>
          </cell>
          <cell r="BV108" t="str">
            <v>2004E</v>
          </cell>
        </row>
        <row r="109">
          <cell r="AB109" t="str">
            <v>Leopard</v>
          </cell>
          <cell r="AC109">
            <v>1400</v>
          </cell>
          <cell r="BM109" t="str">
            <v>Main battle tanks/related</v>
          </cell>
          <cell r="BS109">
            <v>750</v>
          </cell>
          <cell r="BT109">
            <v>700</v>
          </cell>
          <cell r="BU109">
            <v>0.2</v>
          </cell>
          <cell r="BV109">
            <v>0.16091954022988506</v>
          </cell>
        </row>
        <row r="110">
          <cell r="AB110" t="str">
            <v>Pizarro</v>
          </cell>
          <cell r="AC110">
            <v>400</v>
          </cell>
          <cell r="BM110" t="str">
            <v>Engin &amp; develop</v>
          </cell>
          <cell r="BS110">
            <v>700</v>
          </cell>
          <cell r="BT110">
            <v>850</v>
          </cell>
          <cell r="BU110">
            <v>0.18666666666666668</v>
          </cell>
          <cell r="BV110">
            <v>0.19540229885057472</v>
          </cell>
        </row>
        <row r="111">
          <cell r="AB111" t="str">
            <v>Abrams SEP</v>
          </cell>
          <cell r="AC111">
            <v>170</v>
          </cell>
          <cell r="BM111" t="str">
            <v>Medium armored vehls/related</v>
          </cell>
          <cell r="BS111">
            <v>1150</v>
          </cell>
          <cell r="BT111">
            <v>1525</v>
          </cell>
          <cell r="BU111">
            <v>0.30666666666666664</v>
          </cell>
          <cell r="BV111">
            <v>0.35057471264367818</v>
          </cell>
        </row>
        <row r="112">
          <cell r="AB112" t="str">
            <v>Egyptian kits</v>
          </cell>
          <cell r="AC112">
            <v>141</v>
          </cell>
          <cell r="BM112" t="str">
            <v>Munitions &amp; propellant</v>
          </cell>
          <cell r="BS112">
            <v>410</v>
          </cell>
          <cell r="BT112">
            <v>450</v>
          </cell>
          <cell r="BU112">
            <v>0.10933333333333334</v>
          </cell>
          <cell r="BV112">
            <v>0.10344827586206896</v>
          </cell>
        </row>
        <row r="113">
          <cell r="AB113" t="str">
            <v xml:space="preserve">armament, muns, </v>
          </cell>
          <cell r="AC113">
            <v>1200</v>
          </cell>
          <cell r="BM113" t="str">
            <v>Rockets &amp; missile components</v>
          </cell>
          <cell r="BS113">
            <v>320</v>
          </cell>
          <cell r="BT113">
            <v>350</v>
          </cell>
          <cell r="BU113">
            <v>8.533333333333333E-2</v>
          </cell>
          <cell r="BV113">
            <v>8.0459770114942528E-2</v>
          </cell>
        </row>
        <row r="114">
          <cell r="BM114" t="str">
            <v>Armament systems</v>
          </cell>
          <cell r="BS114">
            <v>120</v>
          </cell>
          <cell r="BT114">
            <v>135</v>
          </cell>
          <cell r="BU114">
            <v>3.2000000000000001E-2</v>
          </cell>
          <cell r="BV114">
            <v>3.1034482758620689E-2</v>
          </cell>
        </row>
        <row r="115">
          <cell r="BM115" t="str">
            <v>Aerospace comps/other</v>
          </cell>
          <cell r="BS115">
            <v>300</v>
          </cell>
          <cell r="BT115">
            <v>340</v>
          </cell>
          <cell r="BU115">
            <v>0.08</v>
          </cell>
          <cell r="BV115">
            <v>7.8160919540229884E-2</v>
          </cell>
        </row>
        <row r="116">
          <cell r="Z116" t="str">
            <v>IAV Contract Win - Potential Implications For GD</v>
          </cell>
          <cell r="BM116" t="str">
            <v>Combat Vehicles Total</v>
          </cell>
          <cell r="BS116">
            <v>3750</v>
          </cell>
          <cell r="BT116">
            <v>4350</v>
          </cell>
          <cell r="BU116">
            <v>1</v>
          </cell>
          <cell r="BV116">
            <v>0.99999999999999989</v>
          </cell>
        </row>
        <row r="118">
          <cell r="AB118" t="str">
            <v># of</v>
          </cell>
          <cell r="AC118" t="str">
            <v>Cost/Veh</v>
          </cell>
          <cell r="AD118" t="str">
            <v>Est.</v>
          </cell>
          <cell r="BM118" t="str">
            <v>CIBC Breakdown of Combat Vehs - Published</v>
          </cell>
          <cell r="BS118" t="str">
            <v>2003A</v>
          </cell>
          <cell r="BT118" t="str">
            <v>2004E</v>
          </cell>
          <cell r="BU118">
            <v>2003</v>
          </cell>
          <cell r="BV118" t="str">
            <v>2004E</v>
          </cell>
        </row>
        <row r="119">
          <cell r="AB119" t="str">
            <v>Vehicles</v>
          </cell>
          <cell r="AC119" t="str">
            <v>$MM</v>
          </cell>
          <cell r="AD119" t="str">
            <v>Revs</v>
          </cell>
          <cell r="AE119" t="str">
            <v>Comments</v>
          </cell>
          <cell r="BM119" t="str">
            <v>Main battle tanks/related</v>
          </cell>
          <cell r="BS119">
            <v>858</v>
          </cell>
          <cell r="BT119">
            <v>783</v>
          </cell>
          <cell r="BU119">
            <v>0.20595295247239559</v>
          </cell>
          <cell r="BV119">
            <v>0.16553911205073996</v>
          </cell>
        </row>
        <row r="120">
          <cell r="Z120" t="str">
            <v xml:space="preserve">First Brigade </v>
          </cell>
          <cell r="AB120">
            <v>366</v>
          </cell>
          <cell r="AC120">
            <v>2</v>
          </cell>
          <cell r="AD120">
            <v>732</v>
          </cell>
          <cell r="AE120" t="str">
            <v>- Army says 2 brigades fielded by 2002</v>
          </cell>
          <cell r="BM120" t="str">
            <v>Engin &amp; develop</v>
          </cell>
          <cell r="BS120">
            <v>646</v>
          </cell>
          <cell r="BT120">
            <v>600</v>
          </cell>
          <cell r="BU120">
            <v>0.15506481036965913</v>
          </cell>
          <cell r="BV120">
            <v>0.12684989429175475</v>
          </cell>
        </row>
        <row r="121">
          <cell r="BM121" t="str">
            <v>Medium armored vehls/related</v>
          </cell>
          <cell r="BS121">
            <v>1227</v>
          </cell>
          <cell r="BT121">
            <v>1735</v>
          </cell>
          <cell r="BU121">
            <v>0.29452712433989436</v>
          </cell>
          <cell r="BV121">
            <v>0.3668076109936575</v>
          </cell>
        </row>
        <row r="122">
          <cell r="Z122" t="str">
            <v>Est. Govt furnished equipment (GFE)</v>
          </cell>
          <cell r="AD122">
            <v>-200</v>
          </cell>
          <cell r="AE122" t="str">
            <v>- could be high</v>
          </cell>
          <cell r="BM122" t="str">
            <v>Munitions &amp; propellant</v>
          </cell>
          <cell r="BS122">
            <v>462</v>
          </cell>
          <cell r="BT122">
            <v>586</v>
          </cell>
          <cell r="BU122">
            <v>0.11089774363898224</v>
          </cell>
          <cell r="BV122">
            <v>0.12389006342494714</v>
          </cell>
        </row>
        <row r="123">
          <cell r="Z123" t="str">
            <v>GM Canada portion (50% share)</v>
          </cell>
          <cell r="AD123">
            <v>266</v>
          </cell>
          <cell r="BM123" t="str">
            <v>Rockets &amp; missile components</v>
          </cell>
          <cell r="BS123">
            <v>278</v>
          </cell>
          <cell r="BT123">
            <v>288</v>
          </cell>
          <cell r="BU123">
            <v>6.6730676908305323E-2</v>
          </cell>
          <cell r="BV123">
            <v>6.0887949260042283E-2</v>
          </cell>
        </row>
        <row r="124">
          <cell r="BM124" t="str">
            <v>Armament systems</v>
          </cell>
          <cell r="BS124">
            <v>145</v>
          </cell>
          <cell r="BT124">
            <v>161</v>
          </cell>
          <cell r="BU124">
            <v>3.4805568891022563E-2</v>
          </cell>
          <cell r="BV124">
            <v>3.4038054968287525E-2</v>
          </cell>
        </row>
        <row r="125">
          <cell r="Z125" t="str">
            <v>Pot. GD portion</v>
          </cell>
          <cell r="AD125">
            <v>266</v>
          </cell>
          <cell r="AE125" t="str">
            <v>- for 2001</v>
          </cell>
          <cell r="BM125" t="str">
            <v>Aerospace comps/other</v>
          </cell>
          <cell r="BS125">
            <v>550</v>
          </cell>
          <cell r="BT125">
            <v>577</v>
          </cell>
          <cell r="BU125">
            <v>0.13202112337974076</v>
          </cell>
          <cell r="BV125">
            <v>0.12198731501057082</v>
          </cell>
        </row>
        <row r="126">
          <cell r="Z126" t="str">
            <v>Est. op profit</v>
          </cell>
          <cell r="AD126">
            <v>19.95</v>
          </cell>
          <cell r="BM126" t="str">
            <v>Combat Vehicles Total</v>
          </cell>
          <cell r="BS126">
            <v>4166</v>
          </cell>
          <cell r="BT126">
            <v>4730</v>
          </cell>
          <cell r="BU126">
            <v>1</v>
          </cell>
          <cell r="BV126">
            <v>0.99999999999999989</v>
          </cell>
        </row>
        <row r="127">
          <cell r="Z127" t="str">
            <v>Est. op margin</v>
          </cell>
          <cell r="AD127">
            <v>7.4999999999999997E-2</v>
          </cell>
          <cell r="AE127" t="str">
            <v>- midpt range 6-9%</v>
          </cell>
        </row>
        <row r="128">
          <cell r="Z128" t="str">
            <v>Est. 2001 EPS impact</v>
          </cell>
          <cell r="AD128">
            <v>3.2533267619516998E-2</v>
          </cell>
          <cell r="AE128" t="str">
            <v>-for 1 brigade</v>
          </cell>
          <cell r="BS128" t="str">
            <v>Morgan Stanley</v>
          </cell>
          <cell r="BT128" t="str">
            <v>CIBC</v>
          </cell>
        </row>
        <row r="129">
          <cell r="AE129" t="str">
            <v>- Army has 6 brigade requirement</v>
          </cell>
          <cell r="BM129" t="str">
            <v>% Differential MS vs. CIBC</v>
          </cell>
          <cell r="BS129" t="str">
            <v>2003A</v>
          </cell>
          <cell r="BT129" t="str">
            <v>2003A</v>
          </cell>
          <cell r="BU129" t="str">
            <v>Difference $MMs &amp; % Total</v>
          </cell>
        </row>
        <row r="130">
          <cell r="Z130" t="str">
            <v>Current 2001 EPS</v>
          </cell>
          <cell r="AD130">
            <v>2.3238048299654999</v>
          </cell>
          <cell r="BM130" t="str">
            <v>Main battle tanks/related</v>
          </cell>
          <cell r="BS130">
            <v>801.40000000000009</v>
          </cell>
          <cell r="BT130">
            <v>858</v>
          </cell>
          <cell r="BU130">
            <v>56.599999999999909</v>
          </cell>
          <cell r="BV130">
            <v>1.3586173787806027E-2</v>
          </cell>
        </row>
        <row r="131">
          <cell r="Z131" t="str">
            <v>Possible 2001 EPS</v>
          </cell>
          <cell r="AD131">
            <v>2.356338097585017</v>
          </cell>
          <cell r="BM131" t="str">
            <v>Engin &amp; develop</v>
          </cell>
          <cell r="BS131">
            <v>747.97333333333336</v>
          </cell>
          <cell r="BT131">
            <v>646</v>
          </cell>
          <cell r="BU131">
            <v>-101.97333333333336</v>
          </cell>
          <cell r="BV131">
            <v>-2.4477516402624425E-2</v>
          </cell>
        </row>
        <row r="132">
          <cell r="Z132" t="str">
            <v>% accretive</v>
          </cell>
          <cell r="AD132">
            <v>1.4E-2</v>
          </cell>
          <cell r="BM132" t="str">
            <v>Medium armored vehls/related</v>
          </cell>
          <cell r="BS132">
            <v>1228.8133333333333</v>
          </cell>
          <cell r="BT132">
            <v>1227</v>
          </cell>
          <cell r="BU132">
            <v>-1.8133333333332757</v>
          </cell>
          <cell r="BV132">
            <v>-4.3526964314288905E-4</v>
          </cell>
        </row>
        <row r="133">
          <cell r="BM133" t="str">
            <v>Munitions &amp; propellant</v>
          </cell>
          <cell r="BS133">
            <v>438.0986666666667</v>
          </cell>
          <cell r="BT133">
            <v>462</v>
          </cell>
          <cell r="BU133">
            <v>23.901333333333298</v>
          </cell>
          <cell r="BV133">
            <v>5.7372379580732831E-3</v>
          </cell>
        </row>
        <row r="134">
          <cell r="Z134" t="str">
            <v>Assuming Santa B. synergies</v>
          </cell>
          <cell r="AD134">
            <v>3.9854115327747658E-2</v>
          </cell>
          <cell r="AE134" t="str">
            <v>- 9.5% margins</v>
          </cell>
          <cell r="BM134" t="str">
            <v>Rockets &amp; missile components</v>
          </cell>
          <cell r="BS134">
            <v>341.93066666666664</v>
          </cell>
          <cell r="BT134">
            <v>278</v>
          </cell>
          <cell r="BU134">
            <v>-63.930666666666639</v>
          </cell>
          <cell r="BV134">
            <v>-1.5345815330452865E-2</v>
          </cell>
        </row>
        <row r="135">
          <cell r="BM135" t="str">
            <v>Armament systems</v>
          </cell>
          <cell r="BS135">
            <v>128.22399999999999</v>
          </cell>
          <cell r="BT135">
            <v>145</v>
          </cell>
          <cell r="BU135">
            <v>16.77600000000001</v>
          </cell>
          <cell r="BV135">
            <v>4.0268843014882403E-3</v>
          </cell>
        </row>
        <row r="136">
          <cell r="Z136" t="str">
            <v>Total Sales of IAV(aka BCT)</v>
          </cell>
          <cell r="AF136">
            <v>2001</v>
          </cell>
          <cell r="AG136">
            <v>2002</v>
          </cell>
          <cell r="AH136">
            <v>2003</v>
          </cell>
          <cell r="AI136" t="str">
            <v>Total</v>
          </cell>
          <cell r="BM136" t="str">
            <v>Aerospace comps/other</v>
          </cell>
          <cell r="BS136">
            <v>320.56</v>
          </cell>
          <cell r="BT136">
            <v>550</v>
          </cell>
          <cell r="BU136">
            <v>229.44</v>
          </cell>
          <cell r="BV136">
            <v>5.5074411905904945E-2</v>
          </cell>
        </row>
        <row r="137">
          <cell r="AB137" t="str">
            <v>GD sh</v>
          </cell>
          <cell r="AC137">
            <v>266</v>
          </cell>
          <cell r="AE137" t="str">
            <v>Sales</v>
          </cell>
          <cell r="AF137">
            <v>100</v>
          </cell>
          <cell r="AG137">
            <v>180</v>
          </cell>
          <cell r="AH137">
            <v>26</v>
          </cell>
          <cell r="AI137">
            <v>306</v>
          </cell>
          <cell r="BM137" t="str">
            <v>Combat Vehicles Total</v>
          </cell>
          <cell r="BS137">
            <v>4007</v>
          </cell>
          <cell r="BT137">
            <v>4166</v>
          </cell>
          <cell r="BU137">
            <v>158.99999999999994</v>
          </cell>
          <cell r="BV137">
            <v>3.9680559021711991E-2</v>
          </cell>
        </row>
        <row r="138">
          <cell r="AB138" t="str">
            <v>R&amp;D work</v>
          </cell>
          <cell r="AC138">
            <v>40</v>
          </cell>
          <cell r="AE138" t="str">
            <v>Mgns</v>
          </cell>
          <cell r="AF138">
            <v>5</v>
          </cell>
          <cell r="AG138">
            <v>18</v>
          </cell>
          <cell r="AH138">
            <v>4</v>
          </cell>
          <cell r="AI138">
            <v>27</v>
          </cell>
          <cell r="BT138" t="str">
            <v>why does CIBC have incorrect 2003 #s?</v>
          </cell>
        </row>
        <row r="139">
          <cell r="AB139" t="str">
            <v>Total GD</v>
          </cell>
          <cell r="AC139">
            <v>306</v>
          </cell>
          <cell r="AD139" t="str">
            <v>- thru 1Q03</v>
          </cell>
          <cell r="AE139" t="str">
            <v>% sls</v>
          </cell>
          <cell r="AF139">
            <v>0.05</v>
          </cell>
          <cell r="AG139">
            <v>0.1</v>
          </cell>
          <cell r="AH139">
            <v>0.15384615384615385</v>
          </cell>
          <cell r="AI139">
            <v>8.8235294117647065E-2</v>
          </cell>
        </row>
        <row r="140">
          <cell r="BM140" t="str">
            <v>If We Correct For CIBC To Use Actual 2003A</v>
          </cell>
          <cell r="BT140" t="str">
            <v xml:space="preserve">Using CIBC %'s on </v>
          </cell>
        </row>
        <row r="141">
          <cell r="BM141" t="str">
            <v>Using Their %s of Total - Difference vs. Morgan Even Closer</v>
          </cell>
          <cell r="BS141" t="str">
            <v>2003A</v>
          </cell>
          <cell r="BT141" t="str">
            <v>Actual %s Diffference</v>
          </cell>
          <cell r="BU141" t="str">
            <v>Difference $MMs &amp; % Total</v>
          </cell>
        </row>
        <row r="142">
          <cell r="BM142" t="str">
            <v>Main battle tanks/related</v>
          </cell>
          <cell r="BS142">
            <v>801.4</v>
          </cell>
          <cell r="BT142">
            <v>825.25348055688914</v>
          </cell>
          <cell r="BU142">
            <v>-23.853480556889053</v>
          </cell>
          <cell r="BV142">
            <v>-5.9529524723955715E-3</v>
          </cell>
        </row>
        <row r="143">
          <cell r="BM143" t="str">
            <v>Engin &amp; develop</v>
          </cell>
          <cell r="BS143">
            <v>747.97333333333336</v>
          </cell>
          <cell r="BT143">
            <v>621.34469515122419</v>
          </cell>
          <cell r="BU143">
            <v>126.62863818210917</v>
          </cell>
          <cell r="BV143">
            <v>3.1601856297007527E-2</v>
          </cell>
        </row>
        <row r="144">
          <cell r="BM144" t="str">
            <v>Medium armored vehls/related</v>
          </cell>
          <cell r="BS144">
            <v>1228.8133333333333</v>
          </cell>
          <cell r="BT144">
            <v>1180.1701872299568</v>
          </cell>
          <cell r="BU144">
            <v>48.643146103376466</v>
          </cell>
          <cell r="BV144">
            <v>1.2139542326772265E-2</v>
          </cell>
        </row>
        <row r="145">
          <cell r="BM145" t="str">
            <v>Munitions &amp; propellant</v>
          </cell>
          <cell r="BS145">
            <v>438.0986666666667</v>
          </cell>
          <cell r="BT145">
            <v>444.36725876140184</v>
          </cell>
          <cell r="BU145">
            <v>-6.2685920947351406</v>
          </cell>
          <cell r="BV145">
            <v>-1.5644103056488997E-3</v>
          </cell>
        </row>
        <row r="146">
          <cell r="BM146" t="str">
            <v>Rockets &amp; missile components</v>
          </cell>
          <cell r="BS146">
            <v>341.93066666666664</v>
          </cell>
          <cell r="BT146">
            <v>267.38982237157944</v>
          </cell>
          <cell r="BU146">
            <v>74.540844295087197</v>
          </cell>
          <cell r="BV146">
            <v>1.8602656425028001E-2</v>
          </cell>
        </row>
        <row r="147">
          <cell r="BM147" t="str">
            <v>Armament systems</v>
          </cell>
          <cell r="BS147">
            <v>128.22399999999999</v>
          </cell>
          <cell r="BT147">
            <v>139.46591454632741</v>
          </cell>
          <cell r="BU147">
            <v>-11.241914546327422</v>
          </cell>
          <cell r="BV147">
            <v>-2.8055688910225661E-3</v>
          </cell>
        </row>
        <row r="148">
          <cell r="AB148" t="str">
            <v>Crusader: self propelled howitzer, army's largest R&amp;D program - company's share=25%.</v>
          </cell>
          <cell r="BM148" t="str">
            <v>Aerospace comps/other</v>
          </cell>
          <cell r="BS148">
            <v>320.56</v>
          </cell>
          <cell r="BT148">
            <v>529.00864138262125</v>
          </cell>
          <cell r="BU148">
            <v>-208.44864138262125</v>
          </cell>
          <cell r="BV148">
            <v>-5.2021123379740762E-2</v>
          </cell>
        </row>
        <row r="149">
          <cell r="AC149" t="str">
            <v>Army plans to buy 800 Crusaders, ~$13B</v>
          </cell>
          <cell r="BM149" t="str">
            <v>Combat Vehicles Total</v>
          </cell>
          <cell r="BS149">
            <v>4007</v>
          </cell>
          <cell r="BT149">
            <v>4007</v>
          </cell>
          <cell r="BU149">
            <v>0</v>
          </cell>
          <cell r="BV149">
            <v>0</v>
          </cell>
        </row>
        <row r="152">
          <cell r="BR152" t="str">
            <v>MS</v>
          </cell>
          <cell r="BS152" t="str">
            <v>CIBC</v>
          </cell>
          <cell r="BT152" t="str">
            <v>MS</v>
          </cell>
          <cell r="BU152" t="str">
            <v>CIBC</v>
          </cell>
          <cell r="BV152" t="str">
            <v>MS</v>
          </cell>
          <cell r="BW152" t="str">
            <v>CIBC</v>
          </cell>
        </row>
        <row r="153">
          <cell r="BM153" t="str">
            <v>Comparison Of Historical Data 2001-02</v>
          </cell>
          <cell r="BR153">
            <v>2000</v>
          </cell>
          <cell r="BS153">
            <v>2000</v>
          </cell>
          <cell r="BT153">
            <v>2001</v>
          </cell>
          <cell r="BU153">
            <v>2001</v>
          </cell>
          <cell r="BV153">
            <v>2002</v>
          </cell>
          <cell r="BW153">
            <v>2002</v>
          </cell>
        </row>
        <row r="154">
          <cell r="BM154" t="str">
            <v>Main battle tanks/related</v>
          </cell>
          <cell r="BR154">
            <v>515</v>
          </cell>
          <cell r="BS154" t="str">
            <v>not</v>
          </cell>
          <cell r="BT154">
            <v>624</v>
          </cell>
          <cell r="BU154">
            <v>619</v>
          </cell>
          <cell r="BV154">
            <v>732</v>
          </cell>
          <cell r="BW154">
            <v>802</v>
          </cell>
        </row>
        <row r="155">
          <cell r="BM155" t="str">
            <v>Engin &amp; develop</v>
          </cell>
          <cell r="BR155">
            <v>303</v>
          </cell>
          <cell r="BS155" t="str">
            <v>published</v>
          </cell>
          <cell r="BT155">
            <v>406</v>
          </cell>
          <cell r="BU155">
            <v>445</v>
          </cell>
          <cell r="BV155">
            <v>590</v>
          </cell>
          <cell r="BW155">
            <v>655</v>
          </cell>
        </row>
        <row r="156">
          <cell r="BM156" t="str">
            <v>Medium armored vehls/related</v>
          </cell>
          <cell r="BR156">
            <v>108</v>
          </cell>
          <cell r="BT156">
            <v>336</v>
          </cell>
          <cell r="BU156">
            <v>236</v>
          </cell>
          <cell r="BV156">
            <v>561</v>
          </cell>
          <cell r="BW156">
            <v>413</v>
          </cell>
        </row>
        <row r="157">
          <cell r="BM157" t="str">
            <v>Munitions &amp; propellant</v>
          </cell>
          <cell r="BR157">
            <v>28</v>
          </cell>
          <cell r="BT157">
            <v>339</v>
          </cell>
          <cell r="BU157">
            <v>295</v>
          </cell>
          <cell r="BV157">
            <v>383</v>
          </cell>
          <cell r="BW157">
            <v>382</v>
          </cell>
        </row>
        <row r="158">
          <cell r="BM158" t="str">
            <v>Rockets &amp; missile components</v>
          </cell>
          <cell r="BR158">
            <v>144</v>
          </cell>
          <cell r="BT158">
            <v>278</v>
          </cell>
          <cell r="BU158">
            <v>280</v>
          </cell>
          <cell r="BV158">
            <v>254</v>
          </cell>
          <cell r="BW158">
            <v>264</v>
          </cell>
        </row>
        <row r="159">
          <cell r="BM159" t="str">
            <v>Armament systems</v>
          </cell>
          <cell r="BR159">
            <v>75</v>
          </cell>
          <cell r="BT159">
            <v>97</v>
          </cell>
          <cell r="BU159">
            <v>84</v>
          </cell>
          <cell r="BV159">
            <v>103</v>
          </cell>
          <cell r="BW159">
            <v>116</v>
          </cell>
        </row>
        <row r="160">
          <cell r="BM160" t="str">
            <v>Aerospace comps/other</v>
          </cell>
          <cell r="BR160">
            <v>100</v>
          </cell>
          <cell r="BT160">
            <v>130</v>
          </cell>
          <cell r="BU160">
            <v>251</v>
          </cell>
          <cell r="BV160">
            <v>300</v>
          </cell>
          <cell r="BW160">
            <v>291</v>
          </cell>
        </row>
        <row r="161">
          <cell r="BM161" t="str">
            <v>Combat Vehicles Total</v>
          </cell>
          <cell r="BR161">
            <v>1273</v>
          </cell>
          <cell r="BT161">
            <v>2210</v>
          </cell>
          <cell r="BU161">
            <v>2210</v>
          </cell>
          <cell r="BV161">
            <v>2923</v>
          </cell>
          <cell r="BW161">
            <v>2923</v>
          </cell>
        </row>
        <row r="163">
          <cell r="BT163" t="str">
            <v>MS Minus CIBC</v>
          </cell>
        </row>
        <row r="164">
          <cell r="BM164" t="str">
            <v>% Differential MS vs. CIBC</v>
          </cell>
          <cell r="BT164">
            <v>2001</v>
          </cell>
          <cell r="BU164">
            <v>2002</v>
          </cell>
        </row>
        <row r="165">
          <cell r="BM165" t="str">
            <v>Main battle tanks/related</v>
          </cell>
          <cell r="BT165">
            <v>5</v>
          </cell>
          <cell r="BU165">
            <v>-70</v>
          </cell>
        </row>
        <row r="166">
          <cell r="BM166" t="str">
            <v>Engin &amp; develop</v>
          </cell>
          <cell r="BT166">
            <v>-39</v>
          </cell>
          <cell r="BU166">
            <v>-65</v>
          </cell>
        </row>
        <row r="167">
          <cell r="BM167" t="str">
            <v>Medium armored vehls/related</v>
          </cell>
          <cell r="BT167">
            <v>100</v>
          </cell>
          <cell r="BU167">
            <v>148</v>
          </cell>
        </row>
        <row r="168">
          <cell r="BM168" t="str">
            <v>Munitions &amp; propellant</v>
          </cell>
          <cell r="BT168">
            <v>44</v>
          </cell>
          <cell r="BU168">
            <v>1</v>
          </cell>
        </row>
        <row r="169">
          <cell r="BM169" t="str">
            <v>Rockets &amp; missile components</v>
          </cell>
          <cell r="BT169">
            <v>-2</v>
          </cell>
          <cell r="BU169">
            <v>-10</v>
          </cell>
        </row>
        <row r="170">
          <cell r="BM170" t="str">
            <v>Armament systems</v>
          </cell>
          <cell r="BT170">
            <v>13</v>
          </cell>
          <cell r="BU170">
            <v>-13</v>
          </cell>
        </row>
        <row r="171">
          <cell r="BM171" t="str">
            <v>Aerospace comps/other</v>
          </cell>
          <cell r="BT171">
            <v>-121</v>
          </cell>
          <cell r="BU171">
            <v>9</v>
          </cell>
        </row>
        <row r="172">
          <cell r="BM172" t="str">
            <v>Combat Vehicles Total</v>
          </cell>
          <cell r="BT172">
            <v>0</v>
          </cell>
          <cell r="BU172">
            <v>0</v>
          </cell>
        </row>
      </sheetData>
      <sheetData sheetId="25" refreshError="1"/>
      <sheetData sheetId="26" refreshError="1"/>
      <sheetData sheetId="27" refreshError="1"/>
      <sheetData sheetId="28" refreshError="1">
        <row r="1">
          <cell r="A1" t="str">
            <v>Most Recent User ID</v>
          </cell>
          <cell r="B1" t="str">
            <v>rawlings</v>
          </cell>
          <cell r="D1" t="str">
            <v>mstag</v>
          </cell>
          <cell r="E1" t="str">
            <v>http://www.morganstanley.com/xbrl/taxonomies/tagging</v>
          </cell>
          <cell r="F1" t="b">
            <v>0</v>
          </cell>
          <cell r="G1" t="str">
            <v>mscalc:modelwareEpsForWorkbench||mscalc:dilutedEarningsPerShare||mscalc:consensusEps||mscalc:dilutedEarningsPerShareBeforeOperatingLeaseAdjustments||mscalc:epsForConsensusForThomsonFeed||mscalc:dilutedEarningsPerShareReported||mscalc:modelwareNetIncomeFlatPresentation||mscalc:netIncomeReportedFlatPresentation||mscalc:netIncomeForConsensusSimplePresentation||mscalc:priceToEarnings||mscalc:marketCapitalization||mstag:averageDilutedSharesOutstanding||mscalc:priceToBookValue||mscalc:nominalEpsGrowth3YearCagr||mscalc:nominalEpsGrowth5YearCagr||mscalc:dividendsPerShareCalc||mscalc:dividendYield||mscalc:operatingRevenue||mscalc:operatingIncome||mscalc:netOperatingProfitAfterTaxNopat||mscalc:recurringProfitJapanCalc||mscalc:operatingProfitMargin||mscalc:operatingAssetTurnover||mscalc:returnOnNetOperatingAssets||mscalc:returnOnAverageNetOperatingAssets||mscalc:returnOnEquityCalc||mscalc:freeCashFlowYieldRatio||mscalc:freeCashFlowPerShare||mscalc:priceToFreeCashFlow||mscalc:enterpriseFirmValue||mscalc:debtCapital||mscalc:netDebt||mscalc:ebitda||mscalc:evToEbitda||mscalc:evrevenue||mscalc:bookValuePerShare||mscalc:tangibleBookValuePerShare||mscalc:priceToTangibleBookValue||mscalc:returnOfCapitalRatio||mscalc:capexdepreciation</v>
          </cell>
          <cell r="J1" t="str">
            <v>Aerospace &amp; Defense</v>
          </cell>
          <cell r="K1" t="str">
            <v>1500004871~</v>
          </cell>
          <cell r="L1">
            <v>1</v>
          </cell>
        </row>
        <row r="2">
          <cell r="A2" t="str">
            <v>Ticker Default</v>
          </cell>
          <cell r="B2" t="str">
            <v>****Deprecated****</v>
          </cell>
        </row>
        <row r="3">
          <cell r="A3" t="str">
            <v>Scale Default</v>
          </cell>
          <cell r="B3">
            <v>6</v>
          </cell>
        </row>
        <row r="4">
          <cell r="A4" t="str">
            <v>Unit Default</v>
          </cell>
          <cell r="B4" t="str">
            <v>****Deprecated****</v>
          </cell>
        </row>
        <row r="5">
          <cell r="A5" t="str">
            <v>Tagged Model Version</v>
          </cell>
          <cell r="B5">
            <v>1.3</v>
          </cell>
        </row>
        <row r="6">
          <cell r="A6" t="str">
            <v>Transposed</v>
          </cell>
        </row>
        <row r="7">
          <cell r="B7" t="str">
            <v>General Dynamics is a $21B provider of mission critical information systems and technologies to the U.S. defense and federal markets, with its Information Systems and Technology division making up 37% of sales.  The company is also the second largest U.S. military shipbuilder by volume, with core capabilities in design, construction and integration of nuclear subs and non-nuclear surface ships with the Marine division at 22% of sales.  GD is the #1 builder of combat vehicles (24% of sales) and leader in upper and mid-sized business jets (16% of sales).</v>
          </cell>
        </row>
        <row r="8">
          <cell r="B8">
            <v>38824</v>
          </cell>
        </row>
        <row r="9">
          <cell r="B9">
            <v>38742</v>
          </cell>
        </row>
        <row r="10">
          <cell r="B10" t="str">
            <v>0|</v>
          </cell>
        </row>
        <row r="13">
          <cell r="B13">
            <v>0</v>
          </cell>
        </row>
        <row r="15">
          <cell r="A15" t="str">
            <v>General Dynamics</v>
          </cell>
        </row>
        <row r="16">
          <cell r="A16" t="str">
            <v>Consolidated:GD.N</v>
          </cell>
        </row>
        <row r="17">
          <cell r="A17" t="str">
            <v>USD</v>
          </cell>
        </row>
        <row r="18">
          <cell r="A18" t="str">
            <v>USD</v>
          </cell>
        </row>
        <row r="19">
          <cell r="A19">
            <v>12</v>
          </cell>
        </row>
        <row r="20">
          <cell r="A20" t="b">
            <v>0</v>
          </cell>
        </row>
        <row r="22">
          <cell r="A22" t="str">
            <v>GD.N</v>
          </cell>
          <cell r="B22" t="str">
            <v>Stock</v>
          </cell>
          <cell r="C22" t="str">
            <v>pri</v>
          </cell>
          <cell r="D22" t="str">
            <v>USD</v>
          </cell>
          <cell r="E22" t="str">
            <v>USD</v>
          </cell>
        </row>
      </sheetData>
      <sheetData sheetId="29" refreshError="1"/>
      <sheetData sheetId="30"/>
      <sheetData sheetId="31"/>
      <sheetData sheetId="32"/>
      <sheetData sheetId="33"/>
      <sheetData sheetId="34"/>
      <sheetData sheetId="35"/>
      <sheetData sheetId="36" refreshError="1"/>
      <sheetData sheetId="37" refreshError="1"/>
      <sheetData sheetId="38" refreshError="1"/>
      <sheetData sheetId="39" refreshError="1"/>
      <sheetData sheetId="40" refreshError="1"/>
      <sheetData sheetId="41" refreshError="1"/>
      <sheetData sheetId="42" refreshError="1"/>
      <sheetData sheetId="43"/>
      <sheetData sheetId="44"/>
      <sheetData sheetId="45"/>
      <sheetData sheetId="4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単独"/>
      <sheetName val="連結"/>
      <sheetName val="期中"/>
      <sheetName val="valu"/>
      <sheetName val="増減分析"/>
      <sheetName val="新素材"/>
      <sheetName val="子会社"/>
      <sheetName val="環境"/>
      <sheetName val="製錬拠点"/>
      <sheetName val="ﾃｨｻﾊﾟ"/>
      <sheetName val="ﾚｲﾃﾞﾌﾟﾗﾀ"/>
      <sheetName val="小坂"/>
      <sheetName val="中計"/>
      <sheetName val="cash"/>
      <sheetName val="ｾｸﾞﾒﾝﾄ"/>
      <sheetName val="含み益"/>
      <sheetName val="capx"/>
      <sheetName val="dep"/>
      <sheetName val="人"/>
      <sheetName val="exp"/>
      <sheetName val="Valuation Matrix"/>
      <sheetName val="HANDOUT"/>
      <sheetName val="Interm-Euro"/>
      <sheetName val="SCATTER DATA"/>
      <sheetName val="10 Yr DCF"/>
      <sheetName val="Annual-Euro"/>
      <sheetName val="Residual Income Model"/>
      <sheetName val="P"/>
      <sheetName val="Exclusion List"/>
      <sheetName val="EARNMOD"/>
      <sheetName val="Good 12-00 (2)"/>
      <sheetName val="Good 11-36"/>
      <sheetName val="Good 11-50"/>
      <sheetName val="Sheet3 (5)"/>
      <sheetName val="IS Quarterly"/>
      <sheetName val="Sheet1 (2)"/>
      <sheetName val="1Q11 Preview"/>
      <sheetName val="2Q11 Preview"/>
      <sheetName val="exh 11"/>
      <sheetName val="exh 14"/>
      <sheetName val="exh 12"/>
      <sheetName val="exh 10"/>
      <sheetName val="exh 1 and 5"/>
      <sheetName val="exh 15"/>
      <sheetName val="exh 3"/>
      <sheetName val="exh 9"/>
      <sheetName val="Operating Leases tagged"/>
      <sheetName val="WACC"/>
      <sheetName val="Sheet1"/>
      <sheetName val="Fixed Line Mkt"/>
      <sheetName val="Cash Flow"/>
      <sheetName val="upside_downside"/>
      <sheetName val="Income Statement"/>
      <sheetName val="Balance Sheet"/>
      <sheetName val="Valsum"/>
      <sheetName val="Total_Production"/>
      <sheetName val="RFS"/>
      <sheetName val="Corn_Uses"/>
      <sheetName val="US_Production"/>
      <sheetName val="DCF"/>
      <sheetName val="OP"/>
      <sheetName val="Inputs"/>
      <sheetName val="MWA RR"/>
      <sheetName val="Summary"/>
      <sheetName val="IS"/>
      <sheetName val="Risk-Reward_View_Chart"/>
      <sheetName val="variables"/>
      <sheetName val="Model"/>
      <sheetName val="Intrinsic Value"/>
      <sheetName val="Rev by Geo"/>
      <sheetName val="fin"/>
      <sheetName val="Report template"/>
      <sheetName val="Model (WIP)"/>
      <sheetName val="sales bkd"/>
      <sheetName val="Presentation"/>
      <sheetName val="Valuation"/>
    </sheetNames>
    <sheetDataSet>
      <sheetData sheetId="0" refreshError="1">
        <row r="14">
          <cell r="AR14">
            <v>28</v>
          </cell>
        </row>
        <row r="15">
          <cell r="AR15">
            <v>5</v>
          </cell>
        </row>
        <row r="16">
          <cell r="AR16">
            <v>14</v>
          </cell>
        </row>
        <row r="17">
          <cell r="AR17">
            <v>6</v>
          </cell>
        </row>
        <row r="18">
          <cell r="AR18">
            <v>-5</v>
          </cell>
        </row>
        <row r="512">
          <cell r="B512" t="str">
            <v>売上高</v>
          </cell>
          <cell r="D512" t="str">
            <v>M\</v>
          </cell>
          <cell r="Q512">
            <v>210000</v>
          </cell>
          <cell r="R512">
            <v>105000</v>
          </cell>
          <cell r="S512">
            <v>105000</v>
          </cell>
          <cell r="T512">
            <v>210000</v>
          </cell>
          <cell r="U512">
            <v>105000</v>
          </cell>
          <cell r="V512">
            <v>105000</v>
          </cell>
          <cell r="W512">
            <v>210000</v>
          </cell>
          <cell r="X512">
            <v>93000</v>
          </cell>
          <cell r="Y512">
            <v>100000</v>
          </cell>
          <cell r="Z512">
            <v>193000</v>
          </cell>
          <cell r="AA512">
            <v>91000</v>
          </cell>
          <cell r="AB512">
            <v>94000</v>
          </cell>
          <cell r="AC512">
            <v>185000</v>
          </cell>
        </row>
        <row r="513">
          <cell r="B513" t="str">
            <v>営業利益</v>
          </cell>
          <cell r="D513" t="str">
            <v>M\</v>
          </cell>
          <cell r="Q513">
            <v>8000</v>
          </cell>
          <cell r="R513">
            <v>5000</v>
          </cell>
          <cell r="S513">
            <v>5000</v>
          </cell>
          <cell r="T513">
            <v>10000</v>
          </cell>
          <cell r="V513">
            <v>0</v>
          </cell>
          <cell r="X513">
            <v>3000</v>
          </cell>
          <cell r="Y513">
            <v>4500</v>
          </cell>
          <cell r="Z513">
            <v>7500</v>
          </cell>
          <cell r="AA513">
            <v>3300</v>
          </cell>
          <cell r="AB513">
            <v>4400</v>
          </cell>
          <cell r="AC513">
            <v>7700</v>
          </cell>
        </row>
        <row r="514">
          <cell r="B514" t="str">
            <v>経常利益</v>
          </cell>
          <cell r="D514" t="str">
            <v>M\</v>
          </cell>
          <cell r="Q514">
            <v>6000</v>
          </cell>
          <cell r="R514">
            <v>4000</v>
          </cell>
          <cell r="S514">
            <v>4000</v>
          </cell>
          <cell r="T514">
            <v>8000</v>
          </cell>
          <cell r="U514">
            <v>3600</v>
          </cell>
          <cell r="V514">
            <v>3600</v>
          </cell>
          <cell r="W514">
            <v>7200</v>
          </cell>
          <cell r="X514">
            <v>2000</v>
          </cell>
          <cell r="Y514">
            <v>3000</v>
          </cell>
          <cell r="Z514">
            <v>5000</v>
          </cell>
          <cell r="AA514">
            <v>2500</v>
          </cell>
          <cell r="AB514">
            <v>3500</v>
          </cell>
          <cell r="AC514">
            <v>6000</v>
          </cell>
        </row>
        <row r="515">
          <cell r="B515" t="str">
            <v>当期利益</v>
          </cell>
          <cell r="D515" t="str">
            <v>M\</v>
          </cell>
          <cell r="Q515">
            <v>3000</v>
          </cell>
          <cell r="R515">
            <v>2000</v>
          </cell>
          <cell r="S515">
            <v>2000</v>
          </cell>
          <cell r="T515">
            <v>4000</v>
          </cell>
          <cell r="U515">
            <v>2000</v>
          </cell>
          <cell r="V515">
            <v>2000</v>
          </cell>
          <cell r="W515">
            <v>4000</v>
          </cell>
          <cell r="X515">
            <v>1200</v>
          </cell>
          <cell r="Y515">
            <v>1600</v>
          </cell>
          <cell r="Z515">
            <v>2800</v>
          </cell>
          <cell r="AA515">
            <v>1300</v>
          </cell>
          <cell r="AB515">
            <v>1700</v>
          </cell>
          <cell r="AC515">
            <v>3000</v>
          </cell>
        </row>
        <row r="516">
          <cell r="D516" t="str">
            <v xml:space="preserve"> </v>
          </cell>
        </row>
        <row r="517">
          <cell r="A517" t="str">
            <v>中間決算後の会社予想</v>
          </cell>
          <cell r="D517" t="str">
            <v xml:space="preserve"> </v>
          </cell>
          <cell r="Q517" t="str">
            <v>97/3期</v>
          </cell>
          <cell r="R517" t="str">
            <v>97/9上</v>
          </cell>
          <cell r="S517" t="str">
            <v>下</v>
          </cell>
          <cell r="T517" t="str">
            <v>98/3期</v>
          </cell>
          <cell r="U517" t="str">
            <v>98/9上</v>
          </cell>
          <cell r="V517" t="str">
            <v>下</v>
          </cell>
          <cell r="W517" t="str">
            <v>99/3期</v>
          </cell>
          <cell r="Z517" t="str">
            <v>00/3期</v>
          </cell>
          <cell r="AC517" t="str">
            <v>01/3期</v>
          </cell>
        </row>
        <row r="518">
          <cell r="B518" t="str">
            <v>売上高</v>
          </cell>
          <cell r="D518" t="str">
            <v>M\</v>
          </cell>
          <cell r="Q518">
            <v>200000</v>
          </cell>
          <cell r="S518">
            <v>109491</v>
          </cell>
          <cell r="T518">
            <v>222000</v>
          </cell>
          <cell r="U518">
            <v>104114</v>
          </cell>
          <cell r="V518">
            <v>105886</v>
          </cell>
          <cell r="W518">
            <v>210000</v>
          </cell>
          <cell r="X518">
            <v>91000</v>
          </cell>
          <cell r="Y518">
            <v>93000</v>
          </cell>
          <cell r="Z518">
            <v>184000</v>
          </cell>
          <cell r="AA518">
            <v>92800</v>
          </cell>
          <cell r="AB518">
            <v>94200</v>
          </cell>
          <cell r="AC518">
            <v>187000</v>
          </cell>
        </row>
        <row r="519">
          <cell r="B519" t="str">
            <v>営業利益</v>
          </cell>
          <cell r="D519" t="str">
            <v>M\</v>
          </cell>
          <cell r="Q519">
            <v>7500</v>
          </cell>
          <cell r="S519">
            <v>5552</v>
          </cell>
          <cell r="T519">
            <v>11000</v>
          </cell>
          <cell r="U519">
            <v>4811</v>
          </cell>
          <cell r="V519">
            <v>5689</v>
          </cell>
          <cell r="W519">
            <v>10500</v>
          </cell>
          <cell r="X519">
            <v>750</v>
          </cell>
          <cell r="Y519">
            <v>2350</v>
          </cell>
          <cell r="Z519">
            <v>3100</v>
          </cell>
          <cell r="AA519">
            <v>4000</v>
          </cell>
          <cell r="AB519">
            <v>4600</v>
          </cell>
          <cell r="AC519">
            <v>8600</v>
          </cell>
        </row>
        <row r="520">
          <cell r="B520" t="str">
            <v>経常利益</v>
          </cell>
          <cell r="D520" t="str">
            <v>M\</v>
          </cell>
          <cell r="Q520">
            <v>6000</v>
          </cell>
          <cell r="S520">
            <v>4344</v>
          </cell>
          <cell r="T520">
            <v>8500</v>
          </cell>
          <cell r="U520">
            <v>2863</v>
          </cell>
          <cell r="V520">
            <v>4337</v>
          </cell>
          <cell r="W520">
            <v>7200</v>
          </cell>
          <cell r="X520">
            <v>1200</v>
          </cell>
          <cell r="Y520">
            <v>1300</v>
          </cell>
          <cell r="Z520">
            <v>2500</v>
          </cell>
          <cell r="AA520">
            <v>3200</v>
          </cell>
          <cell r="AB520">
            <v>3800</v>
          </cell>
          <cell r="AC520">
            <v>7000</v>
          </cell>
        </row>
        <row r="521">
          <cell r="B521" t="str">
            <v>当期利益</v>
          </cell>
          <cell r="D521" t="str">
            <v>M\</v>
          </cell>
          <cell r="Q521">
            <v>3000</v>
          </cell>
          <cell r="S521">
            <v>1985</v>
          </cell>
          <cell r="T521">
            <v>4500</v>
          </cell>
          <cell r="U521">
            <v>1269</v>
          </cell>
          <cell r="V521">
            <v>2731</v>
          </cell>
          <cell r="W521">
            <v>4000</v>
          </cell>
          <cell r="X521">
            <v>900</v>
          </cell>
          <cell r="Y521">
            <v>700</v>
          </cell>
          <cell r="Z521">
            <v>1600</v>
          </cell>
          <cell r="AA521">
            <v>1700</v>
          </cell>
          <cell r="AB521">
            <v>1800</v>
          </cell>
          <cell r="AC521">
            <v>3500</v>
          </cell>
        </row>
        <row r="522">
          <cell r="D522" t="str">
            <v xml:space="preserve"> </v>
          </cell>
        </row>
        <row r="523">
          <cell r="A523" t="str">
            <v>修正後の会社予想</v>
          </cell>
          <cell r="D523" t="str">
            <v xml:space="preserve"> </v>
          </cell>
          <cell r="Q523" t="str">
            <v>97/3期</v>
          </cell>
          <cell r="R523" t="str">
            <v>97/9上</v>
          </cell>
          <cell r="S523" t="str">
            <v>下</v>
          </cell>
          <cell r="T523" t="str">
            <v>98/3期</v>
          </cell>
          <cell r="U523" t="str">
            <v>98/9上</v>
          </cell>
          <cell r="V523" t="str">
            <v>下</v>
          </cell>
          <cell r="W523" t="str">
            <v>99/3期</v>
          </cell>
          <cell r="Z523" t="str">
            <v>00/3期</v>
          </cell>
          <cell r="AC523" t="str">
            <v>01/3期</v>
          </cell>
        </row>
        <row r="524">
          <cell r="B524" t="str">
            <v>売上高</v>
          </cell>
          <cell r="D524" t="str">
            <v>M\</v>
          </cell>
          <cell r="U524">
            <v>112509</v>
          </cell>
          <cell r="V524">
            <v>82491</v>
          </cell>
          <cell r="W524">
            <v>195000</v>
          </cell>
          <cell r="X524">
            <v>92411</v>
          </cell>
          <cell r="Y524">
            <v>91589</v>
          </cell>
          <cell r="Z524">
            <v>184000</v>
          </cell>
          <cell r="AC524">
            <v>188600</v>
          </cell>
        </row>
        <row r="525">
          <cell r="B525" t="str">
            <v>営業利益</v>
          </cell>
          <cell r="D525" t="str">
            <v>M\</v>
          </cell>
          <cell r="U525">
            <v>5448</v>
          </cell>
          <cell r="V525">
            <v>-5448</v>
          </cell>
          <cell r="W525" t="str">
            <v>-</v>
          </cell>
          <cell r="X525">
            <v>739</v>
          </cell>
          <cell r="Y525">
            <v>2261</v>
          </cell>
          <cell r="Z525">
            <v>3000</v>
          </cell>
          <cell r="AC525">
            <v>8500</v>
          </cell>
        </row>
        <row r="526">
          <cell r="B526" t="str">
            <v>経常利益</v>
          </cell>
          <cell r="D526" t="str">
            <v>M\</v>
          </cell>
          <cell r="U526">
            <v>4156</v>
          </cell>
          <cell r="V526">
            <v>1144</v>
          </cell>
          <cell r="W526">
            <v>5300</v>
          </cell>
          <cell r="X526">
            <v>1209</v>
          </cell>
          <cell r="Y526">
            <v>1291</v>
          </cell>
          <cell r="Z526">
            <v>2500</v>
          </cell>
          <cell r="AC526">
            <v>7000</v>
          </cell>
        </row>
        <row r="527">
          <cell r="B527" t="str">
            <v>当期利益</v>
          </cell>
          <cell r="D527" t="str">
            <v>M\</v>
          </cell>
          <cell r="U527">
            <v>2515</v>
          </cell>
          <cell r="V527">
            <v>-1515</v>
          </cell>
          <cell r="W527">
            <v>1000</v>
          </cell>
          <cell r="X527">
            <v>1015</v>
          </cell>
          <cell r="Y527">
            <v>585</v>
          </cell>
          <cell r="Z527">
            <v>1600</v>
          </cell>
          <cell r="AC527">
            <v>3500</v>
          </cell>
        </row>
        <row r="529">
          <cell r="A529" t="str">
            <v>自分の業績予想の要約</v>
          </cell>
          <cell r="D529" t="str">
            <v xml:space="preserve"> </v>
          </cell>
          <cell r="Q529" t="str">
            <v>97/3期</v>
          </cell>
          <cell r="R529" t="str">
            <v>97/9上</v>
          </cell>
          <cell r="S529" t="str">
            <v>下</v>
          </cell>
          <cell r="T529" t="str">
            <v>98/3期</v>
          </cell>
          <cell r="U529" t="str">
            <v>98/9上</v>
          </cell>
          <cell r="V529" t="str">
            <v>下</v>
          </cell>
          <cell r="W529" t="str">
            <v>99/3期</v>
          </cell>
          <cell r="Z529" t="str">
            <v>00/3期</v>
          </cell>
          <cell r="AC529" t="str">
            <v>01/3期</v>
          </cell>
        </row>
        <row r="530">
          <cell r="B530" t="str">
            <v>売上高</v>
          </cell>
          <cell r="D530" t="str">
            <v>M\</v>
          </cell>
          <cell r="Q530">
            <v>212588</v>
          </cell>
          <cell r="R530">
            <v>112509</v>
          </cell>
          <cell r="S530">
            <v>108769</v>
          </cell>
          <cell r="T530">
            <v>221278</v>
          </cell>
          <cell r="U530">
            <v>104114</v>
          </cell>
          <cell r="V530">
            <v>105886</v>
          </cell>
          <cell r="W530">
            <v>196247</v>
          </cell>
          <cell r="X530">
            <v>92411</v>
          </cell>
          <cell r="Y530">
            <v>94325</v>
          </cell>
          <cell r="Z530">
            <v>186736</v>
          </cell>
          <cell r="AA530">
            <v>93449</v>
          </cell>
          <cell r="AB530">
            <v>95973</v>
          </cell>
          <cell r="AC530">
            <v>189422</v>
          </cell>
        </row>
        <row r="531">
          <cell r="B531" t="str">
            <v>営業利益</v>
          </cell>
          <cell r="D531" t="str">
            <v>M\</v>
          </cell>
          <cell r="Q531">
            <v>8473</v>
          </cell>
          <cell r="R531">
            <v>5448</v>
          </cell>
          <cell r="S531">
            <v>6280</v>
          </cell>
          <cell r="T531">
            <v>11728</v>
          </cell>
          <cell r="U531">
            <v>4811</v>
          </cell>
          <cell r="V531">
            <v>-4811</v>
          </cell>
          <cell r="W531">
            <v>9099</v>
          </cell>
          <cell r="X531">
            <v>739</v>
          </cell>
          <cell r="Y531">
            <v>2937</v>
          </cell>
          <cell r="Z531">
            <v>3676</v>
          </cell>
          <cell r="AA531">
            <v>3823</v>
          </cell>
          <cell r="AB531">
            <v>4774</v>
          </cell>
          <cell r="AC531">
            <v>8597</v>
          </cell>
        </row>
        <row r="532">
          <cell r="B532" t="str">
            <v>経常利益</v>
          </cell>
          <cell r="D532" t="str">
            <v>M\</v>
          </cell>
          <cell r="Q532">
            <v>6780</v>
          </cell>
          <cell r="R532">
            <v>4156</v>
          </cell>
          <cell r="S532">
            <v>4254</v>
          </cell>
          <cell r="T532">
            <v>8410</v>
          </cell>
          <cell r="U532">
            <v>2863</v>
          </cell>
          <cell r="V532">
            <v>4337</v>
          </cell>
          <cell r="W532">
            <v>5436</v>
          </cell>
          <cell r="X532">
            <v>1209</v>
          </cell>
          <cell r="Y532">
            <v>2206</v>
          </cell>
          <cell r="Z532">
            <v>3415</v>
          </cell>
          <cell r="AA532">
            <v>3188</v>
          </cell>
          <cell r="AB532">
            <v>4246</v>
          </cell>
          <cell r="AC532">
            <v>7434</v>
          </cell>
        </row>
        <row r="533">
          <cell r="B533" t="str">
            <v>当期利益</v>
          </cell>
          <cell r="D533" t="str">
            <v>M\</v>
          </cell>
          <cell r="Q533">
            <v>2642</v>
          </cell>
          <cell r="R533">
            <v>2515</v>
          </cell>
          <cell r="S533">
            <v>1930</v>
          </cell>
          <cell r="T533">
            <v>4445</v>
          </cell>
          <cell r="U533">
            <v>1269</v>
          </cell>
          <cell r="V533">
            <v>2731</v>
          </cell>
          <cell r="W533">
            <v>1249</v>
          </cell>
          <cell r="X533">
            <v>1015</v>
          </cell>
          <cell r="Y533">
            <v>-371</v>
          </cell>
          <cell r="Z533">
            <v>644</v>
          </cell>
          <cell r="AA533">
            <v>1886</v>
          </cell>
          <cell r="AB533">
            <v>1735</v>
          </cell>
          <cell r="AC533">
            <v>3621</v>
          </cell>
        </row>
        <row r="534">
          <cell r="B534" t="str">
            <v>ｷｬｯｼｭﾌﾛｰ</v>
          </cell>
          <cell r="D534" t="str">
            <v>M\</v>
          </cell>
          <cell r="Q534">
            <v>6569</v>
          </cell>
          <cell r="T534">
            <v>8397</v>
          </cell>
          <cell r="W534">
            <v>5219</v>
          </cell>
          <cell r="X534">
            <v>0</v>
          </cell>
          <cell r="Y534">
            <v>0</v>
          </cell>
          <cell r="Z534">
            <v>5272</v>
          </cell>
          <cell r="AA534">
            <v>0</v>
          </cell>
          <cell r="AB534">
            <v>0</v>
          </cell>
          <cell r="AC534">
            <v>7744</v>
          </cell>
        </row>
        <row r="535">
          <cell r="B535" t="str">
            <v>ＥＰＳ</v>
          </cell>
          <cell r="D535" t="str">
            <v xml:space="preserve"> </v>
          </cell>
          <cell r="Q535">
            <v>9.3778729053303369</v>
          </cell>
          <cell r="T535">
            <v>15.777685489853653</v>
          </cell>
          <cell r="W535">
            <v>4.4585484502642458</v>
          </cell>
          <cell r="X535">
            <v>0</v>
          </cell>
          <cell r="Y535">
            <v>0</v>
          </cell>
          <cell r="Z535">
            <v>2.3091291751816403</v>
          </cell>
          <cell r="AA535">
            <v>0</v>
          </cell>
          <cell r="AB535">
            <v>0</v>
          </cell>
          <cell r="AC535">
            <v>12.474266786471992</v>
          </cell>
        </row>
        <row r="536">
          <cell r="B536" t="str">
            <v>ＣＦＰＳ</v>
          </cell>
          <cell r="Q536">
            <v>23.316898983767974</v>
          </cell>
          <cell r="T536">
            <v>29.805449956873144</v>
          </cell>
          <cell r="W536">
            <v>18.63023567808575</v>
          </cell>
          <cell r="X536">
            <v>0</v>
          </cell>
          <cell r="Y536">
            <v>0</v>
          </cell>
          <cell r="Z536">
            <v>18.903305918567714</v>
          </cell>
          <cell r="AA536">
            <v>0</v>
          </cell>
          <cell r="AB536">
            <v>0</v>
          </cell>
          <cell r="AC536">
            <v>26.677912729753963</v>
          </cell>
        </row>
        <row r="537">
          <cell r="B537" t="str">
            <v>ＢＰＳ</v>
          </cell>
          <cell r="D537" t="str">
            <v xml:space="preserve"> </v>
          </cell>
          <cell r="Q537">
            <v>274.47138541921788</v>
          </cell>
          <cell r="T537">
            <v>285.04545180263165</v>
          </cell>
          <cell r="W537">
            <v>283.40518700030344</v>
          </cell>
          <cell r="X537">
            <v>0</v>
          </cell>
          <cell r="Y537">
            <v>0</v>
          </cell>
          <cell r="Z537">
            <v>284.88701918588026</v>
          </cell>
          <cell r="AA537">
            <v>0</v>
          </cell>
          <cell r="AB537">
            <v>0</v>
          </cell>
          <cell r="AC537">
            <v>301.13934185933795</v>
          </cell>
        </row>
        <row r="538">
          <cell r="B538" t="str">
            <v>ＲＯＥ</v>
          </cell>
          <cell r="D538" t="str">
            <v xml:space="preserve"> </v>
          </cell>
          <cell r="Q538">
            <v>3.4167033080723171E-2</v>
          </cell>
          <cell r="T538">
            <v>5.5351472511051616E-2</v>
          </cell>
          <cell r="W538">
            <v>1.5732063683998387E-2</v>
          </cell>
          <cell r="X538">
            <v>0</v>
          </cell>
          <cell r="Y538">
            <v>0</v>
          </cell>
          <cell r="Z538">
            <v>8.1054208148213392E-3</v>
          </cell>
          <cell r="AA538">
            <v>0</v>
          </cell>
          <cell r="AB538">
            <v>0</v>
          </cell>
          <cell r="AC538">
            <v>4.1423570595099185E-2</v>
          </cell>
        </row>
        <row r="539">
          <cell r="B539" t="str">
            <v>発行済株式数</v>
          </cell>
          <cell r="D539" t="str">
            <v xml:space="preserve"> </v>
          </cell>
          <cell r="Q539">
            <v>281727</v>
          </cell>
          <cell r="T539">
            <v>281727</v>
          </cell>
          <cell r="W539">
            <v>280136.016</v>
          </cell>
          <cell r="X539">
            <v>0</v>
          </cell>
          <cell r="Y539">
            <v>0</v>
          </cell>
          <cell r="Z539">
            <v>278893.016</v>
          </cell>
          <cell r="AA539">
            <v>0</v>
          </cell>
          <cell r="AB539">
            <v>0</v>
          </cell>
          <cell r="AC539">
            <v>290277.58199999999</v>
          </cell>
        </row>
        <row r="540">
          <cell r="C540" t="str">
            <v>売上前期比</v>
          </cell>
          <cell r="D540" t="str">
            <v xml:space="preserve"> </v>
          </cell>
          <cell r="T540">
            <v>4.0877189681449488E-2</v>
          </cell>
          <cell r="U540">
            <v>-7.461625292198848E-2</v>
          </cell>
          <cell r="V540">
            <v>-2.6505713944230402E-2</v>
          </cell>
          <cell r="W540">
            <v>-0.11312014750675625</v>
          </cell>
          <cell r="X540">
            <v>-0.11240563228768463</v>
          </cell>
          <cell r="Y540">
            <v>-0.10918346145854974</v>
          </cell>
          <cell r="Z540">
            <v>-4.8464435125122884E-2</v>
          </cell>
          <cell r="AA540">
            <v>1.1232429039832903E-2</v>
          </cell>
          <cell r="AB540">
            <v>1.7471508083753085E-2</v>
          </cell>
          <cell r="AC540">
            <v>1.4383943106845987E-2</v>
          </cell>
        </row>
        <row r="541">
          <cell r="C541" t="str">
            <v>営業前期比</v>
          </cell>
          <cell r="D541" t="str">
            <v xml:space="preserve"> </v>
          </cell>
          <cell r="T541">
            <v>0.38416145403044966</v>
          </cell>
          <cell r="U541">
            <v>-0.11692364170337743</v>
          </cell>
          <cell r="V541">
            <v>-1.7660828025477708</v>
          </cell>
          <cell r="W541">
            <v>-0.22416439290586632</v>
          </cell>
          <cell r="X541">
            <v>-0.84639368114737057</v>
          </cell>
          <cell r="Y541">
            <v>-1.6104759925171481</v>
          </cell>
          <cell r="Z541">
            <v>-0.59599956039125179</v>
          </cell>
          <cell r="AA541">
            <v>4.1732070365358593</v>
          </cell>
          <cell r="AB541">
            <v>0.62546816479400746</v>
          </cell>
          <cell r="AC541">
            <v>1.3386833514689882</v>
          </cell>
        </row>
        <row r="542">
          <cell r="C542" t="str">
            <v>経常前期比</v>
          </cell>
          <cell r="D542" t="str">
            <v xml:space="preserve"> </v>
          </cell>
          <cell r="T542">
            <v>0.24041297935103234</v>
          </cell>
          <cell r="U542">
            <v>-0.31111645813282007</v>
          </cell>
          <cell r="V542">
            <v>1.9511048425011834E-2</v>
          </cell>
          <cell r="W542">
            <v>-0.35362663495838287</v>
          </cell>
          <cell r="X542">
            <v>-0.57771568285015718</v>
          </cell>
          <cell r="Y542">
            <v>-0.49135347014065023</v>
          </cell>
          <cell r="Z542">
            <v>-0.37178072111846949</v>
          </cell>
          <cell r="AA542">
            <v>1.6368899917287014</v>
          </cell>
          <cell r="AB542">
            <v>0.92475067996373528</v>
          </cell>
          <cell r="AC542">
            <v>1.1768667642752564</v>
          </cell>
        </row>
        <row r="543">
          <cell r="C543" t="str">
            <v>当期前期比</v>
          </cell>
          <cell r="D543" t="str">
            <v xml:space="preserve"> </v>
          </cell>
          <cell r="I543" t="str">
            <v>-</v>
          </cell>
          <cell r="J543" t="str">
            <v>-</v>
          </cell>
          <cell r="K543" t="str">
            <v>-</v>
          </cell>
          <cell r="T543">
            <v>0.68243754731264183</v>
          </cell>
          <cell r="U543">
            <v>-0.49542743538767398</v>
          </cell>
          <cell r="V543">
            <v>0.41502590673575135</v>
          </cell>
          <cell r="W543">
            <v>-0.71901012373453321</v>
          </cell>
          <cell r="X543">
            <v>-0.20015760441292352</v>
          </cell>
          <cell r="Y543">
            <v>-1.1358476748443793</v>
          </cell>
          <cell r="Z543">
            <v>-0.48438751000800639</v>
          </cell>
          <cell r="AA543">
            <v>0.8581280788177339</v>
          </cell>
          <cell r="AB543">
            <v>-5.6765498652291102</v>
          </cell>
          <cell r="AC543">
            <v>4.6226708074534164</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164">
          <cell r="E164">
            <v>1247</v>
          </cell>
          <cell r="F164">
            <v>1807</v>
          </cell>
          <cell r="G164">
            <v>2812</v>
          </cell>
          <cell r="H164">
            <v>2828</v>
          </cell>
          <cell r="I164">
            <v>6670</v>
          </cell>
        </row>
        <row r="165">
          <cell r="E165" t="e">
            <v>#VALUE!</v>
          </cell>
          <cell r="F165" t="e">
            <v>#VALUE!</v>
          </cell>
          <cell r="G165" t="e">
            <v>#VALUE!</v>
          </cell>
          <cell r="H165" t="e">
            <v>#VALUE!</v>
          </cell>
          <cell r="I165" t="e">
            <v>#VALUE!</v>
          </cell>
        </row>
        <row r="167">
          <cell r="E167">
            <v>2721</v>
          </cell>
          <cell r="F167">
            <v>1584</v>
          </cell>
          <cell r="G167">
            <v>1802</v>
          </cell>
          <cell r="H167">
            <v>1616</v>
          </cell>
          <cell r="I167">
            <v>795</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Y"/>
      <sheetName val="Ratios"/>
      <sheetName val="Segment EBITDA"/>
      <sheetName val="MISC"/>
      <sheetName val="EPS Lev"/>
      <sheetName val="ReplacementValue"/>
      <sheetName val="ROIC"/>
      <sheetName val="EBIT Graphs"/>
      <sheetName val="New WY-WLL Mid-Peak "/>
      <sheetName val="Pricepaid"/>
      <sheetName val="Midcycle"/>
      <sheetName val="NAV"/>
      <sheetName val="Peakcycle"/>
      <sheetName val="WLL"/>
      <sheetName val="Valuation"/>
      <sheetName val="__FDSCACHE__"/>
      <sheetName val="WY_WLL"/>
      <sheetName val="Summary"/>
      <sheetName val="WYVAL"/>
      <sheetName val="Downtime"/>
      <sheetName val="One Page Summary"/>
      <sheetName val="FCF"/>
      <sheetName val="Contact Log"/>
      <sheetName val="Share Repo"/>
      <sheetName val="Old WY-WLL Mid-Peak"/>
      <sheetName val="COC"/>
      <sheetName val="Old1"/>
      <sheetName val="Old2"/>
      <sheetName val="Old3"/>
      <sheetName val="Old4"/>
      <sheetName val="Sheet2"/>
      <sheetName val="Old5"/>
      <sheetName val="Old6"/>
      <sheetName val="Old7"/>
      <sheetName val="Old8"/>
      <sheetName val="Old9"/>
      <sheetName val="OLD"/>
      <sheetName val="MainCode"/>
      <sheetName val="NY UPLOAD"/>
      <sheetName val="NY UPLOAD shadow"/>
    </sheetNames>
    <sheetDataSet>
      <sheetData sheetId="0" refreshError="1">
        <row r="2">
          <cell r="AK2" t="str">
            <v>2004E</v>
          </cell>
          <cell r="AQ2" t="str">
            <v>2003E</v>
          </cell>
          <cell r="AW2" t="str">
            <v>2002E</v>
          </cell>
          <cell r="BC2">
            <v>2001</v>
          </cell>
          <cell r="BI2">
            <v>2000</v>
          </cell>
          <cell r="BO2">
            <v>1999</v>
          </cell>
          <cell r="BU2">
            <v>1998</v>
          </cell>
          <cell r="CA2">
            <v>1997</v>
          </cell>
          <cell r="CG2">
            <v>1996</v>
          </cell>
          <cell r="CM2">
            <v>1995</v>
          </cell>
          <cell r="CS2">
            <v>1994</v>
          </cell>
          <cell r="CY2">
            <v>1993</v>
          </cell>
          <cell r="DE2">
            <v>1992</v>
          </cell>
        </row>
        <row r="3">
          <cell r="AI3" t="str">
            <v>1QTR</v>
          </cell>
          <cell r="AJ3" t="str">
            <v>2QTR</v>
          </cell>
          <cell r="AK3" t="str">
            <v>3QTR</v>
          </cell>
          <cell r="AL3" t="str">
            <v>4QTR</v>
          </cell>
          <cell r="AP3" t="str">
            <v>2QTR</v>
          </cell>
          <cell r="AQ3" t="str">
            <v>3QTR</v>
          </cell>
          <cell r="AR3" t="str">
            <v>4QTR</v>
          </cell>
          <cell r="AS3" t="str">
            <v>YEAR</v>
          </cell>
          <cell r="AV3" t="str">
            <v>2QTR</v>
          </cell>
          <cell r="AW3" t="str">
            <v>3QTR</v>
          </cell>
          <cell r="AX3" t="str">
            <v>4QTR</v>
          </cell>
          <cell r="AY3" t="str">
            <v>YEAR</v>
          </cell>
          <cell r="BB3" t="str">
            <v>2QTR</v>
          </cell>
          <cell r="BC3" t="str">
            <v>3QTR</v>
          </cell>
          <cell r="BD3" t="str">
            <v>4QTR</v>
          </cell>
          <cell r="BE3" t="str">
            <v>YEAR</v>
          </cell>
          <cell r="BH3" t="str">
            <v>2QTR</v>
          </cell>
          <cell r="BI3" t="str">
            <v>3QTR</v>
          </cell>
          <cell r="BJ3" t="str">
            <v>4QTR</v>
          </cell>
          <cell r="BK3" t="str">
            <v>YEAR</v>
          </cell>
          <cell r="BN3" t="str">
            <v>2QTR</v>
          </cell>
          <cell r="BO3" t="str">
            <v>3QTR</v>
          </cell>
          <cell r="BP3" t="str">
            <v>4QTR</v>
          </cell>
          <cell r="BQ3" t="str">
            <v>YEAR</v>
          </cell>
          <cell r="BT3" t="str">
            <v>2QTR</v>
          </cell>
          <cell r="BU3" t="str">
            <v>3QTR</v>
          </cell>
          <cell r="BV3" t="str">
            <v>4QTR</v>
          </cell>
          <cell r="BW3" t="str">
            <v>YEAR</v>
          </cell>
          <cell r="BZ3" t="str">
            <v>2QTR</v>
          </cell>
          <cell r="CA3" t="str">
            <v>3QTR</v>
          </cell>
          <cell r="CB3" t="str">
            <v>4QTR</v>
          </cell>
          <cell r="CC3" t="str">
            <v>YEAR</v>
          </cell>
          <cell r="CF3" t="str">
            <v>2QTR</v>
          </cell>
          <cell r="CG3" t="str">
            <v>3QTR</v>
          </cell>
          <cell r="CH3" t="str">
            <v>4QTR</v>
          </cell>
          <cell r="CI3" t="str">
            <v>YEAR</v>
          </cell>
          <cell r="CL3" t="str">
            <v>2QTR</v>
          </cell>
          <cell r="CM3" t="str">
            <v>3QTR</v>
          </cell>
          <cell r="CN3" t="str">
            <v>4QTR</v>
          </cell>
          <cell r="CO3" t="str">
            <v>YEAR</v>
          </cell>
          <cell r="CR3" t="str">
            <v>2QTR</v>
          </cell>
          <cell r="CS3" t="str">
            <v>3QTR</v>
          </cell>
          <cell r="CT3" t="str">
            <v>4QTR</v>
          </cell>
          <cell r="CU3" t="str">
            <v>YEAR</v>
          </cell>
          <cell r="CX3" t="str">
            <v>2QTR</v>
          </cell>
          <cell r="CY3" t="str">
            <v>3QTR</v>
          </cell>
          <cell r="CZ3" t="str">
            <v>4QTR</v>
          </cell>
          <cell r="DA3" t="str">
            <v>YEAR</v>
          </cell>
          <cell r="DD3" t="str">
            <v>2QTR</v>
          </cell>
          <cell r="DE3" t="str">
            <v>3QTR</v>
          </cell>
          <cell r="DF3" t="str">
            <v>4QTR</v>
          </cell>
          <cell r="DG3" t="str">
            <v>YEAR</v>
          </cell>
        </row>
        <row r="6">
          <cell r="AI6">
            <v>152</v>
          </cell>
          <cell r="AJ6">
            <v>152</v>
          </cell>
          <cell r="AK6">
            <v>152</v>
          </cell>
          <cell r="AL6">
            <v>152</v>
          </cell>
          <cell r="AP6">
            <v>152</v>
          </cell>
          <cell r="AQ6">
            <v>152</v>
          </cell>
          <cell r="AR6">
            <v>152</v>
          </cell>
          <cell r="AS6">
            <v>608</v>
          </cell>
          <cell r="AV6">
            <v>152</v>
          </cell>
          <cell r="AW6">
            <v>152</v>
          </cell>
          <cell r="AX6">
            <v>152</v>
          </cell>
          <cell r="AY6">
            <v>608</v>
          </cell>
          <cell r="BB6">
            <v>170</v>
          </cell>
          <cell r="BC6">
            <v>169</v>
          </cell>
          <cell r="BD6">
            <v>152</v>
          </cell>
          <cell r="BE6">
            <v>665</v>
          </cell>
          <cell r="BH6">
            <v>212</v>
          </cell>
          <cell r="BI6">
            <v>182</v>
          </cell>
          <cell r="BJ6">
            <v>233</v>
          </cell>
          <cell r="BK6">
            <v>810</v>
          </cell>
          <cell r="BN6">
            <v>128</v>
          </cell>
          <cell r="BO6">
            <v>129</v>
          </cell>
          <cell r="BP6">
            <v>135</v>
          </cell>
          <cell r="BQ6">
            <v>521</v>
          </cell>
          <cell r="BV6">
            <v>127</v>
          </cell>
          <cell r="BW6">
            <v>495</v>
          </cell>
          <cell r="CB6">
            <v>115</v>
          </cell>
          <cell r="CC6">
            <v>476</v>
          </cell>
          <cell r="CI6">
            <v>412</v>
          </cell>
          <cell r="CO6">
            <v>420</v>
          </cell>
          <cell r="CU6">
            <v>392</v>
          </cell>
        </row>
        <row r="7">
          <cell r="BW7">
            <v>585</v>
          </cell>
          <cell r="CC7">
            <v>541</v>
          </cell>
          <cell r="CI7">
            <v>496</v>
          </cell>
          <cell r="CO7">
            <v>518</v>
          </cell>
          <cell r="CU7">
            <v>525</v>
          </cell>
        </row>
        <row r="9">
          <cell r="AI9">
            <v>143</v>
          </cell>
          <cell r="AJ9">
            <v>143</v>
          </cell>
          <cell r="AK9">
            <v>143</v>
          </cell>
          <cell r="AL9">
            <v>143</v>
          </cell>
          <cell r="AP9">
            <v>143</v>
          </cell>
          <cell r="AQ9">
            <v>143</v>
          </cell>
          <cell r="AR9">
            <v>143</v>
          </cell>
          <cell r="AS9">
            <v>572</v>
          </cell>
          <cell r="AV9">
            <v>143</v>
          </cell>
          <cell r="AW9">
            <v>143</v>
          </cell>
          <cell r="AX9">
            <v>143</v>
          </cell>
          <cell r="AY9">
            <v>572</v>
          </cell>
          <cell r="BB9">
            <v>125</v>
          </cell>
          <cell r="BC9">
            <v>126</v>
          </cell>
          <cell r="BD9">
            <v>143</v>
          </cell>
          <cell r="BE9">
            <v>574</v>
          </cell>
          <cell r="BH9">
            <v>72</v>
          </cell>
          <cell r="BI9">
            <v>119</v>
          </cell>
          <cell r="BJ9">
            <v>134</v>
          </cell>
          <cell r="BK9">
            <v>509</v>
          </cell>
          <cell r="BN9">
            <v>98</v>
          </cell>
          <cell r="BO9">
            <v>132</v>
          </cell>
          <cell r="BP9">
            <v>188</v>
          </cell>
          <cell r="BQ9">
            <v>572</v>
          </cell>
          <cell r="BT9">
            <v>218</v>
          </cell>
          <cell r="BU9">
            <v>246</v>
          </cell>
          <cell r="BV9">
            <v>155</v>
          </cell>
          <cell r="BW9">
            <v>526</v>
          </cell>
          <cell r="BZ9">
            <v>217</v>
          </cell>
          <cell r="CA9">
            <v>241</v>
          </cell>
          <cell r="CB9">
            <v>147</v>
          </cell>
          <cell r="CC9">
            <v>519</v>
          </cell>
          <cell r="CF9">
            <v>213</v>
          </cell>
          <cell r="CG9">
            <v>221</v>
          </cell>
          <cell r="CH9">
            <v>248</v>
          </cell>
          <cell r="CI9">
            <v>500</v>
          </cell>
          <cell r="CL9">
            <v>132</v>
          </cell>
          <cell r="CM9">
            <v>123.5</v>
          </cell>
          <cell r="CN9">
            <v>123.5</v>
          </cell>
          <cell r="CO9">
            <v>494</v>
          </cell>
          <cell r="CR9">
            <v>69.75</v>
          </cell>
          <cell r="CS9">
            <v>69.75</v>
          </cell>
          <cell r="CT9">
            <v>69.75</v>
          </cell>
          <cell r="CU9">
            <v>279</v>
          </cell>
          <cell r="CX9">
            <v>168.25</v>
          </cell>
          <cell r="CY9">
            <v>100.95</v>
          </cell>
          <cell r="CZ9">
            <v>168.25</v>
          </cell>
          <cell r="DA9">
            <v>605.70000000000005</v>
          </cell>
          <cell r="DD9">
            <v>130</v>
          </cell>
          <cell r="DE9">
            <v>130</v>
          </cell>
          <cell r="DF9">
            <v>130</v>
          </cell>
          <cell r="DG9">
            <v>520</v>
          </cell>
        </row>
        <row r="10">
          <cell r="AI10">
            <v>1250</v>
          </cell>
          <cell r="AJ10">
            <v>1250</v>
          </cell>
          <cell r="AK10">
            <v>1250</v>
          </cell>
          <cell r="AL10">
            <v>1250</v>
          </cell>
          <cell r="AP10">
            <v>1250</v>
          </cell>
          <cell r="AQ10">
            <v>1250</v>
          </cell>
          <cell r="AR10">
            <v>1250</v>
          </cell>
          <cell r="AS10">
            <v>5000</v>
          </cell>
          <cell r="AV10">
            <v>1250</v>
          </cell>
          <cell r="AW10">
            <v>1250</v>
          </cell>
          <cell r="AX10">
            <v>1250</v>
          </cell>
          <cell r="AY10">
            <v>5000</v>
          </cell>
          <cell r="BB10">
            <v>1411</v>
          </cell>
          <cell r="BC10">
            <v>1349</v>
          </cell>
          <cell r="BD10">
            <v>1204</v>
          </cell>
          <cell r="BE10">
            <v>5381</v>
          </cell>
          <cell r="BH10">
            <v>1484</v>
          </cell>
          <cell r="BI10">
            <v>1322</v>
          </cell>
          <cell r="BJ10">
            <v>1439</v>
          </cell>
          <cell r="BK10">
            <v>5623</v>
          </cell>
          <cell r="BN10">
            <v>1174</v>
          </cell>
          <cell r="BO10">
            <v>1067</v>
          </cell>
          <cell r="BP10">
            <v>1272</v>
          </cell>
          <cell r="BQ10">
            <v>4532</v>
          </cell>
          <cell r="BT10">
            <v>1045</v>
          </cell>
          <cell r="BU10">
            <v>987</v>
          </cell>
          <cell r="BV10">
            <v>1013</v>
          </cell>
          <cell r="BW10">
            <v>4025</v>
          </cell>
          <cell r="BZ10">
            <v>1031</v>
          </cell>
          <cell r="CA10">
            <v>1016</v>
          </cell>
          <cell r="CB10">
            <v>953</v>
          </cell>
          <cell r="CC10">
            <v>3993</v>
          </cell>
          <cell r="CF10">
            <v>973</v>
          </cell>
          <cell r="CG10">
            <v>955</v>
          </cell>
          <cell r="CH10">
            <v>931</v>
          </cell>
          <cell r="CI10">
            <v>3701</v>
          </cell>
          <cell r="CL10">
            <v>854.75</v>
          </cell>
          <cell r="CM10">
            <v>854.75</v>
          </cell>
          <cell r="CN10">
            <v>854.75</v>
          </cell>
          <cell r="CO10">
            <v>3419</v>
          </cell>
          <cell r="CR10">
            <v>812.25</v>
          </cell>
          <cell r="CS10">
            <v>812.25</v>
          </cell>
          <cell r="CT10">
            <v>812.25</v>
          </cell>
          <cell r="CU10">
            <v>3249</v>
          </cell>
          <cell r="CX10">
            <v>783.75</v>
          </cell>
          <cell r="CY10">
            <v>783.75</v>
          </cell>
          <cell r="CZ10">
            <v>783.75</v>
          </cell>
          <cell r="DA10">
            <v>3135</v>
          </cell>
          <cell r="DD10">
            <v>695.5</v>
          </cell>
          <cell r="DE10">
            <v>695.5</v>
          </cell>
          <cell r="DF10">
            <v>695.5</v>
          </cell>
          <cell r="DG10">
            <v>2782</v>
          </cell>
        </row>
        <row r="11">
          <cell r="AI11">
            <v>260</v>
          </cell>
          <cell r="AJ11">
            <v>260</v>
          </cell>
          <cell r="AK11">
            <v>260</v>
          </cell>
          <cell r="AL11">
            <v>260</v>
          </cell>
          <cell r="AP11">
            <v>260</v>
          </cell>
          <cell r="AQ11">
            <v>260</v>
          </cell>
          <cell r="AR11">
            <v>260</v>
          </cell>
          <cell r="AS11">
            <v>1040</v>
          </cell>
          <cell r="AV11">
            <v>261</v>
          </cell>
          <cell r="AW11">
            <v>261</v>
          </cell>
          <cell r="AX11">
            <v>261</v>
          </cell>
          <cell r="AY11">
            <v>1044</v>
          </cell>
          <cell r="BB11">
            <v>278</v>
          </cell>
          <cell r="BC11">
            <v>275</v>
          </cell>
          <cell r="BD11">
            <v>261</v>
          </cell>
          <cell r="BE11">
            <v>1099</v>
          </cell>
          <cell r="BH11">
            <v>336</v>
          </cell>
          <cell r="BI11">
            <v>320</v>
          </cell>
          <cell r="BJ11">
            <v>353</v>
          </cell>
          <cell r="BK11">
            <v>1368</v>
          </cell>
          <cell r="BN11">
            <v>262</v>
          </cell>
          <cell r="BO11">
            <v>260</v>
          </cell>
          <cell r="BP11">
            <v>292</v>
          </cell>
          <cell r="BQ11">
            <v>1065</v>
          </cell>
          <cell r="BT11">
            <v>249</v>
          </cell>
          <cell r="BU11">
            <v>243</v>
          </cell>
          <cell r="BV11">
            <v>231</v>
          </cell>
          <cell r="BW11">
            <v>960</v>
          </cell>
          <cell r="BZ11">
            <v>288</v>
          </cell>
          <cell r="CA11">
            <v>291</v>
          </cell>
          <cell r="CB11">
            <v>234</v>
          </cell>
          <cell r="CC11">
            <v>1092</v>
          </cell>
          <cell r="CF11">
            <v>328</v>
          </cell>
          <cell r="CG11">
            <v>318</v>
          </cell>
          <cell r="CH11">
            <v>279</v>
          </cell>
          <cell r="CI11">
            <v>1243</v>
          </cell>
          <cell r="CL11">
            <v>323</v>
          </cell>
          <cell r="CM11">
            <v>323</v>
          </cell>
          <cell r="CN11">
            <v>323</v>
          </cell>
          <cell r="CO11">
            <v>1292</v>
          </cell>
          <cell r="CR11">
            <v>312.25</v>
          </cell>
          <cell r="CS11">
            <v>312.25</v>
          </cell>
          <cell r="CT11">
            <v>312.25</v>
          </cell>
          <cell r="CU11">
            <v>1249</v>
          </cell>
          <cell r="CX11">
            <v>297</v>
          </cell>
          <cell r="CY11">
            <v>297</v>
          </cell>
          <cell r="CZ11">
            <v>297</v>
          </cell>
          <cell r="DA11">
            <v>1188</v>
          </cell>
          <cell r="DD11">
            <v>281.25</v>
          </cell>
          <cell r="DE11">
            <v>281.25</v>
          </cell>
          <cell r="DF11">
            <v>281.25</v>
          </cell>
          <cell r="DG11">
            <v>1125</v>
          </cell>
        </row>
        <row r="12">
          <cell r="AI12">
            <v>18</v>
          </cell>
          <cell r="AJ12">
            <v>18</v>
          </cell>
          <cell r="AK12">
            <v>18</v>
          </cell>
          <cell r="AL12">
            <v>18</v>
          </cell>
          <cell r="AP12">
            <v>18</v>
          </cell>
          <cell r="AQ12">
            <v>18</v>
          </cell>
          <cell r="AR12">
            <v>18</v>
          </cell>
          <cell r="AS12">
            <v>72</v>
          </cell>
          <cell r="AV12">
            <v>18</v>
          </cell>
          <cell r="AW12">
            <v>18</v>
          </cell>
          <cell r="AX12">
            <v>18</v>
          </cell>
          <cell r="AY12">
            <v>72</v>
          </cell>
          <cell r="BB12">
            <v>30</v>
          </cell>
          <cell r="BC12">
            <v>21</v>
          </cell>
          <cell r="BD12">
            <v>18</v>
          </cell>
          <cell r="BE12">
            <v>93</v>
          </cell>
          <cell r="BH12">
            <v>73</v>
          </cell>
          <cell r="BI12">
            <v>50</v>
          </cell>
          <cell r="BJ12">
            <v>43</v>
          </cell>
          <cell r="BK12">
            <v>288</v>
          </cell>
          <cell r="BN12">
            <v>94</v>
          </cell>
          <cell r="BO12">
            <v>18</v>
          </cell>
          <cell r="BP12">
            <v>35</v>
          </cell>
          <cell r="BQ12">
            <v>281</v>
          </cell>
          <cell r="BT12">
            <v>131</v>
          </cell>
          <cell r="BU12">
            <v>128</v>
          </cell>
          <cell r="BV12">
            <v>124</v>
          </cell>
          <cell r="BW12">
            <v>510</v>
          </cell>
          <cell r="BZ12">
            <v>126</v>
          </cell>
          <cell r="CA12">
            <v>120</v>
          </cell>
          <cell r="CB12">
            <v>109</v>
          </cell>
          <cell r="CC12">
            <v>478</v>
          </cell>
          <cell r="CF12">
            <v>155</v>
          </cell>
          <cell r="CG12">
            <v>123</v>
          </cell>
          <cell r="CH12">
            <v>120</v>
          </cell>
          <cell r="CI12">
            <v>535</v>
          </cell>
          <cell r="CL12">
            <v>145.75</v>
          </cell>
          <cell r="CM12">
            <v>145.75</v>
          </cell>
          <cell r="CN12">
            <v>145.75</v>
          </cell>
          <cell r="CO12">
            <v>583</v>
          </cell>
          <cell r="CR12">
            <v>148.5</v>
          </cell>
          <cell r="CS12">
            <v>148.5</v>
          </cell>
          <cell r="CT12">
            <v>148.5</v>
          </cell>
          <cell r="CU12">
            <v>594</v>
          </cell>
          <cell r="CX12">
            <v>141</v>
          </cell>
          <cell r="CY12">
            <v>141</v>
          </cell>
          <cell r="CZ12">
            <v>141</v>
          </cell>
          <cell r="DA12">
            <v>564</v>
          </cell>
          <cell r="DD12">
            <v>135</v>
          </cell>
          <cell r="DE12">
            <v>135</v>
          </cell>
          <cell r="DF12">
            <v>135</v>
          </cell>
          <cell r="DG12">
            <v>540</v>
          </cell>
        </row>
        <row r="13">
          <cell r="AI13">
            <v>850</v>
          </cell>
          <cell r="AJ13">
            <v>850</v>
          </cell>
          <cell r="AK13">
            <v>850</v>
          </cell>
          <cell r="AL13">
            <v>850</v>
          </cell>
          <cell r="AP13">
            <v>850</v>
          </cell>
          <cell r="AQ13">
            <v>850</v>
          </cell>
          <cell r="AR13">
            <v>850</v>
          </cell>
          <cell r="AS13">
            <v>3400</v>
          </cell>
          <cell r="AV13">
            <v>850</v>
          </cell>
          <cell r="AW13">
            <v>850</v>
          </cell>
          <cell r="AX13">
            <v>850</v>
          </cell>
          <cell r="AY13">
            <v>3400</v>
          </cell>
          <cell r="BB13">
            <v>833</v>
          </cell>
          <cell r="BC13">
            <v>912</v>
          </cell>
          <cell r="BD13">
            <v>915</v>
          </cell>
          <cell r="BE13">
            <v>3443</v>
          </cell>
          <cell r="BH13">
            <v>767</v>
          </cell>
          <cell r="BI13">
            <v>851</v>
          </cell>
          <cell r="BJ13">
            <v>922</v>
          </cell>
          <cell r="BK13">
            <v>3321</v>
          </cell>
          <cell r="BN13">
            <v>564</v>
          </cell>
          <cell r="BO13">
            <v>589</v>
          </cell>
          <cell r="BP13">
            <v>726</v>
          </cell>
          <cell r="BQ13">
            <v>2535</v>
          </cell>
          <cell r="BT13">
            <v>538</v>
          </cell>
          <cell r="BU13">
            <v>553</v>
          </cell>
          <cell r="BV13">
            <v>555</v>
          </cell>
          <cell r="BW13">
            <v>2179</v>
          </cell>
          <cell r="BZ13">
            <v>510</v>
          </cell>
          <cell r="CA13">
            <v>523</v>
          </cell>
          <cell r="CB13">
            <v>522</v>
          </cell>
          <cell r="CC13">
            <v>2041</v>
          </cell>
          <cell r="CF13">
            <v>414</v>
          </cell>
          <cell r="CG13">
            <v>426</v>
          </cell>
          <cell r="CH13">
            <v>456</v>
          </cell>
          <cell r="CI13">
            <v>1687</v>
          </cell>
          <cell r="CL13">
            <v>413.5</v>
          </cell>
          <cell r="CM13">
            <v>413.5</v>
          </cell>
          <cell r="CN13">
            <v>413.5</v>
          </cell>
          <cell r="CO13">
            <v>1654</v>
          </cell>
          <cell r="CR13">
            <v>392</v>
          </cell>
          <cell r="CS13">
            <v>392</v>
          </cell>
          <cell r="CT13">
            <v>392</v>
          </cell>
          <cell r="CU13">
            <v>1568</v>
          </cell>
          <cell r="CX13">
            <v>360.75</v>
          </cell>
          <cell r="CY13">
            <v>360.75</v>
          </cell>
          <cell r="CZ13">
            <v>360.75</v>
          </cell>
          <cell r="DA13">
            <v>1443</v>
          </cell>
          <cell r="DD13">
            <v>308.5</v>
          </cell>
          <cell r="DE13">
            <v>308.5</v>
          </cell>
          <cell r="DF13">
            <v>308.5</v>
          </cell>
          <cell r="DG13">
            <v>1234</v>
          </cell>
        </row>
        <row r="14">
          <cell r="AI14">
            <v>0</v>
          </cell>
          <cell r="AJ14">
            <v>0</v>
          </cell>
          <cell r="AK14">
            <v>0</v>
          </cell>
          <cell r="AL14">
            <v>0</v>
          </cell>
          <cell r="AP14">
            <v>0</v>
          </cell>
          <cell r="AQ14">
            <v>0</v>
          </cell>
          <cell r="AR14">
            <v>0</v>
          </cell>
          <cell r="AS14">
            <v>0</v>
          </cell>
          <cell r="AV14">
            <v>0</v>
          </cell>
          <cell r="AW14">
            <v>0</v>
          </cell>
          <cell r="AX14">
            <v>0</v>
          </cell>
          <cell r="AY14">
            <v>0</v>
          </cell>
          <cell r="BB14">
            <v>0</v>
          </cell>
          <cell r="BC14">
            <v>0</v>
          </cell>
          <cell r="BD14">
            <v>0</v>
          </cell>
          <cell r="BE14">
            <v>0</v>
          </cell>
          <cell r="BH14">
            <v>0</v>
          </cell>
          <cell r="BI14">
            <v>0</v>
          </cell>
          <cell r="BJ14">
            <v>0</v>
          </cell>
          <cell r="BK14">
            <v>0</v>
          </cell>
          <cell r="BN14">
            <v>0</v>
          </cell>
          <cell r="BO14">
            <v>0</v>
          </cell>
          <cell r="BP14">
            <v>0</v>
          </cell>
          <cell r="BQ14">
            <v>0</v>
          </cell>
          <cell r="BT14">
            <v>0</v>
          </cell>
          <cell r="BU14">
            <v>0</v>
          </cell>
          <cell r="BV14">
            <v>0</v>
          </cell>
          <cell r="BW14">
            <v>0</v>
          </cell>
          <cell r="BZ14">
            <v>0</v>
          </cell>
          <cell r="CA14">
            <v>0</v>
          </cell>
          <cell r="CB14">
            <v>0</v>
          </cell>
          <cell r="CC14">
            <v>0</v>
          </cell>
          <cell r="CF14">
            <v>0</v>
          </cell>
          <cell r="CG14">
            <v>0</v>
          </cell>
          <cell r="CH14">
            <v>0</v>
          </cell>
          <cell r="CI14">
            <v>86</v>
          </cell>
          <cell r="CL14">
            <v>31</v>
          </cell>
          <cell r="CM14">
            <v>31</v>
          </cell>
          <cell r="CN14">
            <v>31</v>
          </cell>
          <cell r="CO14">
            <v>124</v>
          </cell>
          <cell r="CR14">
            <v>30.5</v>
          </cell>
          <cell r="CS14">
            <v>30.5</v>
          </cell>
          <cell r="CT14">
            <v>30.5</v>
          </cell>
          <cell r="CU14">
            <v>122</v>
          </cell>
          <cell r="CX14">
            <v>30</v>
          </cell>
          <cell r="CY14">
            <v>30</v>
          </cell>
          <cell r="CZ14">
            <v>30</v>
          </cell>
          <cell r="DA14">
            <v>120</v>
          </cell>
          <cell r="DD14">
            <v>29.5</v>
          </cell>
          <cell r="DE14">
            <v>29.5</v>
          </cell>
          <cell r="DF14">
            <v>29.5</v>
          </cell>
          <cell r="DG14">
            <v>118</v>
          </cell>
        </row>
        <row r="15">
          <cell r="AI15">
            <v>91</v>
          </cell>
          <cell r="AJ15">
            <v>91</v>
          </cell>
          <cell r="AK15">
            <v>91</v>
          </cell>
          <cell r="AL15">
            <v>91</v>
          </cell>
          <cell r="AP15">
            <v>91</v>
          </cell>
          <cell r="AQ15">
            <v>91</v>
          </cell>
          <cell r="AR15">
            <v>91</v>
          </cell>
          <cell r="AS15">
            <v>364</v>
          </cell>
          <cell r="AV15">
            <v>91</v>
          </cell>
          <cell r="AW15">
            <v>91</v>
          </cell>
          <cell r="AX15">
            <v>91</v>
          </cell>
          <cell r="AY15">
            <v>364</v>
          </cell>
          <cell r="BB15">
            <v>109</v>
          </cell>
          <cell r="BC15">
            <v>99</v>
          </cell>
          <cell r="BD15">
            <v>91</v>
          </cell>
          <cell r="BE15">
            <v>410</v>
          </cell>
          <cell r="BH15">
            <v>102</v>
          </cell>
          <cell r="BI15">
            <v>94</v>
          </cell>
          <cell r="BJ15">
            <v>106</v>
          </cell>
          <cell r="BK15">
            <v>397</v>
          </cell>
          <cell r="BN15">
            <v>100</v>
          </cell>
          <cell r="BO15">
            <v>95</v>
          </cell>
          <cell r="BP15">
            <v>90</v>
          </cell>
          <cell r="BQ15">
            <v>376</v>
          </cell>
          <cell r="BT15">
            <v>87</v>
          </cell>
          <cell r="BU15">
            <v>84</v>
          </cell>
          <cell r="BV15">
            <v>84</v>
          </cell>
          <cell r="BW15">
            <v>342</v>
          </cell>
          <cell r="BZ15">
            <v>90</v>
          </cell>
          <cell r="CA15">
            <v>92</v>
          </cell>
          <cell r="CB15">
            <v>78</v>
          </cell>
          <cell r="CC15">
            <v>345</v>
          </cell>
          <cell r="CF15">
            <v>90</v>
          </cell>
          <cell r="CG15">
            <v>78</v>
          </cell>
          <cell r="CH15">
            <v>82</v>
          </cell>
          <cell r="CI15">
            <v>333</v>
          </cell>
          <cell r="CL15">
            <v>69.5</v>
          </cell>
          <cell r="CM15">
            <v>69.5</v>
          </cell>
          <cell r="CN15">
            <v>69.5</v>
          </cell>
          <cell r="CO15">
            <v>278</v>
          </cell>
          <cell r="CR15">
            <v>57.25</v>
          </cell>
          <cell r="CS15">
            <v>57.25</v>
          </cell>
          <cell r="CT15">
            <v>57.25</v>
          </cell>
          <cell r="CU15">
            <v>229</v>
          </cell>
          <cell r="CX15">
            <v>55.25</v>
          </cell>
          <cell r="CY15">
            <v>55.25</v>
          </cell>
          <cell r="CZ15">
            <v>55.25</v>
          </cell>
          <cell r="DA15">
            <v>221</v>
          </cell>
          <cell r="DD15">
            <v>52.5</v>
          </cell>
          <cell r="DE15">
            <v>52.5</v>
          </cell>
          <cell r="DF15">
            <v>52.5</v>
          </cell>
          <cell r="DG15">
            <v>210</v>
          </cell>
        </row>
        <row r="16">
          <cell r="AI16">
            <v>0</v>
          </cell>
          <cell r="AJ16">
            <v>0</v>
          </cell>
          <cell r="AK16">
            <v>0</v>
          </cell>
          <cell r="AL16">
            <v>0</v>
          </cell>
          <cell r="AP16">
            <v>0</v>
          </cell>
          <cell r="AQ16">
            <v>0</v>
          </cell>
          <cell r="AR16">
            <v>0</v>
          </cell>
          <cell r="AS16">
            <v>0</v>
          </cell>
          <cell r="AV16">
            <v>0</v>
          </cell>
          <cell r="AW16">
            <v>0</v>
          </cell>
          <cell r="AX16">
            <v>0</v>
          </cell>
          <cell r="AY16">
            <v>0</v>
          </cell>
          <cell r="BB16">
            <v>0</v>
          </cell>
          <cell r="BC16">
            <v>0</v>
          </cell>
          <cell r="BD16">
            <v>0</v>
          </cell>
          <cell r="BE16">
            <v>0</v>
          </cell>
          <cell r="BH16">
            <v>0</v>
          </cell>
          <cell r="BI16">
            <v>0</v>
          </cell>
          <cell r="BJ16">
            <v>0</v>
          </cell>
          <cell r="BK16">
            <v>0</v>
          </cell>
          <cell r="BN16">
            <v>0</v>
          </cell>
          <cell r="BO16">
            <v>0</v>
          </cell>
          <cell r="BP16">
            <v>0</v>
          </cell>
          <cell r="BQ16">
            <v>0</v>
          </cell>
          <cell r="BT16">
            <v>0</v>
          </cell>
          <cell r="BU16">
            <v>0</v>
          </cell>
          <cell r="BV16">
            <v>0</v>
          </cell>
          <cell r="BW16">
            <v>0</v>
          </cell>
          <cell r="BZ16">
            <v>0</v>
          </cell>
          <cell r="CA16">
            <v>0</v>
          </cell>
          <cell r="CB16">
            <v>0</v>
          </cell>
          <cell r="CC16">
            <v>0</v>
          </cell>
          <cell r="CF16">
            <v>0</v>
          </cell>
          <cell r="CG16">
            <v>0</v>
          </cell>
          <cell r="CH16">
            <v>0</v>
          </cell>
          <cell r="CI16">
            <v>0</v>
          </cell>
          <cell r="CL16">
            <v>0</v>
          </cell>
          <cell r="CM16">
            <v>0</v>
          </cell>
          <cell r="CN16">
            <v>0</v>
          </cell>
          <cell r="CO16">
            <v>0</v>
          </cell>
          <cell r="CR16">
            <v>0</v>
          </cell>
          <cell r="CS16">
            <v>0</v>
          </cell>
          <cell r="CT16">
            <v>0</v>
          </cell>
          <cell r="CU16">
            <v>0</v>
          </cell>
          <cell r="CX16">
            <v>0</v>
          </cell>
          <cell r="CY16">
            <v>0</v>
          </cell>
          <cell r="CZ16">
            <v>0</v>
          </cell>
          <cell r="DA16">
            <v>0</v>
          </cell>
          <cell r="DD16">
            <v>0</v>
          </cell>
          <cell r="DE16">
            <v>0</v>
          </cell>
          <cell r="DF16">
            <v>0</v>
          </cell>
          <cell r="DG16">
            <v>0</v>
          </cell>
        </row>
        <row r="17">
          <cell r="AI17">
            <v>0</v>
          </cell>
          <cell r="AJ17">
            <v>0</v>
          </cell>
          <cell r="AK17">
            <v>0</v>
          </cell>
          <cell r="AL17">
            <v>0</v>
          </cell>
          <cell r="AP17">
            <v>0</v>
          </cell>
          <cell r="AQ17">
            <v>0</v>
          </cell>
          <cell r="AR17">
            <v>0</v>
          </cell>
          <cell r="AS17">
            <v>0</v>
          </cell>
          <cell r="AV17">
            <v>0</v>
          </cell>
          <cell r="AW17">
            <v>0</v>
          </cell>
          <cell r="AX17">
            <v>0</v>
          </cell>
          <cell r="AY17">
            <v>0</v>
          </cell>
          <cell r="BB17">
            <v>0</v>
          </cell>
          <cell r="BC17">
            <v>0</v>
          </cell>
          <cell r="BD17">
            <v>0</v>
          </cell>
          <cell r="BE17">
            <v>0</v>
          </cell>
          <cell r="BH17">
            <v>201</v>
          </cell>
          <cell r="BI17">
            <v>202</v>
          </cell>
          <cell r="BJ17">
            <v>168</v>
          </cell>
          <cell r="BK17">
            <v>741</v>
          </cell>
          <cell r="BN17">
            <v>192</v>
          </cell>
          <cell r="BO17">
            <v>194</v>
          </cell>
          <cell r="BP17">
            <v>168</v>
          </cell>
          <cell r="BQ17">
            <v>732</v>
          </cell>
          <cell r="BT17">
            <v>207</v>
          </cell>
          <cell r="BU17">
            <v>201</v>
          </cell>
          <cell r="BV17">
            <v>171</v>
          </cell>
          <cell r="BW17">
            <v>788</v>
          </cell>
          <cell r="BZ17">
            <v>182</v>
          </cell>
          <cell r="CA17">
            <v>191</v>
          </cell>
          <cell r="CB17">
            <v>185</v>
          </cell>
          <cell r="CC17">
            <v>740</v>
          </cell>
          <cell r="CF17">
            <v>166</v>
          </cell>
          <cell r="CG17">
            <v>173</v>
          </cell>
          <cell r="CH17">
            <v>161</v>
          </cell>
          <cell r="CI17">
            <v>646</v>
          </cell>
          <cell r="CL17">
            <v>160.75</v>
          </cell>
          <cell r="CM17">
            <v>160.75</v>
          </cell>
          <cell r="CN17">
            <v>160.75</v>
          </cell>
          <cell r="CO17">
            <v>643</v>
          </cell>
          <cell r="CR17">
            <v>149.25</v>
          </cell>
          <cell r="CS17">
            <v>149.25</v>
          </cell>
          <cell r="CT17">
            <v>149.25</v>
          </cell>
          <cell r="CU17">
            <v>597</v>
          </cell>
          <cell r="CX17">
            <v>130.5</v>
          </cell>
          <cell r="CY17">
            <v>130.5</v>
          </cell>
          <cell r="CZ17">
            <v>130.5</v>
          </cell>
          <cell r="DA17">
            <v>522</v>
          </cell>
          <cell r="DD17">
            <v>117.25</v>
          </cell>
          <cell r="DE17">
            <v>117.25</v>
          </cell>
          <cell r="DF17">
            <v>117.25</v>
          </cell>
          <cell r="DG17">
            <v>469</v>
          </cell>
        </row>
        <row r="18">
          <cell r="AI18">
            <v>0</v>
          </cell>
          <cell r="AJ18">
            <v>0</v>
          </cell>
          <cell r="AK18">
            <v>0</v>
          </cell>
          <cell r="AL18">
            <v>0</v>
          </cell>
          <cell r="AP18">
            <v>0</v>
          </cell>
          <cell r="AQ18">
            <v>0</v>
          </cell>
          <cell r="AR18">
            <v>0</v>
          </cell>
          <cell r="AS18">
            <v>0</v>
          </cell>
          <cell r="AV18">
            <v>0</v>
          </cell>
          <cell r="AW18">
            <v>0</v>
          </cell>
          <cell r="AX18">
            <v>0</v>
          </cell>
          <cell r="AY18">
            <v>0</v>
          </cell>
          <cell r="BB18">
            <v>0</v>
          </cell>
          <cell r="BC18">
            <v>0</v>
          </cell>
          <cell r="BD18">
            <v>0</v>
          </cell>
          <cell r="BE18">
            <v>0</v>
          </cell>
          <cell r="BH18">
            <v>0</v>
          </cell>
          <cell r="BI18">
            <v>0</v>
          </cell>
          <cell r="BJ18">
            <v>0</v>
          </cell>
          <cell r="BK18">
            <v>0</v>
          </cell>
          <cell r="BN18">
            <v>0</v>
          </cell>
          <cell r="BO18">
            <v>0</v>
          </cell>
          <cell r="BP18">
            <v>0</v>
          </cell>
          <cell r="BQ18">
            <v>0</v>
          </cell>
          <cell r="BT18">
            <v>0</v>
          </cell>
          <cell r="BU18">
            <v>0</v>
          </cell>
          <cell r="BV18">
            <v>0</v>
          </cell>
          <cell r="BW18">
            <v>0</v>
          </cell>
          <cell r="BZ18">
            <v>0</v>
          </cell>
          <cell r="CA18">
            <v>0</v>
          </cell>
          <cell r="CB18">
            <v>0</v>
          </cell>
          <cell r="CC18">
            <v>0</v>
          </cell>
          <cell r="CF18">
            <v>0</v>
          </cell>
          <cell r="CG18">
            <v>0</v>
          </cell>
          <cell r="CH18">
            <v>0</v>
          </cell>
          <cell r="CI18">
            <v>0</v>
          </cell>
          <cell r="CL18">
            <v>75.150000000000006</v>
          </cell>
          <cell r="CM18">
            <v>75.150000000000006</v>
          </cell>
          <cell r="CN18">
            <v>75.150000000000006</v>
          </cell>
          <cell r="CO18">
            <v>300.60000000000002</v>
          </cell>
          <cell r="CR18">
            <v>75.150000000000006</v>
          </cell>
          <cell r="CS18">
            <v>75.150000000000006</v>
          </cell>
          <cell r="CT18">
            <v>75.150000000000006</v>
          </cell>
          <cell r="CU18">
            <v>300.60000000000002</v>
          </cell>
          <cell r="CX18">
            <v>75.150000000000006</v>
          </cell>
          <cell r="CY18">
            <v>75.150000000000006</v>
          </cell>
          <cell r="CZ18">
            <v>75.150000000000006</v>
          </cell>
          <cell r="DA18">
            <v>300.60000000000002</v>
          </cell>
          <cell r="DD18">
            <v>75.150000000000006</v>
          </cell>
          <cell r="DE18">
            <v>75.150000000000006</v>
          </cell>
          <cell r="DF18">
            <v>75.150000000000006</v>
          </cell>
          <cell r="DG18">
            <v>300.60000000000002</v>
          </cell>
        </row>
        <row r="21">
          <cell r="AI21">
            <v>570</v>
          </cell>
          <cell r="AJ21">
            <v>570</v>
          </cell>
          <cell r="AK21">
            <v>570</v>
          </cell>
          <cell r="AL21">
            <v>570</v>
          </cell>
          <cell r="AP21">
            <v>570</v>
          </cell>
          <cell r="AQ21">
            <v>570</v>
          </cell>
          <cell r="AR21">
            <v>570</v>
          </cell>
          <cell r="AS21">
            <v>2280</v>
          </cell>
          <cell r="AV21">
            <v>570</v>
          </cell>
          <cell r="AW21">
            <v>570</v>
          </cell>
          <cell r="AX21">
            <v>570</v>
          </cell>
          <cell r="AY21">
            <v>2280</v>
          </cell>
          <cell r="BB21">
            <v>448</v>
          </cell>
          <cell r="BC21">
            <v>553</v>
          </cell>
          <cell r="BD21">
            <v>590</v>
          </cell>
          <cell r="BE21">
            <v>2140</v>
          </cell>
          <cell r="BH21">
            <v>546</v>
          </cell>
          <cell r="BI21">
            <v>574</v>
          </cell>
          <cell r="BJ21">
            <v>575</v>
          </cell>
          <cell r="BK21">
            <v>2282</v>
          </cell>
          <cell r="BN21">
            <v>498</v>
          </cell>
          <cell r="BO21">
            <v>555</v>
          </cell>
          <cell r="BP21">
            <v>587</v>
          </cell>
          <cell r="BQ21">
            <v>2219</v>
          </cell>
          <cell r="BT21">
            <v>413</v>
          </cell>
          <cell r="BU21">
            <v>460</v>
          </cell>
          <cell r="BV21">
            <v>550</v>
          </cell>
          <cell r="BW21">
            <v>1971</v>
          </cell>
          <cell r="BZ21">
            <v>479</v>
          </cell>
          <cell r="CA21">
            <v>520</v>
          </cell>
          <cell r="CB21">
            <v>544</v>
          </cell>
          <cell r="CC21">
            <v>2063</v>
          </cell>
          <cell r="CF21">
            <v>436</v>
          </cell>
          <cell r="CG21">
            <v>549</v>
          </cell>
          <cell r="CH21">
            <v>494</v>
          </cell>
          <cell r="CI21">
            <v>2004</v>
          </cell>
          <cell r="CL21">
            <v>539.75</v>
          </cell>
          <cell r="CM21">
            <v>539.75</v>
          </cell>
          <cell r="CN21">
            <v>539.75</v>
          </cell>
          <cell r="CO21">
            <v>2159</v>
          </cell>
          <cell r="CR21">
            <v>510.25</v>
          </cell>
          <cell r="CS21">
            <v>510.25</v>
          </cell>
          <cell r="CT21">
            <v>510.25</v>
          </cell>
          <cell r="CU21">
            <v>2041</v>
          </cell>
          <cell r="CX21">
            <v>524</v>
          </cell>
          <cell r="CY21">
            <v>524</v>
          </cell>
          <cell r="CZ21">
            <v>524</v>
          </cell>
          <cell r="DA21">
            <v>2096</v>
          </cell>
          <cell r="DD21">
            <v>376.5</v>
          </cell>
          <cell r="DE21">
            <v>376.5</v>
          </cell>
          <cell r="DF21">
            <v>376.5</v>
          </cell>
          <cell r="DG21">
            <v>1506</v>
          </cell>
        </row>
        <row r="22">
          <cell r="AI22">
            <v>0</v>
          </cell>
          <cell r="AJ22">
            <v>0</v>
          </cell>
          <cell r="AK22">
            <v>0</v>
          </cell>
          <cell r="AL22">
            <v>0</v>
          </cell>
          <cell r="AP22">
            <v>0</v>
          </cell>
          <cell r="AQ22">
            <v>0</v>
          </cell>
          <cell r="AR22">
            <v>0</v>
          </cell>
          <cell r="AS22">
            <v>0</v>
          </cell>
          <cell r="AV22">
            <v>0</v>
          </cell>
          <cell r="AW22">
            <v>0</v>
          </cell>
          <cell r="AX22">
            <v>0</v>
          </cell>
          <cell r="AY22">
            <v>0</v>
          </cell>
          <cell r="BB22">
            <v>0</v>
          </cell>
          <cell r="BC22">
            <v>0</v>
          </cell>
          <cell r="BD22">
            <v>0</v>
          </cell>
          <cell r="BE22">
            <v>0</v>
          </cell>
          <cell r="BH22">
            <v>0</v>
          </cell>
          <cell r="BI22">
            <v>0</v>
          </cell>
          <cell r="BJ22">
            <v>0</v>
          </cell>
          <cell r="BK22">
            <v>0</v>
          </cell>
          <cell r="BN22">
            <v>0</v>
          </cell>
          <cell r="BO22">
            <v>0</v>
          </cell>
          <cell r="BP22">
            <v>0</v>
          </cell>
          <cell r="BQ22">
            <v>0</v>
          </cell>
          <cell r="BT22">
            <v>0</v>
          </cell>
          <cell r="BU22">
            <v>0</v>
          </cell>
          <cell r="BV22">
            <v>0</v>
          </cell>
          <cell r="BW22">
            <v>69</v>
          </cell>
          <cell r="BZ22">
            <v>173</v>
          </cell>
          <cell r="CA22">
            <v>180</v>
          </cell>
          <cell r="CB22">
            <v>178</v>
          </cell>
          <cell r="CC22">
            <v>704</v>
          </cell>
          <cell r="CF22">
            <v>161</v>
          </cell>
          <cell r="CG22">
            <v>165</v>
          </cell>
          <cell r="CH22">
            <v>171</v>
          </cell>
          <cell r="CI22">
            <v>631</v>
          </cell>
          <cell r="CL22">
            <v>171.75</v>
          </cell>
          <cell r="CM22">
            <v>171.75</v>
          </cell>
          <cell r="CN22">
            <v>171.75</v>
          </cell>
          <cell r="CO22">
            <v>687</v>
          </cell>
          <cell r="CR22">
            <v>162.75</v>
          </cell>
          <cell r="CS22">
            <v>162.75</v>
          </cell>
          <cell r="CT22">
            <v>162.75</v>
          </cell>
          <cell r="CU22">
            <v>651</v>
          </cell>
          <cell r="CX22">
            <v>154.5</v>
          </cell>
          <cell r="CY22">
            <v>154.5</v>
          </cell>
          <cell r="CZ22">
            <v>154.5</v>
          </cell>
          <cell r="DA22">
            <v>618</v>
          </cell>
          <cell r="DD22">
            <v>147</v>
          </cell>
          <cell r="DE22">
            <v>147</v>
          </cell>
          <cell r="DF22">
            <v>147</v>
          </cell>
          <cell r="DG22">
            <v>588</v>
          </cell>
        </row>
        <row r="23">
          <cell r="AI23">
            <v>370</v>
          </cell>
          <cell r="AJ23">
            <v>370</v>
          </cell>
          <cell r="AK23">
            <v>370</v>
          </cell>
          <cell r="AL23">
            <v>370</v>
          </cell>
          <cell r="AP23">
            <v>370</v>
          </cell>
          <cell r="AQ23">
            <v>370</v>
          </cell>
          <cell r="AR23">
            <v>370</v>
          </cell>
          <cell r="AS23">
            <v>1480</v>
          </cell>
          <cell r="AV23">
            <v>359</v>
          </cell>
          <cell r="AW23">
            <v>359</v>
          </cell>
          <cell r="AX23">
            <v>359</v>
          </cell>
          <cell r="AY23">
            <v>1436</v>
          </cell>
          <cell r="BB23">
            <v>339</v>
          </cell>
          <cell r="BC23">
            <v>357</v>
          </cell>
          <cell r="BD23">
            <v>359</v>
          </cell>
          <cell r="BE23">
            <v>1455</v>
          </cell>
          <cell r="BH23">
            <v>404</v>
          </cell>
          <cell r="BI23">
            <v>391</v>
          </cell>
          <cell r="BJ23">
            <v>413</v>
          </cell>
          <cell r="BK23">
            <v>1603</v>
          </cell>
          <cell r="BN23">
            <v>371</v>
          </cell>
          <cell r="BO23">
            <v>343</v>
          </cell>
          <cell r="BP23">
            <v>394</v>
          </cell>
          <cell r="BQ23">
            <v>1511</v>
          </cell>
          <cell r="BT23">
            <v>288</v>
          </cell>
          <cell r="BU23">
            <v>275</v>
          </cell>
          <cell r="BV23">
            <v>383</v>
          </cell>
          <cell r="BW23">
            <v>1235</v>
          </cell>
          <cell r="BZ23">
            <v>273</v>
          </cell>
          <cell r="CA23">
            <v>283</v>
          </cell>
          <cell r="CB23">
            <v>288</v>
          </cell>
          <cell r="CC23">
            <v>1128</v>
          </cell>
          <cell r="CF23">
            <v>240</v>
          </cell>
          <cell r="CG23">
            <v>262</v>
          </cell>
          <cell r="CH23">
            <v>271</v>
          </cell>
          <cell r="CI23">
            <v>1034</v>
          </cell>
          <cell r="CL23">
            <v>265</v>
          </cell>
          <cell r="CM23">
            <v>265</v>
          </cell>
          <cell r="CN23">
            <v>265</v>
          </cell>
          <cell r="CO23">
            <v>1060</v>
          </cell>
          <cell r="CR23">
            <v>245.5</v>
          </cell>
          <cell r="CS23">
            <v>245.5</v>
          </cell>
          <cell r="CT23">
            <v>245.5</v>
          </cell>
          <cell r="CU23">
            <v>982</v>
          </cell>
          <cell r="CX23">
            <v>251.75</v>
          </cell>
          <cell r="CY23">
            <v>251.75</v>
          </cell>
          <cell r="CZ23">
            <v>251.75</v>
          </cell>
          <cell r="DA23">
            <v>1007</v>
          </cell>
          <cell r="DD23">
            <v>242.75</v>
          </cell>
          <cell r="DE23">
            <v>242.75</v>
          </cell>
          <cell r="DF23">
            <v>242.75</v>
          </cell>
          <cell r="DG23">
            <v>971</v>
          </cell>
        </row>
        <row r="24">
          <cell r="AI24">
            <v>58</v>
          </cell>
          <cell r="AJ24">
            <v>58</v>
          </cell>
          <cell r="AK24">
            <v>58</v>
          </cell>
          <cell r="AL24">
            <v>58</v>
          </cell>
          <cell r="AP24">
            <v>58</v>
          </cell>
          <cell r="AQ24">
            <v>58</v>
          </cell>
          <cell r="AR24">
            <v>58</v>
          </cell>
          <cell r="AS24">
            <v>232</v>
          </cell>
          <cell r="AV24">
            <v>58</v>
          </cell>
          <cell r="AW24">
            <v>58</v>
          </cell>
          <cell r="AX24">
            <v>58</v>
          </cell>
          <cell r="AY24">
            <v>232</v>
          </cell>
          <cell r="BB24">
            <v>61</v>
          </cell>
          <cell r="BC24">
            <v>69</v>
          </cell>
          <cell r="BD24">
            <v>58</v>
          </cell>
          <cell r="BE24">
            <v>240</v>
          </cell>
          <cell r="BH24">
            <v>68</v>
          </cell>
          <cell r="BI24">
            <v>68</v>
          </cell>
          <cell r="BJ24">
            <v>68</v>
          </cell>
          <cell r="BK24">
            <v>261</v>
          </cell>
          <cell r="BN24">
            <v>59</v>
          </cell>
          <cell r="BO24">
            <v>68</v>
          </cell>
          <cell r="BP24">
            <v>63</v>
          </cell>
          <cell r="BQ24">
            <v>251</v>
          </cell>
          <cell r="BT24">
            <v>51</v>
          </cell>
          <cell r="BU24">
            <v>60</v>
          </cell>
          <cell r="BV24">
            <v>62</v>
          </cell>
          <cell r="BW24">
            <v>237</v>
          </cell>
          <cell r="BZ24">
            <v>60</v>
          </cell>
          <cell r="CA24">
            <v>64</v>
          </cell>
          <cell r="CB24">
            <v>58</v>
          </cell>
          <cell r="CC24">
            <v>231</v>
          </cell>
          <cell r="CF24">
            <v>53</v>
          </cell>
          <cell r="CG24">
            <v>55</v>
          </cell>
          <cell r="CH24">
            <v>50</v>
          </cell>
          <cell r="CI24">
            <v>206</v>
          </cell>
          <cell r="CL24">
            <v>57.25</v>
          </cell>
          <cell r="CM24">
            <v>57.25</v>
          </cell>
          <cell r="CN24">
            <v>57.25</v>
          </cell>
          <cell r="CO24">
            <v>229</v>
          </cell>
          <cell r="CR24">
            <v>47.25</v>
          </cell>
          <cell r="CS24">
            <v>47.25</v>
          </cell>
          <cell r="CT24">
            <v>47.25</v>
          </cell>
          <cell r="CU24">
            <v>189</v>
          </cell>
          <cell r="CX24">
            <v>54.25</v>
          </cell>
          <cell r="CY24">
            <v>54.25</v>
          </cell>
          <cell r="CZ24">
            <v>54.25</v>
          </cell>
          <cell r="DA24">
            <v>217</v>
          </cell>
          <cell r="DD24">
            <v>57.25</v>
          </cell>
          <cell r="DE24">
            <v>57.25</v>
          </cell>
          <cell r="DF24">
            <v>57.25</v>
          </cell>
          <cell r="DG24">
            <v>229</v>
          </cell>
        </row>
        <row r="25">
          <cell r="AI25">
            <v>900</v>
          </cell>
          <cell r="AJ25">
            <v>900</v>
          </cell>
          <cell r="AK25">
            <v>900</v>
          </cell>
          <cell r="AL25">
            <v>900</v>
          </cell>
          <cell r="AP25">
            <v>950</v>
          </cell>
          <cell r="AQ25">
            <v>950</v>
          </cell>
          <cell r="AR25">
            <v>950</v>
          </cell>
          <cell r="AS25">
            <v>3800</v>
          </cell>
          <cell r="AV25">
            <v>920</v>
          </cell>
          <cell r="AW25">
            <v>950</v>
          </cell>
          <cell r="AX25">
            <v>950</v>
          </cell>
          <cell r="AY25">
            <v>3740</v>
          </cell>
          <cell r="BB25">
            <v>776</v>
          </cell>
          <cell r="BC25">
            <v>1047</v>
          </cell>
          <cell r="BD25">
            <v>983</v>
          </cell>
          <cell r="BE25">
            <v>3681</v>
          </cell>
          <cell r="BH25">
            <v>858</v>
          </cell>
          <cell r="BI25">
            <v>782</v>
          </cell>
          <cell r="BJ25">
            <v>865</v>
          </cell>
          <cell r="BK25">
            <v>3447</v>
          </cell>
          <cell r="BN25">
            <v>620</v>
          </cell>
          <cell r="BO25">
            <v>634</v>
          </cell>
          <cell r="BP25">
            <v>771</v>
          </cell>
          <cell r="BQ25">
            <v>2622</v>
          </cell>
          <cell r="BT25">
            <v>579</v>
          </cell>
          <cell r="BU25">
            <v>580</v>
          </cell>
          <cell r="BV25">
            <v>520</v>
          </cell>
          <cell r="BW25">
            <v>2291</v>
          </cell>
          <cell r="BZ25">
            <v>588</v>
          </cell>
          <cell r="CA25">
            <v>595</v>
          </cell>
          <cell r="CB25">
            <v>596</v>
          </cell>
          <cell r="CC25">
            <v>2381</v>
          </cell>
          <cell r="CF25">
            <v>598</v>
          </cell>
          <cell r="CG25">
            <v>597</v>
          </cell>
          <cell r="CH25">
            <v>572</v>
          </cell>
          <cell r="CI25">
            <v>2331</v>
          </cell>
          <cell r="CL25">
            <v>582.25</v>
          </cell>
          <cell r="CM25">
            <v>582.25</v>
          </cell>
          <cell r="CN25">
            <v>582.25</v>
          </cell>
          <cell r="CO25">
            <v>2329</v>
          </cell>
          <cell r="CR25">
            <v>589.25</v>
          </cell>
          <cell r="CS25">
            <v>589.25</v>
          </cell>
          <cell r="CT25">
            <v>589.25</v>
          </cell>
          <cell r="CU25">
            <v>2357</v>
          </cell>
          <cell r="CX25">
            <v>567.25</v>
          </cell>
          <cell r="CY25">
            <v>567.25</v>
          </cell>
          <cell r="CZ25">
            <v>567.25</v>
          </cell>
          <cell r="DA25">
            <v>2269</v>
          </cell>
          <cell r="DD25">
            <v>560</v>
          </cell>
          <cell r="DE25">
            <v>560</v>
          </cell>
          <cell r="DF25">
            <v>560</v>
          </cell>
          <cell r="DG25">
            <v>2240</v>
          </cell>
        </row>
        <row r="26">
          <cell r="AI26">
            <v>12.337999999999999</v>
          </cell>
          <cell r="AJ26">
            <v>12.337999999999999</v>
          </cell>
          <cell r="AK26">
            <v>12.337999999999999</v>
          </cell>
          <cell r="AL26">
            <v>12.337999999999999</v>
          </cell>
          <cell r="AP26">
            <v>12.337999999999999</v>
          </cell>
          <cell r="AQ26">
            <v>12.337999999999999</v>
          </cell>
          <cell r="AR26">
            <v>12.337999999999999</v>
          </cell>
          <cell r="AS26">
            <v>49.351999999999997</v>
          </cell>
          <cell r="AV26">
            <v>12.337999999999999</v>
          </cell>
          <cell r="AW26">
            <v>12.337999999999999</v>
          </cell>
          <cell r="AX26">
            <v>12.337999999999999</v>
          </cell>
          <cell r="AY26">
            <v>49.351999999999997</v>
          </cell>
          <cell r="BB26">
            <v>13.432</v>
          </cell>
          <cell r="BC26">
            <v>13.077</v>
          </cell>
          <cell r="BD26">
            <v>12.337999999999999</v>
          </cell>
          <cell r="BE26">
            <v>52.201999999999998</v>
          </cell>
          <cell r="BH26">
            <v>13.359</v>
          </cell>
          <cell r="BI26">
            <v>13.817</v>
          </cell>
          <cell r="BJ26">
            <v>14.744</v>
          </cell>
          <cell r="BK26">
            <v>55.278999999999996</v>
          </cell>
          <cell r="BN26">
            <v>12.07</v>
          </cell>
          <cell r="BO26">
            <v>11.625999999999999</v>
          </cell>
          <cell r="BP26">
            <v>13.337</v>
          </cell>
          <cell r="BQ26">
            <v>48.757999999999996</v>
          </cell>
          <cell r="BT26">
            <v>12.018000000000001</v>
          </cell>
          <cell r="BU26">
            <v>11.535</v>
          </cell>
          <cell r="BV26">
            <v>11.326000000000001</v>
          </cell>
          <cell r="BW26">
            <v>46.41</v>
          </cell>
          <cell r="BZ26">
            <v>12.154999999999999</v>
          </cell>
          <cell r="CA26">
            <v>11.666</v>
          </cell>
          <cell r="CB26">
            <v>11.202</v>
          </cell>
          <cell r="CC26">
            <v>46.488</v>
          </cell>
          <cell r="CF26">
            <v>11.32</v>
          </cell>
          <cell r="CG26">
            <v>11.497999999999999</v>
          </cell>
          <cell r="CH26">
            <v>11.026999999999999</v>
          </cell>
          <cell r="CI26">
            <v>44.470999999999997</v>
          </cell>
          <cell r="CL26">
            <v>9.0102499999999992</v>
          </cell>
          <cell r="CM26">
            <v>9.0102499999999992</v>
          </cell>
          <cell r="CN26">
            <v>9.0102499999999992</v>
          </cell>
          <cell r="CO26">
            <v>36.040999999999997</v>
          </cell>
          <cell r="CR26">
            <v>9.0050000000000008</v>
          </cell>
          <cell r="CS26">
            <v>9.0050000000000008</v>
          </cell>
          <cell r="CT26">
            <v>9.0050000000000008</v>
          </cell>
          <cell r="CU26">
            <v>36.020000000000003</v>
          </cell>
          <cell r="CX26">
            <v>8.1987500000000004</v>
          </cell>
          <cell r="CY26">
            <v>8.1987500000000004</v>
          </cell>
          <cell r="CZ26">
            <v>8.1987500000000004</v>
          </cell>
          <cell r="DA26">
            <v>32.795000000000002</v>
          </cell>
          <cell r="DD26">
            <v>7.76</v>
          </cell>
          <cell r="DE26">
            <v>7.76</v>
          </cell>
          <cell r="DF26">
            <v>7.76</v>
          </cell>
          <cell r="DG26">
            <v>31.04</v>
          </cell>
        </row>
        <row r="27">
          <cell r="AI27">
            <v>0</v>
          </cell>
          <cell r="AJ27">
            <v>0</v>
          </cell>
          <cell r="AK27">
            <v>0</v>
          </cell>
          <cell r="AL27">
            <v>0</v>
          </cell>
          <cell r="AP27">
            <v>0</v>
          </cell>
          <cell r="AQ27">
            <v>0</v>
          </cell>
          <cell r="AR27">
            <v>0</v>
          </cell>
          <cell r="AS27">
            <v>0</v>
          </cell>
          <cell r="AV27">
            <v>0</v>
          </cell>
          <cell r="AW27">
            <v>0</v>
          </cell>
          <cell r="AX27">
            <v>0</v>
          </cell>
          <cell r="AY27">
            <v>0</v>
          </cell>
          <cell r="BB27">
            <v>0</v>
          </cell>
          <cell r="BC27">
            <v>0</v>
          </cell>
          <cell r="BD27">
            <v>0</v>
          </cell>
          <cell r="BE27">
            <v>0</v>
          </cell>
          <cell r="BH27">
            <v>0</v>
          </cell>
          <cell r="BI27">
            <v>0</v>
          </cell>
          <cell r="BJ27">
            <v>0</v>
          </cell>
          <cell r="BK27">
            <v>0</v>
          </cell>
          <cell r="BN27">
            <v>0</v>
          </cell>
          <cell r="BO27">
            <v>0</v>
          </cell>
          <cell r="BP27">
            <v>0</v>
          </cell>
          <cell r="BQ27">
            <v>0</v>
          </cell>
          <cell r="BT27">
            <v>0</v>
          </cell>
          <cell r="BU27">
            <v>0</v>
          </cell>
          <cell r="BV27">
            <v>0</v>
          </cell>
          <cell r="BW27">
            <v>0</v>
          </cell>
          <cell r="BZ27">
            <v>0</v>
          </cell>
          <cell r="CA27">
            <v>0</v>
          </cell>
          <cell r="CB27">
            <v>0</v>
          </cell>
          <cell r="CC27">
            <v>0</v>
          </cell>
          <cell r="CF27">
            <v>0</v>
          </cell>
          <cell r="CG27">
            <v>0</v>
          </cell>
          <cell r="CH27">
            <v>0</v>
          </cell>
          <cell r="CI27">
            <v>0</v>
          </cell>
          <cell r="CL27">
            <v>6.25</v>
          </cell>
          <cell r="CM27">
            <v>6.25</v>
          </cell>
          <cell r="CN27">
            <v>6.25</v>
          </cell>
          <cell r="CO27">
            <v>25</v>
          </cell>
          <cell r="CR27">
            <v>6.25</v>
          </cell>
          <cell r="CS27">
            <v>6.25</v>
          </cell>
          <cell r="CT27">
            <v>6.25</v>
          </cell>
          <cell r="CU27">
            <v>25</v>
          </cell>
          <cell r="CX27">
            <v>6.25</v>
          </cell>
          <cell r="CY27">
            <v>6.25</v>
          </cell>
          <cell r="CZ27">
            <v>6.25</v>
          </cell>
          <cell r="DA27">
            <v>25</v>
          </cell>
          <cell r="DD27">
            <v>6.25</v>
          </cell>
          <cell r="DE27">
            <v>6.25</v>
          </cell>
          <cell r="DF27">
            <v>6.25</v>
          </cell>
          <cell r="DG27">
            <v>25</v>
          </cell>
        </row>
        <row r="28">
          <cell r="AI28">
            <v>1143</v>
          </cell>
          <cell r="AJ28">
            <v>1143</v>
          </cell>
          <cell r="AK28">
            <v>1143</v>
          </cell>
          <cell r="AL28">
            <v>1143</v>
          </cell>
          <cell r="AP28">
            <v>1143</v>
          </cell>
          <cell r="AQ28">
            <v>1143</v>
          </cell>
          <cell r="AR28">
            <v>1143</v>
          </cell>
          <cell r="AS28">
            <v>4572</v>
          </cell>
          <cell r="AV28">
            <v>1143</v>
          </cell>
          <cell r="AW28">
            <v>1143</v>
          </cell>
          <cell r="AX28">
            <v>1143</v>
          </cell>
          <cell r="AY28">
            <v>4572</v>
          </cell>
          <cell r="BB28">
            <v>1181</v>
          </cell>
          <cell r="BC28">
            <v>1210</v>
          </cell>
          <cell r="BD28">
            <v>1143</v>
          </cell>
          <cell r="BE28">
            <v>4726</v>
          </cell>
          <cell r="BH28">
            <v>1127</v>
          </cell>
          <cell r="BI28">
            <v>1073</v>
          </cell>
          <cell r="BJ28">
            <v>1136</v>
          </cell>
          <cell r="BK28">
            <v>4448</v>
          </cell>
          <cell r="BN28">
            <v>1075</v>
          </cell>
          <cell r="BO28">
            <v>1064</v>
          </cell>
          <cell r="BP28">
            <v>1121</v>
          </cell>
          <cell r="BQ28">
            <v>4287</v>
          </cell>
          <cell r="BT28">
            <v>972</v>
          </cell>
          <cell r="BU28">
            <v>1060</v>
          </cell>
          <cell r="BV28">
            <v>965</v>
          </cell>
          <cell r="BW28">
            <v>3833</v>
          </cell>
          <cell r="BZ28">
            <v>924</v>
          </cell>
          <cell r="CA28">
            <v>864</v>
          </cell>
          <cell r="CB28">
            <v>938</v>
          </cell>
          <cell r="CC28">
            <v>3655</v>
          </cell>
          <cell r="CF28">
            <v>882</v>
          </cell>
          <cell r="CG28">
            <v>884</v>
          </cell>
          <cell r="CH28">
            <v>861</v>
          </cell>
          <cell r="CI28">
            <v>3428</v>
          </cell>
          <cell r="CL28">
            <v>688.5</v>
          </cell>
          <cell r="CM28">
            <v>688.5</v>
          </cell>
          <cell r="CN28">
            <v>688.5</v>
          </cell>
          <cell r="CO28">
            <v>2754</v>
          </cell>
          <cell r="CR28">
            <v>510.5</v>
          </cell>
          <cell r="CS28">
            <v>510.5</v>
          </cell>
          <cell r="CT28">
            <v>510.5</v>
          </cell>
          <cell r="CU28">
            <v>2042</v>
          </cell>
          <cell r="CX28">
            <v>461.75</v>
          </cell>
          <cell r="CY28">
            <v>461.75</v>
          </cell>
          <cell r="CZ28">
            <v>461.75</v>
          </cell>
          <cell r="DA28">
            <v>1847</v>
          </cell>
          <cell r="DD28">
            <v>423</v>
          </cell>
          <cell r="DE28">
            <v>423</v>
          </cell>
          <cell r="DF28">
            <v>423</v>
          </cell>
          <cell r="DG28">
            <v>1692</v>
          </cell>
        </row>
        <row r="33">
          <cell r="AK33" t="str">
            <v>2004E</v>
          </cell>
          <cell r="AQ33" t="str">
            <v>2003E</v>
          </cell>
          <cell r="AW33" t="str">
            <v>2002E</v>
          </cell>
          <cell r="BC33">
            <v>2001</v>
          </cell>
          <cell r="BI33">
            <v>2000</v>
          </cell>
          <cell r="BO33">
            <v>1999</v>
          </cell>
          <cell r="BU33">
            <v>1998</v>
          </cell>
          <cell r="CA33">
            <v>1997</v>
          </cell>
          <cell r="CG33">
            <v>1996</v>
          </cell>
          <cell r="CM33">
            <v>1995</v>
          </cell>
          <cell r="CS33">
            <v>1994</v>
          </cell>
          <cell r="CY33">
            <v>1993</v>
          </cell>
          <cell r="DE33">
            <v>1992</v>
          </cell>
        </row>
        <row r="34">
          <cell r="AI34" t="str">
            <v>1QTR</v>
          </cell>
          <cell r="AJ34" t="str">
            <v>2QTR</v>
          </cell>
          <cell r="AK34" t="str">
            <v>3QTR</v>
          </cell>
          <cell r="AL34" t="str">
            <v>4QTR</v>
          </cell>
          <cell r="AP34" t="str">
            <v>2QTR</v>
          </cell>
          <cell r="AQ34" t="str">
            <v>3QTR</v>
          </cell>
          <cell r="AR34" t="str">
            <v>4QTR</v>
          </cell>
          <cell r="AS34" t="str">
            <v>YEAR</v>
          </cell>
          <cell r="AV34" t="str">
            <v>2QTR</v>
          </cell>
          <cell r="AW34" t="str">
            <v>3QTR</v>
          </cell>
          <cell r="AX34" t="str">
            <v>4QTR</v>
          </cell>
          <cell r="AY34" t="str">
            <v>YEAR</v>
          </cell>
          <cell r="BB34" t="str">
            <v>2QTR</v>
          </cell>
          <cell r="BC34" t="str">
            <v>3QTR</v>
          </cell>
          <cell r="BD34" t="str">
            <v>4QTR</v>
          </cell>
          <cell r="BE34" t="str">
            <v>YEAR</v>
          </cell>
          <cell r="BH34" t="str">
            <v>2QTR</v>
          </cell>
          <cell r="BI34" t="str">
            <v>3QTR</v>
          </cell>
          <cell r="BJ34" t="str">
            <v>4QTR</v>
          </cell>
          <cell r="BK34" t="str">
            <v>YEAR</v>
          </cell>
          <cell r="BN34" t="str">
            <v>2QTR</v>
          </cell>
          <cell r="BO34" t="str">
            <v>3QTR</v>
          </cell>
          <cell r="BP34" t="str">
            <v>4QTR</v>
          </cell>
          <cell r="BQ34" t="str">
            <v>YEAR</v>
          </cell>
          <cell r="BT34" t="str">
            <v>2QTR</v>
          </cell>
          <cell r="BU34" t="str">
            <v>3QTR</v>
          </cell>
          <cell r="BV34" t="str">
            <v>4QTR</v>
          </cell>
          <cell r="BW34" t="str">
            <v>YEAR</v>
          </cell>
          <cell r="BZ34" t="str">
            <v>2QTR</v>
          </cell>
          <cell r="CA34" t="str">
            <v>3QTR</v>
          </cell>
          <cell r="CB34" t="str">
            <v>4QTR</v>
          </cell>
          <cell r="CC34" t="str">
            <v>YEAR</v>
          </cell>
          <cell r="CF34" t="str">
            <v>2QTR</v>
          </cell>
          <cell r="CG34" t="str">
            <v>3QTR</v>
          </cell>
          <cell r="CH34" t="str">
            <v>4QTR</v>
          </cell>
          <cell r="CI34" t="str">
            <v>YEAR</v>
          </cell>
          <cell r="CL34" t="str">
            <v>2QTR</v>
          </cell>
          <cell r="CM34" t="str">
            <v>3QTR</v>
          </cell>
          <cell r="CN34" t="str">
            <v>4QTR</v>
          </cell>
          <cell r="CO34" t="str">
            <v>YEAR</v>
          </cell>
          <cell r="CR34" t="str">
            <v>2QTR</v>
          </cell>
          <cell r="CS34" t="str">
            <v>3QTR</v>
          </cell>
          <cell r="CT34" t="str">
            <v>4QTR</v>
          </cell>
          <cell r="CU34" t="str">
            <v>YEAR</v>
          </cell>
          <cell r="CX34" t="str">
            <v>2QTR</v>
          </cell>
          <cell r="CY34" t="str">
            <v>3QTR</v>
          </cell>
          <cell r="CZ34" t="str">
            <v>4QTR</v>
          </cell>
          <cell r="DA34" t="str">
            <v>YEAR</v>
          </cell>
          <cell r="DD34" t="str">
            <v>2QTR</v>
          </cell>
          <cell r="DE34" t="str">
            <v>3QTR</v>
          </cell>
          <cell r="DF34" t="str">
            <v>4QTR</v>
          </cell>
          <cell r="DG34" t="str">
            <v>YEAR</v>
          </cell>
        </row>
        <row r="37">
          <cell r="AI37">
            <v>127</v>
          </cell>
          <cell r="AJ37">
            <v>127</v>
          </cell>
          <cell r="AK37">
            <v>127</v>
          </cell>
          <cell r="AL37">
            <v>127</v>
          </cell>
          <cell r="AP37">
            <v>127</v>
          </cell>
          <cell r="AQ37">
            <v>127</v>
          </cell>
          <cell r="AR37">
            <v>127</v>
          </cell>
          <cell r="AS37">
            <v>508</v>
          </cell>
          <cell r="AV37">
            <v>127</v>
          </cell>
          <cell r="AW37">
            <v>127</v>
          </cell>
          <cell r="AX37">
            <v>127</v>
          </cell>
          <cell r="AY37">
            <v>508</v>
          </cell>
          <cell r="BB37">
            <v>140</v>
          </cell>
          <cell r="BC37">
            <v>135</v>
          </cell>
          <cell r="BD37">
            <v>127</v>
          </cell>
          <cell r="BE37">
            <v>542</v>
          </cell>
          <cell r="BH37">
            <v>269</v>
          </cell>
          <cell r="BI37">
            <v>64</v>
          </cell>
          <cell r="BJ37">
            <v>162</v>
          </cell>
          <cell r="BK37">
            <v>640</v>
          </cell>
          <cell r="BN37">
            <v>72</v>
          </cell>
          <cell r="BO37">
            <v>72</v>
          </cell>
          <cell r="BP37">
            <v>75</v>
          </cell>
          <cell r="BQ37">
            <v>287</v>
          </cell>
          <cell r="BT37">
            <v>63</v>
          </cell>
          <cell r="BV37">
            <v>74</v>
          </cell>
          <cell r="BW37">
            <v>259</v>
          </cell>
          <cell r="CB37">
            <v>54</v>
          </cell>
          <cell r="CC37">
            <v>235</v>
          </cell>
          <cell r="CI37">
            <v>254</v>
          </cell>
          <cell r="CO37">
            <v>254</v>
          </cell>
          <cell r="CU37">
            <v>271</v>
          </cell>
        </row>
        <row r="39">
          <cell r="AI39">
            <v>72</v>
          </cell>
          <cell r="AJ39">
            <v>72</v>
          </cell>
          <cell r="AK39">
            <v>72</v>
          </cell>
          <cell r="AL39">
            <v>72</v>
          </cell>
          <cell r="AP39">
            <v>72</v>
          </cell>
          <cell r="AQ39">
            <v>72</v>
          </cell>
          <cell r="AR39">
            <v>72</v>
          </cell>
          <cell r="AS39">
            <v>288</v>
          </cell>
          <cell r="AV39">
            <v>72</v>
          </cell>
          <cell r="AW39">
            <v>72</v>
          </cell>
          <cell r="AX39">
            <v>72</v>
          </cell>
          <cell r="AY39">
            <v>288</v>
          </cell>
          <cell r="BB39">
            <v>69</v>
          </cell>
          <cell r="BC39">
            <v>81</v>
          </cell>
          <cell r="BD39">
            <v>72</v>
          </cell>
          <cell r="BE39">
            <v>309</v>
          </cell>
          <cell r="BH39">
            <v>95</v>
          </cell>
          <cell r="BI39">
            <v>90</v>
          </cell>
          <cell r="BJ39">
            <v>96</v>
          </cell>
          <cell r="BK39">
            <v>376</v>
          </cell>
          <cell r="BN39">
            <v>91</v>
          </cell>
          <cell r="BO39">
            <v>67</v>
          </cell>
          <cell r="BP39">
            <v>105</v>
          </cell>
          <cell r="BQ39">
            <v>347</v>
          </cell>
          <cell r="BT39">
            <v>77</v>
          </cell>
          <cell r="BU39">
            <v>154</v>
          </cell>
          <cell r="BV39">
            <v>81</v>
          </cell>
          <cell r="BW39">
            <v>315</v>
          </cell>
          <cell r="BZ39">
            <v>150</v>
          </cell>
          <cell r="CA39">
            <v>148</v>
          </cell>
          <cell r="CB39">
            <v>82</v>
          </cell>
          <cell r="CC39">
            <v>325</v>
          </cell>
          <cell r="CF39">
            <v>146</v>
          </cell>
          <cell r="CG39">
            <v>145</v>
          </cell>
          <cell r="CH39">
            <v>154</v>
          </cell>
          <cell r="CI39">
            <v>304</v>
          </cell>
          <cell r="CL39">
            <v>132</v>
          </cell>
          <cell r="CM39">
            <v>132</v>
          </cell>
          <cell r="CN39">
            <v>132</v>
          </cell>
          <cell r="CO39">
            <v>260</v>
          </cell>
          <cell r="CR39">
            <v>138</v>
          </cell>
          <cell r="CS39">
            <v>41.25</v>
          </cell>
          <cell r="CT39">
            <v>41.25</v>
          </cell>
          <cell r="CU39">
            <v>165</v>
          </cell>
          <cell r="CX39">
            <v>136.75</v>
          </cell>
          <cell r="CY39">
            <v>82.05</v>
          </cell>
          <cell r="CZ39">
            <v>136.75</v>
          </cell>
          <cell r="DA39">
            <v>492.3</v>
          </cell>
          <cell r="DD39">
            <v>130</v>
          </cell>
          <cell r="DE39">
            <v>130</v>
          </cell>
          <cell r="DF39">
            <v>130</v>
          </cell>
          <cell r="DG39">
            <v>520</v>
          </cell>
        </row>
        <row r="40">
          <cell r="AI40">
            <v>1794</v>
          </cell>
          <cell r="AJ40">
            <v>1794</v>
          </cell>
          <cell r="AK40">
            <v>1794</v>
          </cell>
          <cell r="AL40">
            <v>1794</v>
          </cell>
          <cell r="AP40">
            <v>1794</v>
          </cell>
          <cell r="AQ40">
            <v>1794</v>
          </cell>
          <cell r="AR40">
            <v>1794</v>
          </cell>
          <cell r="AS40">
            <v>7176</v>
          </cell>
          <cell r="AV40">
            <v>1794</v>
          </cell>
          <cell r="AW40">
            <v>1794</v>
          </cell>
          <cell r="AX40">
            <v>1794</v>
          </cell>
          <cell r="AY40">
            <v>7176</v>
          </cell>
          <cell r="BB40">
            <v>1792</v>
          </cell>
          <cell r="BC40">
            <v>1943</v>
          </cell>
          <cell r="BD40">
            <v>1794</v>
          </cell>
          <cell r="BE40">
            <v>7196</v>
          </cell>
          <cell r="BH40">
            <v>2044</v>
          </cell>
          <cell r="BI40">
            <v>1804</v>
          </cell>
          <cell r="BJ40">
            <v>1917</v>
          </cell>
          <cell r="BK40">
            <v>7293</v>
          </cell>
          <cell r="BN40">
            <v>1494</v>
          </cell>
          <cell r="BO40">
            <v>1408</v>
          </cell>
          <cell r="BP40">
            <v>1612</v>
          </cell>
          <cell r="BQ40">
            <v>5734</v>
          </cell>
          <cell r="BT40">
            <v>1294</v>
          </cell>
          <cell r="BU40">
            <v>1276</v>
          </cell>
          <cell r="BV40">
            <v>1294</v>
          </cell>
          <cell r="BW40">
            <v>4995</v>
          </cell>
          <cell r="BZ40">
            <v>1320</v>
          </cell>
          <cell r="CA40">
            <v>1249</v>
          </cell>
          <cell r="CB40">
            <v>1164</v>
          </cell>
          <cell r="CC40">
            <v>4869</v>
          </cell>
          <cell r="CF40">
            <v>1237</v>
          </cell>
          <cell r="CG40">
            <v>1327</v>
          </cell>
          <cell r="CH40">
            <v>1171</v>
          </cell>
          <cell r="CI40">
            <v>4745</v>
          </cell>
          <cell r="CL40">
            <v>1148</v>
          </cell>
          <cell r="CM40">
            <v>1148</v>
          </cell>
          <cell r="CN40">
            <v>1121</v>
          </cell>
          <cell r="CO40">
            <v>4459</v>
          </cell>
          <cell r="CR40">
            <v>1125</v>
          </cell>
          <cell r="CS40">
            <v>1100.5</v>
          </cell>
          <cell r="CT40">
            <v>1100.5</v>
          </cell>
          <cell r="CU40">
            <v>4300</v>
          </cell>
          <cell r="CX40">
            <v>1057.5</v>
          </cell>
          <cell r="CY40">
            <v>1057.5</v>
          </cell>
          <cell r="CZ40">
            <v>1057.5</v>
          </cell>
          <cell r="DA40">
            <v>4230</v>
          </cell>
          <cell r="DD40">
            <v>695.5</v>
          </cell>
          <cell r="DE40">
            <v>695.5</v>
          </cell>
          <cell r="DF40">
            <v>695.5</v>
          </cell>
          <cell r="DG40">
            <v>2946.5</v>
          </cell>
        </row>
        <row r="41">
          <cell r="AI41">
            <v>463</v>
          </cell>
          <cell r="AJ41">
            <v>463</v>
          </cell>
          <cell r="AK41">
            <v>463</v>
          </cell>
          <cell r="AL41">
            <v>463</v>
          </cell>
          <cell r="AP41">
            <v>463</v>
          </cell>
          <cell r="AQ41">
            <v>463</v>
          </cell>
          <cell r="AR41">
            <v>463</v>
          </cell>
          <cell r="AS41">
            <v>1852</v>
          </cell>
          <cell r="AV41">
            <v>463</v>
          </cell>
          <cell r="AW41">
            <v>463</v>
          </cell>
          <cell r="AX41">
            <v>463</v>
          </cell>
          <cell r="AY41">
            <v>1852</v>
          </cell>
          <cell r="BB41">
            <v>491</v>
          </cell>
          <cell r="BC41">
            <v>494</v>
          </cell>
          <cell r="BD41">
            <v>463</v>
          </cell>
          <cell r="BE41">
            <v>1897</v>
          </cell>
          <cell r="BH41">
            <v>559</v>
          </cell>
          <cell r="BI41">
            <v>572</v>
          </cell>
          <cell r="BJ41">
            <v>467</v>
          </cell>
          <cell r="BK41">
            <v>2066</v>
          </cell>
          <cell r="BN41">
            <v>503</v>
          </cell>
          <cell r="BO41">
            <v>476</v>
          </cell>
          <cell r="BP41">
            <v>508</v>
          </cell>
          <cell r="BQ41">
            <v>1902</v>
          </cell>
          <cell r="BT41">
            <v>478</v>
          </cell>
          <cell r="BU41">
            <v>474</v>
          </cell>
          <cell r="BV41">
            <v>454</v>
          </cell>
          <cell r="BW41">
            <v>1842</v>
          </cell>
          <cell r="BZ41">
            <v>556</v>
          </cell>
          <cell r="CA41">
            <v>536</v>
          </cell>
          <cell r="CB41">
            <v>461</v>
          </cell>
          <cell r="CC41">
            <v>2042</v>
          </cell>
          <cell r="CF41">
            <v>590</v>
          </cell>
          <cell r="CG41">
            <v>590</v>
          </cell>
          <cell r="CH41">
            <v>508</v>
          </cell>
          <cell r="CI41">
            <v>2172</v>
          </cell>
          <cell r="CL41">
            <v>687</v>
          </cell>
          <cell r="CM41">
            <v>687</v>
          </cell>
          <cell r="CN41">
            <v>590</v>
          </cell>
          <cell r="CO41">
            <v>2575</v>
          </cell>
          <cell r="CR41">
            <v>718</v>
          </cell>
          <cell r="CS41">
            <v>671.25</v>
          </cell>
          <cell r="CT41">
            <v>671.25</v>
          </cell>
          <cell r="CU41">
            <v>2607.5</v>
          </cell>
          <cell r="CX41">
            <v>608.75</v>
          </cell>
          <cell r="CY41">
            <v>608.75</v>
          </cell>
          <cell r="CZ41">
            <v>608.75</v>
          </cell>
          <cell r="DA41">
            <v>2435</v>
          </cell>
          <cell r="DD41">
            <v>556.75</v>
          </cell>
          <cell r="DE41">
            <v>556.75</v>
          </cell>
          <cell r="DF41">
            <v>556.75</v>
          </cell>
          <cell r="DG41">
            <v>2227</v>
          </cell>
        </row>
        <row r="42">
          <cell r="AI42">
            <v>70</v>
          </cell>
          <cell r="AJ42">
            <v>70</v>
          </cell>
          <cell r="AK42">
            <v>70</v>
          </cell>
          <cell r="AL42">
            <v>70</v>
          </cell>
          <cell r="AP42">
            <v>70</v>
          </cell>
          <cell r="AQ42">
            <v>70</v>
          </cell>
          <cell r="AR42">
            <v>70</v>
          </cell>
          <cell r="AS42">
            <v>280</v>
          </cell>
          <cell r="AV42">
            <v>70</v>
          </cell>
          <cell r="AW42">
            <v>70</v>
          </cell>
          <cell r="AX42">
            <v>70</v>
          </cell>
          <cell r="AY42">
            <v>280</v>
          </cell>
          <cell r="BB42">
            <v>78</v>
          </cell>
          <cell r="BC42">
            <v>61</v>
          </cell>
          <cell r="BD42">
            <v>70</v>
          </cell>
          <cell r="BE42">
            <v>274</v>
          </cell>
          <cell r="BH42">
            <v>73</v>
          </cell>
          <cell r="BI42">
            <v>97</v>
          </cell>
          <cell r="BJ42">
            <v>87</v>
          </cell>
          <cell r="BK42">
            <v>379</v>
          </cell>
          <cell r="BN42">
            <v>127</v>
          </cell>
          <cell r="BO42">
            <v>54</v>
          </cell>
          <cell r="BP42">
            <v>77</v>
          </cell>
          <cell r="BQ42">
            <v>410</v>
          </cell>
          <cell r="BT42">
            <v>153</v>
          </cell>
          <cell r="BU42">
            <v>146</v>
          </cell>
          <cell r="BV42">
            <v>142</v>
          </cell>
          <cell r="BW42">
            <v>586</v>
          </cell>
          <cell r="BZ42">
            <v>148</v>
          </cell>
          <cell r="CA42">
            <v>135</v>
          </cell>
          <cell r="CB42">
            <v>125</v>
          </cell>
          <cell r="CC42">
            <v>551</v>
          </cell>
          <cell r="CF42">
            <v>171</v>
          </cell>
          <cell r="CG42">
            <v>147</v>
          </cell>
          <cell r="CH42">
            <v>133</v>
          </cell>
          <cell r="CI42">
            <v>604</v>
          </cell>
          <cell r="CL42">
            <v>146</v>
          </cell>
          <cell r="CM42">
            <v>146</v>
          </cell>
          <cell r="CN42">
            <v>170</v>
          </cell>
          <cell r="CO42">
            <v>621</v>
          </cell>
          <cell r="CR42">
            <v>173</v>
          </cell>
          <cell r="CS42">
            <v>165</v>
          </cell>
          <cell r="CT42">
            <v>165</v>
          </cell>
          <cell r="CU42">
            <v>662</v>
          </cell>
          <cell r="CX42">
            <v>156.5</v>
          </cell>
          <cell r="CY42">
            <v>156.5</v>
          </cell>
          <cell r="CZ42">
            <v>156.5</v>
          </cell>
          <cell r="DA42">
            <v>626</v>
          </cell>
          <cell r="DD42">
            <v>147.5</v>
          </cell>
          <cell r="DE42">
            <v>147.5</v>
          </cell>
          <cell r="DF42">
            <v>147.5</v>
          </cell>
          <cell r="DG42">
            <v>590</v>
          </cell>
        </row>
        <row r="43">
          <cell r="AI43">
            <v>987</v>
          </cell>
          <cell r="AJ43">
            <v>987</v>
          </cell>
          <cell r="AK43">
            <v>987</v>
          </cell>
          <cell r="AL43">
            <v>987</v>
          </cell>
          <cell r="AP43">
            <v>987</v>
          </cell>
          <cell r="AQ43">
            <v>987</v>
          </cell>
          <cell r="AR43">
            <v>987</v>
          </cell>
          <cell r="AS43">
            <v>3948</v>
          </cell>
          <cell r="AV43">
            <v>987</v>
          </cell>
          <cell r="AW43">
            <v>987</v>
          </cell>
          <cell r="AX43">
            <v>987</v>
          </cell>
          <cell r="AY43">
            <v>3948</v>
          </cell>
          <cell r="BB43">
            <v>916</v>
          </cell>
          <cell r="BC43">
            <v>964</v>
          </cell>
          <cell r="BD43">
            <v>987</v>
          </cell>
          <cell r="BE43">
            <v>3738</v>
          </cell>
          <cell r="BH43">
            <v>1007</v>
          </cell>
          <cell r="BI43">
            <v>761</v>
          </cell>
          <cell r="BJ43">
            <v>1203</v>
          </cell>
          <cell r="BK43">
            <v>3698</v>
          </cell>
          <cell r="BN43">
            <v>665</v>
          </cell>
          <cell r="BO43">
            <v>616</v>
          </cell>
          <cell r="BP43">
            <v>756</v>
          </cell>
          <cell r="BQ43">
            <v>2716</v>
          </cell>
          <cell r="BT43">
            <v>706</v>
          </cell>
          <cell r="BU43">
            <v>686</v>
          </cell>
          <cell r="BV43">
            <v>665</v>
          </cell>
          <cell r="BW43">
            <v>2697</v>
          </cell>
          <cell r="BZ43">
            <v>632</v>
          </cell>
          <cell r="CA43">
            <v>650</v>
          </cell>
          <cell r="CB43">
            <v>618</v>
          </cell>
          <cell r="CC43">
            <v>2462</v>
          </cell>
          <cell r="CF43">
            <v>535</v>
          </cell>
          <cell r="CG43">
            <v>549</v>
          </cell>
          <cell r="CH43">
            <v>539</v>
          </cell>
          <cell r="CI43">
            <v>2083</v>
          </cell>
          <cell r="CL43">
            <v>452</v>
          </cell>
          <cell r="CM43">
            <v>452</v>
          </cell>
          <cell r="CN43">
            <v>473</v>
          </cell>
          <cell r="CO43">
            <v>1807</v>
          </cell>
          <cell r="CR43">
            <v>484</v>
          </cell>
          <cell r="CS43">
            <v>450.75</v>
          </cell>
          <cell r="CT43">
            <v>450.75</v>
          </cell>
          <cell r="CU43">
            <v>1795.5</v>
          </cell>
          <cell r="CX43">
            <v>418</v>
          </cell>
          <cell r="CY43">
            <v>418</v>
          </cell>
          <cell r="CZ43">
            <v>418</v>
          </cell>
          <cell r="DA43">
            <v>1672</v>
          </cell>
          <cell r="DD43">
            <v>371</v>
          </cell>
          <cell r="DE43">
            <v>371</v>
          </cell>
          <cell r="DF43">
            <v>371</v>
          </cell>
          <cell r="DG43">
            <v>1484</v>
          </cell>
        </row>
        <row r="44">
          <cell r="AI44">
            <v>0</v>
          </cell>
          <cell r="AJ44">
            <v>0</v>
          </cell>
          <cell r="AK44">
            <v>0</v>
          </cell>
          <cell r="AL44">
            <v>0</v>
          </cell>
          <cell r="AP44">
            <v>0</v>
          </cell>
          <cell r="AQ44">
            <v>0</v>
          </cell>
          <cell r="AR44">
            <v>0</v>
          </cell>
          <cell r="AS44">
            <v>0</v>
          </cell>
          <cell r="AV44">
            <v>0</v>
          </cell>
          <cell r="AW44">
            <v>0</v>
          </cell>
          <cell r="AX44">
            <v>0</v>
          </cell>
          <cell r="AY44">
            <v>0</v>
          </cell>
          <cell r="BB44">
            <v>0</v>
          </cell>
          <cell r="BC44">
            <v>0</v>
          </cell>
          <cell r="BD44">
            <v>0</v>
          </cell>
          <cell r="BE44">
            <v>0</v>
          </cell>
          <cell r="BH44">
            <v>0</v>
          </cell>
          <cell r="BI44">
            <v>0</v>
          </cell>
          <cell r="BJ44">
            <v>0</v>
          </cell>
          <cell r="BK44">
            <v>0</v>
          </cell>
          <cell r="BN44">
            <v>0</v>
          </cell>
          <cell r="BO44">
            <v>0</v>
          </cell>
          <cell r="BP44">
            <v>0</v>
          </cell>
          <cell r="BQ44">
            <v>0</v>
          </cell>
          <cell r="BT44">
            <v>0</v>
          </cell>
          <cell r="BU44">
            <v>0</v>
          </cell>
          <cell r="BV44">
            <v>0</v>
          </cell>
          <cell r="BW44">
            <v>0</v>
          </cell>
          <cell r="BZ44">
            <v>0</v>
          </cell>
          <cell r="CA44">
            <v>0</v>
          </cell>
          <cell r="CB44">
            <v>0</v>
          </cell>
          <cell r="CC44">
            <v>0</v>
          </cell>
          <cell r="CF44">
            <v>0</v>
          </cell>
          <cell r="CG44">
            <v>0</v>
          </cell>
          <cell r="CH44">
            <v>0</v>
          </cell>
          <cell r="CI44">
            <v>193</v>
          </cell>
          <cell r="CL44">
            <v>49</v>
          </cell>
          <cell r="CM44">
            <v>49</v>
          </cell>
          <cell r="CN44">
            <v>57</v>
          </cell>
          <cell r="CO44">
            <v>194</v>
          </cell>
          <cell r="CR44">
            <v>44</v>
          </cell>
          <cell r="CS44">
            <v>41.75</v>
          </cell>
          <cell r="CT44">
            <v>41.75</v>
          </cell>
          <cell r="CU44">
            <v>166.5</v>
          </cell>
          <cell r="CX44">
            <v>35</v>
          </cell>
          <cell r="CY44">
            <v>35</v>
          </cell>
          <cell r="CZ44">
            <v>35</v>
          </cell>
          <cell r="DA44">
            <v>140</v>
          </cell>
          <cell r="DD44">
            <v>33.25</v>
          </cell>
          <cell r="DE44">
            <v>33.25</v>
          </cell>
          <cell r="DF44">
            <v>33.25</v>
          </cell>
          <cell r="DG44">
            <v>133</v>
          </cell>
        </row>
        <row r="45">
          <cell r="AI45">
            <v>102</v>
          </cell>
          <cell r="AJ45">
            <v>102</v>
          </cell>
          <cell r="AK45">
            <v>102</v>
          </cell>
          <cell r="AL45">
            <v>102</v>
          </cell>
          <cell r="AP45">
            <v>102</v>
          </cell>
          <cell r="AQ45">
            <v>102</v>
          </cell>
          <cell r="AR45">
            <v>102</v>
          </cell>
          <cell r="AS45">
            <v>408</v>
          </cell>
          <cell r="AV45">
            <v>102</v>
          </cell>
          <cell r="AW45">
            <v>102</v>
          </cell>
          <cell r="AX45">
            <v>102</v>
          </cell>
          <cell r="AY45">
            <v>408</v>
          </cell>
          <cell r="BB45">
            <v>106</v>
          </cell>
          <cell r="BC45">
            <v>99</v>
          </cell>
          <cell r="BD45">
            <v>102</v>
          </cell>
          <cell r="BE45">
            <v>413</v>
          </cell>
          <cell r="BH45">
            <v>102</v>
          </cell>
          <cell r="BI45">
            <v>100</v>
          </cell>
          <cell r="BJ45">
            <v>124</v>
          </cell>
          <cell r="BK45">
            <v>423</v>
          </cell>
          <cell r="BN45">
            <v>104</v>
          </cell>
          <cell r="BO45">
            <v>97</v>
          </cell>
          <cell r="BP45">
            <v>97</v>
          </cell>
          <cell r="BQ45">
            <v>397</v>
          </cell>
          <cell r="BT45">
            <v>84</v>
          </cell>
          <cell r="BU45">
            <v>80</v>
          </cell>
          <cell r="BV45">
            <v>89</v>
          </cell>
          <cell r="BW45">
            <v>339</v>
          </cell>
          <cell r="BZ45">
            <v>97</v>
          </cell>
          <cell r="CA45">
            <v>90</v>
          </cell>
          <cell r="CB45">
            <v>85</v>
          </cell>
          <cell r="CC45">
            <v>362</v>
          </cell>
          <cell r="CF45">
            <v>92</v>
          </cell>
          <cell r="CG45">
            <v>83</v>
          </cell>
          <cell r="CH45">
            <v>85</v>
          </cell>
          <cell r="CI45">
            <v>349</v>
          </cell>
          <cell r="CL45">
            <v>68</v>
          </cell>
          <cell r="CM45">
            <v>68</v>
          </cell>
          <cell r="CN45">
            <v>90</v>
          </cell>
          <cell r="CO45">
            <v>292</v>
          </cell>
          <cell r="CR45">
            <v>65</v>
          </cell>
          <cell r="CS45">
            <v>63.5</v>
          </cell>
          <cell r="CT45">
            <v>63.5</v>
          </cell>
          <cell r="CU45">
            <v>250</v>
          </cell>
          <cell r="CX45">
            <v>60</v>
          </cell>
          <cell r="CY45">
            <v>60</v>
          </cell>
          <cell r="CZ45">
            <v>60</v>
          </cell>
          <cell r="DA45">
            <v>240</v>
          </cell>
          <cell r="DD45">
            <v>54.5</v>
          </cell>
          <cell r="DE45">
            <v>54.5</v>
          </cell>
          <cell r="DF45">
            <v>54.5</v>
          </cell>
          <cell r="DG45">
            <v>218</v>
          </cell>
        </row>
        <row r="46">
          <cell r="AI46">
            <v>47</v>
          </cell>
          <cell r="AJ46">
            <v>47</v>
          </cell>
          <cell r="AK46">
            <v>47</v>
          </cell>
          <cell r="AL46">
            <v>47</v>
          </cell>
          <cell r="AP46">
            <v>47</v>
          </cell>
          <cell r="AQ46">
            <v>47</v>
          </cell>
          <cell r="AR46">
            <v>47</v>
          </cell>
          <cell r="AS46">
            <v>188</v>
          </cell>
          <cell r="AV46">
            <v>47</v>
          </cell>
          <cell r="AW46">
            <v>47</v>
          </cell>
          <cell r="AX46">
            <v>47</v>
          </cell>
          <cell r="AY46">
            <v>188</v>
          </cell>
          <cell r="BB46">
            <v>47</v>
          </cell>
          <cell r="BC46">
            <v>47</v>
          </cell>
          <cell r="BD46">
            <v>47</v>
          </cell>
          <cell r="BE46">
            <v>188</v>
          </cell>
          <cell r="BH46">
            <v>47</v>
          </cell>
          <cell r="BI46">
            <v>47</v>
          </cell>
          <cell r="BJ46">
            <v>47</v>
          </cell>
          <cell r="BK46">
            <v>188</v>
          </cell>
          <cell r="BN46">
            <v>45</v>
          </cell>
          <cell r="BO46">
            <v>47</v>
          </cell>
          <cell r="BP46">
            <v>47</v>
          </cell>
          <cell r="BQ46">
            <v>178</v>
          </cell>
          <cell r="BT46">
            <v>44</v>
          </cell>
          <cell r="BU46">
            <v>47</v>
          </cell>
          <cell r="BV46">
            <v>41</v>
          </cell>
          <cell r="BW46">
            <v>164</v>
          </cell>
          <cell r="BZ46">
            <v>39</v>
          </cell>
          <cell r="CA46">
            <v>39</v>
          </cell>
          <cell r="CB46">
            <v>32</v>
          </cell>
          <cell r="CC46">
            <v>137</v>
          </cell>
          <cell r="CF46">
            <v>33</v>
          </cell>
          <cell r="CG46">
            <v>34</v>
          </cell>
          <cell r="CH46">
            <v>28</v>
          </cell>
          <cell r="CI46">
            <v>116</v>
          </cell>
          <cell r="CM46">
            <v>0</v>
          </cell>
          <cell r="CN46">
            <v>0</v>
          </cell>
          <cell r="CO46">
            <v>32</v>
          </cell>
          <cell r="CR46">
            <v>17.75</v>
          </cell>
          <cell r="CS46">
            <v>17.75</v>
          </cell>
          <cell r="CT46">
            <v>17.75</v>
          </cell>
          <cell r="CU46">
            <v>71</v>
          </cell>
          <cell r="CX46">
            <v>11.75</v>
          </cell>
          <cell r="CY46">
            <v>11.75</v>
          </cell>
          <cell r="CZ46">
            <v>11.75</v>
          </cell>
          <cell r="DA46">
            <v>47</v>
          </cell>
          <cell r="DD46">
            <v>0</v>
          </cell>
          <cell r="DE46">
            <v>0</v>
          </cell>
          <cell r="DF46">
            <v>0</v>
          </cell>
          <cell r="DG46">
            <v>0</v>
          </cell>
        </row>
        <row r="47">
          <cell r="AI47">
            <v>0</v>
          </cell>
          <cell r="AJ47">
            <v>0</v>
          </cell>
          <cell r="AK47">
            <v>0</v>
          </cell>
          <cell r="AL47">
            <v>0</v>
          </cell>
          <cell r="AP47">
            <v>0</v>
          </cell>
          <cell r="AQ47">
            <v>0</v>
          </cell>
          <cell r="AR47">
            <v>0</v>
          </cell>
          <cell r="AS47">
            <v>0</v>
          </cell>
          <cell r="AV47">
            <v>0</v>
          </cell>
          <cell r="AW47">
            <v>0</v>
          </cell>
          <cell r="AX47">
            <v>0</v>
          </cell>
          <cell r="AY47">
            <v>0</v>
          </cell>
          <cell r="BB47">
            <v>0</v>
          </cell>
          <cell r="BC47">
            <v>0</v>
          </cell>
          <cell r="BD47">
            <v>0</v>
          </cell>
          <cell r="BE47">
            <v>0</v>
          </cell>
          <cell r="BH47">
            <v>199</v>
          </cell>
          <cell r="BI47">
            <v>199</v>
          </cell>
          <cell r="BJ47">
            <v>158</v>
          </cell>
          <cell r="BK47">
            <v>721</v>
          </cell>
          <cell r="BN47">
            <v>194</v>
          </cell>
          <cell r="BO47">
            <v>193</v>
          </cell>
          <cell r="BP47">
            <v>153</v>
          </cell>
          <cell r="BQ47">
            <v>720</v>
          </cell>
          <cell r="BT47">
            <v>215</v>
          </cell>
          <cell r="BU47">
            <v>208</v>
          </cell>
          <cell r="BV47">
            <v>178</v>
          </cell>
          <cell r="BW47">
            <v>789</v>
          </cell>
          <cell r="BZ47">
            <v>179</v>
          </cell>
          <cell r="CA47">
            <v>197</v>
          </cell>
          <cell r="CB47">
            <v>186</v>
          </cell>
          <cell r="CC47">
            <v>730</v>
          </cell>
          <cell r="CF47">
            <v>168</v>
          </cell>
          <cell r="CG47">
            <v>179</v>
          </cell>
          <cell r="CH47">
            <v>159</v>
          </cell>
          <cell r="CI47">
            <v>652</v>
          </cell>
          <cell r="CL47">
            <v>176</v>
          </cell>
          <cell r="CM47">
            <v>176</v>
          </cell>
          <cell r="CN47">
            <v>163</v>
          </cell>
          <cell r="CO47">
            <v>669</v>
          </cell>
          <cell r="CR47">
            <v>153</v>
          </cell>
          <cell r="CS47">
            <v>154.25</v>
          </cell>
          <cell r="CT47">
            <v>154.25</v>
          </cell>
          <cell r="CU47">
            <v>606.5</v>
          </cell>
          <cell r="CX47">
            <v>139</v>
          </cell>
          <cell r="CY47">
            <v>139</v>
          </cell>
          <cell r="CZ47">
            <v>139</v>
          </cell>
          <cell r="DA47">
            <v>556</v>
          </cell>
          <cell r="DD47">
            <v>128.5</v>
          </cell>
          <cell r="DE47">
            <v>128.5</v>
          </cell>
          <cell r="DF47">
            <v>128.5</v>
          </cell>
          <cell r="DG47">
            <v>514</v>
          </cell>
        </row>
        <row r="48">
          <cell r="AI48">
            <v>0</v>
          </cell>
          <cell r="AJ48">
            <v>0</v>
          </cell>
          <cell r="AK48">
            <v>0</v>
          </cell>
          <cell r="AL48">
            <v>0</v>
          </cell>
          <cell r="AP48">
            <v>0</v>
          </cell>
          <cell r="AQ48">
            <v>0</v>
          </cell>
          <cell r="AR48">
            <v>0</v>
          </cell>
          <cell r="AS48">
            <v>0</v>
          </cell>
          <cell r="AV48">
            <v>0</v>
          </cell>
          <cell r="AW48">
            <v>0</v>
          </cell>
          <cell r="AX48">
            <v>0</v>
          </cell>
          <cell r="AY48">
            <v>0</v>
          </cell>
          <cell r="BB48">
            <v>0</v>
          </cell>
          <cell r="BC48">
            <v>0</v>
          </cell>
          <cell r="BD48">
            <v>0</v>
          </cell>
          <cell r="BE48">
            <v>0</v>
          </cell>
          <cell r="BH48">
            <v>0</v>
          </cell>
          <cell r="BI48">
            <v>0</v>
          </cell>
          <cell r="BJ48">
            <v>0</v>
          </cell>
          <cell r="BK48">
            <v>0</v>
          </cell>
          <cell r="BN48">
            <v>0</v>
          </cell>
          <cell r="BO48">
            <v>0</v>
          </cell>
          <cell r="BP48">
            <v>0</v>
          </cell>
          <cell r="BQ48">
            <v>0</v>
          </cell>
          <cell r="BT48">
            <v>0</v>
          </cell>
          <cell r="BU48">
            <v>0</v>
          </cell>
          <cell r="BV48">
            <v>0</v>
          </cell>
          <cell r="BW48">
            <v>0</v>
          </cell>
          <cell r="BZ48">
            <v>0</v>
          </cell>
          <cell r="CA48">
            <v>0</v>
          </cell>
          <cell r="CB48">
            <v>0</v>
          </cell>
          <cell r="CC48">
            <v>0</v>
          </cell>
          <cell r="CF48">
            <v>0</v>
          </cell>
          <cell r="CG48">
            <v>0</v>
          </cell>
          <cell r="CH48">
            <v>0</v>
          </cell>
          <cell r="CI48">
            <v>0</v>
          </cell>
          <cell r="CL48">
            <v>0</v>
          </cell>
          <cell r="CM48">
            <v>0</v>
          </cell>
          <cell r="CN48">
            <v>0</v>
          </cell>
          <cell r="CO48">
            <v>0</v>
          </cell>
          <cell r="CR48">
            <v>0</v>
          </cell>
          <cell r="CS48">
            <v>0</v>
          </cell>
          <cell r="CT48">
            <v>0</v>
          </cell>
          <cell r="CU48">
            <v>0</v>
          </cell>
          <cell r="CX48">
            <v>8.25</v>
          </cell>
          <cell r="CY48">
            <v>8.25</v>
          </cell>
          <cell r="CZ48">
            <v>8.25</v>
          </cell>
          <cell r="DA48">
            <v>33</v>
          </cell>
          <cell r="DD48">
            <v>9.25</v>
          </cell>
          <cell r="DE48">
            <v>9.25</v>
          </cell>
          <cell r="DF48">
            <v>9.25</v>
          </cell>
          <cell r="DG48">
            <v>37</v>
          </cell>
        </row>
        <row r="51">
          <cell r="AI51">
            <v>599</v>
          </cell>
          <cell r="AJ51">
            <v>599</v>
          </cell>
          <cell r="AK51">
            <v>599</v>
          </cell>
          <cell r="AL51">
            <v>599</v>
          </cell>
          <cell r="AP51">
            <v>599</v>
          </cell>
          <cell r="AQ51">
            <v>599</v>
          </cell>
          <cell r="AR51">
            <v>599</v>
          </cell>
          <cell r="AS51">
            <v>2396</v>
          </cell>
          <cell r="AV51">
            <v>599</v>
          </cell>
          <cell r="AW51">
            <v>599</v>
          </cell>
          <cell r="AX51">
            <v>599</v>
          </cell>
          <cell r="AY51">
            <v>2396</v>
          </cell>
          <cell r="BB51">
            <v>507</v>
          </cell>
          <cell r="BC51">
            <v>527</v>
          </cell>
          <cell r="BD51">
            <v>599</v>
          </cell>
          <cell r="BE51">
            <v>2113</v>
          </cell>
          <cell r="BH51">
            <v>481</v>
          </cell>
          <cell r="BI51">
            <v>541</v>
          </cell>
          <cell r="BJ51">
            <v>566</v>
          </cell>
          <cell r="BK51">
            <v>2129</v>
          </cell>
          <cell r="BN51">
            <v>531</v>
          </cell>
          <cell r="BO51">
            <v>561</v>
          </cell>
          <cell r="BP51">
            <v>598</v>
          </cell>
          <cell r="BQ51">
            <v>2273</v>
          </cell>
          <cell r="BT51">
            <v>498</v>
          </cell>
          <cell r="BU51">
            <v>481</v>
          </cell>
          <cell r="BV51">
            <v>513</v>
          </cell>
          <cell r="BW51">
            <v>2012</v>
          </cell>
          <cell r="BZ51">
            <v>515</v>
          </cell>
          <cell r="CA51">
            <v>494</v>
          </cell>
          <cell r="CB51">
            <v>519</v>
          </cell>
          <cell r="CC51">
            <v>1982</v>
          </cell>
          <cell r="CF51">
            <v>528</v>
          </cell>
          <cell r="CG51">
            <v>479</v>
          </cell>
          <cell r="CH51">
            <v>464</v>
          </cell>
          <cell r="CI51">
            <v>1868</v>
          </cell>
          <cell r="CL51">
            <v>610</v>
          </cell>
          <cell r="CM51">
            <v>536</v>
          </cell>
          <cell r="CN51">
            <v>501</v>
          </cell>
          <cell r="CO51">
            <v>2060</v>
          </cell>
          <cell r="CR51">
            <v>549</v>
          </cell>
          <cell r="CS51">
            <v>517</v>
          </cell>
          <cell r="CT51">
            <v>517</v>
          </cell>
          <cell r="CU51">
            <v>2081</v>
          </cell>
          <cell r="CX51">
            <v>471.5</v>
          </cell>
          <cell r="CY51">
            <v>471.5</v>
          </cell>
          <cell r="CZ51">
            <v>471.5</v>
          </cell>
          <cell r="DA51">
            <v>1886</v>
          </cell>
          <cell r="DD51">
            <v>309.5</v>
          </cell>
          <cell r="DE51">
            <v>309.5</v>
          </cell>
          <cell r="DF51">
            <v>309.5</v>
          </cell>
          <cell r="DG51">
            <v>1238</v>
          </cell>
        </row>
        <row r="52">
          <cell r="AI52">
            <v>0</v>
          </cell>
          <cell r="AJ52">
            <v>0</v>
          </cell>
          <cell r="AK52">
            <v>0</v>
          </cell>
          <cell r="AL52">
            <v>0</v>
          </cell>
          <cell r="AP52">
            <v>0</v>
          </cell>
          <cell r="AQ52">
            <v>0</v>
          </cell>
          <cell r="AR52">
            <v>0</v>
          </cell>
          <cell r="AS52">
            <v>0</v>
          </cell>
          <cell r="AV52">
            <v>0</v>
          </cell>
          <cell r="AW52">
            <v>0</v>
          </cell>
          <cell r="AX52">
            <v>0</v>
          </cell>
          <cell r="AY52">
            <v>0</v>
          </cell>
          <cell r="BB52">
            <v>0</v>
          </cell>
          <cell r="BC52">
            <v>0</v>
          </cell>
          <cell r="BD52">
            <v>0</v>
          </cell>
          <cell r="BE52">
            <v>0</v>
          </cell>
          <cell r="BH52">
            <v>0</v>
          </cell>
          <cell r="BI52">
            <v>0</v>
          </cell>
          <cell r="BJ52">
            <v>0</v>
          </cell>
          <cell r="BK52">
            <v>0</v>
          </cell>
          <cell r="BN52">
            <v>0</v>
          </cell>
          <cell r="BO52">
            <v>0</v>
          </cell>
          <cell r="BP52">
            <v>0</v>
          </cell>
          <cell r="BQ52">
            <v>0</v>
          </cell>
          <cell r="BT52">
            <v>0</v>
          </cell>
          <cell r="BU52">
            <v>0</v>
          </cell>
          <cell r="BV52">
            <v>0</v>
          </cell>
          <cell r="BW52">
            <v>69</v>
          </cell>
          <cell r="BZ52">
            <v>173</v>
          </cell>
          <cell r="CA52">
            <v>166</v>
          </cell>
          <cell r="CB52">
            <v>185</v>
          </cell>
          <cell r="CC52">
            <v>704</v>
          </cell>
          <cell r="CF52">
            <v>169</v>
          </cell>
          <cell r="CG52">
            <v>150</v>
          </cell>
          <cell r="CH52">
            <v>175</v>
          </cell>
          <cell r="CI52">
            <v>631</v>
          </cell>
          <cell r="CL52">
            <v>170</v>
          </cell>
          <cell r="CM52">
            <v>163</v>
          </cell>
          <cell r="CN52">
            <v>170</v>
          </cell>
          <cell r="CO52">
            <v>663</v>
          </cell>
          <cell r="CR52">
            <v>153</v>
          </cell>
          <cell r="CS52">
            <v>162.75</v>
          </cell>
          <cell r="CT52">
            <v>162.75</v>
          </cell>
          <cell r="CU52">
            <v>651</v>
          </cell>
          <cell r="CX52">
            <v>152.25</v>
          </cell>
          <cell r="CY52">
            <v>152.25</v>
          </cell>
          <cell r="CZ52">
            <v>152.25</v>
          </cell>
          <cell r="DA52">
            <v>609</v>
          </cell>
          <cell r="DD52">
            <v>143.75</v>
          </cell>
          <cell r="DE52">
            <v>143.75</v>
          </cell>
          <cell r="DF52">
            <v>143.75</v>
          </cell>
          <cell r="DG52">
            <v>575</v>
          </cell>
        </row>
        <row r="53">
          <cell r="AI53">
            <v>353</v>
          </cell>
          <cell r="AJ53">
            <v>353</v>
          </cell>
          <cell r="AK53">
            <v>353</v>
          </cell>
          <cell r="AL53">
            <v>353</v>
          </cell>
          <cell r="AP53">
            <v>353</v>
          </cell>
          <cell r="AQ53">
            <v>353</v>
          </cell>
          <cell r="AR53">
            <v>353</v>
          </cell>
          <cell r="AS53">
            <v>1412</v>
          </cell>
          <cell r="AV53">
            <v>353</v>
          </cell>
          <cell r="AW53">
            <v>353</v>
          </cell>
          <cell r="AX53">
            <v>353</v>
          </cell>
          <cell r="AY53">
            <v>1412</v>
          </cell>
          <cell r="BB53">
            <v>461</v>
          </cell>
          <cell r="BC53">
            <v>300</v>
          </cell>
          <cell r="BD53">
            <v>353</v>
          </cell>
          <cell r="BE53">
            <v>1507</v>
          </cell>
          <cell r="BH53">
            <v>376</v>
          </cell>
          <cell r="BI53">
            <v>408</v>
          </cell>
          <cell r="BJ53">
            <v>418</v>
          </cell>
          <cell r="BK53">
            <v>1589</v>
          </cell>
          <cell r="BN53">
            <v>355</v>
          </cell>
          <cell r="BO53">
            <v>360</v>
          </cell>
          <cell r="BP53">
            <v>374</v>
          </cell>
          <cell r="BQ53">
            <v>1460</v>
          </cell>
          <cell r="BT53">
            <v>263</v>
          </cell>
          <cell r="BU53">
            <v>293</v>
          </cell>
          <cell r="BV53">
            <v>359</v>
          </cell>
          <cell r="BW53">
            <v>1181</v>
          </cell>
          <cell r="BZ53">
            <v>278</v>
          </cell>
          <cell r="CA53">
            <v>291</v>
          </cell>
          <cell r="CB53">
            <v>273</v>
          </cell>
          <cell r="CC53">
            <v>1146</v>
          </cell>
          <cell r="CF53">
            <v>246</v>
          </cell>
          <cell r="CG53">
            <v>248</v>
          </cell>
          <cell r="CH53">
            <v>267</v>
          </cell>
          <cell r="CI53">
            <v>1007</v>
          </cell>
          <cell r="CL53">
            <v>252</v>
          </cell>
          <cell r="CM53">
            <v>242</v>
          </cell>
          <cell r="CN53">
            <v>245</v>
          </cell>
          <cell r="CO53">
            <v>1006</v>
          </cell>
          <cell r="CR53">
            <v>254</v>
          </cell>
          <cell r="CS53">
            <v>249.5</v>
          </cell>
          <cell r="CT53">
            <v>249.5</v>
          </cell>
          <cell r="CU53">
            <v>1000</v>
          </cell>
          <cell r="CX53">
            <v>247.5</v>
          </cell>
          <cell r="CY53">
            <v>247.5</v>
          </cell>
          <cell r="CZ53">
            <v>247.5</v>
          </cell>
          <cell r="DA53">
            <v>990</v>
          </cell>
          <cell r="DD53">
            <v>241.5</v>
          </cell>
          <cell r="DE53">
            <v>241.5</v>
          </cell>
          <cell r="DF53">
            <v>241.5</v>
          </cell>
          <cell r="DG53">
            <v>966</v>
          </cell>
        </row>
        <row r="54">
          <cell r="AI54">
            <v>325</v>
          </cell>
          <cell r="AJ54">
            <v>325</v>
          </cell>
          <cell r="AK54">
            <v>325</v>
          </cell>
          <cell r="AL54">
            <v>325</v>
          </cell>
          <cell r="AP54">
            <v>325</v>
          </cell>
          <cell r="AQ54">
            <v>325</v>
          </cell>
          <cell r="AR54">
            <v>325</v>
          </cell>
          <cell r="AS54">
            <v>1300</v>
          </cell>
          <cell r="AV54">
            <v>325</v>
          </cell>
          <cell r="AW54">
            <v>325</v>
          </cell>
          <cell r="AX54">
            <v>325</v>
          </cell>
          <cell r="AY54">
            <v>1300</v>
          </cell>
          <cell r="BB54">
            <v>325</v>
          </cell>
          <cell r="BC54">
            <v>325</v>
          </cell>
          <cell r="BD54">
            <v>325</v>
          </cell>
          <cell r="BE54">
            <v>1300</v>
          </cell>
          <cell r="BH54">
            <v>325</v>
          </cell>
          <cell r="BI54">
            <v>325</v>
          </cell>
          <cell r="BJ54">
            <v>325</v>
          </cell>
          <cell r="BK54">
            <v>1300</v>
          </cell>
          <cell r="BN54">
            <v>325</v>
          </cell>
          <cell r="BO54">
            <v>325</v>
          </cell>
          <cell r="BP54">
            <v>325</v>
          </cell>
          <cell r="BQ54">
            <v>1300</v>
          </cell>
        </row>
        <row r="55">
          <cell r="AI55">
            <v>28</v>
          </cell>
          <cell r="AJ55">
            <v>28</v>
          </cell>
          <cell r="AK55">
            <v>28</v>
          </cell>
          <cell r="AL55">
            <v>28</v>
          </cell>
          <cell r="AP55">
            <v>28</v>
          </cell>
          <cell r="AQ55">
            <v>28</v>
          </cell>
          <cell r="AR55">
            <v>28</v>
          </cell>
          <cell r="AS55">
            <v>200</v>
          </cell>
          <cell r="AV55">
            <v>28</v>
          </cell>
          <cell r="AW55">
            <v>28</v>
          </cell>
          <cell r="AX55">
            <v>28</v>
          </cell>
          <cell r="AY55">
            <v>200</v>
          </cell>
          <cell r="BB55">
            <v>136</v>
          </cell>
          <cell r="BC55">
            <v>-25</v>
          </cell>
          <cell r="BD55">
            <v>28</v>
          </cell>
          <cell r="BE55">
            <v>200</v>
          </cell>
          <cell r="BH55">
            <v>51</v>
          </cell>
          <cell r="BI55">
            <v>83</v>
          </cell>
          <cell r="BJ55">
            <v>93</v>
          </cell>
          <cell r="BK55">
            <v>200</v>
          </cell>
          <cell r="BN55">
            <v>30</v>
          </cell>
          <cell r="BO55">
            <v>35</v>
          </cell>
          <cell r="BP55">
            <v>49</v>
          </cell>
          <cell r="BQ55">
            <v>200</v>
          </cell>
        </row>
        <row r="56">
          <cell r="AI56">
            <v>61</v>
          </cell>
          <cell r="AJ56">
            <v>61</v>
          </cell>
          <cell r="AK56">
            <v>61</v>
          </cell>
          <cell r="AL56">
            <v>61</v>
          </cell>
          <cell r="AP56">
            <v>61</v>
          </cell>
          <cell r="AQ56">
            <v>61</v>
          </cell>
          <cell r="AR56">
            <v>61</v>
          </cell>
          <cell r="AS56">
            <v>244</v>
          </cell>
          <cell r="AV56">
            <v>61</v>
          </cell>
          <cell r="AW56">
            <v>61</v>
          </cell>
          <cell r="AX56">
            <v>61</v>
          </cell>
          <cell r="AY56">
            <v>244</v>
          </cell>
          <cell r="BB56">
            <v>56</v>
          </cell>
          <cell r="BC56">
            <v>66</v>
          </cell>
          <cell r="BD56">
            <v>61</v>
          </cell>
          <cell r="BE56">
            <v>243</v>
          </cell>
          <cell r="BH56">
            <v>66</v>
          </cell>
          <cell r="BI56">
            <v>64</v>
          </cell>
          <cell r="BJ56">
            <v>63</v>
          </cell>
          <cell r="BK56">
            <v>255</v>
          </cell>
          <cell r="BN56">
            <v>57</v>
          </cell>
          <cell r="BO56">
            <v>65</v>
          </cell>
          <cell r="BP56">
            <v>65</v>
          </cell>
          <cell r="BQ56">
            <v>248</v>
          </cell>
          <cell r="BT56">
            <v>57</v>
          </cell>
          <cell r="BU56">
            <v>59</v>
          </cell>
          <cell r="BV56">
            <v>61</v>
          </cell>
          <cell r="BW56">
            <v>236</v>
          </cell>
          <cell r="BZ56">
            <v>56</v>
          </cell>
          <cell r="CA56">
            <v>62</v>
          </cell>
          <cell r="CB56">
            <v>66</v>
          </cell>
          <cell r="CC56">
            <v>243</v>
          </cell>
          <cell r="CF56">
            <v>56</v>
          </cell>
          <cell r="CG56">
            <v>58</v>
          </cell>
          <cell r="CH56">
            <v>45</v>
          </cell>
          <cell r="CI56">
            <v>205</v>
          </cell>
          <cell r="CL56">
            <v>60</v>
          </cell>
          <cell r="CM56">
            <v>55</v>
          </cell>
          <cell r="CN56">
            <v>59</v>
          </cell>
          <cell r="CO56">
            <v>230</v>
          </cell>
          <cell r="CR56">
            <v>51</v>
          </cell>
          <cell r="CS56">
            <v>50.25</v>
          </cell>
          <cell r="CT56">
            <v>50.25</v>
          </cell>
          <cell r="CU56">
            <v>201.5</v>
          </cell>
          <cell r="CX56">
            <v>55.5</v>
          </cell>
          <cell r="CY56">
            <v>55.5</v>
          </cell>
          <cell r="CZ56">
            <v>55.5</v>
          </cell>
          <cell r="DA56">
            <v>222</v>
          </cell>
          <cell r="DD56">
            <v>59.5</v>
          </cell>
          <cell r="DE56">
            <v>59.5</v>
          </cell>
          <cell r="DF56">
            <v>59.5</v>
          </cell>
          <cell r="DG56">
            <v>238</v>
          </cell>
        </row>
        <row r="57">
          <cell r="AI57">
            <v>220</v>
          </cell>
          <cell r="AJ57">
            <v>220</v>
          </cell>
          <cell r="AK57">
            <v>220</v>
          </cell>
          <cell r="AL57">
            <v>220</v>
          </cell>
          <cell r="AP57">
            <v>220</v>
          </cell>
          <cell r="AQ57">
            <v>220</v>
          </cell>
          <cell r="AR57">
            <v>220</v>
          </cell>
          <cell r="AS57">
            <v>880</v>
          </cell>
          <cell r="AV57">
            <v>220</v>
          </cell>
          <cell r="AW57">
            <v>220</v>
          </cell>
          <cell r="AX57">
            <v>220</v>
          </cell>
          <cell r="AY57">
            <v>880</v>
          </cell>
          <cell r="BB57">
            <v>222</v>
          </cell>
          <cell r="BC57">
            <v>223</v>
          </cell>
          <cell r="BD57">
            <v>220</v>
          </cell>
          <cell r="BE57">
            <v>883</v>
          </cell>
          <cell r="BH57">
            <v>232</v>
          </cell>
          <cell r="BI57">
            <v>195</v>
          </cell>
          <cell r="BJ57">
            <v>334</v>
          </cell>
          <cell r="BK57">
            <v>1055</v>
          </cell>
          <cell r="BN57">
            <v>140</v>
          </cell>
          <cell r="BO57">
            <v>118</v>
          </cell>
          <cell r="BP57">
            <v>203</v>
          </cell>
          <cell r="BQ57">
            <v>576</v>
          </cell>
          <cell r="BT57">
            <v>88</v>
          </cell>
          <cell r="BU57">
            <v>76</v>
          </cell>
          <cell r="BV57">
            <v>78</v>
          </cell>
          <cell r="BW57">
            <v>323</v>
          </cell>
          <cell r="BZ57">
            <v>104</v>
          </cell>
          <cell r="CA57">
            <v>86</v>
          </cell>
          <cell r="CB57">
            <v>100</v>
          </cell>
          <cell r="CC57">
            <v>389</v>
          </cell>
          <cell r="CF57">
            <v>81</v>
          </cell>
          <cell r="CG57">
            <v>108</v>
          </cell>
          <cell r="CH57">
            <v>91</v>
          </cell>
          <cell r="CI57">
            <v>346</v>
          </cell>
          <cell r="CL57">
            <v>583</v>
          </cell>
          <cell r="CM57">
            <v>58</v>
          </cell>
          <cell r="CN57">
            <v>67</v>
          </cell>
          <cell r="CO57">
            <v>259</v>
          </cell>
          <cell r="CR57">
            <v>596</v>
          </cell>
          <cell r="CS57">
            <v>63.5</v>
          </cell>
          <cell r="CT57">
            <v>63.5</v>
          </cell>
          <cell r="CU57">
            <v>1289</v>
          </cell>
          <cell r="CX57">
            <v>72.5</v>
          </cell>
          <cell r="CY57">
            <v>72.5</v>
          </cell>
          <cell r="CZ57">
            <v>72.5</v>
          </cell>
          <cell r="DA57">
            <v>290</v>
          </cell>
          <cell r="DD57">
            <v>79.5</v>
          </cell>
          <cell r="DE57">
            <v>79.5</v>
          </cell>
          <cell r="DF57">
            <v>79.5</v>
          </cell>
          <cell r="DG57">
            <v>318</v>
          </cell>
        </row>
        <row r="58">
          <cell r="AI58">
            <v>11.667999999999999</v>
          </cell>
          <cell r="AJ58">
            <v>11.667999999999999</v>
          </cell>
          <cell r="AK58">
            <v>11.667999999999999</v>
          </cell>
          <cell r="AL58">
            <v>11.667999999999999</v>
          </cell>
          <cell r="AP58">
            <v>11.667999999999999</v>
          </cell>
          <cell r="AQ58">
            <v>11.667999999999999</v>
          </cell>
          <cell r="AR58">
            <v>11.667999999999999</v>
          </cell>
          <cell r="AS58">
            <v>46.671999999999997</v>
          </cell>
          <cell r="AV58">
            <v>11.667999999999999</v>
          </cell>
          <cell r="AW58">
            <v>11.667999999999999</v>
          </cell>
          <cell r="AX58">
            <v>11.667999999999999</v>
          </cell>
          <cell r="AY58">
            <v>46.671999999999997</v>
          </cell>
          <cell r="BB58">
            <v>11.856</v>
          </cell>
          <cell r="BC58">
            <v>13.319000000000001</v>
          </cell>
          <cell r="BD58">
            <v>11.667999999999999</v>
          </cell>
          <cell r="BE58">
            <v>49.533000000000001</v>
          </cell>
          <cell r="BH58">
            <v>13.359</v>
          </cell>
          <cell r="BI58">
            <v>13.086</v>
          </cell>
          <cell r="BJ58">
            <v>13.718999999999999</v>
          </cell>
          <cell r="BK58">
            <v>53.523000000000003</v>
          </cell>
          <cell r="BN58">
            <v>11.438000000000001</v>
          </cell>
          <cell r="BO58">
            <v>11.329000000000001</v>
          </cell>
          <cell r="BP58">
            <v>12.606</v>
          </cell>
          <cell r="BQ58">
            <v>46.483000000000004</v>
          </cell>
          <cell r="BT58">
            <v>11.519</v>
          </cell>
          <cell r="BU58">
            <v>11.065</v>
          </cell>
          <cell r="BV58">
            <v>10.788</v>
          </cell>
          <cell r="BW58">
            <v>44.298999999999992</v>
          </cell>
          <cell r="BZ58">
            <v>11.64</v>
          </cell>
          <cell r="CA58">
            <v>11.18</v>
          </cell>
          <cell r="CB58">
            <v>10.734999999999999</v>
          </cell>
          <cell r="CC58">
            <v>44.507999999999996</v>
          </cell>
          <cell r="CF58">
            <v>10.87</v>
          </cell>
          <cell r="CG58">
            <v>10.904999999999999</v>
          </cell>
          <cell r="CH58">
            <v>10.53</v>
          </cell>
          <cell r="CI58">
            <v>42.320999999999998</v>
          </cell>
          <cell r="CL58">
            <v>8.4979999999999993</v>
          </cell>
          <cell r="CM58">
            <v>8.4710000000000001</v>
          </cell>
          <cell r="CN58">
            <v>9.1850000000000005</v>
          </cell>
          <cell r="CO58">
            <v>34.341999999999999</v>
          </cell>
          <cell r="CR58">
            <v>8.8580000000000005</v>
          </cell>
          <cell r="CS58">
            <v>8.6207499999999992</v>
          </cell>
          <cell r="CT58">
            <v>8.6207499999999992</v>
          </cell>
          <cell r="CU58">
            <v>34.261500000000005</v>
          </cell>
          <cell r="CX58">
            <v>7.8464999999999998</v>
          </cell>
          <cell r="CY58">
            <v>7.8464999999999998</v>
          </cell>
          <cell r="CZ58">
            <v>7.8464999999999998</v>
          </cell>
          <cell r="DA58">
            <v>31.385999999999999</v>
          </cell>
          <cell r="DD58">
            <v>7.3535000000000004</v>
          </cell>
          <cell r="DE58">
            <v>7.3535000000000004</v>
          </cell>
          <cell r="DF58">
            <v>7.3535000000000004</v>
          </cell>
          <cell r="DG58">
            <v>29.414000000000001</v>
          </cell>
        </row>
        <row r="59">
          <cell r="AI59">
            <v>0</v>
          </cell>
          <cell r="AJ59">
            <v>0</v>
          </cell>
          <cell r="AK59">
            <v>0</v>
          </cell>
          <cell r="AL59">
            <v>0</v>
          </cell>
          <cell r="AP59">
            <v>0</v>
          </cell>
          <cell r="AQ59">
            <v>0</v>
          </cell>
          <cell r="AR59">
            <v>0</v>
          </cell>
          <cell r="AS59">
            <v>0</v>
          </cell>
          <cell r="AV59">
            <v>0</v>
          </cell>
          <cell r="AW59">
            <v>0</v>
          </cell>
          <cell r="AX59">
            <v>0</v>
          </cell>
          <cell r="AY59">
            <v>0</v>
          </cell>
          <cell r="BB59">
            <v>0</v>
          </cell>
          <cell r="BC59">
            <v>0</v>
          </cell>
          <cell r="BD59">
            <v>0</v>
          </cell>
          <cell r="BE59">
            <v>0</v>
          </cell>
          <cell r="BH59">
            <v>0</v>
          </cell>
          <cell r="BI59">
            <v>0</v>
          </cell>
          <cell r="BJ59">
            <v>0</v>
          </cell>
          <cell r="BK59">
            <v>0</v>
          </cell>
          <cell r="BN59">
            <v>0</v>
          </cell>
          <cell r="BO59">
            <v>0</v>
          </cell>
          <cell r="BP59">
            <v>0</v>
          </cell>
          <cell r="BQ59">
            <v>0</v>
          </cell>
          <cell r="BT59">
            <v>0</v>
          </cell>
          <cell r="BU59">
            <v>0</v>
          </cell>
          <cell r="BV59">
            <v>0</v>
          </cell>
          <cell r="BW59">
            <v>0</v>
          </cell>
          <cell r="BZ59">
            <v>0</v>
          </cell>
          <cell r="CA59">
            <v>0</v>
          </cell>
          <cell r="CB59">
            <v>0</v>
          </cell>
          <cell r="CC59">
            <v>0</v>
          </cell>
          <cell r="CF59">
            <v>0</v>
          </cell>
          <cell r="CG59">
            <v>0</v>
          </cell>
          <cell r="CH59">
            <v>0</v>
          </cell>
          <cell r="CI59">
            <v>0</v>
          </cell>
          <cell r="CL59">
            <v>6.25</v>
          </cell>
          <cell r="CM59">
            <v>6.25</v>
          </cell>
          <cell r="CN59">
            <v>6.25</v>
          </cell>
          <cell r="CO59">
            <v>25</v>
          </cell>
          <cell r="CR59">
            <v>6.25</v>
          </cell>
          <cell r="CS59">
            <v>6.25</v>
          </cell>
          <cell r="CT59">
            <v>6.25</v>
          </cell>
          <cell r="CU59">
            <v>25</v>
          </cell>
          <cell r="CX59">
            <v>6.25</v>
          </cell>
          <cell r="CY59">
            <v>6.25</v>
          </cell>
          <cell r="CZ59">
            <v>6.25</v>
          </cell>
          <cell r="DA59">
            <v>25</v>
          </cell>
          <cell r="DD59">
            <v>6.25</v>
          </cell>
          <cell r="DE59">
            <v>6.25</v>
          </cell>
          <cell r="DF59">
            <v>6.25</v>
          </cell>
          <cell r="DG59">
            <v>25</v>
          </cell>
        </row>
        <row r="60">
          <cell r="AI60">
            <v>646</v>
          </cell>
          <cell r="AJ60">
            <v>646</v>
          </cell>
          <cell r="AK60">
            <v>646</v>
          </cell>
          <cell r="AL60">
            <v>646</v>
          </cell>
          <cell r="AP60">
            <v>646</v>
          </cell>
          <cell r="AQ60">
            <v>646</v>
          </cell>
          <cell r="AR60">
            <v>646</v>
          </cell>
          <cell r="AS60">
            <v>2584</v>
          </cell>
          <cell r="AV60">
            <v>646</v>
          </cell>
          <cell r="AW60">
            <v>646</v>
          </cell>
          <cell r="AX60">
            <v>646</v>
          </cell>
          <cell r="AY60">
            <v>2584</v>
          </cell>
          <cell r="BB60">
            <v>817</v>
          </cell>
          <cell r="BC60">
            <v>548</v>
          </cell>
          <cell r="BD60">
            <v>646</v>
          </cell>
          <cell r="BE60">
            <v>2837</v>
          </cell>
          <cell r="BH60">
            <v>756</v>
          </cell>
          <cell r="BI60">
            <v>764</v>
          </cell>
          <cell r="BJ60">
            <v>897</v>
          </cell>
          <cell r="BK60">
            <v>3177</v>
          </cell>
          <cell r="BN60">
            <v>695</v>
          </cell>
          <cell r="BO60">
            <v>709</v>
          </cell>
          <cell r="BP60">
            <v>710</v>
          </cell>
          <cell r="BQ60">
            <v>2785</v>
          </cell>
          <cell r="BT60">
            <v>661</v>
          </cell>
          <cell r="BU60">
            <v>618</v>
          </cell>
          <cell r="BV60">
            <v>651</v>
          </cell>
          <cell r="BW60">
            <v>2546</v>
          </cell>
          <cell r="BZ60">
            <v>580</v>
          </cell>
          <cell r="CA60">
            <v>538</v>
          </cell>
          <cell r="CB60">
            <v>561</v>
          </cell>
          <cell r="CC60">
            <v>2229</v>
          </cell>
          <cell r="CF60">
            <v>516</v>
          </cell>
          <cell r="CG60">
            <v>514</v>
          </cell>
          <cell r="CH60">
            <v>538</v>
          </cell>
          <cell r="CI60">
            <v>2011</v>
          </cell>
          <cell r="CL60">
            <v>354</v>
          </cell>
          <cell r="CM60">
            <v>390</v>
          </cell>
          <cell r="CN60">
            <v>458</v>
          </cell>
          <cell r="CO60">
            <v>1467</v>
          </cell>
          <cell r="CR60">
            <v>234</v>
          </cell>
          <cell r="CS60">
            <v>246.25</v>
          </cell>
          <cell r="CT60">
            <v>246.25</v>
          </cell>
          <cell r="CU60">
            <v>955.5</v>
          </cell>
          <cell r="CX60">
            <v>212.75</v>
          </cell>
          <cell r="CY60">
            <v>212.75</v>
          </cell>
          <cell r="CZ60">
            <v>212.75</v>
          </cell>
          <cell r="DA60">
            <v>851</v>
          </cell>
          <cell r="DD60">
            <v>194.5</v>
          </cell>
          <cell r="DE60">
            <v>194.5</v>
          </cell>
          <cell r="DF60">
            <v>194.5</v>
          </cell>
          <cell r="DG60">
            <v>778</v>
          </cell>
        </row>
        <row r="61">
          <cell r="AI61">
            <v>1294.2777000000001</v>
          </cell>
          <cell r="AJ61">
            <v>1294.2777000000001</v>
          </cell>
          <cell r="AK61">
            <v>1294.2777000000001</v>
          </cell>
          <cell r="AL61">
            <v>1294.2777000000001</v>
          </cell>
          <cell r="AP61">
            <v>1294.2777000000001</v>
          </cell>
          <cell r="AQ61">
            <v>1294.2777000000001</v>
          </cell>
          <cell r="AR61">
            <v>1294.2777000000001</v>
          </cell>
          <cell r="AS61">
            <v>5177.1108000000004</v>
          </cell>
          <cell r="AV61">
            <v>1294.2777000000001</v>
          </cell>
          <cell r="AW61">
            <v>1294.2777000000001</v>
          </cell>
          <cell r="AX61">
            <v>1294.2777000000001</v>
          </cell>
          <cell r="AY61">
            <v>5177.1108000000004</v>
          </cell>
          <cell r="BB61">
            <v>1297.8661000000002</v>
          </cell>
          <cell r="BC61">
            <v>1169.9121</v>
          </cell>
          <cell r="BD61">
            <v>1294.2777000000001</v>
          </cell>
          <cell r="BE61">
            <v>4962.1599000000006</v>
          </cell>
          <cell r="BH61">
            <v>1204.2063000000001</v>
          </cell>
          <cell r="BI61">
            <v>1263.3443</v>
          </cell>
          <cell r="BJ61">
            <v>1438.9018000000001</v>
          </cell>
          <cell r="BK61">
            <v>5245.7967000000008</v>
          </cell>
          <cell r="BN61">
            <v>1137.3213000000001</v>
          </cell>
          <cell r="BO61">
            <v>1161.3903</v>
          </cell>
          <cell r="BP61">
            <v>1301.1754000000001</v>
          </cell>
          <cell r="BQ61">
            <v>4789.5279</v>
          </cell>
          <cell r="BT61">
            <v>956.94540000000006</v>
          </cell>
          <cell r="BU61">
            <v>958.20630000000006</v>
          </cell>
          <cell r="BV61">
            <v>1063.4799</v>
          </cell>
          <cell r="BW61">
            <v>4026.1702000000005</v>
          </cell>
          <cell r="CC61">
            <v>4738.7777999999998</v>
          </cell>
          <cell r="CI61">
            <v>4312.6476999999995</v>
          </cell>
          <cell r="CO61">
            <v>4496.5629000000008</v>
          </cell>
          <cell r="CU61">
            <v>5501.9835999999996</v>
          </cell>
          <cell r="DA61">
            <v>4252.2384999999995</v>
          </cell>
        </row>
        <row r="63">
          <cell r="AI63">
            <v>513</v>
          </cell>
          <cell r="AJ63">
            <v>513</v>
          </cell>
          <cell r="AK63">
            <v>513</v>
          </cell>
          <cell r="AL63">
            <v>513</v>
          </cell>
          <cell r="AP63">
            <v>541.5</v>
          </cell>
          <cell r="AQ63">
            <v>541.5</v>
          </cell>
          <cell r="AR63">
            <v>541.5</v>
          </cell>
          <cell r="AS63">
            <v>2166</v>
          </cell>
          <cell r="AV63">
            <v>524.4</v>
          </cell>
          <cell r="AW63">
            <v>541.5</v>
          </cell>
          <cell r="AX63">
            <v>541.5</v>
          </cell>
          <cell r="AY63">
            <v>2131.8000000000002</v>
          </cell>
          <cell r="BB63">
            <v>442.31999999999994</v>
          </cell>
          <cell r="BC63">
            <v>596.79</v>
          </cell>
          <cell r="BD63">
            <v>560.30999999999995</v>
          </cell>
          <cell r="BE63">
            <v>2098.17</v>
          </cell>
          <cell r="BH63">
            <v>489.05999999999995</v>
          </cell>
          <cell r="BI63">
            <v>445.73999999999995</v>
          </cell>
          <cell r="BJ63">
            <v>493.04999999999995</v>
          </cell>
          <cell r="BK63">
            <v>1964.79</v>
          </cell>
          <cell r="BN63">
            <v>434</v>
          </cell>
          <cell r="BO63">
            <v>443.79999999999995</v>
          </cell>
          <cell r="BP63">
            <v>539.69999999999993</v>
          </cell>
          <cell r="BQ63">
            <v>1835.3999999999996</v>
          </cell>
        </row>
        <row r="64">
          <cell r="AI64">
            <v>4.9999999999999929</v>
          </cell>
          <cell r="AJ64">
            <v>5</v>
          </cell>
          <cell r="AK64">
            <v>5</v>
          </cell>
          <cell r="AL64">
            <v>5</v>
          </cell>
          <cell r="AP64">
            <v>5</v>
          </cell>
          <cell r="AQ64">
            <v>5</v>
          </cell>
          <cell r="AR64">
            <v>5</v>
          </cell>
          <cell r="AV64">
            <v>0</v>
          </cell>
          <cell r="AW64">
            <v>1.6666666666666714</v>
          </cell>
          <cell r="AX64">
            <v>2.5</v>
          </cell>
          <cell r="BB64">
            <v>-2</v>
          </cell>
          <cell r="BC64">
            <v>-2</v>
          </cell>
          <cell r="BD64">
            <v>-0.83333333333334281</v>
          </cell>
          <cell r="BH64">
            <v>20</v>
          </cell>
          <cell r="BI64">
            <v>-25</v>
          </cell>
          <cell r="BJ64">
            <v>-5</v>
          </cell>
          <cell r="BN64">
            <v>40</v>
          </cell>
          <cell r="BO64">
            <v>20</v>
          </cell>
          <cell r="BP64">
            <v>0</v>
          </cell>
        </row>
        <row r="69">
          <cell r="BO69">
            <v>1999</v>
          </cell>
          <cell r="BU69" t="str">
            <v>1998E</v>
          </cell>
          <cell r="CA69">
            <v>1997</v>
          </cell>
          <cell r="CG69">
            <v>1996</v>
          </cell>
          <cell r="CM69">
            <v>1995</v>
          </cell>
          <cell r="CS69">
            <v>1994</v>
          </cell>
          <cell r="CY69">
            <v>1993</v>
          </cell>
          <cell r="DE69">
            <v>1992</v>
          </cell>
        </row>
        <row r="70">
          <cell r="BN70" t="str">
            <v>2QTR</v>
          </cell>
          <cell r="BO70" t="str">
            <v>3QTR</v>
          </cell>
          <cell r="BP70" t="str">
            <v>4QTR</v>
          </cell>
          <cell r="BQ70" t="str">
            <v>YEAR</v>
          </cell>
          <cell r="BT70" t="str">
            <v>2QTR</v>
          </cell>
          <cell r="BU70" t="str">
            <v>3QTR</v>
          </cell>
          <cell r="BV70" t="str">
            <v>4QTR</v>
          </cell>
          <cell r="BW70" t="str">
            <v>YEAR</v>
          </cell>
          <cell r="BZ70" t="str">
            <v>2QTR</v>
          </cell>
          <cell r="CA70" t="str">
            <v>3QTR</v>
          </cell>
          <cell r="CB70" t="str">
            <v>4QTR</v>
          </cell>
          <cell r="CC70" t="str">
            <v>YEAR</v>
          </cell>
          <cell r="CF70" t="str">
            <v>2QTR</v>
          </cell>
          <cell r="CG70" t="str">
            <v>3QTR</v>
          </cell>
          <cell r="CH70" t="str">
            <v>4QTR</v>
          </cell>
          <cell r="CI70" t="str">
            <v>YEAR</v>
          </cell>
          <cell r="CL70" t="str">
            <v>2QTR</v>
          </cell>
          <cell r="CM70" t="str">
            <v>3QTR</v>
          </cell>
          <cell r="CN70" t="str">
            <v>4QTR</v>
          </cell>
          <cell r="CO70" t="str">
            <v>YEAR</v>
          </cell>
          <cell r="CR70" t="str">
            <v>2QTR</v>
          </cell>
          <cell r="CS70" t="str">
            <v>3QTR</v>
          </cell>
          <cell r="CT70" t="str">
            <v>4QTR</v>
          </cell>
          <cell r="CU70" t="str">
            <v>YEAR</v>
          </cell>
          <cell r="CX70" t="str">
            <v>2QTR</v>
          </cell>
          <cell r="CY70" t="str">
            <v>3QTR</v>
          </cell>
          <cell r="CZ70" t="str">
            <v>4QTR</v>
          </cell>
          <cell r="DA70" t="str">
            <v>YEAR</v>
          </cell>
          <cell r="DD70" t="str">
            <v>2QTR</v>
          </cell>
          <cell r="DE70" t="str">
            <v>3QTR</v>
          </cell>
          <cell r="DF70" t="str">
            <v>4QTR</v>
          </cell>
          <cell r="DG70" t="str">
            <v>YEAR</v>
          </cell>
        </row>
        <row r="94">
          <cell r="AK94" t="str">
            <v>2004E</v>
          </cell>
          <cell r="AQ94" t="str">
            <v>2003E</v>
          </cell>
          <cell r="AW94" t="str">
            <v>2002E</v>
          </cell>
          <cell r="BC94">
            <v>2001</v>
          </cell>
          <cell r="BI94">
            <v>2000</v>
          </cell>
          <cell r="BO94">
            <v>1999</v>
          </cell>
          <cell r="BU94">
            <v>1998</v>
          </cell>
          <cell r="CA94">
            <v>1997</v>
          </cell>
          <cell r="CG94">
            <v>1996</v>
          </cell>
          <cell r="CM94">
            <v>1995</v>
          </cell>
          <cell r="CS94">
            <v>1994</v>
          </cell>
          <cell r="CY94">
            <v>1993</v>
          </cell>
          <cell r="DE94">
            <v>1992</v>
          </cell>
        </row>
        <row r="95">
          <cell r="AI95" t="str">
            <v>1QTR</v>
          </cell>
          <cell r="AJ95" t="str">
            <v>2QTR</v>
          </cell>
          <cell r="AK95" t="str">
            <v>3QTR</v>
          </cell>
          <cell r="AL95" t="str">
            <v>4QTR</v>
          </cell>
          <cell r="AP95" t="str">
            <v>2QTR</v>
          </cell>
          <cell r="AQ95" t="str">
            <v>3QTR</v>
          </cell>
          <cell r="AR95" t="str">
            <v>4QTR</v>
          </cell>
          <cell r="AS95" t="str">
            <v>YEAR</v>
          </cell>
          <cell r="AV95" t="str">
            <v>2QTR</v>
          </cell>
          <cell r="AW95" t="str">
            <v>3QTR</v>
          </cell>
          <cell r="AX95" t="str">
            <v>4QTR</v>
          </cell>
          <cell r="AY95" t="str">
            <v>YEAR</v>
          </cell>
          <cell r="BB95" t="str">
            <v>2QTR</v>
          </cell>
          <cell r="BC95" t="str">
            <v>3QTR</v>
          </cell>
          <cell r="BD95" t="str">
            <v>4QTR</v>
          </cell>
          <cell r="BE95" t="str">
            <v>YEAR</v>
          </cell>
          <cell r="BH95" t="str">
            <v>2QTR</v>
          </cell>
          <cell r="BI95" t="str">
            <v>3QTR</v>
          </cell>
          <cell r="BJ95" t="str">
            <v>4QTR</v>
          </cell>
          <cell r="BK95" t="str">
            <v>YEAR</v>
          </cell>
          <cell r="BN95" t="str">
            <v>2QTR</v>
          </cell>
          <cell r="BO95" t="str">
            <v>3QTR</v>
          </cell>
          <cell r="BP95" t="str">
            <v>4QTR</v>
          </cell>
          <cell r="BQ95" t="str">
            <v>YEAR</v>
          </cell>
          <cell r="BT95" t="str">
            <v>2QTR</v>
          </cell>
          <cell r="BU95" t="str">
            <v>3QTR</v>
          </cell>
          <cell r="BV95" t="str">
            <v>4QTR</v>
          </cell>
          <cell r="BW95" t="str">
            <v>YEAR</v>
          </cell>
          <cell r="BZ95" t="str">
            <v>2QTR</v>
          </cell>
          <cell r="CA95" t="str">
            <v>3QTR</v>
          </cell>
          <cell r="CB95" t="str">
            <v>4QTR</v>
          </cell>
          <cell r="CC95" t="str">
            <v>YEAR</v>
          </cell>
          <cell r="CF95" t="str">
            <v>2QTR</v>
          </cell>
          <cell r="CG95" t="str">
            <v>3QTR</v>
          </cell>
          <cell r="CH95" t="str">
            <v>4QTR</v>
          </cell>
          <cell r="CI95" t="str">
            <v>YEAR</v>
          </cell>
          <cell r="CL95" t="str">
            <v>2QTR</v>
          </cell>
          <cell r="CM95" t="str">
            <v>3QTR</v>
          </cell>
          <cell r="CN95" t="str">
            <v>4QTR</v>
          </cell>
          <cell r="CO95" t="str">
            <v>YEAR</v>
          </cell>
          <cell r="CR95" t="str">
            <v>2QTR</v>
          </cell>
          <cell r="CS95" t="str">
            <v>3QTR</v>
          </cell>
          <cell r="CT95" t="str">
            <v>4QTR</v>
          </cell>
          <cell r="CU95" t="str">
            <v>YEAR</v>
          </cell>
          <cell r="CX95" t="str">
            <v>2QTR</v>
          </cell>
          <cell r="CY95" t="str">
            <v>3QTR</v>
          </cell>
          <cell r="CZ95" t="str">
            <v>4QTR</v>
          </cell>
          <cell r="DA95" t="str">
            <v>YEAR</v>
          </cell>
          <cell r="DD95" t="str">
            <v>2QTR</v>
          </cell>
          <cell r="DE95" t="str">
            <v>3QTR</v>
          </cell>
          <cell r="DF95" t="str">
            <v>4QTR</v>
          </cell>
          <cell r="DG95" t="str">
            <v>YEAR</v>
          </cell>
        </row>
        <row r="98">
          <cell r="AI98">
            <v>907.81804624976724</v>
          </cell>
          <cell r="AJ98">
            <v>907.81804624976724</v>
          </cell>
          <cell r="AK98">
            <v>907.81804624976724</v>
          </cell>
          <cell r="AL98">
            <v>907.81804624976724</v>
          </cell>
          <cell r="AP98">
            <v>907.81804624976724</v>
          </cell>
          <cell r="AQ98">
            <v>907.81804624976724</v>
          </cell>
          <cell r="AR98">
            <v>907.81804624976724</v>
          </cell>
          <cell r="AS98">
            <v>907.81804624976724</v>
          </cell>
          <cell r="AV98">
            <v>907.81804624976724</v>
          </cell>
          <cell r="AW98">
            <v>907.81804624976724</v>
          </cell>
          <cell r="AX98">
            <v>907.81804624976724</v>
          </cell>
          <cell r="AY98">
            <v>907.81804624976724</v>
          </cell>
          <cell r="BB98">
            <v>936.18956893496363</v>
          </cell>
          <cell r="BC98">
            <v>883.4989197530864</v>
          </cell>
          <cell r="BD98">
            <v>907.81804624976724</v>
          </cell>
          <cell r="BE98">
            <v>912.43211637844183</v>
          </cell>
          <cell r="BH98">
            <v>852.43122201872211</v>
          </cell>
          <cell r="BI98">
            <v>866.58373617123618</v>
          </cell>
          <cell r="BJ98">
            <v>943.93532515073218</v>
          </cell>
          <cell r="BK98">
            <v>901.34995509443183</v>
          </cell>
          <cell r="BN98">
            <v>967.04053908202684</v>
          </cell>
          <cell r="BO98">
            <v>882.07783439914726</v>
          </cell>
          <cell r="BP98">
            <v>945.2273148148148</v>
          </cell>
          <cell r="BQ98">
            <v>929.59354317536167</v>
          </cell>
          <cell r="BT98">
            <v>976.7352513227512</v>
          </cell>
          <cell r="BU98">
            <v>1230.2200998075998</v>
          </cell>
          <cell r="BV98">
            <v>993.25598864994026</v>
          </cell>
          <cell r="BW98">
            <v>1055.6779418506426</v>
          </cell>
          <cell r="BZ98">
            <v>642.22222222222229</v>
          </cell>
          <cell r="CA98">
            <v>569.81981981981983</v>
          </cell>
          <cell r="CB98">
            <v>147.05882352941174</v>
          </cell>
          <cell r="CC98">
            <v>2907.046071050906</v>
          </cell>
          <cell r="CH98">
            <v>1876.6233766233765</v>
          </cell>
          <cell r="CI98">
            <v>1876.6233766233765</v>
          </cell>
          <cell r="CO98">
            <v>0</v>
          </cell>
          <cell r="CR98">
            <v>5</v>
          </cell>
          <cell r="CS98">
            <v>-30</v>
          </cell>
          <cell r="CU98">
            <v>-20</v>
          </cell>
          <cell r="CX98">
            <v>150</v>
          </cell>
          <cell r="CY98">
            <v>-100</v>
          </cell>
          <cell r="CZ98">
            <v>10</v>
          </cell>
          <cell r="DA98">
            <v>60</v>
          </cell>
          <cell r="DE98">
            <v>10</v>
          </cell>
          <cell r="DF98">
            <v>10</v>
          </cell>
          <cell r="DG98">
            <v>20</v>
          </cell>
        </row>
        <row r="99">
          <cell r="AI99">
            <v>1221.1055276381908</v>
          </cell>
          <cell r="AJ99">
            <v>1221.1055276381908</v>
          </cell>
          <cell r="AK99">
            <v>1221.1055276381908</v>
          </cell>
          <cell r="AL99">
            <v>1221.1055276381908</v>
          </cell>
          <cell r="AP99">
            <v>1221.1055276381908</v>
          </cell>
          <cell r="AQ99">
            <v>1221.1055276381908</v>
          </cell>
          <cell r="AR99">
            <v>1221.1055276381908</v>
          </cell>
          <cell r="AS99">
            <v>1221.1055276381908</v>
          </cell>
          <cell r="AV99">
            <v>1221.1055276381908</v>
          </cell>
          <cell r="AW99">
            <v>1221.1055276381908</v>
          </cell>
          <cell r="AX99">
            <v>1221.1055276381908</v>
          </cell>
          <cell r="AY99">
            <v>1221.1055276381908</v>
          </cell>
          <cell r="BB99">
            <v>1306.22009569378</v>
          </cell>
          <cell r="BC99">
            <v>1148.1481481481483</v>
          </cell>
          <cell r="BD99">
            <v>1221.1055276381908</v>
          </cell>
          <cell r="BE99">
            <v>1234.9477380242147</v>
          </cell>
          <cell r="BH99">
            <v>1054.9450549450551</v>
          </cell>
          <cell r="BI99">
            <v>1097.4025974025974</v>
          </cell>
          <cell r="BJ99">
            <v>1329.4573643410852</v>
          </cell>
          <cell r="BK99">
            <v>1201.7012541721842</v>
          </cell>
          <cell r="BN99">
            <v>1398.7730061349694</v>
          </cell>
          <cell r="BO99">
            <v>1143.8848920863309</v>
          </cell>
          <cell r="BP99">
            <v>1333.3333333333335</v>
          </cell>
          <cell r="BQ99">
            <v>1286.4320184149742</v>
          </cell>
          <cell r="BT99">
            <v>1442.8571428571427</v>
          </cell>
          <cell r="BU99">
            <v>2188.3116883116882</v>
          </cell>
          <cell r="BV99">
            <v>1477.4193548387098</v>
          </cell>
          <cell r="BW99">
            <v>1672.1852144408163</v>
          </cell>
          <cell r="BZ99">
            <v>1926.6666666666667</v>
          </cell>
          <cell r="CA99">
            <v>1709.4594594594596</v>
          </cell>
          <cell r="CB99">
            <v>441.17647058823525</v>
          </cell>
          <cell r="CC99">
            <v>4077.3025967143612</v>
          </cell>
          <cell r="CF99">
            <v>1767.1232876712329</v>
          </cell>
          <cell r="CG99">
            <v>1767.1232876712329</v>
          </cell>
          <cell r="CH99">
            <v>1777.1232876712329</v>
          </cell>
          <cell r="CI99">
            <v>7228.0365296803648</v>
          </cell>
          <cell r="CL99">
            <v>2196.969696969697</v>
          </cell>
          <cell r="CM99">
            <v>2196.969696969697</v>
          </cell>
          <cell r="CN99">
            <v>2187.969696969697</v>
          </cell>
          <cell r="CO99">
            <v>8787.7914438502667</v>
          </cell>
          <cell r="CR99">
            <v>1833.3333333333333</v>
          </cell>
          <cell r="CS99">
            <v>-30</v>
          </cell>
          <cell r="CU99">
            <v>1808.3333333333333</v>
          </cell>
          <cell r="CX99">
            <v>100</v>
          </cell>
          <cell r="CY99">
            <v>-100</v>
          </cell>
          <cell r="CZ99">
            <v>25</v>
          </cell>
          <cell r="DA99">
            <v>105</v>
          </cell>
          <cell r="DE99">
            <v>10</v>
          </cell>
          <cell r="DF99">
            <v>10</v>
          </cell>
          <cell r="DG99">
            <v>40</v>
          </cell>
        </row>
        <row r="100">
          <cell r="AI100">
            <v>568.06805555555547</v>
          </cell>
          <cell r="AJ100">
            <v>568.06805555555547</v>
          </cell>
          <cell r="AK100">
            <v>568.06805555555547</v>
          </cell>
          <cell r="AL100">
            <v>568.06805555555547</v>
          </cell>
          <cell r="AP100">
            <v>568.06805555555547</v>
          </cell>
          <cell r="AQ100">
            <v>568.06805555555547</v>
          </cell>
          <cell r="AR100">
            <v>568.06805555555547</v>
          </cell>
          <cell r="AS100">
            <v>568.06805555555547</v>
          </cell>
          <cell r="AV100">
            <v>568.06805555555547</v>
          </cell>
          <cell r="AW100">
            <v>568.06805555555547</v>
          </cell>
          <cell r="AX100">
            <v>568.06805555555547</v>
          </cell>
          <cell r="AY100">
            <v>568.06805555555547</v>
          </cell>
          <cell r="BB100">
            <v>568.06805555555547</v>
          </cell>
          <cell r="BC100">
            <v>568.06805555555547</v>
          </cell>
          <cell r="BD100">
            <v>568.06805555555547</v>
          </cell>
          <cell r="BE100">
            <v>568.06805555555547</v>
          </cell>
          <cell r="BH100">
            <v>568.06805555555547</v>
          </cell>
          <cell r="BI100">
            <v>568.06805555555547</v>
          </cell>
          <cell r="BJ100">
            <v>568.06805555555547</v>
          </cell>
          <cell r="BK100">
            <v>568.06805555555547</v>
          </cell>
          <cell r="BN100">
            <v>568.06805555555547</v>
          </cell>
          <cell r="BO100">
            <v>568.06805555555547</v>
          </cell>
          <cell r="BP100">
            <v>568.06805555555547</v>
          </cell>
          <cell r="BQ100">
            <v>568.06805555555547</v>
          </cell>
          <cell r="BT100">
            <v>568.06805555555547</v>
          </cell>
          <cell r="BU100">
            <v>568.06805555555547</v>
          </cell>
          <cell r="BV100">
            <v>568.06805555555547</v>
          </cell>
          <cell r="BW100">
            <v>568.06805555555547</v>
          </cell>
          <cell r="BZ100">
            <v>0</v>
          </cell>
          <cell r="CA100">
            <v>0</v>
          </cell>
          <cell r="CB100">
            <v>0</v>
          </cell>
          <cell r="CC100">
            <v>0</v>
          </cell>
          <cell r="CI100">
            <v>0</v>
          </cell>
          <cell r="CO100">
            <v>0</v>
          </cell>
          <cell r="CS100">
            <v>-30</v>
          </cell>
          <cell r="CU100">
            <v>-25</v>
          </cell>
          <cell r="CX100">
            <v>100</v>
          </cell>
          <cell r="CY100">
            <v>-100</v>
          </cell>
          <cell r="CZ100">
            <v>25</v>
          </cell>
          <cell r="DA100">
            <v>105</v>
          </cell>
          <cell r="DE100">
            <v>10</v>
          </cell>
          <cell r="DF100">
            <v>10</v>
          </cell>
          <cell r="DG100">
            <v>40</v>
          </cell>
        </row>
        <row r="101">
          <cell r="AI101">
            <v>934.28055555555557</v>
          </cell>
          <cell r="AJ101">
            <v>934.28055555555557</v>
          </cell>
          <cell r="AK101">
            <v>934.28055555555557</v>
          </cell>
          <cell r="AL101">
            <v>934.28055555555557</v>
          </cell>
          <cell r="AP101">
            <v>934.28055555555557</v>
          </cell>
          <cell r="AQ101">
            <v>934.28055555555557</v>
          </cell>
          <cell r="AR101">
            <v>934.28055555555557</v>
          </cell>
          <cell r="AS101">
            <v>934.28055555555557</v>
          </cell>
          <cell r="AV101">
            <v>934.28055555555557</v>
          </cell>
          <cell r="AW101">
            <v>934.28055555555557</v>
          </cell>
          <cell r="AX101">
            <v>934.28055555555557</v>
          </cell>
          <cell r="AY101">
            <v>934.28055555555557</v>
          </cell>
          <cell r="BB101">
            <v>934.28055555555557</v>
          </cell>
          <cell r="BC101">
            <v>934.28055555555557</v>
          </cell>
          <cell r="BD101">
            <v>934.28055555555557</v>
          </cell>
          <cell r="BE101">
            <v>934.28055555555557</v>
          </cell>
          <cell r="BH101">
            <v>934.28055555555557</v>
          </cell>
          <cell r="BI101">
            <v>934.28055555555557</v>
          </cell>
          <cell r="BJ101">
            <v>934.28055555555557</v>
          </cell>
          <cell r="BK101">
            <v>934.28055555555557</v>
          </cell>
          <cell r="BN101">
            <v>934.28055555555557</v>
          </cell>
          <cell r="BO101">
            <v>934.28055555555557</v>
          </cell>
          <cell r="BP101">
            <v>934.28055555555557</v>
          </cell>
          <cell r="BQ101">
            <v>934.28055555555557</v>
          </cell>
          <cell r="BT101">
            <v>919.28055555555557</v>
          </cell>
          <cell r="BU101">
            <v>934.28055555555557</v>
          </cell>
          <cell r="BV101">
            <v>934.28055555555557</v>
          </cell>
          <cell r="BW101">
            <v>926.78055555555557</v>
          </cell>
          <cell r="BZ101">
            <v>0</v>
          </cell>
          <cell r="CA101">
            <v>0</v>
          </cell>
          <cell r="CB101">
            <v>0</v>
          </cell>
          <cell r="CC101">
            <v>0</v>
          </cell>
          <cell r="CI101">
            <v>0</v>
          </cell>
          <cell r="CO101">
            <v>0</v>
          </cell>
          <cell r="CS101">
            <v>-30</v>
          </cell>
          <cell r="CU101">
            <v>-25</v>
          </cell>
          <cell r="CX101">
            <v>100</v>
          </cell>
          <cell r="CY101">
            <v>-100</v>
          </cell>
          <cell r="CZ101">
            <v>25</v>
          </cell>
          <cell r="DA101">
            <v>105</v>
          </cell>
          <cell r="DE101">
            <v>10</v>
          </cell>
          <cell r="DF101">
            <v>10</v>
          </cell>
          <cell r="DG101">
            <v>40</v>
          </cell>
        </row>
        <row r="102">
          <cell r="AI102">
            <v>409.29059921962096</v>
          </cell>
          <cell r="AJ102">
            <v>450.48559921962101</v>
          </cell>
          <cell r="AK102">
            <v>423.60559921962096</v>
          </cell>
          <cell r="AL102">
            <v>412.94809921962099</v>
          </cell>
          <cell r="AP102">
            <v>450.48559921962101</v>
          </cell>
          <cell r="AQ102">
            <v>423.60559921962096</v>
          </cell>
          <cell r="AR102">
            <v>412.94809921962099</v>
          </cell>
          <cell r="AS102">
            <v>424.08247421962096</v>
          </cell>
          <cell r="AV102">
            <v>421.76309921962098</v>
          </cell>
          <cell r="AW102">
            <v>406.61309921962101</v>
          </cell>
          <cell r="AX102">
            <v>396.46309921962097</v>
          </cell>
          <cell r="AY102">
            <v>397.90059921962097</v>
          </cell>
          <cell r="BB102">
            <v>442.52232142857144</v>
          </cell>
          <cell r="BC102">
            <v>382.39835306227479</v>
          </cell>
          <cell r="BD102">
            <v>345.5964325529543</v>
          </cell>
          <cell r="BE102">
            <v>383.36113039022428</v>
          </cell>
          <cell r="BH102">
            <v>375.73385518590999</v>
          </cell>
          <cell r="BI102">
            <v>365.85365853658533</v>
          </cell>
          <cell r="BJ102">
            <v>353.67762128325506</v>
          </cell>
          <cell r="BK102">
            <v>389.32675495562609</v>
          </cell>
          <cell r="BN102">
            <v>410.3078982597055</v>
          </cell>
          <cell r="BO102">
            <v>426.13636363636368</v>
          </cell>
          <cell r="BP102">
            <v>409.4292803970223</v>
          </cell>
          <cell r="BQ102">
            <v>402.65691016343681</v>
          </cell>
          <cell r="BT102">
            <v>366.30602782071094</v>
          </cell>
          <cell r="BU102">
            <v>360.50156739811911</v>
          </cell>
          <cell r="BV102">
            <v>336.16692426584234</v>
          </cell>
          <cell r="BW102">
            <v>359.46599945560661</v>
          </cell>
          <cell r="BZ102">
            <v>457.57575757575756</v>
          </cell>
          <cell r="CA102">
            <v>433.94715772618093</v>
          </cell>
          <cell r="CB102">
            <v>384.02061855670104</v>
          </cell>
          <cell r="CC102">
            <v>1716.5646606192029</v>
          </cell>
          <cell r="CF102">
            <v>420.37186742118024</v>
          </cell>
          <cell r="CG102">
            <v>440.84400904295404</v>
          </cell>
          <cell r="CH102">
            <v>444.91887275832619</v>
          </cell>
          <cell r="CI102">
            <v>1664.5505908066189</v>
          </cell>
          <cell r="CL102">
            <v>376.30662020905925</v>
          </cell>
          <cell r="CM102">
            <v>376.30662020905925</v>
          </cell>
          <cell r="CN102">
            <v>0</v>
          </cell>
          <cell r="CO102">
            <v>1162.4021079804984</v>
          </cell>
          <cell r="CR102">
            <v>436.44444444444446</v>
          </cell>
          <cell r="CS102">
            <v>0</v>
          </cell>
          <cell r="CT102">
            <v>0</v>
          </cell>
          <cell r="CU102">
            <v>451.44444444444446</v>
          </cell>
          <cell r="CY102">
            <v>-25</v>
          </cell>
          <cell r="CZ102">
            <v>45</v>
          </cell>
          <cell r="DA102">
            <v>100</v>
          </cell>
          <cell r="DE102">
            <v>10</v>
          </cell>
          <cell r="DF102">
            <v>10</v>
          </cell>
          <cell r="DG102">
            <v>55</v>
          </cell>
        </row>
        <row r="103">
          <cell r="CI103">
            <v>0</v>
          </cell>
          <cell r="CO103">
            <v>0</v>
          </cell>
          <cell r="CS103">
            <v>0</v>
          </cell>
          <cell r="CT103">
            <v>0</v>
          </cell>
          <cell r="CU103">
            <v>15</v>
          </cell>
          <cell r="CY103">
            <v>-25</v>
          </cell>
          <cell r="CZ103">
            <v>45</v>
          </cell>
          <cell r="DA103">
            <v>100</v>
          </cell>
          <cell r="DE103">
            <v>10</v>
          </cell>
          <cell r="DF103">
            <v>10</v>
          </cell>
          <cell r="DG103">
            <v>55</v>
          </cell>
        </row>
        <row r="104">
          <cell r="CI104">
            <v>0</v>
          </cell>
          <cell r="CO104">
            <v>0</v>
          </cell>
          <cell r="CS104">
            <v>0</v>
          </cell>
          <cell r="CT104">
            <v>0</v>
          </cell>
          <cell r="CU104">
            <v>15</v>
          </cell>
          <cell r="CY104">
            <v>-25</v>
          </cell>
          <cell r="CZ104">
            <v>45</v>
          </cell>
          <cell r="DA104">
            <v>100</v>
          </cell>
          <cell r="DE104">
            <v>10</v>
          </cell>
          <cell r="DF104">
            <v>10</v>
          </cell>
          <cell r="DG104">
            <v>55</v>
          </cell>
        </row>
        <row r="105">
          <cell r="CI105">
            <v>0</v>
          </cell>
          <cell r="CO105">
            <v>0</v>
          </cell>
          <cell r="CS105">
            <v>0</v>
          </cell>
          <cell r="CT105">
            <v>0</v>
          </cell>
          <cell r="CU105">
            <v>15</v>
          </cell>
          <cell r="CY105">
            <v>-25</v>
          </cell>
          <cell r="CZ105">
            <v>45</v>
          </cell>
          <cell r="DA105">
            <v>100</v>
          </cell>
          <cell r="DE105">
            <v>10</v>
          </cell>
          <cell r="DF105">
            <v>10</v>
          </cell>
          <cell r="DG105">
            <v>55</v>
          </cell>
        </row>
        <row r="106">
          <cell r="CI106">
            <v>0</v>
          </cell>
          <cell r="CO106">
            <v>0</v>
          </cell>
          <cell r="CS106">
            <v>0</v>
          </cell>
          <cell r="CT106">
            <v>0</v>
          </cell>
          <cell r="CU106">
            <v>15</v>
          </cell>
          <cell r="CY106">
            <v>-25</v>
          </cell>
          <cell r="CZ106">
            <v>45</v>
          </cell>
          <cell r="DA106">
            <v>100</v>
          </cell>
          <cell r="DE106">
            <v>10</v>
          </cell>
          <cell r="DF106">
            <v>10</v>
          </cell>
          <cell r="DG106">
            <v>55</v>
          </cell>
        </row>
        <row r="107">
          <cell r="BZ107">
            <v>246.40287769784172</v>
          </cell>
          <cell r="CA107">
            <v>246.26865671641789</v>
          </cell>
          <cell r="CB107">
            <v>242.95010845986982</v>
          </cell>
          <cell r="CC107">
            <v>983.06540565531554</v>
          </cell>
          <cell r="CF107">
            <v>233.89830508474577</v>
          </cell>
          <cell r="CG107">
            <v>238.98305084745763</v>
          </cell>
          <cell r="CH107">
            <v>250</v>
          </cell>
          <cell r="CI107">
            <v>956.35243031236871</v>
          </cell>
          <cell r="CL107">
            <v>243.08588064046577</v>
          </cell>
          <cell r="CM107">
            <v>227.07423580786025</v>
          </cell>
          <cell r="CN107">
            <v>0</v>
          </cell>
          <cell r="CO107">
            <v>715.65929811772048</v>
          </cell>
          <cell r="CS107">
            <v>25</v>
          </cell>
          <cell r="CT107">
            <v>5</v>
          </cell>
          <cell r="CU107">
            <v>35</v>
          </cell>
          <cell r="CX107">
            <v>-45</v>
          </cell>
          <cell r="CZ107">
            <v>20</v>
          </cell>
          <cell r="DA107">
            <v>35</v>
          </cell>
          <cell r="DE107">
            <v>10</v>
          </cell>
          <cell r="DF107">
            <v>10</v>
          </cell>
          <cell r="DG107">
            <v>55</v>
          </cell>
        </row>
        <row r="108">
          <cell r="CC108">
            <v>0</v>
          </cell>
          <cell r="CI108">
            <v>0</v>
          </cell>
          <cell r="CO108">
            <v>0</v>
          </cell>
          <cell r="CS108">
            <v>25</v>
          </cell>
          <cell r="CT108">
            <v>5</v>
          </cell>
          <cell r="CU108">
            <v>35</v>
          </cell>
          <cell r="CX108">
            <v>-45</v>
          </cell>
          <cell r="CZ108">
            <v>20</v>
          </cell>
          <cell r="DA108">
            <v>30</v>
          </cell>
          <cell r="DE108">
            <v>10</v>
          </cell>
          <cell r="DF108">
            <v>10</v>
          </cell>
          <cell r="DG108">
            <v>55</v>
          </cell>
        </row>
        <row r="109">
          <cell r="AI109">
            <v>270.66948245140389</v>
          </cell>
          <cell r="AJ109">
            <v>295.2018574514039</v>
          </cell>
          <cell r="AK109">
            <v>294.08185745140389</v>
          </cell>
          <cell r="AL109">
            <v>281.21935745140388</v>
          </cell>
          <cell r="AP109">
            <v>295.2018574514039</v>
          </cell>
          <cell r="AQ109">
            <v>294.08185745140389</v>
          </cell>
          <cell r="AR109">
            <v>281.21935745140388</v>
          </cell>
          <cell r="AS109">
            <v>285.2931387014039</v>
          </cell>
          <cell r="AV109">
            <v>268.03185745140388</v>
          </cell>
          <cell r="AW109">
            <v>279.03185745140388</v>
          </cell>
          <cell r="AX109">
            <v>266.78185745140388</v>
          </cell>
          <cell r="AY109">
            <v>260.46935745140388</v>
          </cell>
          <cell r="BB109">
            <v>254.58248472505093</v>
          </cell>
          <cell r="BC109">
            <v>251.01214574898785</v>
          </cell>
          <cell r="BD109">
            <v>226.78185745140388</v>
          </cell>
          <cell r="BE109">
            <v>239.88699503258559</v>
          </cell>
          <cell r="BH109">
            <v>255.81395348837208</v>
          </cell>
          <cell r="BI109">
            <v>218.53146853146856</v>
          </cell>
          <cell r="BJ109">
            <v>254.81798715203425</v>
          </cell>
          <cell r="BK109">
            <v>250.13273263484905</v>
          </cell>
          <cell r="BN109">
            <v>294.23459244532802</v>
          </cell>
          <cell r="BO109">
            <v>310.92436974789916</v>
          </cell>
          <cell r="BP109">
            <v>255.90551181102362</v>
          </cell>
          <cell r="BQ109">
            <v>283.33840765768923</v>
          </cell>
          <cell r="BT109">
            <v>232.21757322175733</v>
          </cell>
          <cell r="BU109">
            <v>257.38396624472574</v>
          </cell>
          <cell r="BV109">
            <v>255.50660792951541</v>
          </cell>
          <cell r="BW109">
            <v>245.33666987652256</v>
          </cell>
          <cell r="BZ109">
            <v>246.40287769784172</v>
          </cell>
          <cell r="CA109">
            <v>246.26865671641789</v>
          </cell>
          <cell r="CB109">
            <v>242.95010845986982</v>
          </cell>
          <cell r="CC109">
            <v>983.06540565531554</v>
          </cell>
          <cell r="CF109">
            <v>233.89830508474577</v>
          </cell>
          <cell r="CG109">
            <v>233.89830508474577</v>
          </cell>
          <cell r="CH109">
            <v>223.89830508474577</v>
          </cell>
          <cell r="CI109">
            <v>925.16598963440254</v>
          </cell>
          <cell r="CL109">
            <v>243.08588064046577</v>
          </cell>
          <cell r="CM109">
            <v>275.0858806404658</v>
          </cell>
          <cell r="CN109">
            <v>247.0858806404658</v>
          </cell>
          <cell r="CO109">
            <v>1010.7568235907918</v>
          </cell>
          <cell r="CR109">
            <v>213.09192200557104</v>
          </cell>
          <cell r="CS109">
            <v>25</v>
          </cell>
          <cell r="CT109">
            <v>5</v>
          </cell>
          <cell r="CU109">
            <v>248.09192200557104</v>
          </cell>
          <cell r="CX109">
            <v>-45</v>
          </cell>
          <cell r="CZ109">
            <v>20</v>
          </cell>
          <cell r="DA109">
            <v>30</v>
          </cell>
          <cell r="DE109">
            <v>10</v>
          </cell>
          <cell r="DF109">
            <v>10</v>
          </cell>
          <cell r="DG109">
            <v>55</v>
          </cell>
        </row>
        <row r="110">
          <cell r="AI110">
            <v>198.63006149479654</v>
          </cell>
          <cell r="AJ110">
            <v>215.83006149479652</v>
          </cell>
          <cell r="AK110">
            <v>228.73006149479653</v>
          </cell>
          <cell r="AL110">
            <v>202.93006149479652</v>
          </cell>
          <cell r="AP110">
            <v>215.83006149479655</v>
          </cell>
          <cell r="AQ110">
            <v>228.73006149479656</v>
          </cell>
          <cell r="AR110">
            <v>202.93006149479655</v>
          </cell>
          <cell r="AS110">
            <v>211.53006149479654</v>
          </cell>
          <cell r="AV110">
            <v>191.53506149479659</v>
          </cell>
          <cell r="AW110">
            <v>208.73506149479658</v>
          </cell>
          <cell r="AX110">
            <v>182.93506149479657</v>
          </cell>
          <cell r="AY110">
            <v>191.15881149479657</v>
          </cell>
          <cell r="BB110">
            <v>196.17706237424548</v>
          </cell>
          <cell r="BC110">
            <v>204.87804878048783</v>
          </cell>
          <cell r="BD110">
            <v>167.45506149479661</v>
          </cell>
          <cell r="BE110">
            <v>184.5954918803312</v>
          </cell>
          <cell r="BH110">
            <v>209.25925925925924</v>
          </cell>
          <cell r="BI110">
            <v>220.27972027972029</v>
          </cell>
          <cell r="BJ110">
            <v>140.31007751937983</v>
          </cell>
          <cell r="BK110">
            <v>210.7779297534002</v>
          </cell>
          <cell r="BN110">
            <v>281.56565656565652</v>
          </cell>
          <cell r="BO110">
            <v>308.95522388059698</v>
          </cell>
          <cell r="BP110">
            <v>241.29651860744298</v>
          </cell>
          <cell r="BQ110">
            <v>266.31776733261785</v>
          </cell>
          <cell r="BT110">
            <v>222.35157159487778</v>
          </cell>
          <cell r="BU110">
            <v>274.03846153846155</v>
          </cell>
          <cell r="BV110">
            <v>232.96158612143742</v>
          </cell>
          <cell r="BW110">
            <v>232.6563761512738</v>
          </cell>
          <cell r="BZ110">
            <v>191.02564102564102</v>
          </cell>
          <cell r="CA110">
            <v>192.35668789808918</v>
          </cell>
          <cell r="CB110">
            <v>204.57604306864064</v>
          </cell>
          <cell r="CF110">
            <v>260.62322946175641</v>
          </cell>
          <cell r="CG110">
            <v>252.87356321839081</v>
          </cell>
          <cell r="CH110">
            <v>208.33333333333331</v>
          </cell>
          <cell r="CL110">
            <v>280.93645484949832</v>
          </cell>
          <cell r="CM110">
            <v>280.93645484949832</v>
          </cell>
          <cell r="CN110">
            <v>280.93645484949832</v>
          </cell>
          <cell r="CR110">
            <v>290.71537290715372</v>
          </cell>
        </row>
        <row r="113">
          <cell r="AI113">
            <v>619.09849749582645</v>
          </cell>
          <cell r="AJ113">
            <v>659.09849749582645</v>
          </cell>
          <cell r="AK113">
            <v>679.09849749582645</v>
          </cell>
          <cell r="AL113">
            <v>699.09849749582645</v>
          </cell>
          <cell r="AP113">
            <v>539.09849749582645</v>
          </cell>
          <cell r="AQ113">
            <v>559.09849749582645</v>
          </cell>
          <cell r="AR113">
            <v>579.09849749582645</v>
          </cell>
          <cell r="AS113">
            <v>549.09849749582645</v>
          </cell>
          <cell r="AV113">
            <v>459.09849749582639</v>
          </cell>
          <cell r="AW113">
            <v>479.09849749582639</v>
          </cell>
          <cell r="AX113">
            <v>499.09849749582639</v>
          </cell>
          <cell r="AY113">
            <v>469.09849749582639</v>
          </cell>
          <cell r="BB113">
            <v>546.3510848126233</v>
          </cell>
          <cell r="BC113">
            <v>495.2561669829222</v>
          </cell>
          <cell r="BD113">
            <v>459.09849749582639</v>
          </cell>
          <cell r="BE113">
            <v>542.36393732284296</v>
          </cell>
          <cell r="BH113">
            <v>598.75259875259883</v>
          </cell>
          <cell r="BI113">
            <v>628.46580406654334</v>
          </cell>
          <cell r="BJ113">
            <v>694.34628975265025</v>
          </cell>
          <cell r="BK113">
            <v>622.72019347566527</v>
          </cell>
          <cell r="BN113">
            <v>440.67796610169489</v>
          </cell>
          <cell r="BO113">
            <v>475.93582887700529</v>
          </cell>
          <cell r="BP113">
            <v>515.05016722408027</v>
          </cell>
          <cell r="BQ113">
            <v>465.54892365532635</v>
          </cell>
          <cell r="BT113">
            <v>477.9116465863454</v>
          </cell>
          <cell r="BU113">
            <v>480.24948024948026</v>
          </cell>
          <cell r="BV113">
            <v>432.74853801169587</v>
          </cell>
          <cell r="BW113">
            <v>465.0351085195727</v>
          </cell>
          <cell r="BZ113">
            <v>471.84466019417476</v>
          </cell>
          <cell r="CA113">
            <v>512.14574898785429</v>
          </cell>
          <cell r="CB113">
            <v>524.08477842003856</v>
          </cell>
          <cell r="CC113">
            <v>1988.2513990558123</v>
          </cell>
          <cell r="CF113">
            <v>443.18181818181819</v>
          </cell>
          <cell r="CG113">
            <v>498.95615866388312</v>
          </cell>
          <cell r="CH113">
            <v>493.53448275862064</v>
          </cell>
          <cell r="CI113">
            <v>2070.4331648939942</v>
          </cell>
          <cell r="CL113">
            <v>755.73770491803282</v>
          </cell>
          <cell r="CM113">
            <v>843.28358208955217</v>
          </cell>
          <cell r="CN113">
            <v>0</v>
          </cell>
          <cell r="CO113">
            <v>2264.5560917614048</v>
          </cell>
          <cell r="CR113">
            <v>457.19489981785063</v>
          </cell>
          <cell r="CS113">
            <v>50</v>
          </cell>
          <cell r="CT113">
            <v>70</v>
          </cell>
          <cell r="CU113">
            <v>627.19489981785068</v>
          </cell>
          <cell r="CX113">
            <v>-15</v>
          </cell>
          <cell r="CY113">
            <v>-25</v>
          </cell>
          <cell r="CZ113">
            <v>-10</v>
          </cell>
          <cell r="DA113">
            <v>-85</v>
          </cell>
          <cell r="DD113">
            <v>10</v>
          </cell>
          <cell r="DE113">
            <v>10</v>
          </cell>
          <cell r="DF113">
            <v>-50</v>
          </cell>
          <cell r="DG113">
            <v>-20</v>
          </cell>
        </row>
        <row r="114">
          <cell r="AI114" t="str">
            <v>NA</v>
          </cell>
          <cell r="AJ114" t="str">
            <v>NA</v>
          </cell>
          <cell r="AK114" t="str">
            <v>NA</v>
          </cell>
          <cell r="AL114" t="str">
            <v>NA</v>
          </cell>
          <cell r="AP114" t="str">
            <v>NA</v>
          </cell>
          <cell r="AQ114" t="str">
            <v>NA</v>
          </cell>
          <cell r="AR114" t="str">
            <v>NA</v>
          </cell>
          <cell r="AS114" t="str">
            <v>NA</v>
          </cell>
          <cell r="AV114" t="str">
            <v>NA</v>
          </cell>
          <cell r="AW114" t="str">
            <v>NA</v>
          </cell>
          <cell r="AX114" t="str">
            <v>NA</v>
          </cell>
          <cell r="AY114" t="str">
            <v>NA</v>
          </cell>
          <cell r="BB114" t="str">
            <v>NA</v>
          </cell>
          <cell r="BC114" t="str">
            <v>NA</v>
          </cell>
          <cell r="BD114" t="str">
            <v>NA</v>
          </cell>
          <cell r="BE114" t="str">
            <v>NA</v>
          </cell>
          <cell r="BH114" t="str">
            <v>NA</v>
          </cell>
          <cell r="BI114" t="str">
            <v>NA</v>
          </cell>
          <cell r="BJ114" t="str">
            <v>NA</v>
          </cell>
          <cell r="BK114" t="str">
            <v>NA</v>
          </cell>
          <cell r="BN114" t="str">
            <v>NA</v>
          </cell>
          <cell r="BO114" t="str">
            <v>NA</v>
          </cell>
          <cell r="BP114" t="str">
            <v>NA</v>
          </cell>
          <cell r="BQ114" t="str">
            <v>NA</v>
          </cell>
          <cell r="BT114" t="str">
            <v>NA</v>
          </cell>
          <cell r="BU114" t="str">
            <v>NA</v>
          </cell>
          <cell r="BV114" t="str">
            <v>NA</v>
          </cell>
          <cell r="BW114">
            <v>596.77419354838707</v>
          </cell>
          <cell r="BZ114">
            <v>635.83815028901734</v>
          </cell>
          <cell r="CA114">
            <v>632.53012048192772</v>
          </cell>
          <cell r="CB114">
            <v>605.40540540540542</v>
          </cell>
          <cell r="CC114">
            <v>2430.0236761763508</v>
          </cell>
          <cell r="CF114">
            <v>763.31360946745554</v>
          </cell>
          <cell r="CG114">
            <v>693.33333333333337</v>
          </cell>
          <cell r="CH114">
            <v>622.85714285714289</v>
          </cell>
          <cell r="CI114">
            <v>2886.9114930653395</v>
          </cell>
          <cell r="CL114">
            <v>788.23529411764696</v>
          </cell>
          <cell r="CM114">
            <v>809.81595092024531</v>
          </cell>
          <cell r="CN114">
            <v>0</v>
          </cell>
          <cell r="CO114">
            <v>2248.0512450378919</v>
          </cell>
          <cell r="CR114">
            <v>549.01960784313724</v>
          </cell>
          <cell r="CS114">
            <v>20</v>
          </cell>
          <cell r="CT114">
            <v>49</v>
          </cell>
          <cell r="CU114">
            <v>602.01960784313724</v>
          </cell>
          <cell r="CX114">
            <v>20</v>
          </cell>
          <cell r="CY114">
            <v>-10</v>
          </cell>
          <cell r="CZ114">
            <v>-10</v>
          </cell>
          <cell r="DA114">
            <v>0</v>
          </cell>
          <cell r="DD114">
            <v>-20</v>
          </cell>
          <cell r="DG114">
            <v>-45</v>
          </cell>
        </row>
        <row r="115">
          <cell r="AI115">
            <v>857.70538243626072</v>
          </cell>
          <cell r="AJ115">
            <v>887.70538243626072</v>
          </cell>
          <cell r="AK115">
            <v>917.70538243626072</v>
          </cell>
          <cell r="AL115">
            <v>947.70538243626072</v>
          </cell>
          <cell r="AP115">
            <v>807.70538243626072</v>
          </cell>
          <cell r="AQ115">
            <v>817.70538243626072</v>
          </cell>
          <cell r="AR115">
            <v>827.70538243626072</v>
          </cell>
          <cell r="AS115">
            <v>812.70538243626072</v>
          </cell>
          <cell r="AV115">
            <v>767.70538243626072</v>
          </cell>
          <cell r="AW115">
            <v>777.70538243626072</v>
          </cell>
          <cell r="AX115">
            <v>787.70538243626072</v>
          </cell>
          <cell r="AY115">
            <v>772.70538243626072</v>
          </cell>
          <cell r="BB115">
            <v>609.54446854663775</v>
          </cell>
          <cell r="BC115">
            <v>1036.6666666666667</v>
          </cell>
          <cell r="BD115">
            <v>767.70538243626072</v>
          </cell>
          <cell r="BE115">
            <v>808.31373501035557</v>
          </cell>
          <cell r="BH115">
            <v>755.31914893617022</v>
          </cell>
          <cell r="BI115">
            <v>762.25490196078431</v>
          </cell>
          <cell r="BJ115">
            <v>813.39712918660291</v>
          </cell>
          <cell r="BK115">
            <v>764.26734282450684</v>
          </cell>
          <cell r="BN115">
            <v>650.70422535211276</v>
          </cell>
          <cell r="BO115">
            <v>708.33333333333337</v>
          </cell>
          <cell r="BP115">
            <v>754.01069518716577</v>
          </cell>
          <cell r="BQ115">
            <v>691.33483974847638</v>
          </cell>
          <cell r="BT115">
            <v>764.25855513307977</v>
          </cell>
          <cell r="BU115">
            <v>723.54948805460754</v>
          </cell>
          <cell r="BV115">
            <v>676.88022284122565</v>
          </cell>
          <cell r="BW115">
            <v>741.36003643204026</v>
          </cell>
          <cell r="BZ115">
            <v>712.23021582733804</v>
          </cell>
          <cell r="CA115">
            <v>749.14089347079039</v>
          </cell>
          <cell r="CB115">
            <v>798.53479853479848</v>
          </cell>
          <cell r="CC115">
            <v>2944.1164341487161</v>
          </cell>
          <cell r="CF115">
            <v>800.81300813008136</v>
          </cell>
          <cell r="CG115">
            <v>762.09677419354841</v>
          </cell>
          <cell r="CH115">
            <v>760.29962546816478</v>
          </cell>
          <cell r="CI115">
            <v>3193.1281069787865</v>
          </cell>
          <cell r="CL115">
            <v>1011.9047619047619</v>
          </cell>
          <cell r="CM115">
            <v>1078.5123966942149</v>
          </cell>
          <cell r="CN115">
            <v>0</v>
          </cell>
          <cell r="CO115">
            <v>2948.0950612206998</v>
          </cell>
          <cell r="CR115">
            <v>622.04724409448818</v>
          </cell>
          <cell r="CS115">
            <v>45</v>
          </cell>
          <cell r="CT115">
            <v>90</v>
          </cell>
          <cell r="CU115">
            <v>707.04724409448818</v>
          </cell>
          <cell r="CX115">
            <v>20</v>
          </cell>
          <cell r="CY115">
            <v>50</v>
          </cell>
          <cell r="CZ115">
            <v>0</v>
          </cell>
          <cell r="DA115">
            <v>65</v>
          </cell>
          <cell r="DE115">
            <v>-10</v>
          </cell>
          <cell r="DF115">
            <v>-30</v>
          </cell>
          <cell r="DG115">
            <v>-65</v>
          </cell>
        </row>
        <row r="116">
          <cell r="AI116">
            <v>46.708947548851562</v>
          </cell>
          <cell r="AJ116">
            <v>46.708947548851562</v>
          </cell>
          <cell r="AK116">
            <v>46.708947548851562</v>
          </cell>
          <cell r="AL116">
            <v>46.708947548851562</v>
          </cell>
          <cell r="AP116">
            <v>46.708947548851562</v>
          </cell>
          <cell r="AQ116">
            <v>46.708947548851562</v>
          </cell>
          <cell r="AR116">
            <v>46.708947548851562</v>
          </cell>
          <cell r="AS116">
            <v>46.708947548851562</v>
          </cell>
          <cell r="AV116">
            <v>46.708947548851562</v>
          </cell>
          <cell r="AW116">
            <v>46.708947548851562</v>
          </cell>
          <cell r="AX116">
            <v>46.708947548851562</v>
          </cell>
          <cell r="AY116">
            <v>46.708947548851562</v>
          </cell>
          <cell r="BB116">
            <v>53.475033738191634</v>
          </cell>
          <cell r="BC116">
            <v>44.147458517906749</v>
          </cell>
          <cell r="BD116">
            <v>46.708947548851562</v>
          </cell>
          <cell r="BE116">
            <v>48.257800849582644</v>
          </cell>
          <cell r="BH116">
            <v>46.934650797215362</v>
          </cell>
          <cell r="BI116">
            <v>46.996790463090328</v>
          </cell>
          <cell r="BJ116">
            <v>49.201836868576429</v>
          </cell>
          <cell r="BK116">
            <v>46.525141524884653</v>
          </cell>
          <cell r="BN116">
            <v>43.101940898758521</v>
          </cell>
          <cell r="BO116">
            <v>43.693176802895223</v>
          </cell>
          <cell r="BP116">
            <v>44.740599714421705</v>
          </cell>
          <cell r="BQ116">
            <v>43.077448705954055</v>
          </cell>
          <cell r="BT116">
            <v>43.753798072749369</v>
          </cell>
          <cell r="BU116">
            <v>42.747401717126074</v>
          </cell>
          <cell r="BV116">
            <v>41.342232109751578</v>
          </cell>
          <cell r="BW116">
            <v>42.736917277551584</v>
          </cell>
          <cell r="BZ116">
            <v>39.0893470790378</v>
          </cell>
          <cell r="CA116">
            <v>38.998211091234346</v>
          </cell>
          <cell r="CB116">
            <v>41.173730787144855</v>
          </cell>
          <cell r="CC116">
            <v>160.16332492929683</v>
          </cell>
          <cell r="CF116">
            <v>46.826126954921804</v>
          </cell>
          <cell r="CG116">
            <v>42.274186153140761</v>
          </cell>
          <cell r="CH116">
            <v>41.215574548907888</v>
          </cell>
          <cell r="CI116">
            <v>181.93329979754552</v>
          </cell>
          <cell r="CL116">
            <v>951.97255574614076</v>
          </cell>
          <cell r="CM116">
            <v>951.97255574614076</v>
          </cell>
          <cell r="CN116">
            <v>941.97255574614076</v>
          </cell>
          <cell r="CO116">
            <v>3648.5277814309179</v>
          </cell>
          <cell r="CR116">
            <v>729.86577181208054</v>
          </cell>
          <cell r="CS116">
            <v>30</v>
          </cell>
          <cell r="CT116">
            <v>40</v>
          </cell>
          <cell r="CU116">
            <v>1497.7456304693244</v>
          </cell>
          <cell r="CX116">
            <v>-20</v>
          </cell>
          <cell r="CY116">
            <v>-10</v>
          </cell>
          <cell r="CZ116">
            <v>2</v>
          </cell>
          <cell r="DA116">
            <v>-34</v>
          </cell>
          <cell r="DD116">
            <v>0</v>
          </cell>
          <cell r="DF116">
            <v>-5</v>
          </cell>
          <cell r="DG116">
            <v>-5</v>
          </cell>
        </row>
        <row r="117">
          <cell r="BN117">
            <v>416.24365482233503</v>
          </cell>
          <cell r="BO117">
            <v>486.33879781420762</v>
          </cell>
          <cell r="BP117">
            <v>462.68656716417911</v>
          </cell>
        </row>
        <row r="121">
          <cell r="CB121">
            <v>5.5785115138255792E-2</v>
          </cell>
        </row>
        <row r="125">
          <cell r="AK125" t="str">
            <v>2004E</v>
          </cell>
          <cell r="AQ125" t="str">
            <v>2003E</v>
          </cell>
          <cell r="AW125" t="str">
            <v>2002E</v>
          </cell>
          <cell r="BC125">
            <v>2001</v>
          </cell>
          <cell r="BI125">
            <v>2000</v>
          </cell>
          <cell r="BO125">
            <v>1999</v>
          </cell>
          <cell r="BU125">
            <v>1998</v>
          </cell>
          <cell r="CA125">
            <v>1997</v>
          </cell>
          <cell r="CG125">
            <v>1996</v>
          </cell>
          <cell r="CM125">
            <v>1995</v>
          </cell>
          <cell r="CS125">
            <v>1994</v>
          </cell>
          <cell r="CY125">
            <v>1993</v>
          </cell>
          <cell r="DE125">
            <v>1992</v>
          </cell>
        </row>
        <row r="126">
          <cell r="AI126" t="str">
            <v>1QTR</v>
          </cell>
          <cell r="AJ126" t="str">
            <v>2QTR</v>
          </cell>
          <cell r="AK126" t="str">
            <v>3QTR</v>
          </cell>
          <cell r="AL126" t="str">
            <v>4QTR</v>
          </cell>
          <cell r="AP126" t="str">
            <v>2QTR</v>
          </cell>
          <cell r="AQ126" t="str">
            <v>3QTR</v>
          </cell>
          <cell r="AR126" t="str">
            <v>4QTR</v>
          </cell>
          <cell r="AS126" t="str">
            <v>YEAR</v>
          </cell>
          <cell r="AV126" t="str">
            <v>2QTR</v>
          </cell>
          <cell r="AW126" t="str">
            <v>3QTR</v>
          </cell>
          <cell r="AX126" t="str">
            <v>4QTR</v>
          </cell>
          <cell r="AY126" t="str">
            <v>YEAR</v>
          </cell>
          <cell r="BB126" t="str">
            <v>2QTR</v>
          </cell>
          <cell r="BC126" t="str">
            <v>3QTR</v>
          </cell>
          <cell r="BD126" t="str">
            <v>4QTR</v>
          </cell>
          <cell r="BE126" t="str">
            <v>YEAR</v>
          </cell>
          <cell r="BH126" t="str">
            <v>2QTR</v>
          </cell>
          <cell r="BI126" t="str">
            <v>3QTR</v>
          </cell>
          <cell r="BJ126" t="str">
            <v>4QTR</v>
          </cell>
          <cell r="BK126" t="str">
            <v>YEAR</v>
          </cell>
          <cell r="BN126" t="str">
            <v>2QTR</v>
          </cell>
          <cell r="BO126" t="str">
            <v>3QTR</v>
          </cell>
          <cell r="BP126" t="str">
            <v>4QTR</v>
          </cell>
          <cell r="BQ126" t="str">
            <v>YEAR</v>
          </cell>
          <cell r="BT126" t="str">
            <v>2QTR</v>
          </cell>
          <cell r="BU126" t="str">
            <v>3QTR</v>
          </cell>
          <cell r="BV126" t="str">
            <v>4QTR</v>
          </cell>
          <cell r="BW126" t="str">
            <v>YEAR</v>
          </cell>
          <cell r="BZ126" t="str">
            <v>2QTR</v>
          </cell>
          <cell r="CA126" t="str">
            <v>3QTR</v>
          </cell>
          <cell r="CB126" t="str">
            <v>4QTR</v>
          </cell>
          <cell r="CC126" t="str">
            <v>YEAR</v>
          </cell>
          <cell r="CF126" t="str">
            <v>2QTR</v>
          </cell>
          <cell r="CG126" t="str">
            <v>3QTR</v>
          </cell>
          <cell r="CH126" t="str">
            <v>4QTR</v>
          </cell>
          <cell r="CI126" t="str">
            <v>YEAR</v>
          </cell>
          <cell r="CL126" t="str">
            <v>2QTR</v>
          </cell>
          <cell r="CM126" t="str">
            <v>3QTR</v>
          </cell>
          <cell r="CN126" t="str">
            <v>4QTR</v>
          </cell>
          <cell r="CO126" t="str">
            <v>YEAR</v>
          </cell>
          <cell r="CR126" t="str">
            <v>2QTR</v>
          </cell>
          <cell r="CS126" t="str">
            <v>3QTR</v>
          </cell>
          <cell r="CT126" t="str">
            <v>4QTR</v>
          </cell>
          <cell r="CU126" t="str">
            <v>YEAR</v>
          </cell>
          <cell r="CX126" t="str">
            <v>2QTR</v>
          </cell>
          <cell r="CY126" t="str">
            <v>3QTR</v>
          </cell>
          <cell r="CZ126" t="str">
            <v>4QTR</v>
          </cell>
          <cell r="DA126" t="str">
            <v>YEAR</v>
          </cell>
          <cell r="DD126" t="str">
            <v>2QTR</v>
          </cell>
          <cell r="DE126" t="str">
            <v>3QTR</v>
          </cell>
          <cell r="DF126" t="str">
            <v>4QTR</v>
          </cell>
          <cell r="DG126" t="str">
            <v>YEAR</v>
          </cell>
        </row>
        <row r="127">
          <cell r="BQ127">
            <v>0</v>
          </cell>
          <cell r="BW127">
            <v>0</v>
          </cell>
          <cell r="CC127">
            <v>5</v>
          </cell>
          <cell r="CI127">
            <v>0</v>
          </cell>
          <cell r="CO127">
            <v>0</v>
          </cell>
          <cell r="CR127">
            <v>5</v>
          </cell>
          <cell r="CS127">
            <v>-30</v>
          </cell>
          <cell r="CU127">
            <v>-20</v>
          </cell>
          <cell r="CX127">
            <v>150</v>
          </cell>
          <cell r="CY127">
            <v>-100</v>
          </cell>
          <cell r="CZ127">
            <v>10</v>
          </cell>
          <cell r="DA127">
            <v>60</v>
          </cell>
          <cell r="DE127">
            <v>10</v>
          </cell>
          <cell r="DF127">
            <v>10</v>
          </cell>
          <cell r="DG127">
            <v>20</v>
          </cell>
        </row>
        <row r="128">
          <cell r="BQ128">
            <v>0</v>
          </cell>
          <cell r="BW128">
            <v>0</v>
          </cell>
          <cell r="CC128">
            <v>0</v>
          </cell>
          <cell r="CH128">
            <v>10</v>
          </cell>
          <cell r="CI128">
            <v>10</v>
          </cell>
          <cell r="CL128">
            <v>-8.9126559714791256</v>
          </cell>
          <cell r="CN128">
            <v>-9</v>
          </cell>
          <cell r="CO128">
            <v>-17.912655971479126</v>
          </cell>
          <cell r="CR128">
            <v>5</v>
          </cell>
          <cell r="CS128">
            <v>-30</v>
          </cell>
          <cell r="CU128">
            <v>-20</v>
          </cell>
          <cell r="CX128">
            <v>100</v>
          </cell>
          <cell r="CY128">
            <v>-100</v>
          </cell>
          <cell r="CZ128">
            <v>25</v>
          </cell>
          <cell r="DA128">
            <v>105</v>
          </cell>
          <cell r="DE128">
            <v>10</v>
          </cell>
          <cell r="DF128">
            <v>10</v>
          </cell>
          <cell r="DG128">
            <v>40</v>
          </cell>
        </row>
        <row r="129">
          <cell r="BQ129">
            <v>0</v>
          </cell>
          <cell r="BW129">
            <v>0</v>
          </cell>
          <cell r="CC129">
            <v>0</v>
          </cell>
          <cell r="CH129">
            <v>10</v>
          </cell>
          <cell r="CI129">
            <v>27.333333333333371</v>
          </cell>
          <cell r="CN129">
            <v>-9</v>
          </cell>
          <cell r="CO129">
            <v>-18.333333333333314</v>
          </cell>
          <cell r="CR129">
            <v>5</v>
          </cell>
          <cell r="CS129">
            <v>-30</v>
          </cell>
          <cell r="CU129">
            <v>-20</v>
          </cell>
          <cell r="CX129">
            <v>100</v>
          </cell>
          <cell r="CY129">
            <v>-100</v>
          </cell>
          <cell r="CZ129">
            <v>25</v>
          </cell>
          <cell r="DA129">
            <v>105</v>
          </cell>
          <cell r="DE129">
            <v>10</v>
          </cell>
          <cell r="DF129">
            <v>10</v>
          </cell>
          <cell r="DG129">
            <v>40</v>
          </cell>
        </row>
        <row r="130">
          <cell r="BQ130">
            <v>0</v>
          </cell>
          <cell r="BT130">
            <v>0</v>
          </cell>
          <cell r="BU130">
            <v>15</v>
          </cell>
          <cell r="BW130">
            <v>15</v>
          </cell>
          <cell r="CA130">
            <v>-15</v>
          </cell>
          <cell r="CC130">
            <v>-15</v>
          </cell>
          <cell r="CH130">
            <v>10</v>
          </cell>
          <cell r="CI130">
            <v>27.333333333333371</v>
          </cell>
          <cell r="CN130">
            <v>-9</v>
          </cell>
          <cell r="CO130">
            <v>-18.333333333333314</v>
          </cell>
          <cell r="CR130">
            <v>5</v>
          </cell>
          <cell r="CS130">
            <v>-30</v>
          </cell>
          <cell r="CU130">
            <v>-20</v>
          </cell>
          <cell r="CX130">
            <v>100</v>
          </cell>
          <cell r="CY130">
            <v>-100</v>
          </cell>
          <cell r="CZ130">
            <v>25</v>
          </cell>
          <cell r="DA130">
            <v>105</v>
          </cell>
          <cell r="DE130">
            <v>10</v>
          </cell>
          <cell r="DF130">
            <v>10</v>
          </cell>
          <cell r="DG130">
            <v>40</v>
          </cell>
        </row>
        <row r="131">
          <cell r="AI131">
            <v>-3.6575000000000273</v>
          </cell>
          <cell r="AJ131">
            <v>41.19500000000005</v>
          </cell>
          <cell r="AK131">
            <v>-26.880000000000052</v>
          </cell>
          <cell r="AL131">
            <v>-10.65749999999997</v>
          </cell>
          <cell r="AP131">
            <v>41.19500000000005</v>
          </cell>
          <cell r="AQ131">
            <v>-26.880000000000052</v>
          </cell>
          <cell r="AR131">
            <v>-10.65749999999997</v>
          </cell>
          <cell r="AS131">
            <v>16.485000000000014</v>
          </cell>
          <cell r="AV131">
            <v>55</v>
          </cell>
          <cell r="AW131">
            <v>-15.149999999999977</v>
          </cell>
          <cell r="AX131">
            <v>-10.150000000000034</v>
          </cell>
          <cell r="AY131">
            <v>50.866666666666674</v>
          </cell>
          <cell r="BB131">
            <v>81.783333333333303</v>
          </cell>
          <cell r="BC131">
            <v>-10.116666666666674</v>
          </cell>
          <cell r="BD131">
            <v>-64</v>
          </cell>
          <cell r="BE131">
            <v>13.616666666666674</v>
          </cell>
          <cell r="BH131">
            <v>-19.549999999999955</v>
          </cell>
          <cell r="BI131">
            <v>-37.78333333333336</v>
          </cell>
          <cell r="BJ131">
            <v>-13.150000000000034</v>
          </cell>
          <cell r="BK131">
            <v>-62.016666666666708</v>
          </cell>
          <cell r="BN131">
            <v>39.400000000000034</v>
          </cell>
          <cell r="BO131">
            <v>1.783333333333303</v>
          </cell>
          <cell r="BP131">
            <v>-49.449999999999989</v>
          </cell>
          <cell r="BQ131">
            <v>21.733333333333348</v>
          </cell>
          <cell r="BT131">
            <v>-26.244444444444412</v>
          </cell>
          <cell r="BU131">
            <v>1.2944444444444798</v>
          </cell>
          <cell r="BV131">
            <v>-3</v>
          </cell>
          <cell r="BW131">
            <v>-0.1166666666666174</v>
          </cell>
          <cell r="BZ131">
            <v>16.554630815194116</v>
          </cell>
          <cell r="CA131">
            <v>-23.628599849576631</v>
          </cell>
          <cell r="CB131">
            <v>-49.926539169479895</v>
          </cell>
          <cell r="CC131">
            <v>-54.00050820386241</v>
          </cell>
          <cell r="CF131">
            <v>45</v>
          </cell>
          <cell r="CH131">
            <v>20</v>
          </cell>
          <cell r="CI131">
            <v>65</v>
          </cell>
          <cell r="CL131">
            <v>-33.482247353320759</v>
          </cell>
          <cell r="CN131">
            <v>-9</v>
          </cell>
          <cell r="CO131">
            <v>-72.482247353320759</v>
          </cell>
          <cell r="CS131">
            <v>0</v>
          </cell>
          <cell r="CT131">
            <v>0</v>
          </cell>
          <cell r="CU131">
            <v>15</v>
          </cell>
          <cell r="CY131">
            <v>-25</v>
          </cell>
          <cell r="CZ131">
            <v>45</v>
          </cell>
          <cell r="DA131">
            <v>100</v>
          </cell>
          <cell r="DE131">
            <v>10</v>
          </cell>
          <cell r="DF131">
            <v>10</v>
          </cell>
          <cell r="DG131">
            <v>55</v>
          </cell>
        </row>
        <row r="132">
          <cell r="BQ132">
            <v>0</v>
          </cell>
          <cell r="BW132">
            <v>0</v>
          </cell>
          <cell r="BZ132">
            <v>18</v>
          </cell>
          <cell r="CC132">
            <v>18</v>
          </cell>
          <cell r="CF132">
            <v>45</v>
          </cell>
          <cell r="CH132">
            <v>10</v>
          </cell>
          <cell r="CI132">
            <v>55</v>
          </cell>
          <cell r="CN132">
            <v>-9</v>
          </cell>
          <cell r="CO132">
            <v>-39</v>
          </cell>
          <cell r="CR132">
            <v>7</v>
          </cell>
          <cell r="CS132">
            <v>5</v>
          </cell>
          <cell r="CT132">
            <v>-5</v>
          </cell>
          <cell r="CU132">
            <v>22</v>
          </cell>
          <cell r="CY132">
            <v>-25</v>
          </cell>
          <cell r="CZ132">
            <v>45</v>
          </cell>
          <cell r="DA132">
            <v>100</v>
          </cell>
          <cell r="DE132">
            <v>10</v>
          </cell>
          <cell r="DF132">
            <v>10</v>
          </cell>
          <cell r="DG132">
            <v>55</v>
          </cell>
        </row>
        <row r="133">
          <cell r="BQ133">
            <v>0</v>
          </cell>
          <cell r="BW133">
            <v>0</v>
          </cell>
          <cell r="BZ133">
            <v>18</v>
          </cell>
          <cell r="CC133">
            <v>18</v>
          </cell>
          <cell r="CF133">
            <v>45</v>
          </cell>
          <cell r="CH133">
            <v>20</v>
          </cell>
          <cell r="CI133">
            <v>65</v>
          </cell>
          <cell r="CN133">
            <v>-9</v>
          </cell>
          <cell r="CO133">
            <v>-39</v>
          </cell>
          <cell r="CR133">
            <v>0</v>
          </cell>
          <cell r="CS133">
            <v>0</v>
          </cell>
          <cell r="CT133">
            <v>0</v>
          </cell>
          <cell r="CU133">
            <v>15</v>
          </cell>
          <cell r="CY133">
            <v>-25</v>
          </cell>
          <cell r="CZ133">
            <v>45</v>
          </cell>
          <cell r="DA133">
            <v>100</v>
          </cell>
          <cell r="DE133">
            <v>10</v>
          </cell>
          <cell r="DF133">
            <v>10</v>
          </cell>
          <cell r="DG133">
            <v>55</v>
          </cell>
        </row>
        <row r="134">
          <cell r="BQ134">
            <v>0</v>
          </cell>
          <cell r="BW134">
            <v>0</v>
          </cell>
          <cell r="BZ134">
            <v>18</v>
          </cell>
          <cell r="CC134">
            <v>18</v>
          </cell>
          <cell r="CF134">
            <v>45</v>
          </cell>
          <cell r="CH134">
            <v>10</v>
          </cell>
          <cell r="CI134">
            <v>55</v>
          </cell>
          <cell r="CN134">
            <v>-9</v>
          </cell>
          <cell r="CO134">
            <v>-39</v>
          </cell>
          <cell r="CR134">
            <v>0</v>
          </cell>
          <cell r="CS134">
            <v>0</v>
          </cell>
          <cell r="CT134">
            <v>0</v>
          </cell>
          <cell r="CU134">
            <v>15</v>
          </cell>
          <cell r="CY134">
            <v>-25</v>
          </cell>
          <cell r="CZ134">
            <v>45</v>
          </cell>
          <cell r="DA134">
            <v>100</v>
          </cell>
          <cell r="DE134">
            <v>10</v>
          </cell>
          <cell r="DF134">
            <v>10</v>
          </cell>
          <cell r="DG134">
            <v>55</v>
          </cell>
        </row>
        <row r="135">
          <cell r="BQ135">
            <v>0</v>
          </cell>
          <cell r="BW135">
            <v>0</v>
          </cell>
          <cell r="BZ135">
            <v>18</v>
          </cell>
          <cell r="CC135">
            <v>18</v>
          </cell>
          <cell r="CF135">
            <v>45</v>
          </cell>
          <cell r="CH135">
            <v>20</v>
          </cell>
          <cell r="CI135">
            <v>65</v>
          </cell>
          <cell r="CN135">
            <v>-9</v>
          </cell>
          <cell r="CO135">
            <v>-39</v>
          </cell>
          <cell r="CR135">
            <v>0</v>
          </cell>
          <cell r="CS135">
            <v>0</v>
          </cell>
          <cell r="CT135">
            <v>0</v>
          </cell>
          <cell r="CU135">
            <v>15</v>
          </cell>
          <cell r="CY135">
            <v>-25</v>
          </cell>
          <cell r="CZ135">
            <v>45</v>
          </cell>
          <cell r="DA135">
            <v>100</v>
          </cell>
          <cell r="DE135">
            <v>10</v>
          </cell>
          <cell r="DF135">
            <v>10</v>
          </cell>
          <cell r="DG135">
            <v>55</v>
          </cell>
        </row>
        <row r="136">
          <cell r="AI136">
            <v>-10.549874999999986</v>
          </cell>
          <cell r="AJ136">
            <v>24.532375000000002</v>
          </cell>
          <cell r="AK136">
            <v>-1.1200000000000045</v>
          </cell>
          <cell r="AL136">
            <v>-12.862500000000011</v>
          </cell>
          <cell r="AP136">
            <v>24.532375000000002</v>
          </cell>
          <cell r="AQ136">
            <v>-1.1200000000000045</v>
          </cell>
          <cell r="AR136">
            <v>-12.862500000000011</v>
          </cell>
          <cell r="AS136">
            <v>14.4375</v>
          </cell>
          <cell r="AV136">
            <v>40</v>
          </cell>
          <cell r="AW136">
            <v>11</v>
          </cell>
          <cell r="AX136">
            <v>-12.25</v>
          </cell>
          <cell r="AY136">
            <v>40</v>
          </cell>
          <cell r="BB136">
            <v>59.716666666666669</v>
          </cell>
          <cell r="BC136">
            <v>-12.733333333333348</v>
          </cell>
          <cell r="BD136">
            <v>-20</v>
          </cell>
          <cell r="BE136">
            <v>26.416666666666657</v>
          </cell>
          <cell r="BH136">
            <v>-13</v>
          </cell>
          <cell r="BI136">
            <v>-25</v>
          </cell>
          <cell r="BJ136">
            <v>-12.25</v>
          </cell>
          <cell r="BK136">
            <v>-47.433333333333337</v>
          </cell>
          <cell r="BN136">
            <v>25.133333333333383</v>
          </cell>
          <cell r="BO136">
            <v>16.766666666666652</v>
          </cell>
          <cell r="BP136">
            <v>-77.633333333333326</v>
          </cell>
          <cell r="BQ136">
            <v>-17.96666666666664</v>
          </cell>
          <cell r="BT136">
            <v>-5.0666666666666629</v>
          </cell>
          <cell r="BU136">
            <v>25</v>
          </cell>
          <cell r="BV136">
            <v>-20</v>
          </cell>
          <cell r="BW136">
            <v>-7.4000000000000341</v>
          </cell>
          <cell r="BZ136">
            <v>0</v>
          </cell>
          <cell r="CA136">
            <v>0</v>
          </cell>
          <cell r="CB136">
            <v>-5</v>
          </cell>
          <cell r="CC136">
            <v>-10</v>
          </cell>
          <cell r="CI136">
            <v>0</v>
          </cell>
          <cell r="CO136">
            <v>0</v>
          </cell>
          <cell r="CR136">
            <v>0</v>
          </cell>
          <cell r="CS136">
            <v>25</v>
          </cell>
          <cell r="CT136">
            <v>5</v>
          </cell>
          <cell r="CU136">
            <v>35</v>
          </cell>
          <cell r="CX136">
            <v>-45</v>
          </cell>
          <cell r="CZ136">
            <v>20</v>
          </cell>
          <cell r="DA136">
            <v>35</v>
          </cell>
          <cell r="DE136">
            <v>10</v>
          </cell>
          <cell r="DF136">
            <v>10</v>
          </cell>
          <cell r="DG136">
            <v>55</v>
          </cell>
        </row>
        <row r="137">
          <cell r="AI137">
            <v>-10.549874999999986</v>
          </cell>
          <cell r="AJ137">
            <v>24.532375000000002</v>
          </cell>
          <cell r="AK137">
            <v>-1.1200000000000045</v>
          </cell>
          <cell r="AL137">
            <v>-12.862500000000011</v>
          </cell>
          <cell r="AP137">
            <v>24.532375000000002</v>
          </cell>
          <cell r="AQ137">
            <v>-1.1200000000000045</v>
          </cell>
          <cell r="AR137">
            <v>-12.862500000000011</v>
          </cell>
          <cell r="AS137">
            <v>14.4375</v>
          </cell>
          <cell r="AV137">
            <v>40</v>
          </cell>
          <cell r="AW137">
            <v>11</v>
          </cell>
          <cell r="AX137">
            <v>-12.25</v>
          </cell>
          <cell r="AY137">
            <v>40</v>
          </cell>
          <cell r="BB137">
            <v>59.716666666666669</v>
          </cell>
          <cell r="BC137">
            <v>-12.733333333333348</v>
          </cell>
          <cell r="BD137">
            <v>-20</v>
          </cell>
          <cell r="BE137">
            <v>26.416666666666657</v>
          </cell>
          <cell r="BH137">
            <v>-13</v>
          </cell>
          <cell r="BI137">
            <v>-25</v>
          </cell>
          <cell r="BJ137">
            <v>-12.25</v>
          </cell>
          <cell r="BK137">
            <v>-47.433333333333337</v>
          </cell>
          <cell r="BN137">
            <v>25.133333333333383</v>
          </cell>
          <cell r="BO137">
            <v>16.766666666666652</v>
          </cell>
          <cell r="BP137">
            <v>-77.633333333333326</v>
          </cell>
          <cell r="BQ137">
            <v>-17.96666666666664</v>
          </cell>
          <cell r="BT137">
            <v>0</v>
          </cell>
          <cell r="BW137">
            <v>0</v>
          </cell>
          <cell r="CA137">
            <v>0</v>
          </cell>
          <cell r="CB137">
            <v>9</v>
          </cell>
          <cell r="CC137">
            <v>-1</v>
          </cell>
          <cell r="CG137">
            <v>0</v>
          </cell>
          <cell r="CH137">
            <v>-10</v>
          </cell>
          <cell r="CI137">
            <v>-20</v>
          </cell>
          <cell r="CM137">
            <v>32</v>
          </cell>
          <cell r="CN137">
            <v>-28</v>
          </cell>
          <cell r="CO137">
            <v>-26</v>
          </cell>
          <cell r="CR137">
            <v>0</v>
          </cell>
          <cell r="CS137">
            <v>25</v>
          </cell>
          <cell r="CT137">
            <v>5</v>
          </cell>
          <cell r="CU137">
            <v>35</v>
          </cell>
          <cell r="CX137">
            <v>-45</v>
          </cell>
          <cell r="CZ137">
            <v>20</v>
          </cell>
          <cell r="DA137">
            <v>30</v>
          </cell>
          <cell r="DE137">
            <v>10</v>
          </cell>
          <cell r="DF137">
            <v>10</v>
          </cell>
          <cell r="DG137">
            <v>55</v>
          </cell>
        </row>
        <row r="138">
          <cell r="BQ138">
            <v>0</v>
          </cell>
          <cell r="BW138">
            <v>0</v>
          </cell>
          <cell r="BZ138">
            <v>0</v>
          </cell>
          <cell r="CA138">
            <v>0</v>
          </cell>
          <cell r="CB138">
            <v>9</v>
          </cell>
          <cell r="CC138">
            <v>-1</v>
          </cell>
          <cell r="CF138">
            <v>0</v>
          </cell>
          <cell r="CG138">
            <v>0</v>
          </cell>
          <cell r="CH138">
            <v>-28</v>
          </cell>
          <cell r="CI138">
            <v>-38</v>
          </cell>
          <cell r="CL138">
            <v>-2.4133010289286574</v>
          </cell>
          <cell r="CM138">
            <v>32</v>
          </cell>
          <cell r="CN138">
            <v>-28</v>
          </cell>
          <cell r="CO138">
            <v>-28.413301028928657</v>
          </cell>
          <cell r="CR138">
            <v>0</v>
          </cell>
          <cell r="CS138">
            <v>15</v>
          </cell>
          <cell r="CT138">
            <v>5</v>
          </cell>
          <cell r="CU138">
            <v>25</v>
          </cell>
          <cell r="CX138">
            <v>-45</v>
          </cell>
          <cell r="CZ138">
            <v>20</v>
          </cell>
          <cell r="DA138">
            <v>30</v>
          </cell>
          <cell r="DE138">
            <v>10</v>
          </cell>
          <cell r="DF138">
            <v>10</v>
          </cell>
          <cell r="DG138">
            <v>55</v>
          </cell>
        </row>
        <row r="139">
          <cell r="AI139">
            <v>-4.3</v>
          </cell>
          <cell r="AJ139">
            <v>17.2</v>
          </cell>
          <cell r="AK139">
            <v>12.9</v>
          </cell>
          <cell r="AL139">
            <v>-25.8</v>
          </cell>
          <cell r="AP139">
            <v>17.2</v>
          </cell>
          <cell r="AQ139">
            <v>12.9</v>
          </cell>
          <cell r="AR139">
            <v>-25.8</v>
          </cell>
          <cell r="AS139">
            <v>19.994999999999994</v>
          </cell>
          <cell r="AV139">
            <v>10.105</v>
          </cell>
          <cell r="AW139">
            <v>17.2</v>
          </cell>
          <cell r="AX139">
            <v>-25.8</v>
          </cell>
          <cell r="AY139">
            <v>15.48</v>
          </cell>
          <cell r="BB139">
            <v>49.636333333333333</v>
          </cell>
          <cell r="BC139">
            <v>-10.879000000000005</v>
          </cell>
          <cell r="BD139">
            <v>-34</v>
          </cell>
          <cell r="BE139">
            <v>-15.122999999999987</v>
          </cell>
          <cell r="BH139">
            <v>-17.18566666666668</v>
          </cell>
          <cell r="BI139">
            <v>-55</v>
          </cell>
          <cell r="BJ139">
            <v>-13.487666666666694</v>
          </cell>
          <cell r="BK139">
            <v>-62.510666666666737</v>
          </cell>
          <cell r="BN139">
            <v>61.174666666666631</v>
          </cell>
          <cell r="BO139">
            <v>10.535</v>
          </cell>
          <cell r="BP139">
            <v>-58.393999999999956</v>
          </cell>
          <cell r="BQ139">
            <v>13.315666666666679</v>
          </cell>
          <cell r="BT139">
            <v>32.923666666666662</v>
          </cell>
          <cell r="BU139">
            <v>60</v>
          </cell>
          <cell r="BV139">
            <v>-40</v>
          </cell>
          <cell r="BW139">
            <v>46.757000000000005</v>
          </cell>
          <cell r="BZ139">
            <v>0</v>
          </cell>
          <cell r="CF139">
            <v>-10</v>
          </cell>
          <cell r="CG139">
            <v>-5</v>
          </cell>
          <cell r="CH139">
            <v>-20</v>
          </cell>
          <cell r="CL139">
            <v>-14.479504403472845</v>
          </cell>
        </row>
        <row r="140">
          <cell r="AI140">
            <v>40</v>
          </cell>
          <cell r="AJ140">
            <v>40</v>
          </cell>
          <cell r="AK140">
            <v>20</v>
          </cell>
          <cell r="AL140">
            <v>20</v>
          </cell>
          <cell r="AP140">
            <v>20</v>
          </cell>
          <cell r="AQ140">
            <v>20</v>
          </cell>
          <cell r="AR140">
            <v>20</v>
          </cell>
          <cell r="AS140">
            <v>80</v>
          </cell>
          <cell r="AV140">
            <v>20</v>
          </cell>
          <cell r="AW140">
            <v>20</v>
          </cell>
          <cell r="AX140">
            <v>20</v>
          </cell>
          <cell r="AY140">
            <v>40</v>
          </cell>
          <cell r="BB140">
            <v>-100</v>
          </cell>
          <cell r="BC140">
            <v>-95</v>
          </cell>
          <cell r="BD140">
            <v>20</v>
          </cell>
          <cell r="BE140">
            <v>-225</v>
          </cell>
          <cell r="BH140">
            <v>40</v>
          </cell>
          <cell r="BI140">
            <v>35</v>
          </cell>
          <cell r="BJ140">
            <v>0</v>
          </cell>
          <cell r="BK140">
            <v>115</v>
          </cell>
          <cell r="BN140">
            <v>20</v>
          </cell>
          <cell r="BO140">
            <v>10</v>
          </cell>
          <cell r="BP140">
            <v>40</v>
          </cell>
          <cell r="BQ140">
            <v>70</v>
          </cell>
          <cell r="BT140">
            <v>9.071940488070398</v>
          </cell>
          <cell r="BU140">
            <v>1</v>
          </cell>
          <cell r="BV140">
            <v>-40</v>
          </cell>
          <cell r="BW140">
            <v>-88.895672684387193</v>
          </cell>
          <cell r="BZ140">
            <v>18.143880976140796</v>
          </cell>
          <cell r="CA140">
            <v>40.301088793679526</v>
          </cell>
          <cell r="CB140">
            <v>11.93902943218427</v>
          </cell>
          <cell r="CC140">
            <v>98.1681777377934</v>
          </cell>
          <cell r="CF140">
            <v>-158.75895854123195</v>
          </cell>
          <cell r="CG140">
            <v>54.431642928422384</v>
          </cell>
          <cell r="CH140">
            <v>-15</v>
          </cell>
          <cell r="CI140">
            <v>-282.6222443980767</v>
          </cell>
          <cell r="CL140">
            <v>90.202900164212792</v>
          </cell>
          <cell r="CM140">
            <v>65</v>
          </cell>
          <cell r="CN140">
            <v>-25</v>
          </cell>
          <cell r="CO140">
            <v>200.20290016421279</v>
          </cell>
          <cell r="CR140">
            <v>30</v>
          </cell>
          <cell r="CS140">
            <v>50</v>
          </cell>
          <cell r="CT140">
            <v>70</v>
          </cell>
          <cell r="CU140">
            <v>200</v>
          </cell>
          <cell r="CX140">
            <v>-15</v>
          </cell>
          <cell r="CY140">
            <v>-25</v>
          </cell>
          <cell r="CZ140">
            <v>-10</v>
          </cell>
          <cell r="DA140">
            <v>-85</v>
          </cell>
          <cell r="DD140">
            <v>10</v>
          </cell>
          <cell r="DE140">
            <v>10</v>
          </cell>
          <cell r="DF140">
            <v>-50</v>
          </cell>
          <cell r="DG140">
            <v>-20</v>
          </cell>
        </row>
        <row r="141">
          <cell r="AI141">
            <v>15</v>
          </cell>
          <cell r="AJ141">
            <v>15</v>
          </cell>
          <cell r="AK141">
            <v>15</v>
          </cell>
          <cell r="AL141">
            <v>15</v>
          </cell>
          <cell r="AP141">
            <v>15</v>
          </cell>
          <cell r="AQ141">
            <v>15</v>
          </cell>
          <cell r="AR141">
            <v>15</v>
          </cell>
          <cell r="AS141">
            <v>60</v>
          </cell>
          <cell r="AV141">
            <v>0</v>
          </cell>
          <cell r="AW141">
            <v>20</v>
          </cell>
          <cell r="AX141">
            <v>0</v>
          </cell>
          <cell r="AY141">
            <v>-15</v>
          </cell>
          <cell r="BB141">
            <v>0</v>
          </cell>
          <cell r="BC141">
            <v>-50</v>
          </cell>
          <cell r="BD141">
            <v>-60</v>
          </cell>
          <cell r="BE141">
            <v>-110</v>
          </cell>
          <cell r="BH141">
            <v>30</v>
          </cell>
          <cell r="BI141">
            <v>15</v>
          </cell>
          <cell r="BJ141">
            <v>25</v>
          </cell>
          <cell r="BK141">
            <v>80</v>
          </cell>
          <cell r="BN141">
            <v>-45</v>
          </cell>
          <cell r="BO141">
            <v>-18</v>
          </cell>
          <cell r="BP141">
            <v>25</v>
          </cell>
          <cell r="BQ141">
            <v>-63</v>
          </cell>
          <cell r="BT141">
            <v>-23</v>
          </cell>
          <cell r="BU141">
            <v>-9.071940488070398</v>
          </cell>
          <cell r="BV141">
            <v>-5</v>
          </cell>
          <cell r="BW141">
            <v>-27.464029755964802</v>
          </cell>
          <cell r="BZ141">
            <v>45.287761952281592</v>
          </cell>
          <cell r="CA141">
            <v>0</v>
          </cell>
          <cell r="CB141">
            <v>-27.124715076522307</v>
          </cell>
          <cell r="CC141">
            <v>-4.516804344416709</v>
          </cell>
          <cell r="CF141">
            <v>-50</v>
          </cell>
          <cell r="CG141">
            <v>-90.909090909090878</v>
          </cell>
          <cell r="CH141">
            <v>-50</v>
          </cell>
          <cell r="CI141">
            <v>-190.90909090909088</v>
          </cell>
          <cell r="CL141">
            <v>138.23529411764696</v>
          </cell>
          <cell r="CM141">
            <v>0</v>
          </cell>
          <cell r="CN141">
            <v>30</v>
          </cell>
          <cell r="CO141">
            <v>218.23529411764696</v>
          </cell>
          <cell r="CR141">
            <v>10</v>
          </cell>
          <cell r="CS141">
            <v>20</v>
          </cell>
          <cell r="CT141">
            <v>49</v>
          </cell>
          <cell r="CU141">
            <v>63</v>
          </cell>
          <cell r="CX141">
            <v>20</v>
          </cell>
          <cell r="CY141">
            <v>-10</v>
          </cell>
          <cell r="CZ141">
            <v>-10</v>
          </cell>
          <cell r="DA141">
            <v>0</v>
          </cell>
          <cell r="DD141">
            <v>-20</v>
          </cell>
          <cell r="DG141">
            <v>-45</v>
          </cell>
        </row>
        <row r="142">
          <cell r="AI142">
            <v>30</v>
          </cell>
          <cell r="AJ142">
            <v>30</v>
          </cell>
          <cell r="AK142">
            <v>30</v>
          </cell>
          <cell r="AL142">
            <v>30</v>
          </cell>
          <cell r="AP142">
            <v>10</v>
          </cell>
          <cell r="AQ142">
            <v>10</v>
          </cell>
          <cell r="AR142">
            <v>10</v>
          </cell>
          <cell r="AS142">
            <v>40</v>
          </cell>
          <cell r="AV142">
            <v>10</v>
          </cell>
          <cell r="AW142">
            <v>10</v>
          </cell>
          <cell r="AX142">
            <v>10</v>
          </cell>
          <cell r="AY142">
            <v>20</v>
          </cell>
          <cell r="BB142">
            <v>-20</v>
          </cell>
          <cell r="BC142">
            <v>-25</v>
          </cell>
          <cell r="BD142">
            <v>-15</v>
          </cell>
          <cell r="BE142">
            <v>-60</v>
          </cell>
          <cell r="BH142">
            <v>10</v>
          </cell>
          <cell r="BI142">
            <v>-15</v>
          </cell>
          <cell r="BJ142">
            <v>10</v>
          </cell>
          <cell r="BK142">
            <v>5</v>
          </cell>
          <cell r="BN142">
            <v>15</v>
          </cell>
          <cell r="BO142">
            <v>20</v>
          </cell>
          <cell r="BP142">
            <v>40</v>
          </cell>
          <cell r="BQ142">
            <v>45</v>
          </cell>
          <cell r="BT142">
            <v>-20</v>
          </cell>
          <cell r="BU142">
            <v>-40</v>
          </cell>
          <cell r="BV142">
            <v>-50</v>
          </cell>
          <cell r="BW142">
            <v>-110</v>
          </cell>
          <cell r="BZ142">
            <v>53.515104780912637</v>
          </cell>
          <cell r="CA142">
            <v>30</v>
          </cell>
          <cell r="CB142">
            <v>49.393905064008095</v>
          </cell>
          <cell r="CC142">
            <v>146.17808359979691</v>
          </cell>
          <cell r="CF142">
            <v>-100</v>
          </cell>
          <cell r="CG142">
            <v>0</v>
          </cell>
          <cell r="CH142">
            <v>-30</v>
          </cell>
          <cell r="CI142">
            <v>-290</v>
          </cell>
          <cell r="CL142">
            <v>154.22685928303918</v>
          </cell>
          <cell r="CM142">
            <v>35</v>
          </cell>
          <cell r="CN142">
            <v>-40</v>
          </cell>
          <cell r="CO142">
            <v>259.22685928303918</v>
          </cell>
          <cell r="CR142">
            <v>40</v>
          </cell>
          <cell r="CS142">
            <v>45</v>
          </cell>
          <cell r="CT142">
            <v>90</v>
          </cell>
          <cell r="CU142">
            <v>125</v>
          </cell>
          <cell r="CX142">
            <v>20</v>
          </cell>
          <cell r="CY142">
            <v>50</v>
          </cell>
          <cell r="CZ142">
            <v>0</v>
          </cell>
          <cell r="DA142">
            <v>65</v>
          </cell>
          <cell r="DE142">
            <v>-10</v>
          </cell>
          <cell r="DF142">
            <v>-30</v>
          </cell>
          <cell r="DG142">
            <v>-65</v>
          </cell>
        </row>
        <row r="143">
          <cell r="AI143">
            <v>5</v>
          </cell>
          <cell r="AJ143">
            <v>5</v>
          </cell>
          <cell r="AK143">
            <v>5</v>
          </cell>
          <cell r="AL143">
            <v>5</v>
          </cell>
          <cell r="AP143">
            <v>10</v>
          </cell>
          <cell r="AQ143">
            <v>10</v>
          </cell>
          <cell r="AR143">
            <v>10</v>
          </cell>
          <cell r="AS143">
            <v>40</v>
          </cell>
          <cell r="AV143">
            <v>0</v>
          </cell>
          <cell r="AW143">
            <v>5</v>
          </cell>
          <cell r="AX143">
            <v>5</v>
          </cell>
          <cell r="AY143">
            <v>5</v>
          </cell>
          <cell r="BB143">
            <v>-15</v>
          </cell>
          <cell r="BC143">
            <v>-10</v>
          </cell>
          <cell r="BD143">
            <v>-15</v>
          </cell>
          <cell r="BE143">
            <v>-50</v>
          </cell>
          <cell r="BH143">
            <v>35</v>
          </cell>
          <cell r="BI143">
            <v>10</v>
          </cell>
          <cell r="BJ143">
            <v>0</v>
          </cell>
          <cell r="BK143">
            <v>45</v>
          </cell>
          <cell r="BN143">
            <v>25</v>
          </cell>
          <cell r="BO143">
            <v>40</v>
          </cell>
          <cell r="BP143">
            <v>25</v>
          </cell>
          <cell r="BQ143">
            <v>75</v>
          </cell>
          <cell r="BT143">
            <v>0</v>
          </cell>
          <cell r="BU143">
            <v>-15</v>
          </cell>
          <cell r="BV143">
            <v>-15</v>
          </cell>
          <cell r="BW143">
            <v>-10</v>
          </cell>
          <cell r="BZ143">
            <v>-25</v>
          </cell>
          <cell r="CA143">
            <v>7</v>
          </cell>
          <cell r="CB143">
            <v>40</v>
          </cell>
          <cell r="CC143">
            <v>12</v>
          </cell>
          <cell r="CF143">
            <v>-65</v>
          </cell>
          <cell r="CG143">
            <v>-55</v>
          </cell>
          <cell r="CH143">
            <v>0</v>
          </cell>
          <cell r="CI143">
            <v>-170</v>
          </cell>
          <cell r="CL143">
            <v>149.36244155364477</v>
          </cell>
          <cell r="CM143">
            <v>0</v>
          </cell>
          <cell r="CN143">
            <v>-10</v>
          </cell>
          <cell r="CO143">
            <v>184.36244155364477</v>
          </cell>
          <cell r="CR143">
            <v>30</v>
          </cell>
          <cell r="CS143">
            <v>30</v>
          </cell>
          <cell r="CT143">
            <v>40</v>
          </cell>
          <cell r="CU143">
            <v>115</v>
          </cell>
          <cell r="CX143">
            <v>-20</v>
          </cell>
          <cell r="CY143">
            <v>-10</v>
          </cell>
          <cell r="CZ143">
            <v>2</v>
          </cell>
          <cell r="DA143">
            <v>-34</v>
          </cell>
          <cell r="DD143">
            <v>0</v>
          </cell>
          <cell r="DF143">
            <v>-5</v>
          </cell>
          <cell r="DG143">
            <v>-5</v>
          </cell>
        </row>
        <row r="146">
          <cell r="AI146">
            <v>342.52749999999997</v>
          </cell>
          <cell r="AJ146">
            <v>383.72250000000003</v>
          </cell>
          <cell r="AK146">
            <v>356.84249999999997</v>
          </cell>
          <cell r="AL146">
            <v>346.185</v>
          </cell>
          <cell r="AP146">
            <v>383.72250000000003</v>
          </cell>
          <cell r="AQ146">
            <v>356.84249999999997</v>
          </cell>
          <cell r="AR146">
            <v>346.185</v>
          </cell>
          <cell r="AS146">
            <v>357.31937499999998</v>
          </cell>
          <cell r="AV146">
            <v>355</v>
          </cell>
          <cell r="AW146">
            <v>339.85</v>
          </cell>
          <cell r="AX146">
            <v>329.7</v>
          </cell>
          <cell r="AY146">
            <v>331.13749999999999</v>
          </cell>
          <cell r="BB146">
            <v>365.45</v>
          </cell>
          <cell r="BC146">
            <v>320.33333333333331</v>
          </cell>
          <cell r="BD146">
            <v>278.83333333333331</v>
          </cell>
          <cell r="BE146">
            <v>312.07083333333333</v>
          </cell>
          <cell r="BH146">
            <v>336.65000000000003</v>
          </cell>
          <cell r="BI146">
            <v>293.86666666666667</v>
          </cell>
          <cell r="BJ146">
            <v>277.71666666666664</v>
          </cell>
          <cell r="BK146">
            <v>323.10833333333335</v>
          </cell>
          <cell r="BN146">
            <v>423.40000000000003</v>
          </cell>
          <cell r="BO146">
            <v>425.18333333333334</v>
          </cell>
          <cell r="BP146">
            <v>375.73333333333335</v>
          </cell>
          <cell r="BQ146">
            <v>402.07916666666671</v>
          </cell>
          <cell r="BT146">
            <v>341.5888888888889</v>
          </cell>
          <cell r="BU146">
            <v>342.88333333333338</v>
          </cell>
          <cell r="BV146">
            <v>339.88333333333338</v>
          </cell>
          <cell r="BW146">
            <v>348.04722222222227</v>
          </cell>
          <cell r="BZ146">
            <v>442.75</v>
          </cell>
          <cell r="CA146">
            <v>411.66666666666669</v>
          </cell>
          <cell r="CB146">
            <v>340</v>
          </cell>
          <cell r="CC146">
            <v>407.97916666666669</v>
          </cell>
          <cell r="CF146">
            <v>302.66666666666669</v>
          </cell>
          <cell r="CG146">
            <v>334.33333333333331</v>
          </cell>
          <cell r="CH146">
            <v>325.33333333333331</v>
          </cell>
          <cell r="CI146">
            <v>326.25</v>
          </cell>
          <cell r="CL146">
            <v>334.66666666666669</v>
          </cell>
          <cell r="CM146">
            <v>334.33333333333331</v>
          </cell>
          <cell r="CN146">
            <v>325.33333333333331</v>
          </cell>
          <cell r="CO146">
            <v>342.25</v>
          </cell>
          <cell r="CR146">
            <v>389</v>
          </cell>
          <cell r="CS146">
            <v>379</v>
          </cell>
          <cell r="CT146">
            <v>384</v>
          </cell>
          <cell r="CU146">
            <v>404.25</v>
          </cell>
          <cell r="CX146">
            <v>362</v>
          </cell>
          <cell r="CY146">
            <v>342</v>
          </cell>
          <cell r="CZ146">
            <v>444.33333333333331</v>
          </cell>
          <cell r="DA146">
            <v>394.58333333333331</v>
          </cell>
        </row>
        <row r="147">
          <cell r="AI147">
            <v>292.63762500000001</v>
          </cell>
          <cell r="AJ147">
            <v>317.17</v>
          </cell>
          <cell r="AK147">
            <v>316.05</v>
          </cell>
          <cell r="AL147">
            <v>303.1875</v>
          </cell>
          <cell r="AP147">
            <v>317.17</v>
          </cell>
          <cell r="AQ147">
            <v>316.05</v>
          </cell>
          <cell r="AR147">
            <v>303.1875</v>
          </cell>
          <cell r="AS147">
            <v>307.26128125000002</v>
          </cell>
          <cell r="AV147">
            <v>290</v>
          </cell>
          <cell r="AW147">
            <v>301</v>
          </cell>
          <cell r="AX147">
            <v>288.75</v>
          </cell>
          <cell r="AY147">
            <v>282.4375</v>
          </cell>
          <cell r="BB147">
            <v>302.06666666666666</v>
          </cell>
          <cell r="BC147">
            <v>279.33333333333331</v>
          </cell>
          <cell r="BD147">
            <v>248.75</v>
          </cell>
          <cell r="BE147">
            <v>268.125</v>
          </cell>
          <cell r="BH147">
            <v>272.41666666666669</v>
          </cell>
          <cell r="BI147">
            <v>255.16666666666666</v>
          </cell>
          <cell r="BJ147">
            <v>242.91666666666666</v>
          </cell>
          <cell r="BK147">
            <v>263.97916666666669</v>
          </cell>
          <cell r="BN147">
            <v>343.4666666666667</v>
          </cell>
          <cell r="BO147">
            <v>360.23333333333335</v>
          </cell>
          <cell r="BP147">
            <v>282.60000000000002</v>
          </cell>
          <cell r="BQ147">
            <v>326.1583333333333</v>
          </cell>
          <cell r="BT147">
            <v>260.26666666666665</v>
          </cell>
          <cell r="BU147">
            <v>307.21666666666664</v>
          </cell>
          <cell r="BV147">
            <v>300.56666666666666</v>
          </cell>
          <cell r="BW147">
            <v>283.3458333333333</v>
          </cell>
          <cell r="BZ147">
            <v>256</v>
          </cell>
          <cell r="CA147">
            <v>263.66666666666669</v>
          </cell>
          <cell r="CB147">
            <v>272.66666666666669</v>
          </cell>
          <cell r="CC147">
            <v>264.50000000000006</v>
          </cell>
          <cell r="CF147">
            <v>355</v>
          </cell>
          <cell r="CG147">
            <v>387</v>
          </cell>
          <cell r="CH147">
            <v>359</v>
          </cell>
          <cell r="CI147">
            <v>355.75</v>
          </cell>
          <cell r="CL147">
            <v>355</v>
          </cell>
          <cell r="CM147">
            <v>387</v>
          </cell>
          <cell r="CN147">
            <v>359</v>
          </cell>
          <cell r="CO147">
            <v>367.75</v>
          </cell>
          <cell r="CR147">
            <v>343</v>
          </cell>
          <cell r="CS147">
            <v>375</v>
          </cell>
          <cell r="CT147">
            <v>400</v>
          </cell>
          <cell r="CU147">
            <v>367.75</v>
          </cell>
          <cell r="CX147">
            <v>325</v>
          </cell>
          <cell r="CY147">
            <v>316.66666666666669</v>
          </cell>
          <cell r="CZ147">
            <v>341.66666666666669</v>
          </cell>
          <cell r="DA147">
            <v>345.33333333333337</v>
          </cell>
        </row>
        <row r="148">
          <cell r="AI148">
            <v>175</v>
          </cell>
          <cell r="AJ148">
            <v>195</v>
          </cell>
          <cell r="AK148">
            <v>210</v>
          </cell>
          <cell r="AL148">
            <v>180</v>
          </cell>
          <cell r="AP148">
            <v>195</v>
          </cell>
          <cell r="AQ148">
            <v>210</v>
          </cell>
          <cell r="AR148">
            <v>180</v>
          </cell>
          <cell r="AS148">
            <v>190</v>
          </cell>
          <cell r="AV148">
            <v>166.75</v>
          </cell>
          <cell r="AW148">
            <v>186.75</v>
          </cell>
          <cell r="AX148">
            <v>156.75</v>
          </cell>
          <cell r="AY148">
            <v>166.3125</v>
          </cell>
          <cell r="BB148">
            <v>189.9</v>
          </cell>
          <cell r="BC148">
            <v>177.25</v>
          </cell>
          <cell r="BD148">
            <v>138.75</v>
          </cell>
          <cell r="BE148">
            <v>159.52083333333334</v>
          </cell>
          <cell r="BH148">
            <v>240.01666666666665</v>
          </cell>
          <cell r="BI148">
            <v>170.98333333333335</v>
          </cell>
          <cell r="BJ148">
            <v>155.29999999999998</v>
          </cell>
          <cell r="BK148">
            <v>206.57499999999999</v>
          </cell>
          <cell r="BN148">
            <v>288.71666666666664</v>
          </cell>
          <cell r="BO148">
            <v>300.96666666666664</v>
          </cell>
          <cell r="BP148">
            <v>233.06666666666669</v>
          </cell>
          <cell r="BQ148">
            <v>260.08333333333331</v>
          </cell>
          <cell r="BT148">
            <v>195.78333333333333</v>
          </cell>
          <cell r="BU148">
            <v>289.01666666666665</v>
          </cell>
          <cell r="BV148">
            <v>175.56666666666669</v>
          </cell>
          <cell r="BW148">
            <v>204.46666666666667</v>
          </cell>
          <cell r="BZ148">
            <v>126.16666666666667</v>
          </cell>
          <cell r="CA148">
            <v>145.83333333333334</v>
          </cell>
          <cell r="CB148">
            <v>163.66666666666666</v>
          </cell>
          <cell r="CC148">
            <v>142.45833333333331</v>
          </cell>
          <cell r="CF148">
            <v>210</v>
          </cell>
          <cell r="CG148">
            <v>270</v>
          </cell>
          <cell r="CH148">
            <v>250</v>
          </cell>
          <cell r="CI148">
            <v>233.0625</v>
          </cell>
          <cell r="CL148">
            <v>210</v>
          </cell>
          <cell r="CM148">
            <v>270</v>
          </cell>
          <cell r="CN148">
            <v>250</v>
          </cell>
          <cell r="CO148">
            <v>242.25</v>
          </cell>
          <cell r="CR148">
            <v>242</v>
          </cell>
          <cell r="CS148">
            <v>290</v>
          </cell>
          <cell r="CT148">
            <v>270</v>
          </cell>
          <cell r="CU148">
            <v>265.25</v>
          </cell>
          <cell r="CX148">
            <v>209</v>
          </cell>
          <cell r="CY148">
            <v>201</v>
          </cell>
          <cell r="CZ148">
            <v>226</v>
          </cell>
          <cell r="DA148">
            <v>232.25</v>
          </cell>
        </row>
        <row r="153">
          <cell r="AK153" t="str">
            <v>2004E</v>
          </cell>
          <cell r="AQ153" t="str">
            <v>2003E</v>
          </cell>
          <cell r="AW153" t="str">
            <v>2002E</v>
          </cell>
          <cell r="BC153">
            <v>2001</v>
          </cell>
          <cell r="BI153">
            <v>2000</v>
          </cell>
          <cell r="BO153">
            <v>1999</v>
          </cell>
          <cell r="BU153">
            <v>1998</v>
          </cell>
          <cell r="CA153">
            <v>1997</v>
          </cell>
          <cell r="CG153">
            <v>1996</v>
          </cell>
          <cell r="CM153">
            <v>1995</v>
          </cell>
          <cell r="CS153">
            <v>1994</v>
          </cell>
          <cell r="CY153">
            <v>1993</v>
          </cell>
          <cell r="DE153">
            <v>1992</v>
          </cell>
        </row>
        <row r="154">
          <cell r="AI154" t="str">
            <v>1QTR</v>
          </cell>
          <cell r="AJ154" t="str">
            <v>2QTR</v>
          </cell>
          <cell r="AK154" t="str">
            <v>3QTR</v>
          </cell>
          <cell r="AL154" t="str">
            <v>4QTR</v>
          </cell>
          <cell r="AP154" t="str">
            <v>2QTR</v>
          </cell>
          <cell r="AQ154" t="str">
            <v>3QTR</v>
          </cell>
          <cell r="AR154" t="str">
            <v>4QTR</v>
          </cell>
          <cell r="AS154" t="str">
            <v>YEAR</v>
          </cell>
          <cell r="AV154" t="str">
            <v>2QTR</v>
          </cell>
          <cell r="AW154" t="str">
            <v>3QTR</v>
          </cell>
          <cell r="AX154" t="str">
            <v>4QTR</v>
          </cell>
          <cell r="AY154" t="str">
            <v>YEAR</v>
          </cell>
          <cell r="BB154" t="str">
            <v>2QTR</v>
          </cell>
          <cell r="BC154" t="str">
            <v>3QTR</v>
          </cell>
          <cell r="BD154" t="str">
            <v>4QTR</v>
          </cell>
          <cell r="BE154" t="str">
            <v>YEAR</v>
          </cell>
          <cell r="BH154" t="str">
            <v>2QTR</v>
          </cell>
          <cell r="BI154" t="str">
            <v>3QTR</v>
          </cell>
          <cell r="BJ154" t="str">
            <v>4QTR</v>
          </cell>
          <cell r="BK154" t="str">
            <v>YEAR</v>
          </cell>
          <cell r="BN154" t="str">
            <v>2QTR</v>
          </cell>
          <cell r="BO154" t="str">
            <v>3QTR</v>
          </cell>
          <cell r="BP154" t="str">
            <v>4QTR</v>
          </cell>
          <cell r="BQ154" t="str">
            <v>YEAR</v>
          </cell>
          <cell r="BT154" t="str">
            <v>2QTR</v>
          </cell>
          <cell r="BU154" t="str">
            <v>3QTR</v>
          </cell>
          <cell r="BV154" t="str">
            <v>4QTR</v>
          </cell>
          <cell r="BW154" t="str">
            <v>YEAR</v>
          </cell>
          <cell r="BZ154" t="str">
            <v>2QTR</v>
          </cell>
          <cell r="CA154" t="str">
            <v>3QTR</v>
          </cell>
          <cell r="CB154" t="str">
            <v>4QTR</v>
          </cell>
          <cell r="CC154" t="str">
            <v>YEAR</v>
          </cell>
          <cell r="CF154" t="str">
            <v>2QTR</v>
          </cell>
          <cell r="CG154" t="str">
            <v>3QTR</v>
          </cell>
          <cell r="CH154" t="str">
            <v>4QTR</v>
          </cell>
          <cell r="CI154" t="str">
            <v>YEAR</v>
          </cell>
          <cell r="CL154" t="str">
            <v>2QTR</v>
          </cell>
          <cell r="CM154" t="str">
            <v>3QTR</v>
          </cell>
          <cell r="CN154" t="str">
            <v>4QTR</v>
          </cell>
          <cell r="CO154" t="str">
            <v>YEAR</v>
          </cell>
          <cell r="CR154" t="str">
            <v>2QTR</v>
          </cell>
          <cell r="CS154" t="str">
            <v>3QTR</v>
          </cell>
          <cell r="CT154" t="str">
            <v>4QTR</v>
          </cell>
          <cell r="CU154" t="str">
            <v>YEAR</v>
          </cell>
          <cell r="CX154" t="str">
            <v>2QTR</v>
          </cell>
          <cell r="CY154" t="str">
            <v>3QTR</v>
          </cell>
          <cell r="CZ154" t="str">
            <v>4QTR</v>
          </cell>
          <cell r="DA154" t="str">
            <v>YEAR</v>
          </cell>
          <cell r="DD154" t="str">
            <v>2QTR</v>
          </cell>
          <cell r="DE154" t="str">
            <v>3QTR</v>
          </cell>
          <cell r="DF154" t="str">
            <v>4QTR</v>
          </cell>
          <cell r="DG154" t="str">
            <v>YEAR</v>
          </cell>
        </row>
        <row r="157">
          <cell r="AI157">
            <v>194</v>
          </cell>
          <cell r="AJ157">
            <v>194</v>
          </cell>
          <cell r="AK157">
            <v>194</v>
          </cell>
          <cell r="AL157">
            <v>194</v>
          </cell>
          <cell r="AP157">
            <v>194</v>
          </cell>
          <cell r="AQ157">
            <v>194</v>
          </cell>
          <cell r="AR157">
            <v>194</v>
          </cell>
          <cell r="AS157">
            <v>776</v>
          </cell>
          <cell r="AV157">
            <v>194</v>
          </cell>
          <cell r="AW157">
            <v>194</v>
          </cell>
          <cell r="AX157">
            <v>194</v>
          </cell>
          <cell r="AY157">
            <v>776</v>
          </cell>
          <cell r="BB157">
            <v>227</v>
          </cell>
          <cell r="BC157">
            <v>201</v>
          </cell>
          <cell r="BD157">
            <v>194</v>
          </cell>
          <cell r="BE157">
            <v>856</v>
          </cell>
          <cell r="BH157">
            <v>329</v>
          </cell>
          <cell r="BI157">
            <v>118</v>
          </cell>
          <cell r="BJ157">
            <v>274</v>
          </cell>
          <cell r="BK157">
            <v>986</v>
          </cell>
          <cell r="BN157">
            <v>170</v>
          </cell>
          <cell r="BO157">
            <v>162</v>
          </cell>
          <cell r="BP157">
            <v>155</v>
          </cell>
          <cell r="BQ157">
            <v>626</v>
          </cell>
          <cell r="BT157">
            <v>144</v>
          </cell>
          <cell r="BU157">
            <v>144</v>
          </cell>
          <cell r="BV157">
            <v>171</v>
          </cell>
          <cell r="BW157">
            <v>599</v>
          </cell>
          <cell r="CB157">
            <v>177</v>
          </cell>
          <cell r="CC157">
            <v>760</v>
          </cell>
          <cell r="CI157">
            <v>830</v>
          </cell>
          <cell r="CN157">
            <v>850</v>
          </cell>
          <cell r="CU157">
            <v>877</v>
          </cell>
        </row>
        <row r="158">
          <cell r="AI158">
            <v>48</v>
          </cell>
          <cell r="AJ158">
            <v>48</v>
          </cell>
          <cell r="AK158">
            <v>48</v>
          </cell>
          <cell r="AL158">
            <v>48</v>
          </cell>
          <cell r="AP158">
            <v>48</v>
          </cell>
          <cell r="AQ158">
            <v>48</v>
          </cell>
          <cell r="AR158">
            <v>48</v>
          </cell>
          <cell r="AS158">
            <v>192</v>
          </cell>
          <cell r="AV158">
            <v>48</v>
          </cell>
          <cell r="AW158">
            <v>48</v>
          </cell>
          <cell r="AX158">
            <v>48</v>
          </cell>
          <cell r="AY158">
            <v>192</v>
          </cell>
          <cell r="BB158">
            <v>39</v>
          </cell>
          <cell r="BC158">
            <v>44</v>
          </cell>
          <cell r="BD158">
            <v>48</v>
          </cell>
          <cell r="BE158">
            <v>168</v>
          </cell>
          <cell r="BH158">
            <v>35</v>
          </cell>
          <cell r="BI158">
            <v>33</v>
          </cell>
          <cell r="BJ158">
            <v>13</v>
          </cell>
          <cell r="BK158">
            <v>96</v>
          </cell>
          <cell r="BN158">
            <v>6</v>
          </cell>
          <cell r="BO158">
            <v>4</v>
          </cell>
          <cell r="BP158">
            <v>6</v>
          </cell>
          <cell r="BQ158">
            <v>30</v>
          </cell>
          <cell r="BT158">
            <v>9</v>
          </cell>
          <cell r="BU158">
            <v>9</v>
          </cell>
          <cell r="BV158">
            <v>8</v>
          </cell>
          <cell r="BW158">
            <v>37</v>
          </cell>
          <cell r="CB158">
            <v>5</v>
          </cell>
          <cell r="CC158">
            <v>37</v>
          </cell>
          <cell r="CI158">
            <v>37</v>
          </cell>
          <cell r="CN158">
            <v>32</v>
          </cell>
          <cell r="CU158">
            <v>25</v>
          </cell>
        </row>
        <row r="159">
          <cell r="AI159">
            <v>242</v>
          </cell>
          <cell r="AJ159">
            <v>242</v>
          </cell>
          <cell r="AK159">
            <v>242</v>
          </cell>
          <cell r="AL159">
            <v>242</v>
          </cell>
          <cell r="AP159">
            <v>242</v>
          </cell>
          <cell r="AQ159">
            <v>242</v>
          </cell>
          <cell r="AR159">
            <v>242</v>
          </cell>
          <cell r="AS159">
            <v>968</v>
          </cell>
          <cell r="AV159">
            <v>242</v>
          </cell>
          <cell r="AW159">
            <v>242</v>
          </cell>
          <cell r="AX159">
            <v>242</v>
          </cell>
          <cell r="AY159">
            <v>968</v>
          </cell>
          <cell r="BB159">
            <v>266</v>
          </cell>
          <cell r="BC159">
            <v>245</v>
          </cell>
          <cell r="BD159">
            <v>242</v>
          </cell>
          <cell r="BE159">
            <v>1024</v>
          </cell>
          <cell r="BH159">
            <v>364</v>
          </cell>
          <cell r="BI159">
            <v>151</v>
          </cell>
          <cell r="BJ159">
            <v>287</v>
          </cell>
          <cell r="BK159">
            <v>1082</v>
          </cell>
          <cell r="BN159">
            <v>176</v>
          </cell>
          <cell r="BO159">
            <v>166</v>
          </cell>
          <cell r="BP159">
            <v>161</v>
          </cell>
          <cell r="BQ159">
            <v>656</v>
          </cell>
          <cell r="BT159">
            <v>153</v>
          </cell>
          <cell r="BU159">
            <v>153</v>
          </cell>
          <cell r="BV159">
            <v>179</v>
          </cell>
          <cell r="BW159">
            <v>636</v>
          </cell>
          <cell r="CB159">
            <v>182</v>
          </cell>
          <cell r="CC159">
            <v>797</v>
          </cell>
          <cell r="CI159">
            <v>867</v>
          </cell>
          <cell r="CN159">
            <v>882</v>
          </cell>
          <cell r="CU159">
            <v>902</v>
          </cell>
        </row>
        <row r="160">
          <cell r="CA160" t="str">
            <v xml:space="preserve"> </v>
          </cell>
        </row>
        <row r="161">
          <cell r="AI161">
            <v>49</v>
          </cell>
          <cell r="AJ161">
            <v>49</v>
          </cell>
          <cell r="AK161">
            <v>49</v>
          </cell>
          <cell r="AL161">
            <v>49</v>
          </cell>
          <cell r="AP161">
            <v>49</v>
          </cell>
          <cell r="AQ161">
            <v>49</v>
          </cell>
          <cell r="AR161">
            <v>49</v>
          </cell>
          <cell r="AS161">
            <v>196</v>
          </cell>
          <cell r="AV161">
            <v>49</v>
          </cell>
          <cell r="AW161">
            <v>49</v>
          </cell>
          <cell r="AX161">
            <v>49</v>
          </cell>
          <cell r="AY161">
            <v>196</v>
          </cell>
          <cell r="BB161">
            <v>46</v>
          </cell>
          <cell r="BC161">
            <v>47</v>
          </cell>
          <cell r="BD161">
            <v>49</v>
          </cell>
          <cell r="BE161">
            <v>195</v>
          </cell>
          <cell r="BH161">
            <v>55</v>
          </cell>
          <cell r="BI161">
            <v>51</v>
          </cell>
          <cell r="BJ161">
            <v>69</v>
          </cell>
          <cell r="BK161">
            <v>228</v>
          </cell>
          <cell r="BN161">
            <v>58</v>
          </cell>
          <cell r="BO161">
            <v>-3</v>
          </cell>
          <cell r="BP161">
            <v>85</v>
          </cell>
          <cell r="BQ161">
            <v>194</v>
          </cell>
          <cell r="BT161">
            <v>58</v>
          </cell>
          <cell r="BU161">
            <v>193</v>
          </cell>
          <cell r="BV161">
            <v>58</v>
          </cell>
          <cell r="BW161">
            <v>228</v>
          </cell>
          <cell r="BZ161">
            <v>289</v>
          </cell>
          <cell r="CA161">
            <v>253</v>
          </cell>
          <cell r="CB161">
            <v>60</v>
          </cell>
          <cell r="CC161">
            <v>232</v>
          </cell>
          <cell r="CF161">
            <v>258</v>
          </cell>
          <cell r="CG161">
            <v>266</v>
          </cell>
          <cell r="CH161">
            <v>289</v>
          </cell>
          <cell r="CI161">
            <v>1066</v>
          </cell>
          <cell r="CL161">
            <v>290</v>
          </cell>
          <cell r="CM161">
            <v>264</v>
          </cell>
          <cell r="CR161">
            <v>253</v>
          </cell>
        </row>
        <row r="162">
          <cell r="AI162">
            <v>734.267335</v>
          </cell>
          <cell r="AJ162">
            <v>808.17116500000009</v>
          </cell>
          <cell r="AK162">
            <v>759.94844499999999</v>
          </cell>
          <cell r="AL162">
            <v>740.82889</v>
          </cell>
          <cell r="AP162">
            <v>808.17116500000009</v>
          </cell>
          <cell r="AQ162">
            <v>759.94844499999999</v>
          </cell>
          <cell r="AR162">
            <v>740.82889</v>
          </cell>
          <cell r="AS162">
            <v>3043.215835</v>
          </cell>
          <cell r="AV162">
            <v>756.64300000000003</v>
          </cell>
          <cell r="AW162">
            <v>729.46390000000008</v>
          </cell>
          <cell r="AX162">
            <v>711.25480000000005</v>
          </cell>
          <cell r="AY162">
            <v>2855.3347000000003</v>
          </cell>
          <cell r="BB162">
            <v>793</v>
          </cell>
          <cell r="BC162">
            <v>743</v>
          </cell>
          <cell r="BD162">
            <v>620</v>
          </cell>
          <cell r="BE162">
            <v>2761</v>
          </cell>
          <cell r="BH162">
            <v>768</v>
          </cell>
          <cell r="BI162">
            <v>660</v>
          </cell>
          <cell r="BJ162">
            <v>678</v>
          </cell>
          <cell r="BK162">
            <v>2812</v>
          </cell>
          <cell r="BN162">
            <v>613</v>
          </cell>
          <cell r="BO162">
            <v>600</v>
          </cell>
          <cell r="BP162">
            <v>660</v>
          </cell>
          <cell r="BQ162">
            <v>2318</v>
          </cell>
          <cell r="BT162">
            <v>474</v>
          </cell>
          <cell r="BU162">
            <v>460</v>
          </cell>
          <cell r="BV162">
            <v>435</v>
          </cell>
          <cell r="BW162">
            <v>1793</v>
          </cell>
          <cell r="BZ162">
            <v>604</v>
          </cell>
          <cell r="CA162">
            <v>542</v>
          </cell>
          <cell r="CB162">
            <v>447</v>
          </cell>
          <cell r="CC162">
            <v>2094</v>
          </cell>
          <cell r="CF162">
            <v>520</v>
          </cell>
          <cell r="CG162">
            <v>585</v>
          </cell>
          <cell r="CH162">
            <v>521</v>
          </cell>
          <cell r="CI162">
            <v>1988</v>
          </cell>
          <cell r="CL162">
            <v>432</v>
          </cell>
          <cell r="CM162">
            <v>432</v>
          </cell>
          <cell r="CR162">
            <v>491</v>
          </cell>
        </row>
        <row r="163">
          <cell r="AI163">
            <v>125.31997037499995</v>
          </cell>
          <cell r="AJ163">
            <v>136.67845999999994</v>
          </cell>
          <cell r="AK163">
            <v>136.15989999999994</v>
          </cell>
          <cell r="AL163">
            <v>130.20456249999992</v>
          </cell>
          <cell r="AP163">
            <v>136.67845999999997</v>
          </cell>
          <cell r="AQ163">
            <v>136.15989999999996</v>
          </cell>
          <cell r="AR163">
            <v>130.20456249999995</v>
          </cell>
          <cell r="AS163">
            <v>528.36289287499983</v>
          </cell>
          <cell r="AV163">
            <v>124.09875</v>
          </cell>
          <cell r="AW163">
            <v>129.19174999999998</v>
          </cell>
          <cell r="AX163">
            <v>123.51999999999998</v>
          </cell>
          <cell r="AY163">
            <v>482.38924999999995</v>
          </cell>
          <cell r="BB163">
            <v>125</v>
          </cell>
          <cell r="BC163">
            <v>124</v>
          </cell>
          <cell r="BD163">
            <v>105</v>
          </cell>
          <cell r="BE163">
            <v>456</v>
          </cell>
          <cell r="BH163">
            <v>143</v>
          </cell>
          <cell r="BI163">
            <v>125</v>
          </cell>
          <cell r="BJ163">
            <v>119</v>
          </cell>
          <cell r="BK163">
            <v>514</v>
          </cell>
          <cell r="BN163">
            <v>148</v>
          </cell>
          <cell r="BO163">
            <v>148</v>
          </cell>
          <cell r="BP163">
            <v>130</v>
          </cell>
          <cell r="BQ163">
            <v>539</v>
          </cell>
          <cell r="BT163">
            <v>111</v>
          </cell>
          <cell r="BU163">
            <v>122</v>
          </cell>
          <cell r="BV163">
            <v>116</v>
          </cell>
          <cell r="BW163">
            <v>452</v>
          </cell>
          <cell r="BZ163">
            <v>137</v>
          </cell>
          <cell r="CA163">
            <v>132</v>
          </cell>
          <cell r="CB163">
            <v>112</v>
          </cell>
          <cell r="CC163">
            <v>502</v>
          </cell>
          <cell r="CF163">
            <v>138</v>
          </cell>
          <cell r="CG163">
            <v>141</v>
          </cell>
          <cell r="CH163">
            <v>127</v>
          </cell>
          <cell r="CI163">
            <v>519</v>
          </cell>
          <cell r="CL163">
            <v>167</v>
          </cell>
          <cell r="CM163">
            <v>156</v>
          </cell>
          <cell r="CR163">
            <v>153</v>
          </cell>
        </row>
        <row r="164">
          <cell r="AI164">
            <v>207.76972500000002</v>
          </cell>
          <cell r="AJ164">
            <v>224.74612500000001</v>
          </cell>
          <cell r="AK164">
            <v>237.47842500000002</v>
          </cell>
          <cell r="AL164">
            <v>212.01382500000003</v>
          </cell>
          <cell r="AP164">
            <v>224.74612500000001</v>
          </cell>
          <cell r="AQ164">
            <v>237.47842500000002</v>
          </cell>
          <cell r="AR164">
            <v>212.01382500000003</v>
          </cell>
          <cell r="AS164">
            <v>882.00810000000001</v>
          </cell>
          <cell r="AV164">
            <v>200.76696000000001</v>
          </cell>
          <cell r="AW164">
            <v>217.74336</v>
          </cell>
          <cell r="AX164">
            <v>192.27876000000001</v>
          </cell>
          <cell r="AY164">
            <v>801.58240499999999</v>
          </cell>
          <cell r="BB164">
            <v>195</v>
          </cell>
          <cell r="BC164">
            <v>210</v>
          </cell>
          <cell r="BD164">
            <v>177</v>
          </cell>
          <cell r="BE164">
            <v>741</v>
          </cell>
          <cell r="BH164">
            <v>226</v>
          </cell>
          <cell r="BI164">
            <v>189</v>
          </cell>
          <cell r="BJ164">
            <v>181</v>
          </cell>
          <cell r="BK164">
            <v>828</v>
          </cell>
          <cell r="BN164">
            <v>223</v>
          </cell>
          <cell r="BO164">
            <v>207</v>
          </cell>
          <cell r="BP164">
            <v>201</v>
          </cell>
          <cell r="BQ164">
            <v>825</v>
          </cell>
          <cell r="BT164">
            <v>191</v>
          </cell>
          <cell r="BU164">
            <v>228</v>
          </cell>
          <cell r="BV164">
            <v>188</v>
          </cell>
          <cell r="BW164">
            <v>765</v>
          </cell>
          <cell r="BZ164">
            <v>149</v>
          </cell>
          <cell r="CA164">
            <v>151</v>
          </cell>
          <cell r="CB164">
            <v>152</v>
          </cell>
          <cell r="CC164">
            <v>594</v>
          </cell>
          <cell r="CF164">
            <v>184</v>
          </cell>
          <cell r="CG164">
            <v>176</v>
          </cell>
          <cell r="CH164">
            <v>140</v>
          </cell>
          <cell r="CI164">
            <v>667</v>
          </cell>
          <cell r="CL164">
            <v>168</v>
          </cell>
          <cell r="CM164">
            <v>197</v>
          </cell>
          <cell r="CR164">
            <v>191</v>
          </cell>
        </row>
        <row r="165">
          <cell r="AI165">
            <v>69</v>
          </cell>
          <cell r="AJ165">
            <v>69</v>
          </cell>
          <cell r="AK165">
            <v>69</v>
          </cell>
          <cell r="AL165">
            <v>69</v>
          </cell>
          <cell r="AP165">
            <v>69</v>
          </cell>
          <cell r="AQ165">
            <v>69</v>
          </cell>
          <cell r="AR165">
            <v>69</v>
          </cell>
          <cell r="AS165">
            <v>276</v>
          </cell>
          <cell r="AV165">
            <v>69</v>
          </cell>
          <cell r="AW165">
            <v>69</v>
          </cell>
          <cell r="AX165">
            <v>69</v>
          </cell>
          <cell r="AY165">
            <v>276</v>
          </cell>
          <cell r="BB165">
            <v>75</v>
          </cell>
          <cell r="BC165">
            <v>70</v>
          </cell>
          <cell r="BD165">
            <v>69</v>
          </cell>
          <cell r="BE165">
            <v>292</v>
          </cell>
          <cell r="BH165">
            <v>74</v>
          </cell>
          <cell r="BI165">
            <v>71</v>
          </cell>
          <cell r="BJ165">
            <v>83</v>
          </cell>
          <cell r="BK165">
            <v>301</v>
          </cell>
          <cell r="BN165">
            <v>72</v>
          </cell>
          <cell r="BO165">
            <v>68</v>
          </cell>
          <cell r="BP165">
            <v>71</v>
          </cell>
          <cell r="BQ165">
            <v>280</v>
          </cell>
          <cell r="BT165">
            <v>61</v>
          </cell>
          <cell r="BU165">
            <v>55</v>
          </cell>
          <cell r="BV165">
            <v>60</v>
          </cell>
          <cell r="BW165">
            <v>240</v>
          </cell>
          <cell r="BZ165">
            <v>74</v>
          </cell>
          <cell r="CA165">
            <v>67</v>
          </cell>
          <cell r="CB165">
            <v>65</v>
          </cell>
          <cell r="CC165">
            <v>272</v>
          </cell>
          <cell r="CF165">
            <v>62</v>
          </cell>
          <cell r="CG165">
            <v>58</v>
          </cell>
          <cell r="CH165">
            <v>60</v>
          </cell>
          <cell r="CI165">
            <v>235</v>
          </cell>
          <cell r="CL165">
            <v>47</v>
          </cell>
          <cell r="CM165">
            <v>44</v>
          </cell>
          <cell r="CR165">
            <v>45</v>
          </cell>
        </row>
        <row r="166">
          <cell r="AI166">
            <v>245.06271837500003</v>
          </cell>
          <cell r="AJ166">
            <v>246.21574000000004</v>
          </cell>
          <cell r="AK166">
            <v>246.16310000000004</v>
          </cell>
          <cell r="AL166">
            <v>245.55856250000005</v>
          </cell>
          <cell r="AP166">
            <v>246.21574000000001</v>
          </cell>
          <cell r="AQ166">
            <v>246.16310000000001</v>
          </cell>
          <cell r="AR166">
            <v>245.55856250000002</v>
          </cell>
          <cell r="AS166">
            <v>983.00012087499999</v>
          </cell>
          <cell r="AV166">
            <v>244.93875</v>
          </cell>
          <cell r="AW166">
            <v>245.45574999999999</v>
          </cell>
          <cell r="AX166">
            <v>244.88</v>
          </cell>
          <cell r="AY166">
            <v>978.33325000000002</v>
          </cell>
          <cell r="BB166">
            <v>309</v>
          </cell>
          <cell r="BC166">
            <v>290</v>
          </cell>
          <cell r="BD166">
            <v>243</v>
          </cell>
          <cell r="BE166">
            <v>1060</v>
          </cell>
          <cell r="BH166">
            <v>393</v>
          </cell>
          <cell r="BI166">
            <v>248</v>
          </cell>
          <cell r="BJ166">
            <v>260</v>
          </cell>
          <cell r="BK166">
            <v>1231</v>
          </cell>
          <cell r="BN166">
            <v>95</v>
          </cell>
          <cell r="BO166">
            <v>99</v>
          </cell>
          <cell r="BP166">
            <v>136</v>
          </cell>
          <cell r="BQ166">
            <v>409</v>
          </cell>
          <cell r="BT166">
            <v>86</v>
          </cell>
          <cell r="BU166">
            <v>95</v>
          </cell>
          <cell r="BV166">
            <v>85</v>
          </cell>
          <cell r="BW166">
            <v>330</v>
          </cell>
          <cell r="BZ166">
            <v>80</v>
          </cell>
          <cell r="CA166">
            <v>80</v>
          </cell>
          <cell r="CB166">
            <v>67</v>
          </cell>
          <cell r="CC166">
            <v>284</v>
          </cell>
          <cell r="CF166">
            <v>63</v>
          </cell>
          <cell r="CG166">
            <v>70</v>
          </cell>
          <cell r="CH166">
            <v>58</v>
          </cell>
          <cell r="CI166">
            <v>233</v>
          </cell>
          <cell r="CL166">
            <v>42</v>
          </cell>
          <cell r="CR166">
            <v>42</v>
          </cell>
        </row>
        <row r="167">
          <cell r="AI167">
            <v>0</v>
          </cell>
          <cell r="AJ167">
            <v>0</v>
          </cell>
          <cell r="AK167">
            <v>0</v>
          </cell>
          <cell r="AL167">
            <v>0</v>
          </cell>
          <cell r="AP167">
            <v>0</v>
          </cell>
          <cell r="AQ167">
            <v>0</v>
          </cell>
          <cell r="AR167">
            <v>0</v>
          </cell>
          <cell r="AS167">
            <v>0</v>
          </cell>
          <cell r="AV167">
            <v>0</v>
          </cell>
          <cell r="AW167">
            <v>0</v>
          </cell>
          <cell r="AX167">
            <v>0</v>
          </cell>
          <cell r="AY167">
            <v>0</v>
          </cell>
          <cell r="BB167">
            <v>0</v>
          </cell>
          <cell r="BC167">
            <v>0</v>
          </cell>
          <cell r="BD167">
            <v>0</v>
          </cell>
          <cell r="BE167">
            <v>0</v>
          </cell>
          <cell r="BH167">
            <v>0</v>
          </cell>
          <cell r="BI167">
            <v>0</v>
          </cell>
          <cell r="BJ167">
            <v>0</v>
          </cell>
          <cell r="BK167">
            <v>0</v>
          </cell>
          <cell r="BN167">
            <v>0</v>
          </cell>
          <cell r="BO167">
            <v>0</v>
          </cell>
          <cell r="BP167">
            <v>0</v>
          </cell>
          <cell r="BQ167">
            <v>0</v>
          </cell>
          <cell r="BT167">
            <v>0</v>
          </cell>
          <cell r="BU167">
            <v>0</v>
          </cell>
          <cell r="BV167">
            <v>0</v>
          </cell>
          <cell r="BW167">
            <v>0</v>
          </cell>
          <cell r="BZ167">
            <v>0</v>
          </cell>
          <cell r="CA167">
            <v>0</v>
          </cell>
          <cell r="CB167">
            <v>0</v>
          </cell>
          <cell r="CC167">
            <v>0</v>
          </cell>
          <cell r="CF167">
            <v>0</v>
          </cell>
          <cell r="CG167">
            <v>0</v>
          </cell>
          <cell r="CH167">
            <v>0</v>
          </cell>
          <cell r="CI167">
            <v>0</v>
          </cell>
          <cell r="CL167">
            <v>34</v>
          </cell>
          <cell r="CR167">
            <v>39</v>
          </cell>
        </row>
        <row r="168">
          <cell r="AI168">
            <v>183</v>
          </cell>
          <cell r="AJ168">
            <v>183</v>
          </cell>
          <cell r="AK168">
            <v>183</v>
          </cell>
          <cell r="AL168">
            <v>183</v>
          </cell>
          <cell r="AP168">
            <v>183</v>
          </cell>
          <cell r="AQ168">
            <v>183</v>
          </cell>
          <cell r="AR168">
            <v>183</v>
          </cell>
          <cell r="AS168">
            <v>732</v>
          </cell>
          <cell r="AV168">
            <v>183</v>
          </cell>
          <cell r="AW168">
            <v>183</v>
          </cell>
          <cell r="AX168">
            <v>183</v>
          </cell>
          <cell r="AY168">
            <v>732</v>
          </cell>
          <cell r="BB168">
            <v>205</v>
          </cell>
          <cell r="BC168">
            <v>196</v>
          </cell>
          <cell r="BD168">
            <v>183</v>
          </cell>
          <cell r="BE168">
            <v>749</v>
          </cell>
          <cell r="BH168">
            <v>267</v>
          </cell>
          <cell r="BI168">
            <v>262</v>
          </cell>
          <cell r="BJ168">
            <v>194</v>
          </cell>
          <cell r="BK168">
            <v>1034</v>
          </cell>
          <cell r="BN168">
            <v>203</v>
          </cell>
          <cell r="BO168">
            <v>218</v>
          </cell>
          <cell r="BP168">
            <v>208</v>
          </cell>
          <cell r="BQ168">
            <v>791</v>
          </cell>
          <cell r="BT168">
            <v>179</v>
          </cell>
          <cell r="BU168">
            <v>180</v>
          </cell>
          <cell r="BV168">
            <v>163</v>
          </cell>
          <cell r="BW168">
            <v>667</v>
          </cell>
          <cell r="BZ168">
            <v>172</v>
          </cell>
          <cell r="CA168">
            <v>164</v>
          </cell>
          <cell r="CB168">
            <v>144</v>
          </cell>
          <cell r="CC168">
            <v>599</v>
          </cell>
          <cell r="CF168">
            <v>143</v>
          </cell>
          <cell r="CG168">
            <v>141</v>
          </cell>
          <cell r="CH168">
            <v>124</v>
          </cell>
          <cell r="CI168">
            <v>511</v>
          </cell>
          <cell r="CL168">
            <v>91</v>
          </cell>
          <cell r="CO168">
            <v>430</v>
          </cell>
          <cell r="CR168">
            <v>35</v>
          </cell>
          <cell r="CU168">
            <v>401</v>
          </cell>
        </row>
        <row r="169">
          <cell r="AI169">
            <v>1613.4197487500001</v>
          </cell>
          <cell r="AJ169">
            <v>1716.81149</v>
          </cell>
          <cell r="AK169">
            <v>1680.7498699999999</v>
          </cell>
          <cell r="AL169">
            <v>1629.6058400000002</v>
          </cell>
          <cell r="AP169">
            <v>1716.81149</v>
          </cell>
          <cell r="AQ169">
            <v>1680.7498699999999</v>
          </cell>
          <cell r="AR169">
            <v>1629.6058400000002</v>
          </cell>
          <cell r="AS169">
            <v>6640.5869487500004</v>
          </cell>
          <cell r="AV169">
            <v>1627.4474600000001</v>
          </cell>
          <cell r="AW169">
            <v>1622.8547600000002</v>
          </cell>
          <cell r="AX169">
            <v>1572.9335599999999</v>
          </cell>
          <cell r="AY169">
            <v>6321.6396050000003</v>
          </cell>
          <cell r="BB169">
            <v>1748</v>
          </cell>
          <cell r="BC169">
            <v>1680</v>
          </cell>
          <cell r="BD169">
            <v>1446</v>
          </cell>
          <cell r="BE169">
            <v>6254</v>
          </cell>
          <cell r="BH169">
            <v>1926</v>
          </cell>
          <cell r="BI169">
            <v>1606</v>
          </cell>
          <cell r="BJ169">
            <v>1584</v>
          </cell>
          <cell r="BK169">
            <v>6948</v>
          </cell>
          <cell r="BN169">
            <v>1412</v>
          </cell>
          <cell r="BO169">
            <v>1337</v>
          </cell>
          <cell r="BP169">
            <v>1491</v>
          </cell>
          <cell r="BQ169">
            <v>5356</v>
          </cell>
          <cell r="BT169">
            <v>1160</v>
          </cell>
          <cell r="BU169">
            <v>1333</v>
          </cell>
          <cell r="BV169">
            <v>1105</v>
          </cell>
          <cell r="BW169">
            <v>4475</v>
          </cell>
          <cell r="BZ169">
            <v>1505</v>
          </cell>
          <cell r="CA169">
            <v>1389</v>
          </cell>
          <cell r="CB169">
            <v>1047</v>
          </cell>
          <cell r="CC169">
            <v>4577</v>
          </cell>
          <cell r="CF169">
            <v>1368</v>
          </cell>
          <cell r="CG169">
            <v>1437</v>
          </cell>
          <cell r="CH169">
            <v>1319</v>
          </cell>
          <cell r="CI169">
            <v>5240</v>
          </cell>
          <cell r="CL169">
            <v>1271</v>
          </cell>
          <cell r="CR169">
            <v>1249</v>
          </cell>
        </row>
        <row r="170">
          <cell r="BV170" t="str">
            <v xml:space="preserve"> </v>
          </cell>
          <cell r="BW170" t="str">
            <v xml:space="preserve"> </v>
          </cell>
        </row>
        <row r="172">
          <cell r="AI172">
            <v>366.19999999999987</v>
          </cell>
          <cell r="AJ172">
            <v>388.99999999999989</v>
          </cell>
          <cell r="AK172">
            <v>400.39999999999986</v>
          </cell>
          <cell r="AL172">
            <v>411.79999999999984</v>
          </cell>
          <cell r="AP172">
            <v>320.59999999999991</v>
          </cell>
          <cell r="AQ172">
            <v>331.99999999999989</v>
          </cell>
          <cell r="AR172">
            <v>343.39999999999986</v>
          </cell>
          <cell r="AS172">
            <v>1305.1999999999996</v>
          </cell>
          <cell r="AV172">
            <v>275</v>
          </cell>
          <cell r="AW172">
            <v>286.39999999999998</v>
          </cell>
          <cell r="AX172">
            <v>297.79999999999995</v>
          </cell>
          <cell r="AY172">
            <v>1122.8</v>
          </cell>
          <cell r="BB172">
            <v>277</v>
          </cell>
          <cell r="BC172">
            <v>261</v>
          </cell>
          <cell r="BD172">
            <v>275</v>
          </cell>
          <cell r="BE172">
            <v>1134</v>
          </cell>
          <cell r="BH172">
            <v>288</v>
          </cell>
          <cell r="BI172">
            <v>340</v>
          </cell>
          <cell r="BJ172">
            <v>393</v>
          </cell>
          <cell r="BK172">
            <v>1329</v>
          </cell>
          <cell r="BN172">
            <v>234</v>
          </cell>
          <cell r="BO172">
            <v>267</v>
          </cell>
          <cell r="BP172">
            <v>308</v>
          </cell>
          <cell r="BQ172">
            <v>1060</v>
          </cell>
          <cell r="BT172">
            <v>238</v>
          </cell>
          <cell r="BU172">
            <v>231</v>
          </cell>
          <cell r="BV172">
            <v>222</v>
          </cell>
          <cell r="BW172">
            <v>935</v>
          </cell>
          <cell r="BZ172">
            <v>243</v>
          </cell>
          <cell r="CA172">
            <v>253</v>
          </cell>
          <cell r="CB172">
            <v>272</v>
          </cell>
          <cell r="CC172">
            <v>986</v>
          </cell>
          <cell r="CF172">
            <v>234</v>
          </cell>
          <cell r="CG172">
            <v>239</v>
          </cell>
          <cell r="CH172">
            <v>229</v>
          </cell>
          <cell r="CI172">
            <v>954</v>
          </cell>
          <cell r="CL172">
            <v>461</v>
          </cell>
          <cell r="CM172">
            <v>452</v>
          </cell>
          <cell r="CR172">
            <v>251</v>
          </cell>
        </row>
        <row r="173">
          <cell r="AI173">
            <v>0</v>
          </cell>
          <cell r="AJ173">
            <v>0</v>
          </cell>
          <cell r="AK173">
            <v>0</v>
          </cell>
          <cell r="AL173">
            <v>0</v>
          </cell>
          <cell r="AP173">
            <v>0</v>
          </cell>
          <cell r="AQ173">
            <v>0</v>
          </cell>
          <cell r="AR173">
            <v>0</v>
          </cell>
          <cell r="AS173">
            <v>0</v>
          </cell>
          <cell r="AV173">
            <v>0</v>
          </cell>
          <cell r="AW173">
            <v>0</v>
          </cell>
          <cell r="AX173">
            <v>0</v>
          </cell>
          <cell r="AY173">
            <v>0</v>
          </cell>
          <cell r="BB173">
            <v>0</v>
          </cell>
          <cell r="BC173">
            <v>0</v>
          </cell>
          <cell r="BD173">
            <v>0</v>
          </cell>
          <cell r="BE173">
            <v>0</v>
          </cell>
          <cell r="BH173">
            <v>0</v>
          </cell>
          <cell r="BI173">
            <v>0</v>
          </cell>
          <cell r="BJ173">
            <v>0</v>
          </cell>
          <cell r="BK173">
            <v>0</v>
          </cell>
          <cell r="BN173">
            <v>0</v>
          </cell>
          <cell r="BO173">
            <v>0</v>
          </cell>
          <cell r="BP173">
            <v>0</v>
          </cell>
          <cell r="BQ173">
            <v>0</v>
          </cell>
          <cell r="BT173">
            <v>0</v>
          </cell>
          <cell r="BU173">
            <v>0</v>
          </cell>
          <cell r="BV173">
            <v>0</v>
          </cell>
          <cell r="BW173">
            <v>37</v>
          </cell>
          <cell r="BZ173">
            <v>110</v>
          </cell>
          <cell r="CA173">
            <v>105</v>
          </cell>
          <cell r="CB173">
            <v>112</v>
          </cell>
          <cell r="CC173">
            <v>416</v>
          </cell>
          <cell r="CF173">
            <v>129</v>
          </cell>
          <cell r="CG173">
            <v>104</v>
          </cell>
          <cell r="CH173">
            <v>109</v>
          </cell>
          <cell r="CI173">
            <v>451</v>
          </cell>
          <cell r="CL173">
            <v>134</v>
          </cell>
          <cell r="CM173">
            <v>132</v>
          </cell>
          <cell r="CR173">
            <v>84</v>
          </cell>
        </row>
        <row r="174">
          <cell r="AI174">
            <v>302.76999999999981</v>
          </cell>
          <cell r="AJ174">
            <v>313.35999999999979</v>
          </cell>
          <cell r="AK174">
            <v>323.94999999999976</v>
          </cell>
          <cell r="AL174">
            <v>334.53999999999974</v>
          </cell>
          <cell r="AP174">
            <v>285.11999999999989</v>
          </cell>
          <cell r="AQ174">
            <v>288.64999999999986</v>
          </cell>
          <cell r="AR174">
            <v>292.17999999999984</v>
          </cell>
          <cell r="AS174">
            <v>1147.5399999999995</v>
          </cell>
          <cell r="AV174">
            <v>271</v>
          </cell>
          <cell r="AW174">
            <v>274.52999999999997</v>
          </cell>
          <cell r="AX174">
            <v>278.05999999999995</v>
          </cell>
          <cell r="AY174">
            <v>1091.06</v>
          </cell>
          <cell r="BB174">
            <v>281</v>
          </cell>
          <cell r="BC174">
            <v>311</v>
          </cell>
          <cell r="BD174">
            <v>271</v>
          </cell>
          <cell r="BE174">
            <v>1185</v>
          </cell>
          <cell r="BH174">
            <v>284</v>
          </cell>
          <cell r="BI174">
            <v>311</v>
          </cell>
          <cell r="BJ174">
            <v>340</v>
          </cell>
          <cell r="BK174">
            <v>1216</v>
          </cell>
          <cell r="BN174">
            <v>231</v>
          </cell>
          <cell r="BO174">
            <v>255</v>
          </cell>
          <cell r="BP174">
            <v>282</v>
          </cell>
          <cell r="BQ174">
            <v>1010</v>
          </cell>
          <cell r="BT174">
            <v>201</v>
          </cell>
          <cell r="BU174">
            <v>212</v>
          </cell>
          <cell r="BV174">
            <v>243</v>
          </cell>
          <cell r="BW174">
            <v>869</v>
          </cell>
          <cell r="BZ174">
            <v>198</v>
          </cell>
          <cell r="CA174">
            <v>218</v>
          </cell>
          <cell r="CB174">
            <v>218</v>
          </cell>
          <cell r="CC174">
            <v>842</v>
          </cell>
          <cell r="CF174">
            <v>197</v>
          </cell>
          <cell r="CG174">
            <v>189</v>
          </cell>
          <cell r="CH174">
            <v>203</v>
          </cell>
          <cell r="CI174">
            <v>803</v>
          </cell>
          <cell r="CL174">
            <v>255</v>
          </cell>
          <cell r="CM174">
            <v>261</v>
          </cell>
          <cell r="CR174">
            <v>158</v>
          </cell>
        </row>
        <row r="175">
          <cell r="AI175">
            <v>140.64500000000001</v>
          </cell>
          <cell r="AJ175">
            <v>140.64500000000001</v>
          </cell>
          <cell r="AK175">
            <v>142.05000000000001</v>
          </cell>
          <cell r="AL175">
            <v>143.45500000000001</v>
          </cell>
          <cell r="AP175">
            <v>133.62</v>
          </cell>
          <cell r="AQ175">
            <v>136.43</v>
          </cell>
          <cell r="AR175">
            <v>139.24</v>
          </cell>
          <cell r="AS175">
            <v>542.91000000000008</v>
          </cell>
          <cell r="AV175">
            <v>128</v>
          </cell>
          <cell r="AW175">
            <v>129.405</v>
          </cell>
          <cell r="AX175">
            <v>130.81</v>
          </cell>
          <cell r="AY175">
            <v>514.80999999999995</v>
          </cell>
          <cell r="BB175">
            <v>132</v>
          </cell>
          <cell r="BC175">
            <v>142</v>
          </cell>
          <cell r="BD175">
            <v>128</v>
          </cell>
          <cell r="BE175">
            <v>544</v>
          </cell>
          <cell r="BH175">
            <v>166</v>
          </cell>
          <cell r="BI175">
            <v>142</v>
          </cell>
          <cell r="BJ175">
            <v>157</v>
          </cell>
          <cell r="BK175">
            <v>619</v>
          </cell>
          <cell r="BN175">
            <v>82</v>
          </cell>
          <cell r="BO175">
            <v>89</v>
          </cell>
          <cell r="BP175">
            <v>124</v>
          </cell>
          <cell r="BQ175">
            <v>369</v>
          </cell>
          <cell r="BT175">
            <v>77</v>
          </cell>
          <cell r="BU175">
            <v>73</v>
          </cell>
          <cell r="BV175">
            <v>72</v>
          </cell>
          <cell r="BW175">
            <v>298</v>
          </cell>
          <cell r="BZ175">
            <v>72</v>
          </cell>
          <cell r="CA175">
            <v>73</v>
          </cell>
          <cell r="CB175">
            <v>84</v>
          </cell>
          <cell r="CC175">
            <v>301</v>
          </cell>
          <cell r="CF175">
            <v>76</v>
          </cell>
          <cell r="CG175">
            <v>78</v>
          </cell>
          <cell r="CH175">
            <v>62</v>
          </cell>
          <cell r="CI175">
            <v>281</v>
          </cell>
          <cell r="CL175">
            <v>87</v>
          </cell>
          <cell r="CM175">
            <v>82</v>
          </cell>
          <cell r="CR175">
            <v>59</v>
          </cell>
        </row>
        <row r="176">
          <cell r="AI176">
            <v>545</v>
          </cell>
          <cell r="AJ176">
            <v>545</v>
          </cell>
          <cell r="AK176">
            <v>545</v>
          </cell>
          <cell r="AL176">
            <v>545</v>
          </cell>
          <cell r="AP176">
            <v>545</v>
          </cell>
          <cell r="AQ176">
            <v>545</v>
          </cell>
          <cell r="AR176">
            <v>545</v>
          </cell>
          <cell r="AS176">
            <v>2180</v>
          </cell>
          <cell r="AV176">
            <v>545</v>
          </cell>
          <cell r="AW176">
            <v>545</v>
          </cell>
          <cell r="AX176">
            <v>545</v>
          </cell>
          <cell r="AY176">
            <v>2180</v>
          </cell>
          <cell r="BB176">
            <v>634</v>
          </cell>
          <cell r="BC176">
            <v>588</v>
          </cell>
          <cell r="BD176">
            <v>545</v>
          </cell>
          <cell r="BE176">
            <v>2385</v>
          </cell>
          <cell r="BH176">
            <v>627</v>
          </cell>
          <cell r="BI176">
            <v>615</v>
          </cell>
          <cell r="BJ176">
            <v>675</v>
          </cell>
          <cell r="BK176">
            <v>2491</v>
          </cell>
          <cell r="BN176">
            <v>493</v>
          </cell>
          <cell r="BO176">
            <v>495</v>
          </cell>
          <cell r="BP176">
            <v>564</v>
          </cell>
          <cell r="BQ176">
            <v>2005</v>
          </cell>
          <cell r="BT176">
            <v>504</v>
          </cell>
          <cell r="BU176">
            <v>473</v>
          </cell>
          <cell r="BV176">
            <v>446</v>
          </cell>
          <cell r="BW176">
            <v>1894</v>
          </cell>
          <cell r="BZ176">
            <v>455</v>
          </cell>
          <cell r="CA176">
            <v>436</v>
          </cell>
          <cell r="CB176">
            <v>442</v>
          </cell>
          <cell r="CC176">
            <v>1781</v>
          </cell>
          <cell r="CF176">
            <v>509</v>
          </cell>
          <cell r="CG176">
            <v>461</v>
          </cell>
          <cell r="CH176">
            <v>434</v>
          </cell>
          <cell r="CI176">
            <v>1921</v>
          </cell>
          <cell r="CL176">
            <v>468</v>
          </cell>
          <cell r="CM176">
            <v>474</v>
          </cell>
          <cell r="CR176">
            <v>376</v>
          </cell>
        </row>
        <row r="177">
          <cell r="AI177">
            <v>49</v>
          </cell>
          <cell r="AJ177">
            <v>49</v>
          </cell>
          <cell r="AK177">
            <v>49</v>
          </cell>
          <cell r="AL177">
            <v>49</v>
          </cell>
          <cell r="AP177">
            <v>49</v>
          </cell>
          <cell r="AQ177">
            <v>49</v>
          </cell>
          <cell r="AR177">
            <v>49</v>
          </cell>
          <cell r="AS177">
            <v>196</v>
          </cell>
          <cell r="AV177">
            <v>49</v>
          </cell>
          <cell r="AW177">
            <v>49</v>
          </cell>
          <cell r="AX177">
            <v>49</v>
          </cell>
          <cell r="AY177">
            <v>196</v>
          </cell>
          <cell r="BB177">
            <v>57</v>
          </cell>
          <cell r="BC177">
            <v>43</v>
          </cell>
          <cell r="BD177">
            <v>49</v>
          </cell>
          <cell r="BE177">
            <v>212</v>
          </cell>
          <cell r="BH177">
            <v>107</v>
          </cell>
          <cell r="BI177">
            <v>78</v>
          </cell>
          <cell r="BJ177">
            <v>75</v>
          </cell>
          <cell r="BK177">
            <v>355</v>
          </cell>
          <cell r="BN177">
            <v>49</v>
          </cell>
          <cell r="BO177">
            <v>67</v>
          </cell>
          <cell r="BP177">
            <v>79</v>
          </cell>
          <cell r="BQ177">
            <v>239</v>
          </cell>
          <cell r="BT177">
            <v>51</v>
          </cell>
          <cell r="BU177">
            <v>45</v>
          </cell>
          <cell r="BV177">
            <v>40</v>
          </cell>
          <cell r="BW177">
            <v>191</v>
          </cell>
          <cell r="BZ177">
            <v>42</v>
          </cell>
          <cell r="CA177">
            <v>53</v>
          </cell>
          <cell r="CB177">
            <v>51</v>
          </cell>
          <cell r="CC177">
            <v>189</v>
          </cell>
          <cell r="CF177">
            <v>32</v>
          </cell>
          <cell r="CG177">
            <v>33</v>
          </cell>
          <cell r="CH177">
            <v>39</v>
          </cell>
          <cell r="CI177">
            <v>140</v>
          </cell>
          <cell r="CL177">
            <v>89</v>
          </cell>
          <cell r="CM177">
            <v>71</v>
          </cell>
          <cell r="CR177">
            <v>23</v>
          </cell>
        </row>
        <row r="178">
          <cell r="AI178">
            <v>0</v>
          </cell>
          <cell r="AJ178">
            <v>0</v>
          </cell>
          <cell r="AK178">
            <v>0</v>
          </cell>
          <cell r="AL178">
            <v>0</v>
          </cell>
          <cell r="AP178">
            <v>0</v>
          </cell>
          <cell r="AQ178">
            <v>0</v>
          </cell>
          <cell r="AR178">
            <v>0</v>
          </cell>
          <cell r="AS178">
            <v>0</v>
          </cell>
          <cell r="AV178">
            <v>0</v>
          </cell>
          <cell r="AW178">
            <v>0</v>
          </cell>
          <cell r="AX178">
            <v>0</v>
          </cell>
          <cell r="AY178">
            <v>0</v>
          </cell>
          <cell r="BB178">
            <v>0</v>
          </cell>
          <cell r="BC178">
            <v>0</v>
          </cell>
          <cell r="BD178">
            <v>0</v>
          </cell>
          <cell r="BE178">
            <v>0</v>
          </cell>
          <cell r="BH178">
            <v>0</v>
          </cell>
          <cell r="BI178">
            <v>0</v>
          </cell>
          <cell r="BJ178">
            <v>0</v>
          </cell>
          <cell r="BK178">
            <v>0</v>
          </cell>
          <cell r="BN178">
            <v>0</v>
          </cell>
          <cell r="BO178">
            <v>0</v>
          </cell>
          <cell r="BP178">
            <v>0</v>
          </cell>
          <cell r="BQ178">
            <v>0</v>
          </cell>
          <cell r="BT178">
            <v>8</v>
          </cell>
          <cell r="BU178">
            <v>7</v>
          </cell>
          <cell r="BV178">
            <v>4</v>
          </cell>
          <cell r="BW178">
            <v>30</v>
          </cell>
          <cell r="BZ178">
            <v>18</v>
          </cell>
          <cell r="CA178">
            <v>11</v>
          </cell>
          <cell r="CB178">
            <v>10</v>
          </cell>
          <cell r="CC178">
            <v>57</v>
          </cell>
          <cell r="CF178">
            <v>17</v>
          </cell>
          <cell r="CG178">
            <v>16</v>
          </cell>
          <cell r="CH178">
            <v>14</v>
          </cell>
          <cell r="CI178">
            <v>63</v>
          </cell>
          <cell r="CL178">
            <v>17</v>
          </cell>
          <cell r="CM178">
            <v>16</v>
          </cell>
          <cell r="CR178">
            <v>12</v>
          </cell>
        </row>
        <row r="179">
          <cell r="AI179">
            <v>42</v>
          </cell>
          <cell r="AJ179">
            <v>42</v>
          </cell>
          <cell r="AK179">
            <v>42</v>
          </cell>
          <cell r="AL179">
            <v>42</v>
          </cell>
          <cell r="AP179">
            <v>42</v>
          </cell>
          <cell r="AQ179">
            <v>42</v>
          </cell>
          <cell r="AR179">
            <v>42</v>
          </cell>
          <cell r="AS179">
            <v>168</v>
          </cell>
          <cell r="AV179">
            <v>42</v>
          </cell>
          <cell r="AW179">
            <v>42</v>
          </cell>
          <cell r="AX179">
            <v>42</v>
          </cell>
          <cell r="AY179">
            <v>168</v>
          </cell>
          <cell r="BB179">
            <v>45</v>
          </cell>
          <cell r="BC179">
            <v>47</v>
          </cell>
          <cell r="BD179">
            <v>42</v>
          </cell>
          <cell r="BE179">
            <v>195</v>
          </cell>
          <cell r="BH179">
            <v>56</v>
          </cell>
          <cell r="BI179">
            <v>60</v>
          </cell>
          <cell r="BJ179">
            <v>53</v>
          </cell>
          <cell r="BK179">
            <v>233</v>
          </cell>
          <cell r="BN179">
            <v>11</v>
          </cell>
          <cell r="BO179">
            <v>80</v>
          </cell>
          <cell r="BP179">
            <v>40</v>
          </cell>
          <cell r="BQ179">
            <v>149</v>
          </cell>
          <cell r="BT179">
            <v>10</v>
          </cell>
          <cell r="BU179">
            <v>27</v>
          </cell>
          <cell r="BV179">
            <v>16</v>
          </cell>
          <cell r="BW179">
            <v>66</v>
          </cell>
          <cell r="BZ179">
            <v>6</v>
          </cell>
          <cell r="CA179">
            <v>11</v>
          </cell>
          <cell r="CB179">
            <v>10</v>
          </cell>
          <cell r="CC179">
            <v>37</v>
          </cell>
          <cell r="CF179">
            <v>7</v>
          </cell>
          <cell r="CG179">
            <v>10</v>
          </cell>
          <cell r="CH179">
            <v>10</v>
          </cell>
          <cell r="CI179">
            <v>35</v>
          </cell>
          <cell r="CL179">
            <v>-15</v>
          </cell>
          <cell r="CM179">
            <v>9</v>
          </cell>
          <cell r="CR179">
            <v>32</v>
          </cell>
        </row>
        <row r="180">
          <cell r="AI180">
            <v>1445.6149999999998</v>
          </cell>
          <cell r="AJ180">
            <v>1479.0049999999997</v>
          </cell>
          <cell r="AK180">
            <v>1502.3999999999996</v>
          </cell>
          <cell r="AL180">
            <v>1525.7949999999996</v>
          </cell>
          <cell r="AP180">
            <v>1375.3399999999997</v>
          </cell>
          <cell r="AQ180">
            <v>1393.0799999999997</v>
          </cell>
          <cell r="AR180">
            <v>1410.8199999999997</v>
          </cell>
          <cell r="AS180">
            <v>5539.6499999999987</v>
          </cell>
          <cell r="AV180">
            <v>1310</v>
          </cell>
          <cell r="AW180">
            <v>1326.335</v>
          </cell>
          <cell r="AX180">
            <v>1342.6699999999998</v>
          </cell>
          <cell r="AY180">
            <v>5272.67</v>
          </cell>
          <cell r="BB180">
            <v>1426</v>
          </cell>
          <cell r="BC180">
            <v>1392</v>
          </cell>
          <cell r="BD180">
            <v>1310</v>
          </cell>
          <cell r="BE180">
            <v>5655</v>
          </cell>
          <cell r="BH180">
            <v>1528</v>
          </cell>
          <cell r="BI180">
            <v>1546</v>
          </cell>
          <cell r="BJ180">
            <v>1693</v>
          </cell>
          <cell r="BK180">
            <v>6243</v>
          </cell>
          <cell r="BN180">
            <v>1100</v>
          </cell>
          <cell r="BO180">
            <v>1253</v>
          </cell>
          <cell r="BP180">
            <v>1397</v>
          </cell>
          <cell r="BQ180">
            <v>4832</v>
          </cell>
          <cell r="BT180">
            <v>1089</v>
          </cell>
          <cell r="BU180">
            <v>1068</v>
          </cell>
          <cell r="BV180">
            <v>1043</v>
          </cell>
          <cell r="BW180">
            <v>4320</v>
          </cell>
          <cell r="BZ180">
            <v>1144</v>
          </cell>
          <cell r="CA180">
            <v>1160</v>
          </cell>
          <cell r="CB180">
            <v>1199</v>
          </cell>
          <cell r="CC180">
            <v>4609</v>
          </cell>
          <cell r="CF180">
            <v>1201</v>
          </cell>
          <cell r="CG180">
            <v>1130</v>
          </cell>
          <cell r="CH180">
            <v>1100</v>
          </cell>
          <cell r="CI180">
            <v>4648</v>
          </cell>
          <cell r="CL180">
            <v>1496</v>
          </cell>
          <cell r="CM180">
            <v>1497</v>
          </cell>
          <cell r="CR180">
            <v>995</v>
          </cell>
        </row>
        <row r="181">
          <cell r="BW181" t="str">
            <v xml:space="preserve"> </v>
          </cell>
        </row>
        <row r="182">
          <cell r="AI182">
            <v>334</v>
          </cell>
          <cell r="AJ182">
            <v>334</v>
          </cell>
          <cell r="AK182">
            <v>334</v>
          </cell>
          <cell r="AL182">
            <v>334</v>
          </cell>
          <cell r="AP182">
            <v>334</v>
          </cell>
          <cell r="AQ182">
            <v>334</v>
          </cell>
          <cell r="AR182">
            <v>334</v>
          </cell>
          <cell r="AS182">
            <v>1336</v>
          </cell>
          <cell r="AV182">
            <v>334</v>
          </cell>
          <cell r="AW182">
            <v>334</v>
          </cell>
          <cell r="AX182">
            <v>334</v>
          </cell>
          <cell r="AY182">
            <v>1336</v>
          </cell>
          <cell r="BB182">
            <v>371</v>
          </cell>
          <cell r="BC182">
            <v>392</v>
          </cell>
          <cell r="BD182">
            <v>364</v>
          </cell>
          <cell r="BE182">
            <v>1461</v>
          </cell>
          <cell r="BH182">
            <v>324</v>
          </cell>
          <cell r="BI182">
            <v>341</v>
          </cell>
          <cell r="BJ182">
            <v>434</v>
          </cell>
          <cell r="BK182">
            <v>1377</v>
          </cell>
          <cell r="BN182">
            <v>314</v>
          </cell>
          <cell r="BO182">
            <v>311</v>
          </cell>
          <cell r="BP182">
            <v>335</v>
          </cell>
          <cell r="BQ182">
            <v>1236</v>
          </cell>
          <cell r="BT182">
            <v>247</v>
          </cell>
          <cell r="BU182">
            <v>297</v>
          </cell>
          <cell r="BV182">
            <v>383</v>
          </cell>
          <cell r="BW182">
            <v>1192</v>
          </cell>
          <cell r="BZ182">
            <v>229</v>
          </cell>
          <cell r="CA182">
            <v>241</v>
          </cell>
          <cell r="CB182">
            <v>409</v>
          </cell>
          <cell r="CC182">
            <v>1093</v>
          </cell>
          <cell r="CF182">
            <v>195</v>
          </cell>
          <cell r="CG182">
            <v>177</v>
          </cell>
          <cell r="CH182">
            <v>245</v>
          </cell>
          <cell r="CI182">
            <v>800</v>
          </cell>
        </row>
        <row r="183">
          <cell r="CC183">
            <v>0</v>
          </cell>
          <cell r="CF183">
            <v>48</v>
          </cell>
          <cell r="CG183">
            <v>56</v>
          </cell>
          <cell r="CH183">
            <v>56</v>
          </cell>
          <cell r="CI183">
            <v>209</v>
          </cell>
        </row>
        <row r="184">
          <cell r="AI184">
            <v>36</v>
          </cell>
          <cell r="AJ184">
            <v>36</v>
          </cell>
          <cell r="AK184">
            <v>36</v>
          </cell>
          <cell r="AL184">
            <v>36</v>
          </cell>
          <cell r="AP184">
            <v>36</v>
          </cell>
          <cell r="AQ184">
            <v>36</v>
          </cell>
          <cell r="AR184">
            <v>36</v>
          </cell>
          <cell r="AS184">
            <v>144</v>
          </cell>
          <cell r="AV184">
            <v>36</v>
          </cell>
          <cell r="AW184">
            <v>36</v>
          </cell>
          <cell r="AX184">
            <v>36</v>
          </cell>
          <cell r="AY184">
            <v>144</v>
          </cell>
          <cell r="BB184">
            <v>41</v>
          </cell>
          <cell r="BC184">
            <v>33</v>
          </cell>
          <cell r="BD184">
            <v>36</v>
          </cell>
          <cell r="BE184">
            <v>151</v>
          </cell>
          <cell r="BH184">
            <v>45</v>
          </cell>
          <cell r="BI184">
            <v>46</v>
          </cell>
          <cell r="BJ184">
            <v>44</v>
          </cell>
          <cell r="BK184">
            <v>180</v>
          </cell>
          <cell r="BN184">
            <v>42</v>
          </cell>
          <cell r="BO184">
            <v>53</v>
          </cell>
          <cell r="BP184">
            <v>49</v>
          </cell>
          <cell r="BQ184">
            <v>182</v>
          </cell>
          <cell r="BT184">
            <v>35</v>
          </cell>
          <cell r="BU184">
            <v>38</v>
          </cell>
          <cell r="BV184">
            <v>41</v>
          </cell>
          <cell r="BW184">
            <v>151</v>
          </cell>
          <cell r="BZ184">
            <v>31</v>
          </cell>
          <cell r="CA184">
            <v>33</v>
          </cell>
          <cell r="CB184">
            <v>33</v>
          </cell>
          <cell r="CC184">
            <v>134</v>
          </cell>
          <cell r="CF184">
            <v>74</v>
          </cell>
          <cell r="CG184">
            <v>52</v>
          </cell>
          <cell r="CH184">
            <v>51</v>
          </cell>
          <cell r="CI184">
            <v>217</v>
          </cell>
          <cell r="CL184">
            <v>81</v>
          </cell>
          <cell r="CM184">
            <v>60</v>
          </cell>
          <cell r="CR184">
            <v>68</v>
          </cell>
        </row>
        <row r="185">
          <cell r="BW185" t="str">
            <v xml:space="preserve"> </v>
          </cell>
        </row>
        <row r="186">
          <cell r="AI186">
            <v>3671.0347487499998</v>
          </cell>
          <cell r="AJ186">
            <v>3807.8164899999997</v>
          </cell>
          <cell r="AK186">
            <v>3795.1498699999993</v>
          </cell>
          <cell r="AL186">
            <v>3767.4008399999998</v>
          </cell>
          <cell r="AP186">
            <v>3704.1514899999997</v>
          </cell>
          <cell r="AQ186">
            <v>3685.8298699999996</v>
          </cell>
          <cell r="AR186">
            <v>3652.4258399999999</v>
          </cell>
          <cell r="AS186">
            <v>14628.23694875</v>
          </cell>
          <cell r="AV186">
            <v>3549.4474600000003</v>
          </cell>
          <cell r="AW186">
            <v>3561.1897600000002</v>
          </cell>
          <cell r="AX186">
            <v>3527.6035599999996</v>
          </cell>
          <cell r="AY186">
            <v>14042.309605</v>
          </cell>
          <cell r="BB186">
            <v>3852</v>
          </cell>
          <cell r="BC186">
            <v>3742</v>
          </cell>
          <cell r="BD186">
            <v>3398</v>
          </cell>
          <cell r="BE186">
            <v>14545</v>
          </cell>
          <cell r="BH186">
            <v>4187</v>
          </cell>
          <cell r="BI186">
            <v>3690</v>
          </cell>
          <cell r="BJ186">
            <v>4042</v>
          </cell>
          <cell r="BK186">
            <v>15830</v>
          </cell>
          <cell r="BN186">
            <v>3044</v>
          </cell>
          <cell r="BO186">
            <v>3120</v>
          </cell>
          <cell r="BP186">
            <v>3433</v>
          </cell>
          <cell r="BQ186">
            <v>12262</v>
          </cell>
          <cell r="BT186">
            <v>2531</v>
          </cell>
          <cell r="BU186">
            <v>2736</v>
          </cell>
          <cell r="BV186">
            <v>2751</v>
          </cell>
          <cell r="BW186">
            <v>10458</v>
          </cell>
          <cell r="BZ186">
            <v>2909</v>
          </cell>
          <cell r="CA186">
            <v>2823</v>
          </cell>
          <cell r="CB186">
            <v>2870</v>
          </cell>
          <cell r="CC186">
            <v>11210</v>
          </cell>
          <cell r="CF186">
            <v>2886</v>
          </cell>
          <cell r="CG186">
            <v>2852</v>
          </cell>
          <cell r="CH186">
            <v>2771</v>
          </cell>
          <cell r="CI186">
            <v>11114</v>
          </cell>
        </row>
        <row r="187">
          <cell r="BW187" t="str">
            <v xml:space="preserve"> </v>
          </cell>
        </row>
        <row r="191">
          <cell r="AK191" t="str">
            <v>2004E</v>
          </cell>
          <cell r="AQ191" t="str">
            <v>2003E</v>
          </cell>
          <cell r="AW191" t="str">
            <v>2002E</v>
          </cell>
          <cell r="BC191">
            <v>2001</v>
          </cell>
          <cell r="BI191">
            <v>2000</v>
          </cell>
          <cell r="BO191">
            <v>1999</v>
          </cell>
          <cell r="BU191">
            <v>1998</v>
          </cell>
          <cell r="CA191">
            <v>1997</v>
          </cell>
          <cell r="CG191">
            <v>1996</v>
          </cell>
          <cell r="CM191">
            <v>1995</v>
          </cell>
          <cell r="CS191">
            <v>1994</v>
          </cell>
          <cell r="CY191">
            <v>1993</v>
          </cell>
          <cell r="DE191">
            <v>1992</v>
          </cell>
        </row>
        <row r="192">
          <cell r="AI192" t="str">
            <v>1QTR</v>
          </cell>
          <cell r="AJ192" t="str">
            <v>2QTR</v>
          </cell>
          <cell r="AK192" t="str">
            <v>3QTR</v>
          </cell>
          <cell r="AL192" t="str">
            <v>4QTR</v>
          </cell>
          <cell r="AP192" t="str">
            <v>2QTR</v>
          </cell>
          <cell r="AQ192" t="str">
            <v>3QTR</v>
          </cell>
          <cell r="AR192" t="str">
            <v>4QTR</v>
          </cell>
          <cell r="AS192" t="str">
            <v>YEAR</v>
          </cell>
          <cell r="AV192" t="str">
            <v>2QTR</v>
          </cell>
          <cell r="AW192" t="str">
            <v>3QTR</v>
          </cell>
          <cell r="AX192" t="str">
            <v>4QTR</v>
          </cell>
          <cell r="AY192" t="str">
            <v>YEAR</v>
          </cell>
          <cell r="BB192" t="str">
            <v>2QTR</v>
          </cell>
          <cell r="BC192" t="str">
            <v>3QTR</v>
          </cell>
          <cell r="BD192" t="str">
            <v>4QTR</v>
          </cell>
          <cell r="BE192" t="str">
            <v>YEAR</v>
          </cell>
          <cell r="BH192" t="str">
            <v>2QTR</v>
          </cell>
          <cell r="BI192" t="str">
            <v>3QTR</v>
          </cell>
          <cell r="BJ192" t="str">
            <v>4QTR</v>
          </cell>
          <cell r="BK192" t="str">
            <v>YEAR</v>
          </cell>
          <cell r="BN192" t="str">
            <v>2QTR</v>
          </cell>
          <cell r="BO192" t="str">
            <v>3QTR</v>
          </cell>
          <cell r="BP192" t="str">
            <v>4QTR</v>
          </cell>
          <cell r="BQ192" t="str">
            <v>YEAR</v>
          </cell>
          <cell r="BT192" t="str">
            <v>2QTR</v>
          </cell>
          <cell r="BU192" t="str">
            <v>3QTR</v>
          </cell>
          <cell r="BV192" t="str">
            <v>4QTR</v>
          </cell>
          <cell r="BW192" t="str">
            <v>YEAR</v>
          </cell>
          <cell r="BZ192" t="str">
            <v>2QTR</v>
          </cell>
          <cell r="CA192" t="str">
            <v>3QTR</v>
          </cell>
          <cell r="CB192" t="str">
            <v>4QTR</v>
          </cell>
          <cell r="CC192" t="str">
            <v>YEAR</v>
          </cell>
          <cell r="CF192" t="str">
            <v>2QTR</v>
          </cell>
          <cell r="CG192" t="str">
            <v>3QTR</v>
          </cell>
          <cell r="CH192" t="str">
            <v>4QTR</v>
          </cell>
          <cell r="CI192" t="str">
            <v>YEAR</v>
          </cell>
          <cell r="CL192" t="str">
            <v>2QTR</v>
          </cell>
          <cell r="CM192" t="str">
            <v>3QTR</v>
          </cell>
          <cell r="CN192" t="str">
            <v>4QTR</v>
          </cell>
          <cell r="CO192" t="str">
            <v>YEAR</v>
          </cell>
          <cell r="CR192" t="str">
            <v>2QTR</v>
          </cell>
          <cell r="CS192" t="str">
            <v>3QTR</v>
          </cell>
          <cell r="CT192" t="str">
            <v>4QTR</v>
          </cell>
          <cell r="CU192" t="str">
            <v>YEAR</v>
          </cell>
          <cell r="CX192" t="str">
            <v>2QTR</v>
          </cell>
          <cell r="CY192" t="str">
            <v>3QTR</v>
          </cell>
          <cell r="CZ192" t="str">
            <v>4QTR</v>
          </cell>
          <cell r="DA192" t="str">
            <v>YEAR</v>
          </cell>
          <cell r="DD192" t="str">
            <v>2QTR</v>
          </cell>
          <cell r="DE192" t="str">
            <v>3QTR</v>
          </cell>
          <cell r="DF192" t="str">
            <v>4QTR</v>
          </cell>
          <cell r="DG192" t="str">
            <v>YEAR</v>
          </cell>
        </row>
        <row r="195">
          <cell r="AI195">
            <v>0</v>
          </cell>
          <cell r="AJ195">
            <v>0</v>
          </cell>
          <cell r="AK195">
            <v>0</v>
          </cell>
          <cell r="AL195">
            <v>0</v>
          </cell>
          <cell r="AP195">
            <v>0</v>
          </cell>
          <cell r="AQ195">
            <v>0</v>
          </cell>
          <cell r="AR195">
            <v>0</v>
          </cell>
          <cell r="AS195">
            <v>0</v>
          </cell>
          <cell r="AV195">
            <v>0</v>
          </cell>
          <cell r="AW195">
            <v>0</v>
          </cell>
          <cell r="AX195">
            <v>0</v>
          </cell>
          <cell r="AY195">
            <v>0</v>
          </cell>
          <cell r="BB195">
            <v>0</v>
          </cell>
          <cell r="BC195">
            <v>0</v>
          </cell>
          <cell r="BD195">
            <v>0</v>
          </cell>
          <cell r="BE195">
            <v>0</v>
          </cell>
          <cell r="BH195">
            <v>0</v>
          </cell>
          <cell r="BI195">
            <v>0</v>
          </cell>
          <cell r="BJ195">
            <v>0</v>
          </cell>
          <cell r="BK195">
            <v>0</v>
          </cell>
          <cell r="BN195">
            <v>0</v>
          </cell>
          <cell r="BO195">
            <v>0</v>
          </cell>
          <cell r="BP195">
            <v>0</v>
          </cell>
          <cell r="BQ195">
            <v>0</v>
          </cell>
        </row>
        <row r="196">
          <cell r="AL196">
            <v>8.1</v>
          </cell>
          <cell r="AP196">
            <v>8.1</v>
          </cell>
          <cell r="AR196">
            <v>8.1</v>
          </cell>
          <cell r="AS196">
            <v>32.4</v>
          </cell>
          <cell r="AV196">
            <v>8.1</v>
          </cell>
          <cell r="AX196">
            <v>8.1</v>
          </cell>
          <cell r="AY196">
            <v>32.4</v>
          </cell>
          <cell r="BB196">
            <v>8.1</v>
          </cell>
          <cell r="BD196">
            <v>8.1</v>
          </cell>
          <cell r="BE196">
            <v>32.4</v>
          </cell>
          <cell r="BH196">
            <v>3</v>
          </cell>
          <cell r="BK196">
            <v>9</v>
          </cell>
          <cell r="BN196">
            <v>6</v>
          </cell>
          <cell r="BO196">
            <v>0</v>
          </cell>
          <cell r="BP196">
            <v>6</v>
          </cell>
          <cell r="BQ196">
            <v>48</v>
          </cell>
        </row>
        <row r="197">
          <cell r="AI197">
            <v>0</v>
          </cell>
          <cell r="AJ197">
            <v>0</v>
          </cell>
          <cell r="AK197">
            <v>0</v>
          </cell>
          <cell r="AL197">
            <v>8.1</v>
          </cell>
          <cell r="AP197">
            <v>8.1</v>
          </cell>
          <cell r="AQ197">
            <v>0</v>
          </cell>
          <cell r="AR197">
            <v>8.1</v>
          </cell>
          <cell r="AS197">
            <v>32.4</v>
          </cell>
          <cell r="AV197">
            <v>8.1</v>
          </cell>
          <cell r="AW197">
            <v>0</v>
          </cell>
          <cell r="AX197">
            <v>8.1</v>
          </cell>
          <cell r="AY197">
            <v>32.4</v>
          </cell>
          <cell r="BB197">
            <v>8.1</v>
          </cell>
          <cell r="BC197">
            <v>0</v>
          </cell>
          <cell r="BD197">
            <v>8.1</v>
          </cell>
          <cell r="BE197">
            <v>32.4</v>
          </cell>
          <cell r="BH197">
            <v>3</v>
          </cell>
          <cell r="BI197">
            <v>0</v>
          </cell>
          <cell r="BJ197">
            <v>0</v>
          </cell>
          <cell r="BK197">
            <v>9</v>
          </cell>
          <cell r="BN197">
            <v>6</v>
          </cell>
          <cell r="BO197">
            <v>0</v>
          </cell>
          <cell r="BP197">
            <v>6</v>
          </cell>
          <cell r="BQ197">
            <v>48</v>
          </cell>
        </row>
        <row r="199">
          <cell r="AI199">
            <v>0</v>
          </cell>
          <cell r="AJ199">
            <v>0</v>
          </cell>
          <cell r="AK199">
            <v>0</v>
          </cell>
          <cell r="AL199">
            <v>0</v>
          </cell>
          <cell r="AP199">
            <v>0</v>
          </cell>
          <cell r="AQ199">
            <v>0</v>
          </cell>
          <cell r="AR199">
            <v>0</v>
          </cell>
          <cell r="AS199">
            <v>0</v>
          </cell>
          <cell r="AV199">
            <v>0</v>
          </cell>
          <cell r="AW199">
            <v>0</v>
          </cell>
          <cell r="AX199">
            <v>0</v>
          </cell>
          <cell r="AY199">
            <v>0</v>
          </cell>
          <cell r="BB199">
            <v>0</v>
          </cell>
          <cell r="BC199">
            <v>0</v>
          </cell>
          <cell r="BD199">
            <v>0</v>
          </cell>
          <cell r="BE199">
            <v>0</v>
          </cell>
          <cell r="BH199">
            <v>0</v>
          </cell>
          <cell r="BI199">
            <v>0</v>
          </cell>
          <cell r="BJ199">
            <v>0</v>
          </cell>
          <cell r="BK199">
            <v>0</v>
          </cell>
          <cell r="BN199">
            <v>0</v>
          </cell>
          <cell r="BO199">
            <v>0</v>
          </cell>
          <cell r="BP199">
            <v>0</v>
          </cell>
          <cell r="BQ199">
            <v>0</v>
          </cell>
          <cell r="BT199">
            <v>0</v>
          </cell>
          <cell r="BU199">
            <v>0</v>
          </cell>
          <cell r="BV199">
            <v>0</v>
          </cell>
          <cell r="BW199">
            <v>0</v>
          </cell>
          <cell r="BZ199">
            <v>0</v>
          </cell>
          <cell r="CA199">
            <v>0</v>
          </cell>
          <cell r="CB199">
            <v>0</v>
          </cell>
          <cell r="CC199">
            <v>5.5</v>
          </cell>
          <cell r="CF199">
            <v>0</v>
          </cell>
          <cell r="CG199">
            <v>0</v>
          </cell>
          <cell r="CH199">
            <v>0</v>
          </cell>
          <cell r="CI199">
            <v>0</v>
          </cell>
          <cell r="CL199">
            <v>0</v>
          </cell>
          <cell r="CM199">
            <v>0</v>
          </cell>
          <cell r="CN199">
            <v>0</v>
          </cell>
          <cell r="CO199">
            <v>0</v>
          </cell>
          <cell r="CR199">
            <v>0.34875</v>
          </cell>
          <cell r="CS199">
            <v>-2.0924999999999998</v>
          </cell>
          <cell r="CT199">
            <v>-25</v>
          </cell>
          <cell r="CU199">
            <v>-26.395</v>
          </cell>
          <cell r="CX199">
            <v>25.237500000000001</v>
          </cell>
          <cell r="CY199">
            <v>-60.57</v>
          </cell>
          <cell r="CZ199">
            <v>1.6825000000000001</v>
          </cell>
          <cell r="DA199">
            <v>-33.65</v>
          </cell>
          <cell r="DD199">
            <v>0</v>
          </cell>
          <cell r="DE199">
            <v>1.3</v>
          </cell>
          <cell r="DF199">
            <v>1.3</v>
          </cell>
        </row>
        <row r="200">
          <cell r="AI200">
            <v>-4.571875000000035</v>
          </cell>
          <cell r="AJ200">
            <v>51.493750000000063</v>
          </cell>
          <cell r="AK200">
            <v>-33.600000000000065</v>
          </cell>
          <cell r="AL200">
            <v>-13.321874999999963</v>
          </cell>
          <cell r="AP200">
            <v>51.493750000000063</v>
          </cell>
          <cell r="AQ200">
            <v>-33.600000000000065</v>
          </cell>
          <cell r="AR200">
            <v>-13.321874999999963</v>
          </cell>
          <cell r="AS200">
            <v>138.09687500000001</v>
          </cell>
          <cell r="AV200">
            <v>68.75</v>
          </cell>
          <cell r="AW200">
            <v>-18.937499999999972</v>
          </cell>
          <cell r="AX200">
            <v>-12.687500000000043</v>
          </cell>
          <cell r="AY200">
            <v>261.52083333333343</v>
          </cell>
          <cell r="BB200">
            <v>115.3962833333333</v>
          </cell>
          <cell r="BC200">
            <v>-13.647383333333345</v>
          </cell>
          <cell r="BD200">
            <v>-77.055999999999997</v>
          </cell>
          <cell r="BE200">
            <v>275.56268333333344</v>
          </cell>
          <cell r="BH200">
            <v>-29.012199999999932</v>
          </cell>
          <cell r="BI200">
            <v>-49.949566666666705</v>
          </cell>
          <cell r="BJ200">
            <v>-18.92285000000005</v>
          </cell>
          <cell r="BK200">
            <v>-159.19031666666672</v>
          </cell>
          <cell r="BN200">
            <v>46.255600000000044</v>
          </cell>
          <cell r="BO200">
            <v>1.9028166666666344</v>
          </cell>
          <cell r="BP200">
            <v>-62.900399999999983</v>
          </cell>
          <cell r="BQ200">
            <v>201.95203333333342</v>
          </cell>
          <cell r="BT200">
            <v>-27.425444444444409</v>
          </cell>
          <cell r="BU200">
            <v>1.2776166666667015</v>
          </cell>
          <cell r="BV200">
            <v>-3.0390000000000001</v>
          </cell>
          <cell r="BW200">
            <v>26.346566666666774</v>
          </cell>
          <cell r="BZ200">
            <v>17.067824370465132</v>
          </cell>
          <cell r="CA200">
            <v>-24.006657447169854</v>
          </cell>
          <cell r="CB200">
            <v>-47.579991828514345</v>
          </cell>
          <cell r="CC200">
            <v>-32.473833611458659</v>
          </cell>
          <cell r="CF200">
            <v>43.784999999999997</v>
          </cell>
          <cell r="CG200">
            <v>0</v>
          </cell>
          <cell r="CH200">
            <v>18.62</v>
          </cell>
          <cell r="CI200">
            <v>149.97499999999999</v>
          </cell>
          <cell r="CL200">
            <v>-28.618950925250921</v>
          </cell>
          <cell r="CM200">
            <v>0</v>
          </cell>
          <cell r="CN200">
            <v>-7.6927500000000002</v>
          </cell>
          <cell r="CO200">
            <v>-61.954200925250916</v>
          </cell>
          <cell r="CR200">
            <v>4.0612500000000002</v>
          </cell>
          <cell r="CS200">
            <v>0</v>
          </cell>
          <cell r="CT200">
            <v>-75</v>
          </cell>
          <cell r="CU200">
            <v>-66.877499999999998</v>
          </cell>
          <cell r="CX200">
            <v>78.375</v>
          </cell>
          <cell r="CY200">
            <v>-19.59375</v>
          </cell>
          <cell r="CZ200">
            <v>19.59375</v>
          </cell>
          <cell r="DA200">
            <v>141.07499999999999</v>
          </cell>
          <cell r="DD200">
            <v>0</v>
          </cell>
          <cell r="DE200">
            <v>6.9550000000000001</v>
          </cell>
          <cell r="DF200">
            <v>6.9550000000000001</v>
          </cell>
        </row>
        <row r="201">
          <cell r="AI201">
            <v>-2.7429674999999962</v>
          </cell>
          <cell r="AJ201">
            <v>6.3784175000000003</v>
          </cell>
          <cell r="AK201">
            <v>-0.29120000000000118</v>
          </cell>
          <cell r="AL201">
            <v>-3.3442500000000028</v>
          </cell>
          <cell r="AP201">
            <v>6.3784175000000003</v>
          </cell>
          <cell r="AQ201">
            <v>-0.29120000000000118</v>
          </cell>
          <cell r="AR201">
            <v>-3.3442500000000028</v>
          </cell>
          <cell r="AS201">
            <v>19.25173250000001</v>
          </cell>
          <cell r="AV201">
            <v>10.44</v>
          </cell>
          <cell r="AW201">
            <v>2.871</v>
          </cell>
          <cell r="AX201">
            <v>-3.1972499999999999</v>
          </cell>
          <cell r="AY201">
            <v>35.169750000000001</v>
          </cell>
          <cell r="BB201">
            <v>16.601233333333333</v>
          </cell>
          <cell r="BC201">
            <v>-3.5016666666666705</v>
          </cell>
          <cell r="BD201">
            <v>-5.22</v>
          </cell>
          <cell r="BE201">
            <v>36.934366666666662</v>
          </cell>
          <cell r="BH201">
            <v>-4.3680000000000003</v>
          </cell>
          <cell r="BI201">
            <v>-8</v>
          </cell>
          <cell r="BJ201">
            <v>-4.3242500000000001</v>
          </cell>
          <cell r="BK201">
            <v>-29.383516666666672</v>
          </cell>
          <cell r="BN201">
            <v>6.5849333333333462</v>
          </cell>
          <cell r="BO201">
            <v>4.3593333333333293</v>
          </cell>
          <cell r="BP201">
            <v>-22.668933333333332</v>
          </cell>
          <cell r="BQ201">
            <v>23.642266666666682</v>
          </cell>
          <cell r="BT201">
            <v>0</v>
          </cell>
          <cell r="BU201">
            <v>6.0750000000000002</v>
          </cell>
          <cell r="BV201">
            <v>-4.62</v>
          </cell>
          <cell r="BW201">
            <v>7.53</v>
          </cell>
          <cell r="BZ201">
            <v>0</v>
          </cell>
          <cell r="CA201">
            <v>0</v>
          </cell>
          <cell r="CB201">
            <v>2.1059999999999999</v>
          </cell>
          <cell r="CC201">
            <v>-28.494</v>
          </cell>
          <cell r="CF201">
            <v>0</v>
          </cell>
          <cell r="CG201">
            <v>0</v>
          </cell>
          <cell r="CH201">
            <v>-2.79</v>
          </cell>
          <cell r="CI201">
            <v>-31.15</v>
          </cell>
          <cell r="CL201">
            <v>0</v>
          </cell>
          <cell r="CM201">
            <v>10.336</v>
          </cell>
          <cell r="CN201">
            <v>-9.0440000000000005</v>
          </cell>
          <cell r="CO201">
            <v>-20.802999999999997</v>
          </cell>
          <cell r="CR201">
            <v>1.56125</v>
          </cell>
          <cell r="CS201">
            <v>7.8062500000000004</v>
          </cell>
          <cell r="CT201">
            <v>-19</v>
          </cell>
          <cell r="CU201">
            <v>-8.0712499999999991</v>
          </cell>
          <cell r="CX201">
            <v>29.7</v>
          </cell>
          <cell r="CY201">
            <v>0</v>
          </cell>
          <cell r="CZ201">
            <v>7.4249999999999998</v>
          </cell>
          <cell r="DA201">
            <v>60.884999999999998</v>
          </cell>
          <cell r="DD201">
            <v>0</v>
          </cell>
          <cell r="DE201">
            <v>2.8125</v>
          </cell>
          <cell r="DF201">
            <v>2.8125</v>
          </cell>
        </row>
        <row r="202">
          <cell r="AI202">
            <v>-3.6549999999999998</v>
          </cell>
          <cell r="AJ202">
            <v>14.62</v>
          </cell>
          <cell r="AK202">
            <v>10.965</v>
          </cell>
          <cell r="AL202">
            <v>-21.93</v>
          </cell>
          <cell r="AP202">
            <v>14.62</v>
          </cell>
          <cell r="AQ202">
            <v>10.965</v>
          </cell>
          <cell r="AR202">
            <v>-21.93</v>
          </cell>
          <cell r="AS202">
            <v>97.222999999999985</v>
          </cell>
          <cell r="AV202">
            <v>8.5892499999999998</v>
          </cell>
          <cell r="AW202">
            <v>14.62</v>
          </cell>
          <cell r="AX202">
            <v>-21.93</v>
          </cell>
          <cell r="AY202">
            <v>80.592749999999995</v>
          </cell>
          <cell r="BB202">
            <v>41.347065666666666</v>
          </cell>
          <cell r="BC202">
            <v>-9.9216480000000047</v>
          </cell>
          <cell r="BD202">
            <v>-31.11</v>
          </cell>
          <cell r="BE202">
            <v>10.822697000000048</v>
          </cell>
          <cell r="BH202">
            <v>-13.181406333333344</v>
          </cell>
          <cell r="BI202">
            <v>-46.805</v>
          </cell>
          <cell r="BJ202">
            <v>-12.435628666666693</v>
          </cell>
          <cell r="BK202">
            <v>-73.229677000000123</v>
          </cell>
          <cell r="BN202">
            <v>34.502511999999982</v>
          </cell>
          <cell r="BO202">
            <v>6.2051150000000002</v>
          </cell>
          <cell r="BP202">
            <v>-42.394043999999965</v>
          </cell>
          <cell r="BQ202">
            <v>73.523721999999978</v>
          </cell>
          <cell r="BT202">
            <v>0</v>
          </cell>
          <cell r="BU202">
            <v>33.18</v>
          </cell>
          <cell r="BV202">
            <v>-22.2</v>
          </cell>
          <cell r="BW202">
            <v>44.16</v>
          </cell>
          <cell r="BZ202">
            <v>0</v>
          </cell>
          <cell r="CA202">
            <v>0</v>
          </cell>
          <cell r="CB202">
            <v>0</v>
          </cell>
          <cell r="CC202">
            <v>-24.36</v>
          </cell>
          <cell r="CF202">
            <v>0</v>
          </cell>
          <cell r="CG202">
            <v>0</v>
          </cell>
          <cell r="CH202">
            <v>-5.76</v>
          </cell>
          <cell r="CI202">
            <v>30.848000000000084</v>
          </cell>
          <cell r="CL202">
            <v>0</v>
          </cell>
          <cell r="CM202">
            <v>17.896000000000001</v>
          </cell>
          <cell r="CN202">
            <v>-15.659000000000001</v>
          </cell>
          <cell r="CO202">
            <v>-2.9826666666666561</v>
          </cell>
          <cell r="CR202">
            <v>2.7025000000000001</v>
          </cell>
          <cell r="CS202">
            <v>13.512499999999999</v>
          </cell>
          <cell r="CT202">
            <v>-30</v>
          </cell>
          <cell r="CU202">
            <v>-11.0825</v>
          </cell>
          <cell r="CX202">
            <v>50.174999999999997</v>
          </cell>
          <cell r="CY202">
            <v>0</v>
          </cell>
          <cell r="CZ202">
            <v>12.543749999999999</v>
          </cell>
          <cell r="DA202">
            <v>102.85875</v>
          </cell>
          <cell r="DD202">
            <v>0</v>
          </cell>
          <cell r="DE202">
            <v>4.4349999999999996</v>
          </cell>
          <cell r="DF202">
            <v>4.4349999999999996</v>
          </cell>
        </row>
        <row r="203">
          <cell r="AI203">
            <v>0</v>
          </cell>
          <cell r="AJ203">
            <v>0</v>
          </cell>
          <cell r="AK203">
            <v>0</v>
          </cell>
          <cell r="AL203">
            <v>0</v>
          </cell>
          <cell r="AP203">
            <v>0</v>
          </cell>
          <cell r="AQ203">
            <v>0</v>
          </cell>
          <cell r="AR203">
            <v>0</v>
          </cell>
          <cell r="AS203">
            <v>0</v>
          </cell>
          <cell r="AV203">
            <v>0</v>
          </cell>
          <cell r="AW203">
            <v>0</v>
          </cell>
          <cell r="AX203">
            <v>0</v>
          </cell>
          <cell r="AY203">
            <v>0</v>
          </cell>
          <cell r="BB203">
            <v>0</v>
          </cell>
          <cell r="BC203">
            <v>0</v>
          </cell>
          <cell r="BD203">
            <v>0</v>
          </cell>
          <cell r="BE203">
            <v>0</v>
          </cell>
          <cell r="BH203">
            <v>0</v>
          </cell>
          <cell r="BI203">
            <v>0</v>
          </cell>
          <cell r="BJ203">
            <v>0</v>
          </cell>
          <cell r="BK203">
            <v>0</v>
          </cell>
          <cell r="BN203">
            <v>0</v>
          </cell>
          <cell r="BO203">
            <v>0</v>
          </cell>
          <cell r="BP203">
            <v>0</v>
          </cell>
          <cell r="BQ203">
            <v>0</v>
          </cell>
          <cell r="BT203">
            <v>0</v>
          </cell>
          <cell r="BU203">
            <v>0</v>
          </cell>
          <cell r="BV203">
            <v>0</v>
          </cell>
          <cell r="BW203">
            <v>0</v>
          </cell>
          <cell r="BZ203">
            <v>0</v>
          </cell>
          <cell r="CA203">
            <v>0</v>
          </cell>
          <cell r="CB203">
            <v>0</v>
          </cell>
          <cell r="CC203">
            <v>0</v>
          </cell>
          <cell r="CF203">
            <v>0</v>
          </cell>
          <cell r="CG203">
            <v>0</v>
          </cell>
          <cell r="CH203">
            <v>0.82</v>
          </cell>
          <cell r="CI203">
            <v>0.82</v>
          </cell>
          <cell r="CL203">
            <v>-0.61942959001779918</v>
          </cell>
          <cell r="CM203">
            <v>0</v>
          </cell>
          <cell r="CN203">
            <v>-0.62549999999999994</v>
          </cell>
          <cell r="CO203">
            <v>-1.244929590017799</v>
          </cell>
          <cell r="CR203">
            <v>0.28625</v>
          </cell>
          <cell r="CS203">
            <v>-1.7175</v>
          </cell>
          <cell r="CT203">
            <v>-15</v>
          </cell>
          <cell r="CU203">
            <v>-16.145</v>
          </cell>
          <cell r="CX203">
            <v>5.5250000000000004</v>
          </cell>
          <cell r="CY203">
            <v>-5.5250000000000004</v>
          </cell>
          <cell r="CZ203">
            <v>1.3812500000000001</v>
          </cell>
          <cell r="DA203">
            <v>5.8012499999999996</v>
          </cell>
          <cell r="DD203">
            <v>0</v>
          </cell>
          <cell r="DE203">
            <v>0.52500000000000002</v>
          </cell>
          <cell r="DF203">
            <v>0.52500000000000002</v>
          </cell>
        </row>
        <row r="204">
          <cell r="AI204">
            <v>0</v>
          </cell>
          <cell r="AJ204">
            <v>0</v>
          </cell>
          <cell r="AK204">
            <v>0</v>
          </cell>
          <cell r="AL204">
            <v>0</v>
          </cell>
          <cell r="AP204">
            <v>0</v>
          </cell>
          <cell r="AQ204">
            <v>0</v>
          </cell>
          <cell r="AR204">
            <v>0</v>
          </cell>
          <cell r="AS204">
            <v>0</v>
          </cell>
          <cell r="AV204">
            <v>0</v>
          </cell>
          <cell r="AW204">
            <v>0</v>
          </cell>
          <cell r="AX204">
            <v>0</v>
          </cell>
          <cell r="AY204">
            <v>0</v>
          </cell>
          <cell r="BB204">
            <v>0</v>
          </cell>
          <cell r="BC204">
            <v>0</v>
          </cell>
          <cell r="BD204">
            <v>0</v>
          </cell>
          <cell r="BE204">
            <v>0</v>
          </cell>
          <cell r="BH204">
            <v>0</v>
          </cell>
          <cell r="BI204">
            <v>0</v>
          </cell>
          <cell r="BJ204">
            <v>0</v>
          </cell>
          <cell r="BK204">
            <v>0</v>
          </cell>
          <cell r="BN204">
            <v>0</v>
          </cell>
          <cell r="BO204">
            <v>0</v>
          </cell>
          <cell r="BP204">
            <v>0</v>
          </cell>
          <cell r="BQ204">
            <v>0</v>
          </cell>
          <cell r="BT204">
            <v>0</v>
          </cell>
          <cell r="BU204">
            <v>0</v>
          </cell>
          <cell r="BV204">
            <v>0</v>
          </cell>
          <cell r="BW204">
            <v>0</v>
          </cell>
          <cell r="BZ204">
            <v>0</v>
          </cell>
          <cell r="CA204">
            <v>0</v>
          </cell>
          <cell r="CB204">
            <v>0</v>
          </cell>
          <cell r="CC204">
            <v>0</v>
          </cell>
          <cell r="CF204">
            <v>0</v>
          </cell>
          <cell r="CG204">
            <v>0</v>
          </cell>
          <cell r="CH204">
            <v>0</v>
          </cell>
          <cell r="CI204">
            <v>0</v>
          </cell>
          <cell r="CL204">
            <v>0</v>
          </cell>
          <cell r="CM204">
            <v>0</v>
          </cell>
          <cell r="CN204">
            <v>0</v>
          </cell>
          <cell r="CO204">
            <v>0</v>
          </cell>
          <cell r="CR204">
            <v>0</v>
          </cell>
          <cell r="CS204">
            <v>0</v>
          </cell>
          <cell r="CT204">
            <v>0</v>
          </cell>
          <cell r="CU204">
            <v>0</v>
          </cell>
          <cell r="CX204">
            <v>0</v>
          </cell>
          <cell r="CY204">
            <v>0</v>
          </cell>
          <cell r="CZ204">
            <v>0</v>
          </cell>
          <cell r="DA204">
            <v>0</v>
          </cell>
          <cell r="DD204">
            <v>0</v>
          </cell>
          <cell r="DE204">
            <v>0</v>
          </cell>
          <cell r="DF204">
            <v>0</v>
          </cell>
        </row>
        <row r="207">
          <cell r="AI207">
            <v>-10.969842500000031</v>
          </cell>
          <cell r="AJ207">
            <v>72.492167500000065</v>
          </cell>
          <cell r="AK207">
            <v>-22.926200000000069</v>
          </cell>
          <cell r="AL207">
            <v>-38.596124999999965</v>
          </cell>
          <cell r="AP207">
            <v>72.492167500000065</v>
          </cell>
          <cell r="AQ207">
            <v>-22.926200000000069</v>
          </cell>
          <cell r="AR207">
            <v>-38.596124999999965</v>
          </cell>
          <cell r="AS207">
            <v>254.57160750000003</v>
          </cell>
          <cell r="AV207">
            <v>87.77924999999999</v>
          </cell>
          <cell r="AW207">
            <v>-1.4464999999999737</v>
          </cell>
          <cell r="AX207">
            <v>-37.814750000000046</v>
          </cell>
          <cell r="AY207">
            <v>377.28333333333336</v>
          </cell>
          <cell r="BB207">
            <v>173.34458233333328</v>
          </cell>
          <cell r="BC207">
            <v>-27.070698000000021</v>
          </cell>
          <cell r="BD207">
            <v>-113.386</v>
          </cell>
          <cell r="BE207">
            <v>323.31974700000012</v>
          </cell>
          <cell r="BH207">
            <v>-46.561606333333273</v>
          </cell>
          <cell r="BI207">
            <v>-104.7545666666667</v>
          </cell>
          <cell r="BJ207">
            <v>-35.68272866666674</v>
          </cell>
          <cell r="BK207">
            <v>-261.80351033333352</v>
          </cell>
          <cell r="BN207">
            <v>87.343045333333379</v>
          </cell>
          <cell r="BO207">
            <v>12.467264999999964</v>
          </cell>
          <cell r="BP207">
            <v>-127.96337733333328</v>
          </cell>
          <cell r="BQ207">
            <v>299.11802200000011</v>
          </cell>
          <cell r="BT207">
            <v>-27.425444444444409</v>
          </cell>
          <cell r="BU207">
            <v>40.532616666666698</v>
          </cell>
          <cell r="BV207">
            <v>-29.859000000000002</v>
          </cell>
          <cell r="BW207">
            <v>78.036566666666772</v>
          </cell>
          <cell r="BZ207">
            <v>17.067824370465132</v>
          </cell>
          <cell r="CA207">
            <v>-24.006657447169854</v>
          </cell>
          <cell r="CB207">
            <v>-45.473991828514343</v>
          </cell>
          <cell r="CC207">
            <v>-79.827833611458658</v>
          </cell>
          <cell r="CF207">
            <v>43.784999999999997</v>
          </cell>
          <cell r="CG207">
            <v>0</v>
          </cell>
          <cell r="CH207">
            <v>10.890000000000002</v>
          </cell>
          <cell r="CI207">
            <v>150.49300000000008</v>
          </cell>
          <cell r="CL207">
            <v>-29.23838051526872</v>
          </cell>
          <cell r="CM207">
            <v>28.231999999999999</v>
          </cell>
          <cell r="CN207">
            <v>-33.021250000000002</v>
          </cell>
          <cell r="CO207">
            <v>-86.984797181935363</v>
          </cell>
          <cell r="CR207">
            <v>8.9600000000000009</v>
          </cell>
          <cell r="CS207">
            <v>17.508749999999999</v>
          </cell>
          <cell r="CT207">
            <v>-164</v>
          </cell>
          <cell r="CU207">
            <v>-128.57124999999999</v>
          </cell>
          <cell r="CX207">
            <v>189.01250000000002</v>
          </cell>
          <cell r="CY207">
            <v>-85.688749999999999</v>
          </cell>
          <cell r="CZ207">
            <v>42.626250000000006</v>
          </cell>
          <cell r="DA207">
            <v>276.97000000000003</v>
          </cell>
          <cell r="DD207">
            <v>0</v>
          </cell>
          <cell r="DE207">
            <v>16.0275</v>
          </cell>
          <cell r="DF207">
            <v>16.0275</v>
          </cell>
        </row>
        <row r="210">
          <cell r="AI210">
            <v>22.8</v>
          </cell>
          <cell r="AJ210">
            <v>22.8</v>
          </cell>
          <cell r="AK210">
            <v>11.4</v>
          </cell>
          <cell r="AL210">
            <v>11.4</v>
          </cell>
          <cell r="AP210">
            <v>11.4</v>
          </cell>
          <cell r="AQ210">
            <v>11.4</v>
          </cell>
          <cell r="AR210">
            <v>11.4</v>
          </cell>
          <cell r="AS210">
            <v>114.00000000000001</v>
          </cell>
          <cell r="AV210">
            <v>11.4</v>
          </cell>
          <cell r="AW210">
            <v>11.4</v>
          </cell>
          <cell r="AX210">
            <v>11.4</v>
          </cell>
          <cell r="AY210">
            <v>22.800000000000004</v>
          </cell>
          <cell r="BB210">
            <v>-44.8</v>
          </cell>
          <cell r="BC210">
            <v>-52.534999999999997</v>
          </cell>
          <cell r="BD210">
            <v>11.8</v>
          </cell>
          <cell r="BE210">
            <v>-337.46999999999997</v>
          </cell>
          <cell r="BH210">
            <v>21.84</v>
          </cell>
          <cell r="BI210">
            <v>20.09</v>
          </cell>
          <cell r="BJ210">
            <v>0</v>
          </cell>
          <cell r="BK210">
            <v>199.62</v>
          </cell>
          <cell r="BN210">
            <v>9.9600000000000009</v>
          </cell>
          <cell r="BO210">
            <v>5.55</v>
          </cell>
          <cell r="BP210">
            <v>23.48</v>
          </cell>
          <cell r="BQ210">
            <v>64.460000000000008</v>
          </cell>
          <cell r="BT210">
            <v>3.7467114215730746</v>
          </cell>
          <cell r="BU210">
            <v>0.46</v>
          </cell>
          <cell r="BV210">
            <v>-22</v>
          </cell>
          <cell r="BW210">
            <v>-126.59573981674679</v>
          </cell>
          <cell r="BZ210">
            <v>8.6909189875714414</v>
          </cell>
          <cell r="CA210">
            <v>20.956566172713352</v>
          </cell>
          <cell r="CB210">
            <v>6.4948320111082429</v>
          </cell>
          <cell r="CC210">
            <v>132.27181267368999</v>
          </cell>
          <cell r="CF210">
            <v>-69.218905923977132</v>
          </cell>
          <cell r="CG210">
            <v>29.882971967703888</v>
          </cell>
          <cell r="CH210">
            <v>-7.41</v>
          </cell>
          <cell r="CI210">
            <v>-498.22012428558463</v>
          </cell>
          <cell r="CL210">
            <v>48.687015363633861</v>
          </cell>
          <cell r="CM210">
            <v>35.083750000000002</v>
          </cell>
          <cell r="CN210">
            <v>-13.49375</v>
          </cell>
          <cell r="CO210">
            <v>108.05951536363386</v>
          </cell>
          <cell r="CR210">
            <v>15.307499999999999</v>
          </cell>
          <cell r="CS210">
            <v>25.512499999999999</v>
          </cell>
          <cell r="CT210">
            <v>35.717500000000001</v>
          </cell>
          <cell r="CU210">
            <v>102.05</v>
          </cell>
          <cell r="CX210">
            <v>-7.86</v>
          </cell>
          <cell r="CY210">
            <v>-13.1</v>
          </cell>
          <cell r="CZ210">
            <v>-5.24</v>
          </cell>
          <cell r="DA210">
            <v>-44.54</v>
          </cell>
          <cell r="DD210">
            <v>3.7650000000000001</v>
          </cell>
          <cell r="DE210">
            <v>3.7650000000000001</v>
          </cell>
          <cell r="DF210">
            <v>-18.824999999999999</v>
          </cell>
        </row>
        <row r="211">
          <cell r="AI211">
            <v>0</v>
          </cell>
          <cell r="AJ211">
            <v>0</v>
          </cell>
          <cell r="AK211">
            <v>0</v>
          </cell>
          <cell r="AL211">
            <v>0</v>
          </cell>
          <cell r="AP211">
            <v>0</v>
          </cell>
          <cell r="AQ211">
            <v>0</v>
          </cell>
          <cell r="AR211">
            <v>0</v>
          </cell>
          <cell r="AS211">
            <v>0</v>
          </cell>
          <cell r="AV211">
            <v>0</v>
          </cell>
          <cell r="AW211">
            <v>0</v>
          </cell>
          <cell r="AX211">
            <v>0</v>
          </cell>
          <cell r="AY211">
            <v>0</v>
          </cell>
          <cell r="BB211">
            <v>0</v>
          </cell>
          <cell r="BC211">
            <v>0</v>
          </cell>
          <cell r="BD211">
            <v>0</v>
          </cell>
          <cell r="BE211">
            <v>0</v>
          </cell>
          <cell r="BH211">
            <v>0</v>
          </cell>
          <cell r="BI211">
            <v>0</v>
          </cell>
          <cell r="BJ211">
            <v>0</v>
          </cell>
          <cell r="BK211">
            <v>0</v>
          </cell>
          <cell r="BN211">
            <v>0</v>
          </cell>
          <cell r="BO211">
            <v>0</v>
          </cell>
          <cell r="BP211">
            <v>0</v>
          </cell>
          <cell r="BQ211">
            <v>0</v>
          </cell>
          <cell r="BT211">
            <v>0</v>
          </cell>
          <cell r="BU211">
            <v>0</v>
          </cell>
          <cell r="BV211">
            <v>0</v>
          </cell>
          <cell r="BW211">
            <v>2.6517833620611446</v>
          </cell>
          <cell r="BZ211">
            <v>7.8347828177447152</v>
          </cell>
          <cell r="CA211">
            <v>0</v>
          </cell>
          <cell r="CB211">
            <v>-4.82819928362097</v>
          </cell>
          <cell r="CC211">
            <v>2.9816921252513851</v>
          </cell>
          <cell r="CF211">
            <v>-8.0500000000000007</v>
          </cell>
          <cell r="CG211">
            <v>-14.999999999999995</v>
          </cell>
          <cell r="CH211">
            <v>-8.5500000000000007</v>
          </cell>
          <cell r="CI211">
            <v>-62.699999999999989</v>
          </cell>
          <cell r="CL211">
            <v>23.741911764705865</v>
          </cell>
          <cell r="CM211">
            <v>0</v>
          </cell>
          <cell r="CN211">
            <v>5.1524999999999999</v>
          </cell>
          <cell r="CO211">
            <v>37.48191176470587</v>
          </cell>
          <cell r="CR211">
            <v>1.6274999999999999</v>
          </cell>
          <cell r="CS211">
            <v>3.2549999999999999</v>
          </cell>
          <cell r="CT211">
            <v>7.9747500000000002</v>
          </cell>
          <cell r="CU211">
            <v>10.25325</v>
          </cell>
          <cell r="CX211">
            <v>3.09</v>
          </cell>
          <cell r="CY211">
            <v>-1.5449999999999999</v>
          </cell>
          <cell r="CZ211">
            <v>-1.5449999999999999</v>
          </cell>
          <cell r="DA211">
            <v>0</v>
          </cell>
          <cell r="DD211">
            <v>-2.94</v>
          </cell>
          <cell r="DE211">
            <v>0</v>
          </cell>
          <cell r="DF211">
            <v>0</v>
          </cell>
        </row>
        <row r="212">
          <cell r="AI212">
            <v>11.1</v>
          </cell>
          <cell r="AJ212">
            <v>11.1</v>
          </cell>
          <cell r="AK212">
            <v>11.1</v>
          </cell>
          <cell r="AL212">
            <v>11.1</v>
          </cell>
          <cell r="AP212">
            <v>3.7</v>
          </cell>
          <cell r="AQ212">
            <v>3.7</v>
          </cell>
          <cell r="AR212">
            <v>3.7</v>
          </cell>
          <cell r="AS212">
            <v>37.000000000000007</v>
          </cell>
          <cell r="AV212">
            <v>3.59</v>
          </cell>
          <cell r="AW212">
            <v>3.59</v>
          </cell>
          <cell r="AX212">
            <v>3.59</v>
          </cell>
          <cell r="AY212">
            <v>7.18</v>
          </cell>
          <cell r="BB212">
            <v>-6.78</v>
          </cell>
          <cell r="BC212">
            <v>-8.9250000000000007</v>
          </cell>
          <cell r="BD212">
            <v>-5.3849999999999998</v>
          </cell>
          <cell r="BE212">
            <v>-43.574999999999996</v>
          </cell>
          <cell r="BH212">
            <v>4.04</v>
          </cell>
          <cell r="BI212">
            <v>-5.8650000000000002</v>
          </cell>
          <cell r="BJ212">
            <v>4.13</v>
          </cell>
          <cell r="BK212">
            <v>4.5200000000000005</v>
          </cell>
          <cell r="BN212">
            <v>5.5650000000000004</v>
          </cell>
          <cell r="BO212">
            <v>6.86</v>
          </cell>
          <cell r="BP212">
            <v>15.76</v>
          </cell>
          <cell r="BQ212">
            <v>-2.1850000000000005</v>
          </cell>
          <cell r="BT212">
            <v>-5.76</v>
          </cell>
          <cell r="BU212">
            <v>-11</v>
          </cell>
          <cell r="BV212">
            <v>-19.149999999999999</v>
          </cell>
          <cell r="BW212">
            <v>-58.43</v>
          </cell>
          <cell r="BZ212">
            <v>14.609623605189149</v>
          </cell>
          <cell r="CA212">
            <v>8.49</v>
          </cell>
          <cell r="CB212">
            <v>14.225444658434331</v>
          </cell>
          <cell r="CC212">
            <v>90.107983259541101</v>
          </cell>
          <cell r="CF212">
            <v>-24</v>
          </cell>
          <cell r="CG212">
            <v>0</v>
          </cell>
          <cell r="CH212">
            <v>-8.1300000000000008</v>
          </cell>
          <cell r="CI212">
            <v>-247.17</v>
          </cell>
          <cell r="CL212">
            <v>40.870117710005381</v>
          </cell>
          <cell r="CM212">
            <v>9.2750000000000004</v>
          </cell>
          <cell r="CN212">
            <v>-10.6</v>
          </cell>
          <cell r="CO212">
            <v>68.695117710005391</v>
          </cell>
          <cell r="CR212">
            <v>9.82</v>
          </cell>
          <cell r="CS212">
            <v>11.047499999999999</v>
          </cell>
          <cell r="CT212">
            <v>22.094999999999999</v>
          </cell>
          <cell r="CU212">
            <v>30.6875</v>
          </cell>
          <cell r="CX212">
            <v>5.0350000000000001</v>
          </cell>
          <cell r="CY212">
            <v>12.5875</v>
          </cell>
          <cell r="CZ212">
            <v>0</v>
          </cell>
          <cell r="DA212">
            <v>16.36375</v>
          </cell>
          <cell r="DD212">
            <v>0</v>
          </cell>
          <cell r="DE212">
            <v>-2.4275000000000002</v>
          </cell>
          <cell r="DF212">
            <v>-7.2824999999999998</v>
          </cell>
        </row>
        <row r="213">
          <cell r="AI213">
            <v>4.79</v>
          </cell>
          <cell r="AJ213">
            <v>4.79</v>
          </cell>
          <cell r="AK213">
            <v>4.79</v>
          </cell>
          <cell r="AL213">
            <v>4.79</v>
          </cell>
          <cell r="AP213">
            <v>10.08</v>
          </cell>
          <cell r="AQ213">
            <v>10.08</v>
          </cell>
          <cell r="AR213">
            <v>10.08</v>
          </cell>
          <cell r="AS213">
            <v>100.8</v>
          </cell>
          <cell r="AV213">
            <v>0</v>
          </cell>
          <cell r="AW213">
            <v>5.04</v>
          </cell>
          <cell r="AX213">
            <v>5.04</v>
          </cell>
          <cell r="AY213">
            <v>-4.4399999999999986</v>
          </cell>
          <cell r="BB213">
            <v>-12.555</v>
          </cell>
          <cell r="BC213">
            <v>-11.16</v>
          </cell>
          <cell r="BD213">
            <v>-15.615</v>
          </cell>
          <cell r="BE213">
            <v>-112.67999999999999</v>
          </cell>
          <cell r="BH213">
            <v>32.409999999999997</v>
          </cell>
          <cell r="BI213">
            <v>8.5</v>
          </cell>
          <cell r="BJ213">
            <v>0</v>
          </cell>
          <cell r="BK213">
            <v>114.22999999999999</v>
          </cell>
          <cell r="BN213">
            <v>16.975000000000001</v>
          </cell>
          <cell r="BO213">
            <v>28.08</v>
          </cell>
          <cell r="BP213">
            <v>20.85</v>
          </cell>
          <cell r="BQ213">
            <v>88.455000000000013</v>
          </cell>
          <cell r="BT213">
            <v>0</v>
          </cell>
          <cell r="BU213">
            <v>-9.6</v>
          </cell>
          <cell r="BV213">
            <v>-8.73</v>
          </cell>
          <cell r="BW213">
            <v>26.149999999999995</v>
          </cell>
          <cell r="BZ213">
            <v>-16.2</v>
          </cell>
          <cell r="CA213">
            <v>4.6130000000000004</v>
          </cell>
          <cell r="CB213">
            <v>26.16</v>
          </cell>
          <cell r="CC213">
            <v>-39.253999999999991</v>
          </cell>
          <cell r="CF213">
            <v>-42.314999999999998</v>
          </cell>
          <cell r="CG213">
            <v>-35.86</v>
          </cell>
          <cell r="CH213">
            <v>0</v>
          </cell>
          <cell r="CI213">
            <v>-321.065</v>
          </cell>
          <cell r="CL213">
            <v>95.517281373555832</v>
          </cell>
          <cell r="CM213">
            <v>0</v>
          </cell>
          <cell r="CN213">
            <v>-6.3949999999999996</v>
          </cell>
          <cell r="CO213">
            <v>117.89978137355584</v>
          </cell>
          <cell r="CR213">
            <v>19.094999999999999</v>
          </cell>
          <cell r="CS213">
            <v>19.094999999999999</v>
          </cell>
          <cell r="CT213">
            <v>25.46</v>
          </cell>
          <cell r="CU213">
            <v>73.197499999999991</v>
          </cell>
          <cell r="CX213">
            <v>-12.43</v>
          </cell>
          <cell r="CY213">
            <v>-6.2149999999999999</v>
          </cell>
          <cell r="CZ213">
            <v>1.2430000000000001</v>
          </cell>
          <cell r="DA213">
            <v>-21.131</v>
          </cell>
          <cell r="DD213">
            <v>0</v>
          </cell>
          <cell r="DE213">
            <v>0</v>
          </cell>
          <cell r="DF213">
            <v>-3.0862500000000002</v>
          </cell>
        </row>
        <row r="214">
          <cell r="BB214">
            <v>0.88463999999999987</v>
          </cell>
          <cell r="BC214">
            <v>1.1935799999999999</v>
          </cell>
          <cell r="BD214">
            <v>0.46692500000000525</v>
          </cell>
          <cell r="BI214">
            <v>11.143499999999998</v>
          </cell>
          <cell r="BJ214">
            <v>2.4652500000000002</v>
          </cell>
        </row>
        <row r="217">
          <cell r="AI217">
            <v>38.69</v>
          </cell>
          <cell r="AJ217">
            <v>38.69</v>
          </cell>
          <cell r="AK217">
            <v>27.29</v>
          </cell>
          <cell r="AL217">
            <v>27.29</v>
          </cell>
          <cell r="AP217">
            <v>25.18</v>
          </cell>
          <cell r="AQ217">
            <v>25.18</v>
          </cell>
          <cell r="AR217">
            <v>25.18</v>
          </cell>
          <cell r="AS217">
            <v>251.8</v>
          </cell>
          <cell r="AV217">
            <v>14.99</v>
          </cell>
          <cell r="AW217">
            <v>20.03</v>
          </cell>
          <cell r="AX217">
            <v>20.03</v>
          </cell>
          <cell r="AY217">
            <v>25.539999999999992</v>
          </cell>
          <cell r="BB217">
            <v>-63.250359999999993</v>
          </cell>
          <cell r="BC217">
            <v>-71.426420000000007</v>
          </cell>
          <cell r="BD217">
            <v>-8.7330749999999941</v>
          </cell>
          <cell r="BE217">
            <v>-480.56949499999996</v>
          </cell>
          <cell r="BH217">
            <v>58.289999999999992</v>
          </cell>
          <cell r="BI217">
            <v>33.868499999999997</v>
          </cell>
          <cell r="BJ217">
            <v>6.5952500000000001</v>
          </cell>
          <cell r="BK217">
            <v>343.12224999999995</v>
          </cell>
          <cell r="BN217">
            <v>32.5</v>
          </cell>
          <cell r="BO217">
            <v>40.489999999999995</v>
          </cell>
          <cell r="BP217">
            <v>60.09</v>
          </cell>
          <cell r="BQ217">
            <v>150.72999999999999</v>
          </cell>
          <cell r="BT217">
            <v>-2.0132885784269252</v>
          </cell>
          <cell r="BU217">
            <v>-20.14</v>
          </cell>
          <cell r="BV217">
            <v>-49.879999999999995</v>
          </cell>
          <cell r="BW217">
            <v>-156.22395645468566</v>
          </cell>
          <cell r="BZ217">
            <v>14.935325410505307</v>
          </cell>
          <cell r="CA217">
            <v>34.059566172713353</v>
          </cell>
          <cell r="CB217">
            <v>42.052077385921606</v>
          </cell>
          <cell r="CC217">
            <v>186.10748805848249</v>
          </cell>
          <cell r="CF217">
            <v>-143.58390592397711</v>
          </cell>
          <cell r="CG217">
            <v>-20.977028032296104</v>
          </cell>
          <cell r="CH217">
            <v>-24.09</v>
          </cell>
          <cell r="CI217">
            <v>-1129.1551242855844</v>
          </cell>
        </row>
        <row r="220">
          <cell r="CI220">
            <v>0</v>
          </cell>
          <cell r="CL220">
            <v>208.81632621190096</v>
          </cell>
          <cell r="CM220">
            <v>44.358750000000001</v>
          </cell>
          <cell r="CN220">
            <v>-25.33625</v>
          </cell>
          <cell r="CO220">
            <v>332.13632621190095</v>
          </cell>
          <cell r="CR220">
            <v>45.849999999999994</v>
          </cell>
          <cell r="CS220">
            <v>58.91</v>
          </cell>
          <cell r="CT220">
            <v>91.247250000000008</v>
          </cell>
          <cell r="CU220">
            <v>216.18824999999998</v>
          </cell>
          <cell r="CX220">
            <v>-12.164999999999999</v>
          </cell>
          <cell r="CY220">
            <v>-8.2724999999999991</v>
          </cell>
          <cell r="CZ220">
            <v>-5.5419999999999998</v>
          </cell>
          <cell r="DA220">
            <v>-49.307250000000003</v>
          </cell>
          <cell r="DD220">
            <v>0.82500000000000018</v>
          </cell>
          <cell r="DE220">
            <v>1.3374999999999999</v>
          </cell>
          <cell r="DF220">
            <v>-29.193749999999998</v>
          </cell>
        </row>
        <row r="223">
          <cell r="AI223">
            <v>1158.4481439275135</v>
          </cell>
          <cell r="AJ223">
            <v>1183.9939201951559</v>
          </cell>
          <cell r="AK223">
            <v>1203.5150440843349</v>
          </cell>
          <cell r="AL223">
            <v>1223.0361679735142</v>
          </cell>
          <cell r="AP223">
            <v>1077.7493170317539</v>
          </cell>
          <cell r="AQ223">
            <v>1090.5397704194258</v>
          </cell>
          <cell r="AR223">
            <v>1103.3302238070978</v>
          </cell>
          <cell r="AS223">
            <v>1084.5024143318049</v>
          </cell>
          <cell r="AV223">
            <v>1046.5768698051388</v>
          </cell>
          <cell r="AW223">
            <v>1042.0911051112244</v>
          </cell>
          <cell r="AX223">
            <v>1053.5998926812699</v>
          </cell>
          <cell r="AY223">
            <v>953.61133444558516</v>
          </cell>
          <cell r="BB223">
            <v>792.22222222222217</v>
          </cell>
          <cell r="BC223">
            <v>717.52577319587635</v>
          </cell>
          <cell r="BD223">
            <v>656.31262525050101</v>
          </cell>
          <cell r="BE223">
            <v>749.60233297985155</v>
          </cell>
          <cell r="BH223">
            <v>857.94497473329591</v>
          </cell>
          <cell r="BI223">
            <v>861.28133704735376</v>
          </cell>
          <cell r="BJ223">
            <v>885.46025104602518</v>
          </cell>
          <cell r="BK223">
            <v>841.37466307277634</v>
          </cell>
          <cell r="BN223">
            <v>703.77479206653868</v>
          </cell>
          <cell r="BO223">
            <v>773.4567901234567</v>
          </cell>
          <cell r="BP223">
            <v>772.6769911504424</v>
          </cell>
          <cell r="BQ223">
            <v>731.78858094805389</v>
          </cell>
          <cell r="BT223">
            <v>779.5275590551181</v>
          </cell>
          <cell r="BU223">
            <v>755.83864118895963</v>
          </cell>
          <cell r="BV223">
            <v>717.82518926359251</v>
          </cell>
          <cell r="BW223">
            <v>744.86094316807748</v>
          </cell>
          <cell r="BZ223">
            <v>710.55900621118008</v>
          </cell>
          <cell r="CA223">
            <v>721.39303482587059</v>
          </cell>
          <cell r="CB223">
            <v>731.54362416107381</v>
          </cell>
          <cell r="CC223">
            <v>713.90954151177198</v>
          </cell>
          <cell r="CF223">
            <v>752.03506574827804</v>
          </cell>
          <cell r="CG223">
            <v>737.59791122715399</v>
          </cell>
          <cell r="CH223">
            <v>722.25869993434014</v>
          </cell>
          <cell r="CI223">
            <v>769.28169480304541</v>
          </cell>
          <cell r="CL223">
            <v>893.53441839629681</v>
          </cell>
          <cell r="CM223">
            <v>975.99160462537634</v>
          </cell>
          <cell r="CN223">
            <v>953.60410980895813</v>
          </cell>
          <cell r="CO223">
            <v>930.24153148854964</v>
          </cell>
          <cell r="CR223">
            <v>633.35943617854343</v>
          </cell>
          <cell r="CS223">
            <v>671.23505976095612</v>
          </cell>
          <cell r="CT223">
            <v>743.42454183266921</v>
          </cell>
          <cell r="CU223">
            <v>659.43045067959622</v>
          </cell>
          <cell r="CX223">
            <v>614.19009370816605</v>
          </cell>
          <cell r="CY223">
            <v>595.18072289156635</v>
          </cell>
          <cell r="CZ223">
            <v>591.47121820615803</v>
          </cell>
          <cell r="DA223">
            <v>600.37784471218197</v>
          </cell>
        </row>
        <row r="229">
          <cell r="AK229" t="str">
            <v>2004E</v>
          </cell>
          <cell r="AQ229" t="str">
            <v>2003E</v>
          </cell>
          <cell r="AW229" t="str">
            <v>2002E</v>
          </cell>
          <cell r="BC229">
            <v>2001</v>
          </cell>
          <cell r="BI229">
            <v>2000</v>
          </cell>
          <cell r="BO229">
            <v>1999</v>
          </cell>
          <cell r="BU229">
            <v>1998</v>
          </cell>
          <cell r="CA229">
            <v>1997</v>
          </cell>
          <cell r="CG229">
            <v>1996</v>
          </cell>
          <cell r="CM229">
            <v>1995</v>
          </cell>
          <cell r="CS229">
            <v>1994</v>
          </cell>
          <cell r="CY229">
            <v>1993</v>
          </cell>
          <cell r="DE229">
            <v>1992</v>
          </cell>
        </row>
        <row r="230">
          <cell r="AI230" t="str">
            <v>1QTR</v>
          </cell>
          <cell r="AJ230" t="str">
            <v>2QTR</v>
          </cell>
          <cell r="AK230" t="str">
            <v>3QTR</v>
          </cell>
          <cell r="AL230" t="str">
            <v>4QTR</v>
          </cell>
          <cell r="AP230" t="str">
            <v>2QTR</v>
          </cell>
          <cell r="AQ230" t="str">
            <v>3QTR</v>
          </cell>
          <cell r="AR230" t="str">
            <v>4QTR</v>
          </cell>
          <cell r="AS230" t="str">
            <v>YEAR</v>
          </cell>
          <cell r="AV230" t="str">
            <v>2QTR</v>
          </cell>
          <cell r="AW230" t="str">
            <v>3QTR</v>
          </cell>
          <cell r="AX230" t="str">
            <v>4QTR</v>
          </cell>
          <cell r="AY230" t="str">
            <v>YEAR</v>
          </cell>
          <cell r="BB230" t="str">
            <v>2QTR</v>
          </cell>
          <cell r="BC230" t="str">
            <v>3QTR</v>
          </cell>
          <cell r="BD230" t="str">
            <v>4QTR</v>
          </cell>
          <cell r="BE230" t="str">
            <v>YEAR</v>
          </cell>
          <cell r="BH230" t="str">
            <v>2QTR</v>
          </cell>
          <cell r="BI230" t="str">
            <v>3QTR</v>
          </cell>
          <cell r="BJ230" t="str">
            <v>4QTR</v>
          </cell>
          <cell r="BK230" t="str">
            <v>YEAR</v>
          </cell>
          <cell r="BN230" t="str">
            <v>2QTR</v>
          </cell>
          <cell r="BO230" t="str">
            <v>3QTR</v>
          </cell>
          <cell r="BP230" t="str">
            <v>4QTR</v>
          </cell>
          <cell r="BQ230" t="str">
            <v>YEAR</v>
          </cell>
          <cell r="BT230" t="str">
            <v>2QTR</v>
          </cell>
          <cell r="BU230" t="str">
            <v>3QTR</v>
          </cell>
          <cell r="BV230" t="str">
            <v>4QTR</v>
          </cell>
          <cell r="BW230" t="str">
            <v>YEAR</v>
          </cell>
          <cell r="BZ230" t="str">
            <v>2QTR</v>
          </cell>
          <cell r="CA230" t="str">
            <v>3QTR</v>
          </cell>
          <cell r="CB230" t="str">
            <v>4QTR</v>
          </cell>
          <cell r="CC230" t="str">
            <v>YEAR</v>
          </cell>
          <cell r="CF230" t="str">
            <v>2QTR</v>
          </cell>
          <cell r="CG230" t="str">
            <v>3QTR</v>
          </cell>
          <cell r="CH230" t="str">
            <v>4QTR</v>
          </cell>
          <cell r="CI230" t="str">
            <v>YEAR</v>
          </cell>
          <cell r="CL230" t="str">
            <v>2QTR</v>
          </cell>
          <cell r="CM230" t="str">
            <v>3QTR</v>
          </cell>
          <cell r="CN230" t="str">
            <v>4QTR</v>
          </cell>
          <cell r="CO230" t="str">
            <v>YEAR</v>
          </cell>
          <cell r="CR230" t="str">
            <v>2QTR</v>
          </cell>
          <cell r="CS230" t="str">
            <v>3QTR</v>
          </cell>
          <cell r="CT230" t="str">
            <v>4QTR</v>
          </cell>
          <cell r="CU230" t="str">
            <v>YEAR</v>
          </cell>
          <cell r="CX230" t="str">
            <v>2QTR</v>
          </cell>
          <cell r="CY230" t="str">
            <v>3QTR</v>
          </cell>
          <cell r="CZ230" t="str">
            <v>4QTR</v>
          </cell>
          <cell r="DA230" t="str">
            <v>YEAR</v>
          </cell>
          <cell r="DD230" t="str">
            <v>2QTR</v>
          </cell>
          <cell r="DE230" t="str">
            <v>3QTR</v>
          </cell>
          <cell r="DF230" t="str">
            <v>4QTR</v>
          </cell>
          <cell r="DG230" t="str">
            <v>YEAR</v>
          </cell>
        </row>
        <row r="272">
          <cell r="AK272" t="str">
            <v>2004E</v>
          </cell>
          <cell r="AQ272" t="str">
            <v>2003E</v>
          </cell>
          <cell r="AW272" t="str">
            <v>2002E</v>
          </cell>
          <cell r="BC272">
            <v>2001</v>
          </cell>
          <cell r="BI272">
            <v>2000</v>
          </cell>
          <cell r="BO272">
            <v>1999</v>
          </cell>
          <cell r="BU272">
            <v>1998</v>
          </cell>
          <cell r="CA272">
            <v>1997</v>
          </cell>
          <cell r="CG272">
            <v>1996</v>
          </cell>
          <cell r="CM272">
            <v>1995</v>
          </cell>
          <cell r="CS272">
            <v>1994</v>
          </cell>
          <cell r="CY272">
            <v>1993</v>
          </cell>
          <cell r="DE272">
            <v>1992</v>
          </cell>
        </row>
        <row r="273">
          <cell r="AI273" t="str">
            <v>1QTR</v>
          </cell>
          <cell r="AJ273" t="str">
            <v>2QTR</v>
          </cell>
          <cell r="AK273" t="str">
            <v>3QTR</v>
          </cell>
          <cell r="AL273" t="str">
            <v>4QTR</v>
          </cell>
          <cell r="AP273" t="str">
            <v>2QTR</v>
          </cell>
          <cell r="AQ273" t="str">
            <v>3QTR</v>
          </cell>
          <cell r="AR273" t="str">
            <v>4QTR</v>
          </cell>
          <cell r="AS273" t="str">
            <v>YEAR</v>
          </cell>
          <cell r="AV273" t="str">
            <v>2QTR</v>
          </cell>
          <cell r="AW273" t="str">
            <v>3QTR</v>
          </cell>
          <cell r="AX273" t="str">
            <v>4QTR</v>
          </cell>
          <cell r="AY273" t="str">
            <v>YEAR</v>
          </cell>
          <cell r="BB273" t="str">
            <v>2QTR</v>
          </cell>
          <cell r="BC273" t="str">
            <v>3QTR</v>
          </cell>
          <cell r="BD273" t="str">
            <v>4QTR</v>
          </cell>
          <cell r="BE273" t="str">
            <v>YEAR</v>
          </cell>
          <cell r="BH273" t="str">
            <v>2QTR</v>
          </cell>
          <cell r="BI273" t="str">
            <v>3QTR</v>
          </cell>
          <cell r="BJ273" t="str">
            <v>4QTR</v>
          </cell>
          <cell r="BK273" t="str">
            <v>YEAR</v>
          </cell>
          <cell r="BN273" t="str">
            <v>2QTR</v>
          </cell>
          <cell r="BO273" t="str">
            <v>3QTR</v>
          </cell>
          <cell r="BP273" t="str">
            <v>4QTR</v>
          </cell>
          <cell r="BQ273" t="str">
            <v>YEAR</v>
          </cell>
          <cell r="BT273" t="str">
            <v>2QTR</v>
          </cell>
          <cell r="BU273" t="str">
            <v>3QTR</v>
          </cell>
          <cell r="BV273" t="str">
            <v>4QTR</v>
          </cell>
          <cell r="BW273" t="str">
            <v>YEAR</v>
          </cell>
          <cell r="BZ273" t="str">
            <v>2QTR</v>
          </cell>
          <cell r="CA273" t="str">
            <v>3QTR</v>
          </cell>
          <cell r="CB273" t="str">
            <v>4QTR</v>
          </cell>
          <cell r="CC273" t="str">
            <v>YEAR</v>
          </cell>
          <cell r="CF273" t="str">
            <v>2QTR</v>
          </cell>
          <cell r="CG273" t="str">
            <v>3QTR</v>
          </cell>
          <cell r="CH273" t="str">
            <v>4QTR</v>
          </cell>
          <cell r="CI273" t="str">
            <v>YEAR</v>
          </cell>
          <cell r="CL273" t="str">
            <v>2QTR</v>
          </cell>
          <cell r="CM273" t="str">
            <v>3QTR</v>
          </cell>
          <cell r="CN273" t="str">
            <v>4QTR</v>
          </cell>
          <cell r="CO273" t="str">
            <v>YEAR</v>
          </cell>
          <cell r="CR273" t="str">
            <v>2QTR</v>
          </cell>
          <cell r="CS273" t="str">
            <v>3QTR</v>
          </cell>
          <cell r="CT273" t="str">
            <v>4QTR</v>
          </cell>
          <cell r="CU273" t="str">
            <v>YEAR</v>
          </cell>
          <cell r="CX273" t="str">
            <v>2QTR</v>
          </cell>
          <cell r="CY273" t="str">
            <v>3QTR</v>
          </cell>
          <cell r="CZ273" t="str">
            <v>4QTR</v>
          </cell>
          <cell r="DA273" t="str">
            <v>YEAR</v>
          </cell>
          <cell r="DD273" t="str">
            <v>2QTR</v>
          </cell>
          <cell r="DE273" t="str">
            <v>3QTR</v>
          </cell>
          <cell r="DF273" t="str">
            <v>4QTR</v>
          </cell>
          <cell r="DG273" t="str">
            <v>YEAR</v>
          </cell>
        </row>
        <row r="275">
          <cell r="AI275">
            <v>242</v>
          </cell>
          <cell r="AJ275">
            <v>242</v>
          </cell>
          <cell r="AK275">
            <v>242</v>
          </cell>
          <cell r="AL275">
            <v>242</v>
          </cell>
          <cell r="AP275">
            <v>242</v>
          </cell>
          <cell r="AQ275">
            <v>242</v>
          </cell>
          <cell r="AR275">
            <v>242</v>
          </cell>
          <cell r="AS275">
            <v>968</v>
          </cell>
          <cell r="AV275">
            <v>242</v>
          </cell>
          <cell r="AW275">
            <v>242</v>
          </cell>
          <cell r="AX275">
            <v>242</v>
          </cell>
          <cell r="AY275">
            <v>968</v>
          </cell>
          <cell r="BB275">
            <v>266</v>
          </cell>
          <cell r="BC275">
            <v>245</v>
          </cell>
          <cell r="BD275">
            <v>242</v>
          </cell>
          <cell r="BE275">
            <v>1024</v>
          </cell>
          <cell r="BH275">
            <v>364</v>
          </cell>
          <cell r="BI275">
            <v>151</v>
          </cell>
          <cell r="BJ275">
            <v>287</v>
          </cell>
          <cell r="BK275">
            <v>1082</v>
          </cell>
          <cell r="BN275">
            <v>176</v>
          </cell>
          <cell r="BO275">
            <v>166</v>
          </cell>
          <cell r="BP275">
            <v>161</v>
          </cell>
          <cell r="BQ275">
            <v>656</v>
          </cell>
          <cell r="BT275">
            <v>153</v>
          </cell>
          <cell r="BU275">
            <v>153</v>
          </cell>
          <cell r="BV275">
            <v>179</v>
          </cell>
          <cell r="BW275">
            <v>636</v>
          </cell>
          <cell r="BZ275" t="str">
            <v xml:space="preserve"> </v>
          </cell>
          <cell r="CA275" t="str">
            <v xml:space="preserve"> </v>
          </cell>
          <cell r="CB275">
            <v>182</v>
          </cell>
          <cell r="CC275">
            <v>797</v>
          </cell>
          <cell r="CI275">
            <v>867</v>
          </cell>
          <cell r="CO275">
            <v>882</v>
          </cell>
          <cell r="CU275">
            <v>902</v>
          </cell>
        </row>
        <row r="276">
          <cell r="AI276">
            <v>1973.4147958353333</v>
          </cell>
          <cell r="AJ276">
            <v>2096.0171540853335</v>
          </cell>
          <cell r="AK276">
            <v>2054.2744540853332</v>
          </cell>
          <cell r="AL276">
            <v>1994.1191365853335</v>
          </cell>
          <cell r="AP276">
            <v>2094.6179730853332</v>
          </cell>
          <cell r="AQ276">
            <v>2052.3943240853332</v>
          </cell>
          <cell r="AR276">
            <v>1994.1191365853335</v>
          </cell>
          <cell r="AS276">
            <v>8115.3706769913333</v>
          </cell>
          <cell r="AV276">
            <v>1990.2951763353335</v>
          </cell>
          <cell r="AW276">
            <v>1985.5838763353336</v>
          </cell>
          <cell r="AX276">
            <v>1928.8181013353333</v>
          </cell>
          <cell r="AY276">
            <v>7403.1009790059998</v>
          </cell>
          <cell r="BB276">
            <v>1748</v>
          </cell>
          <cell r="BC276">
            <v>1680</v>
          </cell>
          <cell r="BD276">
            <v>1446</v>
          </cell>
          <cell r="BE276">
            <v>6254</v>
          </cell>
          <cell r="BH276">
            <v>1926</v>
          </cell>
          <cell r="BI276">
            <v>1606</v>
          </cell>
          <cell r="BJ276">
            <v>1584</v>
          </cell>
          <cell r="BK276">
            <v>6948</v>
          </cell>
          <cell r="BN276">
            <v>1412</v>
          </cell>
          <cell r="BO276">
            <v>1337</v>
          </cell>
          <cell r="BP276">
            <v>1491</v>
          </cell>
          <cell r="BQ276">
            <v>5356</v>
          </cell>
          <cell r="BT276">
            <v>1160</v>
          </cell>
          <cell r="BU276">
            <v>1333</v>
          </cell>
          <cell r="BV276">
            <v>1105</v>
          </cell>
          <cell r="BW276">
            <v>4475</v>
          </cell>
          <cell r="BZ276">
            <v>1505</v>
          </cell>
          <cell r="CA276">
            <v>1389</v>
          </cell>
          <cell r="CB276">
            <v>1047</v>
          </cell>
          <cell r="CC276">
            <v>4577</v>
          </cell>
          <cell r="CF276">
            <v>1368</v>
          </cell>
          <cell r="CG276">
            <v>1437</v>
          </cell>
          <cell r="CH276">
            <v>1319</v>
          </cell>
          <cell r="CI276">
            <v>5240</v>
          </cell>
          <cell r="CL276">
            <v>1271</v>
          </cell>
          <cell r="CM276">
            <v>1299.232</v>
          </cell>
          <cell r="CN276">
            <v>1210</v>
          </cell>
          <cell r="CO276">
            <v>4967.232</v>
          </cell>
          <cell r="CR276">
            <v>1335.6</v>
          </cell>
          <cell r="CS276">
            <v>1278</v>
          </cell>
          <cell r="CT276">
            <v>1471</v>
          </cell>
          <cell r="CU276">
            <v>5349.4</v>
          </cell>
          <cell r="CX276">
            <v>1206.8</v>
          </cell>
          <cell r="CY276">
            <v>1111.9000000000001</v>
          </cell>
          <cell r="CZ276">
            <v>1172.8375000000001</v>
          </cell>
          <cell r="DA276">
            <v>4601.4375</v>
          </cell>
          <cell r="DD276">
            <v>956</v>
          </cell>
          <cell r="DE276">
            <v>949.1</v>
          </cell>
          <cell r="DF276">
            <v>942.3</v>
          </cell>
          <cell r="DG276">
            <v>3709.1000000000004</v>
          </cell>
        </row>
        <row r="277">
          <cell r="AI277">
            <v>2216.1112993333331</v>
          </cell>
          <cell r="AJ277">
            <v>2264.9803693333333</v>
          </cell>
          <cell r="AK277">
            <v>2302.3242793333329</v>
          </cell>
          <cell r="AL277">
            <v>2339.668189333333</v>
          </cell>
          <cell r="AP277">
            <v>2115.621909333333</v>
          </cell>
          <cell r="AQ277">
            <v>2140.7295693333331</v>
          </cell>
          <cell r="AR277">
            <v>2165.8372293333332</v>
          </cell>
          <cell r="AS277">
            <v>8515.5129573333325</v>
          </cell>
          <cell r="AV277">
            <v>2023.0330893333332</v>
          </cell>
          <cell r="AW277">
            <v>2045.6248393333333</v>
          </cell>
          <cell r="AX277">
            <v>2068.2165893333331</v>
          </cell>
          <cell r="AY277">
            <v>7430.5395179999996</v>
          </cell>
          <cell r="BB277">
            <v>1426</v>
          </cell>
          <cell r="BC277">
            <v>1392</v>
          </cell>
          <cell r="BD277">
            <v>1310</v>
          </cell>
          <cell r="BE277">
            <v>5655</v>
          </cell>
          <cell r="BH277">
            <v>1528</v>
          </cell>
          <cell r="BI277">
            <v>1546</v>
          </cell>
          <cell r="BJ277">
            <v>1693</v>
          </cell>
          <cell r="BK277">
            <v>6243</v>
          </cell>
          <cell r="BN277">
            <v>1100</v>
          </cell>
          <cell r="BO277">
            <v>1253</v>
          </cell>
          <cell r="BP277">
            <v>1397</v>
          </cell>
          <cell r="BQ277">
            <v>4832</v>
          </cell>
          <cell r="BT277">
            <v>1089</v>
          </cell>
          <cell r="BU277">
            <v>1068</v>
          </cell>
          <cell r="BV277">
            <v>1043</v>
          </cell>
          <cell r="BW277">
            <v>4312</v>
          </cell>
          <cell r="BZ277">
            <v>1144</v>
          </cell>
          <cell r="CA277">
            <v>1160</v>
          </cell>
          <cell r="CB277">
            <v>1199</v>
          </cell>
          <cell r="CC277">
            <v>4609</v>
          </cell>
          <cell r="CF277">
            <v>1201</v>
          </cell>
          <cell r="CG277">
            <v>1130</v>
          </cell>
          <cell r="CH277">
            <v>1100</v>
          </cell>
          <cell r="CI277">
            <v>4648</v>
          </cell>
          <cell r="CL277">
            <v>1496</v>
          </cell>
          <cell r="CM277">
            <v>1540.3587500000001</v>
          </cell>
          <cell r="CN277">
            <v>1485</v>
          </cell>
          <cell r="CO277">
            <v>5849.3587500000003</v>
          </cell>
          <cell r="CR277">
            <v>1011</v>
          </cell>
          <cell r="CS277">
            <v>1053</v>
          </cell>
          <cell r="CT277">
            <v>1166.2472499999999</v>
          </cell>
          <cell r="CU277">
            <v>4148.14725</v>
          </cell>
          <cell r="CX277">
            <v>917.6</v>
          </cell>
          <cell r="CY277">
            <v>889.2</v>
          </cell>
          <cell r="CZ277">
            <v>883.65800000000002</v>
          </cell>
          <cell r="DA277">
            <v>3587.8579999999997</v>
          </cell>
          <cell r="DD277">
            <v>1042</v>
          </cell>
          <cell r="DE277">
            <v>1028.8</v>
          </cell>
          <cell r="DF277">
            <v>1028.7</v>
          </cell>
          <cell r="DG277">
            <v>4137.3999999999996</v>
          </cell>
        </row>
        <row r="278">
          <cell r="AI278">
            <v>334</v>
          </cell>
          <cell r="AJ278">
            <v>334</v>
          </cell>
          <cell r="AK278">
            <v>334</v>
          </cell>
          <cell r="AL278">
            <v>334</v>
          </cell>
          <cell r="AP278">
            <v>334</v>
          </cell>
          <cell r="AQ278">
            <v>334</v>
          </cell>
          <cell r="AR278">
            <v>334</v>
          </cell>
          <cell r="AS278">
            <v>1336</v>
          </cell>
          <cell r="AV278">
            <v>334</v>
          </cell>
          <cell r="AW278">
            <v>334</v>
          </cell>
          <cell r="AX278">
            <v>334</v>
          </cell>
          <cell r="AY278">
            <v>1336</v>
          </cell>
          <cell r="BB278">
            <v>371</v>
          </cell>
          <cell r="BC278">
            <v>392</v>
          </cell>
          <cell r="BD278">
            <v>364</v>
          </cell>
          <cell r="BE278">
            <v>1461</v>
          </cell>
          <cell r="BH278">
            <v>324</v>
          </cell>
          <cell r="BI278">
            <v>341</v>
          </cell>
          <cell r="BJ278">
            <v>434</v>
          </cell>
          <cell r="BK278">
            <v>1377</v>
          </cell>
          <cell r="BN278">
            <v>314</v>
          </cell>
          <cell r="BO278">
            <v>311</v>
          </cell>
          <cell r="BP278">
            <v>335</v>
          </cell>
          <cell r="BQ278">
            <v>1236</v>
          </cell>
          <cell r="BT278">
            <v>247</v>
          </cell>
          <cell r="BU278">
            <v>297</v>
          </cell>
          <cell r="BV278">
            <v>383</v>
          </cell>
          <cell r="BW278">
            <v>1192</v>
          </cell>
          <cell r="BZ278">
            <v>229</v>
          </cell>
          <cell r="CA278">
            <v>241</v>
          </cell>
          <cell r="CB278">
            <v>409</v>
          </cell>
          <cell r="CC278">
            <v>1093</v>
          </cell>
          <cell r="CF278">
            <v>195</v>
          </cell>
          <cell r="CG278">
            <v>177</v>
          </cell>
          <cell r="CH278">
            <v>245</v>
          </cell>
          <cell r="CI278">
            <v>800</v>
          </cell>
          <cell r="CL278">
            <v>176</v>
          </cell>
          <cell r="CM278">
            <v>176</v>
          </cell>
          <cell r="CN278">
            <v>176</v>
          </cell>
          <cell r="CO278">
            <v>668</v>
          </cell>
          <cell r="CR278">
            <v>238.4</v>
          </cell>
          <cell r="CS278">
            <v>242.7</v>
          </cell>
          <cell r="CT278">
            <v>229</v>
          </cell>
          <cell r="CU278">
            <v>910.59999999999991</v>
          </cell>
          <cell r="CX278">
            <v>193</v>
          </cell>
          <cell r="CY278">
            <v>197.8</v>
          </cell>
          <cell r="CZ278">
            <v>217.8</v>
          </cell>
          <cell r="DA278">
            <v>759.90000000000009</v>
          </cell>
          <cell r="DD278">
            <v>148.5</v>
          </cell>
          <cell r="DE278">
            <v>181</v>
          </cell>
          <cell r="DF278">
            <v>214.6</v>
          </cell>
          <cell r="DG278">
            <v>690.3</v>
          </cell>
        </row>
        <row r="279">
          <cell r="AI279">
            <v>0</v>
          </cell>
          <cell r="AJ279">
            <v>0</v>
          </cell>
          <cell r="AK279">
            <v>0</v>
          </cell>
          <cell r="AL279">
            <v>0</v>
          </cell>
          <cell r="AP279">
            <v>0</v>
          </cell>
          <cell r="AQ279">
            <v>0</v>
          </cell>
          <cell r="AR279">
            <v>0</v>
          </cell>
          <cell r="AS279">
            <v>0</v>
          </cell>
          <cell r="AV279">
            <v>0</v>
          </cell>
          <cell r="AW279">
            <v>0</v>
          </cell>
          <cell r="AX279">
            <v>0</v>
          </cell>
          <cell r="AY279">
            <v>0</v>
          </cell>
          <cell r="BB279">
            <v>0</v>
          </cell>
          <cell r="BC279">
            <v>0</v>
          </cell>
          <cell r="BD279">
            <v>0</v>
          </cell>
          <cell r="BE279">
            <v>0</v>
          </cell>
          <cell r="BH279">
            <v>0</v>
          </cell>
          <cell r="BI279">
            <v>0</v>
          </cell>
          <cell r="BJ279">
            <v>0</v>
          </cell>
          <cell r="BK279">
            <v>0</v>
          </cell>
          <cell r="BN279">
            <v>0</v>
          </cell>
          <cell r="BO279">
            <v>0</v>
          </cell>
          <cell r="BP279">
            <v>0</v>
          </cell>
          <cell r="BQ279">
            <v>0</v>
          </cell>
          <cell r="BT279">
            <v>0</v>
          </cell>
          <cell r="BU279">
            <v>0</v>
          </cell>
          <cell r="BV279">
            <v>0</v>
          </cell>
          <cell r="BW279">
            <v>0</v>
          </cell>
          <cell r="BZ279">
            <v>0</v>
          </cell>
          <cell r="CA279">
            <v>0</v>
          </cell>
          <cell r="CB279">
            <v>0</v>
          </cell>
          <cell r="CC279">
            <v>0</v>
          </cell>
          <cell r="CF279">
            <v>48</v>
          </cell>
          <cell r="CG279">
            <v>56</v>
          </cell>
          <cell r="CH279">
            <v>56</v>
          </cell>
          <cell r="CI279">
            <v>209</v>
          </cell>
          <cell r="CL279">
            <v>50</v>
          </cell>
          <cell r="CM279">
            <v>50</v>
          </cell>
          <cell r="CN279">
            <v>50</v>
          </cell>
          <cell r="CO279">
            <v>192</v>
          </cell>
          <cell r="CR279">
            <v>47.5</v>
          </cell>
          <cell r="CS279">
            <v>49.8</v>
          </cell>
          <cell r="CT279">
            <v>49</v>
          </cell>
          <cell r="CU279">
            <v>206.3</v>
          </cell>
          <cell r="CX279">
            <v>70.5</v>
          </cell>
          <cell r="CY279">
            <v>71.2</v>
          </cell>
          <cell r="CZ279">
            <v>70.5</v>
          </cell>
          <cell r="DA279">
            <v>401.4</v>
          </cell>
          <cell r="DD279">
            <v>220.4</v>
          </cell>
          <cell r="DE279">
            <v>214.5</v>
          </cell>
          <cell r="DF279">
            <v>196.1</v>
          </cell>
          <cell r="DG279">
            <v>832.4</v>
          </cell>
        </row>
        <row r="280">
          <cell r="AI280">
            <v>41</v>
          </cell>
          <cell r="AJ280">
            <v>41</v>
          </cell>
          <cell r="AK280">
            <v>41</v>
          </cell>
          <cell r="AL280">
            <v>41</v>
          </cell>
          <cell r="AP280">
            <v>41</v>
          </cell>
          <cell r="AQ280">
            <v>41</v>
          </cell>
          <cell r="AR280">
            <v>41</v>
          </cell>
          <cell r="AS280">
            <v>164</v>
          </cell>
          <cell r="AV280">
            <v>41</v>
          </cell>
          <cell r="AW280">
            <v>41</v>
          </cell>
          <cell r="AX280">
            <v>41</v>
          </cell>
          <cell r="AY280">
            <v>164</v>
          </cell>
          <cell r="BB280">
            <v>41</v>
          </cell>
          <cell r="BC280">
            <v>41</v>
          </cell>
          <cell r="BD280">
            <v>41</v>
          </cell>
          <cell r="BE280">
            <v>164</v>
          </cell>
          <cell r="BH280">
            <v>49</v>
          </cell>
          <cell r="BI280">
            <v>49</v>
          </cell>
          <cell r="BJ280">
            <v>49</v>
          </cell>
          <cell r="BK280">
            <v>196</v>
          </cell>
          <cell r="BN280">
            <v>42</v>
          </cell>
          <cell r="BO280">
            <v>53</v>
          </cell>
          <cell r="BP280">
            <v>49</v>
          </cell>
          <cell r="BQ280">
            <v>182</v>
          </cell>
          <cell r="BT280">
            <v>35</v>
          </cell>
          <cell r="BU280">
            <v>38</v>
          </cell>
          <cell r="BV280">
            <v>41</v>
          </cell>
          <cell r="BW280">
            <v>151</v>
          </cell>
          <cell r="BZ280">
            <v>31</v>
          </cell>
          <cell r="CA280">
            <v>33</v>
          </cell>
          <cell r="CB280">
            <v>33</v>
          </cell>
          <cell r="CC280">
            <v>134</v>
          </cell>
          <cell r="CF280">
            <v>74</v>
          </cell>
          <cell r="CG280">
            <v>52</v>
          </cell>
          <cell r="CH280">
            <v>51</v>
          </cell>
          <cell r="CI280">
            <v>217</v>
          </cell>
          <cell r="CL280">
            <v>81</v>
          </cell>
          <cell r="CM280">
            <v>81</v>
          </cell>
          <cell r="CN280">
            <v>81</v>
          </cell>
          <cell r="CO280">
            <v>291</v>
          </cell>
          <cell r="CR280">
            <v>76.5</v>
          </cell>
          <cell r="CS280">
            <v>55.579000000000001</v>
          </cell>
          <cell r="CT280">
            <v>74</v>
          </cell>
          <cell r="CU280">
            <v>253.779</v>
          </cell>
          <cell r="CX280">
            <v>70.400000000000006</v>
          </cell>
          <cell r="CY280">
            <v>59.1</v>
          </cell>
          <cell r="CZ280">
            <v>59</v>
          </cell>
          <cell r="DA280">
            <v>298.7</v>
          </cell>
          <cell r="DD280">
            <v>74.5</v>
          </cell>
          <cell r="DE280">
            <v>62.8</v>
          </cell>
          <cell r="DF280">
            <v>56.8</v>
          </cell>
          <cell r="DG280">
            <v>249.90000000000003</v>
          </cell>
        </row>
        <row r="281">
          <cell r="AI281">
            <v>0</v>
          </cell>
          <cell r="AJ281">
            <v>0</v>
          </cell>
          <cell r="AK281">
            <v>0</v>
          </cell>
          <cell r="AL281">
            <v>0</v>
          </cell>
          <cell r="AP281">
            <v>0</v>
          </cell>
          <cell r="AQ281">
            <v>0</v>
          </cell>
          <cell r="AR281">
            <v>0</v>
          </cell>
          <cell r="AS281">
            <v>0</v>
          </cell>
          <cell r="AV281">
            <v>0</v>
          </cell>
          <cell r="AW281">
            <v>0</v>
          </cell>
          <cell r="AX281">
            <v>0</v>
          </cell>
          <cell r="AY281">
            <v>0</v>
          </cell>
          <cell r="BB281">
            <v>0</v>
          </cell>
          <cell r="BC281">
            <v>0</v>
          </cell>
          <cell r="BD281">
            <v>0</v>
          </cell>
          <cell r="BE281">
            <v>0</v>
          </cell>
          <cell r="BH281">
            <v>0</v>
          </cell>
          <cell r="BI281">
            <v>0</v>
          </cell>
          <cell r="BJ281">
            <v>0</v>
          </cell>
          <cell r="BK281">
            <v>0</v>
          </cell>
          <cell r="BN281">
            <v>0</v>
          </cell>
          <cell r="BO281">
            <v>0</v>
          </cell>
          <cell r="BP281">
            <v>0</v>
          </cell>
          <cell r="BQ281">
            <v>0</v>
          </cell>
          <cell r="BT281">
            <v>0</v>
          </cell>
          <cell r="BU281">
            <v>0</v>
          </cell>
          <cell r="BV281">
            <v>0</v>
          </cell>
          <cell r="BW281">
            <v>0</v>
          </cell>
          <cell r="BZ281">
            <v>0</v>
          </cell>
          <cell r="CA281">
            <v>0</v>
          </cell>
          <cell r="CB281">
            <v>0</v>
          </cell>
          <cell r="CC281">
            <v>0</v>
          </cell>
          <cell r="CF281">
            <v>0</v>
          </cell>
          <cell r="CG281">
            <v>0</v>
          </cell>
          <cell r="CH281">
            <v>0</v>
          </cell>
          <cell r="CI281">
            <v>0</v>
          </cell>
          <cell r="CL281">
            <v>-143</v>
          </cell>
          <cell r="CM281">
            <v>-143</v>
          </cell>
          <cell r="CN281">
            <v>-143</v>
          </cell>
          <cell r="CO281">
            <v>-572</v>
          </cell>
          <cell r="CR281">
            <v>-110.8</v>
          </cell>
          <cell r="CS281">
            <v>-110.8</v>
          </cell>
          <cell r="CT281">
            <v>-143</v>
          </cell>
          <cell r="CU281">
            <v>-469.7</v>
          </cell>
          <cell r="CX281">
            <v>-70.8</v>
          </cell>
          <cell r="CY281">
            <v>-104.3</v>
          </cell>
          <cell r="CZ281">
            <v>-105.1</v>
          </cell>
          <cell r="DA281">
            <v>-397.20000000000005</v>
          </cell>
          <cell r="DD281">
            <v>-105.1</v>
          </cell>
          <cell r="DE281">
            <v>-99.2</v>
          </cell>
          <cell r="DF281">
            <v>-101.5</v>
          </cell>
          <cell r="DG281">
            <v>-413.09999999999997</v>
          </cell>
        </row>
        <row r="282">
          <cell r="F282">
            <v>19708.909677924665</v>
          </cell>
          <cell r="G282">
            <v>19098.883634324666</v>
          </cell>
          <cell r="H282">
            <v>17301.640497005999</v>
          </cell>
          <cell r="J282">
            <v>19011.942000000003</v>
          </cell>
          <cell r="K282">
            <v>20473.241000000002</v>
          </cell>
          <cell r="L282">
            <v>16857.969000000001</v>
          </cell>
          <cell r="M282">
            <v>10766</v>
          </cell>
          <cell r="N282">
            <v>14711.376</v>
          </cell>
          <cell r="P282">
            <v>11981</v>
          </cell>
          <cell r="Q282">
            <v>12670</v>
          </cell>
          <cell r="R282">
            <v>11299.9</v>
          </cell>
          <cell r="S282">
            <v>9546.4</v>
          </cell>
          <cell r="T282">
            <v>9268.6999999999989</v>
          </cell>
          <cell r="U282">
            <v>8773</v>
          </cell>
          <cell r="V282">
            <v>9066</v>
          </cell>
          <cell r="W282">
            <v>10181</v>
          </cell>
          <cell r="X282">
            <v>9328</v>
          </cell>
          <cell r="Y282">
            <v>8385</v>
          </cell>
          <cell r="Z282">
            <v>6722.5400000000009</v>
          </cell>
          <cell r="AA282">
            <v>6518</v>
          </cell>
          <cell r="AB282">
            <v>6619</v>
          </cell>
          <cell r="AC282">
            <v>5584</v>
          </cell>
          <cell r="AD282">
            <v>4686</v>
          </cell>
          <cell r="AE282">
            <v>4964</v>
          </cell>
          <cell r="AF282">
            <v>4997</v>
          </cell>
          <cell r="AG282">
            <v>4850</v>
          </cell>
          <cell r="AI282">
            <v>4806.5260951686669</v>
          </cell>
          <cell r="AJ282">
            <v>4977.9975234186668</v>
          </cell>
          <cell r="AK282">
            <v>4973.5987334186666</v>
          </cell>
          <cell r="AL282">
            <v>4950.7873259186672</v>
          </cell>
          <cell r="AM282">
            <v>19708.909677924665</v>
          </cell>
          <cell r="AO282">
            <v>4684.5634925686663</v>
          </cell>
          <cell r="AP282">
            <v>4827.2398824186657</v>
          </cell>
          <cell r="AQ282">
            <v>4810.1238934186658</v>
          </cell>
          <cell r="AR282">
            <v>4776.956365918667</v>
          </cell>
          <cell r="AS282">
            <v>19098.883634324666</v>
          </cell>
          <cell r="AU282">
            <v>3409.0688250000003</v>
          </cell>
          <cell r="AV282">
            <v>4630.328265668667</v>
          </cell>
          <cell r="AW282">
            <v>4648.2087156686666</v>
          </cell>
          <cell r="AX282">
            <v>4614.0346906686664</v>
          </cell>
          <cell r="AY282">
            <v>17301.640497005999</v>
          </cell>
          <cell r="BA282">
            <v>3553</v>
          </cell>
          <cell r="BB282">
            <v>3852</v>
          </cell>
          <cell r="BC282">
            <v>3750</v>
          </cell>
          <cell r="BD282">
            <v>3403</v>
          </cell>
          <cell r="BE282">
            <v>14558</v>
          </cell>
          <cell r="BG282">
            <v>3915</v>
          </cell>
          <cell r="BH282">
            <v>4191</v>
          </cell>
          <cell r="BI282">
            <v>3693</v>
          </cell>
          <cell r="BJ282">
            <v>4047</v>
          </cell>
          <cell r="BK282">
            <v>15846</v>
          </cell>
          <cell r="BL282" t="str">
            <v xml:space="preserve"> </v>
          </cell>
          <cell r="BM282">
            <v>2665</v>
          </cell>
          <cell r="BN282">
            <v>3044</v>
          </cell>
          <cell r="BO282">
            <v>3120</v>
          </cell>
          <cell r="BP282">
            <v>3433</v>
          </cell>
          <cell r="BQ282">
            <v>12262</v>
          </cell>
          <cell r="BS282">
            <v>2603</v>
          </cell>
          <cell r="BT282">
            <v>2684</v>
          </cell>
          <cell r="BU282">
            <v>2889</v>
          </cell>
          <cell r="BV282">
            <v>2751</v>
          </cell>
          <cell r="BW282">
            <v>10766</v>
          </cell>
          <cell r="BX282" t="str">
            <v xml:space="preserve"> </v>
          </cell>
          <cell r="BY282">
            <v>2608</v>
          </cell>
          <cell r="BZ282">
            <v>2909</v>
          </cell>
          <cell r="CA282">
            <v>2823</v>
          </cell>
          <cell r="CB282">
            <v>2870</v>
          </cell>
          <cell r="CC282">
            <v>11210</v>
          </cell>
          <cell r="CD282" t="str">
            <v xml:space="preserve"> </v>
          </cell>
          <cell r="CE282">
            <v>2605</v>
          </cell>
          <cell r="CF282">
            <v>2886</v>
          </cell>
          <cell r="CG282">
            <v>2852</v>
          </cell>
          <cell r="CH282">
            <v>2771</v>
          </cell>
          <cell r="CI282">
            <v>11981</v>
          </cell>
          <cell r="CJ282" t="str">
            <v xml:space="preserve"> </v>
          </cell>
          <cell r="CK282">
            <v>2602</v>
          </cell>
          <cell r="CL282">
            <v>2931</v>
          </cell>
          <cell r="CM282">
            <v>3003.5907500000003</v>
          </cell>
          <cell r="CN282">
            <v>2859</v>
          </cell>
          <cell r="CO282">
            <v>12277.590749999999</v>
          </cell>
          <cell r="CP282" t="str">
            <v xml:space="preserve"> </v>
          </cell>
          <cell r="CQ282">
            <v>2385.7999999999997</v>
          </cell>
          <cell r="CR282">
            <v>2598.1999999999998</v>
          </cell>
          <cell r="CS282">
            <v>2568.279</v>
          </cell>
          <cell r="CT282">
            <v>2846.2472499999999</v>
          </cell>
          <cell r="CU282" t="str">
            <v xml:space="preserve"> </v>
          </cell>
          <cell r="CW282">
            <v>2340.9999999999995</v>
          </cell>
          <cell r="CX282">
            <v>2387.5</v>
          </cell>
          <cell r="CY282">
            <v>2224.8999999999996</v>
          </cell>
          <cell r="CZ282">
            <v>2298.6955000000003</v>
          </cell>
          <cell r="DA282">
            <v>9252.0954999999994</v>
          </cell>
          <cell r="DC282">
            <v>2195.7000000000003</v>
          </cell>
          <cell r="DD282">
            <v>2336.3000000000002</v>
          </cell>
          <cell r="DE282">
            <v>2337.0000000000005</v>
          </cell>
          <cell r="DF282">
            <v>2337</v>
          </cell>
          <cell r="DG282">
            <v>9206</v>
          </cell>
          <cell r="DI282">
            <v>2054.1</v>
          </cell>
          <cell r="DJ282">
            <v>2296.6000000000004</v>
          </cell>
          <cell r="DK282">
            <v>2213.4000000000005</v>
          </cell>
          <cell r="DL282">
            <v>2128.9</v>
          </cell>
          <cell r="DM282">
            <v>8693.0000000000018</v>
          </cell>
          <cell r="DO282">
            <v>2209.3100000000004</v>
          </cell>
          <cell r="DP282">
            <v>2276</v>
          </cell>
          <cell r="DQ282">
            <v>2241.9469999999997</v>
          </cell>
          <cell r="DR282">
            <v>2064.8000000000002</v>
          </cell>
          <cell r="DS282">
            <v>8792.0569999999971</v>
          </cell>
          <cell r="DU282">
            <v>2153.8999999999996</v>
          </cell>
          <cell r="DV282">
            <v>2417.1999999999998</v>
          </cell>
          <cell r="DW282">
            <v>2507.9880000000007</v>
          </cell>
          <cell r="DX282">
            <v>2400</v>
          </cell>
          <cell r="DY282">
            <v>9479.0879999999997</v>
          </cell>
          <cell r="EA282">
            <v>2016.6999999999998</v>
          </cell>
          <cell r="EB282">
            <v>2222.2380000000003</v>
          </cell>
          <cell r="EC282">
            <v>2371</v>
          </cell>
          <cell r="ED282">
            <v>2389.9</v>
          </cell>
          <cell r="EE282">
            <v>9170.7999999999993</v>
          </cell>
        </row>
        <row r="285">
          <cell r="AI285">
            <v>242</v>
          </cell>
          <cell r="AJ285">
            <v>242</v>
          </cell>
          <cell r="AK285">
            <v>242</v>
          </cell>
          <cell r="AL285">
            <v>242</v>
          </cell>
          <cell r="AP285">
            <v>242</v>
          </cell>
          <cell r="AQ285">
            <v>242</v>
          </cell>
          <cell r="AR285">
            <v>242</v>
          </cell>
          <cell r="AS285">
            <v>968</v>
          </cell>
          <cell r="AV285">
            <v>242</v>
          </cell>
          <cell r="AW285">
            <v>242</v>
          </cell>
          <cell r="AX285">
            <v>242</v>
          </cell>
          <cell r="AY285">
            <v>968</v>
          </cell>
          <cell r="BB285">
            <v>266</v>
          </cell>
          <cell r="BC285">
            <v>245</v>
          </cell>
          <cell r="BD285">
            <v>242</v>
          </cell>
          <cell r="BE285">
            <v>1024</v>
          </cell>
          <cell r="BH285">
            <v>364</v>
          </cell>
          <cell r="BI285">
            <v>151</v>
          </cell>
          <cell r="BJ285">
            <v>287</v>
          </cell>
          <cell r="BK285">
            <v>1082</v>
          </cell>
          <cell r="BN285">
            <v>176</v>
          </cell>
          <cell r="BO285">
            <v>166</v>
          </cell>
          <cell r="BP285">
            <v>161</v>
          </cell>
          <cell r="BQ285">
            <v>656</v>
          </cell>
          <cell r="BV285">
            <v>179</v>
          </cell>
          <cell r="BW285">
            <v>636</v>
          </cell>
        </row>
        <row r="286">
          <cell r="AI286">
            <v>1973.4147958353333</v>
          </cell>
          <cell r="AJ286">
            <v>2096.0171540853335</v>
          </cell>
          <cell r="AK286">
            <v>2054.2744540853332</v>
          </cell>
          <cell r="AL286">
            <v>1994.1191365853335</v>
          </cell>
          <cell r="AP286">
            <v>2094.6179730853332</v>
          </cell>
          <cell r="AQ286">
            <v>2052.3943240853332</v>
          </cell>
          <cell r="AR286">
            <v>1994.1191365853335</v>
          </cell>
          <cell r="AS286">
            <v>8115.3706769913333</v>
          </cell>
          <cell r="AV286">
            <v>1990.2951763353335</v>
          </cell>
          <cell r="AW286">
            <v>1985.5838763353336</v>
          </cell>
          <cell r="AX286">
            <v>1928.8181013353333</v>
          </cell>
          <cell r="AY286">
            <v>7403.1009790059998</v>
          </cell>
          <cell r="BB286">
            <v>1748</v>
          </cell>
          <cell r="BC286">
            <v>1680</v>
          </cell>
          <cell r="BD286">
            <v>1446</v>
          </cell>
          <cell r="BE286">
            <v>6254</v>
          </cell>
          <cell r="BH286">
            <v>1926</v>
          </cell>
          <cell r="BI286">
            <v>1606</v>
          </cell>
          <cell r="BJ286">
            <v>1584</v>
          </cell>
          <cell r="BK286">
            <v>6948</v>
          </cell>
          <cell r="BN286">
            <v>1412</v>
          </cell>
          <cell r="BO286">
            <v>1337</v>
          </cell>
          <cell r="BP286">
            <v>1491</v>
          </cell>
          <cell r="BQ286">
            <v>5356</v>
          </cell>
          <cell r="BT286">
            <v>1160</v>
          </cell>
          <cell r="BU286">
            <v>1333</v>
          </cell>
          <cell r="BV286">
            <v>1105</v>
          </cell>
          <cell r="BW286">
            <v>4616</v>
          </cell>
          <cell r="BZ286">
            <v>1385.1787211740043</v>
          </cell>
          <cell r="CA286">
            <v>1274.3290655884996</v>
          </cell>
          <cell r="CB286">
            <v>947.51370170709788</v>
          </cell>
          <cell r="CC286">
            <v>4749.4776879305173</v>
          </cell>
          <cell r="CF286">
            <v>1116</v>
          </cell>
          <cell r="CG286">
            <v>1116</v>
          </cell>
          <cell r="CH286">
            <v>1116</v>
          </cell>
          <cell r="CI286">
            <v>4464</v>
          </cell>
          <cell r="CL286">
            <v>1187</v>
          </cell>
          <cell r="CM286">
            <v>1187</v>
          </cell>
          <cell r="CN286">
            <v>1187</v>
          </cell>
          <cell r="CO286">
            <v>4748</v>
          </cell>
          <cell r="CR286">
            <v>1010.1</v>
          </cell>
          <cell r="CS286">
            <v>1010.1</v>
          </cell>
          <cell r="CT286">
            <v>1010.1</v>
          </cell>
          <cell r="CU286">
            <v>3884.5</v>
          </cell>
          <cell r="CX286">
            <v>899.5</v>
          </cell>
          <cell r="CY286">
            <v>882.8</v>
          </cell>
          <cell r="CZ286">
            <v>913.26874999999995</v>
          </cell>
          <cell r="DA286">
            <v>3509.7687500000002</v>
          </cell>
          <cell r="DD286">
            <v>783</v>
          </cell>
          <cell r="DE286">
            <v>798</v>
          </cell>
          <cell r="DF286">
            <v>743.7</v>
          </cell>
          <cell r="DG286">
            <v>3030.2</v>
          </cell>
        </row>
        <row r="287">
          <cell r="AI287">
            <v>2216.1112993333331</v>
          </cell>
          <cell r="AJ287">
            <v>2264.9803693333333</v>
          </cell>
          <cell r="AK287">
            <v>2302.3242793333329</v>
          </cell>
          <cell r="AL287">
            <v>2339.668189333333</v>
          </cell>
          <cell r="AP287">
            <v>2115.621909333333</v>
          </cell>
          <cell r="AQ287">
            <v>2140.7295693333331</v>
          </cell>
          <cell r="AR287">
            <v>2165.8372293333332</v>
          </cell>
          <cell r="AS287">
            <v>8515.5129573333325</v>
          </cell>
          <cell r="AV287">
            <v>2023.0330893333332</v>
          </cell>
          <cell r="AW287">
            <v>2045.6248393333333</v>
          </cell>
          <cell r="AX287">
            <v>2068.2165893333331</v>
          </cell>
          <cell r="AY287">
            <v>7430.5395179999996</v>
          </cell>
          <cell r="BB287">
            <v>1426</v>
          </cell>
          <cell r="BC287">
            <v>1392</v>
          </cell>
          <cell r="BD287">
            <v>1310</v>
          </cell>
          <cell r="BE287">
            <v>5655</v>
          </cell>
          <cell r="BH287">
            <v>1528</v>
          </cell>
          <cell r="BI287">
            <v>1546</v>
          </cell>
          <cell r="BJ287">
            <v>1693</v>
          </cell>
          <cell r="BK287">
            <v>6243</v>
          </cell>
          <cell r="BN287">
            <v>1100</v>
          </cell>
          <cell r="BO287">
            <v>1253</v>
          </cell>
          <cell r="BP287">
            <v>1397</v>
          </cell>
          <cell r="BQ287">
            <v>4832</v>
          </cell>
          <cell r="BT287">
            <v>1089</v>
          </cell>
          <cell r="BU287">
            <v>1068</v>
          </cell>
          <cell r="BV287">
            <v>1043</v>
          </cell>
          <cell r="BW287">
            <v>4320</v>
          </cell>
          <cell r="BZ287">
            <v>1043.4702274975273</v>
          </cell>
          <cell r="CA287">
            <v>1004.371909000989</v>
          </cell>
          <cell r="CB287">
            <v>1028.6947576656776</v>
          </cell>
          <cell r="CC287">
            <v>4100.6156280909991</v>
          </cell>
          <cell r="CF287">
            <v>577.21742378809904</v>
          </cell>
          <cell r="CG287">
            <v>506.21742378809904</v>
          </cell>
          <cell r="CH287">
            <v>476.21742378809904</v>
          </cell>
          <cell r="CI287">
            <v>2152.8696951523962</v>
          </cell>
          <cell r="CL287">
            <v>891.23992378809908</v>
          </cell>
          <cell r="CM287">
            <v>891.23992378809919</v>
          </cell>
          <cell r="CN287">
            <v>861.21742378809904</v>
          </cell>
          <cell r="CO287">
            <v>3575.7535213642973</v>
          </cell>
          <cell r="CR287">
            <v>890.8</v>
          </cell>
          <cell r="CS287">
            <v>852.601</v>
          </cell>
          <cell r="CT287">
            <v>874.60099999999989</v>
          </cell>
          <cell r="CU287">
            <v>3376.8019999999997</v>
          </cell>
          <cell r="CX287">
            <v>807.7</v>
          </cell>
          <cell r="CY287">
            <v>808.2</v>
          </cell>
          <cell r="CZ287">
            <v>808.2</v>
          </cell>
          <cell r="DA287">
            <v>3216.6000000000004</v>
          </cell>
          <cell r="DD287">
            <v>885.5</v>
          </cell>
          <cell r="DE287">
            <v>884.4</v>
          </cell>
          <cell r="DF287">
            <v>903.8</v>
          </cell>
          <cell r="DG287">
            <v>3555</v>
          </cell>
        </row>
        <row r="288">
          <cell r="AI288">
            <v>334</v>
          </cell>
          <cell r="AJ288">
            <v>334</v>
          </cell>
          <cell r="AK288">
            <v>334</v>
          </cell>
          <cell r="AL288">
            <v>334</v>
          </cell>
          <cell r="AP288">
            <v>334</v>
          </cell>
          <cell r="AQ288">
            <v>334</v>
          </cell>
          <cell r="AR288">
            <v>334</v>
          </cell>
          <cell r="AS288">
            <v>1336</v>
          </cell>
          <cell r="AV288">
            <v>334</v>
          </cell>
          <cell r="AW288">
            <v>334</v>
          </cell>
          <cell r="AX288">
            <v>334</v>
          </cell>
          <cell r="AY288">
            <v>1336</v>
          </cell>
          <cell r="BB288">
            <v>371</v>
          </cell>
          <cell r="BC288">
            <v>392</v>
          </cell>
          <cell r="BD288">
            <v>364</v>
          </cell>
          <cell r="BE288">
            <v>1461</v>
          </cell>
          <cell r="BH288">
            <v>324</v>
          </cell>
          <cell r="BI288">
            <v>341</v>
          </cell>
          <cell r="BJ288">
            <v>434</v>
          </cell>
          <cell r="BK288">
            <v>1377</v>
          </cell>
          <cell r="BN288">
            <v>314</v>
          </cell>
          <cell r="BO288">
            <v>311</v>
          </cell>
          <cell r="BP288">
            <v>335</v>
          </cell>
          <cell r="BQ288">
            <v>1236</v>
          </cell>
          <cell r="BT288">
            <v>247</v>
          </cell>
          <cell r="BU288">
            <v>297</v>
          </cell>
          <cell r="BV288">
            <v>383</v>
          </cell>
          <cell r="BW288">
            <v>1192</v>
          </cell>
          <cell r="BZ288">
            <v>211.70469798657717</v>
          </cell>
          <cell r="CA288">
            <v>204.06040268456377</v>
          </cell>
          <cell r="CB288">
            <v>356.04026845637583</v>
          </cell>
          <cell r="CC288">
            <v>968.31543624161077</v>
          </cell>
          <cell r="CF288">
            <v>0</v>
          </cell>
          <cell r="CG288">
            <v>0</v>
          </cell>
          <cell r="CH288">
            <v>0</v>
          </cell>
          <cell r="CI288">
            <v>0</v>
          </cell>
          <cell r="CL288">
            <v>0</v>
          </cell>
          <cell r="CM288">
            <v>0</v>
          </cell>
          <cell r="CN288">
            <v>0</v>
          </cell>
          <cell r="CO288">
            <v>128.95973154362417</v>
          </cell>
          <cell r="CR288">
            <v>219.60000000000002</v>
          </cell>
          <cell r="CS288">
            <v>223.56090604026846</v>
          </cell>
          <cell r="CT288">
            <v>210.94127516778525</v>
          </cell>
          <cell r="CU288">
            <v>840.0021812080538</v>
          </cell>
          <cell r="CX288">
            <v>182.6</v>
          </cell>
          <cell r="CY288">
            <v>187.9</v>
          </cell>
          <cell r="CZ288">
            <v>206.8989888776542</v>
          </cell>
          <cell r="DA288">
            <v>715.09898887765428</v>
          </cell>
          <cell r="DD288">
            <v>138.69999999999999</v>
          </cell>
          <cell r="DE288">
            <v>166.5</v>
          </cell>
          <cell r="DF288">
            <v>197.9</v>
          </cell>
          <cell r="DG288">
            <v>637</v>
          </cell>
        </row>
        <row r="289">
          <cell r="AI289">
            <v>0</v>
          </cell>
          <cell r="AJ289">
            <v>0</v>
          </cell>
          <cell r="AK289">
            <v>0</v>
          </cell>
          <cell r="AL289">
            <v>0</v>
          </cell>
          <cell r="AP289">
            <v>0</v>
          </cell>
          <cell r="AQ289">
            <v>0</v>
          </cell>
          <cell r="AR289">
            <v>0</v>
          </cell>
          <cell r="AS289">
            <v>0</v>
          </cell>
          <cell r="AV289">
            <v>0</v>
          </cell>
          <cell r="AW289">
            <v>0</v>
          </cell>
          <cell r="AX289">
            <v>0</v>
          </cell>
          <cell r="AY289">
            <v>0</v>
          </cell>
          <cell r="BB289">
            <v>0</v>
          </cell>
          <cell r="BC289">
            <v>0</v>
          </cell>
          <cell r="BD289">
            <v>0</v>
          </cell>
          <cell r="BE289">
            <v>0</v>
          </cell>
          <cell r="BH289">
            <v>0</v>
          </cell>
          <cell r="BI289">
            <v>0</v>
          </cell>
          <cell r="BJ289">
            <v>0</v>
          </cell>
          <cell r="BK289">
            <v>0</v>
          </cell>
          <cell r="BN289">
            <v>0</v>
          </cell>
          <cell r="BO289">
            <v>0</v>
          </cell>
          <cell r="BP289">
            <v>0</v>
          </cell>
          <cell r="BQ289">
            <v>0</v>
          </cell>
          <cell r="BT289">
            <v>0</v>
          </cell>
          <cell r="BU289">
            <v>0</v>
          </cell>
          <cell r="BV289">
            <v>0</v>
          </cell>
          <cell r="BW289">
            <v>0</v>
          </cell>
          <cell r="BZ289">
            <v>0</v>
          </cell>
          <cell r="CA289">
            <v>0</v>
          </cell>
          <cell r="CB289">
            <v>0</v>
          </cell>
          <cell r="CC289">
            <v>0</v>
          </cell>
          <cell r="CF289">
            <v>5.76</v>
          </cell>
          <cell r="CG289">
            <v>6.72</v>
          </cell>
          <cell r="CH289">
            <v>6.72</v>
          </cell>
          <cell r="CI289">
            <v>25.08</v>
          </cell>
          <cell r="CL289">
            <v>6</v>
          </cell>
          <cell r="CM289">
            <v>6</v>
          </cell>
          <cell r="CN289">
            <v>6</v>
          </cell>
          <cell r="CO289">
            <v>22.722891566265062</v>
          </cell>
          <cell r="CR289">
            <v>5.6</v>
          </cell>
          <cell r="CS289">
            <v>5.6</v>
          </cell>
          <cell r="CT289">
            <v>5.5100401606425704</v>
          </cell>
          <cell r="CU289">
            <v>16.710040160642571</v>
          </cell>
          <cell r="CX289">
            <v>-13.6</v>
          </cell>
          <cell r="CY289">
            <v>0</v>
          </cell>
          <cell r="CZ289">
            <v>0</v>
          </cell>
          <cell r="DA289">
            <v>84.300000000000011</v>
          </cell>
          <cell r="DD289">
            <v>91.8</v>
          </cell>
          <cell r="DE289">
            <v>92.1</v>
          </cell>
          <cell r="DF289">
            <v>89.3</v>
          </cell>
          <cell r="DG289">
            <v>354.8</v>
          </cell>
        </row>
        <row r="290">
          <cell r="AI290">
            <v>77</v>
          </cell>
          <cell r="AJ290">
            <v>77</v>
          </cell>
          <cell r="AK290">
            <v>77</v>
          </cell>
          <cell r="AL290">
            <v>77</v>
          </cell>
          <cell r="AP290">
            <v>77</v>
          </cell>
          <cell r="AQ290">
            <v>77</v>
          </cell>
          <cell r="AR290">
            <v>77</v>
          </cell>
          <cell r="AS290">
            <v>308</v>
          </cell>
          <cell r="AV290">
            <v>77</v>
          </cell>
          <cell r="AW290">
            <v>77</v>
          </cell>
          <cell r="AX290">
            <v>77</v>
          </cell>
          <cell r="AY290">
            <v>308</v>
          </cell>
          <cell r="BB290">
            <v>77</v>
          </cell>
          <cell r="BC290">
            <v>77</v>
          </cell>
          <cell r="BD290">
            <v>77</v>
          </cell>
          <cell r="BE290">
            <v>308</v>
          </cell>
          <cell r="BH290">
            <v>85</v>
          </cell>
          <cell r="BI290">
            <v>85</v>
          </cell>
          <cell r="BJ290">
            <v>85</v>
          </cell>
          <cell r="BK290">
            <v>340</v>
          </cell>
          <cell r="BN290">
            <v>81.789473684210535</v>
          </cell>
          <cell r="BO290">
            <v>103.21052631578949</v>
          </cell>
          <cell r="BP290">
            <v>95.421052631578959</v>
          </cell>
          <cell r="BQ290">
            <v>354.42105263157896</v>
          </cell>
          <cell r="BT290">
            <v>65.270270270270274</v>
          </cell>
          <cell r="BU290">
            <v>70.86486486486487</v>
          </cell>
          <cell r="BV290">
            <v>76.459459459459467</v>
          </cell>
          <cell r="BW290">
            <v>281.59459459459458</v>
          </cell>
          <cell r="BZ290">
            <v>61</v>
          </cell>
          <cell r="CA290">
            <v>69</v>
          </cell>
          <cell r="CB290">
            <v>69</v>
          </cell>
          <cell r="CC290">
            <v>256</v>
          </cell>
          <cell r="CF290">
            <v>63.939869281045745</v>
          </cell>
          <cell r="CG290">
            <v>44.930718954248363</v>
          </cell>
          <cell r="CH290">
            <v>44.066666666666663</v>
          </cell>
          <cell r="CI290">
            <v>187.49934640522875</v>
          </cell>
          <cell r="CL290">
            <v>69.988235294117644</v>
          </cell>
          <cell r="CM290">
            <v>69.988235294117644</v>
          </cell>
          <cell r="CN290">
            <v>69.988235294117644</v>
          </cell>
          <cell r="CO290">
            <v>251.43921568627451</v>
          </cell>
          <cell r="CR290">
            <v>66.100000000000009</v>
          </cell>
          <cell r="CS290">
            <v>48.023162091503274</v>
          </cell>
          <cell r="CT290">
            <v>63.939869281045752</v>
          </cell>
          <cell r="CU290">
            <v>221.66303137254906</v>
          </cell>
          <cell r="CX290">
            <v>59.7</v>
          </cell>
          <cell r="CY290">
            <v>51.8</v>
          </cell>
          <cell r="CZ290">
            <v>51.712351945854479</v>
          </cell>
          <cell r="DA290">
            <v>259.71235194585449</v>
          </cell>
          <cell r="DD290">
            <v>62.2</v>
          </cell>
          <cell r="DE290">
            <v>53.2</v>
          </cell>
          <cell r="DF290">
            <v>72</v>
          </cell>
          <cell r="DG290">
            <v>239.10000000000002</v>
          </cell>
        </row>
        <row r="291">
          <cell r="AI291">
            <v>0</v>
          </cell>
          <cell r="AJ291">
            <v>0</v>
          </cell>
          <cell r="AK291">
            <v>0</v>
          </cell>
          <cell r="AL291">
            <v>0</v>
          </cell>
          <cell r="AP291">
            <v>0</v>
          </cell>
          <cell r="AQ291">
            <v>0</v>
          </cell>
          <cell r="AR291">
            <v>0</v>
          </cell>
          <cell r="AS291">
            <v>0</v>
          </cell>
          <cell r="AV291">
            <v>0</v>
          </cell>
          <cell r="AW291">
            <v>0</v>
          </cell>
          <cell r="AX291">
            <v>0</v>
          </cell>
          <cell r="AY291">
            <v>0</v>
          </cell>
          <cell r="BB291">
            <v>0</v>
          </cell>
          <cell r="BC291">
            <v>0</v>
          </cell>
          <cell r="BD291">
            <v>0</v>
          </cell>
          <cell r="BE291">
            <v>0</v>
          </cell>
          <cell r="BH291">
            <v>0</v>
          </cell>
          <cell r="BI291">
            <v>0</v>
          </cell>
          <cell r="BJ291">
            <v>0</v>
          </cell>
          <cell r="BK291">
            <v>0</v>
          </cell>
          <cell r="BN291">
            <v>0</v>
          </cell>
          <cell r="BO291">
            <v>0</v>
          </cell>
          <cell r="BP291">
            <v>0</v>
          </cell>
          <cell r="BQ291">
            <v>0</v>
          </cell>
          <cell r="BT291">
            <v>0</v>
          </cell>
          <cell r="BU291">
            <v>0</v>
          </cell>
          <cell r="BV291">
            <v>0</v>
          </cell>
          <cell r="BW291">
            <v>0</v>
          </cell>
          <cell r="BZ291">
            <v>0</v>
          </cell>
          <cell r="CA291">
            <v>0</v>
          </cell>
          <cell r="CB291">
            <v>0</v>
          </cell>
          <cell r="CC291">
            <v>0</v>
          </cell>
          <cell r="CF291">
            <v>-113.67552182163189</v>
          </cell>
          <cell r="CG291">
            <v>-119.40915559772296</v>
          </cell>
          <cell r="CH291">
            <v>-109.60381087919039</v>
          </cell>
          <cell r="CI291">
            <v>-435.42378241619235</v>
          </cell>
          <cell r="CL291">
            <v>-105.61519607843138</v>
          </cell>
          <cell r="CM291">
            <v>-107.96116635041113</v>
          </cell>
          <cell r="CN291">
            <v>-100.54633143580013</v>
          </cell>
          <cell r="CO291">
            <v>-412.75781404174575</v>
          </cell>
          <cell r="CR291">
            <v>-110.98320683111955</v>
          </cell>
          <cell r="CS291">
            <v>-106.19686907020873</v>
          </cell>
          <cell r="CT291">
            <v>-122.23442441492726</v>
          </cell>
          <cell r="CU291">
            <v>-444.51450031625552</v>
          </cell>
          <cell r="CX291">
            <v>-70.8</v>
          </cell>
          <cell r="CY291">
            <v>-104.3</v>
          </cell>
          <cell r="CZ291">
            <v>-110.01614466228976</v>
          </cell>
          <cell r="DA291">
            <v>-402.1161446622898</v>
          </cell>
          <cell r="DD291">
            <v>-119.04235812927932</v>
          </cell>
          <cell r="DE291">
            <v>-98</v>
          </cell>
          <cell r="DF291">
            <v>-101.5</v>
          </cell>
          <cell r="DG291">
            <v>-425.84235812927932</v>
          </cell>
        </row>
        <row r="292">
          <cell r="AI292">
            <v>4842.5260951686669</v>
          </cell>
          <cell r="AJ292">
            <v>5013.9975234186668</v>
          </cell>
          <cell r="AK292">
            <v>5009.5987334186666</v>
          </cell>
          <cell r="AL292">
            <v>4986.7873259186672</v>
          </cell>
          <cell r="AP292">
            <v>4863.2398824186657</v>
          </cell>
          <cell r="AQ292">
            <v>4846.1238934186658</v>
          </cell>
          <cell r="AR292">
            <v>4812.956365918667</v>
          </cell>
          <cell r="AS292">
            <v>19242.883634324666</v>
          </cell>
          <cell r="AV292">
            <v>4666.328265668667</v>
          </cell>
          <cell r="AW292">
            <v>4684.2087156686666</v>
          </cell>
          <cell r="AX292">
            <v>4650.0346906686664</v>
          </cell>
          <cell r="AY292">
            <v>17445.640497005999</v>
          </cell>
          <cell r="BB292">
            <v>3888</v>
          </cell>
          <cell r="BC292">
            <v>3786</v>
          </cell>
          <cell r="BD292">
            <v>3439</v>
          </cell>
          <cell r="BE292">
            <v>14702</v>
          </cell>
          <cell r="BH292">
            <v>4227</v>
          </cell>
          <cell r="BI292">
            <v>3729</v>
          </cell>
          <cell r="BJ292">
            <v>4083</v>
          </cell>
          <cell r="BK292">
            <v>15990</v>
          </cell>
          <cell r="BL292" t="str">
            <v xml:space="preserve"> </v>
          </cell>
          <cell r="BN292">
            <v>3083.7894736842104</v>
          </cell>
          <cell r="BO292">
            <v>3170.2105263157896</v>
          </cell>
          <cell r="BP292">
            <v>3479.4210526315792</v>
          </cell>
          <cell r="BQ292">
            <v>12434.421052631578</v>
          </cell>
          <cell r="BT292">
            <v>2561.2702702702704</v>
          </cell>
          <cell r="BU292">
            <v>2768.864864864865</v>
          </cell>
          <cell r="BV292">
            <v>2786.4594594594596</v>
          </cell>
          <cell r="BW292">
            <v>11045.594594594595</v>
          </cell>
          <cell r="BX292" t="str">
            <v xml:space="preserve"> </v>
          </cell>
          <cell r="BZ292">
            <v>2701.353646658109</v>
          </cell>
          <cell r="CA292">
            <v>2551.7613772740524</v>
          </cell>
          <cell r="CB292">
            <v>2401.2487278291514</v>
          </cell>
          <cell r="CC292">
            <v>10074.408752263127</v>
          </cell>
          <cell r="CD292" t="str">
            <v xml:space="preserve"> </v>
          </cell>
          <cell r="CF292">
            <v>1649.2417712475128</v>
          </cell>
          <cell r="CG292">
            <v>1554.4589871446244</v>
          </cell>
          <cell r="CH292">
            <v>1533.4002795755753</v>
          </cell>
          <cell r="CI292">
            <v>6394.0252591414319</v>
          </cell>
          <cell r="CJ292" t="str">
            <v xml:space="preserve"> </v>
          </cell>
          <cell r="CL292">
            <v>2048.6129630037854</v>
          </cell>
          <cell r="CM292">
            <v>2046.2669927318057</v>
          </cell>
          <cell r="CN292">
            <v>2023.6593276464166</v>
          </cell>
          <cell r="CO292">
            <v>8314.117546118714</v>
          </cell>
          <cell r="CR292">
            <v>2081.2167931688805</v>
          </cell>
          <cell r="CS292">
            <v>2033.688199061563</v>
          </cell>
          <cell r="CT292">
            <v>2042.8577601945462</v>
          </cell>
          <cell r="CU292">
            <v>7895.1627524249898</v>
          </cell>
          <cell r="CX292">
            <v>1865.1000000000001</v>
          </cell>
          <cell r="CY292">
            <v>1826.4</v>
          </cell>
          <cell r="CZ292">
            <v>1870.0639461612188</v>
          </cell>
          <cell r="DA292">
            <v>7383.3639461612202</v>
          </cell>
          <cell r="DD292">
            <v>1842.1576418707207</v>
          </cell>
          <cell r="DE292">
            <v>1896.2</v>
          </cell>
          <cell r="DF292">
            <v>1905.2</v>
          </cell>
          <cell r="DG292">
            <v>7390.2576418707204</v>
          </cell>
        </row>
        <row r="293">
          <cell r="BW293" t="str">
            <v xml:space="preserve"> </v>
          </cell>
          <cell r="DG293">
            <v>0</v>
          </cell>
        </row>
        <row r="294">
          <cell r="AI294">
            <v>0</v>
          </cell>
          <cell r="AJ294">
            <v>0</v>
          </cell>
          <cell r="AK294">
            <v>0</v>
          </cell>
          <cell r="AL294">
            <v>0</v>
          </cell>
          <cell r="AP294">
            <v>0</v>
          </cell>
          <cell r="AQ294">
            <v>0</v>
          </cell>
          <cell r="AR294">
            <v>0</v>
          </cell>
          <cell r="AS294">
            <v>0</v>
          </cell>
          <cell r="AV294">
            <v>0</v>
          </cell>
          <cell r="AW294">
            <v>0</v>
          </cell>
          <cell r="AX294">
            <v>0</v>
          </cell>
          <cell r="AY294">
            <v>0</v>
          </cell>
          <cell r="BB294">
            <v>0</v>
          </cell>
          <cell r="BC294">
            <v>0</v>
          </cell>
          <cell r="BD294">
            <v>0</v>
          </cell>
          <cell r="BE294">
            <v>0</v>
          </cell>
          <cell r="BH294">
            <v>0</v>
          </cell>
          <cell r="BI294">
            <v>0</v>
          </cell>
          <cell r="BJ294">
            <v>0</v>
          </cell>
          <cell r="BK294">
            <v>0</v>
          </cell>
          <cell r="BN294">
            <v>0</v>
          </cell>
          <cell r="BO294">
            <v>0</v>
          </cell>
          <cell r="BP294">
            <v>0</v>
          </cell>
          <cell r="BQ294">
            <v>0</v>
          </cell>
          <cell r="BV294">
            <v>0</v>
          </cell>
          <cell r="BW294">
            <v>0</v>
          </cell>
        </row>
        <row r="295">
          <cell r="AI295">
            <v>0</v>
          </cell>
          <cell r="AJ295">
            <v>0</v>
          </cell>
          <cell r="AK295">
            <v>0</v>
          </cell>
          <cell r="AL295">
            <v>0</v>
          </cell>
          <cell r="AP295">
            <v>0</v>
          </cell>
          <cell r="AQ295">
            <v>0</v>
          </cell>
          <cell r="AR295">
            <v>0</v>
          </cell>
          <cell r="AS295">
            <v>0</v>
          </cell>
          <cell r="AV295">
            <v>0</v>
          </cell>
          <cell r="AW295">
            <v>0</v>
          </cell>
          <cell r="AX295">
            <v>0</v>
          </cell>
          <cell r="AY295">
            <v>0</v>
          </cell>
          <cell r="BB295">
            <v>0</v>
          </cell>
          <cell r="BC295">
            <v>0</v>
          </cell>
          <cell r="BD295">
            <v>0</v>
          </cell>
          <cell r="BE295">
            <v>0</v>
          </cell>
          <cell r="BH295">
            <v>0</v>
          </cell>
          <cell r="BI295">
            <v>0</v>
          </cell>
          <cell r="BJ295">
            <v>0</v>
          </cell>
          <cell r="BK295">
            <v>0</v>
          </cell>
          <cell r="BN295">
            <v>0</v>
          </cell>
          <cell r="BO295">
            <v>0</v>
          </cell>
          <cell r="BP295">
            <v>0</v>
          </cell>
          <cell r="BQ295">
            <v>0</v>
          </cell>
          <cell r="BT295">
            <v>0</v>
          </cell>
          <cell r="BU295">
            <v>0</v>
          </cell>
          <cell r="BV295">
            <v>0</v>
          </cell>
          <cell r="BW295">
            <v>0</v>
          </cell>
          <cell r="BZ295">
            <v>119.82127882599582</v>
          </cell>
          <cell r="CA295">
            <v>114.67093441150047</v>
          </cell>
          <cell r="CB295">
            <v>99.486298292902077</v>
          </cell>
          <cell r="CC295">
            <v>442.52231206948193</v>
          </cell>
          <cell r="CF295">
            <v>252</v>
          </cell>
          <cell r="CG295">
            <v>321</v>
          </cell>
          <cell r="CH295">
            <v>203</v>
          </cell>
          <cell r="CI295">
            <v>776</v>
          </cell>
          <cell r="CL295">
            <v>84</v>
          </cell>
          <cell r="CM295">
            <v>112.23199999999997</v>
          </cell>
          <cell r="CN295">
            <v>23</v>
          </cell>
          <cell r="CO295">
            <v>219.23199999999997</v>
          </cell>
          <cell r="CR295">
            <v>325.49999999999989</v>
          </cell>
          <cell r="CS295">
            <v>267.89999999999998</v>
          </cell>
          <cell r="CT295">
            <v>460.9</v>
          </cell>
          <cell r="CU295">
            <v>1464.8999999999996</v>
          </cell>
          <cell r="CX295">
            <v>307.29999999999995</v>
          </cell>
          <cell r="CY295">
            <v>229.10000000000014</v>
          </cell>
          <cell r="CZ295">
            <v>259.56875000000014</v>
          </cell>
          <cell r="DA295">
            <v>1091.66875</v>
          </cell>
          <cell r="DD295">
            <v>173</v>
          </cell>
          <cell r="DE295">
            <v>151.10000000000002</v>
          </cell>
          <cell r="DF295">
            <v>198.59999999999991</v>
          </cell>
          <cell r="DG295">
            <v>678.9</v>
          </cell>
        </row>
        <row r="296">
          <cell r="AI296">
            <v>0</v>
          </cell>
          <cell r="AJ296">
            <v>0</v>
          </cell>
          <cell r="AK296">
            <v>0</v>
          </cell>
          <cell r="AL296">
            <v>0</v>
          </cell>
          <cell r="AP296">
            <v>0</v>
          </cell>
          <cell r="AQ296">
            <v>0</v>
          </cell>
          <cell r="AR296">
            <v>0</v>
          </cell>
          <cell r="AS296">
            <v>0</v>
          </cell>
          <cell r="AV296">
            <v>0</v>
          </cell>
          <cell r="AW296">
            <v>0</v>
          </cell>
          <cell r="AX296">
            <v>0</v>
          </cell>
          <cell r="AY296">
            <v>0</v>
          </cell>
          <cell r="BB296">
            <v>0</v>
          </cell>
          <cell r="BC296">
            <v>0</v>
          </cell>
          <cell r="BD296">
            <v>0</v>
          </cell>
          <cell r="BE296">
            <v>0</v>
          </cell>
          <cell r="BH296">
            <v>0</v>
          </cell>
          <cell r="BI296">
            <v>0</v>
          </cell>
          <cell r="BJ296">
            <v>0</v>
          </cell>
          <cell r="BK296">
            <v>0</v>
          </cell>
          <cell r="BN296">
            <v>0</v>
          </cell>
          <cell r="BO296">
            <v>0</v>
          </cell>
          <cell r="BP296">
            <v>0</v>
          </cell>
          <cell r="BQ296">
            <v>0</v>
          </cell>
          <cell r="BT296">
            <v>0</v>
          </cell>
          <cell r="BU296">
            <v>0</v>
          </cell>
          <cell r="BV296">
            <v>0</v>
          </cell>
          <cell r="BW296">
            <v>0</v>
          </cell>
          <cell r="BZ296">
            <v>100.52977250247281</v>
          </cell>
          <cell r="CA296">
            <v>155.62809099901091</v>
          </cell>
          <cell r="CB296">
            <v>170.30524233432246</v>
          </cell>
          <cell r="CC296">
            <v>508.38437190900106</v>
          </cell>
          <cell r="CF296">
            <v>623.78257621190096</v>
          </cell>
          <cell r="CG296">
            <v>623.78257621190096</v>
          </cell>
          <cell r="CH296">
            <v>623.78257621190096</v>
          </cell>
          <cell r="CI296">
            <v>2495.1303048476038</v>
          </cell>
          <cell r="CL296">
            <v>604.76007621190092</v>
          </cell>
          <cell r="CM296">
            <v>649.11882621190091</v>
          </cell>
          <cell r="CN296">
            <v>623.78257621190096</v>
          </cell>
          <cell r="CO296">
            <v>2273.6052286357026</v>
          </cell>
          <cell r="CR296">
            <v>141.48899999999998</v>
          </cell>
          <cell r="CS296">
            <v>200.39899999999997</v>
          </cell>
          <cell r="CT296">
            <v>291.64625000000001</v>
          </cell>
          <cell r="CU296">
            <v>729.17324999999994</v>
          </cell>
          <cell r="CX296">
            <v>109.89999999999998</v>
          </cell>
          <cell r="CY296">
            <v>81</v>
          </cell>
          <cell r="CZ296">
            <v>75.457999999999998</v>
          </cell>
          <cell r="DA296">
            <v>371.25799999999992</v>
          </cell>
          <cell r="DD296">
            <v>156.5</v>
          </cell>
          <cell r="DE296">
            <v>144.39999999999998</v>
          </cell>
          <cell r="DF296">
            <v>124.90000000000009</v>
          </cell>
          <cell r="DG296">
            <v>582.4000000000002</v>
          </cell>
        </row>
        <row r="297">
          <cell r="AI297">
            <v>0</v>
          </cell>
          <cell r="AJ297">
            <v>0</v>
          </cell>
          <cell r="AK297">
            <v>0</v>
          </cell>
          <cell r="AL297">
            <v>0</v>
          </cell>
          <cell r="AP297">
            <v>0</v>
          </cell>
          <cell r="AQ297">
            <v>0</v>
          </cell>
          <cell r="AR297">
            <v>0</v>
          </cell>
          <cell r="AS297">
            <v>0</v>
          </cell>
          <cell r="AV297">
            <v>0</v>
          </cell>
          <cell r="AW297">
            <v>0</v>
          </cell>
          <cell r="AX297">
            <v>0</v>
          </cell>
          <cell r="AY297">
            <v>0</v>
          </cell>
          <cell r="BB297">
            <v>0</v>
          </cell>
          <cell r="BC297">
            <v>0</v>
          </cell>
          <cell r="BD297">
            <v>0</v>
          </cell>
          <cell r="BE297">
            <v>0</v>
          </cell>
          <cell r="BH297">
            <v>0</v>
          </cell>
          <cell r="BI297">
            <v>0</v>
          </cell>
          <cell r="BJ297">
            <v>0</v>
          </cell>
          <cell r="BK297">
            <v>0</v>
          </cell>
          <cell r="BN297">
            <v>0</v>
          </cell>
          <cell r="BO297">
            <v>0</v>
          </cell>
          <cell r="BP297">
            <v>0</v>
          </cell>
          <cell r="BQ297">
            <v>0</v>
          </cell>
          <cell r="BT297">
            <v>0</v>
          </cell>
          <cell r="BU297">
            <v>0</v>
          </cell>
          <cell r="BV297">
            <v>0</v>
          </cell>
          <cell r="BW297">
            <v>0</v>
          </cell>
          <cell r="BZ297">
            <v>17.29530201342282</v>
          </cell>
          <cell r="CA297">
            <v>36.939597315436245</v>
          </cell>
          <cell r="CB297">
            <v>52.959731543624159</v>
          </cell>
          <cell r="CC297">
            <v>124.68456375838927</v>
          </cell>
          <cell r="CF297">
            <v>195</v>
          </cell>
          <cell r="CG297">
            <v>177</v>
          </cell>
          <cell r="CH297">
            <v>245</v>
          </cell>
          <cell r="CI297">
            <v>800</v>
          </cell>
          <cell r="CL297">
            <v>176</v>
          </cell>
          <cell r="CM297">
            <v>176</v>
          </cell>
          <cell r="CN297">
            <v>176</v>
          </cell>
          <cell r="CO297">
            <v>539.04026845637577</v>
          </cell>
          <cell r="CR297">
            <v>18.799999999999983</v>
          </cell>
          <cell r="CS297">
            <v>19.139093959731525</v>
          </cell>
          <cell r="CT297">
            <v>18.05872483221475</v>
          </cell>
          <cell r="CU297">
            <v>70.597818791946253</v>
          </cell>
          <cell r="CX297">
            <v>10.400000000000006</v>
          </cell>
          <cell r="CY297">
            <v>9.9000000000000057</v>
          </cell>
          <cell r="CZ297">
            <v>10.901011122345807</v>
          </cell>
          <cell r="DA297">
            <v>44.801011122345813</v>
          </cell>
          <cell r="DD297">
            <v>9.8000000000000114</v>
          </cell>
          <cell r="DE297">
            <v>14.5</v>
          </cell>
          <cell r="DF297">
            <v>16.699999999999989</v>
          </cell>
          <cell r="DG297">
            <v>53.299999999999983</v>
          </cell>
        </row>
        <row r="298">
          <cell r="AI298">
            <v>0</v>
          </cell>
          <cell r="AJ298">
            <v>0</v>
          </cell>
          <cell r="AK298">
            <v>0</v>
          </cell>
          <cell r="AL298">
            <v>0</v>
          </cell>
          <cell r="AP298">
            <v>0</v>
          </cell>
          <cell r="AQ298">
            <v>0</v>
          </cell>
          <cell r="AR298">
            <v>0</v>
          </cell>
          <cell r="AS298">
            <v>0</v>
          </cell>
          <cell r="AV298">
            <v>0</v>
          </cell>
          <cell r="AW298">
            <v>0</v>
          </cell>
          <cell r="AX298">
            <v>0</v>
          </cell>
          <cell r="AY298">
            <v>0</v>
          </cell>
          <cell r="BB298">
            <v>0</v>
          </cell>
          <cell r="BC298">
            <v>0</v>
          </cell>
          <cell r="BD298">
            <v>0</v>
          </cell>
          <cell r="BE298">
            <v>0</v>
          </cell>
          <cell r="BH298">
            <v>0</v>
          </cell>
          <cell r="BI298">
            <v>0</v>
          </cell>
          <cell r="BJ298">
            <v>0</v>
          </cell>
          <cell r="BK298">
            <v>0</v>
          </cell>
          <cell r="BN298">
            <v>0</v>
          </cell>
          <cell r="BO298">
            <v>0</v>
          </cell>
          <cell r="BP298">
            <v>0</v>
          </cell>
          <cell r="BQ298">
            <v>0</v>
          </cell>
          <cell r="BT298">
            <v>0</v>
          </cell>
          <cell r="BU298">
            <v>0</v>
          </cell>
          <cell r="BV298">
            <v>0</v>
          </cell>
          <cell r="BW298">
            <v>0</v>
          </cell>
          <cell r="BZ298">
            <v>0</v>
          </cell>
          <cell r="CA298">
            <v>0</v>
          </cell>
          <cell r="CB298">
            <v>0</v>
          </cell>
          <cell r="CC298">
            <v>0</v>
          </cell>
          <cell r="CF298">
            <v>42.24</v>
          </cell>
          <cell r="CG298">
            <v>49.28</v>
          </cell>
          <cell r="CH298">
            <v>49.28</v>
          </cell>
          <cell r="CI298">
            <v>183.92</v>
          </cell>
          <cell r="CL298">
            <v>44</v>
          </cell>
          <cell r="CM298">
            <v>44</v>
          </cell>
          <cell r="CN298">
            <v>44</v>
          </cell>
          <cell r="CO298">
            <v>169.27710843373495</v>
          </cell>
          <cell r="CR298">
            <v>41.9</v>
          </cell>
          <cell r="CS298">
            <v>44.199999999999996</v>
          </cell>
          <cell r="CT298">
            <v>43.489959839357432</v>
          </cell>
          <cell r="CU298">
            <v>189.58995983935742</v>
          </cell>
          <cell r="CX298">
            <v>84.1</v>
          </cell>
          <cell r="CY298">
            <v>71.2</v>
          </cell>
          <cell r="CZ298">
            <v>70.5</v>
          </cell>
          <cell r="DA298">
            <v>317.09999999999997</v>
          </cell>
          <cell r="DD298">
            <v>128.60000000000002</v>
          </cell>
          <cell r="DE298">
            <v>122.4</v>
          </cell>
          <cell r="DF298">
            <v>106.8</v>
          </cell>
          <cell r="DG298">
            <v>477.60000000000008</v>
          </cell>
        </row>
        <row r="299">
          <cell r="AI299">
            <v>-36</v>
          </cell>
          <cell r="AJ299">
            <v>-36</v>
          </cell>
          <cell r="AK299">
            <v>-36</v>
          </cell>
          <cell r="AL299">
            <v>-36</v>
          </cell>
          <cell r="AP299">
            <v>-36</v>
          </cell>
          <cell r="AQ299">
            <v>-36</v>
          </cell>
          <cell r="AR299">
            <v>-36</v>
          </cell>
          <cell r="AS299">
            <v>-144</v>
          </cell>
          <cell r="AV299">
            <v>-36</v>
          </cell>
          <cell r="AW299">
            <v>-36</v>
          </cell>
          <cell r="AX299">
            <v>-36</v>
          </cell>
          <cell r="AY299">
            <v>-144</v>
          </cell>
          <cell r="BB299">
            <v>-36</v>
          </cell>
          <cell r="BC299">
            <v>-36</v>
          </cell>
          <cell r="BD299">
            <v>-36</v>
          </cell>
          <cell r="BE299">
            <v>-144</v>
          </cell>
          <cell r="BH299">
            <v>-36</v>
          </cell>
          <cell r="BI299">
            <v>-36</v>
          </cell>
          <cell r="BJ299">
            <v>-36</v>
          </cell>
          <cell r="BK299">
            <v>-144</v>
          </cell>
          <cell r="BN299">
            <v>-39.789473684210535</v>
          </cell>
          <cell r="BO299">
            <v>-50.210526315789494</v>
          </cell>
          <cell r="BP299">
            <v>-46.421052631578959</v>
          </cell>
          <cell r="BQ299">
            <v>-172.42105263157899</v>
          </cell>
          <cell r="BT299">
            <v>-30.270270270270274</v>
          </cell>
          <cell r="BU299">
            <v>-32.86486486486487</v>
          </cell>
          <cell r="BV299">
            <v>-35.459459459459467</v>
          </cell>
          <cell r="BW299">
            <v>-130.59459459459461</v>
          </cell>
          <cell r="BZ299">
            <v>-30</v>
          </cell>
          <cell r="CA299">
            <v>-36</v>
          </cell>
          <cell r="CB299">
            <v>-36</v>
          </cell>
          <cell r="CC299">
            <v>-122</v>
          </cell>
          <cell r="CF299">
            <v>10.060130718954255</v>
          </cell>
          <cell r="CG299">
            <v>7.0692810457516373</v>
          </cell>
          <cell r="CH299">
            <v>6.9333333333333371</v>
          </cell>
          <cell r="CI299">
            <v>29.500653594771258</v>
          </cell>
          <cell r="CL299">
            <v>11.011764705882356</v>
          </cell>
          <cell r="CM299">
            <v>11.011764705882356</v>
          </cell>
          <cell r="CN299">
            <v>11.011764705882356</v>
          </cell>
          <cell r="CO299">
            <v>39.560784313725499</v>
          </cell>
          <cell r="CR299">
            <v>10.399999999999991</v>
          </cell>
          <cell r="CS299">
            <v>7.5558379084967271</v>
          </cell>
          <cell r="CT299">
            <v>10.060130718954248</v>
          </cell>
          <cell r="CU299">
            <v>32.115968627450968</v>
          </cell>
          <cell r="CX299">
            <v>10.700000000000003</v>
          </cell>
          <cell r="CY299">
            <v>7.3000000000000043</v>
          </cell>
          <cell r="CZ299">
            <v>7.2876480541455209</v>
          </cell>
          <cell r="DA299">
            <v>38.987648054145531</v>
          </cell>
          <cell r="DD299">
            <v>12.299999999999997</v>
          </cell>
          <cell r="DE299">
            <v>9.5999999999999943</v>
          </cell>
          <cell r="DF299">
            <v>-15.200000000000003</v>
          </cell>
          <cell r="DG299">
            <v>10.799999999999983</v>
          </cell>
        </row>
        <row r="300">
          <cell r="AI300">
            <v>-36</v>
          </cell>
          <cell r="AJ300">
            <v>-36</v>
          </cell>
          <cell r="AK300">
            <v>-36</v>
          </cell>
          <cell r="AL300">
            <v>-36</v>
          </cell>
          <cell r="AP300">
            <v>-36</v>
          </cell>
          <cell r="AQ300">
            <v>-36</v>
          </cell>
          <cell r="AR300">
            <v>-36</v>
          </cell>
          <cell r="AS300">
            <v>-144</v>
          </cell>
          <cell r="AV300">
            <v>-36</v>
          </cell>
          <cell r="AW300">
            <v>-36</v>
          </cell>
          <cell r="AX300">
            <v>-36</v>
          </cell>
          <cell r="AY300">
            <v>-144</v>
          </cell>
          <cell r="BB300">
            <v>-36</v>
          </cell>
          <cell r="BC300">
            <v>-36</v>
          </cell>
          <cell r="BD300">
            <v>-36</v>
          </cell>
          <cell r="BE300">
            <v>-144</v>
          </cell>
          <cell r="BH300">
            <v>-36</v>
          </cell>
          <cell r="BI300">
            <v>-36</v>
          </cell>
          <cell r="BJ300">
            <v>-36</v>
          </cell>
          <cell r="BK300">
            <v>-144</v>
          </cell>
          <cell r="BL300" t="str">
            <v xml:space="preserve"> </v>
          </cell>
          <cell r="BN300">
            <v>-39.789473684210535</v>
          </cell>
          <cell r="BO300">
            <v>-50.210526315789494</v>
          </cell>
          <cell r="BP300">
            <v>-46.421052631578959</v>
          </cell>
          <cell r="BQ300">
            <v>-172.42105263157899</v>
          </cell>
          <cell r="BT300">
            <v>-30.270270270270274</v>
          </cell>
          <cell r="BU300">
            <v>-32.86486486486487</v>
          </cell>
          <cell r="BV300">
            <v>-35.459459459459467</v>
          </cell>
          <cell r="BW300">
            <v>-130.59459459459461</v>
          </cell>
          <cell r="BX300" t="str">
            <v xml:space="preserve"> </v>
          </cell>
          <cell r="BZ300">
            <v>207.64635334189146</v>
          </cell>
          <cell r="CA300">
            <v>271.23862272594761</v>
          </cell>
          <cell r="CB300">
            <v>286.75127217084872</v>
          </cell>
          <cell r="CC300">
            <v>953.59124773687222</v>
          </cell>
          <cell r="CD300" t="str">
            <v xml:space="preserve"> </v>
          </cell>
          <cell r="CF300">
            <v>1123.0827069308552</v>
          </cell>
          <cell r="CG300">
            <v>1178.1318572576527</v>
          </cell>
          <cell r="CH300">
            <v>1127.9959095452343</v>
          </cell>
          <cell r="CI300">
            <v>4284.5509584423753</v>
          </cell>
          <cell r="CJ300" t="str">
            <v xml:space="preserve"> </v>
          </cell>
          <cell r="CL300">
            <v>919.77184091778327</v>
          </cell>
          <cell r="CM300">
            <v>992.36259091778322</v>
          </cell>
          <cell r="CN300">
            <v>877.7943409177833</v>
          </cell>
          <cell r="CO300">
            <v>3240.7153898395391</v>
          </cell>
          <cell r="CP300" t="str">
            <v xml:space="preserve"> </v>
          </cell>
          <cell r="CR300">
            <v>538.08899999999983</v>
          </cell>
          <cell r="CS300">
            <v>539.19393186822833</v>
          </cell>
          <cell r="CT300">
            <v>824.15506539052649</v>
          </cell>
          <cell r="CU300">
            <v>2486.3769972587543</v>
          </cell>
          <cell r="CX300">
            <v>522.4</v>
          </cell>
          <cell r="CY300">
            <v>398.50000000000011</v>
          </cell>
          <cell r="CZ300">
            <v>423.71540917649145</v>
          </cell>
          <cell r="DA300">
            <v>1863.8154091764914</v>
          </cell>
          <cell r="DD300">
            <v>480.20000000000005</v>
          </cell>
          <cell r="DE300">
            <v>442</v>
          </cell>
          <cell r="DF300">
            <v>431.8</v>
          </cell>
          <cell r="DG300">
            <v>1803.0000000000002</v>
          </cell>
        </row>
        <row r="301">
          <cell r="DG301">
            <v>0</v>
          </cell>
        </row>
        <row r="302">
          <cell r="AI302" t="str">
            <v xml:space="preserve"> </v>
          </cell>
          <cell r="BV302" t="str">
            <v xml:space="preserve"> </v>
          </cell>
          <cell r="BW302" t="str">
            <v xml:space="preserve"> </v>
          </cell>
        </row>
        <row r="303">
          <cell r="AI303">
            <v>87.618671303560447</v>
          </cell>
          <cell r="AJ303">
            <v>93.062157260602234</v>
          </cell>
          <cell r="AK303">
            <v>91.208801383093984</v>
          </cell>
          <cell r="AL303">
            <v>88.537934111642969</v>
          </cell>
          <cell r="AP303">
            <v>93.000034294669305</v>
          </cell>
          <cell r="AQ303">
            <v>91.125324512024804</v>
          </cell>
          <cell r="AR303">
            <v>88.537934111642969</v>
          </cell>
          <cell r="AS303">
            <v>360.3185692913944</v>
          </cell>
          <cell r="AV303">
            <v>88.368152108928825</v>
          </cell>
          <cell r="AW303">
            <v>88.15897264651494</v>
          </cell>
          <cell r="AX303">
            <v>85.638599437844661</v>
          </cell>
          <cell r="AY303">
            <v>328.69413601007494</v>
          </cell>
          <cell r="BB303">
            <v>77.610362383947319</v>
          </cell>
          <cell r="BC303">
            <v>74.591194968553495</v>
          </cell>
          <cell r="BD303">
            <v>64.20170709793355</v>
          </cell>
          <cell r="BE303">
            <v>277.67460317460331</v>
          </cell>
          <cell r="BH303">
            <v>85.513477088948804</v>
          </cell>
          <cell r="BI303">
            <v>71.305630428271954</v>
          </cell>
          <cell r="BJ303">
            <v>70.328840970350427</v>
          </cell>
          <cell r="BK303">
            <v>308.48787061994619</v>
          </cell>
          <cell r="BN303">
            <v>62.69212339023661</v>
          </cell>
          <cell r="BO303">
            <v>59.362159329140475</v>
          </cell>
          <cell r="BP303">
            <v>66.199685534591211</v>
          </cell>
          <cell r="BQ303">
            <v>237.80383348307879</v>
          </cell>
          <cell r="BT303">
            <v>51.50344414495359</v>
          </cell>
          <cell r="BU303">
            <v>59.184561245882016</v>
          </cell>
          <cell r="BV303">
            <v>49.06147050014976</v>
          </cell>
          <cell r="BW303">
            <v>204.94818808026361</v>
          </cell>
          <cell r="BZ303">
            <v>66.821278825995819</v>
          </cell>
          <cell r="CA303">
            <v>61.670934411500461</v>
          </cell>
          <cell r="CB303">
            <v>46.486298292902077</v>
          </cell>
          <cell r="CC303">
            <v>230.52231206948193</v>
          </cell>
          <cell r="CF303">
            <v>60.738544474393535</v>
          </cell>
          <cell r="CG303">
            <v>63.802111410601981</v>
          </cell>
          <cell r="CH303">
            <v>58.562967954477394</v>
          </cell>
          <cell r="CI303">
            <v>232.65348906858341</v>
          </cell>
          <cell r="CL303">
            <v>56.431790955375867</v>
          </cell>
          <cell r="CM303">
            <v>57.685278227014081</v>
          </cell>
          <cell r="CN303">
            <v>53.72342018568434</v>
          </cell>
          <cell r="CO303">
            <v>220.54272057502249</v>
          </cell>
          <cell r="CR303">
            <v>59.3</v>
          </cell>
          <cell r="CS303">
            <v>56.742587601078171</v>
          </cell>
          <cell r="CT303">
            <v>65.3116951182989</v>
          </cell>
          <cell r="CU303">
            <v>240.15428271937705</v>
          </cell>
          <cell r="CX303">
            <v>61.7</v>
          </cell>
          <cell r="CY303">
            <v>62.7</v>
          </cell>
          <cell r="CZ303">
            <v>66.136263378001615</v>
          </cell>
          <cell r="DA303">
            <v>252.8362633780016</v>
          </cell>
          <cell r="DD303">
            <v>53.9</v>
          </cell>
          <cell r="DE303">
            <v>56.2</v>
          </cell>
          <cell r="DF303">
            <v>57</v>
          </cell>
          <cell r="DG303">
            <v>222.3</v>
          </cell>
        </row>
        <row r="304">
          <cell r="AI304">
            <v>152.1247519028025</v>
          </cell>
          <cell r="AJ304">
            <v>155.47936462090343</v>
          </cell>
          <cell r="AK304">
            <v>158.04283381378173</v>
          </cell>
          <cell r="AL304">
            <v>160.60630300666006</v>
          </cell>
          <cell r="AP304">
            <v>145.22666716887568</v>
          </cell>
          <cell r="AQ304">
            <v>146.95018013030003</v>
          </cell>
          <cell r="AR304">
            <v>148.67369309172437</v>
          </cell>
          <cell r="AS304">
            <v>584.54658678430587</v>
          </cell>
          <cell r="AV304">
            <v>138.87091632021102</v>
          </cell>
          <cell r="AW304">
            <v>140.42172487609628</v>
          </cell>
          <cell r="AX304">
            <v>141.97253343198153</v>
          </cell>
          <cell r="AY304">
            <v>510.06868699228494</v>
          </cell>
          <cell r="BB304">
            <v>97.887636003956487</v>
          </cell>
          <cell r="BC304">
            <v>95.553709198813067</v>
          </cell>
          <cell r="BD304">
            <v>89.924826904055394</v>
          </cell>
          <cell r="BE304">
            <v>388.18694362017811</v>
          </cell>
          <cell r="BH304">
            <v>104.88941641938676</v>
          </cell>
          <cell r="BI304">
            <v>106.1250247279921</v>
          </cell>
          <cell r="BJ304">
            <v>116.21582591493572</v>
          </cell>
          <cell r="BK304">
            <v>428.5501483679526</v>
          </cell>
          <cell r="BN304">
            <v>75.509396636993088</v>
          </cell>
          <cell r="BO304">
            <v>86.01206726013848</v>
          </cell>
          <cell r="BP304">
            <v>95.89693372898121</v>
          </cell>
          <cell r="BQ304">
            <v>331.69218595450053</v>
          </cell>
          <cell r="BT304">
            <v>74.754302670623147</v>
          </cell>
          <cell r="BU304">
            <v>73.31275964391692</v>
          </cell>
          <cell r="BV304">
            <v>71.596636993076174</v>
          </cell>
          <cell r="BW304">
            <v>296.54599406528195</v>
          </cell>
          <cell r="BZ304">
            <v>78.529772502472809</v>
          </cell>
          <cell r="CA304">
            <v>79.628090999010894</v>
          </cell>
          <cell r="CB304">
            <v>82.305242334322458</v>
          </cell>
          <cell r="CC304">
            <v>316.38437190900106</v>
          </cell>
          <cell r="CF304">
            <v>82.442532146389723</v>
          </cell>
          <cell r="CG304">
            <v>77.568743818001991</v>
          </cell>
          <cell r="CH304">
            <v>75.509396636993088</v>
          </cell>
          <cell r="CI304">
            <v>319.06152324431264</v>
          </cell>
          <cell r="CL304">
            <v>102.69277942631059</v>
          </cell>
          <cell r="CM304">
            <v>105.73778165182989</v>
          </cell>
          <cell r="CN304">
            <v>101.93768545994067</v>
          </cell>
          <cell r="CO304">
            <v>401.5286817507419</v>
          </cell>
          <cell r="CR304">
            <v>69.400000000000006</v>
          </cell>
          <cell r="CS304">
            <v>72.283086053412475</v>
          </cell>
          <cell r="CT304">
            <v>80.056932888229483</v>
          </cell>
          <cell r="CU304">
            <v>287.94001894164199</v>
          </cell>
          <cell r="CX304">
            <v>69.099999999999994</v>
          </cell>
          <cell r="CY304">
            <v>71.900000000000006</v>
          </cell>
          <cell r="CZ304">
            <v>71.45187831758885</v>
          </cell>
          <cell r="DA304">
            <v>282.05187831758883</v>
          </cell>
          <cell r="DD304">
            <v>84.4</v>
          </cell>
          <cell r="DE304">
            <v>80.599999999999994</v>
          </cell>
          <cell r="DF304">
            <v>86.4</v>
          </cell>
          <cell r="DG304">
            <v>331.7</v>
          </cell>
        </row>
        <row r="305">
          <cell r="AI305">
            <v>17.932885906040266</v>
          </cell>
          <cell r="AJ305">
            <v>17.932885906040266</v>
          </cell>
          <cell r="AK305">
            <v>17.932885906040266</v>
          </cell>
          <cell r="AL305">
            <v>17.932885906040266</v>
          </cell>
          <cell r="AP305">
            <v>17.932885906040266</v>
          </cell>
          <cell r="AQ305">
            <v>17.932885906040266</v>
          </cell>
          <cell r="AR305">
            <v>17.932885906040266</v>
          </cell>
          <cell r="AS305">
            <v>71.731543624161063</v>
          </cell>
          <cell r="AV305">
            <v>17.932885906040266</v>
          </cell>
          <cell r="AW305">
            <v>17.932885906040266</v>
          </cell>
          <cell r="AX305">
            <v>17.932885906040266</v>
          </cell>
          <cell r="AY305">
            <v>71.731543624161063</v>
          </cell>
          <cell r="BB305">
            <v>19.919463087248321</v>
          </cell>
          <cell r="BC305">
            <v>21.04697986577181</v>
          </cell>
          <cell r="BD305">
            <v>19.543624161073822</v>
          </cell>
          <cell r="BE305">
            <v>78.442953020134212</v>
          </cell>
          <cell r="BH305">
            <v>17.395973154362419</v>
          </cell>
          <cell r="BI305">
            <v>18.308724832214768</v>
          </cell>
          <cell r="BJ305">
            <v>23.302013422818796</v>
          </cell>
          <cell r="BK305">
            <v>73.932885906040269</v>
          </cell>
          <cell r="BN305">
            <v>16.859060402684566</v>
          </cell>
          <cell r="BO305">
            <v>16.697986577181211</v>
          </cell>
          <cell r="BP305">
            <v>17.986577181208059</v>
          </cell>
          <cell r="BQ305">
            <v>66.362416107382558</v>
          </cell>
          <cell r="BT305">
            <v>13.261744966442954</v>
          </cell>
          <cell r="BU305">
            <v>15.946308724832216</v>
          </cell>
          <cell r="BV305">
            <v>20.563758389261746</v>
          </cell>
          <cell r="BW305">
            <v>64</v>
          </cell>
          <cell r="BZ305">
            <v>12.29530201342282</v>
          </cell>
          <cell r="CA305">
            <v>12.939597315436243</v>
          </cell>
          <cell r="CB305">
            <v>21.959731543624162</v>
          </cell>
          <cell r="CC305">
            <v>58.684563758389274</v>
          </cell>
          <cell r="CF305">
            <v>10.469798657718123</v>
          </cell>
          <cell r="CG305">
            <v>9.503355704697988</v>
          </cell>
          <cell r="CH305">
            <v>13.154362416107384</v>
          </cell>
          <cell r="CI305">
            <v>42.95302013422819</v>
          </cell>
          <cell r="CL305">
            <v>9.4496644295302019</v>
          </cell>
          <cell r="CM305">
            <v>9.4496644295302019</v>
          </cell>
          <cell r="CN305">
            <v>9.4496644295302019</v>
          </cell>
          <cell r="CO305">
            <v>35.865771812080538</v>
          </cell>
          <cell r="CR305">
            <v>12.8</v>
          </cell>
          <cell r="CS305">
            <v>13.030872483221476</v>
          </cell>
          <cell r="CT305">
            <v>12.295302013422818</v>
          </cell>
          <cell r="CU305">
            <v>49.226174496644298</v>
          </cell>
          <cell r="CX305">
            <v>11.2</v>
          </cell>
          <cell r="CY305">
            <v>12.3</v>
          </cell>
          <cell r="CZ305">
            <v>13.543680485338726</v>
          </cell>
          <cell r="DA305">
            <v>51.543680485338726</v>
          </cell>
          <cell r="DD305">
            <v>12.5</v>
          </cell>
          <cell r="DE305">
            <v>12.4</v>
          </cell>
          <cell r="DF305">
            <v>12.1</v>
          </cell>
          <cell r="DG305">
            <v>49.7</v>
          </cell>
        </row>
        <row r="306">
          <cell r="AI306">
            <v>0</v>
          </cell>
          <cell r="AJ306">
            <v>0</v>
          </cell>
          <cell r="AK306">
            <v>0</v>
          </cell>
          <cell r="AL306">
            <v>0</v>
          </cell>
          <cell r="AP306">
            <v>0</v>
          </cell>
          <cell r="AQ306">
            <v>0</v>
          </cell>
          <cell r="AR306">
            <v>0</v>
          </cell>
          <cell r="AS306">
            <v>0</v>
          </cell>
          <cell r="AV306">
            <v>0</v>
          </cell>
          <cell r="AW306">
            <v>0</v>
          </cell>
          <cell r="AX306">
            <v>0</v>
          </cell>
          <cell r="AY306">
            <v>0</v>
          </cell>
          <cell r="BB306">
            <v>0</v>
          </cell>
          <cell r="BC306">
            <v>0</v>
          </cell>
          <cell r="BD306">
            <v>0</v>
          </cell>
          <cell r="BE306">
            <v>0</v>
          </cell>
          <cell r="BH306">
            <v>0</v>
          </cell>
          <cell r="BI306">
            <v>0</v>
          </cell>
          <cell r="BJ306">
            <v>0</v>
          </cell>
          <cell r="BK306">
            <v>0</v>
          </cell>
          <cell r="BN306">
            <v>0</v>
          </cell>
          <cell r="BO306">
            <v>0</v>
          </cell>
          <cell r="BP306">
            <v>0</v>
          </cell>
          <cell r="BQ306">
            <v>0</v>
          </cell>
          <cell r="BT306">
            <v>0</v>
          </cell>
          <cell r="BU306">
            <v>0</v>
          </cell>
          <cell r="BV306">
            <v>0</v>
          </cell>
          <cell r="BW306">
            <v>0</v>
          </cell>
          <cell r="BZ306">
            <v>0</v>
          </cell>
          <cell r="CA306">
            <v>0</v>
          </cell>
          <cell r="CB306">
            <v>0</v>
          </cell>
          <cell r="CC306">
            <v>0</v>
          </cell>
          <cell r="CF306">
            <v>26.880000000000003</v>
          </cell>
          <cell r="CG306">
            <v>31.360000000000003</v>
          </cell>
          <cell r="CH306">
            <v>31.360000000000003</v>
          </cell>
          <cell r="CI306">
            <v>117.04</v>
          </cell>
          <cell r="CL306">
            <v>28.000000000000004</v>
          </cell>
          <cell r="CM306">
            <v>28.000000000000004</v>
          </cell>
          <cell r="CN306">
            <v>28.000000000000004</v>
          </cell>
          <cell r="CO306">
            <v>107.52000000000001</v>
          </cell>
          <cell r="CR306">
            <v>26.6</v>
          </cell>
          <cell r="CS306">
            <v>27.888000000000002</v>
          </cell>
          <cell r="CT306">
            <v>27.44</v>
          </cell>
          <cell r="CU306">
            <v>115.02800000000001</v>
          </cell>
          <cell r="CX306">
            <v>51.2</v>
          </cell>
          <cell r="CY306">
            <v>42.6</v>
          </cell>
          <cell r="CZ306">
            <v>42.181179775280896</v>
          </cell>
          <cell r="DA306">
            <v>185.1811797752809</v>
          </cell>
          <cell r="DD306">
            <v>72.5</v>
          </cell>
          <cell r="DE306">
            <v>61.4</v>
          </cell>
          <cell r="DF306">
            <v>72</v>
          </cell>
          <cell r="DG306">
            <v>258</v>
          </cell>
        </row>
        <row r="307">
          <cell r="AI307">
            <v>16</v>
          </cell>
          <cell r="AJ307">
            <v>16</v>
          </cell>
          <cell r="AK307">
            <v>16</v>
          </cell>
          <cell r="AL307">
            <v>16</v>
          </cell>
          <cell r="AP307">
            <v>16</v>
          </cell>
          <cell r="AQ307">
            <v>16</v>
          </cell>
          <cell r="AR307">
            <v>16</v>
          </cell>
          <cell r="AS307">
            <v>64</v>
          </cell>
          <cell r="AV307">
            <v>16</v>
          </cell>
          <cell r="AW307">
            <v>16</v>
          </cell>
          <cell r="AX307">
            <v>16</v>
          </cell>
          <cell r="AY307">
            <v>64</v>
          </cell>
          <cell r="BB307">
            <v>16</v>
          </cell>
          <cell r="BC307">
            <v>16</v>
          </cell>
          <cell r="BD307">
            <v>16</v>
          </cell>
          <cell r="BE307">
            <v>64</v>
          </cell>
          <cell r="BH307">
            <v>16</v>
          </cell>
          <cell r="BI307">
            <v>16</v>
          </cell>
          <cell r="BJ307">
            <v>16</v>
          </cell>
          <cell r="BK307">
            <v>64</v>
          </cell>
          <cell r="BN307">
            <v>16</v>
          </cell>
          <cell r="BO307">
            <v>16</v>
          </cell>
          <cell r="BP307">
            <v>16</v>
          </cell>
          <cell r="BQ307">
            <v>64</v>
          </cell>
          <cell r="BT307">
            <v>16</v>
          </cell>
          <cell r="BU307">
            <v>16</v>
          </cell>
          <cell r="BV307">
            <v>16</v>
          </cell>
          <cell r="BW307">
            <v>64</v>
          </cell>
          <cell r="BZ307">
            <v>16</v>
          </cell>
          <cell r="CA307">
            <v>16</v>
          </cell>
          <cell r="CB307">
            <v>16</v>
          </cell>
          <cell r="CC307">
            <v>64</v>
          </cell>
          <cell r="CF307">
            <v>16</v>
          </cell>
          <cell r="CG307">
            <v>16</v>
          </cell>
          <cell r="CH307">
            <v>16</v>
          </cell>
          <cell r="CI307">
            <v>64</v>
          </cell>
          <cell r="CL307">
            <v>16</v>
          </cell>
          <cell r="CM307">
            <v>16</v>
          </cell>
          <cell r="CN307">
            <v>16</v>
          </cell>
          <cell r="CO307">
            <v>64</v>
          </cell>
          <cell r="CR307">
            <v>16.2</v>
          </cell>
          <cell r="CS307">
            <v>16</v>
          </cell>
          <cell r="CT307">
            <v>16</v>
          </cell>
          <cell r="CU307">
            <v>70</v>
          </cell>
          <cell r="CX307">
            <v>37.299999999999997</v>
          </cell>
          <cell r="CY307">
            <v>25.6</v>
          </cell>
          <cell r="CZ307">
            <v>26</v>
          </cell>
          <cell r="DA307">
            <v>132.1</v>
          </cell>
          <cell r="DD307">
            <v>33.700000000000003</v>
          </cell>
          <cell r="DE307">
            <v>25.7</v>
          </cell>
          <cell r="DF307">
            <v>36.6</v>
          </cell>
          <cell r="DG307">
            <v>135.10000000000002</v>
          </cell>
        </row>
        <row r="308">
          <cell r="AI308">
            <v>273.6763091124032</v>
          </cell>
          <cell r="AJ308">
            <v>282.47440778754594</v>
          </cell>
          <cell r="AK308">
            <v>283.18452110291599</v>
          </cell>
          <cell r="AL308">
            <v>283.07712302434328</v>
          </cell>
          <cell r="AP308">
            <v>272.15958736958527</v>
          </cell>
          <cell r="AQ308">
            <v>272.00839054836507</v>
          </cell>
          <cell r="AR308">
            <v>271.14451310940763</v>
          </cell>
          <cell r="AS308">
            <v>1080.5966996998613</v>
          </cell>
          <cell r="AV308">
            <v>261.17195433518009</v>
          </cell>
          <cell r="AW308">
            <v>262.51358342865149</v>
          </cell>
          <cell r="AX308">
            <v>261.54401877586645</v>
          </cell>
          <cell r="AY308">
            <v>974.49436662652101</v>
          </cell>
          <cell r="BB308">
            <v>211.41746147515212</v>
          </cell>
          <cell r="BC308">
            <v>207.19188403313839</v>
          </cell>
          <cell r="BD308">
            <v>189.67015816306275</v>
          </cell>
          <cell r="BE308">
            <v>808.30449981491552</v>
          </cell>
          <cell r="BH308">
            <v>223.798866662698</v>
          </cell>
          <cell r="BI308">
            <v>211.73937998847882</v>
          </cell>
          <cell r="BJ308">
            <v>225.84668030810494</v>
          </cell>
          <cell r="BK308">
            <v>874.97090489393906</v>
          </cell>
          <cell r="BL308" t="str">
            <v xml:space="preserve"> </v>
          </cell>
          <cell r="BN308">
            <v>171.06058042991427</v>
          </cell>
          <cell r="BO308">
            <v>178.07221316646016</v>
          </cell>
          <cell r="BP308">
            <v>196.08319644478047</v>
          </cell>
          <cell r="BQ308">
            <v>699.85843554496182</v>
          </cell>
          <cell r="BT308">
            <v>155.51949178201968</v>
          </cell>
          <cell r="BU308">
            <v>164.44362961463116</v>
          </cell>
          <cell r="BV308">
            <v>157.22186588248769</v>
          </cell>
          <cell r="BW308">
            <v>629.49418214554555</v>
          </cell>
          <cell r="BX308" t="str">
            <v xml:space="preserve"> </v>
          </cell>
          <cell r="BZ308">
            <v>173.64635334189146</v>
          </cell>
          <cell r="CA308">
            <v>170.23862272594758</v>
          </cell>
          <cell r="CB308">
            <v>166.75127217084872</v>
          </cell>
          <cell r="CC308">
            <v>669.59124773687222</v>
          </cell>
          <cell r="CD308" t="str">
            <v xml:space="preserve"> </v>
          </cell>
          <cell r="CF308">
            <v>196.53087527850136</v>
          </cell>
          <cell r="CG308">
            <v>198.23421093330197</v>
          </cell>
          <cell r="CH308">
            <v>194.58672700757788</v>
          </cell>
          <cell r="CI308">
            <v>775.7080324471242</v>
          </cell>
          <cell r="CJ308" t="str">
            <v xml:space="preserve"> </v>
          </cell>
          <cell r="CL308">
            <v>212.57423481121666</v>
          </cell>
          <cell r="CM308">
            <v>216.87272430837416</v>
          </cell>
          <cell r="CN308">
            <v>209.11077007515522</v>
          </cell>
          <cell r="CO308">
            <v>829.45717413784496</v>
          </cell>
          <cell r="CP308" t="str">
            <v xml:space="preserve"> </v>
          </cell>
          <cell r="CR308">
            <v>184.29999999999998</v>
          </cell>
          <cell r="CS308">
            <v>185.94454613771214</v>
          </cell>
          <cell r="CT308">
            <v>201.10393001995121</v>
          </cell>
          <cell r="CU308">
            <v>762.3484761576633</v>
          </cell>
          <cell r="CV308" t="str">
            <v xml:space="preserve"> </v>
          </cell>
          <cell r="CX308">
            <v>230.5</v>
          </cell>
          <cell r="CY308">
            <v>215.10000000000002</v>
          </cell>
          <cell r="CZ308">
            <v>219.31300195621009</v>
          </cell>
          <cell r="DA308">
            <v>903.71300195621006</v>
          </cell>
          <cell r="DD308">
            <v>257</v>
          </cell>
          <cell r="DE308">
            <v>236.3</v>
          </cell>
          <cell r="DF308">
            <v>264.10000000000002</v>
          </cell>
          <cell r="DG308">
            <v>996.80000000000007</v>
          </cell>
        </row>
        <row r="311">
          <cell r="AI311">
            <v>0</v>
          </cell>
          <cell r="AJ311">
            <v>0</v>
          </cell>
          <cell r="AK311">
            <v>0</v>
          </cell>
          <cell r="AL311">
            <v>0</v>
          </cell>
          <cell r="AP311">
            <v>0</v>
          </cell>
          <cell r="AQ311">
            <v>0</v>
          </cell>
          <cell r="AR311">
            <v>0</v>
          </cell>
          <cell r="AS311">
            <v>0</v>
          </cell>
          <cell r="AV311">
            <v>0</v>
          </cell>
          <cell r="AW311">
            <v>0</v>
          </cell>
          <cell r="AX311">
            <v>0</v>
          </cell>
          <cell r="AY311">
            <v>0</v>
          </cell>
          <cell r="BB311">
            <v>0</v>
          </cell>
          <cell r="BC311">
            <v>0</v>
          </cell>
          <cell r="BD311">
            <v>0</v>
          </cell>
          <cell r="BE311">
            <v>0</v>
          </cell>
          <cell r="BH311">
            <v>0</v>
          </cell>
          <cell r="BI311">
            <v>0</v>
          </cell>
          <cell r="BJ311">
            <v>0</v>
          </cell>
          <cell r="BK311">
            <v>0</v>
          </cell>
          <cell r="BN311">
            <v>0</v>
          </cell>
          <cell r="BO311">
            <v>0</v>
          </cell>
          <cell r="BP311">
            <v>0</v>
          </cell>
          <cell r="BQ311">
            <v>0</v>
          </cell>
          <cell r="BT311">
            <v>0</v>
          </cell>
          <cell r="BU311">
            <v>0</v>
          </cell>
          <cell r="BV311">
            <v>0</v>
          </cell>
          <cell r="BW311">
            <v>0</v>
          </cell>
          <cell r="BZ311">
            <v>0</v>
          </cell>
          <cell r="CA311">
            <v>0</v>
          </cell>
          <cell r="CB311">
            <v>0</v>
          </cell>
          <cell r="CC311">
            <v>0</v>
          </cell>
          <cell r="CF311">
            <v>-19</v>
          </cell>
          <cell r="CG311">
            <v>-19</v>
          </cell>
          <cell r="CH311">
            <v>-19</v>
          </cell>
          <cell r="CI311">
            <v>-76</v>
          </cell>
          <cell r="CL311">
            <v>-19</v>
          </cell>
          <cell r="CM311">
            <v>-19</v>
          </cell>
          <cell r="CN311">
            <v>-19</v>
          </cell>
          <cell r="CO311">
            <v>-76</v>
          </cell>
          <cell r="CR311">
            <v>-19</v>
          </cell>
          <cell r="CS311">
            <v>-10</v>
          </cell>
          <cell r="CT311">
            <v>-19</v>
          </cell>
          <cell r="CU311">
            <v>-48</v>
          </cell>
          <cell r="CX311">
            <v>-3.8</v>
          </cell>
          <cell r="CY311">
            <v>-0.6</v>
          </cell>
          <cell r="DA311">
            <v>-12</v>
          </cell>
          <cell r="DD311">
            <v>7.1</v>
          </cell>
          <cell r="DE311">
            <v>8.1999999999999993</v>
          </cell>
          <cell r="DF311">
            <v>33.1</v>
          </cell>
          <cell r="DG311">
            <v>58.599999999999994</v>
          </cell>
        </row>
        <row r="312">
          <cell r="AI312">
            <v>0</v>
          </cell>
          <cell r="AJ312">
            <v>0</v>
          </cell>
          <cell r="AK312">
            <v>0</v>
          </cell>
          <cell r="AL312">
            <v>0</v>
          </cell>
          <cell r="AP312">
            <v>0</v>
          </cell>
          <cell r="AQ312">
            <v>0</v>
          </cell>
          <cell r="AR312">
            <v>0</v>
          </cell>
          <cell r="AS312">
            <v>0</v>
          </cell>
          <cell r="AV312">
            <v>0</v>
          </cell>
          <cell r="AW312">
            <v>0</v>
          </cell>
          <cell r="AX312">
            <v>0</v>
          </cell>
          <cell r="AY312">
            <v>0</v>
          </cell>
          <cell r="BB312">
            <v>0</v>
          </cell>
          <cell r="BC312">
            <v>0</v>
          </cell>
          <cell r="BD312">
            <v>0</v>
          </cell>
          <cell r="BE312">
            <v>0</v>
          </cell>
          <cell r="BH312">
            <v>0</v>
          </cell>
          <cell r="BI312">
            <v>0</v>
          </cell>
          <cell r="BJ312">
            <v>0</v>
          </cell>
          <cell r="BK312">
            <v>0</v>
          </cell>
          <cell r="BN312">
            <v>0</v>
          </cell>
          <cell r="BO312">
            <v>0</v>
          </cell>
          <cell r="BP312">
            <v>0</v>
          </cell>
          <cell r="BQ312">
            <v>0</v>
          </cell>
          <cell r="BT312">
            <v>0</v>
          </cell>
          <cell r="BU312">
            <v>0</v>
          </cell>
          <cell r="BV312">
            <v>0</v>
          </cell>
          <cell r="BW312">
            <v>0</v>
          </cell>
          <cell r="BZ312">
            <v>0</v>
          </cell>
          <cell r="CA312">
            <v>0</v>
          </cell>
          <cell r="CB312">
            <v>0</v>
          </cell>
          <cell r="CC312">
            <v>0</v>
          </cell>
          <cell r="CF312">
            <v>-16</v>
          </cell>
          <cell r="CG312">
            <v>-16</v>
          </cell>
          <cell r="CH312">
            <v>-16</v>
          </cell>
          <cell r="CI312">
            <v>-64</v>
          </cell>
          <cell r="CL312">
            <v>-16</v>
          </cell>
          <cell r="CM312">
            <v>-16</v>
          </cell>
          <cell r="CN312">
            <v>-16</v>
          </cell>
          <cell r="CO312">
            <v>-64</v>
          </cell>
          <cell r="CR312">
            <v>-16</v>
          </cell>
          <cell r="CS312">
            <v>-5</v>
          </cell>
          <cell r="CT312">
            <v>-16</v>
          </cell>
          <cell r="CU312">
            <v>-35.6</v>
          </cell>
          <cell r="CX312">
            <v>3.6</v>
          </cell>
          <cell r="CY312">
            <v>-6.6</v>
          </cell>
          <cell r="CZ312">
            <v>1.4</v>
          </cell>
          <cell r="DA312">
            <v>-1.9</v>
          </cell>
          <cell r="DD312">
            <v>-4.3</v>
          </cell>
          <cell r="DE312">
            <v>-2.6</v>
          </cell>
          <cell r="DF312">
            <v>9.3000000000000007</v>
          </cell>
          <cell r="DG312">
            <v>3.8000000000000007</v>
          </cell>
        </row>
        <row r="313">
          <cell r="AI313">
            <v>0</v>
          </cell>
          <cell r="AJ313">
            <v>0</v>
          </cell>
          <cell r="AK313">
            <v>0</v>
          </cell>
          <cell r="AL313">
            <v>0</v>
          </cell>
          <cell r="AP313">
            <v>0</v>
          </cell>
          <cell r="AQ313">
            <v>0</v>
          </cell>
          <cell r="AR313">
            <v>0</v>
          </cell>
          <cell r="AS313">
            <v>0</v>
          </cell>
          <cell r="AV313">
            <v>0</v>
          </cell>
          <cell r="AW313">
            <v>0</v>
          </cell>
          <cell r="AX313">
            <v>0</v>
          </cell>
          <cell r="AY313">
            <v>0</v>
          </cell>
          <cell r="BB313">
            <v>0</v>
          </cell>
          <cell r="BC313">
            <v>0</v>
          </cell>
          <cell r="BD313">
            <v>0</v>
          </cell>
          <cell r="BE313">
            <v>0</v>
          </cell>
          <cell r="BH313">
            <v>0</v>
          </cell>
          <cell r="BI313">
            <v>0</v>
          </cell>
          <cell r="BJ313">
            <v>0</v>
          </cell>
          <cell r="BK313">
            <v>0</v>
          </cell>
          <cell r="BN313">
            <v>0</v>
          </cell>
          <cell r="BO313">
            <v>0</v>
          </cell>
          <cell r="BP313">
            <v>0</v>
          </cell>
          <cell r="BQ313">
            <v>0</v>
          </cell>
          <cell r="BT313">
            <v>0</v>
          </cell>
          <cell r="BU313">
            <v>0</v>
          </cell>
          <cell r="BV313">
            <v>0</v>
          </cell>
          <cell r="BW313">
            <v>0</v>
          </cell>
          <cell r="BZ313">
            <v>0</v>
          </cell>
          <cell r="CA313">
            <v>0</v>
          </cell>
          <cell r="CB313">
            <v>0</v>
          </cell>
          <cell r="CC313">
            <v>0</v>
          </cell>
          <cell r="CF313">
            <v>-3</v>
          </cell>
          <cell r="CG313">
            <v>-3</v>
          </cell>
          <cell r="CH313">
            <v>-3</v>
          </cell>
          <cell r="CI313">
            <v>-12</v>
          </cell>
          <cell r="CL313">
            <v>-3</v>
          </cell>
          <cell r="CM313">
            <v>-3</v>
          </cell>
          <cell r="CN313">
            <v>-3</v>
          </cell>
          <cell r="CO313">
            <v>-12</v>
          </cell>
          <cell r="CR313">
            <v>-3</v>
          </cell>
          <cell r="CS313">
            <v>0</v>
          </cell>
          <cell r="CT313">
            <v>-3</v>
          </cell>
          <cell r="CU313">
            <v>-4</v>
          </cell>
          <cell r="CX313">
            <v>5</v>
          </cell>
          <cell r="CY313">
            <v>4.0999999999999996</v>
          </cell>
          <cell r="CZ313">
            <v>0</v>
          </cell>
          <cell r="DA313">
            <v>11</v>
          </cell>
          <cell r="DD313">
            <v>4.2</v>
          </cell>
          <cell r="DE313">
            <v>-0.5</v>
          </cell>
          <cell r="DF313">
            <v>-1.3</v>
          </cell>
          <cell r="DG313">
            <v>9.3000000000000007</v>
          </cell>
        </row>
        <row r="314">
          <cell r="AI314">
            <v>0</v>
          </cell>
          <cell r="AJ314">
            <v>0</v>
          </cell>
          <cell r="AK314">
            <v>0</v>
          </cell>
          <cell r="AL314">
            <v>0</v>
          </cell>
          <cell r="AP314">
            <v>0</v>
          </cell>
          <cell r="AQ314">
            <v>0</v>
          </cell>
          <cell r="AR314">
            <v>0</v>
          </cell>
          <cell r="AS314">
            <v>0</v>
          </cell>
          <cell r="AV314">
            <v>0</v>
          </cell>
          <cell r="AW314">
            <v>0</v>
          </cell>
          <cell r="AX314">
            <v>0</v>
          </cell>
          <cell r="AY314">
            <v>0</v>
          </cell>
          <cell r="BB314">
            <v>0</v>
          </cell>
          <cell r="BC314">
            <v>0</v>
          </cell>
          <cell r="BD314">
            <v>0</v>
          </cell>
          <cell r="BE314">
            <v>0</v>
          </cell>
          <cell r="BH314">
            <v>0</v>
          </cell>
          <cell r="BI314">
            <v>0</v>
          </cell>
          <cell r="BJ314">
            <v>0</v>
          </cell>
          <cell r="BK314">
            <v>0</v>
          </cell>
          <cell r="BN314">
            <v>0</v>
          </cell>
          <cell r="BO314">
            <v>0</v>
          </cell>
          <cell r="BP314">
            <v>0</v>
          </cell>
          <cell r="BQ314">
            <v>0</v>
          </cell>
          <cell r="BT314">
            <v>0</v>
          </cell>
          <cell r="BU314">
            <v>0</v>
          </cell>
          <cell r="BV314">
            <v>0</v>
          </cell>
          <cell r="BW314">
            <v>0</v>
          </cell>
          <cell r="BZ314">
            <v>0</v>
          </cell>
          <cell r="CA314">
            <v>0</v>
          </cell>
          <cell r="CB314">
            <v>0</v>
          </cell>
          <cell r="CC314">
            <v>0</v>
          </cell>
          <cell r="CF314">
            <v>5</v>
          </cell>
          <cell r="CG314">
            <v>5</v>
          </cell>
          <cell r="CH314">
            <v>5</v>
          </cell>
          <cell r="CI314">
            <v>20</v>
          </cell>
          <cell r="CL314">
            <v>5</v>
          </cell>
          <cell r="CM314">
            <v>5</v>
          </cell>
          <cell r="CN314">
            <v>5</v>
          </cell>
          <cell r="CO314">
            <v>20</v>
          </cell>
          <cell r="CR314">
            <v>4.8</v>
          </cell>
          <cell r="CS314">
            <v>9</v>
          </cell>
          <cell r="CT314">
            <v>5</v>
          </cell>
          <cell r="CU314">
            <v>23.8</v>
          </cell>
          <cell r="CX314">
            <v>40.299999999999997</v>
          </cell>
          <cell r="CY314">
            <v>2.2999999999999998</v>
          </cell>
          <cell r="CZ314">
            <v>-0.3</v>
          </cell>
          <cell r="DA314">
            <v>41.4</v>
          </cell>
          <cell r="DD314">
            <v>-8</v>
          </cell>
          <cell r="DE314">
            <v>-3.5</v>
          </cell>
          <cell r="DF314">
            <v>11.3</v>
          </cell>
          <cell r="DG314">
            <v>-0.5</v>
          </cell>
        </row>
        <row r="315">
          <cell r="AI315">
            <v>0</v>
          </cell>
          <cell r="AJ315">
            <v>0</v>
          </cell>
          <cell r="AK315">
            <v>0</v>
          </cell>
          <cell r="AL315">
            <v>0</v>
          </cell>
          <cell r="AP315">
            <v>0</v>
          </cell>
          <cell r="AQ315">
            <v>0</v>
          </cell>
          <cell r="AR315">
            <v>0</v>
          </cell>
          <cell r="AS315">
            <v>0</v>
          </cell>
          <cell r="AV315">
            <v>0</v>
          </cell>
          <cell r="AW315">
            <v>0</v>
          </cell>
          <cell r="AX315">
            <v>0</v>
          </cell>
          <cell r="AY315">
            <v>0</v>
          </cell>
          <cell r="BB315">
            <v>0</v>
          </cell>
          <cell r="BC315">
            <v>0</v>
          </cell>
          <cell r="BD315">
            <v>0</v>
          </cell>
          <cell r="BE315">
            <v>0</v>
          </cell>
          <cell r="BH315">
            <v>0</v>
          </cell>
          <cell r="BI315">
            <v>0</v>
          </cell>
          <cell r="BJ315">
            <v>0</v>
          </cell>
          <cell r="BK315">
            <v>0</v>
          </cell>
          <cell r="BN315">
            <v>0</v>
          </cell>
          <cell r="BO315">
            <v>0</v>
          </cell>
          <cell r="BP315">
            <v>0</v>
          </cell>
          <cell r="BQ315">
            <v>0</v>
          </cell>
          <cell r="BT315">
            <v>0</v>
          </cell>
          <cell r="BU315">
            <v>0</v>
          </cell>
          <cell r="BV315">
            <v>0</v>
          </cell>
          <cell r="BW315">
            <v>0</v>
          </cell>
          <cell r="BZ315">
            <v>0</v>
          </cell>
          <cell r="CA315">
            <v>0</v>
          </cell>
          <cell r="CB315">
            <v>0</v>
          </cell>
          <cell r="CC315">
            <v>0</v>
          </cell>
          <cell r="CF315">
            <v>10</v>
          </cell>
          <cell r="CG315">
            <v>10</v>
          </cell>
          <cell r="CH315">
            <v>10</v>
          </cell>
          <cell r="CI315">
            <v>40</v>
          </cell>
          <cell r="CL315">
            <v>10</v>
          </cell>
          <cell r="CM315">
            <v>10</v>
          </cell>
          <cell r="CN315">
            <v>10</v>
          </cell>
          <cell r="CO315">
            <v>40</v>
          </cell>
          <cell r="CR315">
            <v>-8.1</v>
          </cell>
          <cell r="CS315">
            <v>15</v>
          </cell>
          <cell r="CT315">
            <v>10</v>
          </cell>
          <cell r="CU315">
            <v>21.9</v>
          </cell>
          <cell r="CX315">
            <v>5.0999999999999996</v>
          </cell>
          <cell r="CY315">
            <v>17.3</v>
          </cell>
          <cell r="CZ315">
            <v>2.8</v>
          </cell>
          <cell r="DA315">
            <v>91.899999999999991</v>
          </cell>
          <cell r="DD315">
            <v>2.8</v>
          </cell>
          <cell r="DE315">
            <v>32.299999999999997</v>
          </cell>
          <cell r="DF315">
            <v>-17.7</v>
          </cell>
          <cell r="DG315">
            <v>13.499999999999996</v>
          </cell>
        </row>
        <row r="316">
          <cell r="AI316">
            <v>0</v>
          </cell>
          <cell r="AJ316">
            <v>0</v>
          </cell>
          <cell r="AK316">
            <v>0</v>
          </cell>
          <cell r="AL316">
            <v>0</v>
          </cell>
          <cell r="AP316">
            <v>0</v>
          </cell>
          <cell r="AQ316">
            <v>0</v>
          </cell>
          <cell r="AR316">
            <v>0</v>
          </cell>
          <cell r="AS316">
            <v>0</v>
          </cell>
          <cell r="AV316">
            <v>0</v>
          </cell>
          <cell r="AW316">
            <v>0</v>
          </cell>
          <cell r="AX316">
            <v>0</v>
          </cell>
          <cell r="AY316">
            <v>0</v>
          </cell>
          <cell r="BB316">
            <v>0</v>
          </cell>
          <cell r="BC316">
            <v>0</v>
          </cell>
          <cell r="BD316">
            <v>0</v>
          </cell>
          <cell r="BE316">
            <v>0</v>
          </cell>
          <cell r="BH316">
            <v>0</v>
          </cell>
          <cell r="BI316">
            <v>0</v>
          </cell>
          <cell r="BJ316">
            <v>0</v>
          </cell>
          <cell r="BK316">
            <v>0</v>
          </cell>
          <cell r="BN316">
            <v>0</v>
          </cell>
          <cell r="BO316">
            <v>0</v>
          </cell>
          <cell r="BP316">
            <v>0</v>
          </cell>
          <cell r="BQ316">
            <v>0</v>
          </cell>
          <cell r="BT316">
            <v>0</v>
          </cell>
          <cell r="BU316">
            <v>0</v>
          </cell>
          <cell r="BV316">
            <v>0</v>
          </cell>
          <cell r="BW316">
            <v>0</v>
          </cell>
          <cell r="BZ316">
            <v>0</v>
          </cell>
          <cell r="CA316">
            <v>0</v>
          </cell>
          <cell r="CB316">
            <v>0</v>
          </cell>
          <cell r="CC316">
            <v>0</v>
          </cell>
          <cell r="CF316">
            <v>0</v>
          </cell>
          <cell r="CG316">
            <v>0</v>
          </cell>
          <cell r="CH316">
            <v>0</v>
          </cell>
          <cell r="CI316">
            <v>0</v>
          </cell>
          <cell r="CL316">
            <v>0</v>
          </cell>
          <cell r="CM316">
            <v>0</v>
          </cell>
          <cell r="CN316">
            <v>0</v>
          </cell>
          <cell r="CO316">
            <v>0</v>
          </cell>
          <cell r="CR316">
            <v>0</v>
          </cell>
          <cell r="CS316">
            <v>0</v>
          </cell>
          <cell r="CT316">
            <v>0</v>
          </cell>
          <cell r="CU316">
            <v>0</v>
          </cell>
          <cell r="CX316">
            <v>0</v>
          </cell>
          <cell r="DA316">
            <v>0</v>
          </cell>
          <cell r="DD316">
            <v>-1.7</v>
          </cell>
          <cell r="DE316">
            <v>1.2</v>
          </cell>
          <cell r="DF316">
            <v>0</v>
          </cell>
          <cell r="DG316">
            <v>-2.2000000000000002</v>
          </cell>
        </row>
        <row r="317">
          <cell r="AI317">
            <v>0</v>
          </cell>
          <cell r="AJ317">
            <v>0</v>
          </cell>
          <cell r="AK317">
            <v>0</v>
          </cell>
          <cell r="AL317">
            <v>0</v>
          </cell>
          <cell r="AP317">
            <v>0</v>
          </cell>
          <cell r="AQ317">
            <v>0</v>
          </cell>
          <cell r="AR317">
            <v>0</v>
          </cell>
          <cell r="AS317">
            <v>0</v>
          </cell>
          <cell r="AV317">
            <v>0</v>
          </cell>
          <cell r="AW317">
            <v>0</v>
          </cell>
          <cell r="AX317">
            <v>0</v>
          </cell>
          <cell r="AY317">
            <v>0</v>
          </cell>
          <cell r="BB317">
            <v>0</v>
          </cell>
          <cell r="BC317">
            <v>0</v>
          </cell>
          <cell r="BD317">
            <v>0</v>
          </cell>
          <cell r="BE317">
            <v>0</v>
          </cell>
          <cell r="BH317">
            <v>0</v>
          </cell>
          <cell r="BI317">
            <v>0</v>
          </cell>
          <cell r="BJ317">
            <v>0</v>
          </cell>
          <cell r="BK317">
            <v>0</v>
          </cell>
          <cell r="BN317">
            <v>0</v>
          </cell>
          <cell r="BO317">
            <v>0</v>
          </cell>
          <cell r="BP317">
            <v>0</v>
          </cell>
          <cell r="BQ317">
            <v>0</v>
          </cell>
          <cell r="BT317">
            <v>0</v>
          </cell>
          <cell r="BU317">
            <v>0</v>
          </cell>
          <cell r="BV317">
            <v>0</v>
          </cell>
          <cell r="BW317">
            <v>0</v>
          </cell>
          <cell r="BX317" t="str">
            <v xml:space="preserve"> </v>
          </cell>
          <cell r="BZ317">
            <v>0</v>
          </cell>
          <cell r="CA317">
            <v>0</v>
          </cell>
          <cell r="CB317">
            <v>0</v>
          </cell>
          <cell r="CC317">
            <v>0</v>
          </cell>
          <cell r="CD317" t="str">
            <v xml:space="preserve"> </v>
          </cell>
          <cell r="CF317">
            <v>-23</v>
          </cell>
          <cell r="CG317">
            <v>-23</v>
          </cell>
          <cell r="CH317">
            <v>-23</v>
          </cell>
          <cell r="CI317">
            <v>-92</v>
          </cell>
          <cell r="CJ317" t="str">
            <v xml:space="preserve"> </v>
          </cell>
          <cell r="CL317">
            <v>-23</v>
          </cell>
          <cell r="CM317">
            <v>-23</v>
          </cell>
          <cell r="CN317">
            <v>-23</v>
          </cell>
          <cell r="CO317">
            <v>-92</v>
          </cell>
          <cell r="CP317" t="str">
            <v xml:space="preserve"> </v>
          </cell>
          <cell r="CR317">
            <v>-41.300000000000004</v>
          </cell>
          <cell r="CS317">
            <v>9</v>
          </cell>
          <cell r="CT317">
            <v>-23</v>
          </cell>
          <cell r="CU317">
            <v>-41.9</v>
          </cell>
          <cell r="CX317">
            <v>50.199999999999996</v>
          </cell>
          <cell r="CY317">
            <v>16.5</v>
          </cell>
          <cell r="CZ317">
            <v>3.8999999999999995</v>
          </cell>
          <cell r="DA317">
            <v>130.39999999999998</v>
          </cell>
          <cell r="DD317">
            <v>9.9999999999999867E-2</v>
          </cell>
          <cell r="DE317">
            <v>35.1</v>
          </cell>
          <cell r="DF317">
            <v>34.700000000000003</v>
          </cell>
          <cell r="DG317">
            <v>82.499999999999986</v>
          </cell>
        </row>
        <row r="318">
          <cell r="CD318" t="str">
            <v xml:space="preserve"> </v>
          </cell>
        </row>
        <row r="320">
          <cell r="AI320">
            <v>145.19999999999999</v>
          </cell>
          <cell r="AJ320">
            <v>145.19999999999999</v>
          </cell>
          <cell r="AK320">
            <v>145.19999999999999</v>
          </cell>
          <cell r="AL320">
            <v>153.29999999999998</v>
          </cell>
          <cell r="AP320">
            <v>137.1</v>
          </cell>
          <cell r="AQ320">
            <v>137.1</v>
          </cell>
          <cell r="AR320">
            <v>145.19999999999999</v>
          </cell>
          <cell r="AS320">
            <v>548.40000000000009</v>
          </cell>
          <cell r="AV320">
            <v>117.1</v>
          </cell>
          <cell r="AW320">
            <v>117.1</v>
          </cell>
          <cell r="AX320">
            <v>129</v>
          </cell>
          <cell r="AY320">
            <v>472.2</v>
          </cell>
          <cell r="BB320">
            <v>129</v>
          </cell>
          <cell r="BC320">
            <v>97</v>
          </cell>
          <cell r="BD320">
            <v>102</v>
          </cell>
          <cell r="BE320">
            <v>469</v>
          </cell>
          <cell r="BH320">
            <v>160</v>
          </cell>
          <cell r="BI320">
            <v>111</v>
          </cell>
          <cell r="BJ320">
            <v>139</v>
          </cell>
          <cell r="BK320">
            <v>577</v>
          </cell>
          <cell r="BN320">
            <v>143</v>
          </cell>
          <cell r="BO320">
            <v>130</v>
          </cell>
          <cell r="BP320">
            <v>143</v>
          </cell>
          <cell r="BQ320">
            <v>535</v>
          </cell>
          <cell r="BT320">
            <v>118</v>
          </cell>
          <cell r="BU320">
            <v>104</v>
          </cell>
          <cell r="BV320">
            <v>116</v>
          </cell>
          <cell r="BW320">
            <v>487</v>
          </cell>
          <cell r="BZ320">
            <v>128</v>
          </cell>
          <cell r="CA320">
            <v>128</v>
          </cell>
          <cell r="CB320">
            <v>128</v>
          </cell>
          <cell r="CC320">
            <v>512</v>
          </cell>
        </row>
        <row r="321">
          <cell r="AI321">
            <v>73.567240833333329</v>
          </cell>
          <cell r="AJ321">
            <v>146.05940833333341</v>
          </cell>
          <cell r="AK321">
            <v>123.13320833333334</v>
          </cell>
          <cell r="AL321">
            <v>84.537083333333385</v>
          </cell>
          <cell r="AP321">
            <v>131.05940833333338</v>
          </cell>
          <cell r="AQ321">
            <v>108.13320833333331</v>
          </cell>
          <cell r="AR321">
            <v>69.537083333333356</v>
          </cell>
          <cell r="AS321">
            <v>367.29694083333334</v>
          </cell>
          <cell r="AV321">
            <v>67.442583333333346</v>
          </cell>
          <cell r="AW321">
            <v>65.996083333333374</v>
          </cell>
          <cell r="AX321">
            <v>28.181333333333328</v>
          </cell>
          <cell r="AY321">
            <v>151.28333333333342</v>
          </cell>
          <cell r="BB321">
            <v>110</v>
          </cell>
          <cell r="BC321">
            <v>57</v>
          </cell>
          <cell r="BD321">
            <v>-68</v>
          </cell>
          <cell r="BE321">
            <v>66</v>
          </cell>
          <cell r="BH321">
            <v>134</v>
          </cell>
          <cell r="BI321">
            <v>55</v>
          </cell>
          <cell r="BJ321">
            <v>19</v>
          </cell>
          <cell r="BK321">
            <v>345</v>
          </cell>
          <cell r="BN321">
            <v>174</v>
          </cell>
          <cell r="BO321">
            <v>202</v>
          </cell>
          <cell r="BP321">
            <v>112</v>
          </cell>
          <cell r="BQ321">
            <v>568</v>
          </cell>
          <cell r="BT321">
            <v>53</v>
          </cell>
          <cell r="BU321">
            <v>87</v>
          </cell>
          <cell r="BV321">
            <v>42</v>
          </cell>
          <cell r="BW321">
            <v>208</v>
          </cell>
          <cell r="BZ321">
            <v>53</v>
          </cell>
          <cell r="CA321">
            <v>53</v>
          </cell>
          <cell r="CB321">
            <v>53</v>
          </cell>
          <cell r="CC321">
            <v>212</v>
          </cell>
          <cell r="CD321" t="str">
            <v xml:space="preserve"> </v>
          </cell>
          <cell r="CF321">
            <v>217</v>
          </cell>
          <cell r="CG321">
            <v>210.2</v>
          </cell>
          <cell r="CH321">
            <v>226</v>
          </cell>
          <cell r="CI321">
            <v>805.4</v>
          </cell>
          <cell r="CL321">
            <v>188</v>
          </cell>
          <cell r="CM321">
            <v>196</v>
          </cell>
          <cell r="CN321">
            <v>183</v>
          </cell>
          <cell r="CO321">
            <v>808</v>
          </cell>
          <cell r="CR321">
            <v>243</v>
          </cell>
          <cell r="CS321">
            <v>252.50875000000002</v>
          </cell>
          <cell r="CT321">
            <v>258</v>
          </cell>
          <cell r="CU321">
            <v>1036.4087500000001</v>
          </cell>
          <cell r="CX321">
            <v>241.79999999999995</v>
          </cell>
          <cell r="CY321">
            <v>165.80000000000015</v>
          </cell>
          <cell r="CZ321">
            <v>258</v>
          </cell>
          <cell r="DA321">
            <v>891.4</v>
          </cell>
          <cell r="DD321">
            <v>126.19999999999999</v>
          </cell>
          <cell r="DE321">
            <v>103.10000000000002</v>
          </cell>
          <cell r="DF321">
            <v>174.6999999999999</v>
          </cell>
          <cell r="DG321">
            <v>515.19999999999993</v>
          </cell>
        </row>
        <row r="322">
          <cell r="AI322">
            <v>214.92874999999998</v>
          </cell>
          <cell r="AJ322">
            <v>251.05374999999998</v>
          </cell>
          <cell r="AK322">
            <v>275.77875</v>
          </cell>
          <cell r="AL322">
            <v>300.50375000000003</v>
          </cell>
          <cell r="AP322">
            <v>133.85874999999999</v>
          </cell>
          <cell r="AQ322">
            <v>156.33124999999998</v>
          </cell>
          <cell r="AR322">
            <v>178.80374999999998</v>
          </cell>
          <cell r="AS322">
            <v>580.37999999999988</v>
          </cell>
          <cell r="AV322">
            <v>51.11</v>
          </cell>
          <cell r="AW322">
            <v>70.237499999999997</v>
          </cell>
          <cell r="AX322">
            <v>88.913749999999993</v>
          </cell>
          <cell r="AY322">
            <v>246.38124999999997</v>
          </cell>
          <cell r="BB322">
            <v>95</v>
          </cell>
          <cell r="BC322">
            <v>61</v>
          </cell>
          <cell r="BD322">
            <v>56</v>
          </cell>
          <cell r="BE322">
            <v>379</v>
          </cell>
          <cell r="BH322">
            <v>237</v>
          </cell>
          <cell r="BI322">
            <v>252</v>
          </cell>
          <cell r="BJ322">
            <v>263</v>
          </cell>
          <cell r="BK322">
            <v>938</v>
          </cell>
          <cell r="BN322">
            <v>32.5</v>
          </cell>
          <cell r="BO322">
            <v>105</v>
          </cell>
          <cell r="BP322">
            <v>130</v>
          </cell>
          <cell r="BQ322">
            <v>309.5</v>
          </cell>
          <cell r="BT322">
            <v>40</v>
          </cell>
          <cell r="BU322">
            <v>67</v>
          </cell>
          <cell r="BV322">
            <v>34</v>
          </cell>
          <cell r="BW322">
            <v>193</v>
          </cell>
          <cell r="BZ322">
            <v>22</v>
          </cell>
          <cell r="CA322">
            <v>76</v>
          </cell>
          <cell r="CB322">
            <v>88</v>
          </cell>
          <cell r="CC322">
            <v>192</v>
          </cell>
          <cell r="CF322">
            <v>35</v>
          </cell>
          <cell r="CG322">
            <v>79</v>
          </cell>
          <cell r="CH322">
            <v>31</v>
          </cell>
          <cell r="CI322">
            <v>307</v>
          </cell>
          <cell r="CL322">
            <v>305</v>
          </cell>
          <cell r="CM322">
            <v>364</v>
          </cell>
          <cell r="CN322">
            <v>304</v>
          </cell>
          <cell r="CO322">
            <v>1181</v>
          </cell>
          <cell r="CR322">
            <v>30.1</v>
          </cell>
          <cell r="CS322">
            <v>63.009999999999991</v>
          </cell>
          <cell r="CT322">
            <v>112.25725</v>
          </cell>
          <cell r="CU322">
            <v>210.56725</v>
          </cell>
          <cell r="CX322">
            <v>44.399999999999984</v>
          </cell>
          <cell r="CY322">
            <v>2.4999999999999947</v>
          </cell>
          <cell r="CZ322">
            <v>-21</v>
          </cell>
          <cell r="DA322">
            <v>60.899999999999977</v>
          </cell>
          <cell r="DD322">
            <v>67.8</v>
          </cell>
          <cell r="DE322">
            <v>61.199999999999982</v>
          </cell>
          <cell r="DF322">
            <v>47.800000000000082</v>
          </cell>
          <cell r="DG322">
            <v>254.50000000000023</v>
          </cell>
        </row>
        <row r="323">
          <cell r="AI323">
            <v>60</v>
          </cell>
          <cell r="AJ323">
            <v>55</v>
          </cell>
          <cell r="AK323">
            <v>55</v>
          </cell>
          <cell r="AL323">
            <v>55</v>
          </cell>
          <cell r="AP323">
            <v>55</v>
          </cell>
          <cell r="AQ323">
            <v>55</v>
          </cell>
          <cell r="AR323">
            <v>55</v>
          </cell>
          <cell r="AS323">
            <v>225</v>
          </cell>
          <cell r="AV323">
            <v>55</v>
          </cell>
          <cell r="AW323">
            <v>55</v>
          </cell>
          <cell r="AX323">
            <v>55</v>
          </cell>
          <cell r="AY323">
            <v>225</v>
          </cell>
          <cell r="BB323">
            <v>62</v>
          </cell>
          <cell r="BC323">
            <v>75</v>
          </cell>
          <cell r="BD323">
            <v>58</v>
          </cell>
          <cell r="BE323">
            <v>264</v>
          </cell>
          <cell r="BH323">
            <v>59</v>
          </cell>
          <cell r="BI323">
            <v>55</v>
          </cell>
          <cell r="BJ323">
            <v>78</v>
          </cell>
          <cell r="BK323">
            <v>239</v>
          </cell>
          <cell r="BN323">
            <v>45</v>
          </cell>
          <cell r="BO323">
            <v>56</v>
          </cell>
          <cell r="BP323">
            <v>43</v>
          </cell>
          <cell r="BQ323">
            <v>190</v>
          </cell>
          <cell r="BT323">
            <v>16</v>
          </cell>
          <cell r="BU323">
            <v>38</v>
          </cell>
          <cell r="BV323">
            <v>45</v>
          </cell>
          <cell r="BW323">
            <v>124</v>
          </cell>
          <cell r="BZ323">
            <v>5</v>
          </cell>
          <cell r="CA323">
            <v>24</v>
          </cell>
          <cell r="CB323">
            <v>31</v>
          </cell>
          <cell r="CC323">
            <v>66</v>
          </cell>
          <cell r="CF323">
            <v>2</v>
          </cell>
          <cell r="CG323">
            <v>2</v>
          </cell>
          <cell r="CH323">
            <v>22</v>
          </cell>
          <cell r="CI323">
            <v>33</v>
          </cell>
          <cell r="CL323">
            <v>-4</v>
          </cell>
          <cell r="CM323">
            <v>-3</v>
          </cell>
          <cell r="CN323">
            <v>7</v>
          </cell>
          <cell r="CO323">
            <v>4</v>
          </cell>
          <cell r="CR323">
            <v>2.9999999999999822</v>
          </cell>
          <cell r="CS323">
            <v>1.5</v>
          </cell>
          <cell r="CT323">
            <v>2</v>
          </cell>
          <cell r="CU323">
            <v>7.4999999999999822</v>
          </cell>
          <cell r="CX323">
            <v>4.2000000000000064</v>
          </cell>
          <cell r="CY323">
            <v>1.7000000000000046</v>
          </cell>
          <cell r="CZ323">
            <v>11.4</v>
          </cell>
          <cell r="DA323">
            <v>18.300000000000004</v>
          </cell>
          <cell r="DD323">
            <v>1.5000000000000115</v>
          </cell>
          <cell r="DE323">
            <v>1.5999999999999996</v>
          </cell>
          <cell r="DF323">
            <v>3.2999999999999892</v>
          </cell>
          <cell r="DG323">
            <v>12.899999999999984</v>
          </cell>
        </row>
        <row r="324">
          <cell r="CC324">
            <v>0</v>
          </cell>
          <cell r="CF324">
            <v>4</v>
          </cell>
          <cell r="CG324">
            <v>3</v>
          </cell>
          <cell r="CH324">
            <v>0</v>
          </cell>
          <cell r="CI324">
            <v>10</v>
          </cell>
          <cell r="CL324">
            <v>31</v>
          </cell>
          <cell r="CM324">
            <v>1</v>
          </cell>
          <cell r="CN324">
            <v>5</v>
          </cell>
          <cell r="CO324">
            <v>37</v>
          </cell>
          <cell r="CR324">
            <v>10</v>
          </cell>
          <cell r="CS324">
            <v>-4</v>
          </cell>
          <cell r="CT324">
            <v>-20</v>
          </cell>
          <cell r="CU324">
            <v>10.700000000000003</v>
          </cell>
          <cell r="CX324">
            <v>73.199999999999989</v>
          </cell>
          <cell r="CY324">
            <v>30.900000000000002</v>
          </cell>
          <cell r="CZ324">
            <v>26.1</v>
          </cell>
          <cell r="DA324">
            <v>171.39999999999998</v>
          </cell>
          <cell r="DD324">
            <v>48.100000000000023</v>
          </cell>
          <cell r="DE324">
            <v>57.500000000000007</v>
          </cell>
          <cell r="DF324">
            <v>46.099999999999994</v>
          </cell>
          <cell r="DG324">
            <v>219.10000000000005</v>
          </cell>
        </row>
        <row r="325">
          <cell r="AI325">
            <v>13</v>
          </cell>
          <cell r="AJ325">
            <v>13</v>
          </cell>
          <cell r="AK325">
            <v>13</v>
          </cell>
          <cell r="AL325">
            <v>13</v>
          </cell>
          <cell r="AP325">
            <v>13</v>
          </cell>
          <cell r="AQ325">
            <v>13</v>
          </cell>
          <cell r="AR325">
            <v>13</v>
          </cell>
          <cell r="AS325">
            <v>52</v>
          </cell>
          <cell r="AV325">
            <v>10</v>
          </cell>
          <cell r="AW325">
            <v>13</v>
          </cell>
          <cell r="AX325">
            <v>13</v>
          </cell>
          <cell r="AY325">
            <v>41</v>
          </cell>
        </row>
        <row r="326">
          <cell r="AI326">
            <v>-55</v>
          </cell>
          <cell r="AJ326">
            <v>-55</v>
          </cell>
          <cell r="AK326">
            <v>-55</v>
          </cell>
          <cell r="AL326">
            <v>-55</v>
          </cell>
          <cell r="AP326">
            <v>-55</v>
          </cell>
          <cell r="AQ326">
            <v>-55</v>
          </cell>
          <cell r="AR326">
            <v>-55</v>
          </cell>
          <cell r="AS326">
            <v>-220</v>
          </cell>
          <cell r="AV326">
            <v>-55</v>
          </cell>
          <cell r="AW326">
            <v>-55</v>
          </cell>
          <cell r="AX326">
            <v>-55</v>
          </cell>
          <cell r="AY326">
            <v>-220</v>
          </cell>
          <cell r="BB326">
            <v>-67</v>
          </cell>
          <cell r="BC326">
            <v>-61</v>
          </cell>
          <cell r="BD326">
            <v>-54</v>
          </cell>
          <cell r="BE326">
            <v>-246</v>
          </cell>
          <cell r="BH326">
            <v>-63</v>
          </cell>
          <cell r="BI326">
            <v>-76</v>
          </cell>
          <cell r="BJ326">
            <v>-105</v>
          </cell>
          <cell r="BK326">
            <v>-307</v>
          </cell>
          <cell r="BN326">
            <v>-74</v>
          </cell>
          <cell r="BO326">
            <v>-61</v>
          </cell>
          <cell r="BP326">
            <v>-72</v>
          </cell>
          <cell r="BQ326">
            <v>-269</v>
          </cell>
          <cell r="BT326">
            <v>-54</v>
          </cell>
          <cell r="BU326">
            <v>-58</v>
          </cell>
          <cell r="BV326">
            <v>-60</v>
          </cell>
          <cell r="BW326">
            <v>-221</v>
          </cell>
          <cell r="BZ326">
            <v>-46</v>
          </cell>
          <cell r="CA326">
            <v>-52</v>
          </cell>
          <cell r="CB326">
            <v>-52</v>
          </cell>
          <cell r="CC326">
            <v>-186</v>
          </cell>
          <cell r="CF326">
            <v>-33</v>
          </cell>
          <cell r="CG326">
            <v>-41</v>
          </cell>
          <cell r="CH326">
            <v>-66</v>
          </cell>
          <cell r="CI326">
            <v>-183</v>
          </cell>
          <cell r="CL326">
            <v>-66</v>
          </cell>
          <cell r="CM326">
            <v>-51</v>
          </cell>
          <cell r="CN326">
            <v>-52</v>
          </cell>
          <cell r="CO326">
            <v>-216</v>
          </cell>
          <cell r="CR326">
            <v>-26.5</v>
          </cell>
          <cell r="CS326">
            <v>-37.700000000000003</v>
          </cell>
          <cell r="CT326">
            <v>-36</v>
          </cell>
          <cell r="CU326">
            <v>-142.30000000000001</v>
          </cell>
          <cell r="CX326">
            <v>-21.499999999999993</v>
          </cell>
          <cell r="CY326">
            <v>-0.99999999999999645</v>
          </cell>
          <cell r="CZ326">
            <v>-61.6</v>
          </cell>
          <cell r="DA326">
            <v>-46.899999999999991</v>
          </cell>
          <cell r="DD326">
            <v>-18.600000000000005</v>
          </cell>
          <cell r="DE326">
            <v>16.199999999999992</v>
          </cell>
          <cell r="DF326">
            <v>-69.5</v>
          </cell>
          <cell r="DG326">
            <v>-110.80000000000003</v>
          </cell>
        </row>
        <row r="327">
          <cell r="DA327">
            <v>0</v>
          </cell>
          <cell r="DD327">
            <v>12.242358129279328</v>
          </cell>
          <cell r="DE327">
            <v>-2.886579864025407E-15</v>
          </cell>
          <cell r="DF327">
            <v>0</v>
          </cell>
          <cell r="DG327">
            <v>10.542358129279325</v>
          </cell>
        </row>
        <row r="328">
          <cell r="AI328">
            <v>451.69599083333333</v>
          </cell>
          <cell r="AJ328">
            <v>555.31315833333338</v>
          </cell>
          <cell r="AK328">
            <v>557.1119583333334</v>
          </cell>
          <cell r="AL328">
            <v>551.34083333333342</v>
          </cell>
          <cell r="AP328">
            <v>415.01815833333336</v>
          </cell>
          <cell r="AQ328">
            <v>414.56445833333328</v>
          </cell>
          <cell r="AR328">
            <v>406.54083333333335</v>
          </cell>
          <cell r="AS328">
            <v>1553.0769408333335</v>
          </cell>
          <cell r="AV328">
            <v>245.65258333333333</v>
          </cell>
          <cell r="AW328">
            <v>266.33358333333337</v>
          </cell>
          <cell r="AX328">
            <v>259.09508333333332</v>
          </cell>
          <cell r="AY328">
            <v>915.86458333333348</v>
          </cell>
          <cell r="BB328">
            <v>329</v>
          </cell>
          <cell r="BC328">
            <v>229</v>
          </cell>
          <cell r="BD328">
            <v>94</v>
          </cell>
          <cell r="BE328">
            <v>932</v>
          </cell>
          <cell r="BH328">
            <v>527</v>
          </cell>
          <cell r="BI328">
            <v>397</v>
          </cell>
          <cell r="BJ328">
            <v>394</v>
          </cell>
          <cell r="BK328">
            <v>1792</v>
          </cell>
          <cell r="BN328">
            <v>320.5</v>
          </cell>
          <cell r="BO328">
            <v>432</v>
          </cell>
          <cell r="BP328">
            <v>356</v>
          </cell>
          <cell r="BQ328">
            <v>1333.5</v>
          </cell>
          <cell r="BT328">
            <v>173</v>
          </cell>
          <cell r="BU328">
            <v>238</v>
          </cell>
          <cell r="BV328">
            <v>177</v>
          </cell>
          <cell r="BW328">
            <v>789</v>
          </cell>
          <cell r="BZ328">
            <v>162</v>
          </cell>
          <cell r="CA328">
            <v>229</v>
          </cell>
          <cell r="CB328">
            <v>248</v>
          </cell>
          <cell r="CC328">
            <v>796</v>
          </cell>
          <cell r="CD328" t="str">
            <v xml:space="preserve"> </v>
          </cell>
          <cell r="CF328">
            <v>225</v>
          </cell>
          <cell r="CG328">
            <v>253.2</v>
          </cell>
          <cell r="CH328">
            <v>213</v>
          </cell>
          <cell r="CI328">
            <v>972.40000000000009</v>
          </cell>
          <cell r="CL328">
            <v>454</v>
          </cell>
          <cell r="CM328">
            <v>507</v>
          </cell>
          <cell r="CN328">
            <v>447</v>
          </cell>
          <cell r="CO328">
            <v>1814</v>
          </cell>
          <cell r="CR328">
            <v>259.60000000000002</v>
          </cell>
          <cell r="CS328">
            <v>275.31875000000002</v>
          </cell>
          <cell r="CT328">
            <v>316.25725</v>
          </cell>
          <cell r="CU328">
            <v>1122.8760000000002</v>
          </cell>
          <cell r="CX328">
            <v>342.09999999999991</v>
          </cell>
          <cell r="CY328">
            <v>199.90000000000018</v>
          </cell>
          <cell r="CZ328">
            <v>212.9</v>
          </cell>
          <cell r="DA328">
            <v>1095.0999999999999</v>
          </cell>
          <cell r="DD328">
            <v>237.24235812927935</v>
          </cell>
          <cell r="DE328">
            <v>239.6</v>
          </cell>
          <cell r="DF328">
            <v>202.39999999999998</v>
          </cell>
          <cell r="DG328">
            <v>901.44235812927946</v>
          </cell>
        </row>
        <row r="332">
          <cell r="AI332">
            <v>73.397959999999998</v>
          </cell>
          <cell r="AJ332">
            <v>87.858279999999993</v>
          </cell>
          <cell r="AK332">
            <v>100.78843999999999</v>
          </cell>
          <cell r="AL332">
            <v>113.7186</v>
          </cell>
          <cell r="AP332">
            <v>48.277319999999996</v>
          </cell>
          <cell r="AQ332">
            <v>53.607479999999995</v>
          </cell>
          <cell r="AR332">
            <v>58.937639999999995</v>
          </cell>
          <cell r="AS332">
            <v>203.76959999999997</v>
          </cell>
          <cell r="AV332">
            <v>27.140999999999998</v>
          </cell>
          <cell r="AW332">
            <v>32.378999999999998</v>
          </cell>
          <cell r="AX332">
            <v>37.616999999999997</v>
          </cell>
          <cell r="AY332">
            <v>97.137</v>
          </cell>
        </row>
        <row r="333">
          <cell r="AI333">
            <v>87.854749999999981</v>
          </cell>
          <cell r="AJ333">
            <v>88.873499999999979</v>
          </cell>
          <cell r="AK333">
            <v>89.892249999999976</v>
          </cell>
          <cell r="AL333">
            <v>90.910999999999973</v>
          </cell>
          <cell r="AP333">
            <v>79.760999999999996</v>
          </cell>
          <cell r="AQ333">
            <v>81.79849999999999</v>
          </cell>
          <cell r="AR333">
            <v>83.835999999999984</v>
          </cell>
          <cell r="AS333">
            <v>323.11899999999997</v>
          </cell>
          <cell r="AV333">
            <v>70.648500000000013</v>
          </cell>
          <cell r="AW333">
            <v>71.66725000000001</v>
          </cell>
          <cell r="AX333">
            <v>72.686000000000007</v>
          </cell>
          <cell r="AY333">
            <v>215.00175000000004</v>
          </cell>
        </row>
        <row r="334">
          <cell r="AI334">
            <v>161.25270999999998</v>
          </cell>
          <cell r="AJ334">
            <v>176.73177999999996</v>
          </cell>
          <cell r="AK334">
            <v>190.68068999999997</v>
          </cell>
          <cell r="AL334">
            <v>204.62959999999998</v>
          </cell>
          <cell r="AP334">
            <v>128.03832</v>
          </cell>
          <cell r="AQ334">
            <v>135.40598</v>
          </cell>
          <cell r="AR334">
            <v>142.77363999999997</v>
          </cell>
          <cell r="AS334">
            <v>526.8886</v>
          </cell>
          <cell r="AV334">
            <v>97.789500000000004</v>
          </cell>
          <cell r="AW334">
            <v>104.04625000000001</v>
          </cell>
          <cell r="AX334">
            <v>110.303</v>
          </cell>
          <cell r="AY334">
            <v>312.13875000000002</v>
          </cell>
        </row>
        <row r="335">
          <cell r="AI335">
            <v>28.11095408333334</v>
          </cell>
          <cell r="AJ335">
            <v>47.321571083333353</v>
          </cell>
          <cell r="AK335">
            <v>41.640491083333337</v>
          </cell>
          <cell r="AL335">
            <v>32.629203583333343</v>
          </cell>
          <cell r="AP335">
            <v>45.922390083333347</v>
          </cell>
          <cell r="AQ335">
            <v>39.760361083333336</v>
          </cell>
          <cell r="AR335">
            <v>32.629203583333343</v>
          </cell>
          <cell r="AS335">
            <v>147.24735623333336</v>
          </cell>
          <cell r="AV335">
            <v>30.963623333333338</v>
          </cell>
          <cell r="AW335">
            <v>30.845023333333344</v>
          </cell>
          <cell r="AX335">
            <v>24.000448333333335</v>
          </cell>
          <cell r="AY335">
            <v>85.809095000000013</v>
          </cell>
        </row>
        <row r="336">
          <cell r="AI336">
            <v>-14.700000000000001</v>
          </cell>
          <cell r="AJ336">
            <v>-14.700000000000001</v>
          </cell>
          <cell r="AK336">
            <v>-14.700000000000001</v>
          </cell>
          <cell r="AL336">
            <v>-14.700000000000001</v>
          </cell>
          <cell r="AP336">
            <v>-14</v>
          </cell>
          <cell r="AQ336">
            <v>-14</v>
          </cell>
          <cell r="AR336">
            <v>-14</v>
          </cell>
          <cell r="AS336">
            <v>-56</v>
          </cell>
          <cell r="AV336">
            <v>-14.12565</v>
          </cell>
          <cell r="AW336">
            <v>-13.710900000000001</v>
          </cell>
          <cell r="AX336">
            <v>-14.355600000000001</v>
          </cell>
          <cell r="AY336">
            <v>-42.192150000000005</v>
          </cell>
        </row>
        <row r="337">
          <cell r="AI337">
            <v>174.66366408333334</v>
          </cell>
          <cell r="AJ337">
            <v>209.35335108333334</v>
          </cell>
          <cell r="AK337">
            <v>217.62118108333331</v>
          </cell>
          <cell r="AL337">
            <v>222.55880358333334</v>
          </cell>
          <cell r="AP337">
            <v>159.96071008333334</v>
          </cell>
          <cell r="AQ337">
            <v>161.16634108333335</v>
          </cell>
          <cell r="AR337">
            <v>161.40284358333332</v>
          </cell>
          <cell r="AS337">
            <v>618.13595623333345</v>
          </cell>
          <cell r="AV337">
            <v>114.62747333333334</v>
          </cell>
          <cell r="AW337">
            <v>121.18037333333335</v>
          </cell>
          <cell r="AX337">
            <v>119.94784833333334</v>
          </cell>
          <cell r="AY337">
            <v>355.755695</v>
          </cell>
        </row>
        <row r="338">
          <cell r="AI338">
            <v>30</v>
          </cell>
          <cell r="AJ338">
            <v>32</v>
          </cell>
          <cell r="AK338">
            <v>35</v>
          </cell>
          <cell r="AL338">
            <v>38</v>
          </cell>
          <cell r="AP338">
            <v>20</v>
          </cell>
          <cell r="AQ338">
            <v>22</v>
          </cell>
          <cell r="AR338">
            <v>25</v>
          </cell>
          <cell r="AS338">
            <v>84</v>
          </cell>
          <cell r="AV338">
            <v>10</v>
          </cell>
          <cell r="AW338">
            <v>15</v>
          </cell>
          <cell r="AX338">
            <v>20</v>
          </cell>
          <cell r="AY338">
            <v>45</v>
          </cell>
        </row>
        <row r="340">
          <cell r="AI340">
            <v>656.35965491666661</v>
          </cell>
          <cell r="AJ340">
            <v>796.66650941666671</v>
          </cell>
          <cell r="AK340">
            <v>809.73313941666675</v>
          </cell>
          <cell r="AL340">
            <v>811.89963691666674</v>
          </cell>
          <cell r="AP340">
            <v>594.97886841666673</v>
          </cell>
          <cell r="AQ340">
            <v>597.73079941666663</v>
          </cell>
          <cell r="AR340">
            <v>592.94367691666662</v>
          </cell>
          <cell r="AS340">
            <v>2255.2128970666672</v>
          </cell>
          <cell r="AV340">
            <v>370.28005666666667</v>
          </cell>
          <cell r="AW340">
            <v>402.51395666666673</v>
          </cell>
          <cell r="AX340">
            <v>399.04293166666668</v>
          </cell>
          <cell r="AY340">
            <v>1316.6202783333335</v>
          </cell>
        </row>
        <row r="342">
          <cell r="AI342">
            <v>-13.75</v>
          </cell>
          <cell r="AJ342">
            <v>-13.75</v>
          </cell>
          <cell r="AK342">
            <v>-13.75</v>
          </cell>
          <cell r="AL342">
            <v>-13.75</v>
          </cell>
          <cell r="AP342">
            <v>-13.75</v>
          </cell>
          <cell r="AQ342">
            <v>-13.75</v>
          </cell>
          <cell r="AR342">
            <v>-13.75</v>
          </cell>
          <cell r="AS342">
            <v>-55</v>
          </cell>
          <cell r="AV342">
            <v>-13.75</v>
          </cell>
          <cell r="AW342">
            <v>-13.75</v>
          </cell>
          <cell r="AX342">
            <v>-13.75</v>
          </cell>
          <cell r="AY342">
            <v>-55</v>
          </cell>
        </row>
        <row r="346">
          <cell r="CF346">
            <v>19</v>
          </cell>
          <cell r="CG346">
            <v>17</v>
          </cell>
          <cell r="CH346">
            <v>15</v>
          </cell>
          <cell r="CI346">
            <v>64</v>
          </cell>
          <cell r="CL346">
            <v>17</v>
          </cell>
          <cell r="CM346">
            <v>18</v>
          </cell>
          <cell r="CN346">
            <v>14</v>
          </cell>
          <cell r="CO346">
            <v>68</v>
          </cell>
          <cell r="CR346">
            <v>19.100000000000001</v>
          </cell>
          <cell r="CS346">
            <v>18.600000000000001</v>
          </cell>
          <cell r="CT346">
            <v>19</v>
          </cell>
          <cell r="CU346">
            <v>75</v>
          </cell>
          <cell r="CX346">
            <v>23.9</v>
          </cell>
          <cell r="CY346">
            <v>23.9</v>
          </cell>
          <cell r="CZ346">
            <v>22.6</v>
          </cell>
          <cell r="DA346">
            <v>97.799999999999983</v>
          </cell>
          <cell r="DD346">
            <v>39</v>
          </cell>
          <cell r="DE346">
            <v>31.8</v>
          </cell>
          <cell r="DF346">
            <v>37</v>
          </cell>
          <cell r="DG346">
            <v>151.5</v>
          </cell>
        </row>
        <row r="347">
          <cell r="AI347">
            <v>90</v>
          </cell>
          <cell r="AJ347">
            <v>90</v>
          </cell>
          <cell r="AK347">
            <v>90</v>
          </cell>
          <cell r="AL347">
            <v>90</v>
          </cell>
          <cell r="AP347">
            <v>90</v>
          </cell>
          <cell r="AQ347">
            <v>90</v>
          </cell>
          <cell r="AR347">
            <v>90</v>
          </cell>
          <cell r="AS347">
            <v>360</v>
          </cell>
          <cell r="AV347">
            <v>90</v>
          </cell>
          <cell r="AW347">
            <v>90</v>
          </cell>
          <cell r="AX347">
            <v>90</v>
          </cell>
          <cell r="AY347">
            <v>360</v>
          </cell>
          <cell r="BB347">
            <v>87</v>
          </cell>
          <cell r="BC347">
            <v>93</v>
          </cell>
          <cell r="BD347">
            <v>90</v>
          </cell>
          <cell r="BE347">
            <v>358</v>
          </cell>
          <cell r="BH347">
            <v>82</v>
          </cell>
          <cell r="BI347">
            <v>87</v>
          </cell>
          <cell r="BJ347">
            <v>96</v>
          </cell>
          <cell r="BK347">
            <v>356</v>
          </cell>
          <cell r="BN347">
            <v>67</v>
          </cell>
          <cell r="BO347">
            <v>62</v>
          </cell>
          <cell r="BP347">
            <v>71</v>
          </cell>
          <cell r="BQ347">
            <v>267</v>
          </cell>
          <cell r="BT347">
            <v>65</v>
          </cell>
          <cell r="BU347">
            <v>66</v>
          </cell>
          <cell r="BV347">
            <v>64</v>
          </cell>
          <cell r="BW347">
            <v>262</v>
          </cell>
          <cell r="BZ347">
            <v>85.25</v>
          </cell>
          <cell r="CA347">
            <v>85.25</v>
          </cell>
          <cell r="CB347">
            <v>85.25</v>
          </cell>
          <cell r="CC347">
            <v>341</v>
          </cell>
          <cell r="CF347">
            <v>64</v>
          </cell>
          <cell r="CG347">
            <v>66</v>
          </cell>
          <cell r="CH347">
            <v>63</v>
          </cell>
          <cell r="CI347">
            <v>245</v>
          </cell>
          <cell r="CL347">
            <v>59.5</v>
          </cell>
          <cell r="CM347">
            <v>67</v>
          </cell>
          <cell r="CN347">
            <v>66</v>
          </cell>
          <cell r="CO347">
            <v>250</v>
          </cell>
          <cell r="CR347">
            <v>49.5</v>
          </cell>
          <cell r="CS347">
            <v>51.1</v>
          </cell>
          <cell r="CT347">
            <v>87</v>
          </cell>
          <cell r="CU347">
            <v>237</v>
          </cell>
          <cell r="CX347">
            <v>46.2</v>
          </cell>
          <cell r="CY347">
            <v>46.2</v>
          </cell>
          <cell r="CZ347">
            <v>48.4</v>
          </cell>
          <cell r="DA347">
            <v>189.00000000000003</v>
          </cell>
          <cell r="DD347">
            <v>43.9</v>
          </cell>
          <cell r="DE347">
            <v>42.8</v>
          </cell>
          <cell r="DF347">
            <v>43.2</v>
          </cell>
          <cell r="DG347">
            <v>176.8</v>
          </cell>
        </row>
        <row r="348">
          <cell r="AI348">
            <v>2</v>
          </cell>
          <cell r="AJ348">
            <v>2</v>
          </cell>
          <cell r="AK348">
            <v>2</v>
          </cell>
          <cell r="AL348">
            <v>2</v>
          </cell>
          <cell r="AP348">
            <v>2</v>
          </cell>
          <cell r="AQ348">
            <v>2</v>
          </cell>
          <cell r="AR348">
            <v>2</v>
          </cell>
          <cell r="AS348">
            <v>8</v>
          </cell>
          <cell r="AV348">
            <v>2</v>
          </cell>
          <cell r="AW348">
            <v>2</v>
          </cell>
          <cell r="AX348">
            <v>2</v>
          </cell>
          <cell r="AY348">
            <v>8</v>
          </cell>
          <cell r="BB348">
            <v>6</v>
          </cell>
          <cell r="BC348">
            <v>6</v>
          </cell>
          <cell r="BD348">
            <v>3</v>
          </cell>
          <cell r="BE348">
            <v>19</v>
          </cell>
          <cell r="BH348">
            <v>5</v>
          </cell>
          <cell r="BI348">
            <v>4</v>
          </cell>
          <cell r="BJ348">
            <v>7</v>
          </cell>
          <cell r="BK348">
            <v>20</v>
          </cell>
          <cell r="BN348">
            <v>3</v>
          </cell>
          <cell r="BO348">
            <v>2</v>
          </cell>
          <cell r="BP348">
            <v>9</v>
          </cell>
          <cell r="BQ348">
            <v>16</v>
          </cell>
          <cell r="BT348">
            <v>1</v>
          </cell>
          <cell r="BU348">
            <v>3</v>
          </cell>
          <cell r="BW348">
            <v>5</v>
          </cell>
          <cell r="BZ348">
            <v>-21</v>
          </cell>
          <cell r="CA348">
            <v>-21</v>
          </cell>
          <cell r="CB348">
            <v>-21</v>
          </cell>
          <cell r="CC348">
            <v>-84</v>
          </cell>
        </row>
        <row r="349">
          <cell r="AI349">
            <v>88</v>
          </cell>
          <cell r="AJ349">
            <v>88</v>
          </cell>
          <cell r="AK349">
            <v>88</v>
          </cell>
          <cell r="AL349">
            <v>88</v>
          </cell>
          <cell r="AP349">
            <v>88</v>
          </cell>
          <cell r="AQ349">
            <v>88</v>
          </cell>
          <cell r="AR349">
            <v>88</v>
          </cell>
          <cell r="AS349">
            <v>352</v>
          </cell>
          <cell r="AV349">
            <v>88</v>
          </cell>
          <cell r="AW349">
            <v>88</v>
          </cell>
          <cell r="AX349">
            <v>88</v>
          </cell>
          <cell r="AY349">
            <v>352</v>
          </cell>
          <cell r="BB349">
            <v>81</v>
          </cell>
          <cell r="BC349">
            <v>87</v>
          </cell>
          <cell r="BD349">
            <v>87</v>
          </cell>
          <cell r="BE349">
            <v>339</v>
          </cell>
          <cell r="BH349">
            <v>77</v>
          </cell>
          <cell r="BI349">
            <v>83</v>
          </cell>
          <cell r="BJ349">
            <v>89</v>
          </cell>
          <cell r="BK349">
            <v>336</v>
          </cell>
          <cell r="BN349">
            <v>64</v>
          </cell>
          <cell r="BO349">
            <v>60</v>
          </cell>
          <cell r="BP349">
            <v>62</v>
          </cell>
          <cell r="BQ349">
            <v>251</v>
          </cell>
          <cell r="BT349">
            <v>64</v>
          </cell>
          <cell r="BU349">
            <v>63</v>
          </cell>
          <cell r="BW349">
            <v>257</v>
          </cell>
        </row>
        <row r="350">
          <cell r="AI350">
            <v>0</v>
          </cell>
          <cell r="AJ350">
            <v>0</v>
          </cell>
          <cell r="AK350">
            <v>0</v>
          </cell>
          <cell r="AL350">
            <v>0</v>
          </cell>
          <cell r="AP350">
            <v>0</v>
          </cell>
          <cell r="AQ350">
            <v>0</v>
          </cell>
          <cell r="AR350">
            <v>0</v>
          </cell>
          <cell r="AS350">
            <v>0</v>
          </cell>
          <cell r="AV350">
            <v>0</v>
          </cell>
          <cell r="AW350">
            <v>0</v>
          </cell>
          <cell r="AX350">
            <v>0</v>
          </cell>
          <cell r="AY350">
            <v>0</v>
          </cell>
          <cell r="BB350">
            <v>0</v>
          </cell>
          <cell r="BC350">
            <v>0</v>
          </cell>
          <cell r="BD350">
            <v>0</v>
          </cell>
          <cell r="BE350">
            <v>0</v>
          </cell>
          <cell r="BH350">
            <v>0</v>
          </cell>
          <cell r="BI350">
            <v>0</v>
          </cell>
          <cell r="BJ350">
            <v>0</v>
          </cell>
          <cell r="BK350">
            <v>0</v>
          </cell>
          <cell r="BN350">
            <v>0</v>
          </cell>
          <cell r="BO350">
            <v>0</v>
          </cell>
          <cell r="BP350">
            <v>0</v>
          </cell>
          <cell r="BQ350">
            <v>0</v>
          </cell>
          <cell r="BT350">
            <v>0</v>
          </cell>
          <cell r="BU350">
            <v>0</v>
          </cell>
          <cell r="BV350">
            <v>0</v>
          </cell>
          <cell r="BW350">
            <v>0</v>
          </cell>
          <cell r="BZ350">
            <v>0</v>
          </cell>
          <cell r="CA350">
            <v>0</v>
          </cell>
          <cell r="CB350">
            <v>0</v>
          </cell>
          <cell r="CC350">
            <v>0</v>
          </cell>
          <cell r="CF350">
            <v>0</v>
          </cell>
          <cell r="CG350">
            <v>0</v>
          </cell>
          <cell r="CH350">
            <v>0</v>
          </cell>
          <cell r="CI350">
            <v>0</v>
          </cell>
          <cell r="CL350">
            <v>0</v>
          </cell>
          <cell r="CM350">
            <v>0</v>
          </cell>
          <cell r="CN350">
            <v>0</v>
          </cell>
          <cell r="CO350">
            <v>0</v>
          </cell>
          <cell r="CR350">
            <v>0</v>
          </cell>
          <cell r="CS350">
            <v>0</v>
          </cell>
          <cell r="CT350">
            <v>36</v>
          </cell>
          <cell r="CU350">
            <v>36</v>
          </cell>
          <cell r="CX350">
            <v>0</v>
          </cell>
          <cell r="CY350">
            <v>0</v>
          </cell>
          <cell r="CZ350">
            <v>0</v>
          </cell>
          <cell r="DA350">
            <v>0</v>
          </cell>
          <cell r="DD350">
            <v>-1.5</v>
          </cell>
          <cell r="DE350">
            <v>0</v>
          </cell>
          <cell r="DF350">
            <v>0</v>
          </cell>
          <cell r="DG350">
            <v>-3.2</v>
          </cell>
        </row>
        <row r="351">
          <cell r="D351">
            <v>352</v>
          </cell>
          <cell r="E351">
            <v>352</v>
          </cell>
          <cell r="F351">
            <v>352</v>
          </cell>
          <cell r="G351">
            <v>352</v>
          </cell>
          <cell r="H351">
            <v>352</v>
          </cell>
          <cell r="J351">
            <v>339</v>
          </cell>
          <cell r="K351">
            <v>336</v>
          </cell>
          <cell r="L351">
            <v>251</v>
          </cell>
          <cell r="M351">
            <v>257</v>
          </cell>
          <cell r="N351">
            <v>257</v>
          </cell>
          <cell r="P351">
            <v>252</v>
          </cell>
          <cell r="Q351">
            <v>251</v>
          </cell>
          <cell r="R351">
            <v>313</v>
          </cell>
          <cell r="S351">
            <v>286.8</v>
          </cell>
          <cell r="T351">
            <v>325.10000000000002</v>
          </cell>
          <cell r="U351">
            <v>390.29999999999995</v>
          </cell>
          <cell r="V351">
            <v>423</v>
          </cell>
          <cell r="W351">
            <v>550.20000000000005</v>
          </cell>
          <cell r="X351">
            <v>453.8</v>
          </cell>
          <cell r="Y351">
            <v>381.4</v>
          </cell>
          <cell r="Z351">
            <v>301.03399999999999</v>
          </cell>
          <cell r="AA351">
            <v>201</v>
          </cell>
          <cell r="AB351">
            <v>164</v>
          </cell>
          <cell r="AC351">
            <v>137</v>
          </cell>
          <cell r="AD351">
            <v>131</v>
          </cell>
          <cell r="AE351">
            <v>137</v>
          </cell>
          <cell r="AF351">
            <v>132</v>
          </cell>
          <cell r="AG351">
            <v>129</v>
          </cell>
          <cell r="AI351">
            <v>88</v>
          </cell>
          <cell r="AJ351">
            <v>88</v>
          </cell>
          <cell r="AK351">
            <v>88</v>
          </cell>
          <cell r="AL351">
            <v>88</v>
          </cell>
          <cell r="AM351">
            <v>352</v>
          </cell>
          <cell r="AO351">
            <v>88</v>
          </cell>
          <cell r="AP351">
            <v>88</v>
          </cell>
          <cell r="AQ351">
            <v>88</v>
          </cell>
          <cell r="AR351">
            <v>88</v>
          </cell>
          <cell r="AS351">
            <v>352</v>
          </cell>
          <cell r="AU351">
            <v>88</v>
          </cell>
          <cell r="AV351">
            <v>88</v>
          </cell>
          <cell r="AW351">
            <v>88</v>
          </cell>
          <cell r="AX351">
            <v>88</v>
          </cell>
          <cell r="AY351">
            <v>352</v>
          </cell>
          <cell r="BA351">
            <v>84</v>
          </cell>
          <cell r="BB351">
            <v>81</v>
          </cell>
          <cell r="BC351">
            <v>87</v>
          </cell>
          <cell r="BD351">
            <v>87</v>
          </cell>
          <cell r="BE351">
            <v>339</v>
          </cell>
          <cell r="BG351">
            <v>87</v>
          </cell>
          <cell r="BH351">
            <v>77</v>
          </cell>
          <cell r="BI351">
            <v>83</v>
          </cell>
          <cell r="BJ351">
            <v>89</v>
          </cell>
          <cell r="BK351">
            <v>336</v>
          </cell>
          <cell r="BM351">
            <v>65</v>
          </cell>
          <cell r="BN351">
            <v>64</v>
          </cell>
          <cell r="BO351">
            <v>60</v>
          </cell>
          <cell r="BP351">
            <v>62</v>
          </cell>
          <cell r="BQ351">
            <v>251</v>
          </cell>
          <cell r="BS351">
            <v>66</v>
          </cell>
          <cell r="BT351">
            <v>64</v>
          </cell>
          <cell r="BU351">
            <v>63</v>
          </cell>
          <cell r="BV351">
            <v>64</v>
          </cell>
          <cell r="BW351">
            <v>257</v>
          </cell>
          <cell r="BY351">
            <v>64.25</v>
          </cell>
          <cell r="BZ351">
            <v>64.25</v>
          </cell>
          <cell r="CA351">
            <v>64.25</v>
          </cell>
          <cell r="CB351">
            <v>64.25</v>
          </cell>
          <cell r="CC351">
            <v>257</v>
          </cell>
          <cell r="CE351">
            <v>65</v>
          </cell>
          <cell r="CF351">
            <v>83</v>
          </cell>
          <cell r="CG351">
            <v>83</v>
          </cell>
          <cell r="CH351">
            <v>78</v>
          </cell>
          <cell r="CI351">
            <v>309</v>
          </cell>
          <cell r="CK351">
            <v>76.5</v>
          </cell>
          <cell r="CL351">
            <v>76.5</v>
          </cell>
          <cell r="CM351">
            <v>85</v>
          </cell>
          <cell r="CN351">
            <v>80</v>
          </cell>
          <cell r="CO351">
            <v>318</v>
          </cell>
          <cell r="CQ351">
            <v>67.7</v>
          </cell>
          <cell r="CR351">
            <v>68.599999999999994</v>
          </cell>
          <cell r="CS351">
            <v>69.7</v>
          </cell>
          <cell r="CT351">
            <v>142</v>
          </cell>
          <cell r="CU351">
            <v>348</v>
          </cell>
          <cell r="CW351">
            <v>75.599999999999994</v>
          </cell>
          <cell r="CX351">
            <v>70.099999999999994</v>
          </cell>
          <cell r="CY351">
            <v>70.099999999999994</v>
          </cell>
          <cell r="CZ351">
            <v>71</v>
          </cell>
          <cell r="DA351">
            <v>286.79999999999995</v>
          </cell>
          <cell r="DC351">
            <v>88.899999999999991</v>
          </cell>
          <cell r="DD351">
            <v>81.400000000000006</v>
          </cell>
          <cell r="DE351">
            <v>74.599999999999994</v>
          </cell>
          <cell r="DF351">
            <v>80.2</v>
          </cell>
          <cell r="DG351">
            <v>325.10000000000002</v>
          </cell>
          <cell r="DI351">
            <v>103.3</v>
          </cell>
          <cell r="DJ351">
            <v>98.9</v>
          </cell>
          <cell r="DK351">
            <v>95.199999999999989</v>
          </cell>
          <cell r="DL351">
            <v>92.9</v>
          </cell>
          <cell r="DM351">
            <v>390.29999999999995</v>
          </cell>
          <cell r="DO351">
            <v>110.07</v>
          </cell>
          <cell r="DP351">
            <v>101.8</v>
          </cell>
          <cell r="DQ351">
            <v>105</v>
          </cell>
          <cell r="DR351">
            <v>106.1</v>
          </cell>
          <cell r="DS351">
            <v>422.99999999999994</v>
          </cell>
          <cell r="DU351">
            <v>143.20000000000002</v>
          </cell>
          <cell r="DV351">
            <v>152.1</v>
          </cell>
          <cell r="DW351">
            <v>143.1</v>
          </cell>
          <cell r="DX351">
            <v>106.39999999999999</v>
          </cell>
          <cell r="DY351">
            <v>545.80000000000007</v>
          </cell>
          <cell r="EA351">
            <v>106.4</v>
          </cell>
          <cell r="EB351">
            <v>104.1</v>
          </cell>
          <cell r="EC351">
            <v>117.5</v>
          </cell>
          <cell r="ED351">
            <v>125.8</v>
          </cell>
          <cell r="EE351">
            <v>453.8</v>
          </cell>
        </row>
        <row r="354">
          <cell r="AI354">
            <v>20.8765</v>
          </cell>
          <cell r="AJ354">
            <v>20.8765</v>
          </cell>
          <cell r="AK354">
            <v>20.8765</v>
          </cell>
          <cell r="AL354">
            <v>20.8765</v>
          </cell>
          <cell r="AP354">
            <v>20.8765</v>
          </cell>
          <cell r="AQ354">
            <v>20.8765</v>
          </cell>
          <cell r="AR354">
            <v>20.8765</v>
          </cell>
          <cell r="AS354">
            <v>83.506</v>
          </cell>
          <cell r="AV354">
            <v>21.2515</v>
          </cell>
          <cell r="AW354">
            <v>21.064</v>
          </cell>
          <cell r="AX354">
            <v>20.8765</v>
          </cell>
          <cell r="AY354">
            <v>63.192</v>
          </cell>
        </row>
        <row r="355">
          <cell r="AI355">
            <v>78.468749999999986</v>
          </cell>
          <cell r="AJ355">
            <v>71.468749999999986</v>
          </cell>
          <cell r="AK355">
            <v>63.593749999999986</v>
          </cell>
          <cell r="AL355">
            <v>55.718749999999986</v>
          </cell>
          <cell r="AP355">
            <v>91.593749999999986</v>
          </cell>
          <cell r="AQ355">
            <v>87.656249999999986</v>
          </cell>
          <cell r="AR355">
            <v>83.718749999999986</v>
          </cell>
          <cell r="AS355">
            <v>358.06249999999994</v>
          </cell>
          <cell r="AV355">
            <v>99.206249999999997</v>
          </cell>
          <cell r="AW355">
            <v>98.681249999999991</v>
          </cell>
          <cell r="AX355">
            <v>98.156249999999986</v>
          </cell>
          <cell r="AY355">
            <v>296.04374999999999</v>
          </cell>
        </row>
        <row r="356">
          <cell r="AI356">
            <v>187.34524999999996</v>
          </cell>
          <cell r="AJ356">
            <v>180.34524999999996</v>
          </cell>
          <cell r="AK356">
            <v>172.47024999999996</v>
          </cell>
          <cell r="AL356">
            <v>164.59524999999996</v>
          </cell>
          <cell r="AP356">
            <v>200.47024999999996</v>
          </cell>
          <cell r="AQ356">
            <v>196.53274999999996</v>
          </cell>
          <cell r="AR356">
            <v>192.59524999999996</v>
          </cell>
          <cell r="AS356">
            <v>793.56849999999986</v>
          </cell>
          <cell r="AV356">
            <v>208.45774999999998</v>
          </cell>
          <cell r="AW356">
            <v>207.74525</v>
          </cell>
          <cell r="AX356">
            <v>207.03274999999996</v>
          </cell>
          <cell r="AY356">
            <v>711.23574999999994</v>
          </cell>
        </row>
        <row r="358">
          <cell r="AI358">
            <v>455.26440491666665</v>
          </cell>
          <cell r="AJ358">
            <v>602.57125941666675</v>
          </cell>
          <cell r="AK358">
            <v>623.51288941666678</v>
          </cell>
          <cell r="AL358">
            <v>633.55438691666677</v>
          </cell>
          <cell r="AP358">
            <v>380.75861841666676</v>
          </cell>
          <cell r="AQ358">
            <v>387.44804941666666</v>
          </cell>
          <cell r="AR358">
            <v>386.59842691666665</v>
          </cell>
          <cell r="AS358">
            <v>1406.6443970666669</v>
          </cell>
          <cell r="AV358">
            <v>148.07230666666669</v>
          </cell>
          <cell r="AW358">
            <v>181.01870666666673</v>
          </cell>
          <cell r="AX358">
            <v>178.26018166666671</v>
          </cell>
          <cell r="AY358">
            <v>550.38452833333349</v>
          </cell>
          <cell r="BB358">
            <v>248</v>
          </cell>
          <cell r="BC358">
            <v>142</v>
          </cell>
          <cell r="BD358">
            <v>7</v>
          </cell>
          <cell r="BE358">
            <v>593</v>
          </cell>
          <cell r="BH358">
            <v>450</v>
          </cell>
          <cell r="BI358">
            <v>314</v>
          </cell>
          <cell r="BJ358">
            <v>305</v>
          </cell>
          <cell r="BK358">
            <v>1456</v>
          </cell>
          <cell r="BN358">
            <v>256.5</v>
          </cell>
          <cell r="BO358">
            <v>372</v>
          </cell>
          <cell r="BP358">
            <v>294</v>
          </cell>
          <cell r="BQ358">
            <v>1082.5</v>
          </cell>
          <cell r="BT358">
            <v>109</v>
          </cell>
          <cell r="BU358">
            <v>175</v>
          </cell>
          <cell r="BV358">
            <v>113</v>
          </cell>
          <cell r="BW358">
            <v>532</v>
          </cell>
          <cell r="BZ358">
            <v>97.75</v>
          </cell>
          <cell r="CA358">
            <v>164.75</v>
          </cell>
          <cell r="CB358">
            <v>183.75</v>
          </cell>
          <cell r="CC358">
            <v>539</v>
          </cell>
          <cell r="CF358">
            <v>142</v>
          </cell>
          <cell r="CG358">
            <v>170.2</v>
          </cell>
          <cell r="CH358">
            <v>135</v>
          </cell>
          <cell r="CI358">
            <v>663.40000000000009</v>
          </cell>
          <cell r="CL358">
            <v>377.5</v>
          </cell>
          <cell r="CM358">
            <v>422</v>
          </cell>
          <cell r="CN358">
            <v>367</v>
          </cell>
          <cell r="CO358">
            <v>1496</v>
          </cell>
          <cell r="CR358">
            <v>191.00000000000003</v>
          </cell>
          <cell r="CS358">
            <v>205.61875000000003</v>
          </cell>
          <cell r="CT358">
            <v>174.25725</v>
          </cell>
          <cell r="CU358">
            <v>774.8760000000002</v>
          </cell>
          <cell r="CX358">
            <v>271.99999999999989</v>
          </cell>
          <cell r="CY358">
            <v>129.80000000000018</v>
          </cell>
          <cell r="CZ358">
            <v>141.9</v>
          </cell>
          <cell r="DA358">
            <v>808.3</v>
          </cell>
          <cell r="DD358">
            <v>155.84235812927935</v>
          </cell>
          <cell r="DE358">
            <v>165</v>
          </cell>
          <cell r="DF358">
            <v>122.19999999999997</v>
          </cell>
          <cell r="DG358">
            <v>576.34235812927943</v>
          </cell>
        </row>
        <row r="359">
          <cell r="AI359">
            <v>22.14</v>
          </cell>
          <cell r="AJ359">
            <v>20.294999999999998</v>
          </cell>
          <cell r="AK359">
            <v>20.294999999999998</v>
          </cell>
          <cell r="AL359">
            <v>20.294999999999998</v>
          </cell>
          <cell r="AP359">
            <v>20.294999999999998</v>
          </cell>
          <cell r="AQ359">
            <v>20.294999999999998</v>
          </cell>
          <cell r="AR359">
            <v>20.294999999999998</v>
          </cell>
          <cell r="AS359">
            <v>83.025000000000006</v>
          </cell>
          <cell r="AV359">
            <v>20.294999999999998</v>
          </cell>
          <cell r="AW359">
            <v>20.294999999999998</v>
          </cell>
          <cell r="AX359">
            <v>20.294999999999998</v>
          </cell>
          <cell r="AY359">
            <v>83.025000000000006</v>
          </cell>
          <cell r="BB359">
            <v>22.878</v>
          </cell>
          <cell r="BC359">
            <v>27.675000000000001</v>
          </cell>
          <cell r="BD359">
            <v>21.402000000000001</v>
          </cell>
          <cell r="BE359">
            <v>97.415999999999997</v>
          </cell>
          <cell r="BH359">
            <v>21.771000000000001</v>
          </cell>
          <cell r="BI359">
            <v>20.294999999999998</v>
          </cell>
          <cell r="BJ359">
            <v>28.782</v>
          </cell>
          <cell r="BK359">
            <v>88.191000000000003</v>
          </cell>
          <cell r="BN359">
            <v>16.605</v>
          </cell>
          <cell r="BO359">
            <v>20.664000000000001</v>
          </cell>
          <cell r="BP359">
            <v>15.866999999999999</v>
          </cell>
          <cell r="BQ359">
            <v>70.11</v>
          </cell>
          <cell r="BT359">
            <v>5.9039999999999999</v>
          </cell>
          <cell r="BU359">
            <v>14.022</v>
          </cell>
          <cell r="BV359">
            <v>16.605</v>
          </cell>
          <cell r="BW359">
            <v>45.756</v>
          </cell>
          <cell r="BZ359">
            <v>1.845</v>
          </cell>
          <cell r="CA359">
            <v>8.8559999999999999</v>
          </cell>
          <cell r="CB359">
            <v>11.439</v>
          </cell>
          <cell r="CC359">
            <v>24.353999999999999</v>
          </cell>
          <cell r="CF359">
            <v>0.73799999999999999</v>
          </cell>
          <cell r="CG359">
            <v>0.73799999999999999</v>
          </cell>
          <cell r="CH359">
            <v>8.1180000000000003</v>
          </cell>
          <cell r="CI359">
            <v>11.594000000000001</v>
          </cell>
          <cell r="CL359">
            <v>-1.476</v>
          </cell>
          <cell r="CM359">
            <v>-1.107</v>
          </cell>
          <cell r="CN359">
            <v>2.5830000000000002</v>
          </cell>
          <cell r="CO359">
            <v>1.4760000000000002</v>
          </cell>
          <cell r="CR359">
            <v>1.9</v>
          </cell>
          <cell r="CS359">
            <v>0.04</v>
          </cell>
          <cell r="CT359">
            <v>1.2666666666666742</v>
          </cell>
          <cell r="CU359">
            <v>4.0854545454545557</v>
          </cell>
          <cell r="CX359">
            <v>1.8</v>
          </cell>
          <cell r="CY359">
            <v>1.8</v>
          </cell>
          <cell r="CZ359">
            <v>5.3</v>
          </cell>
          <cell r="DA359">
            <v>9.3000000000000007</v>
          </cell>
          <cell r="DD359">
            <v>0.9</v>
          </cell>
          <cell r="DE359">
            <v>2.1</v>
          </cell>
          <cell r="DF359">
            <v>2.9</v>
          </cell>
          <cell r="DG359">
            <v>8.3000000000000007</v>
          </cell>
        </row>
        <row r="360">
          <cell r="AI360">
            <v>0.36899999999999999</v>
          </cell>
          <cell r="AJ360">
            <v>0.36899999999999999</v>
          </cell>
          <cell r="AK360">
            <v>0.36899999999999999</v>
          </cell>
          <cell r="AL360">
            <v>0.36899999999999999</v>
          </cell>
          <cell r="AP360">
            <v>0.36899999999999999</v>
          </cell>
          <cell r="AQ360">
            <v>0.36899999999999999</v>
          </cell>
          <cell r="AR360">
            <v>0.36899999999999999</v>
          </cell>
          <cell r="AS360">
            <v>0.36899999999999999</v>
          </cell>
          <cell r="AV360">
            <v>0.36899999999999999</v>
          </cell>
          <cell r="AW360">
            <v>0.36899999999999999</v>
          </cell>
          <cell r="AX360">
            <v>0.36899999999999999</v>
          </cell>
          <cell r="AY360">
            <v>0.36899999999999999</v>
          </cell>
          <cell r="BB360">
            <v>0.36899999999999999</v>
          </cell>
          <cell r="BC360">
            <v>0.36899999999999999</v>
          </cell>
          <cell r="BD360">
            <v>0.36899999999999999</v>
          </cell>
          <cell r="BE360">
            <v>0.36899999999999999</v>
          </cell>
          <cell r="BH360">
            <v>0.36899999999999999</v>
          </cell>
          <cell r="BI360">
            <v>0.36899999999999999</v>
          </cell>
          <cell r="BJ360">
            <v>0.36899999999999999</v>
          </cell>
          <cell r="BK360">
            <v>0.36899999999999999</v>
          </cell>
          <cell r="BN360">
            <v>0.36899999999999999</v>
          </cell>
          <cell r="BO360">
            <v>0.36899999999999999</v>
          </cell>
          <cell r="BP360">
            <v>0.36899999999999999</v>
          </cell>
          <cell r="BQ360">
            <v>0.36899999999999999</v>
          </cell>
          <cell r="BT360">
            <v>0.36899999999999999</v>
          </cell>
          <cell r="BU360">
            <v>0.36899999999999999</v>
          </cell>
          <cell r="BV360">
            <v>0.36899999999999999</v>
          </cell>
          <cell r="BW360">
            <v>0.36899999999999999</v>
          </cell>
          <cell r="BZ360">
            <v>0.36899999999999999</v>
          </cell>
          <cell r="CA360">
            <v>0.36899999999999999</v>
          </cell>
          <cell r="CB360">
            <v>0.36899999999999999</v>
          </cell>
          <cell r="CC360">
            <v>0.36899999999999999</v>
          </cell>
          <cell r="CF360">
            <v>0.36899999999999999</v>
          </cell>
          <cell r="CG360">
            <v>0.36899999999999999</v>
          </cell>
          <cell r="CH360">
            <v>0.36899999999999999</v>
          </cell>
          <cell r="CI360">
            <v>0.36899999999999999</v>
          </cell>
          <cell r="CL360">
            <v>0.36899999999999999</v>
          </cell>
          <cell r="CM360">
            <v>0.36899999999999999</v>
          </cell>
          <cell r="CN360">
            <v>0.36899999999999999</v>
          </cell>
          <cell r="CO360">
            <v>0.36899999999999999</v>
          </cell>
          <cell r="CR360">
            <v>0.63333333333333708</v>
          </cell>
          <cell r="CS360">
            <v>0.63333333333333708</v>
          </cell>
          <cell r="CT360">
            <v>0.63333333333333708</v>
          </cell>
          <cell r="CU360">
            <v>0.63333333333333708</v>
          </cell>
          <cell r="CX360">
            <v>0.87878787878788167</v>
          </cell>
          <cell r="CY360">
            <v>0.87878787878788167</v>
          </cell>
          <cell r="CZ360">
            <v>0.87878787878788167</v>
          </cell>
          <cell r="DA360">
            <v>0.87878787878788167</v>
          </cell>
          <cell r="DD360">
            <v>0.59999999999999543</v>
          </cell>
          <cell r="DE360">
            <v>1.3125000000000004</v>
          </cell>
          <cell r="DF360">
            <v>0.87878787878788167</v>
          </cell>
          <cell r="DG360">
            <v>0.6434108527131791</v>
          </cell>
        </row>
        <row r="361">
          <cell r="AI361">
            <v>0</v>
          </cell>
          <cell r="AJ361">
            <v>0</v>
          </cell>
          <cell r="AK361">
            <v>0</v>
          </cell>
          <cell r="AL361">
            <v>0</v>
          </cell>
          <cell r="AP361">
            <v>0</v>
          </cell>
          <cell r="AQ361">
            <v>0</v>
          </cell>
          <cell r="AR361">
            <v>0</v>
          </cell>
          <cell r="AS361">
            <v>0</v>
          </cell>
          <cell r="AV361">
            <v>0</v>
          </cell>
          <cell r="AW361">
            <v>0</v>
          </cell>
          <cell r="AX361">
            <v>0</v>
          </cell>
          <cell r="AY361">
            <v>0</v>
          </cell>
          <cell r="BB361">
            <v>0</v>
          </cell>
          <cell r="BC361">
            <v>0</v>
          </cell>
          <cell r="BD361">
            <v>0</v>
          </cell>
          <cell r="BE361">
            <v>0</v>
          </cell>
          <cell r="BH361">
            <v>0</v>
          </cell>
          <cell r="BI361">
            <v>0</v>
          </cell>
          <cell r="BJ361">
            <v>0</v>
          </cell>
          <cell r="BK361">
            <v>0</v>
          </cell>
          <cell r="BN361">
            <v>0</v>
          </cell>
          <cell r="BO361">
            <v>0</v>
          </cell>
          <cell r="BP361">
            <v>0</v>
          </cell>
          <cell r="BQ361">
            <v>0</v>
          </cell>
          <cell r="BT361">
            <v>0</v>
          </cell>
          <cell r="BU361">
            <v>0</v>
          </cell>
          <cell r="BV361">
            <v>0</v>
          </cell>
          <cell r="BW361">
            <v>0</v>
          </cell>
          <cell r="BZ361">
            <v>0</v>
          </cell>
          <cell r="CA361">
            <v>0</v>
          </cell>
          <cell r="CB361">
            <v>0</v>
          </cell>
          <cell r="CC361">
            <v>0</v>
          </cell>
          <cell r="CF361">
            <v>-5.085</v>
          </cell>
          <cell r="CG361">
            <v>-5.5111633372502942</v>
          </cell>
          <cell r="CH361">
            <v>-5.3999999999999995</v>
          </cell>
          <cell r="CI361">
            <v>-19.32733607520564</v>
          </cell>
          <cell r="CL361">
            <v>4.7460000000000004</v>
          </cell>
          <cell r="CM361">
            <v>-5.7630000000000008</v>
          </cell>
          <cell r="CN361">
            <v>-3.0510000000000002</v>
          </cell>
          <cell r="CO361">
            <v>-10.509</v>
          </cell>
          <cell r="CR361">
            <v>-1.1000000000000001</v>
          </cell>
          <cell r="CS361">
            <v>0.05</v>
          </cell>
          <cell r="CT361">
            <v>-13.221</v>
          </cell>
          <cell r="CU361">
            <v>-21.797699999999999</v>
          </cell>
          <cell r="CX361">
            <v>8.8000000000000007</v>
          </cell>
          <cell r="CY361">
            <v>2.9</v>
          </cell>
          <cell r="CZ361">
            <v>0.5</v>
          </cell>
          <cell r="DA361">
            <v>17.899999999999999</v>
          </cell>
          <cell r="DD361">
            <v>5.0999999999999996</v>
          </cell>
          <cell r="DE361">
            <v>9.6999999999999993</v>
          </cell>
          <cell r="DF361">
            <v>9.5</v>
          </cell>
          <cell r="DG361">
            <v>32.200000000000003</v>
          </cell>
        </row>
        <row r="362">
          <cell r="AI362">
            <v>0.33900000000000002</v>
          </cell>
          <cell r="AJ362">
            <v>0.33900000000000002</v>
          </cell>
          <cell r="AK362">
            <v>0.33900000000000002</v>
          </cell>
          <cell r="AL362">
            <v>0.33900000000000002</v>
          </cell>
          <cell r="AP362">
            <v>0.33900000000000002</v>
          </cell>
          <cell r="AQ362">
            <v>0.33900000000000002</v>
          </cell>
          <cell r="AR362">
            <v>0.33900000000000002</v>
          </cell>
          <cell r="AS362">
            <v>0.33900000000000002</v>
          </cell>
          <cell r="AV362">
            <v>0.33900000000000002</v>
          </cell>
          <cell r="AW362">
            <v>0.33900000000000002</v>
          </cell>
          <cell r="AX362">
            <v>0.33900000000000002</v>
          </cell>
          <cell r="AY362">
            <v>0.33900000000000002</v>
          </cell>
          <cell r="BB362">
            <v>0.33900000000000002</v>
          </cell>
          <cell r="BC362">
            <v>0.33900000000000002</v>
          </cell>
          <cell r="BD362">
            <v>0.33900000000000002</v>
          </cell>
          <cell r="BE362">
            <v>0.33900000000000002</v>
          </cell>
          <cell r="BH362">
            <v>0.33900000000000002</v>
          </cell>
          <cell r="BI362">
            <v>0.33900000000000002</v>
          </cell>
          <cell r="BJ362">
            <v>0.33900000000000002</v>
          </cell>
          <cell r="BK362">
            <v>0.33900000000000002</v>
          </cell>
          <cell r="BN362">
            <v>0.33900000000000002</v>
          </cell>
          <cell r="BO362">
            <v>0.33900000000000002</v>
          </cell>
          <cell r="BP362">
            <v>0.33900000000000002</v>
          </cell>
          <cell r="BQ362">
            <v>0.33900000000000002</v>
          </cell>
          <cell r="BT362">
            <v>0.33900000000000002</v>
          </cell>
          <cell r="BU362">
            <v>0.33900000000000002</v>
          </cell>
          <cell r="BV362">
            <v>0.33900000000000002</v>
          </cell>
          <cell r="BW362">
            <v>0.33900000000000002</v>
          </cell>
          <cell r="BZ362">
            <v>0.36</v>
          </cell>
          <cell r="CA362">
            <v>0.33900000000000002</v>
          </cell>
          <cell r="CB362">
            <v>0.33900000000000002</v>
          </cell>
          <cell r="CC362">
            <v>0.34949999999999998</v>
          </cell>
          <cell r="CF362">
            <v>0.33900000000000002</v>
          </cell>
          <cell r="CG362">
            <v>0.39365452408930673</v>
          </cell>
          <cell r="CH362">
            <v>0.36</v>
          </cell>
          <cell r="CI362">
            <v>0.35791363102232665</v>
          </cell>
          <cell r="CL362">
            <v>0.33900000000000002</v>
          </cell>
          <cell r="CM362">
            <v>0.33900000000000002</v>
          </cell>
          <cell r="CN362">
            <v>0.33900000000000002</v>
          </cell>
          <cell r="CO362">
            <v>0.33900000000000002</v>
          </cell>
          <cell r="CR362">
            <v>0.33900000000000002</v>
          </cell>
          <cell r="CS362">
            <v>0.33900000000000002</v>
          </cell>
          <cell r="CT362">
            <v>0.33900000000000002</v>
          </cell>
          <cell r="CU362">
            <v>0.33900000000000002</v>
          </cell>
          <cell r="CX362">
            <v>0.33900000000000002</v>
          </cell>
          <cell r="CY362">
            <v>0.33900000000000002</v>
          </cell>
          <cell r="CZ362">
            <v>0.33900000000000002</v>
          </cell>
          <cell r="DA362">
            <v>0.33900000000000002</v>
          </cell>
          <cell r="DD362">
            <v>0.560439560439559</v>
          </cell>
          <cell r="DE362">
            <v>0.37743190661478587</v>
          </cell>
          <cell r="DF362">
            <v>1.0439560439560447</v>
          </cell>
          <cell r="DG362">
            <v>0.47633136094674522</v>
          </cell>
        </row>
        <row r="363">
          <cell r="AI363">
            <v>166.17150779458333</v>
          </cell>
          <cell r="AJ363">
            <v>219.93850968708335</v>
          </cell>
          <cell r="AK363">
            <v>227.58220463708338</v>
          </cell>
          <cell r="AL363">
            <v>231.24735122458335</v>
          </cell>
          <cell r="AP363">
            <v>138.97689572208336</v>
          </cell>
          <cell r="AQ363">
            <v>141.41853803708332</v>
          </cell>
          <cell r="AR363">
            <v>141.10842582458332</v>
          </cell>
          <cell r="AS363">
            <v>513.4252049293334</v>
          </cell>
          <cell r="AV363">
            <v>54.046391933333339</v>
          </cell>
          <cell r="AW363">
            <v>66.071827933333353</v>
          </cell>
          <cell r="AX363">
            <v>65.064966308333354</v>
          </cell>
          <cell r="AY363">
            <v>200.8903528416667</v>
          </cell>
          <cell r="BB363">
            <v>77</v>
          </cell>
          <cell r="BC363">
            <v>45</v>
          </cell>
          <cell r="BD363">
            <v>2</v>
          </cell>
          <cell r="BE363">
            <v>187</v>
          </cell>
          <cell r="BH363">
            <v>163.79999999999998</v>
          </cell>
          <cell r="BI363">
            <v>114</v>
          </cell>
          <cell r="BJ363">
            <v>112</v>
          </cell>
          <cell r="BK363">
            <v>532.79999999999995</v>
          </cell>
          <cell r="BN363">
            <v>94</v>
          </cell>
          <cell r="BO363">
            <v>136</v>
          </cell>
          <cell r="BP363">
            <v>102</v>
          </cell>
          <cell r="BQ363">
            <v>125.2505149578696</v>
          </cell>
          <cell r="BT363">
            <v>40.33</v>
          </cell>
          <cell r="BU363">
            <v>65</v>
          </cell>
          <cell r="BV363">
            <v>37.29</v>
          </cell>
          <cell r="BW363">
            <v>192.57</v>
          </cell>
          <cell r="BZ363">
            <v>49.25</v>
          </cell>
          <cell r="CA363">
            <v>49.25</v>
          </cell>
          <cell r="CB363">
            <v>49.25</v>
          </cell>
          <cell r="CC363">
            <v>197</v>
          </cell>
          <cell r="CF363">
            <v>58.125</v>
          </cell>
          <cell r="CG363">
            <v>67</v>
          </cell>
          <cell r="CH363">
            <v>46.08</v>
          </cell>
          <cell r="CI363">
            <v>253.40499999999997</v>
          </cell>
          <cell r="CL363">
            <v>137.8125</v>
          </cell>
          <cell r="CM363">
            <v>165.75</v>
          </cell>
          <cell r="CN363">
            <v>125.46000000000001</v>
          </cell>
          <cell r="CO363">
            <v>558.21</v>
          </cell>
          <cell r="CR363">
            <v>70.956000000000003</v>
          </cell>
          <cell r="CS363">
            <v>81.618750000000006</v>
          </cell>
          <cell r="CT363">
            <v>89.012609999999995</v>
          </cell>
          <cell r="CU363">
            <v>316.70174000000003</v>
          </cell>
          <cell r="CX363">
            <v>80.2</v>
          </cell>
          <cell r="CY363">
            <v>38.800000000000004</v>
          </cell>
          <cell r="CZ363">
            <v>34</v>
          </cell>
          <cell r="DA363">
            <v>234.10000000000002</v>
          </cell>
          <cell r="DD363">
            <v>44</v>
          </cell>
          <cell r="DE363">
            <v>45.9</v>
          </cell>
          <cell r="DF363">
            <v>24.5</v>
          </cell>
          <cell r="DG363">
            <v>150.80000000000001</v>
          </cell>
        </row>
        <row r="364">
          <cell r="AI364">
            <v>0.36499999999999999</v>
          </cell>
          <cell r="AJ364">
            <v>0.36499999999999999</v>
          </cell>
          <cell r="AK364">
            <v>0.36499999999999999</v>
          </cell>
          <cell r="AL364">
            <v>0.36499999999999999</v>
          </cell>
          <cell r="AP364">
            <v>0.36499999999999999</v>
          </cell>
          <cell r="AQ364">
            <v>0.36499999999999999</v>
          </cell>
          <cell r="AR364">
            <v>0.36499999999999999</v>
          </cell>
          <cell r="AS364">
            <v>0.36499999999999999</v>
          </cell>
          <cell r="AV364">
            <v>0.36499999999999999</v>
          </cell>
          <cell r="AW364">
            <v>0.36499999999999999</v>
          </cell>
          <cell r="AX364">
            <v>0.36499999999999999</v>
          </cell>
          <cell r="AY364">
            <v>0.36499999999999999</v>
          </cell>
          <cell r="BB364">
            <v>0.31048387096774194</v>
          </cell>
          <cell r="BC364">
            <v>0.31690140845070425</v>
          </cell>
          <cell r="BD364">
            <v>0.2857142857142857</v>
          </cell>
          <cell r="BE364">
            <v>0.30863203414032581</v>
          </cell>
          <cell r="BH364">
            <v>0.36</v>
          </cell>
          <cell r="BI364">
            <v>0.36305732484076431</v>
          </cell>
          <cell r="BJ364">
            <v>0.36721311475409835</v>
          </cell>
          <cell r="BK364">
            <v>0.36494487088062777</v>
          </cell>
          <cell r="BN364">
            <v>0.3664717348927875</v>
          </cell>
          <cell r="BO364">
            <v>0.36559139784946237</v>
          </cell>
          <cell r="BP364">
            <v>0.37</v>
          </cell>
          <cell r="BQ364">
            <v>0.36676578318556252</v>
          </cell>
          <cell r="BT364">
            <v>0.37</v>
          </cell>
          <cell r="BU364">
            <v>0.37</v>
          </cell>
          <cell r="BV364">
            <v>0.33</v>
          </cell>
          <cell r="BW364">
            <v>0.36</v>
          </cell>
          <cell r="BZ364">
            <v>0.36</v>
          </cell>
          <cell r="CA364">
            <v>0.36</v>
          </cell>
          <cell r="CB364">
            <v>0.36</v>
          </cell>
          <cell r="CC364">
            <v>0.36</v>
          </cell>
          <cell r="CF364">
            <v>0.375</v>
          </cell>
          <cell r="CG364">
            <v>0.375</v>
          </cell>
          <cell r="CH364">
            <v>0.36</v>
          </cell>
          <cell r="CI364">
            <v>0.37124999999999997</v>
          </cell>
          <cell r="CL364">
            <v>0.375</v>
          </cell>
          <cell r="CM364">
            <v>0.375</v>
          </cell>
          <cell r="CN364">
            <v>0.34</v>
          </cell>
          <cell r="CO364">
            <v>0.36625000000000002</v>
          </cell>
          <cell r="CR364">
            <v>0.36</v>
          </cell>
          <cell r="CS364">
            <v>0.36</v>
          </cell>
          <cell r="CT364">
            <v>0.36</v>
          </cell>
          <cell r="CU364">
            <v>0.36499999999999999</v>
          </cell>
          <cell r="CX364">
            <v>0.36704805491990855</v>
          </cell>
          <cell r="CY364">
            <v>0.32039636663914084</v>
          </cell>
          <cell r="CZ364">
            <v>0.26771653543307089</v>
          </cell>
          <cell r="DA364">
            <v>0.35</v>
          </cell>
          <cell r="DD364">
            <v>0.33460076045627374</v>
          </cell>
          <cell r="DE364">
            <v>0.33333333333333337</v>
          </cell>
          <cell r="DF364">
            <v>0.22313296903460839</v>
          </cell>
          <cell r="DG364">
            <v>0.31279817465256166</v>
          </cell>
        </row>
        <row r="365">
          <cell r="AI365">
            <v>188.31150779458335</v>
          </cell>
          <cell r="AJ365">
            <v>240.23350968708334</v>
          </cell>
          <cell r="AK365">
            <v>247.87720463708337</v>
          </cell>
          <cell r="AL365">
            <v>251.54235122458334</v>
          </cell>
          <cell r="AP365">
            <v>159.27189572208334</v>
          </cell>
          <cell r="AQ365">
            <v>161.71353803708331</v>
          </cell>
          <cell r="AR365">
            <v>161.40342582458331</v>
          </cell>
          <cell r="AS365">
            <v>596.45020492933327</v>
          </cell>
          <cell r="AV365">
            <v>74.341391933333341</v>
          </cell>
          <cell r="AW365">
            <v>86.366827933333354</v>
          </cell>
          <cell r="AX365">
            <v>85.359966308333355</v>
          </cell>
          <cell r="AY365">
            <v>283.91535284166673</v>
          </cell>
          <cell r="BB365">
            <v>99.878</v>
          </cell>
          <cell r="BC365">
            <v>72.674999999999997</v>
          </cell>
          <cell r="BD365">
            <v>23.402000000000001</v>
          </cell>
          <cell r="BE365">
            <v>284.416</v>
          </cell>
          <cell r="BH365">
            <v>185.57099999999997</v>
          </cell>
          <cell r="BI365">
            <v>134.29499999999999</v>
          </cell>
          <cell r="BJ365">
            <v>140.78200000000001</v>
          </cell>
          <cell r="BK365">
            <v>620.99099999999999</v>
          </cell>
          <cell r="BN365">
            <v>110.605</v>
          </cell>
          <cell r="BO365">
            <v>156.66399999999999</v>
          </cell>
          <cell r="BP365">
            <v>117.867</v>
          </cell>
          <cell r="BQ365">
            <v>460.51</v>
          </cell>
          <cell r="BT365">
            <v>46.233999999999995</v>
          </cell>
          <cell r="BU365">
            <v>79.022000000000006</v>
          </cell>
          <cell r="BV365">
            <v>53.894999999999996</v>
          </cell>
          <cell r="BW365">
            <v>238.32599999999996</v>
          </cell>
          <cell r="BZ365">
            <v>51.094999999999999</v>
          </cell>
          <cell r="CA365">
            <v>58.106000000000002</v>
          </cell>
          <cell r="CB365">
            <v>60.689</v>
          </cell>
          <cell r="CC365">
            <v>221.35399999999998</v>
          </cell>
          <cell r="CF365">
            <v>53.777999999999999</v>
          </cell>
          <cell r="CG365">
            <v>62.226836662749704</v>
          </cell>
          <cell r="CH365">
            <v>48.798000000000002</v>
          </cell>
          <cell r="CI365">
            <v>245.67166392479433</v>
          </cell>
          <cell r="CL365">
            <v>141.08250000000001</v>
          </cell>
          <cell r="CM365">
            <v>158.88</v>
          </cell>
          <cell r="CN365">
            <v>124.992</v>
          </cell>
          <cell r="CO365">
            <v>549.17700000000002</v>
          </cell>
          <cell r="CR365">
            <v>71.756</v>
          </cell>
          <cell r="CS365">
            <v>81.708750000000009</v>
          </cell>
          <cell r="CT365">
            <v>77.058276666666671</v>
          </cell>
          <cell r="CU365">
            <v>298.98949454545459</v>
          </cell>
          <cell r="CX365">
            <v>90.800000000000011</v>
          </cell>
          <cell r="CY365">
            <v>43.500000000000007</v>
          </cell>
          <cell r="CZ365">
            <v>39.799999999999997</v>
          </cell>
          <cell r="DA365">
            <v>261.3</v>
          </cell>
          <cell r="DD365">
            <v>50</v>
          </cell>
          <cell r="DE365">
            <v>57.699999999999996</v>
          </cell>
          <cell r="DF365">
            <v>36.9</v>
          </cell>
          <cell r="DG365">
            <v>191.3</v>
          </cell>
        </row>
        <row r="366">
          <cell r="AI366">
            <v>0.33382352941176491</v>
          </cell>
          <cell r="AJ366">
            <v>0.33382352941176491</v>
          </cell>
          <cell r="AK366">
            <v>0.33382352941176491</v>
          </cell>
          <cell r="AL366">
            <v>0.33382352941176491</v>
          </cell>
          <cell r="AP366">
            <v>0.33382352941176491</v>
          </cell>
          <cell r="AQ366">
            <v>0.33382352941176491</v>
          </cell>
          <cell r="AR366">
            <v>0.33382352941176491</v>
          </cell>
          <cell r="AS366">
            <v>0.33382352941176491</v>
          </cell>
          <cell r="AV366">
            <v>0.33382352941176491</v>
          </cell>
          <cell r="AW366">
            <v>0.33382352941176491</v>
          </cell>
          <cell r="AX366">
            <v>0.33382352941176491</v>
          </cell>
          <cell r="AY366">
            <v>0.33382352941176491</v>
          </cell>
          <cell r="BB366">
            <v>0.33382352941176491</v>
          </cell>
          <cell r="BC366">
            <v>0.33382352941176491</v>
          </cell>
          <cell r="BD366">
            <v>0.33382352941176491</v>
          </cell>
          <cell r="BE366">
            <v>0.33382352941176491</v>
          </cell>
          <cell r="BH366">
            <v>0.33382352941176491</v>
          </cell>
          <cell r="BI366">
            <v>0.33382352941176491</v>
          </cell>
          <cell r="BJ366">
            <v>0.33382352941176491</v>
          </cell>
          <cell r="BK366">
            <v>0.33382352941176491</v>
          </cell>
          <cell r="BN366">
            <v>0.33382352941176491</v>
          </cell>
          <cell r="BO366">
            <v>0.33382352941176491</v>
          </cell>
          <cell r="BP366">
            <v>0.33382352941176491</v>
          </cell>
          <cell r="BQ366">
            <v>0.33382352941176491</v>
          </cell>
          <cell r="BT366">
            <v>0.33382352941176491</v>
          </cell>
          <cell r="BU366">
            <v>0.33382352941176491</v>
          </cell>
          <cell r="BV366">
            <v>0.33382352941176491</v>
          </cell>
          <cell r="BW366">
            <v>0.33382352941176491</v>
          </cell>
          <cell r="BZ366">
            <v>0.33382352941176491</v>
          </cell>
          <cell r="CA366">
            <v>0.33382352941176491</v>
          </cell>
          <cell r="CB366">
            <v>0.33382352941176491</v>
          </cell>
          <cell r="CC366">
            <v>0.33382352941176491</v>
          </cell>
          <cell r="CF366">
            <v>0.33382352941176491</v>
          </cell>
          <cell r="CG366">
            <v>0.33382352941176491</v>
          </cell>
          <cell r="CH366">
            <v>0.33382352941176491</v>
          </cell>
          <cell r="CI366">
            <v>0.33382352941176491</v>
          </cell>
          <cell r="CL366">
            <v>0.33382352941176491</v>
          </cell>
          <cell r="CM366">
            <v>0.33382352941176491</v>
          </cell>
          <cell r="CN366">
            <v>0.33382352941176491</v>
          </cell>
          <cell r="CO366">
            <v>0.33382352941176491</v>
          </cell>
          <cell r="CR366">
            <v>0.33382352941176491</v>
          </cell>
          <cell r="CS366">
            <v>0.33382352941176491</v>
          </cell>
          <cell r="CT366">
            <v>0.33382352941176491</v>
          </cell>
          <cell r="CU366">
            <v>0.33382352941176491</v>
          </cell>
          <cell r="CX366">
            <v>0.33382352941176491</v>
          </cell>
          <cell r="CY366">
            <v>0.33382352941176491</v>
          </cell>
          <cell r="CZ366">
            <v>0.33382352941176491</v>
          </cell>
          <cell r="DA366">
            <v>0.33382352941176491</v>
          </cell>
          <cell r="DD366">
            <v>0.32083703429668586</v>
          </cell>
          <cell r="DE366">
            <v>0.34969696969696967</v>
          </cell>
          <cell r="DF366">
            <v>0.30196399345335523</v>
          </cell>
          <cell r="DG366">
            <v>0.33192077122516384</v>
          </cell>
        </row>
        <row r="367">
          <cell r="AI367">
            <v>157.66448303875001</v>
          </cell>
          <cell r="AJ367">
            <v>210.66964864625001</v>
          </cell>
          <cell r="AK367">
            <v>204.82475369625001</v>
          </cell>
          <cell r="AL367">
            <v>195.38848210875005</v>
          </cell>
          <cell r="AP367">
            <v>151.33626261124999</v>
          </cell>
          <cell r="AQ367">
            <v>148.44092029624994</v>
          </cell>
          <cell r="AR367">
            <v>140.72740750875002</v>
          </cell>
          <cell r="AS367">
            <v>537.67673590399988</v>
          </cell>
          <cell r="AV367">
            <v>66.901191399999988</v>
          </cell>
          <cell r="AW367">
            <v>75.556755400000014</v>
          </cell>
          <cell r="AX367">
            <v>69.325117024999969</v>
          </cell>
          <cell r="AY367">
            <v>212.99923049166665</v>
          </cell>
          <cell r="BB367">
            <v>125.878</v>
          </cell>
          <cell r="BC367">
            <v>43.674999999999997</v>
          </cell>
          <cell r="BD367">
            <v>-34.597999999999999</v>
          </cell>
          <cell r="BE367">
            <v>220.416</v>
          </cell>
          <cell r="BH367">
            <v>243.97100000000006</v>
          </cell>
          <cell r="BI367">
            <v>161.29499999999999</v>
          </cell>
          <cell r="BJ367">
            <v>136.78200000000001</v>
          </cell>
          <cell r="BK367">
            <v>752.39100000000008</v>
          </cell>
          <cell r="BN367">
            <v>131.10499999999999</v>
          </cell>
          <cell r="BO367">
            <v>198.66399999999999</v>
          </cell>
          <cell r="BP367">
            <v>155.86699999999999</v>
          </cell>
          <cell r="BQ367">
            <v>556.20999999999992</v>
          </cell>
          <cell r="BT367">
            <v>57.573999999999998</v>
          </cell>
          <cell r="BU367">
            <v>83.022000000000006</v>
          </cell>
          <cell r="BV367">
            <v>47.315000000000012</v>
          </cell>
          <cell r="BW367">
            <v>256.18599999999998</v>
          </cell>
          <cell r="BZ367">
            <v>24.344999999999999</v>
          </cell>
          <cell r="CA367">
            <v>79.355999999999995</v>
          </cell>
          <cell r="CB367">
            <v>93.938999999999993</v>
          </cell>
          <cell r="CC367">
            <v>216.35399999999998</v>
          </cell>
          <cell r="CF367">
            <v>96.875</v>
          </cell>
          <cell r="CG367">
            <v>115.19999999999999</v>
          </cell>
          <cell r="CH367">
            <v>81.920000000000016</v>
          </cell>
          <cell r="CI367">
            <v>430.99500000000012</v>
          </cell>
          <cell r="CL367">
            <v>229.6875</v>
          </cell>
          <cell r="CM367">
            <v>276.25</v>
          </cell>
          <cell r="CN367">
            <v>243.53999999999996</v>
          </cell>
          <cell r="CO367">
            <v>964.79</v>
          </cell>
          <cell r="CR367">
            <v>126.14400000000001</v>
          </cell>
          <cell r="CS367">
            <v>145.09999999999997</v>
          </cell>
          <cell r="CT367">
            <v>158.24464</v>
          </cell>
          <cell r="CU367">
            <v>550.97426000000019</v>
          </cell>
          <cell r="CX367">
            <v>138.29999999999995</v>
          </cell>
          <cell r="CY367">
            <v>82.300000000000153</v>
          </cell>
          <cell r="CZ367">
            <v>93</v>
          </cell>
          <cell r="DA367">
            <v>482.29999999999995</v>
          </cell>
          <cell r="DD367">
            <v>87.499999999999986</v>
          </cell>
          <cell r="DE367">
            <v>91.800000000000011</v>
          </cell>
          <cell r="DF367">
            <v>85.300000000000011</v>
          </cell>
          <cell r="DG367">
            <v>331.30000000000007</v>
          </cell>
        </row>
        <row r="368">
          <cell r="AI368">
            <v>37.86</v>
          </cell>
          <cell r="AJ368">
            <v>34.704999999999998</v>
          </cell>
          <cell r="AK368">
            <v>34.704999999999998</v>
          </cell>
          <cell r="AL368">
            <v>34.704999999999998</v>
          </cell>
          <cell r="AP368">
            <v>34.704999999999998</v>
          </cell>
          <cell r="AQ368">
            <v>34.704999999999998</v>
          </cell>
          <cell r="AR368">
            <v>34.704999999999998</v>
          </cell>
          <cell r="AS368">
            <v>141.97499999999999</v>
          </cell>
          <cell r="AV368">
            <v>34.704999999999998</v>
          </cell>
          <cell r="AW368">
            <v>34.704999999999998</v>
          </cell>
          <cell r="AX368">
            <v>34.704999999999998</v>
          </cell>
          <cell r="AY368">
            <v>141.97499999999999</v>
          </cell>
          <cell r="BB368">
            <v>39.122</v>
          </cell>
          <cell r="BC368">
            <v>47.325000000000003</v>
          </cell>
          <cell r="BD368">
            <v>36.597999999999999</v>
          </cell>
          <cell r="BE368">
            <v>166.584</v>
          </cell>
          <cell r="BH368">
            <v>37.228999999999999</v>
          </cell>
          <cell r="BI368">
            <v>34.704999999999998</v>
          </cell>
          <cell r="BJ368">
            <v>49.218000000000004</v>
          </cell>
          <cell r="BK368">
            <v>150.809</v>
          </cell>
          <cell r="BN368">
            <v>28.395</v>
          </cell>
          <cell r="BO368">
            <v>35.335999999999999</v>
          </cell>
          <cell r="BP368">
            <v>27.133000000000003</v>
          </cell>
          <cell r="BQ368">
            <v>119.89000000000001</v>
          </cell>
          <cell r="BT368">
            <v>10.096</v>
          </cell>
          <cell r="BU368">
            <v>23.978000000000002</v>
          </cell>
          <cell r="BV368">
            <v>28.395</v>
          </cell>
          <cell r="BW368">
            <v>78.244</v>
          </cell>
          <cell r="BZ368">
            <v>3.1550000000000002</v>
          </cell>
          <cell r="CA368">
            <v>15.144</v>
          </cell>
          <cell r="CB368">
            <v>19.561</v>
          </cell>
          <cell r="CC368">
            <v>41.646000000000001</v>
          </cell>
          <cell r="CF368">
            <v>1.262</v>
          </cell>
          <cell r="CG368">
            <v>1.262</v>
          </cell>
          <cell r="CH368">
            <v>13.882</v>
          </cell>
          <cell r="CI368">
            <v>21.405999999999999</v>
          </cell>
          <cell r="CL368">
            <v>-2.524</v>
          </cell>
          <cell r="CM368">
            <v>-1.893</v>
          </cell>
          <cell r="CN368">
            <v>4.4169999999999998</v>
          </cell>
          <cell r="CO368">
            <v>2.524</v>
          </cell>
          <cell r="CR368">
            <v>1.0999999999999823</v>
          </cell>
          <cell r="CS368">
            <v>1.46</v>
          </cell>
          <cell r="CT368">
            <v>0.73333333333332584</v>
          </cell>
          <cell r="CU368">
            <v>3.4145454545454266</v>
          </cell>
          <cell r="CX368">
            <v>2.4000000000000066</v>
          </cell>
          <cell r="CY368">
            <v>-9.9999999999995426E-2</v>
          </cell>
          <cell r="CZ368">
            <v>6.1000000000000005</v>
          </cell>
          <cell r="DA368">
            <v>9.0000000000000071</v>
          </cell>
          <cell r="DD368">
            <v>0.60000000000001152</v>
          </cell>
          <cell r="DE368">
            <v>-0.50000000000000044</v>
          </cell>
          <cell r="DF368">
            <v>0.39999999999998925</v>
          </cell>
          <cell r="DG368">
            <v>4.5999999999999837</v>
          </cell>
        </row>
        <row r="369">
          <cell r="AS369">
            <v>0</v>
          </cell>
          <cell r="AY369">
            <v>0</v>
          </cell>
          <cell r="BE369">
            <v>0</v>
          </cell>
          <cell r="BK369">
            <v>0</v>
          </cell>
          <cell r="BQ369">
            <v>0</v>
          </cell>
          <cell r="BT369">
            <v>0</v>
          </cell>
          <cell r="BU369">
            <v>0</v>
          </cell>
          <cell r="BV369">
            <v>0</v>
          </cell>
          <cell r="BW369">
            <v>0</v>
          </cell>
          <cell r="BZ369">
            <v>0</v>
          </cell>
          <cell r="CA369">
            <v>0</v>
          </cell>
          <cell r="CB369">
            <v>0</v>
          </cell>
          <cell r="CC369">
            <v>0</v>
          </cell>
          <cell r="CF369">
            <v>-9.9149999999999991</v>
          </cell>
          <cell r="CG369">
            <v>-8.4888366627497049</v>
          </cell>
          <cell r="CH369">
            <v>-9.6000000000000014</v>
          </cell>
          <cell r="CI369">
            <v>-42.003836662749706</v>
          </cell>
          <cell r="CL369">
            <v>9.2539999999999996</v>
          </cell>
          <cell r="CM369">
            <v>-11.236999999999998</v>
          </cell>
          <cell r="CN369">
            <v>-5.9489999999999998</v>
          </cell>
          <cell r="CO369">
            <v>-20.491</v>
          </cell>
          <cell r="CR369">
            <v>-8.0000000000000018</v>
          </cell>
          <cell r="CS369">
            <v>-22.650000000000002</v>
          </cell>
          <cell r="CT369">
            <v>-25.779</v>
          </cell>
          <cell r="CU369">
            <v>-52.198599999999999</v>
          </cell>
          <cell r="CX369">
            <v>40.499999999999986</v>
          </cell>
          <cell r="CY369">
            <v>4.1000000000000032</v>
          </cell>
          <cell r="CZ369">
            <v>3</v>
          </cell>
          <cell r="DA369">
            <v>55.699999999999967</v>
          </cell>
          <cell r="DD369">
            <v>4.0000000000000231</v>
          </cell>
          <cell r="DE369">
            <v>16.000000000000007</v>
          </cell>
          <cell r="DF369">
            <v>-0.40000000000000568</v>
          </cell>
          <cell r="DG369">
            <v>35.400000000000041</v>
          </cell>
        </row>
        <row r="371">
          <cell r="AI371">
            <v>289.09289712208329</v>
          </cell>
          <cell r="AJ371">
            <v>382.6327497295834</v>
          </cell>
          <cell r="AK371">
            <v>395.93068477958343</v>
          </cell>
          <cell r="AL371">
            <v>402.30703569208345</v>
          </cell>
          <cell r="AP371">
            <v>241.78172269458341</v>
          </cell>
          <cell r="AQ371">
            <v>246.02951137958334</v>
          </cell>
          <cell r="AR371">
            <v>245.49000109208333</v>
          </cell>
          <cell r="AS371">
            <v>893.21919213733349</v>
          </cell>
          <cell r="AV371">
            <v>94.025914733333352</v>
          </cell>
          <cell r="AW371">
            <v>114.94687873333338</v>
          </cell>
          <cell r="AX371">
            <v>113.19521535833336</v>
          </cell>
          <cell r="AY371">
            <v>349.49417549166679</v>
          </cell>
          <cell r="BB371">
            <v>171</v>
          </cell>
          <cell r="BC371">
            <v>97</v>
          </cell>
          <cell r="BD371">
            <v>5</v>
          </cell>
          <cell r="BE371">
            <v>406</v>
          </cell>
          <cell r="BH371">
            <v>286.20000000000005</v>
          </cell>
          <cell r="BI371">
            <v>200</v>
          </cell>
          <cell r="BJ371">
            <v>193</v>
          </cell>
          <cell r="BK371">
            <v>923.2</v>
          </cell>
          <cell r="BN371">
            <v>162.5</v>
          </cell>
          <cell r="BO371">
            <v>236</v>
          </cell>
          <cell r="BP371">
            <v>192</v>
          </cell>
          <cell r="BQ371">
            <v>692.1</v>
          </cell>
          <cell r="BT371">
            <v>68.67</v>
          </cell>
          <cell r="BU371">
            <v>110</v>
          </cell>
          <cell r="BV371">
            <v>75.710000000000008</v>
          </cell>
          <cell r="BW371">
            <v>339.43000000000006</v>
          </cell>
          <cell r="BZ371">
            <v>27.5</v>
          </cell>
          <cell r="CA371">
            <v>94.5</v>
          </cell>
          <cell r="CB371">
            <v>113.5</v>
          </cell>
          <cell r="CC371">
            <v>258</v>
          </cell>
          <cell r="CF371">
            <v>88.222000000000008</v>
          </cell>
          <cell r="CG371">
            <v>107.97316333725028</v>
          </cell>
          <cell r="CH371">
            <v>86.202000000000027</v>
          </cell>
          <cell r="CI371">
            <v>410.39716333725039</v>
          </cell>
          <cell r="CL371">
            <v>236.41749999999999</v>
          </cell>
          <cell r="CM371">
            <v>263.12</v>
          </cell>
          <cell r="CN371">
            <v>242.00799999999995</v>
          </cell>
          <cell r="CO371">
            <v>946.82299999999998</v>
          </cell>
          <cell r="CR371">
            <v>119.24399999999999</v>
          </cell>
          <cell r="CS371">
            <v>123.90999999999997</v>
          </cell>
          <cell r="CT371">
            <v>133.19897333333333</v>
          </cell>
          <cell r="CU371">
            <v>502.19020545454561</v>
          </cell>
          <cell r="CX371">
            <v>181.19999999999993</v>
          </cell>
          <cell r="CY371">
            <v>86.300000000000168</v>
          </cell>
          <cell r="CZ371">
            <v>102.1</v>
          </cell>
          <cell r="DA371">
            <v>546.99999999999989</v>
          </cell>
          <cell r="DD371">
            <v>92.100000000000023</v>
          </cell>
          <cell r="DE371">
            <v>107.30000000000001</v>
          </cell>
          <cell r="DF371">
            <v>85.3</v>
          </cell>
          <cell r="DG371">
            <v>371.30000000000007</v>
          </cell>
        </row>
        <row r="372">
          <cell r="AI372">
            <v>298.09289712208329</v>
          </cell>
          <cell r="AJ372">
            <v>391.6327497295834</v>
          </cell>
          <cell r="AK372">
            <v>404.93068477958343</v>
          </cell>
          <cell r="AL372">
            <v>411.30703569208345</v>
          </cell>
          <cell r="AP372">
            <v>250.78172269458341</v>
          </cell>
          <cell r="AQ372">
            <v>255.02951137958334</v>
          </cell>
          <cell r="AR372">
            <v>254.49000109208333</v>
          </cell>
          <cell r="AS372">
            <v>929.21919213733349</v>
          </cell>
          <cell r="AV372">
            <v>103.02591473333335</v>
          </cell>
          <cell r="AW372">
            <v>123.94687873333338</v>
          </cell>
          <cell r="AX372">
            <v>122.19521535833336</v>
          </cell>
          <cell r="AY372">
            <v>385.49417549166679</v>
          </cell>
        </row>
        <row r="374">
          <cell r="AI374">
            <v>9</v>
          </cell>
          <cell r="AJ374">
            <v>9</v>
          </cell>
          <cell r="AK374">
            <v>9</v>
          </cell>
          <cell r="AL374">
            <v>9</v>
          </cell>
          <cell r="AP374">
            <v>9</v>
          </cell>
          <cell r="AQ374">
            <v>9</v>
          </cell>
          <cell r="AR374">
            <v>9</v>
          </cell>
          <cell r="AS374">
            <v>36</v>
          </cell>
          <cell r="AV374">
            <v>9</v>
          </cell>
          <cell r="AW374">
            <v>9</v>
          </cell>
          <cell r="AX374">
            <v>9</v>
          </cell>
          <cell r="AY374">
            <v>36</v>
          </cell>
        </row>
        <row r="375">
          <cell r="AI375">
            <v>298.09289712208329</v>
          </cell>
          <cell r="AJ375">
            <v>391.6327497295834</v>
          </cell>
          <cell r="AK375">
            <v>404.93068477958343</v>
          </cell>
          <cell r="AL375">
            <v>411.30703569208345</v>
          </cell>
          <cell r="AP375">
            <v>250.78172269458341</v>
          </cell>
          <cell r="AQ375">
            <v>255.02951137958334</v>
          </cell>
          <cell r="AR375">
            <v>254.49000109208333</v>
          </cell>
          <cell r="AS375">
            <v>929.21919213733349</v>
          </cell>
          <cell r="AV375">
            <v>103.02591473333335</v>
          </cell>
          <cell r="AW375">
            <v>123.94687873333338</v>
          </cell>
          <cell r="AX375">
            <v>122.19521535833336</v>
          </cell>
          <cell r="AY375">
            <v>385.49417549166679</v>
          </cell>
        </row>
        <row r="376">
          <cell r="AI376">
            <v>289.09289712208329</v>
          </cell>
          <cell r="AJ376">
            <v>382.6327497295834</v>
          </cell>
          <cell r="AK376">
            <v>395.93068477958343</v>
          </cell>
          <cell r="AL376">
            <v>402.30703569208345</v>
          </cell>
          <cell r="AP376">
            <v>241.78172269458341</v>
          </cell>
          <cell r="AQ376">
            <v>246.02951137958334</v>
          </cell>
          <cell r="AR376">
            <v>245.49000109208333</v>
          </cell>
          <cell r="AS376">
            <v>893.21919213733349</v>
          </cell>
          <cell r="AV376">
            <v>94.025914733333352</v>
          </cell>
          <cell r="AW376">
            <v>114.94687873333338</v>
          </cell>
          <cell r="AX376">
            <v>113.19521535833336</v>
          </cell>
          <cell r="AY376">
            <v>349.49417549166679</v>
          </cell>
          <cell r="BB376">
            <v>171</v>
          </cell>
          <cell r="BC376">
            <v>97</v>
          </cell>
          <cell r="BD376">
            <v>5</v>
          </cell>
          <cell r="BE376">
            <v>406</v>
          </cell>
          <cell r="BH376">
            <v>286.20000000000005</v>
          </cell>
          <cell r="BI376">
            <v>200</v>
          </cell>
          <cell r="BJ376">
            <v>193</v>
          </cell>
          <cell r="BK376">
            <v>923.2</v>
          </cell>
          <cell r="BN376">
            <v>162.5</v>
          </cell>
          <cell r="BO376">
            <v>236</v>
          </cell>
          <cell r="BP376">
            <v>192</v>
          </cell>
          <cell r="BQ376">
            <v>692.1</v>
          </cell>
          <cell r="BT376">
            <v>68.67</v>
          </cell>
          <cell r="BU376">
            <v>110</v>
          </cell>
          <cell r="BV376">
            <v>75.710000000000008</v>
          </cell>
          <cell r="BW376">
            <v>339.43000000000006</v>
          </cell>
          <cell r="BZ376">
            <v>48.5</v>
          </cell>
          <cell r="CA376">
            <v>115.5</v>
          </cell>
          <cell r="CB376">
            <v>134.5</v>
          </cell>
          <cell r="CC376">
            <v>342</v>
          </cell>
          <cell r="CF376">
            <v>88.222000000000008</v>
          </cell>
          <cell r="CG376">
            <v>107.97316333725028</v>
          </cell>
          <cell r="CH376">
            <v>86.202000000000027</v>
          </cell>
          <cell r="CI376">
            <v>410.59716333725032</v>
          </cell>
          <cell r="CL376">
            <v>236.41749999999999</v>
          </cell>
          <cell r="CM376">
            <v>263.12</v>
          </cell>
          <cell r="CN376">
            <v>242.00799999999995</v>
          </cell>
          <cell r="CO376">
            <v>946.82299999999998</v>
          </cell>
          <cell r="CR376">
            <v>119.24399999999999</v>
          </cell>
          <cell r="CS376">
            <v>123.90999999999997</v>
          </cell>
          <cell r="CT376">
            <v>133.19897333333333</v>
          </cell>
          <cell r="CU376">
            <v>502.59658545454533</v>
          </cell>
          <cell r="CX376">
            <v>181.19999999999993</v>
          </cell>
          <cell r="CY376">
            <v>86.300000000000168</v>
          </cell>
          <cell r="CZ376">
            <v>102.1</v>
          </cell>
          <cell r="DA376">
            <v>546.99999999999989</v>
          </cell>
          <cell r="DD376">
            <v>92.100000000000023</v>
          </cell>
          <cell r="DE376">
            <v>107.30000000000001</v>
          </cell>
          <cell r="DF376">
            <v>85.3</v>
          </cell>
          <cell r="DG376">
            <v>371.30000000000024</v>
          </cell>
        </row>
        <row r="378">
          <cell r="D378">
            <v>219.66399999999999</v>
          </cell>
          <cell r="E378">
            <v>219.54</v>
          </cell>
          <cell r="F378">
            <v>219.66399999999999</v>
          </cell>
          <cell r="G378">
            <v>219.66399999999999</v>
          </cell>
          <cell r="H378">
            <v>219.66399999999999</v>
          </cell>
          <cell r="J378">
            <v>219.54</v>
          </cell>
          <cell r="K378">
            <v>220</v>
          </cell>
          <cell r="L378">
            <v>220</v>
          </cell>
          <cell r="M378">
            <v>220</v>
          </cell>
          <cell r="N378">
            <v>220</v>
          </cell>
          <cell r="P378">
            <v>198.28349999999998</v>
          </cell>
          <cell r="Q378">
            <v>204.38049999999998</v>
          </cell>
          <cell r="R378">
            <v>205.476</v>
          </cell>
          <cell r="S378">
            <v>203.37299999999999</v>
          </cell>
          <cell r="T378">
            <v>203.04399999999998</v>
          </cell>
          <cell r="U378">
            <v>201.35</v>
          </cell>
          <cell r="V378">
            <v>203.673</v>
          </cell>
          <cell r="W378">
            <v>204.33099999999999</v>
          </cell>
          <cell r="X378">
            <v>207.785</v>
          </cell>
          <cell r="Y378">
            <v>202.54400000000001</v>
          </cell>
          <cell r="Z378">
            <v>195.45599999999999</v>
          </cell>
          <cell r="AA378">
            <v>194.828</v>
          </cell>
          <cell r="AB378">
            <v>196.518</v>
          </cell>
          <cell r="AC378">
            <v>196.065</v>
          </cell>
          <cell r="AD378">
            <v>191.37200000000001</v>
          </cell>
          <cell r="AE378">
            <v>191.05699999999999</v>
          </cell>
          <cell r="AF378">
            <v>188.45599999999999</v>
          </cell>
          <cell r="AG378">
            <v>188.18100000000001</v>
          </cell>
          <cell r="AI378">
            <v>219.66399999999999</v>
          </cell>
          <cell r="AJ378">
            <v>219.66399999999999</v>
          </cell>
          <cell r="AK378">
            <v>219.66399999999999</v>
          </cell>
          <cell r="AL378">
            <v>219.66399999999999</v>
          </cell>
          <cell r="AM378">
            <v>219.66399999999999</v>
          </cell>
          <cell r="AO378">
            <v>219.66399999999999</v>
          </cell>
          <cell r="AP378">
            <v>219.66399999999999</v>
          </cell>
          <cell r="AQ378">
            <v>219.66399999999999</v>
          </cell>
          <cell r="AR378">
            <v>219.66399999999999</v>
          </cell>
          <cell r="AS378">
            <v>219.66399999999999</v>
          </cell>
          <cell r="AU378">
            <v>219.66399999999999</v>
          </cell>
          <cell r="AV378">
            <v>219.66399999999999</v>
          </cell>
          <cell r="AW378">
            <v>219.66399999999999</v>
          </cell>
          <cell r="AX378">
            <v>219.66399999999999</v>
          </cell>
          <cell r="AY378">
            <v>219.66399999999999</v>
          </cell>
          <cell r="BA378">
            <v>219.31899999999999</v>
          </cell>
          <cell r="BB378">
            <v>219.6</v>
          </cell>
          <cell r="BC378">
            <v>219.577</v>
          </cell>
          <cell r="BD378">
            <v>219.66399999999999</v>
          </cell>
          <cell r="BE378">
            <v>219.54</v>
          </cell>
          <cell r="BG378">
            <v>234.21299999999999</v>
          </cell>
          <cell r="BH378">
            <v>228.43299999999999</v>
          </cell>
          <cell r="BI378">
            <v>220.495</v>
          </cell>
          <cell r="BJ378">
            <v>219.131</v>
          </cell>
          <cell r="BK378">
            <v>225.56799999999998</v>
          </cell>
          <cell r="BM378">
            <v>198.886</v>
          </cell>
          <cell r="BN378">
            <v>198.886</v>
          </cell>
          <cell r="BO378">
            <v>200.3</v>
          </cell>
          <cell r="BP378">
            <v>221.47</v>
          </cell>
          <cell r="BQ378">
            <v>204.88550000000001</v>
          </cell>
          <cell r="BS378">
            <v>198.51599999999999</v>
          </cell>
          <cell r="BT378">
            <v>198.51599999999999</v>
          </cell>
          <cell r="BU378">
            <v>198.886</v>
          </cell>
          <cell r="BV378">
            <v>198.886</v>
          </cell>
          <cell r="BW378">
            <v>198.70099999999999</v>
          </cell>
          <cell r="BY378">
            <v>198.51599999999999</v>
          </cell>
          <cell r="BZ378">
            <v>198.51599999999999</v>
          </cell>
          <cell r="CA378">
            <v>198.51599999999999</v>
          </cell>
          <cell r="CB378">
            <v>198.51599999999999</v>
          </cell>
          <cell r="CC378">
            <v>198.51599999999999</v>
          </cell>
          <cell r="CE378">
            <v>198.19499999999999</v>
          </cell>
          <cell r="CF378">
            <v>198.31299999999999</v>
          </cell>
          <cell r="CG378">
            <v>198.31299999999999</v>
          </cell>
          <cell r="CH378">
            <v>198.31299999999999</v>
          </cell>
          <cell r="CI378">
            <v>198.28349999999998</v>
          </cell>
          <cell r="CK378">
            <v>205.52199999999999</v>
          </cell>
          <cell r="CL378">
            <v>205</v>
          </cell>
          <cell r="CM378">
            <v>204</v>
          </cell>
          <cell r="CN378">
            <v>203</v>
          </cell>
          <cell r="CO378">
            <v>204.38049999999998</v>
          </cell>
          <cell r="CQ378">
            <v>205.43</v>
          </cell>
          <cell r="CR378">
            <v>205.43</v>
          </cell>
          <cell r="CS378">
            <v>205.52199999999999</v>
          </cell>
          <cell r="CT378">
            <v>205.52199999999999</v>
          </cell>
          <cell r="CU378">
            <v>205.476</v>
          </cell>
          <cell r="CW378">
            <v>203.37299999999999</v>
          </cell>
          <cell r="CX378">
            <v>203.37299999999999</v>
          </cell>
          <cell r="CY378">
            <v>203.37299999999999</v>
          </cell>
          <cell r="CZ378">
            <v>203.37299999999999</v>
          </cell>
          <cell r="DA378">
            <v>203.37299999999999</v>
          </cell>
          <cell r="DC378">
            <v>202.673</v>
          </cell>
          <cell r="DD378">
            <v>202.96700000000001</v>
          </cell>
          <cell r="DE378">
            <v>203.16300000000001</v>
          </cell>
          <cell r="DF378">
            <v>203.37299999999999</v>
          </cell>
          <cell r="DG378">
            <v>203.04399999999998</v>
          </cell>
          <cell r="DI378">
            <v>201.53800000000001</v>
          </cell>
          <cell r="DJ378">
            <v>201.142</v>
          </cell>
          <cell r="DK378">
            <v>201.142</v>
          </cell>
          <cell r="DL378">
            <v>201.578</v>
          </cell>
          <cell r="DM378">
            <v>201.35</v>
          </cell>
          <cell r="DO378">
            <v>204.756</v>
          </cell>
          <cell r="DP378">
            <v>204.76400000000001</v>
          </cell>
          <cell r="DQ378">
            <v>204.756</v>
          </cell>
          <cell r="DR378">
            <v>204.756</v>
          </cell>
          <cell r="DS378">
            <v>204.756</v>
          </cell>
          <cell r="DU378">
            <v>204.756</v>
          </cell>
          <cell r="DV378">
            <v>204.756</v>
          </cell>
          <cell r="DW378">
            <v>204.756</v>
          </cell>
          <cell r="DX378">
            <v>207.785</v>
          </cell>
          <cell r="DY378">
            <v>204.33099999999999</v>
          </cell>
          <cell r="EA378">
            <v>204.756</v>
          </cell>
          <cell r="EB378">
            <v>204.756</v>
          </cell>
          <cell r="EC378">
            <v>204.756</v>
          </cell>
          <cell r="ED378">
            <v>204.756</v>
          </cell>
          <cell r="EE378">
            <v>204.756</v>
          </cell>
        </row>
        <row r="379">
          <cell r="AI379">
            <v>1.3570402848080856</v>
          </cell>
          <cell r="AJ379">
            <v>1.7828717938742051</v>
          </cell>
          <cell r="AK379">
            <v>1.8434094106434529</v>
          </cell>
          <cell r="AL379">
            <v>1.8724371571676901</v>
          </cell>
          <cell r="AP379">
            <v>1.1416605483583264</v>
          </cell>
          <cell r="AQ379">
            <v>1.160998212631944</v>
          </cell>
          <cell r="AR379">
            <v>1.1585421420536972</v>
          </cell>
          <cell r="AS379">
            <v>4.2301842456539696</v>
          </cell>
          <cell r="AV379">
            <v>0.46901592765921296</v>
          </cell>
          <cell r="AW379">
            <v>0.56425667716755312</v>
          </cell>
          <cell r="AX379">
            <v>0.55628239200931129</v>
          </cell>
          <cell r="AY379">
            <v>1.7549265036221993</v>
          </cell>
        </row>
        <row r="380">
          <cell r="AI380">
            <v>1.3160686189912016</v>
          </cell>
          <cell r="AJ380">
            <v>1.7419001280573212</v>
          </cell>
          <cell r="AK380">
            <v>1.8024377448265689</v>
          </cell>
          <cell r="AL380">
            <v>1.8314654913508062</v>
          </cell>
          <cell r="AP380">
            <v>1.1006888825414425</v>
          </cell>
          <cell r="AQ380">
            <v>1.1200265468150601</v>
          </cell>
          <cell r="AR380">
            <v>1.1175704762368133</v>
          </cell>
          <cell r="AS380">
            <v>4.0662975823864338</v>
          </cell>
          <cell r="AV380">
            <v>0.42804426184232902</v>
          </cell>
          <cell r="AW380">
            <v>0.52328501135066918</v>
          </cell>
          <cell r="AX380">
            <v>0.51531072619242735</v>
          </cell>
          <cell r="AY380">
            <v>1.5910398403546635</v>
          </cell>
          <cell r="BB380">
            <v>0.77868852459016391</v>
          </cell>
          <cell r="BC380">
            <v>0.44175847197110807</v>
          </cell>
          <cell r="BD380">
            <v>2.2762036564935539E-2</v>
          </cell>
          <cell r="BE380">
            <v>1.8496316412905707</v>
          </cell>
          <cell r="BH380">
            <v>1.2528837777378927</v>
          </cell>
          <cell r="BI380">
            <v>0.90705004648631482</v>
          </cell>
          <cell r="BJ380">
            <v>0.88075169647379881</v>
          </cell>
          <cell r="BK380">
            <v>4.0824722703660434</v>
          </cell>
          <cell r="BN380">
            <v>0.81705097392476089</v>
          </cell>
          <cell r="BO380">
            <v>1.1782326510234646</v>
          </cell>
          <cell r="BP380">
            <v>0.8669345735314038</v>
          </cell>
          <cell r="BQ380">
            <v>3.373063607407357</v>
          </cell>
          <cell r="BT380">
            <v>0.34591670192830809</v>
          </cell>
          <cell r="BU380">
            <v>0.55308065927214589</v>
          </cell>
          <cell r="BV380">
            <v>0.38067033375903792</v>
          </cell>
          <cell r="BW380">
            <v>1.708096637714736</v>
          </cell>
          <cell r="BZ380">
            <v>0.24431280098329608</v>
          </cell>
          <cell r="CA380">
            <v>0.58181708275403499</v>
          </cell>
          <cell r="CB380">
            <v>0.67752725221140864</v>
          </cell>
          <cell r="CC380">
            <v>1.722783050232727</v>
          </cell>
          <cell r="CF380">
            <v>0.44486241446602093</v>
          </cell>
          <cell r="CG380">
            <v>0.54445832263770044</v>
          </cell>
          <cell r="CH380">
            <v>0.43467649624583377</v>
          </cell>
          <cell r="CI380">
            <v>2.0708349436853353</v>
          </cell>
          <cell r="CL380">
            <v>1.1532560975609756</v>
          </cell>
          <cell r="CM380">
            <v>1.2898039215686274</v>
          </cell>
          <cell r="CN380">
            <v>1.1921576354679801</v>
          </cell>
          <cell r="CO380">
            <v>4.634028000935202</v>
          </cell>
          <cell r="CR380">
            <v>0.58046049749306328</v>
          </cell>
          <cell r="CS380">
            <v>0.60290382538122422</v>
          </cell>
          <cell r="CT380">
            <v>0.64810080348251442</v>
          </cell>
          <cell r="CU380">
            <v>2.4459986030700964</v>
          </cell>
          <cell r="CX380">
            <v>0.89097372807599795</v>
          </cell>
          <cell r="CY380">
            <v>0.42434344775363581</v>
          </cell>
          <cell r="CZ380">
            <v>0.50203320991478706</v>
          </cell>
          <cell r="DA380">
            <v>2.6896392343133053</v>
          </cell>
          <cell r="DD380">
            <v>0.4537683465785079</v>
          </cell>
          <cell r="DE380">
            <v>0.52814734966504728</v>
          </cell>
          <cell r="DF380">
            <v>0.41942637419913165</v>
          </cell>
          <cell r="DG380">
            <v>1.8286676779417284</v>
          </cell>
        </row>
        <row r="382">
          <cell r="D382">
            <v>11.111354969558082</v>
          </cell>
          <cell r="E382">
            <v>7.4195781703060728</v>
          </cell>
          <cell r="F382">
            <v>12.805755004567585</v>
          </cell>
          <cell r="G382">
            <v>10.089132457468377</v>
          </cell>
          <cell r="H382">
            <v>7.050514310454453</v>
          </cell>
          <cell r="J382">
            <v>5.7850858098956808</v>
          </cell>
          <cell r="K382">
            <v>7.9009433962264159</v>
          </cell>
          <cell r="L382">
            <v>6.4633246022727278</v>
          </cell>
          <cell r="M382">
            <v>3.6925530113636369</v>
          </cell>
          <cell r="N382">
            <v>3.8949332386363635</v>
          </cell>
          <cell r="P382">
            <v>5.4487640171774263</v>
          </cell>
          <cell r="Q382">
            <v>8.3667473168917788</v>
          </cell>
          <cell r="R382">
            <v>5.0448548027728064</v>
          </cell>
          <cell r="S382">
            <v>5.0839147772811524</v>
          </cell>
          <cell r="T382">
            <v>4.3047122791119188</v>
          </cell>
          <cell r="U382">
            <v>3.4961722198688281</v>
          </cell>
          <cell r="V382">
            <v>4.1524453413068976</v>
          </cell>
          <cell r="W382">
            <v>4.7887740969309647</v>
          </cell>
          <cell r="X382">
            <v>4.503044011839159</v>
          </cell>
          <cell r="Y382">
            <v>4.1301791215735868</v>
          </cell>
          <cell r="Z382">
            <v>1.7891801735428947</v>
          </cell>
          <cell r="AI382">
            <v>2.8445393743266232</v>
          </cell>
          <cell r="AJ382">
            <v>3.2703708833927423</v>
          </cell>
          <cell r="AK382">
            <v>3.3309085001619905</v>
          </cell>
          <cell r="AL382">
            <v>3.3599362466862277</v>
          </cell>
          <cell r="AM382">
            <v>12.805755004567585</v>
          </cell>
          <cell r="AO382">
            <v>2.2337203955636036</v>
          </cell>
          <cell r="AP382">
            <v>2.6063976013119285</v>
          </cell>
          <cell r="AQ382">
            <v>2.6257352655855462</v>
          </cell>
          <cell r="AR382">
            <v>2.6232791950072989</v>
          </cell>
          <cell r="AS382">
            <v>10.089132457468377</v>
          </cell>
          <cell r="AU382">
            <v>1.1623487083302984</v>
          </cell>
          <cell r="AV382">
            <v>1.9018861294219052</v>
          </cell>
          <cell r="AW382">
            <v>1.9971268789302454</v>
          </cell>
          <cell r="AX382">
            <v>1.9891525937720036</v>
          </cell>
          <cell r="AY382">
            <v>7.050514310454453</v>
          </cell>
          <cell r="BA382">
            <v>1.5548128525116385</v>
          </cell>
          <cell r="BB382">
            <v>1.766848816029144</v>
          </cell>
          <cell r="BC382">
            <v>1.4436849032457861</v>
          </cell>
          <cell r="BD382">
            <v>1.0197392381091122</v>
          </cell>
          <cell r="BE382">
            <v>5.7850858098956808</v>
          </cell>
          <cell r="BG382">
            <v>1.8999799327962155</v>
          </cell>
          <cell r="BH382">
            <v>2.1240363695262947</v>
          </cell>
          <cell r="BI382">
            <v>1.7868885915780404</v>
          </cell>
          <cell r="BJ382">
            <v>2.0900739740155432</v>
          </cell>
          <cell r="BK382">
            <v>7.9009433962264159</v>
          </cell>
          <cell r="BM382">
            <v>1.290186337902115</v>
          </cell>
          <cell r="BN382">
            <v>1.5863358909123819</v>
          </cell>
          <cell r="BO382">
            <v>1.9470793809286069</v>
          </cell>
          <cell r="BP382">
            <v>1.6525940307942386</v>
          </cell>
          <cell r="BQ382">
            <v>6.4761956405373429</v>
          </cell>
          <cell r="BS382">
            <v>1.1739607890547867</v>
          </cell>
          <cell r="BT382">
            <v>1.0612242841886801</v>
          </cell>
          <cell r="BU382">
            <v>1.2670575103325523</v>
          </cell>
          <cell r="BV382">
            <v>1.0946471848194443</v>
          </cell>
          <cell r="BW382">
            <v>4.5968897683954637</v>
          </cell>
          <cell r="BY382">
            <v>1.0301436660017329</v>
          </cell>
          <cell r="BZ382">
            <v>1.0251062886618711</v>
          </cell>
          <cell r="CA382">
            <v>1.3071994196941306</v>
          </cell>
          <cell r="CB382">
            <v>1.4633581172298455</v>
          </cell>
          <cell r="CC382">
            <v>4.8258074915875806</v>
          </cell>
          <cell r="CE382">
            <v>1.3986225686823583</v>
          </cell>
          <cell r="CF382">
            <v>1.1961999465491422</v>
          </cell>
          <cell r="CG382">
            <v>1.2957958547208217</v>
          </cell>
          <cell r="CH382">
            <v>1.261652034914504</v>
          </cell>
          <cell r="CI382">
            <v>5.152270404866826</v>
          </cell>
        </row>
        <row r="383">
          <cell r="CM383">
            <v>3.4418703654672211</v>
          </cell>
          <cell r="CX383">
            <v>0.700973728075998</v>
          </cell>
          <cell r="CY383">
            <v>0.42434344775363581</v>
          </cell>
          <cell r="CZ383">
            <v>0.50203320991478706</v>
          </cell>
          <cell r="DA383">
            <v>2.2796392343133052</v>
          </cell>
        </row>
        <row r="391">
          <cell r="AP391">
            <v>0</v>
          </cell>
          <cell r="AQ391">
            <v>0</v>
          </cell>
          <cell r="AR391">
            <v>0</v>
          </cell>
          <cell r="AS391">
            <v>0</v>
          </cell>
          <cell r="AV391">
            <v>0</v>
          </cell>
          <cell r="AW391">
            <v>0</v>
          </cell>
          <cell r="AX391">
            <v>0</v>
          </cell>
          <cell r="AY391">
            <v>0</v>
          </cell>
          <cell r="BB391">
            <v>0</v>
          </cell>
          <cell r="BC391">
            <v>0</v>
          </cell>
          <cell r="BD391">
            <v>0</v>
          </cell>
          <cell r="BE391">
            <v>0</v>
          </cell>
          <cell r="CB391" t="str">
            <v xml:space="preserve"> </v>
          </cell>
        </row>
        <row r="392">
          <cell r="AP392">
            <v>0</v>
          </cell>
          <cell r="AQ392">
            <v>0</v>
          </cell>
          <cell r="AR392">
            <v>0</v>
          </cell>
          <cell r="AS392">
            <v>0</v>
          </cell>
          <cell r="AV392">
            <v>0</v>
          </cell>
          <cell r="AW392">
            <v>0</v>
          </cell>
          <cell r="AX392">
            <v>0</v>
          </cell>
          <cell r="AY392">
            <v>0</v>
          </cell>
          <cell r="BB392">
            <v>0</v>
          </cell>
          <cell r="BC392">
            <v>0</v>
          </cell>
          <cell r="BD392">
            <v>0</v>
          </cell>
          <cell r="BE392">
            <v>0</v>
          </cell>
          <cell r="BZ392">
            <v>7.9615467658468983E-2</v>
          </cell>
          <cell r="CA392">
            <v>8.2556468258819626E-2</v>
          </cell>
          <cell r="CB392">
            <v>9.5020342209075528E-2</v>
          </cell>
          <cell r="CC392">
            <v>9.6683922234975295E-2</v>
          </cell>
          <cell r="CF392">
            <v>0.18421052631578946</v>
          </cell>
          <cell r="CG392">
            <v>0.22338204592901878</v>
          </cell>
          <cell r="CH392">
            <v>0.15390447308567096</v>
          </cell>
          <cell r="CI392">
            <v>0.14809160305343511</v>
          </cell>
          <cell r="CL392">
            <v>6.6089693154996063E-2</v>
          </cell>
          <cell r="CM392">
            <v>8.6383340311814966E-2</v>
          </cell>
          <cell r="CN392">
            <v>1.9008264462809916E-2</v>
          </cell>
          <cell r="CO392">
            <v>4.4135647378660783E-2</v>
          </cell>
          <cell r="CR392">
            <v>0.24371069182389929</v>
          </cell>
          <cell r="CS392">
            <v>0.2096244131455399</v>
          </cell>
          <cell r="CT392">
            <v>0.3133242692046227</v>
          </cell>
          <cell r="CU392">
            <v>0.27384379556585781</v>
          </cell>
          <cell r="CX392">
            <v>0.25464037122969835</v>
          </cell>
          <cell r="CY392">
            <v>0.20604370896663379</v>
          </cell>
          <cell r="CZ392">
            <v>0.22131689172626226</v>
          </cell>
          <cell r="DA392">
            <v>0.23724515436752103</v>
          </cell>
          <cell r="DD392">
            <v>0.1809623430962343</v>
          </cell>
          <cell r="DE392">
            <v>0.15920345590559479</v>
          </cell>
          <cell r="DF392">
            <v>0.21076090417064622</v>
          </cell>
          <cell r="DG392">
            <v>0.18303631608746054</v>
          </cell>
        </row>
        <row r="393">
          <cell r="AP393">
            <v>0</v>
          </cell>
          <cell r="AQ393">
            <v>0</v>
          </cell>
          <cell r="AR393">
            <v>0</v>
          </cell>
          <cell r="AS393">
            <v>0</v>
          </cell>
          <cell r="AV393">
            <v>0</v>
          </cell>
          <cell r="AW393">
            <v>0</v>
          </cell>
          <cell r="AX393">
            <v>0</v>
          </cell>
          <cell r="AY393">
            <v>0</v>
          </cell>
          <cell r="BB393">
            <v>0</v>
          </cell>
          <cell r="BC393">
            <v>0</v>
          </cell>
          <cell r="BD393">
            <v>0</v>
          </cell>
          <cell r="BE393">
            <v>0</v>
          </cell>
          <cell r="BZ393">
            <v>8.7875675264399308E-2</v>
          </cell>
          <cell r="CA393">
            <v>0.13416214741294044</v>
          </cell>
          <cell r="CB393">
            <v>0.14203940144647412</v>
          </cell>
          <cell r="CC393">
            <v>0.11030253241679346</v>
          </cell>
          <cell r="CF393">
            <v>0.51938599185004242</v>
          </cell>
          <cell r="CG393">
            <v>0.5520199789485849</v>
          </cell>
          <cell r="CH393">
            <v>0.56707506928354634</v>
          </cell>
          <cell r="CI393">
            <v>0.53681805181747067</v>
          </cell>
          <cell r="CL393">
            <v>0.40425138784217979</v>
          </cell>
          <cell r="CM393">
            <v>0.42140756249925604</v>
          </cell>
          <cell r="CN393">
            <v>0.42005560687670096</v>
          </cell>
          <cell r="CO393">
            <v>0.38869307317416674</v>
          </cell>
          <cell r="CR393">
            <v>0.13994955489614241</v>
          </cell>
          <cell r="CS393">
            <v>0.19031244064577396</v>
          </cell>
          <cell r="CT393">
            <v>0.25007240102816963</v>
          </cell>
          <cell r="CU393">
            <v>0.17578287511370286</v>
          </cell>
          <cell r="CX393">
            <v>0.11976896251089797</v>
          </cell>
          <cell r="CY393">
            <v>9.1093117408906882E-2</v>
          </cell>
          <cell r="CZ393">
            <v>8.5392765074270807E-2</v>
          </cell>
          <cell r="DA393">
            <v>0.10347622453285496</v>
          </cell>
          <cell r="DD393">
            <v>0.16370292887029289</v>
          </cell>
          <cell r="DE393">
            <v>0.15214413655041614</v>
          </cell>
          <cell r="DF393">
            <v>0.13254802080016989</v>
          </cell>
          <cell r="DG393">
            <v>0.15701922299210055</v>
          </cell>
        </row>
        <row r="394">
          <cell r="AP394">
            <v>0</v>
          </cell>
          <cell r="AQ394">
            <v>0</v>
          </cell>
          <cell r="AR394">
            <v>0</v>
          </cell>
          <cell r="AS394">
            <v>0</v>
          </cell>
          <cell r="AV394">
            <v>0</v>
          </cell>
          <cell r="AW394">
            <v>0</v>
          </cell>
          <cell r="AX394">
            <v>0</v>
          </cell>
          <cell r="AY394">
            <v>0</v>
          </cell>
          <cell r="BB394">
            <v>0</v>
          </cell>
          <cell r="BC394">
            <v>0</v>
          </cell>
          <cell r="BD394">
            <v>0</v>
          </cell>
          <cell r="BE394">
            <v>0</v>
          </cell>
          <cell r="BZ394">
            <v>7.5525336303156415E-2</v>
          </cell>
          <cell r="CA394">
            <v>0.15327633740844915</v>
          </cell>
          <cell r="CB394">
            <v>0.12948589619468009</v>
          </cell>
          <cell r="CC394">
            <v>0.11407553866275322</v>
          </cell>
          <cell r="CF394">
            <v>1</v>
          </cell>
          <cell r="CG394">
            <v>1</v>
          </cell>
          <cell r="CH394">
            <v>1</v>
          </cell>
          <cell r="CI394">
            <v>1</v>
          </cell>
          <cell r="CL394">
            <v>1</v>
          </cell>
          <cell r="CM394">
            <v>1</v>
          </cell>
          <cell r="CN394">
            <v>1</v>
          </cell>
          <cell r="CO394">
            <v>0.80694650966523318</v>
          </cell>
          <cell r="CR394">
            <v>7.8859060402684492E-2</v>
          </cell>
          <cell r="CS394">
            <v>7.8859060402684492E-2</v>
          </cell>
          <cell r="CT394">
            <v>7.8859060402684505E-2</v>
          </cell>
          <cell r="CU394">
            <v>7.7528902692671056E-2</v>
          </cell>
          <cell r="CX394">
            <v>5.3886010362694331E-2</v>
          </cell>
          <cell r="CY394">
            <v>5.0050556117290215E-2</v>
          </cell>
          <cell r="CZ394">
            <v>5.0050556117290201E-2</v>
          </cell>
          <cell r="DA394">
            <v>5.8956456273648913E-2</v>
          </cell>
          <cell r="DD394">
            <v>1.0251046025104614E-2</v>
          </cell>
          <cell r="DE394">
            <v>1.5277631440311874E-2</v>
          </cell>
          <cell r="DF394">
            <v>1.7722593653825735E-2</v>
          </cell>
          <cell r="DG394">
            <v>1.4370062818473478E-2</v>
          </cell>
        </row>
        <row r="395">
          <cell r="AP395">
            <v>0</v>
          </cell>
          <cell r="AQ395">
            <v>0</v>
          </cell>
          <cell r="AR395">
            <v>0</v>
          </cell>
          <cell r="AS395">
            <v>0</v>
          </cell>
          <cell r="AV395">
            <v>0</v>
          </cell>
          <cell r="AW395">
            <v>0</v>
          </cell>
          <cell r="AX395">
            <v>0</v>
          </cell>
          <cell r="AY395">
            <v>0</v>
          </cell>
          <cell r="BB395">
            <v>0</v>
          </cell>
          <cell r="BC395">
            <v>0</v>
          </cell>
          <cell r="BD395">
            <v>0</v>
          </cell>
          <cell r="BE395">
            <v>0</v>
          </cell>
          <cell r="CF395">
            <v>0.88</v>
          </cell>
          <cell r="CG395">
            <v>0.88</v>
          </cell>
          <cell r="CH395">
            <v>0.88</v>
          </cell>
          <cell r="CI395">
            <v>0.87999999999999989</v>
          </cell>
          <cell r="CL395">
            <v>0.88</v>
          </cell>
          <cell r="CM395">
            <v>0.88</v>
          </cell>
          <cell r="CN395">
            <v>0.88</v>
          </cell>
          <cell r="CO395">
            <v>0.88165160642570284</v>
          </cell>
          <cell r="CR395">
            <v>0.88210526315789473</v>
          </cell>
          <cell r="CS395">
            <v>0.88755020080321279</v>
          </cell>
          <cell r="CT395">
            <v>0.8875502008032129</v>
          </cell>
          <cell r="CU395">
            <v>0.91900125952184886</v>
          </cell>
          <cell r="CX395">
            <v>1.1929078014184396</v>
          </cell>
          <cell r="CY395">
            <v>1</v>
          </cell>
          <cell r="CZ395">
            <v>1</v>
          </cell>
          <cell r="DA395">
            <v>0.78998505231689087</v>
          </cell>
          <cell r="DD395">
            <v>0.13451882845188287</v>
          </cell>
          <cell r="DE395">
            <v>0.12896428195132231</v>
          </cell>
          <cell r="DF395">
            <v>0.11333970073225087</v>
          </cell>
          <cell r="DG395">
            <v>0.12876439028335715</v>
          </cell>
        </row>
        <row r="399">
          <cell r="AP399">
            <v>4.4399520814615179E-2</v>
          </cell>
          <cell r="AQ399">
            <v>4.4399520814615179E-2</v>
          </cell>
          <cell r="AR399">
            <v>4.4399520814615179E-2</v>
          </cell>
          <cell r="AS399">
            <v>4.4399520814615179E-2</v>
          </cell>
          <cell r="AV399">
            <v>4.4399520814615179E-2</v>
          </cell>
          <cell r="AW399">
            <v>4.4399520814615179E-2</v>
          </cell>
          <cell r="AX399">
            <v>4.4399520814615179E-2</v>
          </cell>
          <cell r="AY399">
            <v>4.4399520814615186E-2</v>
          </cell>
          <cell r="BB399">
            <v>4.4399520814615172E-2</v>
          </cell>
          <cell r="BC399">
            <v>4.4399520814615179E-2</v>
          </cell>
          <cell r="BD399">
            <v>4.4399520814615179E-2</v>
          </cell>
          <cell r="BE399">
            <v>4.4399520814615172E-2</v>
          </cell>
          <cell r="BH399">
            <v>4.4399520814615165E-2</v>
          </cell>
          <cell r="BI399">
            <v>4.4399520814615165E-2</v>
          </cell>
          <cell r="BJ399">
            <v>4.4399520814615172E-2</v>
          </cell>
          <cell r="BK399">
            <v>4.4399520814615172E-2</v>
          </cell>
          <cell r="BN399">
            <v>4.4399520814615165E-2</v>
          </cell>
          <cell r="BO399">
            <v>4.4399520814615165E-2</v>
          </cell>
          <cell r="BP399">
            <v>4.4399520814615165E-2</v>
          </cell>
          <cell r="BQ399">
            <v>4.4399520814615158E-2</v>
          </cell>
          <cell r="BT399">
            <v>4.4399520814615165E-2</v>
          </cell>
          <cell r="BU399">
            <v>4.4399520814615165E-2</v>
          </cell>
          <cell r="BV399">
            <v>4.4399520814615165E-2</v>
          </cell>
          <cell r="BW399">
            <v>4.5798477783299131E-2</v>
          </cell>
          <cell r="BZ399">
            <v>4.4399520814615165E-2</v>
          </cell>
          <cell r="CA399">
            <v>4.4399520814615165E-2</v>
          </cell>
          <cell r="CB399">
            <v>4.4399520814615165E-2</v>
          </cell>
          <cell r="CC399">
            <v>5.036537296689577E-2</v>
          </cell>
          <cell r="CF399">
            <v>4.4399520814615158E-2</v>
          </cell>
          <cell r="CG399">
            <v>4.4399520814615158E-2</v>
          </cell>
          <cell r="CH399">
            <v>4.4399520814615158E-2</v>
          </cell>
          <cell r="CI399">
            <v>4.4399520814615158E-2</v>
          </cell>
          <cell r="CL399">
            <v>4.4399520814615158E-2</v>
          </cell>
          <cell r="CM399">
            <v>4.4399520814615158E-2</v>
          </cell>
          <cell r="CN399">
            <v>4.4399520814615158E-2</v>
          </cell>
          <cell r="CO399">
            <v>4.4399520814615158E-2</v>
          </cell>
          <cell r="CR399">
            <v>4.4399520814615158E-2</v>
          </cell>
          <cell r="CS399">
            <v>4.4399520814615158E-2</v>
          </cell>
          <cell r="CT399">
            <v>4.4399520814615158E-2</v>
          </cell>
          <cell r="CU399">
            <v>4.4893685781466533E-2</v>
          </cell>
          <cell r="CX399">
            <v>5.1126947298641041E-2</v>
          </cell>
          <cell r="CY399">
            <v>5.6389963126180408E-2</v>
          </cell>
          <cell r="CZ399">
            <v>5.6389963126180408E-2</v>
          </cell>
          <cell r="DA399">
            <v>5.4947234071526907E-2</v>
          </cell>
          <cell r="DD399">
            <v>5.6380753138075314E-2</v>
          </cell>
          <cell r="DE399">
            <v>5.9213992203139817E-2</v>
          </cell>
          <cell r="DF399">
            <v>6.0490289716650748E-2</v>
          </cell>
          <cell r="DG399">
            <v>5.9933676633145506E-2</v>
          </cell>
        </row>
        <row r="400">
          <cell r="AP400">
            <v>6.8644906033630076E-2</v>
          </cell>
          <cell r="AQ400">
            <v>6.8644906033630076E-2</v>
          </cell>
          <cell r="AR400">
            <v>6.8644906033630076E-2</v>
          </cell>
          <cell r="AS400">
            <v>6.8644906033630063E-2</v>
          </cell>
          <cell r="AV400">
            <v>6.8644906033630076E-2</v>
          </cell>
          <cell r="AW400">
            <v>6.8644906033630076E-2</v>
          </cell>
          <cell r="AX400">
            <v>6.8644906033630076E-2</v>
          </cell>
          <cell r="AY400">
            <v>6.8644906033630076E-2</v>
          </cell>
          <cell r="BB400">
            <v>6.8644906033630076E-2</v>
          </cell>
          <cell r="BC400">
            <v>6.8644906033630076E-2</v>
          </cell>
          <cell r="BD400">
            <v>6.8644906033630076E-2</v>
          </cell>
          <cell r="BE400">
            <v>6.8644906033630076E-2</v>
          </cell>
          <cell r="BH400">
            <v>6.8644906033630076E-2</v>
          </cell>
          <cell r="BI400">
            <v>6.8644906033630076E-2</v>
          </cell>
          <cell r="BJ400">
            <v>6.8644906033630076E-2</v>
          </cell>
          <cell r="BK400">
            <v>6.8644906033630076E-2</v>
          </cell>
          <cell r="BN400">
            <v>6.8644906033630076E-2</v>
          </cell>
          <cell r="BO400">
            <v>6.8644906033630076E-2</v>
          </cell>
          <cell r="BP400">
            <v>6.8644906033630076E-2</v>
          </cell>
          <cell r="BQ400">
            <v>6.8644906033630076E-2</v>
          </cell>
          <cell r="BT400">
            <v>6.8644906033630076E-2</v>
          </cell>
          <cell r="BU400">
            <v>6.8644906033630076E-2</v>
          </cell>
          <cell r="BV400">
            <v>6.8644906033630076E-2</v>
          </cell>
          <cell r="BW400">
            <v>6.8772262074508803E-2</v>
          </cell>
          <cell r="BZ400">
            <v>6.8644906033630076E-2</v>
          </cell>
          <cell r="CA400">
            <v>6.8644906033630076E-2</v>
          </cell>
          <cell r="CB400">
            <v>6.8644906033630076E-2</v>
          </cell>
          <cell r="CC400">
            <v>6.864490603363009E-2</v>
          </cell>
          <cell r="CF400">
            <v>6.8644906033630076E-2</v>
          </cell>
          <cell r="CG400">
            <v>6.8644906033630076E-2</v>
          </cell>
          <cell r="CH400">
            <v>6.8644906033630076E-2</v>
          </cell>
          <cell r="CI400">
            <v>6.864490603363009E-2</v>
          </cell>
          <cell r="CL400">
            <v>6.8644906033630076E-2</v>
          </cell>
          <cell r="CM400">
            <v>6.8644906033630076E-2</v>
          </cell>
          <cell r="CN400">
            <v>6.8644906033630076E-2</v>
          </cell>
          <cell r="CO400">
            <v>6.8644906033630076E-2</v>
          </cell>
          <cell r="CR400">
            <v>6.8644906033630076E-2</v>
          </cell>
          <cell r="CS400">
            <v>6.8644906033630076E-2</v>
          </cell>
          <cell r="CT400">
            <v>6.8644906033630076E-2</v>
          </cell>
          <cell r="CU400">
            <v>6.9414126738543816E-2</v>
          </cell>
          <cell r="CX400">
            <v>7.5305143853530945E-2</v>
          </cell>
          <cell r="CY400">
            <v>8.0859199280251912E-2</v>
          </cell>
          <cell r="CZ400">
            <v>8.0859199280251912E-2</v>
          </cell>
          <cell r="DA400">
            <v>7.8612887778052767E-2</v>
          </cell>
          <cell r="DD400">
            <v>8.0998080614203466E-2</v>
          </cell>
          <cell r="DE400">
            <v>7.834370139968895E-2</v>
          </cell>
          <cell r="DF400">
            <v>8.3989501312335957E-2</v>
          </cell>
          <cell r="DG400">
            <v>8.0171121960651626E-2</v>
          </cell>
        </row>
        <row r="401">
          <cell r="AP401">
            <v>5.3691275167785227E-2</v>
          </cell>
          <cell r="AQ401">
            <v>5.3691275167785227E-2</v>
          </cell>
          <cell r="AR401">
            <v>5.3691275167785227E-2</v>
          </cell>
          <cell r="AS401">
            <v>5.3691275167785227E-2</v>
          </cell>
          <cell r="AV401">
            <v>5.3691275167785227E-2</v>
          </cell>
          <cell r="AW401">
            <v>5.3691275167785227E-2</v>
          </cell>
          <cell r="AX401">
            <v>5.3691275167785227E-2</v>
          </cell>
          <cell r="AY401">
            <v>5.3691275167785227E-2</v>
          </cell>
          <cell r="BB401">
            <v>5.3691275167785234E-2</v>
          </cell>
          <cell r="BC401">
            <v>5.3691275167785227E-2</v>
          </cell>
          <cell r="BD401">
            <v>5.3691275167785227E-2</v>
          </cell>
          <cell r="BE401">
            <v>5.3691275167785227E-2</v>
          </cell>
          <cell r="BH401">
            <v>5.3691275167785248E-2</v>
          </cell>
          <cell r="BI401">
            <v>5.3691275167785241E-2</v>
          </cell>
          <cell r="BJ401">
            <v>5.3691275167785241E-2</v>
          </cell>
          <cell r="BK401">
            <v>5.3691275167785234E-2</v>
          </cell>
          <cell r="BN401">
            <v>5.3691275167785241E-2</v>
          </cell>
          <cell r="BO401">
            <v>5.3691275167785248E-2</v>
          </cell>
          <cell r="BP401">
            <v>5.3691275167785248E-2</v>
          </cell>
          <cell r="BQ401">
            <v>5.3691275167785241E-2</v>
          </cell>
          <cell r="BT401">
            <v>5.3691275167785241E-2</v>
          </cell>
          <cell r="BU401">
            <v>5.3691275167785241E-2</v>
          </cell>
          <cell r="BV401">
            <v>5.3691275167785241E-2</v>
          </cell>
          <cell r="BW401">
            <v>5.3691275167785234E-2</v>
          </cell>
          <cell r="BZ401">
            <v>5.3691275167785241E-2</v>
          </cell>
          <cell r="CA401">
            <v>5.3691275167785241E-2</v>
          </cell>
          <cell r="CB401">
            <v>5.3691275167785241E-2</v>
          </cell>
          <cell r="CC401">
            <v>5.3691275167785248E-2</v>
          </cell>
          <cell r="CF401">
            <v>5.3691275167785241E-2</v>
          </cell>
          <cell r="CG401">
            <v>5.3691275167785241E-2</v>
          </cell>
          <cell r="CH401">
            <v>5.3691275167785241E-2</v>
          </cell>
          <cell r="CI401">
            <v>5.3691275167785241E-2</v>
          </cell>
          <cell r="CL401">
            <v>5.3691275167785241E-2</v>
          </cell>
          <cell r="CM401">
            <v>5.3691275167785241E-2</v>
          </cell>
          <cell r="CN401">
            <v>5.3691275167785241E-2</v>
          </cell>
          <cell r="CO401">
            <v>5.3691275167785234E-2</v>
          </cell>
          <cell r="CR401">
            <v>5.3691275167785234E-2</v>
          </cell>
          <cell r="CS401">
            <v>5.3691275167785234E-2</v>
          </cell>
          <cell r="CT401">
            <v>5.3691275167785234E-2</v>
          </cell>
          <cell r="CU401">
            <v>5.4059053916806835E-2</v>
          </cell>
          <cell r="CX401">
            <v>5.8031088082901548E-2</v>
          </cell>
          <cell r="CY401">
            <v>6.2184024266936297E-2</v>
          </cell>
          <cell r="CZ401">
            <v>6.2184024266936297E-2</v>
          </cell>
          <cell r="DA401">
            <v>6.7829557159282433E-2</v>
          </cell>
          <cell r="DD401">
            <v>8.4175084175084181E-2</v>
          </cell>
          <cell r="DE401">
            <v>6.8508287292817688E-2</v>
          </cell>
          <cell r="DF401">
            <v>5.6383970177073625E-2</v>
          </cell>
          <cell r="DG401">
            <v>7.1997682167173699E-2</v>
          </cell>
        </row>
        <row r="402">
          <cell r="AP402">
            <v>0</v>
          </cell>
          <cell r="AQ402">
            <v>0</v>
          </cell>
          <cell r="AR402">
            <v>0</v>
          </cell>
          <cell r="AS402">
            <v>0</v>
          </cell>
          <cell r="AV402">
            <v>0</v>
          </cell>
          <cell r="AW402">
            <v>0</v>
          </cell>
          <cell r="AX402">
            <v>0</v>
          </cell>
          <cell r="AY402">
            <v>0</v>
          </cell>
          <cell r="BB402">
            <v>0</v>
          </cell>
          <cell r="BC402">
            <v>0</v>
          </cell>
          <cell r="BD402">
            <v>0</v>
          </cell>
          <cell r="BE402">
            <v>0</v>
          </cell>
          <cell r="BH402">
            <v>0</v>
          </cell>
          <cell r="BI402">
            <v>0</v>
          </cell>
          <cell r="BJ402">
            <v>0</v>
          </cell>
          <cell r="BK402">
            <v>0</v>
          </cell>
          <cell r="BN402">
            <v>0</v>
          </cell>
          <cell r="BO402">
            <v>0</v>
          </cell>
          <cell r="BP402">
            <v>0</v>
          </cell>
          <cell r="BQ402">
            <v>0</v>
          </cell>
          <cell r="BT402">
            <v>0</v>
          </cell>
          <cell r="BU402">
            <v>0</v>
          </cell>
          <cell r="BV402">
            <v>0</v>
          </cell>
          <cell r="BW402">
            <v>0</v>
          </cell>
          <cell r="BZ402">
            <v>0</v>
          </cell>
          <cell r="CA402">
            <v>0</v>
          </cell>
          <cell r="CB402">
            <v>0</v>
          </cell>
          <cell r="CC402">
            <v>0</v>
          </cell>
          <cell r="CF402">
            <v>1.9649122807017545E-2</v>
          </cell>
          <cell r="CG402">
            <v>2.1823242867084206E-2</v>
          </cell>
          <cell r="CH402">
            <v>2.3775587566338137E-2</v>
          </cell>
          <cell r="CI402">
            <v>2.2335877862595423E-2</v>
          </cell>
          <cell r="CL402">
            <v>2.2029897718332025E-2</v>
          </cell>
          <cell r="CM402">
            <v>2.155119332036157E-2</v>
          </cell>
          <cell r="CN402">
            <v>2.3140495867768597E-2</v>
          </cell>
          <cell r="CO402">
            <v>2.1645858296934793E-2</v>
          </cell>
          <cell r="CR402">
            <v>1.9916142557651995E-2</v>
          </cell>
          <cell r="CS402">
            <v>2.1821596244131457E-2</v>
          </cell>
          <cell r="CT402">
            <v>1.8653976886471788E-2</v>
          </cell>
          <cell r="CU402">
            <v>2.1502972295958427E-2</v>
          </cell>
          <cell r="CX402">
            <v>4.2426251242956584E-2</v>
          </cell>
          <cell r="CY402">
            <v>3.8312797913481425E-2</v>
          </cell>
          <cell r="CZ402">
            <v>3.5965067432854846E-2</v>
          </cell>
          <cell r="DA402">
            <v>4.0244201898924171E-2</v>
          </cell>
          <cell r="DD402">
            <v>7.5836820083682005E-2</v>
          </cell>
          <cell r="DE402">
            <v>6.4692866926562009E-2</v>
          </cell>
          <cell r="DF402">
            <v>7.6408787010506213E-2</v>
          </cell>
          <cell r="DG402">
            <v>6.9558653042517044E-2</v>
          </cell>
        </row>
        <row r="405">
          <cell r="AI405">
            <v>0.6</v>
          </cell>
          <cell r="AJ405">
            <v>0.6</v>
          </cell>
          <cell r="AK405">
            <v>0.6</v>
          </cell>
          <cell r="AL405">
            <v>0.63347107438016526</v>
          </cell>
          <cell r="AP405">
            <v>0.5665289256198347</v>
          </cell>
          <cell r="AQ405">
            <v>0.5665289256198347</v>
          </cell>
          <cell r="AR405">
            <v>0.6</v>
          </cell>
          <cell r="AS405">
            <v>0.56652892561983481</v>
          </cell>
          <cell r="AV405">
            <v>0.48388429752066114</v>
          </cell>
          <cell r="AW405">
            <v>0.48388429752066114</v>
          </cell>
          <cell r="AX405">
            <v>0.53305785123966942</v>
          </cell>
          <cell r="AY405">
            <v>0.48780991735537188</v>
          </cell>
          <cell r="BB405">
            <v>0.48496240601503759</v>
          </cell>
          <cell r="BC405">
            <v>0.39591836734693875</v>
          </cell>
          <cell r="BD405">
            <v>0.42148760330578511</v>
          </cell>
          <cell r="BE405">
            <v>0.4580078125</v>
          </cell>
          <cell r="BH405">
            <v>0.43956043956043955</v>
          </cell>
          <cell r="BI405">
            <v>0.73509933774834435</v>
          </cell>
          <cell r="BJ405">
            <v>0.48432055749128922</v>
          </cell>
          <cell r="BK405">
            <v>0.53327171903881698</v>
          </cell>
          <cell r="BN405">
            <v>0.8125</v>
          </cell>
          <cell r="BO405">
            <v>0.7831325301204819</v>
          </cell>
          <cell r="BP405">
            <v>0.88819875776397517</v>
          </cell>
          <cell r="BQ405">
            <v>0.81554878048780488</v>
          </cell>
          <cell r="BT405">
            <v>0.77124183006535951</v>
          </cell>
          <cell r="BU405">
            <v>0.6797385620915033</v>
          </cell>
          <cell r="BV405">
            <v>0.64804469273743015</v>
          </cell>
          <cell r="BW405">
            <v>0.76572327044025157</v>
          </cell>
        </row>
        <row r="406">
          <cell r="AI406">
            <v>3.7279157422245232E-2</v>
          </cell>
          <cell r="AJ406">
            <v>6.9684261910094566E-2</v>
          </cell>
          <cell r="AK406">
            <v>5.993999881002194E-2</v>
          </cell>
          <cell r="AL406">
            <v>4.2393195964255177E-2</v>
          </cell>
          <cell r="AP406">
            <v>6.2569599811217749E-2</v>
          </cell>
          <cell r="AQ406">
            <v>5.2686370774058626E-2</v>
          </cell>
          <cell r="AR406">
            <v>3.4871077689172802E-2</v>
          </cell>
          <cell r="AS406">
            <v>4.5259416415160451E-2</v>
          </cell>
          <cell r="AV406">
            <v>3.3885719131125668E-2</v>
          </cell>
          <cell r="AW406">
            <v>3.3237620490320544E-2</v>
          </cell>
          <cell r="AX406">
            <v>1.4610674440385647E-2</v>
          </cell>
          <cell r="AY406">
            <v>2.0435130327459878E-2</v>
          </cell>
          <cell r="BB406">
            <v>6.2929061784897031E-2</v>
          </cell>
          <cell r="BC406">
            <v>3.3928571428571426E-2</v>
          </cell>
          <cell r="BD406">
            <v>-4.7026279391424619E-2</v>
          </cell>
          <cell r="BE406">
            <v>1.055324592260953E-2</v>
          </cell>
          <cell r="BH406">
            <v>6.9574247144340601E-2</v>
          </cell>
          <cell r="BI406">
            <v>3.4246575342465752E-2</v>
          </cell>
          <cell r="BJ406">
            <v>1.1994949494949494E-2</v>
          </cell>
          <cell r="BK406">
            <v>4.9654576856649396E-2</v>
          </cell>
          <cell r="BN406">
            <v>0.12322946175637393</v>
          </cell>
          <cell r="BO406">
            <v>0.15108451757666416</v>
          </cell>
          <cell r="BP406">
            <v>7.5117370892018781E-2</v>
          </cell>
          <cell r="BQ406">
            <v>0.10604929051530994</v>
          </cell>
          <cell r="BT406">
            <v>4.5689655172413794E-2</v>
          </cell>
          <cell r="BU406">
            <v>6.5266316579144792E-2</v>
          </cell>
          <cell r="BV406">
            <v>3.8009049773755653E-2</v>
          </cell>
          <cell r="BW406">
            <v>4.6480446927374304E-2</v>
          </cell>
          <cell r="BZ406">
            <v>3.5215946843853818E-2</v>
          </cell>
          <cell r="CA406">
            <v>3.8156947444204461E-2</v>
          </cell>
          <cell r="CB406">
            <v>5.0620821394460364E-2</v>
          </cell>
          <cell r="CC406">
            <v>4.6318549268079531E-2</v>
          </cell>
          <cell r="CF406">
            <v>0.15862573099415206</v>
          </cell>
          <cell r="CG406">
            <v>0.14627696590118303</v>
          </cell>
          <cell r="CH406">
            <v>0.17134192570128887</v>
          </cell>
          <cell r="CI406">
            <v>0.15370229007633587</v>
          </cell>
          <cell r="CL406">
            <v>0.14791502753737215</v>
          </cell>
          <cell r="CM406">
            <v>0.15085835324253097</v>
          </cell>
          <cell r="CN406">
            <v>0.15123966942148762</v>
          </cell>
          <cell r="CO406">
            <v>0.16266604821357247</v>
          </cell>
          <cell r="CR406">
            <v>0.18194070080862534</v>
          </cell>
          <cell r="CS406">
            <v>0.19758118153364634</v>
          </cell>
          <cell r="CT406">
            <v>0.17539089055064583</v>
          </cell>
          <cell r="CU406">
            <v>0.1937429898680226</v>
          </cell>
          <cell r="CX406">
            <v>0.20036460059661912</v>
          </cell>
          <cell r="CY406">
            <v>0.14911412896843254</v>
          </cell>
          <cell r="CZ406">
            <v>0.21997932364884307</v>
          </cell>
          <cell r="DA406">
            <v>0.19372207054860574</v>
          </cell>
          <cell r="DD406">
            <v>0.13200836820083681</v>
          </cell>
          <cell r="DE406">
            <v>0.10862922768938997</v>
          </cell>
          <cell r="DF406">
            <v>0.18539743181576984</v>
          </cell>
          <cell r="DG406">
            <v>0.13890162033916581</v>
          </cell>
        </row>
        <row r="407">
          <cell r="AI407">
            <v>9.6984637037253685E-2</v>
          </cell>
          <cell r="AJ407">
            <v>0.11084146838495307</v>
          </cell>
          <cell r="AK407">
            <v>0.11978275713612994</v>
          </cell>
          <cell r="AL407">
            <v>0.12843861850582575</v>
          </cell>
          <cell r="AP407">
            <v>6.3271584307888484E-2</v>
          </cell>
          <cell r="AQ407">
            <v>7.3027089567733086E-2</v>
          </cell>
          <cell r="AR407">
            <v>8.2556411709220456E-2</v>
          </cell>
          <cell r="AS407">
            <v>6.8155612340439473E-2</v>
          </cell>
          <cell r="AV407">
            <v>2.5264045491634888E-2</v>
          </cell>
          <cell r="AW407">
            <v>3.4335474740759563E-2</v>
          </cell>
          <cell r="AX407">
            <v>4.2990540961022061E-2</v>
          </cell>
          <cell r="AY407">
            <v>3.3157922032869533E-2</v>
          </cell>
          <cell r="BB407">
            <v>6.6619915848527347E-2</v>
          </cell>
          <cell r="BC407">
            <v>4.3821839080459772E-2</v>
          </cell>
          <cell r="BD407">
            <v>4.2748091603053436E-2</v>
          </cell>
          <cell r="BE407">
            <v>6.7020335985853233E-2</v>
          </cell>
          <cell r="BH407">
            <v>0.15510471204188481</v>
          </cell>
          <cell r="BI407">
            <v>0.16300129366106081</v>
          </cell>
          <cell r="BJ407">
            <v>0.1553455404607206</v>
          </cell>
          <cell r="BK407">
            <v>0.15024827807144001</v>
          </cell>
          <cell r="BN407">
            <v>2.9545454545454545E-2</v>
          </cell>
          <cell r="BO407">
            <v>8.3798882681564241E-2</v>
          </cell>
          <cell r="BP407">
            <v>9.3056549749463133E-2</v>
          </cell>
          <cell r="BQ407">
            <v>6.4052152317880792E-2</v>
          </cell>
          <cell r="BT407">
            <v>3.6730945821854911E-2</v>
          </cell>
          <cell r="BU407">
            <v>6.2734082397003746E-2</v>
          </cell>
          <cell r="BV407">
            <v>3.2598274209012464E-2</v>
          </cell>
          <cell r="BW407">
            <v>4.4758812615955476E-2</v>
          </cell>
          <cell r="BZ407">
            <v>1.9230769230769232E-2</v>
          </cell>
          <cell r="CA407">
            <v>6.5517241379310351E-2</v>
          </cell>
          <cell r="CB407">
            <v>7.3394495412844041E-2</v>
          </cell>
          <cell r="CC407">
            <v>4.1657626383163379E-2</v>
          </cell>
          <cell r="CF407">
            <v>2.9142381348875937E-2</v>
          </cell>
          <cell r="CG407">
            <v>6.9911504424778767E-2</v>
          </cell>
          <cell r="CH407">
            <v>2.8181818181818183E-2</v>
          </cell>
          <cell r="CI407">
            <v>6.6049913941480201E-2</v>
          </cell>
          <cell r="CL407">
            <v>0.20387700534759359</v>
          </cell>
          <cell r="CM407">
            <v>0.23630858720411721</v>
          </cell>
          <cell r="CN407">
            <v>0.20471380471380471</v>
          </cell>
          <cell r="CO407">
            <v>0.2019024734976291</v>
          </cell>
          <cell r="CR407">
            <v>2.9772502472799209E-2</v>
          </cell>
          <cell r="CS407">
            <v>5.9838556505223163E-2</v>
          </cell>
          <cell r="CT407">
            <v>9.6255103709783671E-2</v>
          </cell>
          <cell r="CU407">
            <v>5.0761758758684376E-2</v>
          </cell>
          <cell r="CX407">
            <v>4.8387096774193533E-2</v>
          </cell>
          <cell r="CY407">
            <v>2.8115159694107003E-3</v>
          </cell>
          <cell r="CZ407">
            <v>-2.3764850202227558E-2</v>
          </cell>
          <cell r="DA407">
            <v>1.6973915913060099E-2</v>
          </cell>
          <cell r="DD407">
            <v>6.5067178502879075E-2</v>
          </cell>
          <cell r="DE407">
            <v>5.9486780715396564E-2</v>
          </cell>
          <cell r="DF407">
            <v>4.6466413920482237E-2</v>
          </cell>
          <cell r="DG407">
            <v>6.1512060714458416E-2</v>
          </cell>
        </row>
        <row r="408">
          <cell r="AI408">
            <v>0.17964071856287425</v>
          </cell>
          <cell r="AJ408">
            <v>0.16467065868263472</v>
          </cell>
          <cell r="AK408">
            <v>0.16467065868263472</v>
          </cell>
          <cell r="AL408">
            <v>0.16467065868263472</v>
          </cell>
          <cell r="AP408">
            <v>0.16467065868263472</v>
          </cell>
          <cell r="AQ408">
            <v>0.16467065868263472</v>
          </cell>
          <cell r="AR408">
            <v>0.16467065868263472</v>
          </cell>
          <cell r="AS408">
            <v>0.16841317365269462</v>
          </cell>
          <cell r="AV408">
            <v>0.16467065868263472</v>
          </cell>
          <cell r="AW408">
            <v>0.16467065868263472</v>
          </cell>
          <cell r="AX408">
            <v>0.16467065868263472</v>
          </cell>
          <cell r="AY408">
            <v>0.16841317365269462</v>
          </cell>
          <cell r="BB408">
            <v>0.16711590296495957</v>
          </cell>
          <cell r="BC408">
            <v>0.19132653061224489</v>
          </cell>
          <cell r="BD408">
            <v>0.15934065934065933</v>
          </cell>
          <cell r="BE408">
            <v>0.1806981519507187</v>
          </cell>
          <cell r="BH408">
            <v>0.18209876543209877</v>
          </cell>
          <cell r="BI408">
            <v>0.16129032258064516</v>
          </cell>
          <cell r="BJ408">
            <v>0.17972350230414746</v>
          </cell>
          <cell r="BK408">
            <v>0.17356572258533043</v>
          </cell>
          <cell r="BN408">
            <v>0.14331210191082802</v>
          </cell>
          <cell r="BO408">
            <v>0.18006430868167203</v>
          </cell>
          <cell r="BP408">
            <v>0.12835820895522387</v>
          </cell>
          <cell r="BQ408">
            <v>0.15372168284789645</v>
          </cell>
          <cell r="BT408">
            <v>6.4777327935222673E-2</v>
          </cell>
          <cell r="BU408">
            <v>0.12794612794612795</v>
          </cell>
          <cell r="BV408">
            <v>0.1174934725848564</v>
          </cell>
          <cell r="BW408">
            <v>0.1040268456375839</v>
          </cell>
          <cell r="BZ408">
            <v>2.1834061135371178E-2</v>
          </cell>
          <cell r="CA408">
            <v>9.9585062240663894E-2</v>
          </cell>
          <cell r="CB408">
            <v>7.5794621026894868E-2</v>
          </cell>
          <cell r="CC408">
            <v>6.0384263494967977E-2</v>
          </cell>
          <cell r="CF408">
            <v>1.0256410256410256E-2</v>
          </cell>
          <cell r="CG408">
            <v>1.1299435028248588E-2</v>
          </cell>
          <cell r="CH408">
            <v>8.9795918367346933E-2</v>
          </cell>
          <cell r="CI408">
            <v>4.1250000000000002E-2</v>
          </cell>
          <cell r="CL408">
            <v>-2.2727272727272728E-2</v>
          </cell>
          <cell r="CM408">
            <v>-1.7045454545454544E-2</v>
          </cell>
          <cell r="CN408">
            <v>3.9772727272727272E-2</v>
          </cell>
          <cell r="CO408">
            <v>5.9880239520958087E-3</v>
          </cell>
          <cell r="CR408">
            <v>1.2583892617449589E-2</v>
          </cell>
          <cell r="CS408">
            <v>6.180469715698393E-3</v>
          </cell>
          <cell r="CT408">
            <v>8.7336244541484712E-3</v>
          </cell>
          <cell r="CU408">
            <v>8.2363276960245799E-3</v>
          </cell>
          <cell r="CX408">
            <v>2.1761658031088114E-2</v>
          </cell>
          <cell r="CY408">
            <v>8.5945399393326828E-3</v>
          </cell>
          <cell r="CZ408">
            <v>5.2341597796143252E-2</v>
          </cell>
          <cell r="DA408">
            <v>2.4082116067903673E-2</v>
          </cell>
          <cell r="DD408">
            <v>1.0101010101010178E-2</v>
          </cell>
          <cell r="DE408">
            <v>8.8397790055248591E-3</v>
          </cell>
          <cell r="DF408">
            <v>1.537744641192912E-2</v>
          </cell>
          <cell r="DG408">
            <v>1.8687527162103413E-2</v>
          </cell>
        </row>
        <row r="413">
          <cell r="AK413" t="str">
            <v>2004E</v>
          </cell>
          <cell r="AQ413" t="str">
            <v>2003E</v>
          </cell>
          <cell r="AW413" t="str">
            <v>2002E</v>
          </cell>
          <cell r="BC413">
            <v>2001</v>
          </cell>
          <cell r="BI413">
            <v>2000</v>
          </cell>
          <cell r="BO413">
            <v>1999</v>
          </cell>
          <cell r="BU413">
            <v>1998</v>
          </cell>
          <cell r="CA413">
            <v>1997</v>
          </cell>
          <cell r="CG413">
            <v>1996</v>
          </cell>
          <cell r="CM413">
            <v>1995</v>
          </cell>
          <cell r="CS413">
            <v>1994</v>
          </cell>
          <cell r="CY413">
            <v>1993</v>
          </cell>
          <cell r="DE413">
            <v>1992</v>
          </cell>
        </row>
        <row r="414">
          <cell r="AI414" t="str">
            <v>1QTR</v>
          </cell>
          <cell r="AJ414" t="str">
            <v>2QTR</v>
          </cell>
          <cell r="AK414" t="str">
            <v>3QTR</v>
          </cell>
          <cell r="AL414" t="str">
            <v>4QTR</v>
          </cell>
          <cell r="AP414" t="str">
            <v>2QTR</v>
          </cell>
          <cell r="AQ414" t="str">
            <v>3QTR</v>
          </cell>
          <cell r="AR414" t="str">
            <v>4QTR</v>
          </cell>
          <cell r="AS414" t="str">
            <v>YEAR</v>
          </cell>
          <cell r="AV414" t="str">
            <v>2QTR</v>
          </cell>
          <cell r="AW414" t="str">
            <v>3QTR</v>
          </cell>
          <cell r="AX414" t="str">
            <v>4QTR</v>
          </cell>
          <cell r="AY414" t="str">
            <v>YEAR</v>
          </cell>
          <cell r="BB414" t="str">
            <v>2QTR</v>
          </cell>
          <cell r="BC414" t="str">
            <v>3QTR</v>
          </cell>
          <cell r="BD414" t="str">
            <v>4QTR</v>
          </cell>
          <cell r="BE414" t="str">
            <v>YEAR</v>
          </cell>
          <cell r="BH414" t="str">
            <v>2QTR</v>
          </cell>
          <cell r="BI414" t="str">
            <v>3QTR</v>
          </cell>
          <cell r="BJ414" t="str">
            <v>4QTR</v>
          </cell>
          <cell r="BK414" t="str">
            <v>YEAR</v>
          </cell>
          <cell r="BN414" t="str">
            <v>2QTR</v>
          </cell>
          <cell r="BO414" t="str">
            <v>3QTR</v>
          </cell>
          <cell r="BP414" t="str">
            <v>4QTR</v>
          </cell>
          <cell r="BQ414" t="str">
            <v>YEAR</v>
          </cell>
          <cell r="BT414" t="str">
            <v>2QTR</v>
          </cell>
          <cell r="BU414" t="str">
            <v>3QTR</v>
          </cell>
          <cell r="BV414" t="str">
            <v>4QTR</v>
          </cell>
          <cell r="BW414" t="str">
            <v>YEAR</v>
          </cell>
          <cell r="BZ414" t="str">
            <v>2QTR</v>
          </cell>
          <cell r="CA414" t="str">
            <v>3QTR</v>
          </cell>
          <cell r="CB414" t="str">
            <v>4QTR</v>
          </cell>
          <cell r="CC414" t="str">
            <v>YEAR</v>
          </cell>
          <cell r="CF414" t="str">
            <v>2QTR</v>
          </cell>
          <cell r="CG414" t="str">
            <v>3QTR</v>
          </cell>
          <cell r="CH414" t="str">
            <v>4QTR</v>
          </cell>
          <cell r="CI414" t="str">
            <v>YEAR</v>
          </cell>
          <cell r="CL414" t="str">
            <v>2QTR</v>
          </cell>
          <cell r="CM414" t="str">
            <v>3QTR</v>
          </cell>
          <cell r="CN414" t="str">
            <v>4QTR</v>
          </cell>
          <cell r="CO414" t="str">
            <v>YEAR</v>
          </cell>
          <cell r="CR414" t="str">
            <v>2QTR</v>
          </cell>
          <cell r="CS414" t="str">
            <v>3QTR</v>
          </cell>
          <cell r="CT414" t="str">
            <v>4QTR</v>
          </cell>
          <cell r="CU414" t="str">
            <v>YEAR</v>
          </cell>
          <cell r="CX414" t="str">
            <v>2QTR</v>
          </cell>
          <cell r="CY414" t="str">
            <v>3QTR</v>
          </cell>
          <cell r="CZ414" t="str">
            <v>4QTR</v>
          </cell>
          <cell r="DA414" t="str">
            <v>YEAR</v>
          </cell>
          <cell r="DD414" t="str">
            <v>2QTR</v>
          </cell>
          <cell r="DE414" t="str">
            <v>3QTR</v>
          </cell>
          <cell r="DF414" t="str">
            <v>4QTR</v>
          </cell>
          <cell r="DG414" t="str">
            <v>YEAR</v>
          </cell>
        </row>
        <row r="415">
          <cell r="BB415">
            <v>0.77868852459016391</v>
          </cell>
          <cell r="BC415">
            <v>0.44175847197110807</v>
          </cell>
          <cell r="BD415">
            <v>2.2762036564935539E-2</v>
          </cell>
          <cell r="BE415">
            <v>1.8496316412905707</v>
          </cell>
          <cell r="BH415">
            <v>1.2528837777378927</v>
          </cell>
          <cell r="BI415">
            <v>0.90705004648631482</v>
          </cell>
          <cell r="BJ415">
            <v>0.88075169647379881</v>
          </cell>
          <cell r="BK415">
            <v>4.0824722703660434</v>
          </cell>
          <cell r="BN415">
            <v>0.81705097392476089</v>
          </cell>
          <cell r="BO415">
            <v>1.1782326510234646</v>
          </cell>
          <cell r="BP415">
            <v>0.8669345735314038</v>
          </cell>
          <cell r="BQ415">
            <v>3.373063607407357</v>
          </cell>
          <cell r="BT415">
            <v>0.34591670192830809</v>
          </cell>
          <cell r="BU415">
            <v>0.55308065927214589</v>
          </cell>
          <cell r="BV415">
            <v>0.38067033375903792</v>
          </cell>
          <cell r="BW415">
            <v>1.708096637714736</v>
          </cell>
          <cell r="BZ415">
            <v>0.24431280098329608</v>
          </cell>
          <cell r="CA415">
            <v>0.58181708275403499</v>
          </cell>
          <cell r="CB415">
            <v>0.67752725221140864</v>
          </cell>
          <cell r="CC415">
            <v>1.722783050232727</v>
          </cell>
          <cell r="CF415">
            <v>0.44486241446602093</v>
          </cell>
          <cell r="CG415">
            <v>0.54445832263770044</v>
          </cell>
          <cell r="CH415">
            <v>0.43467649624583377</v>
          </cell>
          <cell r="CI415">
            <v>2.0708349436853353</v>
          </cell>
        </row>
        <row r="416">
          <cell r="BB416">
            <v>219.6</v>
          </cell>
          <cell r="BC416">
            <v>219.577</v>
          </cell>
          <cell r="BD416">
            <v>219.66399999999999</v>
          </cell>
          <cell r="BE416">
            <v>219.54</v>
          </cell>
          <cell r="BH416">
            <v>228.43299999999999</v>
          </cell>
          <cell r="BI416">
            <v>220.495</v>
          </cell>
          <cell r="BJ416">
            <v>219.131</v>
          </cell>
          <cell r="BK416">
            <v>225.56799999999998</v>
          </cell>
          <cell r="BN416">
            <v>198.886</v>
          </cell>
          <cell r="BO416">
            <v>200.3</v>
          </cell>
          <cell r="BP416">
            <v>221.47</v>
          </cell>
          <cell r="BQ416">
            <v>204.88550000000001</v>
          </cell>
          <cell r="BT416">
            <v>198.51599999999999</v>
          </cell>
          <cell r="BU416">
            <v>198.886</v>
          </cell>
          <cell r="BV416">
            <v>198.886</v>
          </cell>
          <cell r="BW416">
            <v>198.70099999999999</v>
          </cell>
          <cell r="BZ416">
            <v>198.51599999999999</v>
          </cell>
          <cell r="CA416">
            <v>198.51599999999999</v>
          </cell>
          <cell r="CB416">
            <v>198.51599999999999</v>
          </cell>
          <cell r="CC416">
            <v>198.51599999999999</v>
          </cell>
          <cell r="CF416">
            <v>198.31299999999999</v>
          </cell>
          <cell r="CG416">
            <v>198.31299999999999</v>
          </cell>
          <cell r="CH416">
            <v>198.31299999999999</v>
          </cell>
          <cell r="CI416">
            <v>198.28349999999998</v>
          </cell>
        </row>
        <row r="419">
          <cell r="AI419">
            <v>651.60965491666661</v>
          </cell>
          <cell r="AJ419">
            <v>791.91650941666671</v>
          </cell>
          <cell r="AK419">
            <v>804.98313941666675</v>
          </cell>
          <cell r="AL419">
            <v>807.14963691666674</v>
          </cell>
          <cell r="AP419">
            <v>590.22886841666673</v>
          </cell>
          <cell r="AQ419">
            <v>592.98079941666663</v>
          </cell>
          <cell r="AR419">
            <v>588.19367691666662</v>
          </cell>
          <cell r="AS419">
            <v>2236.2128970666663</v>
          </cell>
          <cell r="AV419">
            <v>365.53005666666667</v>
          </cell>
          <cell r="AW419">
            <v>397.76395666666673</v>
          </cell>
          <cell r="AX419">
            <v>394.29293166666668</v>
          </cell>
          <cell r="AY419">
            <v>1297.6202783333333</v>
          </cell>
          <cell r="BB419">
            <v>329</v>
          </cell>
          <cell r="BC419">
            <v>229</v>
          </cell>
          <cell r="BD419">
            <v>94</v>
          </cell>
          <cell r="BE419">
            <v>932</v>
          </cell>
          <cell r="BH419">
            <v>527</v>
          </cell>
          <cell r="BI419">
            <v>397</v>
          </cell>
          <cell r="BJ419">
            <v>394</v>
          </cell>
          <cell r="BK419">
            <v>1792</v>
          </cell>
          <cell r="BN419">
            <v>320.5</v>
          </cell>
          <cell r="BO419">
            <v>432</v>
          </cell>
          <cell r="BP419">
            <v>356</v>
          </cell>
          <cell r="BQ419">
            <v>1333.5</v>
          </cell>
          <cell r="BT419">
            <v>173</v>
          </cell>
          <cell r="BU419">
            <v>238</v>
          </cell>
          <cell r="BV419">
            <v>177</v>
          </cell>
          <cell r="BW419">
            <v>789</v>
          </cell>
          <cell r="BZ419">
            <v>162</v>
          </cell>
          <cell r="CA419">
            <v>229</v>
          </cell>
          <cell r="CB419">
            <v>248</v>
          </cell>
          <cell r="CC419">
            <v>796</v>
          </cell>
          <cell r="CF419">
            <v>225</v>
          </cell>
          <cell r="CG419">
            <v>253.2</v>
          </cell>
          <cell r="CH419">
            <v>213</v>
          </cell>
          <cell r="CI419">
            <v>972.4</v>
          </cell>
        </row>
        <row r="420">
          <cell r="D420">
            <v>1163.25</v>
          </cell>
          <cell r="E420">
            <v>864</v>
          </cell>
          <cell r="F420">
            <v>1307</v>
          </cell>
          <cell r="G420">
            <v>1287</v>
          </cell>
          <cell r="H420">
            <v>1163.25</v>
          </cell>
          <cell r="J420">
            <v>864</v>
          </cell>
          <cell r="K420">
            <v>859</v>
          </cell>
          <cell r="L420">
            <v>636</v>
          </cell>
          <cell r="M420">
            <v>574</v>
          </cell>
          <cell r="N420">
            <v>628</v>
          </cell>
          <cell r="P420">
            <v>617</v>
          </cell>
          <cell r="Q420">
            <v>621</v>
          </cell>
          <cell r="R420">
            <v>534</v>
          </cell>
          <cell r="S420">
            <v>486.93099999999998</v>
          </cell>
          <cell r="T420">
            <v>502.74599999999998</v>
          </cell>
          <cell r="U420">
            <v>501.322</v>
          </cell>
          <cell r="V420">
            <v>468.28399999999999</v>
          </cell>
          <cell r="W420">
            <v>400.32499999999999</v>
          </cell>
          <cell r="X420">
            <v>372.97</v>
          </cell>
          <cell r="Y420">
            <v>415</v>
          </cell>
          <cell r="Z420">
            <v>378</v>
          </cell>
          <cell r="AA420">
            <v>350</v>
          </cell>
          <cell r="AB420">
            <v>0</v>
          </cell>
          <cell r="AC420">
            <v>0</v>
          </cell>
          <cell r="AD420">
            <v>0</v>
          </cell>
          <cell r="AE420">
            <v>0</v>
          </cell>
          <cell r="AF420">
            <v>0</v>
          </cell>
          <cell r="AG420">
            <v>0</v>
          </cell>
          <cell r="AI420">
            <v>326.75</v>
          </cell>
          <cell r="AJ420">
            <v>326.75</v>
          </cell>
          <cell r="AK420">
            <v>326.75</v>
          </cell>
          <cell r="AL420">
            <v>326.75</v>
          </cell>
          <cell r="AM420">
            <v>1307</v>
          </cell>
          <cell r="AO420">
            <v>321.75</v>
          </cell>
          <cell r="AP420">
            <v>321.75</v>
          </cell>
          <cell r="AQ420">
            <v>321.75</v>
          </cell>
          <cell r="AR420">
            <v>321.75</v>
          </cell>
          <cell r="AS420">
            <v>1287</v>
          </cell>
          <cell r="AU420">
            <v>219</v>
          </cell>
          <cell r="AV420">
            <v>314.75</v>
          </cell>
          <cell r="AW420">
            <v>314.75</v>
          </cell>
          <cell r="AX420">
            <v>314.75</v>
          </cell>
          <cell r="AY420">
            <v>1163.25</v>
          </cell>
          <cell r="BA420">
            <v>208</v>
          </cell>
          <cell r="BB420">
            <v>217</v>
          </cell>
          <cell r="BC420">
            <v>220</v>
          </cell>
          <cell r="BD420">
            <v>219</v>
          </cell>
          <cell r="BE420">
            <v>864</v>
          </cell>
          <cell r="BG420">
            <v>201</v>
          </cell>
          <cell r="BH420">
            <v>199</v>
          </cell>
          <cell r="BI420">
            <v>194</v>
          </cell>
          <cell r="BJ420">
            <v>265</v>
          </cell>
          <cell r="BK420">
            <v>859</v>
          </cell>
          <cell r="BM420">
            <v>155</v>
          </cell>
          <cell r="BN420">
            <v>153</v>
          </cell>
          <cell r="BO420">
            <v>154</v>
          </cell>
          <cell r="BP420">
            <v>174</v>
          </cell>
          <cell r="BQ420">
            <v>636</v>
          </cell>
          <cell r="BS420">
            <v>148</v>
          </cell>
          <cell r="BT420">
            <v>142</v>
          </cell>
          <cell r="BU420">
            <v>142</v>
          </cell>
          <cell r="BV420">
            <v>142</v>
          </cell>
          <cell r="BW420">
            <v>574</v>
          </cell>
          <cell r="BY420">
            <v>161</v>
          </cell>
          <cell r="BZ420">
            <v>155</v>
          </cell>
          <cell r="CA420">
            <v>144</v>
          </cell>
          <cell r="CB420">
            <v>156</v>
          </cell>
          <cell r="CC420">
            <v>616</v>
          </cell>
          <cell r="CE420">
            <v>149</v>
          </cell>
          <cell r="CF420">
            <v>149</v>
          </cell>
          <cell r="CG420">
            <v>149</v>
          </cell>
          <cell r="CH420">
            <v>164</v>
          </cell>
          <cell r="CI420">
            <v>611</v>
          </cell>
        </row>
        <row r="421">
          <cell r="D421">
            <v>2899.7583620205164</v>
          </cell>
          <cell r="E421">
            <v>2061.7157637040978</v>
          </cell>
          <cell r="F421">
            <v>4362.6589406666662</v>
          </cell>
          <cell r="G421">
            <v>3523.2128970666663</v>
          </cell>
          <cell r="H421">
            <v>2460.8702783333333</v>
          </cell>
          <cell r="J421">
            <v>1796</v>
          </cell>
          <cell r="K421">
            <v>2651</v>
          </cell>
          <cell r="L421">
            <v>1969.5</v>
          </cell>
          <cell r="M421">
            <v>1363</v>
          </cell>
          <cell r="N421">
            <v>1424</v>
          </cell>
          <cell r="P421">
            <v>1589.4</v>
          </cell>
          <cell r="Q421">
            <v>2406</v>
          </cell>
          <cell r="R421">
            <v>1656.8760000000002</v>
          </cell>
          <cell r="S421">
            <v>1445.5309999999999</v>
          </cell>
          <cell r="T421">
            <v>1242.616</v>
          </cell>
          <cell r="U421">
            <v>946.86099999999999</v>
          </cell>
          <cell r="V421">
            <v>1218.798</v>
          </cell>
          <cell r="W421">
            <v>1867.8130000000008</v>
          </cell>
          <cell r="X421">
            <v>1682.3699999999997</v>
          </cell>
          <cell r="Y421">
            <v>1501.6000000000008</v>
          </cell>
          <cell r="Z421">
            <v>563.90900000000079</v>
          </cell>
          <cell r="AA421">
            <v>867</v>
          </cell>
          <cell r="AB421">
            <v>508</v>
          </cell>
          <cell r="AC421">
            <v>457</v>
          </cell>
          <cell r="AD421">
            <v>374</v>
          </cell>
          <cell r="AE421">
            <v>465</v>
          </cell>
          <cell r="AF421">
            <v>668</v>
          </cell>
          <cell r="AG421">
            <v>871</v>
          </cell>
          <cell r="AI421">
            <v>978.35965491666661</v>
          </cell>
          <cell r="AJ421">
            <v>1118.6665094166667</v>
          </cell>
          <cell r="AK421">
            <v>1131.7331394166667</v>
          </cell>
          <cell r="AL421">
            <v>1133.8996369166666</v>
          </cell>
          <cell r="AM421">
            <v>4362.6589406666662</v>
          </cell>
          <cell r="AO421">
            <v>786.55955231666667</v>
          </cell>
          <cell r="AP421">
            <v>911.97886841666673</v>
          </cell>
          <cell r="AQ421">
            <v>914.73079941666663</v>
          </cell>
          <cell r="AR421">
            <v>909.94367691666662</v>
          </cell>
          <cell r="AS421">
            <v>3523.2128970666663</v>
          </cell>
          <cell r="AU421">
            <v>359.03333333333336</v>
          </cell>
          <cell r="AV421">
            <v>680.28005666666672</v>
          </cell>
          <cell r="AW421">
            <v>712.51395666666667</v>
          </cell>
          <cell r="AX421">
            <v>709.04293166666662</v>
          </cell>
          <cell r="AY421">
            <v>2460.8702783333333</v>
          </cell>
          <cell r="BA421">
            <v>488</v>
          </cell>
          <cell r="BB421">
            <v>546</v>
          </cell>
          <cell r="BC421">
            <v>449</v>
          </cell>
          <cell r="BD421">
            <v>313</v>
          </cell>
          <cell r="BE421">
            <v>1796</v>
          </cell>
          <cell r="BG421">
            <v>675</v>
          </cell>
          <cell r="BH421">
            <v>726</v>
          </cell>
          <cell r="BI421">
            <v>591</v>
          </cell>
          <cell r="BJ421">
            <v>659</v>
          </cell>
          <cell r="BK421">
            <v>2651</v>
          </cell>
          <cell r="BM421">
            <v>380</v>
          </cell>
          <cell r="BN421">
            <v>473.5</v>
          </cell>
          <cell r="BO421">
            <v>586</v>
          </cell>
          <cell r="BP421">
            <v>530</v>
          </cell>
          <cell r="BQ421">
            <v>1969.5</v>
          </cell>
          <cell r="BS421">
            <v>349</v>
          </cell>
          <cell r="BT421">
            <v>315</v>
          </cell>
          <cell r="BU421">
            <v>380</v>
          </cell>
          <cell r="BV421">
            <v>319</v>
          </cell>
          <cell r="BW421">
            <v>1363</v>
          </cell>
          <cell r="BY421">
            <v>318</v>
          </cell>
          <cell r="BZ421">
            <v>317</v>
          </cell>
          <cell r="CA421">
            <v>373</v>
          </cell>
          <cell r="CB421">
            <v>404</v>
          </cell>
          <cell r="CC421">
            <v>1412</v>
          </cell>
          <cell r="CE421">
            <v>430.2</v>
          </cell>
          <cell r="CF421">
            <v>374</v>
          </cell>
          <cell r="CG421">
            <v>402.2</v>
          </cell>
          <cell r="CH421">
            <v>377</v>
          </cell>
          <cell r="CI421">
            <v>1583.4</v>
          </cell>
        </row>
        <row r="423">
          <cell r="D423">
            <v>12901.124545258335</v>
          </cell>
          <cell r="E423">
            <v>12901.124545258335</v>
          </cell>
          <cell r="F423">
            <v>10551.010110837668</v>
          </cell>
          <cell r="G423">
            <v>12101.703313414335</v>
          </cell>
          <cell r="H423">
            <v>12901.124545258335</v>
          </cell>
          <cell r="J423">
            <v>5115</v>
          </cell>
          <cell r="K423">
            <v>4592</v>
          </cell>
          <cell r="L423">
            <v>3214</v>
          </cell>
          <cell r="M423">
            <v>3462</v>
          </cell>
          <cell r="N423">
            <v>3425</v>
          </cell>
          <cell r="P423">
            <v>3609</v>
          </cell>
          <cell r="Q423">
            <v>3098</v>
          </cell>
          <cell r="R423">
            <v>2849.78</v>
          </cell>
          <cell r="S423">
            <v>2824.5139999999997</v>
          </cell>
          <cell r="T423">
            <v>2618.1580000000004</v>
          </cell>
          <cell r="U423">
            <v>2140.098</v>
          </cell>
          <cell r="V423">
            <v>2193.6490000000003</v>
          </cell>
          <cell r="W423">
            <v>1695</v>
          </cell>
          <cell r="X423">
            <v>1665</v>
          </cell>
          <cell r="Y423">
            <v>1495</v>
          </cell>
          <cell r="Z423">
            <v>0</v>
          </cell>
          <cell r="AA423">
            <v>0</v>
          </cell>
          <cell r="AB423">
            <v>0</v>
          </cell>
          <cell r="AC423">
            <v>0</v>
          </cell>
          <cell r="AD423">
            <v>0</v>
          </cell>
          <cell r="AE423">
            <v>0</v>
          </cell>
          <cell r="AF423">
            <v>0</v>
          </cell>
          <cell r="AG423">
            <v>0</v>
          </cell>
          <cell r="AM423">
            <v>10551.010110837668</v>
          </cell>
          <cell r="AS423">
            <v>12101.703313414335</v>
          </cell>
          <cell r="AU423">
            <v>12945.864013520835</v>
          </cell>
          <cell r="AV423">
            <v>12944.314278975002</v>
          </cell>
          <cell r="AW423">
            <v>12921.843580429168</v>
          </cell>
          <cell r="AX423">
            <v>12901.124545258335</v>
          </cell>
          <cell r="AY423">
            <v>12901.124545258335</v>
          </cell>
          <cell r="BE423">
            <v>5115</v>
          </cell>
          <cell r="BK423">
            <v>4592</v>
          </cell>
          <cell r="BQ423">
            <v>3214</v>
          </cell>
          <cell r="BW423">
            <v>3462</v>
          </cell>
          <cell r="CC423">
            <v>3425</v>
          </cell>
          <cell r="CI423">
            <v>3609</v>
          </cell>
          <cell r="CO423">
            <v>3098</v>
          </cell>
          <cell r="CU423">
            <v>2849.78</v>
          </cell>
          <cell r="DA423">
            <v>2824.5139999999997</v>
          </cell>
          <cell r="DG423">
            <v>2618.1580000000004</v>
          </cell>
        </row>
        <row r="424">
          <cell r="D424">
            <v>13443.436799999999</v>
          </cell>
          <cell r="E424">
            <v>13435.848</v>
          </cell>
          <cell r="F424">
            <v>13443.436799999999</v>
          </cell>
          <cell r="G424">
            <v>13443.436799999999</v>
          </cell>
          <cell r="H424">
            <v>13443.436799999999</v>
          </cell>
          <cell r="J424">
            <v>13435.848</v>
          </cell>
          <cell r="K424">
            <v>13464</v>
          </cell>
          <cell r="L424">
            <v>13464</v>
          </cell>
          <cell r="M424">
            <v>13464</v>
          </cell>
          <cell r="N424">
            <v>13464</v>
          </cell>
          <cell r="P424">
            <v>12134.950199999999</v>
          </cell>
          <cell r="Q424">
            <v>9605.8834999999999</v>
          </cell>
          <cell r="R424">
            <v>9657.3719999999994</v>
          </cell>
          <cell r="S424">
            <v>9558.530999999999</v>
          </cell>
          <cell r="T424">
            <v>9543.0679999999993</v>
          </cell>
          <cell r="U424">
            <v>9463.4499999999989</v>
          </cell>
          <cell r="V424">
            <v>9572.6309999999994</v>
          </cell>
          <cell r="W424">
            <v>9603.5569999999989</v>
          </cell>
          <cell r="X424">
            <v>9765.8950000000004</v>
          </cell>
          <cell r="Y424">
            <v>9519.5680000000011</v>
          </cell>
          <cell r="Z424">
            <v>9186.4319999999989</v>
          </cell>
          <cell r="AA424">
            <v>7793.12</v>
          </cell>
          <cell r="AB424">
            <v>7860.72</v>
          </cell>
          <cell r="AC424">
            <v>7842.6</v>
          </cell>
          <cell r="AD424">
            <v>7654.880000000001</v>
          </cell>
          <cell r="AE424">
            <v>7642.28</v>
          </cell>
          <cell r="AF424">
            <v>7538.24</v>
          </cell>
          <cell r="AG424">
            <v>7527.2400000000007</v>
          </cell>
        </row>
        <row r="425">
          <cell r="D425">
            <v>26344.561345258335</v>
          </cell>
          <cell r="E425">
            <v>26336.972545258337</v>
          </cell>
          <cell r="F425">
            <v>23994.446910837665</v>
          </cell>
          <cell r="G425">
            <v>25545.140113414334</v>
          </cell>
          <cell r="H425">
            <v>26344.561345258335</v>
          </cell>
          <cell r="J425">
            <v>18550.847999999998</v>
          </cell>
          <cell r="K425">
            <v>18056</v>
          </cell>
          <cell r="L425">
            <v>16678</v>
          </cell>
          <cell r="M425">
            <v>16926</v>
          </cell>
          <cell r="N425">
            <v>16889</v>
          </cell>
          <cell r="P425">
            <v>15743.950199999999</v>
          </cell>
          <cell r="Q425">
            <v>12703.8835</v>
          </cell>
          <cell r="R425">
            <v>12507.152</v>
          </cell>
          <cell r="S425">
            <v>12383.044999999998</v>
          </cell>
          <cell r="T425">
            <v>12161.225999999999</v>
          </cell>
          <cell r="U425">
            <v>11603.547999999999</v>
          </cell>
          <cell r="V425">
            <v>11766.279999999999</v>
          </cell>
          <cell r="W425">
            <v>11298.556999999999</v>
          </cell>
          <cell r="X425">
            <v>11430.895</v>
          </cell>
          <cell r="Y425">
            <v>11014.568000000001</v>
          </cell>
          <cell r="Z425">
            <v>9186.4319999999989</v>
          </cell>
          <cell r="AA425">
            <v>7793.12</v>
          </cell>
          <cell r="AB425">
            <v>7860.72</v>
          </cell>
          <cell r="AC425">
            <v>7842.6</v>
          </cell>
          <cell r="AD425">
            <v>7654.880000000001</v>
          </cell>
          <cell r="AE425">
            <v>7642.28</v>
          </cell>
          <cell r="AF425">
            <v>7538.24</v>
          </cell>
          <cell r="AG425">
            <v>7527.2400000000007</v>
          </cell>
        </row>
        <row r="431">
          <cell r="AQ431" t="str">
            <v>2003E</v>
          </cell>
          <cell r="AW431" t="str">
            <v>2002E</v>
          </cell>
          <cell r="BC431">
            <v>2001</v>
          </cell>
          <cell r="BI431" t="str">
            <v>2000E</v>
          </cell>
          <cell r="CM431">
            <v>1995</v>
          </cell>
          <cell r="CS431">
            <v>1994</v>
          </cell>
          <cell r="CY431">
            <v>1993</v>
          </cell>
          <cell r="DE431">
            <v>1992</v>
          </cell>
        </row>
        <row r="432">
          <cell r="AP432" t="str">
            <v>2QTR</v>
          </cell>
          <cell r="AQ432" t="str">
            <v>3QTR</v>
          </cell>
          <cell r="AR432" t="str">
            <v>4QTR</v>
          </cell>
          <cell r="AS432" t="str">
            <v>YEAR</v>
          </cell>
          <cell r="AV432" t="str">
            <v>2QTR</v>
          </cell>
          <cell r="AW432" t="str">
            <v>3QTR</v>
          </cell>
          <cell r="AX432" t="str">
            <v>4QTR</v>
          </cell>
          <cell r="AY432" t="str">
            <v>YEAR</v>
          </cell>
          <cell r="BB432" t="str">
            <v>2QTR</v>
          </cell>
          <cell r="BC432" t="str">
            <v>3QTR</v>
          </cell>
          <cell r="BD432" t="str">
            <v>4QTR</v>
          </cell>
          <cell r="BE432" t="str">
            <v>YEAR</v>
          </cell>
          <cell r="BH432" t="str">
            <v>2QTR</v>
          </cell>
          <cell r="BI432" t="str">
            <v>3QTR</v>
          </cell>
          <cell r="BJ432" t="str">
            <v>4QTR</v>
          </cell>
          <cell r="BK432" t="str">
            <v>YEAR</v>
          </cell>
          <cell r="CL432" t="str">
            <v>2QTR</v>
          </cell>
          <cell r="CM432" t="str">
            <v>3QTR</v>
          </cell>
          <cell r="CN432" t="str">
            <v>4QTR</v>
          </cell>
          <cell r="CO432" t="str">
            <v>YEAR</v>
          </cell>
          <cell r="CR432" t="str">
            <v>2QTR</v>
          </cell>
          <cell r="CS432" t="str">
            <v>3QTR</v>
          </cell>
          <cell r="CT432" t="str">
            <v>4QTR</v>
          </cell>
          <cell r="CU432" t="str">
            <v>YEAR</v>
          </cell>
          <cell r="CX432" t="str">
            <v>2QTR</v>
          </cell>
          <cell r="CY432" t="str">
            <v>3QTR</v>
          </cell>
          <cell r="CZ432" t="str">
            <v>4QTR</v>
          </cell>
          <cell r="DA432" t="str">
            <v>YEAR</v>
          </cell>
          <cell r="DD432" t="str">
            <v>2QTR</v>
          </cell>
          <cell r="DE432" t="str">
            <v>3QTR</v>
          </cell>
          <cell r="DF432" t="str">
            <v>4QTR</v>
          </cell>
          <cell r="DG432" t="str">
            <v>YEAR</v>
          </cell>
        </row>
        <row r="457">
          <cell r="BB457">
            <v>219.6</v>
          </cell>
          <cell r="BC457">
            <v>219.577</v>
          </cell>
          <cell r="BD457">
            <v>219.66399999999999</v>
          </cell>
          <cell r="BE457">
            <v>219.54</v>
          </cell>
          <cell r="BH457">
            <v>228.43299999999999</v>
          </cell>
          <cell r="BI457">
            <v>220.495</v>
          </cell>
          <cell r="BJ457">
            <v>219.131</v>
          </cell>
          <cell r="BK457">
            <v>225.56799999999998</v>
          </cell>
        </row>
        <row r="458">
          <cell r="AS458">
            <v>33.286239746289795</v>
          </cell>
          <cell r="AY458">
            <v>30.819942163903359</v>
          </cell>
          <cell r="BB458">
            <v>31.666666666666668</v>
          </cell>
          <cell r="BC458">
            <v>31.219116756308722</v>
          </cell>
          <cell r="BD458">
            <v>30.828902323548693</v>
          </cell>
          <cell r="BE458">
            <v>30.846315022319395</v>
          </cell>
          <cell r="BH458">
            <v>29.772405913331262</v>
          </cell>
          <cell r="BI458">
            <v>30.907730334021178</v>
          </cell>
          <cell r="BJ458">
            <v>31.177697359113953</v>
          </cell>
          <cell r="BK458">
            <v>31.054545454545455</v>
          </cell>
          <cell r="BQ458">
            <v>32.604545454545452</v>
          </cell>
          <cell r="BW458">
            <v>20.572727272727274</v>
          </cell>
          <cell r="CC458">
            <v>21.131818181818183</v>
          </cell>
          <cell r="CI458">
            <v>23.219279466017095</v>
          </cell>
          <cell r="CO458">
            <v>21.949256411448257</v>
          </cell>
          <cell r="CU458">
            <v>20.878350756292704</v>
          </cell>
          <cell r="DA458">
            <v>19.501585756221328</v>
          </cell>
          <cell r="DG458">
            <v>17.956644865152384</v>
          </cell>
        </row>
        <row r="459">
          <cell r="BB459">
            <v>6954</v>
          </cell>
          <cell r="BC459">
            <v>6855</v>
          </cell>
          <cell r="BD459">
            <v>6772</v>
          </cell>
          <cell r="BE459">
            <v>6772</v>
          </cell>
          <cell r="BH459">
            <v>6801</v>
          </cell>
          <cell r="BI459">
            <v>6815</v>
          </cell>
          <cell r="BJ459">
            <v>6832</v>
          </cell>
          <cell r="BK459">
            <v>6832</v>
          </cell>
        </row>
        <row r="460">
          <cell r="G460">
            <v>4.664089241789935E-2</v>
          </cell>
          <cell r="H460">
            <v>2.9927100745743025E-2</v>
          </cell>
          <cell r="J460">
            <v>4.339641923834052E-2</v>
          </cell>
          <cell r="K460">
            <v>8.1178729736380711E-2</v>
          </cell>
          <cell r="L460">
            <v>6.8493588748962581E-2</v>
          </cell>
          <cell r="M460">
            <v>3.5008131125599071E-2</v>
          </cell>
          <cell r="N460">
            <v>3.3074539512154368E-2</v>
          </cell>
          <cell r="P460">
            <v>5.2039320226591142E-2</v>
          </cell>
          <cell r="Q460">
            <v>0.10650643484189892</v>
          </cell>
          <cell r="R460">
            <v>6.04725206844689E-2</v>
          </cell>
          <cell r="S460">
            <v>5.1056525913264879E-2</v>
          </cell>
          <cell r="T460">
            <v>3.5796112665669691E-2</v>
          </cell>
          <cell r="U460">
            <v>3.0900716138107659E-2</v>
          </cell>
          <cell r="V460">
            <v>4.388300931964044E-2</v>
          </cell>
          <cell r="W460">
            <v>6.4041274036020265E-2</v>
          </cell>
          <cell r="X460">
            <v>6.586973476128774E-2</v>
          </cell>
          <cell r="Y460">
            <v>0.11134328439697459</v>
          </cell>
          <cell r="AS460">
            <v>4.664089241789935E-2</v>
          </cell>
          <cell r="AY460">
            <v>2.9927100745743025E-2</v>
          </cell>
          <cell r="BA460">
            <v>4.6737593013959779E-2</v>
          </cell>
          <cell r="BB460">
            <v>5.5468135326514553E-2</v>
          </cell>
          <cell r="BC460">
            <v>3.8052623216417121E-2</v>
          </cell>
          <cell r="BD460">
            <v>1.6247515340074323E-2</v>
          </cell>
          <cell r="BE460">
            <v>4.339641923834052E-2</v>
          </cell>
          <cell r="BH460">
            <v>8.4169855108825201E-2</v>
          </cell>
          <cell r="BI460">
            <v>6.2590653969855581E-2</v>
          </cell>
          <cell r="BJ460">
            <v>6.1398930653996674E-2</v>
          </cell>
          <cell r="BK460">
            <v>8.1178729736380711E-2</v>
          </cell>
          <cell r="BQ460">
            <v>6.8493588748962581E-2</v>
          </cell>
          <cell r="BW460">
            <v>3.5008131125599071E-2</v>
          </cell>
          <cell r="CC460">
            <v>3.3074539512154368E-2</v>
          </cell>
          <cell r="CI460">
            <v>5.2039320226591142E-2</v>
          </cell>
          <cell r="CO460">
            <v>0.10650643484189892</v>
          </cell>
          <cell r="CU460">
            <v>6.04725206844689E-2</v>
          </cell>
          <cell r="DA460">
            <v>5.1056525913264879E-2</v>
          </cell>
          <cell r="DG460">
            <v>3.5796112665669691E-2</v>
          </cell>
          <cell r="DM460">
            <v>3.0900716138107659E-2</v>
          </cell>
          <cell r="DS460">
            <v>4.388300931964044E-2</v>
          </cell>
        </row>
        <row r="461">
          <cell r="G461">
            <v>0.13197430012537847</v>
          </cell>
          <cell r="H461">
            <v>5.6932989359740407E-2</v>
          </cell>
          <cell r="J461">
            <v>6.7856642706518547E-2</v>
          </cell>
          <cell r="K461">
            <v>0.1572466494109247</v>
          </cell>
          <cell r="L461">
            <v>0.13435873365244894</v>
          </cell>
          <cell r="M461">
            <v>5.1958945504087202E-2</v>
          </cell>
          <cell r="N461">
            <v>4.9472671025613299E-2</v>
          </cell>
          <cell r="P461">
            <v>0.10195819581958197</v>
          </cell>
          <cell r="Q461">
            <v>0.24817684594348222</v>
          </cell>
          <cell r="R461">
            <v>0.12175163308530941</v>
          </cell>
          <cell r="S461">
            <v>0.1437188365605481</v>
          </cell>
          <cell r="T461">
            <v>0.10407864679258798</v>
          </cell>
          <cell r="U461">
            <v>-5.3117703058375492E-3</v>
          </cell>
          <cell r="V461">
            <v>2.678583363061128E-2</v>
          </cell>
          <cell r="W461">
            <v>0.14115478515625018</v>
          </cell>
          <cell r="X461">
            <v>0.14506187161639589</v>
          </cell>
          <cell r="Y461">
            <v>0.2270021540118474</v>
          </cell>
          <cell r="AS461">
            <v>0.13197430012537847</v>
          </cell>
          <cell r="AY461">
            <v>5.6932989359740407E-2</v>
          </cell>
          <cell r="BA461">
            <v>7.8229541945445194E-2</v>
          </cell>
          <cell r="BB461">
            <v>9.9686657436420606E-2</v>
          </cell>
          <cell r="BC461">
            <v>5.6195234991672095E-2</v>
          </cell>
          <cell r="BD461">
            <v>2.9353489396051957E-3</v>
          </cell>
          <cell r="BE461">
            <v>6.7856642706518547E-2</v>
          </cell>
          <cell r="BH461">
            <v>0.16474312850769898</v>
          </cell>
          <cell r="BI461">
            <v>0.11724188466329596</v>
          </cell>
          <cell r="BJ461">
            <v>0.11299765807962529</v>
          </cell>
          <cell r="BK461">
            <v>0.1572466494109247</v>
          </cell>
          <cell r="BQ461">
            <v>0.13435873365244894</v>
          </cell>
          <cell r="BW461">
            <v>5.1958945504087202E-2</v>
          </cell>
          <cell r="CC461">
            <v>4.9472671025613299E-2</v>
          </cell>
          <cell r="CI461">
            <v>0.10195819581958197</v>
          </cell>
          <cell r="CO461">
            <v>0.24817684594348222</v>
          </cell>
          <cell r="CU461">
            <v>0.12175163308530941</v>
          </cell>
          <cell r="DA461">
            <v>0.1437188365605481</v>
          </cell>
          <cell r="DG461">
            <v>0.10407864679258798</v>
          </cell>
          <cell r="DM461">
            <v>-5.3117703058375492E-3</v>
          </cell>
          <cell r="DS461">
            <v>2.678583363061128E-2</v>
          </cell>
        </row>
        <row r="462">
          <cell r="G462">
            <v>3.4488696608550286E-2</v>
          </cell>
          <cell r="H462">
            <v>1.7163769657113033E-2</v>
          </cell>
          <cell r="J462">
            <v>2.5619238018890409E-2</v>
          </cell>
          <cell r="K462">
            <v>6.02791735096075E-2</v>
          </cell>
          <cell r="L462">
            <v>5.0423854778173426E-2</v>
          </cell>
          <cell r="M462">
            <v>1.8399912192674363E-2</v>
          </cell>
          <cell r="N462">
            <v>1.716360935098046E-2</v>
          </cell>
          <cell r="P462">
            <v>3.4518976498193611E-2</v>
          </cell>
          <cell r="Q462">
            <v>8.2465639316951264E-2</v>
          </cell>
          <cell r="R462">
            <v>3.8788871797975237E-2</v>
          </cell>
          <cell r="S462">
            <v>3.5241563036123143E-2</v>
          </cell>
          <cell r="T462">
            <v>2.1053893374079501E-2</v>
          </cell>
          <cell r="U462">
            <v>1.2155010026471237E-2</v>
          </cell>
          <cell r="V462">
            <v>2.3348536147543172E-2</v>
          </cell>
          <cell r="W462">
            <v>3.6873086734693923E-2</v>
          </cell>
          <cell r="X462">
            <v>3.9765025970813724E-2</v>
          </cell>
          <cell r="Y462">
            <v>6.5269489819617652E-2</v>
          </cell>
          <cell r="AS462">
            <v>3.4488696608550286E-2</v>
          </cell>
          <cell r="AY462">
            <v>1.7163769657113033E-2</v>
          </cell>
          <cell r="BA462">
            <v>2.9283060410072934E-2</v>
          </cell>
          <cell r="BB462">
            <v>3.7536013170530937E-2</v>
          </cell>
          <cell r="BC462">
            <v>2.1109902067464634E-2</v>
          </cell>
          <cell r="BD462">
            <v>1.0800302408467436E-3</v>
          </cell>
          <cell r="BE462">
            <v>2.5619238018890409E-2</v>
          </cell>
          <cell r="BH462">
            <v>6.3727454909819653E-2</v>
          </cell>
          <cell r="BI462">
            <v>4.4379108534657312E-2</v>
          </cell>
          <cell r="BJ462">
            <v>4.2676690898034775E-2</v>
          </cell>
          <cell r="BK462">
            <v>6.02791735096075E-2</v>
          </cell>
          <cell r="BQ462">
            <v>5.0423854778173426E-2</v>
          </cell>
          <cell r="BW462">
            <v>1.8399912192674363E-2</v>
          </cell>
          <cell r="CC462">
            <v>1.716360935098046E-2</v>
          </cell>
          <cell r="CI462">
            <v>3.4518976498193611E-2</v>
          </cell>
          <cell r="CO462">
            <v>8.2465639316951264E-2</v>
          </cell>
          <cell r="CU462">
            <v>3.8788871797975237E-2</v>
          </cell>
          <cell r="DA462">
            <v>3.5241563036123143E-2</v>
          </cell>
          <cell r="DG462">
            <v>2.1053893374079501E-2</v>
          </cell>
          <cell r="DM462">
            <v>1.2155010026471237E-2</v>
          </cell>
          <cell r="DS462">
            <v>2.3348536147543172E-2</v>
          </cell>
        </row>
        <row r="463">
          <cell r="BB463">
            <v>18305</v>
          </cell>
          <cell r="BC463">
            <v>18455</v>
          </cell>
          <cell r="BD463">
            <v>18581</v>
          </cell>
          <cell r="BH463">
            <v>18069</v>
          </cell>
          <cell r="BI463">
            <v>17984</v>
          </cell>
          <cell r="BJ463">
            <v>18195</v>
          </cell>
          <cell r="BK463">
            <v>18195</v>
          </cell>
        </row>
        <row r="471">
          <cell r="AP471">
            <v>8.5974214756733919E-2</v>
          </cell>
          <cell r="AQ471">
            <v>8.6185817147153093E-2</v>
          </cell>
          <cell r="AR471">
            <v>8.5104573329120331E-2</v>
          </cell>
          <cell r="AS471">
            <v>8.1317681733089953E-2</v>
          </cell>
          <cell r="AV471">
            <v>5.3052952023879579E-2</v>
          </cell>
          <cell r="AW471">
            <v>5.7298111944833363E-2</v>
          </cell>
          <cell r="AX471">
            <v>5.6153692094539763E-2</v>
          </cell>
          <cell r="AY471">
            <v>5.2935129676970304E-2</v>
          </cell>
          <cell r="BB471">
            <v>8.5410176531671864E-2</v>
          </cell>
          <cell r="BC471">
            <v>6.1066666666666665E-2</v>
          </cell>
          <cell r="BD471">
            <v>2.7622685865412871E-2</v>
          </cell>
          <cell r="BE471">
            <v>6.4019782937216649E-2</v>
          </cell>
          <cell r="BH471">
            <v>0.12574564543068481</v>
          </cell>
          <cell r="BI471">
            <v>0.107500676956404</v>
          </cell>
          <cell r="BJ471">
            <v>9.7356066221892759E-2</v>
          </cell>
          <cell r="BK471">
            <v>0.11308847658715133</v>
          </cell>
          <cell r="BN471">
            <v>0.10528909329829172</v>
          </cell>
          <cell r="BO471">
            <v>0.13846153846153847</v>
          </cell>
          <cell r="BP471">
            <v>0.10369938829012526</v>
          </cell>
          <cell r="BQ471">
            <v>0.1087506116457348</v>
          </cell>
          <cell r="BT471">
            <v>6.4456035767511174E-2</v>
          </cell>
          <cell r="BU471">
            <v>8.2381446867428182E-2</v>
          </cell>
          <cell r="BV471">
            <v>6.4340239912759001E-2</v>
          </cell>
          <cell r="BW471">
            <v>7.3286271595764438E-2</v>
          </cell>
          <cell r="BZ471">
            <v>5.5689240288759025E-2</v>
          </cell>
          <cell r="CA471">
            <v>8.1119376549769751E-2</v>
          </cell>
          <cell r="CB471">
            <v>8.6411149825783976E-2</v>
          </cell>
          <cell r="CC471">
            <v>7.1008028545941126E-2</v>
          </cell>
          <cell r="CF471">
            <v>7.7962577962577967E-2</v>
          </cell>
          <cell r="CG471">
            <v>8.8779803646563807E-2</v>
          </cell>
          <cell r="CH471">
            <v>7.6867556838686402E-2</v>
          </cell>
          <cell r="CI471">
            <v>8.1161839579333955E-2</v>
          </cell>
          <cell r="CL471">
            <v>0.15489593995223475</v>
          </cell>
          <cell r="CM471">
            <v>0.16879796290489973</v>
          </cell>
          <cell r="CN471">
            <v>0.15634837355718784</v>
          </cell>
          <cell r="CO471">
            <v>0.14774885699786011</v>
          </cell>
          <cell r="CR471">
            <v>9.9915325994919577E-2</v>
          </cell>
          <cell r="CS471">
            <v>0.10719970454923317</v>
          </cell>
          <cell r="CT471">
            <v>0.11111376567864932</v>
          </cell>
          <cell r="CX471">
            <v>0.14328795811518322</v>
          </cell>
          <cell r="CY471">
            <v>8.9846734684705026E-2</v>
          </cell>
          <cell r="CZ471">
            <v>9.2617747761719632E-2</v>
          </cell>
          <cell r="DA471">
            <v>0.11836237531270619</v>
          </cell>
          <cell r="DD471">
            <v>0.10154618761686399</v>
          </cell>
          <cell r="DE471">
            <v>0.10252460419341033</v>
          </cell>
          <cell r="DF471">
            <v>8.6606760804450136E-2</v>
          </cell>
          <cell r="DG471">
            <v>9.7919004793534589E-2</v>
          </cell>
        </row>
        <row r="484">
          <cell r="AK484" t="str">
            <v>2004E</v>
          </cell>
          <cell r="AQ484" t="str">
            <v>2003E</v>
          </cell>
          <cell r="AW484" t="str">
            <v>2002E</v>
          </cell>
          <cell r="BC484">
            <v>2001</v>
          </cell>
          <cell r="BI484">
            <v>2000</v>
          </cell>
          <cell r="BO484">
            <v>1999</v>
          </cell>
          <cell r="BU484">
            <v>1998</v>
          </cell>
          <cell r="CA484">
            <v>1997</v>
          </cell>
          <cell r="CG484">
            <v>1996</v>
          </cell>
          <cell r="CM484">
            <v>1995</v>
          </cell>
          <cell r="CS484">
            <v>1994</v>
          </cell>
          <cell r="CY484">
            <v>1993</v>
          </cell>
          <cell r="DE484">
            <v>1992</v>
          </cell>
        </row>
        <row r="485">
          <cell r="AI485" t="str">
            <v>1QTR</v>
          </cell>
          <cell r="AJ485" t="str">
            <v>2QTR</v>
          </cell>
          <cell r="AK485" t="str">
            <v>3QTR</v>
          </cell>
          <cell r="AL485" t="str">
            <v>4QTR</v>
          </cell>
          <cell r="AP485" t="str">
            <v>2QTR</v>
          </cell>
          <cell r="AQ485" t="str">
            <v>3QTR</v>
          </cell>
          <cell r="AR485" t="str">
            <v>4QTR</v>
          </cell>
          <cell r="AS485" t="str">
            <v>YEAR</v>
          </cell>
          <cell r="AV485" t="str">
            <v>2QTR</v>
          </cell>
          <cell r="AW485" t="str">
            <v>3QTR</v>
          </cell>
          <cell r="AX485" t="str">
            <v>4QTR</v>
          </cell>
          <cell r="AY485" t="str">
            <v>YEAR</v>
          </cell>
          <cell r="BB485" t="str">
            <v>2QTR</v>
          </cell>
          <cell r="BC485" t="str">
            <v>3QTR</v>
          </cell>
          <cell r="BD485" t="str">
            <v>4QTR</v>
          </cell>
          <cell r="BE485" t="str">
            <v>YEAR</v>
          </cell>
          <cell r="BH485" t="str">
            <v>2QTR</v>
          </cell>
          <cell r="BI485" t="str">
            <v>3QTR</v>
          </cell>
          <cell r="BJ485" t="str">
            <v>4QTR</v>
          </cell>
          <cell r="BK485" t="str">
            <v>YEAR</v>
          </cell>
          <cell r="BN485" t="str">
            <v>2QTR</v>
          </cell>
          <cell r="BO485" t="str">
            <v>3QTR</v>
          </cell>
          <cell r="BP485" t="str">
            <v>4QTR</v>
          </cell>
          <cell r="BQ485" t="str">
            <v>YEAR</v>
          </cell>
          <cell r="BT485" t="str">
            <v>2QTR</v>
          </cell>
          <cell r="BU485" t="str">
            <v>3QTR</v>
          </cell>
          <cell r="BV485" t="str">
            <v>4QTR</v>
          </cell>
          <cell r="BW485" t="str">
            <v>YEAR</v>
          </cell>
          <cell r="BZ485" t="str">
            <v>2QTR</v>
          </cell>
          <cell r="CA485" t="str">
            <v>3QTR</v>
          </cell>
          <cell r="CB485" t="str">
            <v>4QTR</v>
          </cell>
          <cell r="CC485" t="str">
            <v>YEAR</v>
          </cell>
          <cell r="CF485" t="str">
            <v>2QTR</v>
          </cell>
          <cell r="CG485" t="str">
            <v>3QTR</v>
          </cell>
          <cell r="CH485" t="str">
            <v>4QTR</v>
          </cell>
          <cell r="CI485" t="str">
            <v>YEAR</v>
          </cell>
          <cell r="CL485" t="str">
            <v>2QTR</v>
          </cell>
          <cell r="CM485" t="str">
            <v>3QTR</v>
          </cell>
          <cell r="CN485" t="str">
            <v>4QTR</v>
          </cell>
          <cell r="CO485" t="str">
            <v>YEAR</v>
          </cell>
          <cell r="CR485" t="str">
            <v>2QTR</v>
          </cell>
          <cell r="CS485" t="str">
            <v>3QTR</v>
          </cell>
          <cell r="CT485" t="str">
            <v>4QTR</v>
          </cell>
          <cell r="CU485" t="str">
            <v>YEAR</v>
          </cell>
          <cell r="CX485" t="str">
            <v>2QTR</v>
          </cell>
          <cell r="CY485" t="str">
            <v>3QTR</v>
          </cell>
          <cell r="CZ485" t="str">
            <v>4QTR</v>
          </cell>
          <cell r="DA485" t="str">
            <v>YEAR</v>
          </cell>
          <cell r="DD485" t="str">
            <v>2QTR</v>
          </cell>
          <cell r="DE485" t="str">
            <v>3QTR</v>
          </cell>
          <cell r="DF485" t="str">
            <v>4QTR</v>
          </cell>
          <cell r="DG485" t="str">
            <v>YEAR</v>
          </cell>
        </row>
        <row r="488">
          <cell r="AI488">
            <v>106.53604252108374</v>
          </cell>
          <cell r="AJ488">
            <v>109.35125106400045</v>
          </cell>
          <cell r="AK488">
            <v>75.46439465691725</v>
          </cell>
          <cell r="AL488">
            <v>47.953889162334065</v>
          </cell>
          <cell r="AP488">
            <v>102.64015426066709</v>
          </cell>
          <cell r="AQ488">
            <v>100.22017556691713</v>
          </cell>
          <cell r="AR488">
            <v>97.260686585667088</v>
          </cell>
          <cell r="AV488">
            <v>139.64972102500002</v>
          </cell>
          <cell r="AW488">
            <v>132.12041957083346</v>
          </cell>
          <cell r="AX488">
            <v>122.83945474166688</v>
          </cell>
          <cell r="BB488">
            <v>64</v>
          </cell>
          <cell r="BC488">
            <v>108</v>
          </cell>
          <cell r="BD488">
            <v>234</v>
          </cell>
          <cell r="BJ488">
            <v>115</v>
          </cell>
          <cell r="BK488">
            <v>115</v>
          </cell>
          <cell r="BQ488">
            <v>1640</v>
          </cell>
          <cell r="BW488">
            <v>28</v>
          </cell>
          <cell r="CC488">
            <v>100</v>
          </cell>
          <cell r="CI488">
            <v>33</v>
          </cell>
          <cell r="CO488">
            <v>34</v>
          </cell>
          <cell r="CU488">
            <v>190</v>
          </cell>
          <cell r="DA488">
            <v>192</v>
          </cell>
          <cell r="DG488">
            <v>169</v>
          </cell>
        </row>
        <row r="489">
          <cell r="AI489">
            <v>1720.3493340921059</v>
          </cell>
          <cell r="AJ489">
            <v>1781.7222990079154</v>
          </cell>
          <cell r="AK489">
            <v>1780.1478863661287</v>
          </cell>
          <cell r="AL489">
            <v>1771.983239191577</v>
          </cell>
          <cell r="AP489">
            <v>1727.7632021116472</v>
          </cell>
          <cell r="AQ489">
            <v>1721.6370561809977</v>
          </cell>
          <cell r="AR489">
            <v>1709.7657518921353</v>
          </cell>
          <cell r="AV489">
            <v>1657.2846980853471</v>
          </cell>
          <cell r="AW489">
            <v>1663.6844595017444</v>
          </cell>
          <cell r="AX489">
            <v>1651.4529101482326</v>
          </cell>
          <cell r="BB489">
            <v>1233</v>
          </cell>
          <cell r="BC489">
            <v>1218</v>
          </cell>
          <cell r="BD489">
            <v>1218</v>
          </cell>
          <cell r="BH489">
            <v>1455</v>
          </cell>
          <cell r="BI489">
            <v>1410</v>
          </cell>
          <cell r="BJ489">
            <v>1247</v>
          </cell>
        </row>
        <row r="490">
          <cell r="AI490">
            <v>1957.8149934219921</v>
          </cell>
          <cell r="AJ490">
            <v>1972.5166856624728</v>
          </cell>
          <cell r="AK490">
            <v>1964.2774832992209</v>
          </cell>
          <cell r="AL490">
            <v>1952.4943132463347</v>
          </cell>
          <cell r="AP490">
            <v>1996.5425937918162</v>
          </cell>
          <cell r="AQ490">
            <v>1987.1700271191055</v>
          </cell>
          <cell r="AR490">
            <v>1973.7817490275377</v>
          </cell>
          <cell r="AV490">
            <v>2009.651028785773</v>
          </cell>
          <cell r="AW490">
            <v>2002.879878755552</v>
          </cell>
          <cell r="AX490">
            <v>1988.3959310372079</v>
          </cell>
          <cell r="BB490">
            <v>1600</v>
          </cell>
          <cell r="BC490">
            <v>1561</v>
          </cell>
          <cell r="BD490">
            <v>1561</v>
          </cell>
          <cell r="BH490">
            <v>1546</v>
          </cell>
          <cell r="BI490">
            <v>1469</v>
          </cell>
          <cell r="BJ490">
            <v>1499</v>
          </cell>
        </row>
        <row r="491">
          <cell r="AI491">
            <v>435.334</v>
          </cell>
          <cell r="AJ491">
            <v>435.334</v>
          </cell>
          <cell r="AK491">
            <v>435.334</v>
          </cell>
          <cell r="AL491">
            <v>435.334</v>
          </cell>
          <cell r="AP491">
            <v>435.334</v>
          </cell>
          <cell r="AQ491">
            <v>435.334</v>
          </cell>
          <cell r="AR491">
            <v>435.334</v>
          </cell>
          <cell r="AV491">
            <v>435.334</v>
          </cell>
          <cell r="AW491">
            <v>435.334</v>
          </cell>
          <cell r="AX491">
            <v>435.334</v>
          </cell>
          <cell r="BB491">
            <v>450</v>
          </cell>
          <cell r="BC491">
            <v>402</v>
          </cell>
          <cell r="BD491">
            <v>402</v>
          </cell>
          <cell r="BH491">
            <v>383</v>
          </cell>
          <cell r="BI491">
            <v>367</v>
          </cell>
          <cell r="BJ491">
            <v>427</v>
          </cell>
        </row>
        <row r="492">
          <cell r="AI492">
            <v>4220.0343700351814</v>
          </cell>
          <cell r="AJ492">
            <v>4298.9242357343883</v>
          </cell>
          <cell r="AK492">
            <v>4255.223764322267</v>
          </cell>
          <cell r="AL492">
            <v>4207.765441600246</v>
          </cell>
          <cell r="AP492">
            <v>4262.2799501641302</v>
          </cell>
          <cell r="AQ492">
            <v>4244.3612588670203</v>
          </cell>
          <cell r="AR492">
            <v>4216.1421875053402</v>
          </cell>
          <cell r="AV492">
            <v>4241.9194478961199</v>
          </cell>
          <cell r="AW492">
            <v>4234.0187578281302</v>
          </cell>
          <cell r="AX492">
            <v>4198.0222959271077</v>
          </cell>
          <cell r="BB492">
            <v>3347</v>
          </cell>
          <cell r="BC492">
            <v>3289</v>
          </cell>
          <cell r="BD492">
            <v>3415</v>
          </cell>
          <cell r="BH492">
            <v>3384</v>
          </cell>
          <cell r="BI492">
            <v>3246</v>
          </cell>
          <cell r="BJ492">
            <v>3288</v>
          </cell>
        </row>
        <row r="494">
          <cell r="AI494">
            <v>12595.00375</v>
          </cell>
          <cell r="AJ494">
            <v>12493.25375</v>
          </cell>
          <cell r="AK494">
            <v>12391.50375</v>
          </cell>
          <cell r="AL494">
            <v>12289.75375</v>
          </cell>
          <cell r="AP494">
            <v>12865.25375</v>
          </cell>
          <cell r="AQ494">
            <v>12781.00375</v>
          </cell>
          <cell r="AR494">
            <v>12696.75375</v>
          </cell>
          <cell r="AV494">
            <v>13113.25375</v>
          </cell>
          <cell r="AW494">
            <v>13073.50375</v>
          </cell>
          <cell r="AX494">
            <v>13033.75375</v>
          </cell>
          <cell r="BB494">
            <v>7845</v>
          </cell>
          <cell r="BC494">
            <v>8165</v>
          </cell>
          <cell r="BD494">
            <v>8165</v>
          </cell>
          <cell r="BH494">
            <v>8151</v>
          </cell>
          <cell r="BI494">
            <v>8045</v>
          </cell>
          <cell r="BJ494">
            <v>8157</v>
          </cell>
        </row>
        <row r="495">
          <cell r="AI495">
            <v>621</v>
          </cell>
          <cell r="AJ495">
            <v>621</v>
          </cell>
          <cell r="AK495">
            <v>621</v>
          </cell>
          <cell r="AL495">
            <v>621</v>
          </cell>
          <cell r="AP495">
            <v>621</v>
          </cell>
          <cell r="AQ495">
            <v>621</v>
          </cell>
          <cell r="AR495">
            <v>621</v>
          </cell>
          <cell r="AV495">
            <v>621</v>
          </cell>
          <cell r="AW495">
            <v>621</v>
          </cell>
          <cell r="AX495">
            <v>621</v>
          </cell>
          <cell r="BB495">
            <v>776</v>
          </cell>
          <cell r="BC495">
            <v>621</v>
          </cell>
          <cell r="BD495">
            <v>621</v>
          </cell>
          <cell r="BH495">
            <v>588</v>
          </cell>
          <cell r="BI495">
            <v>654</v>
          </cell>
          <cell r="BJ495">
            <v>574</v>
          </cell>
        </row>
        <row r="496">
          <cell r="AI496">
            <v>4499.7160000000003</v>
          </cell>
          <cell r="AJ496">
            <v>4509.7160000000003</v>
          </cell>
          <cell r="AK496">
            <v>4519.7160000000003</v>
          </cell>
          <cell r="AL496">
            <v>4529.7160000000003</v>
          </cell>
          <cell r="AP496">
            <v>4469.7160000000003</v>
          </cell>
          <cell r="AQ496">
            <v>4479.7160000000003</v>
          </cell>
          <cell r="AR496">
            <v>4489.7160000000003</v>
          </cell>
          <cell r="AV496">
            <v>4439.7160000000003</v>
          </cell>
          <cell r="AW496">
            <v>4444.7160000000003</v>
          </cell>
          <cell r="AX496">
            <v>4449.7160000000003</v>
          </cell>
          <cell r="BB496">
            <v>1728</v>
          </cell>
          <cell r="BC496">
            <v>1762</v>
          </cell>
          <cell r="BD496">
            <v>1762</v>
          </cell>
          <cell r="BH496">
            <v>1653</v>
          </cell>
          <cell r="BI496">
            <v>1662</v>
          </cell>
          <cell r="BJ496">
            <v>1696</v>
          </cell>
        </row>
        <row r="497">
          <cell r="AI497">
            <v>559</v>
          </cell>
          <cell r="AJ497">
            <v>559</v>
          </cell>
          <cell r="AK497">
            <v>559</v>
          </cell>
          <cell r="AL497">
            <v>559</v>
          </cell>
          <cell r="AP497">
            <v>559</v>
          </cell>
          <cell r="AQ497">
            <v>559</v>
          </cell>
          <cell r="AR497">
            <v>559</v>
          </cell>
          <cell r="AV497">
            <v>559</v>
          </cell>
          <cell r="AW497">
            <v>559</v>
          </cell>
          <cell r="AX497">
            <v>559</v>
          </cell>
          <cell r="BB497">
            <v>633</v>
          </cell>
          <cell r="BC497">
            <v>559</v>
          </cell>
          <cell r="BD497">
            <v>559</v>
          </cell>
          <cell r="BH497">
            <v>567</v>
          </cell>
          <cell r="BI497">
            <v>564</v>
          </cell>
          <cell r="BJ497">
            <v>579</v>
          </cell>
        </row>
        <row r="498">
          <cell r="AI498">
            <v>2185.665</v>
          </cell>
          <cell r="AJ498">
            <v>2185.665</v>
          </cell>
          <cell r="AK498">
            <v>2185.665</v>
          </cell>
          <cell r="AL498">
            <v>2185.665</v>
          </cell>
          <cell r="AP498">
            <v>2185.665</v>
          </cell>
          <cell r="AQ498">
            <v>2185.665</v>
          </cell>
          <cell r="AR498">
            <v>2185.665</v>
          </cell>
          <cell r="AV498">
            <v>2185.665</v>
          </cell>
          <cell r="AW498">
            <v>2185.665</v>
          </cell>
          <cell r="AX498">
            <v>2185.665</v>
          </cell>
          <cell r="BB498">
            <v>2008</v>
          </cell>
          <cell r="BC498">
            <v>2058</v>
          </cell>
          <cell r="BD498">
            <v>2058</v>
          </cell>
          <cell r="BH498">
            <v>1683</v>
          </cell>
          <cell r="BI498">
            <v>1724</v>
          </cell>
          <cell r="BJ498">
            <v>1866</v>
          </cell>
        </row>
        <row r="499">
          <cell r="AI499">
            <v>24680.419120035182</v>
          </cell>
          <cell r="AJ499">
            <v>24667.558985734388</v>
          </cell>
          <cell r="AK499">
            <v>24532.108514322266</v>
          </cell>
          <cell r="AL499">
            <v>24392.900191600245</v>
          </cell>
          <cell r="AP499">
            <v>24962.914700164132</v>
          </cell>
          <cell r="AQ499">
            <v>24870.74600886702</v>
          </cell>
          <cell r="AR499">
            <v>24768.276937505339</v>
          </cell>
          <cell r="AV499">
            <v>25160.554197896119</v>
          </cell>
          <cell r="AW499">
            <v>25117.90350782813</v>
          </cell>
          <cell r="AX499">
            <v>25047.15704592711</v>
          </cell>
          <cell r="BB499">
            <v>16337</v>
          </cell>
          <cell r="BC499">
            <v>16454</v>
          </cell>
          <cell r="BD499">
            <v>16580</v>
          </cell>
          <cell r="BH499">
            <v>16026</v>
          </cell>
          <cell r="BI499">
            <v>15895</v>
          </cell>
          <cell r="BJ499">
            <v>16160</v>
          </cell>
        </row>
        <row r="502">
          <cell r="BB502">
            <v>7</v>
          </cell>
          <cell r="BC502">
            <v>5</v>
          </cell>
          <cell r="BD502">
            <v>5</v>
          </cell>
          <cell r="BH502">
            <v>3</v>
          </cell>
          <cell r="BJ502">
            <v>8</v>
          </cell>
        </row>
        <row r="503">
          <cell r="BB503">
            <v>629</v>
          </cell>
          <cell r="BC503">
            <v>637</v>
          </cell>
          <cell r="BD503">
            <v>637</v>
          </cell>
          <cell r="BH503">
            <v>639</v>
          </cell>
          <cell r="BJ503">
            <v>621</v>
          </cell>
        </row>
        <row r="504">
          <cell r="BB504">
            <v>70</v>
          </cell>
          <cell r="BC504">
            <v>65</v>
          </cell>
          <cell r="BD504">
            <v>65</v>
          </cell>
          <cell r="BH504">
            <v>78</v>
          </cell>
          <cell r="BJ504">
            <v>73</v>
          </cell>
        </row>
        <row r="505">
          <cell r="BB505">
            <v>954</v>
          </cell>
          <cell r="BC505">
            <v>969</v>
          </cell>
          <cell r="BD505">
            <v>969</v>
          </cell>
          <cell r="BH505">
            <v>957</v>
          </cell>
          <cell r="BJ505">
            <v>917</v>
          </cell>
        </row>
        <row r="506">
          <cell r="BB506">
            <v>86</v>
          </cell>
          <cell r="BC506">
            <v>97</v>
          </cell>
          <cell r="BD506">
            <v>97</v>
          </cell>
          <cell r="BH506">
            <v>88</v>
          </cell>
          <cell r="BJ506">
            <v>81</v>
          </cell>
        </row>
        <row r="507">
          <cell r="BB507">
            <v>64</v>
          </cell>
          <cell r="BC507">
            <v>60</v>
          </cell>
          <cell r="BD507">
            <v>60</v>
          </cell>
          <cell r="BH507">
            <v>146</v>
          </cell>
          <cell r="BJ507">
            <v>205</v>
          </cell>
        </row>
        <row r="508">
          <cell r="BB508">
            <v>158</v>
          </cell>
          <cell r="BC508">
            <v>168</v>
          </cell>
          <cell r="BD508">
            <v>168</v>
          </cell>
          <cell r="BH508">
            <v>132</v>
          </cell>
          <cell r="BJ508">
            <v>130</v>
          </cell>
        </row>
        <row r="509">
          <cell r="AI509">
            <v>2001</v>
          </cell>
          <cell r="AJ509">
            <v>2001</v>
          </cell>
          <cell r="AK509">
            <v>2001</v>
          </cell>
          <cell r="AL509">
            <v>2001</v>
          </cell>
          <cell r="AP509">
            <v>2001</v>
          </cell>
          <cell r="AQ509">
            <v>2001</v>
          </cell>
          <cell r="AR509">
            <v>2001</v>
          </cell>
          <cell r="AV509">
            <v>2001</v>
          </cell>
          <cell r="AW509">
            <v>2001</v>
          </cell>
          <cell r="AX509">
            <v>2001</v>
          </cell>
          <cell r="BB509">
            <v>1968</v>
          </cell>
          <cell r="BC509">
            <v>2001</v>
          </cell>
          <cell r="BD509">
            <v>2001</v>
          </cell>
          <cell r="BH509">
            <v>2043</v>
          </cell>
          <cell r="BI509">
            <v>2089</v>
          </cell>
          <cell r="BJ509">
            <v>2035</v>
          </cell>
        </row>
        <row r="520">
          <cell r="D520">
            <v>27082.15704592711</v>
          </cell>
          <cell r="E520">
            <v>27082.15704592711</v>
          </cell>
          <cell r="F520">
            <v>26427.900191600245</v>
          </cell>
          <cell r="G520">
            <v>26803.276937505339</v>
          </cell>
          <cell r="H520">
            <v>27082.15704592711</v>
          </cell>
          <cell r="J520">
            <v>17837.366251440115</v>
          </cell>
          <cell r="K520">
            <v>18195</v>
          </cell>
          <cell r="L520">
            <v>18339</v>
          </cell>
          <cell r="M520">
            <v>12834</v>
          </cell>
          <cell r="N520">
            <v>13075</v>
          </cell>
          <cell r="P520">
            <v>13596</v>
          </cell>
          <cell r="Q520">
            <v>13253</v>
          </cell>
          <cell r="R520">
            <v>13158</v>
          </cell>
          <cell r="S520">
            <v>12756.472999999998</v>
          </cell>
          <cell r="T520">
            <v>18286.418000000001</v>
          </cell>
          <cell r="U520">
            <v>16984.968000000001</v>
          </cell>
          <cell r="V520">
            <v>16356.391</v>
          </cell>
          <cell r="W520">
            <v>15976</v>
          </cell>
          <cell r="X520">
            <v>15384</v>
          </cell>
          <cell r="Y520">
            <v>12917</v>
          </cell>
          <cell r="AI520">
            <v>26681.419120035182</v>
          </cell>
          <cell r="AJ520">
            <v>26668.558985734388</v>
          </cell>
          <cell r="AK520">
            <v>26533.108514322266</v>
          </cell>
          <cell r="AL520">
            <v>26393.900191600245</v>
          </cell>
          <cell r="AO520">
            <v>26960.624891552368</v>
          </cell>
          <cell r="AP520">
            <v>26963.914700164132</v>
          </cell>
          <cell r="AQ520">
            <v>26871.74600886702</v>
          </cell>
          <cell r="AR520">
            <v>26769.276937505339</v>
          </cell>
          <cell r="AU520">
            <v>26287.897098272872</v>
          </cell>
          <cell r="AV520">
            <v>27161.554197896119</v>
          </cell>
          <cell r="AW520">
            <v>27118.90350782813</v>
          </cell>
          <cell r="AX520">
            <v>27048.15704592711</v>
          </cell>
          <cell r="BA520">
            <v>18140</v>
          </cell>
          <cell r="BB520">
            <v>18305</v>
          </cell>
          <cell r="BC520">
            <v>18455</v>
          </cell>
          <cell r="BD520">
            <v>18581</v>
          </cell>
          <cell r="BG520">
            <v>17859</v>
          </cell>
          <cell r="BH520">
            <v>18069</v>
          </cell>
          <cell r="BI520">
            <v>17984</v>
          </cell>
          <cell r="BJ520">
            <v>18195</v>
          </cell>
        </row>
        <row r="524">
          <cell r="AI524">
            <v>239</v>
          </cell>
          <cell r="AJ524">
            <v>239</v>
          </cell>
          <cell r="AK524">
            <v>239</v>
          </cell>
          <cell r="AL524">
            <v>239</v>
          </cell>
          <cell r="AP524">
            <v>239</v>
          </cell>
          <cell r="AQ524">
            <v>239</v>
          </cell>
          <cell r="AR524">
            <v>239</v>
          </cell>
          <cell r="AV524">
            <v>239</v>
          </cell>
          <cell r="AW524">
            <v>239</v>
          </cell>
          <cell r="AX524">
            <v>239</v>
          </cell>
          <cell r="BB524">
            <v>880</v>
          </cell>
          <cell r="BC524">
            <v>239</v>
          </cell>
          <cell r="BD524">
            <v>239</v>
          </cell>
          <cell r="BH524">
            <v>642</v>
          </cell>
          <cell r="BI524">
            <v>862</v>
          </cell>
          <cell r="BJ524">
            <v>645</v>
          </cell>
        </row>
        <row r="525">
          <cell r="AI525">
            <v>119.083</v>
          </cell>
          <cell r="AJ525">
            <v>119.083</v>
          </cell>
          <cell r="AK525">
            <v>119.083</v>
          </cell>
          <cell r="AL525">
            <v>119.083</v>
          </cell>
          <cell r="AP525">
            <v>119.083</v>
          </cell>
          <cell r="AQ525">
            <v>119.083</v>
          </cell>
          <cell r="AR525">
            <v>119.083</v>
          </cell>
          <cell r="AV525">
            <v>119.083</v>
          </cell>
          <cell r="AW525">
            <v>119.083</v>
          </cell>
          <cell r="AX525">
            <v>119.083</v>
          </cell>
          <cell r="BB525">
            <v>12</v>
          </cell>
          <cell r="BC525">
            <v>7</v>
          </cell>
          <cell r="BD525">
            <v>0</v>
          </cell>
          <cell r="BH525">
            <v>133</v>
          </cell>
          <cell r="BI525">
            <v>88</v>
          </cell>
          <cell r="BJ525">
            <v>88</v>
          </cell>
        </row>
        <row r="527">
          <cell r="AI527">
            <v>1116.2430135461711</v>
          </cell>
          <cell r="AJ527">
            <v>1124.6251442918647</v>
          </cell>
          <cell r="AK527">
            <v>1119.9275849688063</v>
          </cell>
          <cell r="AL527">
            <v>1113.2094418893262</v>
          </cell>
          <cell r="AP527">
            <v>1138.3234519376788</v>
          </cell>
          <cell r="AQ527">
            <v>1132.9797079666905</v>
          </cell>
          <cell r="AR527">
            <v>1125.3464168062194</v>
          </cell>
          <cell r="AV527">
            <v>1145.7971913000242</v>
          </cell>
          <cell r="AW527">
            <v>1141.9366381117497</v>
          </cell>
          <cell r="AX527">
            <v>1133.6786538264671</v>
          </cell>
          <cell r="BB527">
            <v>918</v>
          </cell>
          <cell r="BC527">
            <v>890</v>
          </cell>
          <cell r="BD527">
            <v>890</v>
          </cell>
          <cell r="BH527">
            <v>1007</v>
          </cell>
          <cell r="BI527">
            <v>927</v>
          </cell>
          <cell r="BJ527">
            <v>921</v>
          </cell>
        </row>
        <row r="528">
          <cell r="AI528">
            <v>1098</v>
          </cell>
          <cell r="AJ528">
            <v>1098</v>
          </cell>
          <cell r="AK528">
            <v>1098</v>
          </cell>
          <cell r="AL528">
            <v>1098</v>
          </cell>
          <cell r="AP528">
            <v>1098</v>
          </cell>
          <cell r="AQ528">
            <v>1098</v>
          </cell>
          <cell r="AR528">
            <v>1098</v>
          </cell>
          <cell r="AV528">
            <v>1098</v>
          </cell>
          <cell r="AW528">
            <v>1098</v>
          </cell>
          <cell r="AX528">
            <v>1098</v>
          </cell>
          <cell r="BB528">
            <v>967</v>
          </cell>
          <cell r="BC528">
            <v>1098</v>
          </cell>
          <cell r="BD528">
            <v>1098</v>
          </cell>
          <cell r="BH528">
            <v>1003</v>
          </cell>
          <cell r="BI528">
            <v>796</v>
          </cell>
          <cell r="BJ528">
            <v>1050</v>
          </cell>
        </row>
        <row r="529">
          <cell r="AI529">
            <v>2572.326013546171</v>
          </cell>
          <cell r="AJ529">
            <v>2580.7081442918648</v>
          </cell>
          <cell r="AK529">
            <v>2576.0105849688061</v>
          </cell>
          <cell r="AL529">
            <v>2569.2924418893263</v>
          </cell>
          <cell r="AP529">
            <v>2594.4064519376789</v>
          </cell>
          <cell r="AQ529">
            <v>2589.0627079666906</v>
          </cell>
          <cell r="AR529">
            <v>2581.4294168062193</v>
          </cell>
          <cell r="AV529">
            <v>2601.8801913000243</v>
          </cell>
          <cell r="AW529">
            <v>2598.0196381117498</v>
          </cell>
          <cell r="AX529">
            <v>2589.761653826467</v>
          </cell>
          <cell r="BB529">
            <v>2777</v>
          </cell>
          <cell r="BC529">
            <v>2234</v>
          </cell>
          <cell r="BD529">
            <v>2227</v>
          </cell>
          <cell r="BH529">
            <v>2785</v>
          </cell>
          <cell r="BI529">
            <v>2673</v>
          </cell>
          <cell r="BJ529">
            <v>2704</v>
          </cell>
        </row>
        <row r="531">
          <cell r="AI531">
            <v>11540.881000000001</v>
          </cell>
          <cell r="AJ531">
            <v>11140.881000000001</v>
          </cell>
          <cell r="AK531">
            <v>10690.881000000001</v>
          </cell>
          <cell r="AL531">
            <v>10240.881000000001</v>
          </cell>
          <cell r="AP531">
            <v>12290.881000000001</v>
          </cell>
          <cell r="AQ531">
            <v>12065.881000000001</v>
          </cell>
          <cell r="AR531">
            <v>11840.881000000001</v>
          </cell>
          <cell r="AV531">
            <v>12725.881000000001</v>
          </cell>
          <cell r="AW531">
            <v>12695.881000000001</v>
          </cell>
          <cell r="AX531">
            <v>12665.881000000001</v>
          </cell>
          <cell r="BB531">
            <v>3945</v>
          </cell>
          <cell r="BC531">
            <v>4789</v>
          </cell>
          <cell r="BD531">
            <v>5110</v>
          </cell>
          <cell r="BH531">
            <v>3985</v>
          </cell>
          <cell r="BI531">
            <v>3982</v>
          </cell>
          <cell r="BJ531">
            <v>3974</v>
          </cell>
        </row>
        <row r="535">
          <cell r="AI535">
            <v>4056.5397579574997</v>
          </cell>
          <cell r="AJ535">
            <v>4102.8378167708333</v>
          </cell>
          <cell r="AK535">
            <v>4149.1358755841666</v>
          </cell>
          <cell r="AL535">
            <v>4195.4339343974998</v>
          </cell>
          <cell r="AP535">
            <v>3939.9094792908331</v>
          </cell>
          <cell r="AQ535">
            <v>3975.0755892174998</v>
          </cell>
          <cell r="AR535">
            <v>4010.2416991441664</v>
          </cell>
          <cell r="AV535">
            <v>3828.2984198125</v>
          </cell>
          <cell r="AW535">
            <v>3848.9378396249999</v>
          </cell>
          <cell r="AX535">
            <v>3869.5772594374998</v>
          </cell>
          <cell r="BB535">
            <v>3176</v>
          </cell>
          <cell r="BC535">
            <v>3138</v>
          </cell>
          <cell r="BD535">
            <v>3138</v>
          </cell>
          <cell r="BH535">
            <v>2978</v>
          </cell>
          <cell r="BI535">
            <v>2986</v>
          </cell>
          <cell r="BJ535">
            <v>3161</v>
          </cell>
        </row>
        <row r="538">
          <cell r="AI538">
            <v>18169.746771503673</v>
          </cell>
          <cell r="AJ538">
            <v>17824.426961062698</v>
          </cell>
          <cell r="AK538">
            <v>17416.027460552974</v>
          </cell>
          <cell r="AL538">
            <v>17005.607376286829</v>
          </cell>
          <cell r="AP538">
            <v>18825.196931228515</v>
          </cell>
          <cell r="AQ538">
            <v>18630.019297184193</v>
          </cell>
          <cell r="AR538">
            <v>18432.552115950388</v>
          </cell>
          <cell r="AV538">
            <v>19156.059611112527</v>
          </cell>
          <cell r="AW538">
            <v>19142.83847773675</v>
          </cell>
          <cell r="AX538">
            <v>19125.219913263969</v>
          </cell>
          <cell r="BB538">
            <v>9898</v>
          </cell>
          <cell r="BC538">
            <v>10161</v>
          </cell>
          <cell r="BD538">
            <v>10475</v>
          </cell>
          <cell r="BH538">
            <v>9748</v>
          </cell>
          <cell r="BI538">
            <v>9641</v>
          </cell>
          <cell r="BJ538">
            <v>9839</v>
          </cell>
        </row>
        <row r="541">
          <cell r="BB541">
            <v>353</v>
          </cell>
          <cell r="BC541">
            <v>293</v>
          </cell>
          <cell r="BD541">
            <v>293</v>
          </cell>
          <cell r="BH541">
            <v>763</v>
          </cell>
          <cell r="BI541">
            <v>733</v>
          </cell>
          <cell r="BJ541">
            <v>778</v>
          </cell>
        </row>
        <row r="542">
          <cell r="BB542">
            <v>747</v>
          </cell>
          <cell r="BC542">
            <v>738</v>
          </cell>
          <cell r="BD542">
            <v>738</v>
          </cell>
          <cell r="BH542">
            <v>427</v>
          </cell>
          <cell r="BI542">
            <v>428</v>
          </cell>
          <cell r="BJ542">
            <v>362</v>
          </cell>
        </row>
        <row r="543">
          <cell r="BB543">
            <v>353</v>
          </cell>
          <cell r="BC543">
            <v>408</v>
          </cell>
          <cell r="BD543">
            <v>408</v>
          </cell>
          <cell r="BH543">
            <v>330</v>
          </cell>
          <cell r="BI543">
            <v>367</v>
          </cell>
          <cell r="BJ543">
            <v>384</v>
          </cell>
        </row>
        <row r="545">
          <cell r="AI545">
            <v>1439</v>
          </cell>
          <cell r="AJ545">
            <v>1439</v>
          </cell>
          <cell r="AK545">
            <v>1439</v>
          </cell>
          <cell r="AL545">
            <v>1439</v>
          </cell>
          <cell r="AP545">
            <v>1439</v>
          </cell>
          <cell r="AQ545">
            <v>1439</v>
          </cell>
          <cell r="AR545">
            <v>1439</v>
          </cell>
          <cell r="AV545">
            <v>1439</v>
          </cell>
          <cell r="AW545">
            <v>1439</v>
          </cell>
          <cell r="AX545">
            <v>1439</v>
          </cell>
          <cell r="BB545">
            <v>1453</v>
          </cell>
          <cell r="BC545">
            <v>1439</v>
          </cell>
          <cell r="BD545">
            <v>1439</v>
          </cell>
          <cell r="BH545">
            <v>1520</v>
          </cell>
          <cell r="BI545">
            <v>1528</v>
          </cell>
          <cell r="BJ545">
            <v>1524</v>
          </cell>
        </row>
        <row r="555">
          <cell r="D555">
            <v>20564.219913263969</v>
          </cell>
          <cell r="E555">
            <v>20564.219913263969</v>
          </cell>
          <cell r="F555">
            <v>18444.607376286829</v>
          </cell>
          <cell r="G555">
            <v>19871.552115950388</v>
          </cell>
          <cell r="H555">
            <v>20564.219913263969</v>
          </cell>
          <cell r="J555">
            <v>11914</v>
          </cell>
          <cell r="K555">
            <v>11363</v>
          </cell>
          <cell r="U555">
            <v>7597.7199999999993</v>
          </cell>
          <cell r="V555">
            <v>6940.3219999999992</v>
          </cell>
          <cell r="W555">
            <v>6815</v>
          </cell>
          <cell r="X555">
            <v>6641</v>
          </cell>
          <cell r="Y555">
            <v>4880</v>
          </cell>
          <cell r="AI555">
            <v>19608.746771503673</v>
          </cell>
          <cell r="AJ555">
            <v>19263.426961062698</v>
          </cell>
          <cell r="AK555">
            <v>18855.027460552974</v>
          </cell>
          <cell r="AL555">
            <v>18444.607376286829</v>
          </cell>
          <cell r="AO555">
            <v>20424.389299501454</v>
          </cell>
          <cell r="AP555">
            <v>20264.196931228515</v>
          </cell>
          <cell r="AQ555">
            <v>20069.019297184193</v>
          </cell>
          <cell r="AR555">
            <v>19871.552115950388</v>
          </cell>
          <cell r="AU555">
            <v>20306.596432331018</v>
          </cell>
          <cell r="AV555">
            <v>20595.059611112527</v>
          </cell>
          <cell r="AW555">
            <v>20581.83847773675</v>
          </cell>
          <cell r="AX555">
            <v>20564.219913263969</v>
          </cell>
          <cell r="BA555">
            <v>11371</v>
          </cell>
          <cell r="BB555">
            <v>11351</v>
          </cell>
          <cell r="BC555">
            <v>11600</v>
          </cell>
          <cell r="BD555">
            <v>11914</v>
          </cell>
          <cell r="BG555">
            <v>10762</v>
          </cell>
          <cell r="BH555">
            <v>11268</v>
          </cell>
          <cell r="BI555">
            <v>11169</v>
          </cell>
          <cell r="BJ555">
            <v>11363</v>
          </cell>
        </row>
        <row r="556">
          <cell r="D556">
            <v>6770.0317754916668</v>
          </cell>
          <cell r="E556">
            <v>6770.0317754916668</v>
          </cell>
          <cell r="F556">
            <v>8430.2895349523369</v>
          </cell>
          <cell r="G556">
            <v>7311.7885676290007</v>
          </cell>
          <cell r="H556">
            <v>6770.0317754916668</v>
          </cell>
          <cell r="J556">
            <v>6772</v>
          </cell>
          <cell r="K556">
            <v>6832</v>
          </cell>
          <cell r="L556">
            <v>7173</v>
          </cell>
          <cell r="M556">
            <v>4526</v>
          </cell>
          <cell r="N556">
            <v>4649</v>
          </cell>
          <cell r="P556">
            <v>4604</v>
          </cell>
          <cell r="Q556">
            <v>4486</v>
          </cell>
          <cell r="R556">
            <v>4290</v>
          </cell>
          <cell r="S556">
            <v>3966.096</v>
          </cell>
          <cell r="T556">
            <v>3645.989</v>
          </cell>
          <cell r="U556">
            <v>3489</v>
          </cell>
          <cell r="V556">
            <v>3864</v>
          </cell>
          <cell r="W556">
            <v>4148</v>
          </cell>
          <cell r="X556">
            <v>4044</v>
          </cell>
          <cell r="Y556">
            <v>3714</v>
          </cell>
          <cell r="AI556">
            <v>7513.0158647510843</v>
          </cell>
          <cell r="AJ556">
            <v>7807.7830144806676</v>
          </cell>
          <cell r="AK556">
            <v>8115.8480992602517</v>
          </cell>
          <cell r="AL556">
            <v>8430.2895349523369</v>
          </cell>
          <cell r="AO556">
            <v>6842.0841324627499</v>
          </cell>
          <cell r="AP556">
            <v>6996.0002551573334</v>
          </cell>
          <cell r="AQ556">
            <v>7154.164166536917</v>
          </cell>
          <cell r="AR556">
            <v>7311.7885676290007</v>
          </cell>
          <cell r="AU556">
            <v>6711.4605666666666</v>
          </cell>
          <cell r="AV556">
            <v>6717.6208814000001</v>
          </cell>
          <cell r="AW556">
            <v>6744.7021601333336</v>
          </cell>
          <cell r="AX556">
            <v>6770.0317754916668</v>
          </cell>
          <cell r="BA556">
            <v>6769</v>
          </cell>
          <cell r="BB556">
            <v>6954</v>
          </cell>
          <cell r="BC556">
            <v>6855</v>
          </cell>
          <cell r="BD556">
            <v>6772</v>
          </cell>
          <cell r="BG556">
            <v>7097</v>
          </cell>
          <cell r="BH556">
            <v>6801</v>
          </cell>
          <cell r="BI556">
            <v>6815</v>
          </cell>
          <cell r="BJ556">
            <v>6832</v>
          </cell>
        </row>
        <row r="558">
          <cell r="AI558">
            <v>27121.762636254756</v>
          </cell>
          <cell r="AJ558">
            <v>27071.209975543366</v>
          </cell>
          <cell r="AK558">
            <v>26970.875559813227</v>
          </cell>
          <cell r="AL558">
            <v>26874.896911239164</v>
          </cell>
          <cell r="AP558">
            <v>27260.197186385849</v>
          </cell>
          <cell r="AQ558">
            <v>27223.18346372111</v>
          </cell>
          <cell r="AR558">
            <v>27183.340683579387</v>
          </cell>
          <cell r="AV558">
            <v>27312.680492512525</v>
          </cell>
          <cell r="AW558">
            <v>27326.540637870083</v>
          </cell>
          <cell r="AX558">
            <v>27334.251688755634</v>
          </cell>
          <cell r="BB558">
            <v>18305</v>
          </cell>
          <cell r="BC558">
            <v>18455</v>
          </cell>
          <cell r="BD558">
            <v>18686</v>
          </cell>
          <cell r="BH558">
            <v>18069</v>
          </cell>
          <cell r="BI558">
            <v>17984</v>
          </cell>
          <cell r="BJ558">
            <v>18195</v>
          </cell>
        </row>
        <row r="579">
          <cell r="AI579">
            <v>8.9479870702321482E-2</v>
          </cell>
          <cell r="AJ579">
            <v>8.9479870702321482E-2</v>
          </cell>
          <cell r="AK579">
            <v>8.9479870702321482E-2</v>
          </cell>
          <cell r="AL579">
            <v>8.9479870702321482E-2</v>
          </cell>
          <cell r="AP579">
            <v>8.9479870702321482E-2</v>
          </cell>
          <cell r="AQ579">
            <v>8.9479870702321482E-2</v>
          </cell>
          <cell r="AR579">
            <v>8.9479870702321482E-2</v>
          </cell>
          <cell r="AV579">
            <v>8.9479870702321482E-2</v>
          </cell>
          <cell r="AW579">
            <v>8.9479870702321482E-2</v>
          </cell>
          <cell r="AX579">
            <v>8.9479870702321482E-2</v>
          </cell>
          <cell r="BB579">
            <v>8.002336448598131E-2</v>
          </cell>
          <cell r="BC579">
            <v>8.1199999999999994E-2</v>
          </cell>
          <cell r="BD579">
            <v>8.9479870702321482E-2</v>
          </cell>
          <cell r="BH579">
            <v>8.6793128131710806E-2</v>
          </cell>
          <cell r="BI579">
            <v>9.5450852965069055E-2</v>
          </cell>
          <cell r="BJ579">
            <v>7.7032369656535704E-2</v>
          </cell>
        </row>
        <row r="580">
          <cell r="AI580">
            <v>0.11793593230583257</v>
          </cell>
          <cell r="AJ580">
            <v>0.11793593230583257</v>
          </cell>
          <cell r="AK580">
            <v>0.11793593230583257</v>
          </cell>
          <cell r="AL580">
            <v>0.11793593230583257</v>
          </cell>
          <cell r="AP580">
            <v>0.11793593230583257</v>
          </cell>
          <cell r="AQ580">
            <v>0.11793593230583257</v>
          </cell>
          <cell r="AR580">
            <v>0.11793593230583257</v>
          </cell>
          <cell r="AV580">
            <v>0.11793593230583257</v>
          </cell>
          <cell r="AW580">
            <v>0.11793593230583257</v>
          </cell>
          <cell r="AX580">
            <v>0.11793593230583257</v>
          </cell>
          <cell r="BB580">
            <v>0.11353959693443089</v>
          </cell>
          <cell r="BC580">
            <v>0.11083499005964215</v>
          </cell>
          <cell r="BD580">
            <v>0.11793593230583257</v>
          </cell>
          <cell r="BH580">
            <v>0.10548580786026202</v>
          </cell>
          <cell r="BI580">
            <v>0.11142293689320389</v>
          </cell>
          <cell r="BJ580">
            <v>0.10258691486449494</v>
          </cell>
        </row>
        <row r="581">
          <cell r="AI581">
            <v>6.7240858265336961E-2</v>
          </cell>
          <cell r="AJ581">
            <v>6.7240858265336961E-2</v>
          </cell>
          <cell r="AK581">
            <v>6.7240858265336961E-2</v>
          </cell>
          <cell r="AL581">
            <v>6.7240858265336961E-2</v>
          </cell>
          <cell r="AP581">
            <v>6.7240858265336961E-2</v>
          </cell>
          <cell r="AQ581">
            <v>6.7240858265336961E-2</v>
          </cell>
          <cell r="AR581">
            <v>6.7240858265336961E-2</v>
          </cell>
          <cell r="AV581">
            <v>6.7240858265336961E-2</v>
          </cell>
          <cell r="AW581">
            <v>6.7240858265336961E-2</v>
          </cell>
          <cell r="AX581">
            <v>6.7240858265336961E-2</v>
          </cell>
          <cell r="BB581">
            <v>6.5143343741129719E-2</v>
          </cell>
          <cell r="BC581">
            <v>6.319227492189719E-2</v>
          </cell>
          <cell r="BD581">
            <v>6.7240858265336961E-2</v>
          </cell>
          <cell r="BH581">
            <v>6.8709061135371174E-2</v>
          </cell>
          <cell r="BI581">
            <v>7.03125E-2</v>
          </cell>
          <cell r="BJ581">
            <v>6.3030385984122639E-2</v>
          </cell>
        </row>
        <row r="602">
          <cell r="AK602" t="str">
            <v>2004E</v>
          </cell>
          <cell r="AQ602" t="str">
            <v>2003E</v>
          </cell>
          <cell r="AW602" t="str">
            <v>2002E</v>
          </cell>
          <cell r="BC602">
            <v>2001</v>
          </cell>
          <cell r="BI602">
            <v>2000</v>
          </cell>
          <cell r="BO602">
            <v>1999</v>
          </cell>
        </row>
        <row r="603">
          <cell r="AI603" t="str">
            <v>1QTR</v>
          </cell>
          <cell r="AJ603" t="str">
            <v>2QTR</v>
          </cell>
          <cell r="AK603" t="str">
            <v>3QTR</v>
          </cell>
          <cell r="AL603" t="str">
            <v>4QTR</v>
          </cell>
          <cell r="AP603" t="str">
            <v>2QTR</v>
          </cell>
          <cell r="AQ603" t="str">
            <v>3QTR</v>
          </cell>
          <cell r="AR603" t="str">
            <v>4QTR</v>
          </cell>
          <cell r="AS603" t="str">
            <v>YEAR</v>
          </cell>
          <cell r="AV603" t="str">
            <v>2QTR</v>
          </cell>
          <cell r="AW603" t="str">
            <v>3QTR</v>
          </cell>
          <cell r="AX603" t="str">
            <v>4QTR</v>
          </cell>
          <cell r="AY603" t="str">
            <v>YEAR</v>
          </cell>
          <cell r="BB603" t="str">
            <v>2QTR</v>
          </cell>
          <cell r="BC603" t="str">
            <v>3QTR</v>
          </cell>
          <cell r="BD603" t="str">
            <v>4QTR</v>
          </cell>
          <cell r="BE603" t="str">
            <v>YEAR</v>
          </cell>
          <cell r="BH603" t="str">
            <v>2QTR</v>
          </cell>
          <cell r="BI603" t="str">
            <v>3QTR</v>
          </cell>
          <cell r="BJ603" t="str">
            <v>4QTR</v>
          </cell>
          <cell r="BK603" t="str">
            <v>YEAR</v>
          </cell>
          <cell r="BN603" t="str">
            <v>2QTR</v>
          </cell>
          <cell r="BO603" t="str">
            <v>3QTR</v>
          </cell>
          <cell r="BP603" t="str">
            <v>4QTR</v>
          </cell>
          <cell r="BQ603" t="str">
            <v>YEAR</v>
          </cell>
        </row>
        <row r="606">
          <cell r="AI606">
            <v>298.09289712208329</v>
          </cell>
          <cell r="AJ606">
            <v>391.6327497295834</v>
          </cell>
          <cell r="AK606">
            <v>404.93068477958343</v>
          </cell>
          <cell r="AL606">
            <v>411.30703569208345</v>
          </cell>
          <cell r="AP606">
            <v>250.78172269458341</v>
          </cell>
          <cell r="AQ606">
            <v>255.02951137958334</v>
          </cell>
          <cell r="AR606">
            <v>254.49000109208333</v>
          </cell>
          <cell r="AS606">
            <v>929.21919213733349</v>
          </cell>
          <cell r="AV606">
            <v>103.02591473333335</v>
          </cell>
          <cell r="AW606">
            <v>123.94687873333338</v>
          </cell>
          <cell r="AX606">
            <v>122.19521535833336</v>
          </cell>
          <cell r="AY606">
            <v>385.49417549166679</v>
          </cell>
          <cell r="BB606">
            <v>171</v>
          </cell>
          <cell r="BC606">
            <v>97</v>
          </cell>
          <cell r="BD606">
            <v>5</v>
          </cell>
          <cell r="BE606">
            <v>406</v>
          </cell>
          <cell r="BH606">
            <v>203</v>
          </cell>
          <cell r="BI606">
            <v>200</v>
          </cell>
          <cell r="BJ606">
            <v>193</v>
          </cell>
          <cell r="BK606">
            <v>840</v>
          </cell>
          <cell r="BN606">
            <v>162.5</v>
          </cell>
          <cell r="BO606">
            <v>236</v>
          </cell>
          <cell r="BP606">
            <v>192</v>
          </cell>
          <cell r="BQ606">
            <v>692.1</v>
          </cell>
        </row>
        <row r="607">
          <cell r="AS607">
            <v>0</v>
          </cell>
        </row>
        <row r="608">
          <cell r="AI608">
            <v>326.75</v>
          </cell>
          <cell r="AJ608">
            <v>326.75</v>
          </cell>
          <cell r="AK608">
            <v>326.75</v>
          </cell>
          <cell r="AL608">
            <v>326.75</v>
          </cell>
          <cell r="AP608">
            <v>321.75</v>
          </cell>
          <cell r="AQ608">
            <v>321.75</v>
          </cell>
          <cell r="AR608">
            <v>321.75</v>
          </cell>
          <cell r="AS608">
            <v>1287</v>
          </cell>
          <cell r="AV608">
            <v>314.75</v>
          </cell>
          <cell r="AW608">
            <v>314.75</v>
          </cell>
          <cell r="AX608">
            <v>314.75</v>
          </cell>
          <cell r="AY608">
            <v>1163.25</v>
          </cell>
          <cell r="BB608">
            <v>217</v>
          </cell>
          <cell r="BC608">
            <v>220</v>
          </cell>
          <cell r="BD608">
            <v>219</v>
          </cell>
          <cell r="BE608">
            <v>864</v>
          </cell>
          <cell r="BH608">
            <v>199</v>
          </cell>
          <cell r="BI608">
            <v>194</v>
          </cell>
          <cell r="BJ608">
            <v>265</v>
          </cell>
          <cell r="BK608">
            <v>859</v>
          </cell>
          <cell r="BN608">
            <v>154</v>
          </cell>
          <cell r="BO608">
            <v>152</v>
          </cell>
          <cell r="BP608">
            <v>174</v>
          </cell>
          <cell r="BQ608">
            <v>640</v>
          </cell>
        </row>
        <row r="609">
          <cell r="AI609">
            <v>46.298058813333334</v>
          </cell>
          <cell r="AJ609">
            <v>46.298058813333334</v>
          </cell>
          <cell r="AK609">
            <v>46.298058813333334</v>
          </cell>
          <cell r="AL609">
            <v>46.298058813333334</v>
          </cell>
          <cell r="AP609">
            <v>35.166109926666671</v>
          </cell>
          <cell r="AQ609">
            <v>35.166109926666671</v>
          </cell>
          <cell r="AR609">
            <v>35.166109926666671</v>
          </cell>
          <cell r="AS609">
            <v>140.66443970666668</v>
          </cell>
          <cell r="AV609">
            <v>20.639419812500005</v>
          </cell>
          <cell r="AW609">
            <v>20.639419812500005</v>
          </cell>
          <cell r="AX609">
            <v>20.639419812500005</v>
          </cell>
          <cell r="AY609">
            <v>82.557679250000021</v>
          </cell>
          <cell r="BB609">
            <v>44</v>
          </cell>
          <cell r="BC609">
            <v>-10</v>
          </cell>
          <cell r="BD609">
            <v>-10</v>
          </cell>
          <cell r="BE609">
            <v>52</v>
          </cell>
          <cell r="BH609">
            <v>30</v>
          </cell>
          <cell r="BI609">
            <v>46</v>
          </cell>
          <cell r="BJ609">
            <v>82</v>
          </cell>
          <cell r="BK609">
            <v>193</v>
          </cell>
          <cell r="BN609">
            <v>60</v>
          </cell>
          <cell r="BO609">
            <v>46.25</v>
          </cell>
          <cell r="BP609">
            <v>46.25</v>
          </cell>
          <cell r="BQ609">
            <v>185</v>
          </cell>
        </row>
        <row r="610">
          <cell r="AI610">
            <v>5</v>
          </cell>
          <cell r="AJ610">
            <v>5</v>
          </cell>
          <cell r="AK610">
            <v>5</v>
          </cell>
          <cell r="AL610">
            <v>5</v>
          </cell>
          <cell r="AP610">
            <v>-15</v>
          </cell>
          <cell r="AQ610">
            <v>-15</v>
          </cell>
          <cell r="AR610">
            <v>-15</v>
          </cell>
          <cell r="AS610">
            <v>-60</v>
          </cell>
          <cell r="AV610">
            <v>-15</v>
          </cell>
          <cell r="AW610">
            <v>-15</v>
          </cell>
          <cell r="AX610">
            <v>-15</v>
          </cell>
          <cell r="AY610">
            <v>-60</v>
          </cell>
          <cell r="BB610">
            <v>24</v>
          </cell>
          <cell r="BC610">
            <v>17</v>
          </cell>
          <cell r="BD610">
            <v>17</v>
          </cell>
          <cell r="BE610">
            <v>65</v>
          </cell>
          <cell r="BH610">
            <v>145</v>
          </cell>
          <cell r="BI610">
            <v>15</v>
          </cell>
          <cell r="BJ610">
            <v>13</v>
          </cell>
          <cell r="BK610">
            <v>186</v>
          </cell>
        </row>
        <row r="611">
          <cell r="AI611">
            <v>-47</v>
          </cell>
          <cell r="AJ611">
            <v>-47</v>
          </cell>
          <cell r="AK611">
            <v>-47</v>
          </cell>
          <cell r="AL611">
            <v>-47</v>
          </cell>
          <cell r="AP611">
            <v>-47</v>
          </cell>
          <cell r="AQ611">
            <v>-47</v>
          </cell>
          <cell r="AR611">
            <v>-47</v>
          </cell>
          <cell r="AS611">
            <v>-188</v>
          </cell>
          <cell r="AV611">
            <v>-47</v>
          </cell>
          <cell r="AW611">
            <v>-47</v>
          </cell>
          <cell r="AX611">
            <v>-47</v>
          </cell>
          <cell r="AY611">
            <v>-188</v>
          </cell>
          <cell r="BB611">
            <v>-48</v>
          </cell>
          <cell r="BC611">
            <v>-47</v>
          </cell>
          <cell r="BD611">
            <v>-47</v>
          </cell>
          <cell r="BE611">
            <v>-204</v>
          </cell>
          <cell r="BH611">
            <v>-47</v>
          </cell>
          <cell r="BI611">
            <v>-45</v>
          </cell>
          <cell r="BJ611">
            <v>-31</v>
          </cell>
          <cell r="BK611">
            <v>-159</v>
          </cell>
          <cell r="BN611">
            <v>-19</v>
          </cell>
        </row>
        <row r="612">
          <cell r="AS612">
            <v>0</v>
          </cell>
          <cell r="BC612">
            <v>0</v>
          </cell>
          <cell r="BE612">
            <v>20</v>
          </cell>
          <cell r="BK612">
            <v>0</v>
          </cell>
        </row>
        <row r="613">
          <cell r="AI613">
            <v>-9</v>
          </cell>
          <cell r="AJ613">
            <v>-9</v>
          </cell>
          <cell r="AK613">
            <v>-9</v>
          </cell>
          <cell r="AL613">
            <v>-9</v>
          </cell>
          <cell r="AP613">
            <v>-9</v>
          </cell>
          <cell r="AQ613">
            <v>-9</v>
          </cell>
          <cell r="AR613">
            <v>-9</v>
          </cell>
          <cell r="AS613">
            <v>-36</v>
          </cell>
          <cell r="AV613">
            <v>-9</v>
          </cell>
          <cell r="AW613">
            <v>-9</v>
          </cell>
          <cell r="AX613">
            <v>-9</v>
          </cell>
          <cell r="AY613">
            <v>-36</v>
          </cell>
          <cell r="BB613">
            <v>-18</v>
          </cell>
          <cell r="BC613">
            <v>-9</v>
          </cell>
          <cell r="BD613">
            <v>-9</v>
          </cell>
          <cell r="BE613">
            <v>-65</v>
          </cell>
          <cell r="BH613">
            <v>-54</v>
          </cell>
          <cell r="BI613">
            <v>-26</v>
          </cell>
          <cell r="BJ613">
            <v>-25</v>
          </cell>
          <cell r="BK613">
            <v>-129</v>
          </cell>
        </row>
        <row r="614">
          <cell r="AI614">
            <v>10</v>
          </cell>
          <cell r="AJ614">
            <v>10</v>
          </cell>
          <cell r="AK614">
            <v>10</v>
          </cell>
          <cell r="AL614">
            <v>10</v>
          </cell>
          <cell r="AP614">
            <v>15</v>
          </cell>
          <cell r="AQ614">
            <v>15</v>
          </cell>
          <cell r="AR614">
            <v>15</v>
          </cell>
          <cell r="AS614">
            <v>60</v>
          </cell>
          <cell r="AV614">
            <v>0</v>
          </cell>
          <cell r="AW614">
            <v>0</v>
          </cell>
          <cell r="AX614">
            <v>0</v>
          </cell>
          <cell r="AY614">
            <v>0</v>
          </cell>
          <cell r="BB614">
            <v>128</v>
          </cell>
          <cell r="BC614">
            <v>182</v>
          </cell>
          <cell r="BD614">
            <v>53</v>
          </cell>
          <cell r="BE614">
            <v>-56</v>
          </cell>
        </row>
        <row r="615">
          <cell r="AI615">
            <v>-25</v>
          </cell>
          <cell r="AJ615">
            <v>-25</v>
          </cell>
          <cell r="AK615">
            <v>-25</v>
          </cell>
          <cell r="AL615">
            <v>-25</v>
          </cell>
          <cell r="AP615">
            <v>-25</v>
          </cell>
          <cell r="AQ615">
            <v>-25</v>
          </cell>
          <cell r="AR615">
            <v>-25</v>
          </cell>
          <cell r="AS615">
            <v>-100</v>
          </cell>
          <cell r="AV615">
            <v>-31.25</v>
          </cell>
          <cell r="AW615">
            <v>-31.25</v>
          </cell>
          <cell r="AX615">
            <v>-31.25</v>
          </cell>
          <cell r="AY615">
            <v>-125</v>
          </cell>
          <cell r="BB615">
            <v>19</v>
          </cell>
          <cell r="BC615">
            <v>40</v>
          </cell>
          <cell r="BD615">
            <v>22</v>
          </cell>
          <cell r="BE615">
            <v>84</v>
          </cell>
          <cell r="BH615">
            <v>37</v>
          </cell>
          <cell r="BI615">
            <v>36</v>
          </cell>
          <cell r="BJ615">
            <v>182</v>
          </cell>
          <cell r="BK615">
            <v>189</v>
          </cell>
          <cell r="BN615">
            <v>-87</v>
          </cell>
          <cell r="BO615">
            <v>-28.25</v>
          </cell>
          <cell r="BP615">
            <v>-28.25</v>
          </cell>
          <cell r="BQ615">
            <v>-113</v>
          </cell>
        </row>
        <row r="616">
          <cell r="AI616">
            <v>-46.5</v>
          </cell>
          <cell r="AJ616">
            <v>-46.5</v>
          </cell>
          <cell r="AK616">
            <v>-46.5</v>
          </cell>
          <cell r="AL616">
            <v>-46.5</v>
          </cell>
          <cell r="AP616">
            <v>-46.5</v>
          </cell>
          <cell r="AQ616">
            <v>-46.5</v>
          </cell>
          <cell r="AR616">
            <v>-46.5</v>
          </cell>
          <cell r="AS616">
            <v>-186</v>
          </cell>
          <cell r="AV616">
            <v>-46.5</v>
          </cell>
          <cell r="AW616">
            <v>-46.5</v>
          </cell>
          <cell r="AX616">
            <v>-46.5</v>
          </cell>
          <cell r="AY616">
            <v>-186</v>
          </cell>
          <cell r="BB616">
            <v>48</v>
          </cell>
          <cell r="BC616">
            <v>75</v>
          </cell>
          <cell r="BD616">
            <v>34</v>
          </cell>
          <cell r="BE616">
            <v>-54</v>
          </cell>
          <cell r="BH616">
            <v>-8</v>
          </cell>
          <cell r="BI616">
            <v>-55</v>
          </cell>
          <cell r="BJ616">
            <v>51</v>
          </cell>
          <cell r="BK616">
            <v>-203</v>
          </cell>
          <cell r="BN616">
            <v>42</v>
          </cell>
          <cell r="BO616">
            <v>-0.75</v>
          </cell>
          <cell r="BP616">
            <v>-0.75</v>
          </cell>
          <cell r="BQ616">
            <v>-3</v>
          </cell>
        </row>
        <row r="617">
          <cell r="BB617">
            <v>0</v>
          </cell>
          <cell r="BC617">
            <v>2</v>
          </cell>
          <cell r="BD617">
            <v>2</v>
          </cell>
          <cell r="BE617">
            <v>5</v>
          </cell>
          <cell r="BH617">
            <v>1</v>
          </cell>
          <cell r="BI617">
            <v>1</v>
          </cell>
          <cell r="BJ617">
            <v>0</v>
          </cell>
          <cell r="BK617">
            <v>4</v>
          </cell>
          <cell r="BN617">
            <v>5.25</v>
          </cell>
          <cell r="BO617">
            <v>5.25</v>
          </cell>
          <cell r="BP617">
            <v>5.25</v>
          </cell>
          <cell r="BQ617">
            <v>21</v>
          </cell>
        </row>
        <row r="618">
          <cell r="BB618">
            <v>61</v>
          </cell>
          <cell r="BC618">
            <v>65</v>
          </cell>
          <cell r="BD618">
            <v>-5</v>
          </cell>
          <cell r="BE618">
            <v>-91</v>
          </cell>
          <cell r="BH618">
            <v>-184</v>
          </cell>
          <cell r="BI618">
            <v>-161</v>
          </cell>
          <cell r="BJ618">
            <v>231</v>
          </cell>
          <cell r="BK618">
            <v>-264</v>
          </cell>
          <cell r="BN618">
            <v>47.5</v>
          </cell>
          <cell r="BO618">
            <v>47.5</v>
          </cell>
          <cell r="BP618">
            <v>47.5</v>
          </cell>
          <cell r="BQ618">
            <v>190</v>
          </cell>
        </row>
        <row r="620">
          <cell r="BB620">
            <v>12</v>
          </cell>
          <cell r="BC620">
            <v>-3</v>
          </cell>
          <cell r="BD620">
            <v>0</v>
          </cell>
          <cell r="BE620">
            <v>5</v>
          </cell>
          <cell r="BI620">
            <v>-6</v>
          </cell>
          <cell r="BJ620">
            <v>1</v>
          </cell>
          <cell r="BK620">
            <v>-5</v>
          </cell>
        </row>
        <row r="621">
          <cell r="AI621">
            <v>2</v>
          </cell>
          <cell r="AJ621">
            <v>2</v>
          </cell>
          <cell r="AK621">
            <v>2</v>
          </cell>
          <cell r="AL621">
            <v>2</v>
          </cell>
          <cell r="AP621">
            <v>2</v>
          </cell>
          <cell r="AQ621">
            <v>2</v>
          </cell>
          <cell r="AR621">
            <v>2</v>
          </cell>
          <cell r="AS621">
            <v>8</v>
          </cell>
          <cell r="AV621">
            <v>2</v>
          </cell>
          <cell r="AW621">
            <v>2</v>
          </cell>
          <cell r="AX621">
            <v>2</v>
          </cell>
          <cell r="AY621">
            <v>8</v>
          </cell>
          <cell r="BB621">
            <v>-77</v>
          </cell>
          <cell r="BC621">
            <v>-31</v>
          </cell>
          <cell r="BD621">
            <v>-31</v>
          </cell>
          <cell r="BE621">
            <v>-154</v>
          </cell>
          <cell r="BI621">
            <v>29</v>
          </cell>
          <cell r="BJ621">
            <v>-88</v>
          </cell>
          <cell r="BK621">
            <v>-82</v>
          </cell>
          <cell r="BN621">
            <v>-0.75</v>
          </cell>
          <cell r="BO621">
            <v>-0.75</v>
          </cell>
          <cell r="BP621">
            <v>-0.75</v>
          </cell>
          <cell r="BQ621">
            <v>-3</v>
          </cell>
        </row>
        <row r="622">
          <cell r="AI622">
            <v>632.14095593541663</v>
          </cell>
          <cell r="AJ622">
            <v>725.68080854291668</v>
          </cell>
          <cell r="AK622">
            <v>738.97874359291677</v>
          </cell>
          <cell r="AL622">
            <v>745.35509450541679</v>
          </cell>
          <cell r="AP622">
            <v>553.69783262125009</v>
          </cell>
          <cell r="AQ622">
            <v>557.94562130625002</v>
          </cell>
          <cell r="AR622">
            <v>557.40611101874993</v>
          </cell>
          <cell r="AS622">
            <v>2140.8836318439999</v>
          </cell>
          <cell r="AV622">
            <v>369.41533454583339</v>
          </cell>
          <cell r="AW622">
            <v>390.33629854583342</v>
          </cell>
          <cell r="AX622">
            <v>388.58463517083339</v>
          </cell>
          <cell r="AY622">
            <v>1355.3018547416668</v>
          </cell>
          <cell r="BB622">
            <v>453</v>
          </cell>
          <cell r="BC622">
            <v>416</v>
          </cell>
          <cell r="BD622">
            <v>197</v>
          </cell>
          <cell r="BE622">
            <v>933</v>
          </cell>
          <cell r="BH622">
            <v>322</v>
          </cell>
          <cell r="BI622">
            <v>228</v>
          </cell>
          <cell r="BJ622">
            <v>874</v>
          </cell>
          <cell r="BK622">
            <v>1429</v>
          </cell>
          <cell r="BN622">
            <v>356.75</v>
          </cell>
          <cell r="BO622">
            <v>433.5</v>
          </cell>
          <cell r="BP622">
            <v>411.5</v>
          </cell>
          <cell r="BQ622">
            <v>1514.1</v>
          </cell>
        </row>
        <row r="625">
          <cell r="AI625">
            <v>-225</v>
          </cell>
          <cell r="AJ625">
            <v>-225</v>
          </cell>
          <cell r="AK625">
            <v>-225</v>
          </cell>
          <cell r="AL625">
            <v>-225</v>
          </cell>
          <cell r="AP625">
            <v>-237.5</v>
          </cell>
          <cell r="AQ625">
            <v>-237.5</v>
          </cell>
          <cell r="AR625">
            <v>-237.5</v>
          </cell>
          <cell r="AS625">
            <v>-950</v>
          </cell>
          <cell r="AV625">
            <v>-275</v>
          </cell>
          <cell r="AW625">
            <v>-275</v>
          </cell>
          <cell r="AX625">
            <v>-275</v>
          </cell>
          <cell r="AY625">
            <v>-995</v>
          </cell>
          <cell r="BB625">
            <v>-174</v>
          </cell>
          <cell r="BC625">
            <v>-132</v>
          </cell>
          <cell r="BD625">
            <v>-132</v>
          </cell>
          <cell r="BE625">
            <v>-617</v>
          </cell>
          <cell r="BH625">
            <v>-196</v>
          </cell>
          <cell r="BI625">
            <v>-189</v>
          </cell>
          <cell r="BJ625">
            <v>-328</v>
          </cell>
          <cell r="BK625">
            <v>-848</v>
          </cell>
          <cell r="BN625">
            <v>-108</v>
          </cell>
          <cell r="BO625">
            <v>-102</v>
          </cell>
          <cell r="BP625">
            <v>-153.22666666666666</v>
          </cell>
          <cell r="BQ625">
            <v>-453.22666666666669</v>
          </cell>
        </row>
        <row r="626">
          <cell r="AI626">
            <v>-25</v>
          </cell>
          <cell r="AJ626">
            <v>-25</v>
          </cell>
          <cell r="AK626">
            <v>-25</v>
          </cell>
          <cell r="AL626">
            <v>-25</v>
          </cell>
          <cell r="AP626">
            <v>-25</v>
          </cell>
          <cell r="AQ626">
            <v>-25</v>
          </cell>
          <cell r="AR626">
            <v>-25</v>
          </cell>
          <cell r="AS626">
            <v>-100</v>
          </cell>
          <cell r="AV626">
            <v>-25</v>
          </cell>
          <cell r="AW626">
            <v>-25</v>
          </cell>
          <cell r="AX626">
            <v>-25</v>
          </cell>
          <cell r="AY626">
            <v>-105</v>
          </cell>
          <cell r="BB626">
            <v>-10</v>
          </cell>
          <cell r="BC626">
            <v>-59</v>
          </cell>
          <cell r="BD626">
            <v>-59</v>
          </cell>
          <cell r="BE626">
            <v>-171</v>
          </cell>
          <cell r="BH626">
            <v>-23</v>
          </cell>
          <cell r="BI626">
            <v>-16</v>
          </cell>
          <cell r="BJ626">
            <v>-46</v>
          </cell>
          <cell r="BK626">
            <v>-102</v>
          </cell>
          <cell r="BN626">
            <v>-13</v>
          </cell>
          <cell r="BO626">
            <v>-19.75</v>
          </cell>
          <cell r="BP626">
            <v>-19.75</v>
          </cell>
          <cell r="BQ626">
            <v>-79</v>
          </cell>
        </row>
        <row r="627">
          <cell r="AI627">
            <v>-250</v>
          </cell>
          <cell r="AJ627">
            <v>-250</v>
          </cell>
          <cell r="AK627">
            <v>-250</v>
          </cell>
          <cell r="AL627">
            <v>-250</v>
          </cell>
          <cell r="AP627">
            <v>-262.5</v>
          </cell>
          <cell r="AQ627">
            <v>-262.5</v>
          </cell>
          <cell r="AR627">
            <v>-262.5</v>
          </cell>
          <cell r="AS627">
            <v>-1050</v>
          </cell>
          <cell r="AV627">
            <v>-300</v>
          </cell>
          <cell r="AW627">
            <v>-300</v>
          </cell>
          <cell r="AX627">
            <v>-300</v>
          </cell>
          <cell r="AY627">
            <v>-1100</v>
          </cell>
          <cell r="BB627">
            <v>-184</v>
          </cell>
          <cell r="BC627">
            <v>-191</v>
          </cell>
          <cell r="BD627">
            <v>-191</v>
          </cell>
          <cell r="BE627">
            <v>-788</v>
          </cell>
          <cell r="BH627">
            <v>-219</v>
          </cell>
          <cell r="BI627">
            <v>-205</v>
          </cell>
          <cell r="BJ627">
            <v>-374</v>
          </cell>
          <cell r="BK627">
            <v>-950</v>
          </cell>
          <cell r="BN627">
            <v>-141.5</v>
          </cell>
          <cell r="BO627">
            <v>-141.5</v>
          </cell>
          <cell r="BP627">
            <v>-141.5</v>
          </cell>
          <cell r="BQ627">
            <v>-566</v>
          </cell>
        </row>
        <row r="628">
          <cell r="AY628">
            <v>-6200</v>
          </cell>
          <cell r="BC628">
            <v>-261</v>
          </cell>
          <cell r="BE628">
            <v>-261</v>
          </cell>
          <cell r="BH628">
            <v>-49</v>
          </cell>
          <cell r="BJ628">
            <v>-50</v>
          </cell>
          <cell r="BK628">
            <v>-693</v>
          </cell>
        </row>
        <row r="629">
          <cell r="BK629">
            <v>0</v>
          </cell>
        </row>
        <row r="630">
          <cell r="BB630">
            <v>-28</v>
          </cell>
          <cell r="BC630">
            <v>1</v>
          </cell>
          <cell r="BD630">
            <v>0</v>
          </cell>
          <cell r="BE630">
            <v>136</v>
          </cell>
          <cell r="BH630">
            <v>41</v>
          </cell>
          <cell r="BI630">
            <v>25</v>
          </cell>
          <cell r="BJ630">
            <v>-7</v>
          </cell>
          <cell r="BK630">
            <v>64</v>
          </cell>
          <cell r="BN630">
            <v>-23</v>
          </cell>
        </row>
        <row r="631">
          <cell r="BK631">
            <v>0</v>
          </cell>
        </row>
        <row r="632">
          <cell r="AI632">
            <v>15</v>
          </cell>
          <cell r="AJ632">
            <v>15</v>
          </cell>
          <cell r="AK632">
            <v>15</v>
          </cell>
          <cell r="AL632">
            <v>15</v>
          </cell>
          <cell r="AP632">
            <v>15</v>
          </cell>
          <cell r="AQ632">
            <v>15</v>
          </cell>
          <cell r="AR632">
            <v>15</v>
          </cell>
          <cell r="AS632">
            <v>60</v>
          </cell>
          <cell r="AV632">
            <v>20</v>
          </cell>
          <cell r="AW632">
            <v>20</v>
          </cell>
          <cell r="AX632">
            <v>20</v>
          </cell>
          <cell r="AY632">
            <v>80</v>
          </cell>
          <cell r="BB632">
            <v>9</v>
          </cell>
          <cell r="BC632">
            <v>20</v>
          </cell>
          <cell r="BD632">
            <v>20</v>
          </cell>
          <cell r="BE632">
            <v>61</v>
          </cell>
          <cell r="BH632">
            <v>4</v>
          </cell>
          <cell r="BI632">
            <v>19</v>
          </cell>
          <cell r="BJ632">
            <v>61</v>
          </cell>
          <cell r="BK632">
            <v>84</v>
          </cell>
          <cell r="BN632">
            <v>3</v>
          </cell>
          <cell r="BO632">
            <v>4</v>
          </cell>
          <cell r="BP632">
            <v>4</v>
          </cell>
          <cell r="BQ632">
            <v>16</v>
          </cell>
        </row>
        <row r="633">
          <cell r="BK633">
            <v>0</v>
          </cell>
          <cell r="BN633">
            <v>80</v>
          </cell>
        </row>
        <row r="634">
          <cell r="BB634">
            <v>3</v>
          </cell>
          <cell r="BC634">
            <v>3</v>
          </cell>
          <cell r="BD634">
            <v>0</v>
          </cell>
          <cell r="BE634">
            <v>8</v>
          </cell>
          <cell r="BI634">
            <v>5</v>
          </cell>
          <cell r="BJ634">
            <v>6</v>
          </cell>
          <cell r="BK634">
            <v>12</v>
          </cell>
          <cell r="BN634">
            <v>6</v>
          </cell>
        </row>
        <row r="635">
          <cell r="BB635">
            <v>-45</v>
          </cell>
          <cell r="BC635">
            <v>22</v>
          </cell>
          <cell r="BD635">
            <v>0</v>
          </cell>
          <cell r="BE635">
            <v>7</v>
          </cell>
          <cell r="BH635">
            <v>10</v>
          </cell>
          <cell r="BI635">
            <v>-34</v>
          </cell>
          <cell r="BJ635">
            <v>13</v>
          </cell>
          <cell r="BK635">
            <v>23</v>
          </cell>
          <cell r="BN635">
            <v>4</v>
          </cell>
        </row>
        <row r="636">
          <cell r="AI636">
            <v>-235</v>
          </cell>
          <cell r="AJ636">
            <v>-235</v>
          </cell>
          <cell r="AK636">
            <v>-235</v>
          </cell>
          <cell r="AL636">
            <v>-235</v>
          </cell>
          <cell r="AP636">
            <v>-247.5</v>
          </cell>
          <cell r="AQ636">
            <v>-247.5</v>
          </cell>
          <cell r="AR636">
            <v>-247.5</v>
          </cell>
          <cell r="AS636">
            <v>-990</v>
          </cell>
          <cell r="AV636">
            <v>-280</v>
          </cell>
          <cell r="AW636">
            <v>-280</v>
          </cell>
          <cell r="AX636">
            <v>-280</v>
          </cell>
          <cell r="AY636">
            <v>-7220</v>
          </cell>
          <cell r="BB636">
            <v>-245</v>
          </cell>
          <cell r="BC636">
            <v>-406</v>
          </cell>
          <cell r="BD636">
            <v>-171</v>
          </cell>
          <cell r="BE636">
            <v>-837</v>
          </cell>
          <cell r="BH636">
            <v>-213</v>
          </cell>
          <cell r="BI636">
            <v>-190</v>
          </cell>
          <cell r="BJ636">
            <v>-351</v>
          </cell>
          <cell r="BK636">
            <v>-1460</v>
          </cell>
          <cell r="BN636">
            <v>-71.5</v>
          </cell>
          <cell r="BO636">
            <v>-137.5</v>
          </cell>
          <cell r="BP636">
            <v>-137.5</v>
          </cell>
          <cell r="BQ636">
            <v>-550</v>
          </cell>
        </row>
        <row r="639">
          <cell r="AY639">
            <v>6200</v>
          </cell>
          <cell r="BB639">
            <v>382</v>
          </cell>
          <cell r="BC639">
            <v>840</v>
          </cell>
          <cell r="BD639">
            <v>0</v>
          </cell>
          <cell r="BE639">
            <v>1240</v>
          </cell>
          <cell r="BH639">
            <v>6</v>
          </cell>
          <cell r="BI639">
            <v>1</v>
          </cell>
          <cell r="BJ639">
            <v>6</v>
          </cell>
          <cell r="BK639">
            <v>18</v>
          </cell>
          <cell r="BN639">
            <v>9</v>
          </cell>
        </row>
        <row r="640">
          <cell r="AI640">
            <v>0</v>
          </cell>
          <cell r="AJ640">
            <v>0</v>
          </cell>
          <cell r="AK640">
            <v>0</v>
          </cell>
          <cell r="AL640">
            <v>0</v>
          </cell>
          <cell r="AP640">
            <v>0</v>
          </cell>
          <cell r="AQ640">
            <v>0</v>
          </cell>
          <cell r="AR640">
            <v>0</v>
          </cell>
          <cell r="AS640">
            <v>0</v>
          </cell>
          <cell r="AV640">
            <v>0</v>
          </cell>
          <cell r="AW640">
            <v>0</v>
          </cell>
          <cell r="AX640">
            <v>0</v>
          </cell>
          <cell r="AY640">
            <v>0</v>
          </cell>
          <cell r="BB640">
            <v>0</v>
          </cell>
          <cell r="BC640">
            <v>0</v>
          </cell>
          <cell r="BD640">
            <v>0</v>
          </cell>
          <cell r="BE640">
            <v>0</v>
          </cell>
          <cell r="BH640">
            <v>0</v>
          </cell>
          <cell r="BI640">
            <v>0</v>
          </cell>
          <cell r="BJ640">
            <v>0</v>
          </cell>
          <cell r="BK640">
            <v>0</v>
          </cell>
          <cell r="BN640">
            <v>0</v>
          </cell>
          <cell r="BO640">
            <v>0</v>
          </cell>
          <cell r="BP640">
            <v>0</v>
          </cell>
          <cell r="BQ640">
            <v>0</v>
          </cell>
        </row>
        <row r="642">
          <cell r="AV642">
            <v>0</v>
          </cell>
          <cell r="AW642">
            <v>0</v>
          </cell>
          <cell r="AX642">
            <v>0</v>
          </cell>
          <cell r="AY642">
            <v>150</v>
          </cell>
          <cell r="BB642">
            <v>-397</v>
          </cell>
          <cell r="BC642">
            <v>-700</v>
          </cell>
          <cell r="BD642">
            <v>0</v>
          </cell>
          <cell r="BE642">
            <v>-890</v>
          </cell>
          <cell r="BH642">
            <v>419</v>
          </cell>
          <cell r="BI642">
            <v>191</v>
          </cell>
          <cell r="BJ642">
            <v>-171</v>
          </cell>
          <cell r="BK642">
            <v>718</v>
          </cell>
          <cell r="BN642">
            <v>-244</v>
          </cell>
        </row>
        <row r="645">
          <cell r="AI645">
            <v>-87.865600000000001</v>
          </cell>
          <cell r="AJ645">
            <v>-87.865600000000001</v>
          </cell>
          <cell r="AK645">
            <v>-87.865600000000001</v>
          </cell>
          <cell r="AL645">
            <v>-87.865600000000001</v>
          </cell>
          <cell r="AP645">
            <v>-87.865600000000001</v>
          </cell>
          <cell r="AQ645">
            <v>-87.865600000000001</v>
          </cell>
          <cell r="AR645">
            <v>-87.865600000000001</v>
          </cell>
          <cell r="AS645">
            <v>-351.4624</v>
          </cell>
          <cell r="AV645">
            <v>-87.865600000000001</v>
          </cell>
          <cell r="AW645">
            <v>-87.865600000000001</v>
          </cell>
          <cell r="AX645">
            <v>-87.865600000000001</v>
          </cell>
          <cell r="AY645">
            <v>-351.4624</v>
          </cell>
          <cell r="BB645">
            <v>-88</v>
          </cell>
          <cell r="BC645">
            <v>-88</v>
          </cell>
          <cell r="BD645">
            <v>-88</v>
          </cell>
          <cell r="BE645">
            <v>-351</v>
          </cell>
          <cell r="BH645">
            <v>-95</v>
          </cell>
          <cell r="BI645">
            <v>-88</v>
          </cell>
          <cell r="BJ645">
            <v>-89</v>
          </cell>
          <cell r="BK645">
            <v>-363</v>
          </cell>
          <cell r="BN645">
            <v>-81</v>
          </cell>
          <cell r="BO645">
            <v>-80.25</v>
          </cell>
          <cell r="BP645">
            <v>-80.25</v>
          </cell>
          <cell r="BQ645">
            <v>-321</v>
          </cell>
        </row>
        <row r="647">
          <cell r="AI647">
            <v>-300</v>
          </cell>
          <cell r="AJ647">
            <v>-400</v>
          </cell>
          <cell r="AK647">
            <v>-450</v>
          </cell>
          <cell r="AL647">
            <v>-450</v>
          </cell>
          <cell r="AP647">
            <v>-200</v>
          </cell>
          <cell r="AQ647">
            <v>-225</v>
          </cell>
          <cell r="AR647">
            <v>-225</v>
          </cell>
          <cell r="AS647">
            <v>-825</v>
          </cell>
          <cell r="AV647">
            <v>0</v>
          </cell>
          <cell r="AW647">
            <v>-30</v>
          </cell>
          <cell r="AX647">
            <v>-30</v>
          </cell>
          <cell r="AY647">
            <v>-60</v>
          </cell>
          <cell r="BB647">
            <v>-117</v>
          </cell>
          <cell r="BC647">
            <v>-13</v>
          </cell>
          <cell r="BD647">
            <v>-13</v>
          </cell>
          <cell r="BE647">
            <v>-164</v>
          </cell>
          <cell r="BH647">
            <v>-45</v>
          </cell>
          <cell r="BI647">
            <v>-51</v>
          </cell>
          <cell r="BJ647">
            <v>-73</v>
          </cell>
          <cell r="BK647">
            <v>-1044</v>
          </cell>
          <cell r="BN647">
            <v>-122</v>
          </cell>
          <cell r="BO647">
            <v>-200</v>
          </cell>
          <cell r="BP647">
            <v>-200</v>
          </cell>
          <cell r="BQ647">
            <v>-561</v>
          </cell>
        </row>
        <row r="649">
          <cell r="AI649">
            <v>0</v>
          </cell>
          <cell r="AJ649">
            <v>0</v>
          </cell>
          <cell r="AK649">
            <v>0</v>
          </cell>
          <cell r="AL649">
            <v>0</v>
          </cell>
          <cell r="AP649">
            <v>0</v>
          </cell>
          <cell r="AQ649">
            <v>0</v>
          </cell>
          <cell r="AR649">
            <v>0</v>
          </cell>
          <cell r="AS649">
            <v>0</v>
          </cell>
          <cell r="AV649">
            <v>0</v>
          </cell>
          <cell r="AW649">
            <v>0</v>
          </cell>
          <cell r="AX649">
            <v>0</v>
          </cell>
          <cell r="AY649">
            <v>0</v>
          </cell>
          <cell r="BB649">
            <v>0</v>
          </cell>
          <cell r="BC649">
            <v>0</v>
          </cell>
          <cell r="BD649">
            <v>0</v>
          </cell>
          <cell r="BE649">
            <v>0</v>
          </cell>
          <cell r="BH649">
            <v>-419</v>
          </cell>
          <cell r="BI649">
            <v>-178</v>
          </cell>
          <cell r="BJ649">
            <v>0</v>
          </cell>
          <cell r="BK649">
            <v>-808</v>
          </cell>
          <cell r="BN649">
            <v>0</v>
          </cell>
          <cell r="BO649">
            <v>0</v>
          </cell>
          <cell r="BP649">
            <v>0</v>
          </cell>
          <cell r="BQ649">
            <v>0</v>
          </cell>
        </row>
        <row r="650">
          <cell r="AI650">
            <v>0</v>
          </cell>
          <cell r="AJ650">
            <v>0</v>
          </cell>
          <cell r="AK650">
            <v>0</v>
          </cell>
          <cell r="AL650">
            <v>0</v>
          </cell>
          <cell r="AP650">
            <v>0</v>
          </cell>
          <cell r="AQ650">
            <v>0</v>
          </cell>
          <cell r="AR650">
            <v>0</v>
          </cell>
          <cell r="AS650">
            <v>0</v>
          </cell>
          <cell r="AV650">
            <v>0</v>
          </cell>
          <cell r="AW650">
            <v>0</v>
          </cell>
          <cell r="AX650">
            <v>0</v>
          </cell>
          <cell r="AY650">
            <v>0</v>
          </cell>
          <cell r="BB650">
            <v>38</v>
          </cell>
          <cell r="BC650">
            <v>-21</v>
          </cell>
          <cell r="BD650">
            <v>-21</v>
          </cell>
          <cell r="BE650">
            <v>-5</v>
          </cell>
          <cell r="BH650">
            <v>43</v>
          </cell>
          <cell r="BI650">
            <v>57</v>
          </cell>
          <cell r="BJ650">
            <v>-157</v>
          </cell>
          <cell r="BK650">
            <v>-10</v>
          </cell>
          <cell r="BN650">
            <v>56</v>
          </cell>
          <cell r="BO650">
            <v>21</v>
          </cell>
          <cell r="BP650">
            <v>21</v>
          </cell>
          <cell r="BQ650">
            <v>84</v>
          </cell>
        </row>
        <row r="651">
          <cell r="AI651">
            <v>-387.86559999999997</v>
          </cell>
          <cell r="AJ651">
            <v>-487.86559999999997</v>
          </cell>
          <cell r="AK651">
            <v>-537.86559999999997</v>
          </cell>
          <cell r="AL651">
            <v>-537.86559999999997</v>
          </cell>
          <cell r="AP651">
            <v>-287.86559999999997</v>
          </cell>
          <cell r="AQ651">
            <v>-312.86559999999997</v>
          </cell>
          <cell r="AR651">
            <v>-312.86559999999997</v>
          </cell>
          <cell r="AS651">
            <v>-1176.4623999999999</v>
          </cell>
          <cell r="AV651">
            <v>-87.865600000000001</v>
          </cell>
          <cell r="AW651">
            <v>-117.8656</v>
          </cell>
          <cell r="AX651">
            <v>-117.8656</v>
          </cell>
          <cell r="AY651">
            <v>5938.5375999999997</v>
          </cell>
          <cell r="BB651">
            <v>-182</v>
          </cell>
          <cell r="BC651">
            <v>18</v>
          </cell>
          <cell r="BD651">
            <v>-122</v>
          </cell>
          <cell r="BE651">
            <v>-170</v>
          </cell>
          <cell r="BH651">
            <v>-91</v>
          </cell>
          <cell r="BI651">
            <v>-68</v>
          </cell>
          <cell r="BJ651">
            <v>-484</v>
          </cell>
          <cell r="BK651">
            <v>-1489</v>
          </cell>
          <cell r="BN651">
            <v>-382</v>
          </cell>
          <cell r="BO651">
            <v>-259.25</v>
          </cell>
          <cell r="BP651">
            <v>-259.25</v>
          </cell>
          <cell r="BQ651">
            <v>-798</v>
          </cell>
        </row>
        <row r="653">
          <cell r="AI653">
            <v>9.2753559354166555</v>
          </cell>
          <cell r="AJ653">
            <v>2.8152085429167073</v>
          </cell>
          <cell r="AK653">
            <v>-33.886856407083201</v>
          </cell>
          <cell r="AL653">
            <v>-27.510505494583185</v>
          </cell>
          <cell r="AP653">
            <v>18.332232621250114</v>
          </cell>
          <cell r="AQ653">
            <v>-2.4199786937499539</v>
          </cell>
          <cell r="AR653">
            <v>-2.9594889812500469</v>
          </cell>
          <cell r="AS653">
            <v>-25.578768155999796</v>
          </cell>
          <cell r="AV653">
            <v>1.5497345458334166</v>
          </cell>
          <cell r="AW653">
            <v>-7.5293014541665571</v>
          </cell>
          <cell r="AX653">
            <v>-9.2809648291665781</v>
          </cell>
          <cell r="AY653">
            <v>73.839454741666884</v>
          </cell>
          <cell r="BB653">
            <v>26</v>
          </cell>
          <cell r="BC653">
            <v>28</v>
          </cell>
          <cell r="BD653">
            <v>-96</v>
          </cell>
          <cell r="BE653">
            <v>-74</v>
          </cell>
          <cell r="BH653">
            <v>18</v>
          </cell>
          <cell r="BI653">
            <v>-30</v>
          </cell>
          <cell r="BJ653">
            <v>39</v>
          </cell>
          <cell r="BK653">
            <v>-1520</v>
          </cell>
          <cell r="BN653">
            <v>-96.75</v>
          </cell>
          <cell r="BO653">
            <v>36.75</v>
          </cell>
          <cell r="BP653">
            <v>14.75</v>
          </cell>
          <cell r="BQ653">
            <v>206.60000000000002</v>
          </cell>
        </row>
        <row r="654">
          <cell r="AI654">
            <v>97.260686585667088</v>
          </cell>
          <cell r="AJ654">
            <v>106.53604252108374</v>
          </cell>
          <cell r="AK654">
            <v>109.35125106400045</v>
          </cell>
          <cell r="AL654">
            <v>75.46439465691725</v>
          </cell>
          <cell r="AP654">
            <v>84.307921639416975</v>
          </cell>
          <cell r="AQ654">
            <v>102.64015426066709</v>
          </cell>
          <cell r="AR654">
            <v>100.22017556691713</v>
          </cell>
          <cell r="AS654">
            <v>122.83945474166688</v>
          </cell>
          <cell r="AV654">
            <v>138.0999864791666</v>
          </cell>
          <cell r="AW654">
            <v>139.64972102500002</v>
          </cell>
          <cell r="AX654">
            <v>132.12041957083346</v>
          </cell>
          <cell r="AY654">
            <v>49</v>
          </cell>
          <cell r="BB654">
            <v>91</v>
          </cell>
          <cell r="BC654">
            <v>117</v>
          </cell>
          <cell r="BD654">
            <v>145</v>
          </cell>
          <cell r="BE654">
            <v>123</v>
          </cell>
          <cell r="BH654">
            <v>96</v>
          </cell>
          <cell r="BI654">
            <v>114</v>
          </cell>
          <cell r="BJ654">
            <v>84</v>
          </cell>
          <cell r="BK654">
            <v>1643</v>
          </cell>
        </row>
        <row r="655">
          <cell r="AI655">
            <v>106.53604252108374</v>
          </cell>
          <cell r="AJ655">
            <v>109.35125106400045</v>
          </cell>
          <cell r="AK655">
            <v>75.46439465691725</v>
          </cell>
          <cell r="AL655">
            <v>47.953889162334065</v>
          </cell>
          <cell r="AP655">
            <v>102.64015426066709</v>
          </cell>
          <cell r="AQ655">
            <v>100.22017556691713</v>
          </cell>
          <cell r="AR655">
            <v>97.260686585667088</v>
          </cell>
          <cell r="AS655">
            <v>97.260686585667088</v>
          </cell>
          <cell r="AV655">
            <v>139.64972102500002</v>
          </cell>
          <cell r="AW655">
            <v>132.12041957083346</v>
          </cell>
          <cell r="AX655">
            <v>122.83945474166688</v>
          </cell>
          <cell r="AY655">
            <v>122.83945474166688</v>
          </cell>
          <cell r="BB655">
            <v>117</v>
          </cell>
          <cell r="BC655">
            <v>145</v>
          </cell>
          <cell r="BD655">
            <v>49</v>
          </cell>
          <cell r="BE655">
            <v>49</v>
          </cell>
          <cell r="BH655">
            <v>114</v>
          </cell>
          <cell r="BI655">
            <v>84</v>
          </cell>
          <cell r="BJ655">
            <v>123</v>
          </cell>
          <cell r="BK655">
            <v>123</v>
          </cell>
        </row>
        <row r="657">
          <cell r="AI657">
            <v>671.14095593541663</v>
          </cell>
          <cell r="AJ657">
            <v>764.68080854291668</v>
          </cell>
          <cell r="AK657">
            <v>777.97874359291677</v>
          </cell>
          <cell r="AL657">
            <v>784.35509450541679</v>
          </cell>
          <cell r="AP657">
            <v>607.69783262125009</v>
          </cell>
          <cell r="AQ657">
            <v>611.94562130625002</v>
          </cell>
          <cell r="AR657">
            <v>611.40611101874993</v>
          </cell>
          <cell r="AS657">
            <v>2356.8836318439999</v>
          </cell>
          <cell r="AV657">
            <v>438.41533454583339</v>
          </cell>
          <cell r="AW657">
            <v>459.33629854583342</v>
          </cell>
          <cell r="AX657">
            <v>457.58463517083339</v>
          </cell>
          <cell r="AY657">
            <v>1631.3018547416668</v>
          </cell>
          <cell r="BB657">
            <v>432</v>
          </cell>
          <cell r="BC657">
            <v>307</v>
          </cell>
          <cell r="BD657">
            <v>214</v>
          </cell>
          <cell r="BE657">
            <v>1322</v>
          </cell>
        </row>
        <row r="659">
          <cell r="AI659">
            <v>333.27535593541666</v>
          </cell>
          <cell r="AJ659">
            <v>426.81520854291671</v>
          </cell>
          <cell r="AK659">
            <v>440.1131435929168</v>
          </cell>
          <cell r="AL659">
            <v>446.48949450541681</v>
          </cell>
          <cell r="AP659">
            <v>257.33223262125011</v>
          </cell>
          <cell r="AQ659">
            <v>261.58002130625005</v>
          </cell>
          <cell r="AR659">
            <v>261.04051101874995</v>
          </cell>
          <cell r="AS659">
            <v>955.42123184399986</v>
          </cell>
          <cell r="AV659">
            <v>50.549734545833388</v>
          </cell>
          <cell r="AW659">
            <v>71.470698545833415</v>
          </cell>
          <cell r="AX659">
            <v>69.719035170833394</v>
          </cell>
          <cell r="AY659">
            <v>179.83945474166683</v>
          </cell>
          <cell r="BB659">
            <v>160</v>
          </cell>
          <cell r="BC659">
            <v>28</v>
          </cell>
          <cell r="BD659">
            <v>-65</v>
          </cell>
          <cell r="BE659">
            <v>183</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 sheetId="16" refreshError="1"/>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FOSHEET"/>
      <sheetName val="Main"/>
      <sheetName val="Guidance"/>
      <sheetName val="Cons 2013"/>
      <sheetName val="Cons 2014"/>
      <sheetName val="Cons 2015"/>
      <sheetName val="Cons 2016"/>
      <sheetName val="Pension"/>
      <sheetName val="OPEB"/>
      <sheetName val="10-K"/>
      <sheetName val="10-Q"/>
      <sheetName val="mwareDates"/>
      <sheetName val="MWA RR"/>
      <sheetName val="MW-Cache"/>
      <sheetName val="__FDSCACHE__"/>
      <sheetName val="TR Convert"/>
      <sheetName val="mwareSettings"/>
      <sheetName val="LinkingMetadata"/>
      <sheetName val="P"/>
    </sheetNames>
    <sheetDataSet>
      <sheetData sheetId="0"/>
      <sheetData sheetId="1"/>
      <sheetData sheetId="2"/>
      <sheetData sheetId="3"/>
      <sheetData sheetId="4"/>
      <sheetData sheetId="5"/>
      <sheetData sheetId="6"/>
      <sheetData sheetId="7">
        <row r="9">
          <cell r="L9">
            <v>0.1</v>
          </cell>
        </row>
      </sheetData>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500"/>
      <sheetName val="Sheet1"/>
    </sheetNames>
    <sheetDataSet>
      <sheetData sheetId="0" refreshError="1"/>
      <sheetData sheetId="1"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for earnings"/>
      <sheetName val="Earnings "/>
      <sheetName val="AFOSHEET"/>
      <sheetName val="Rolls Royce Valuation Summary"/>
      <sheetName val="UK GAAP Financials"/>
      <sheetName val="__FDSCACHE__"/>
      <sheetName val="Segment Summary"/>
      <sheetName val="Civil Aero. Segment Fin."/>
      <sheetName val="Defence Aero. Segment Fin."/>
      <sheetName val="Marine Segment Fin."/>
      <sheetName val="Energy Segment Fin."/>
      <sheetName val="Pension"/>
      <sheetName val="FCF"/>
      <sheetName val="2010e Fair Market Value"/>
      <sheetName val="ROIC"/>
      <sheetName val="Segment DCF"/>
      <sheetName val="Sensitivity"/>
      <sheetName val="Hedge Book Analysis"/>
      <sheetName val="Contingent Lia"/>
      <sheetName val="LBO Analysis-Margin improvement"/>
      <sheetName val="LBO Analysis"/>
      <sheetName val="Charts"/>
      <sheetName val="MW-Cache"/>
      <sheetName val="MWA RR"/>
      <sheetName val="mwareDates"/>
      <sheetName val="mwareValPrintout"/>
      <sheetName val="mwareSettings"/>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row r="1">
          <cell r="A1" t="str">
            <v xml:space="preserve">Rolls Royce - Free Cash Flow </v>
          </cell>
        </row>
        <row r="3">
          <cell r="G3" t="str">
            <v>IFRS</v>
          </cell>
        </row>
        <row r="4">
          <cell r="A4" t="str">
            <v>(in millions £)</v>
          </cell>
          <cell r="B4">
            <v>2000</v>
          </cell>
          <cell r="C4">
            <v>2001</v>
          </cell>
          <cell r="D4">
            <v>2002</v>
          </cell>
          <cell r="E4">
            <v>2003</v>
          </cell>
          <cell r="F4">
            <v>2004</v>
          </cell>
          <cell r="G4" t="str">
            <v>Adjustment</v>
          </cell>
          <cell r="H4" t="str">
            <v>2004 IFRS</v>
          </cell>
          <cell r="I4">
            <v>2005</v>
          </cell>
          <cell r="J4">
            <v>2006</v>
          </cell>
          <cell r="K4">
            <v>2007</v>
          </cell>
          <cell r="L4">
            <v>2008</v>
          </cell>
          <cell r="M4">
            <v>2009</v>
          </cell>
          <cell r="N4" t="str">
            <v>2010E</v>
          </cell>
          <cell r="O4" t="str">
            <v>2011E</v>
          </cell>
          <cell r="P4" t="str">
            <v>2012E</v>
          </cell>
          <cell r="Q4" t="str">
            <v>2013E</v>
          </cell>
          <cell r="R4" t="str">
            <v>2014E</v>
          </cell>
        </row>
        <row r="5">
          <cell r="A5" t="str">
            <v>Consolidated EBIT</v>
          </cell>
          <cell r="D5">
            <v>168</v>
          </cell>
          <cell r="E5">
            <v>223</v>
          </cell>
          <cell r="F5">
            <v>320</v>
          </cell>
          <cell r="I5">
            <v>633</v>
          </cell>
          <cell r="J5">
            <v>653</v>
          </cell>
          <cell r="K5">
            <v>476</v>
          </cell>
          <cell r="L5">
            <v>788</v>
          </cell>
          <cell r="M5">
            <v>1081</v>
          </cell>
          <cell r="N5">
            <v>986.85709092824584</v>
          </cell>
          <cell r="O5">
            <v>1090.206544392222</v>
          </cell>
          <cell r="P5">
            <v>1273.8541951046338</v>
          </cell>
          <cell r="Q5">
            <v>1479.4717180275675</v>
          </cell>
          <cell r="R5">
            <v>1662.2582343491893</v>
          </cell>
          <cell r="T5" t="str">
            <v>Consolidated EBIT ex.JVs</v>
          </cell>
        </row>
        <row r="6">
          <cell r="A6" t="str">
            <v>Depreciation &amp; Amortisation</v>
          </cell>
          <cell r="D6">
            <v>258</v>
          </cell>
          <cell r="E6">
            <v>238</v>
          </cell>
          <cell r="F6">
            <v>237</v>
          </cell>
          <cell r="I6">
            <v>254</v>
          </cell>
          <cell r="J6">
            <v>205</v>
          </cell>
          <cell r="K6">
            <v>233</v>
          </cell>
          <cell r="L6">
            <v>315</v>
          </cell>
          <cell r="M6">
            <v>315</v>
          </cell>
          <cell r="N6">
            <v>296.5282812986008</v>
          </cell>
          <cell r="O6">
            <v>310.27420402342739</v>
          </cell>
          <cell r="P6">
            <v>325.6287405500529</v>
          </cell>
          <cell r="Q6">
            <v>342.48794483357085</v>
          </cell>
          <cell r="R6">
            <v>361.85038037676804</v>
          </cell>
          <cell r="T6" t="str">
            <v>Reported D&amp;A was £109mm in 1H06, we expect an increase in 2H06</v>
          </cell>
        </row>
        <row r="7">
          <cell r="A7" t="str">
            <v>Consolidated EBITDA</v>
          </cell>
          <cell r="C7">
            <v>853</v>
          </cell>
          <cell r="D7">
            <v>426</v>
          </cell>
          <cell r="E7">
            <v>461</v>
          </cell>
          <cell r="F7">
            <v>557</v>
          </cell>
          <cell r="G7">
            <v>402</v>
          </cell>
          <cell r="H7">
            <v>959</v>
          </cell>
          <cell r="I7">
            <v>887</v>
          </cell>
          <cell r="J7">
            <v>858</v>
          </cell>
          <cell r="K7">
            <v>709</v>
          </cell>
          <cell r="L7">
            <v>1103</v>
          </cell>
          <cell r="M7">
            <v>1396</v>
          </cell>
          <cell r="N7">
            <v>1283.3853722268466</v>
          </cell>
          <cell r="O7">
            <v>1400.4807484156495</v>
          </cell>
          <cell r="P7">
            <v>1599.4829356546868</v>
          </cell>
          <cell r="Q7">
            <v>1821.9596628611384</v>
          </cell>
          <cell r="R7">
            <v>2024.1086147259573</v>
          </cell>
        </row>
        <row r="9">
          <cell r="A9" t="str">
            <v>Cash Taxes</v>
          </cell>
          <cell r="C9">
            <v>0</v>
          </cell>
          <cell r="D9">
            <v>-41</v>
          </cell>
          <cell r="E9">
            <v>-43</v>
          </cell>
          <cell r="F9">
            <v>-84</v>
          </cell>
          <cell r="G9">
            <v>0</v>
          </cell>
          <cell r="H9">
            <v>-84</v>
          </cell>
          <cell r="I9">
            <v>-60</v>
          </cell>
          <cell r="J9">
            <v>-25</v>
          </cell>
          <cell r="K9">
            <v>-71</v>
          </cell>
          <cell r="L9">
            <v>-117</v>
          </cell>
          <cell r="M9">
            <v>-119</v>
          </cell>
          <cell r="N9">
            <v>-40.921743637129836</v>
          </cell>
          <cell r="O9">
            <v>-44.822759173399163</v>
          </cell>
          <cell r="P9">
            <v>-54.607173581772926</v>
          </cell>
          <cell r="Q9">
            <v>-66.590608801859076</v>
          </cell>
          <cell r="R9">
            <v>-78.754349173500884</v>
          </cell>
          <cell r="T9" t="str">
            <v>Tax loss carryforwards in the UK drive cash taxes below 50% of tax provision</v>
          </cell>
        </row>
        <row r="10">
          <cell r="A10" t="str">
            <v>Net interest expense (ex RRSPs)</v>
          </cell>
          <cell r="D10">
            <v>-72</v>
          </cell>
          <cell r="E10">
            <v>-66</v>
          </cell>
          <cell r="F10">
            <v>-48</v>
          </cell>
          <cell r="G10">
            <v>-5</v>
          </cell>
          <cell r="H10">
            <v>-53</v>
          </cell>
          <cell r="I10">
            <v>-53</v>
          </cell>
          <cell r="J10">
            <v>-13</v>
          </cell>
          <cell r="K10">
            <v>24</v>
          </cell>
          <cell r="L10">
            <v>-32</v>
          </cell>
          <cell r="M10">
            <v>-140</v>
          </cell>
          <cell r="N10">
            <v>-57.843499999999999</v>
          </cell>
          <cell r="O10">
            <v>-60.425790057242892</v>
          </cell>
          <cell r="P10">
            <v>-53.754189610092482</v>
          </cell>
          <cell r="Q10">
            <v>-32.404905699880402</v>
          </cell>
          <cell r="R10">
            <v>-0.56674330645421378</v>
          </cell>
          <cell r="T10" t="str">
            <v>Excludes non-cash RRSP finance charge</v>
          </cell>
        </row>
        <row r="11">
          <cell r="A11" t="str">
            <v>Capital Expenditures- fixed assets</v>
          </cell>
          <cell r="C11">
            <v>0</v>
          </cell>
          <cell r="D11">
            <v>-314</v>
          </cell>
          <cell r="E11">
            <v>-182</v>
          </cell>
          <cell r="F11">
            <v>-175</v>
          </cell>
          <cell r="G11">
            <v>0</v>
          </cell>
          <cell r="H11">
            <v>-175</v>
          </cell>
          <cell r="I11">
            <v>-235</v>
          </cell>
          <cell r="J11">
            <v>-273</v>
          </cell>
          <cell r="K11">
            <v>-304</v>
          </cell>
          <cell r="L11">
            <v>-286</v>
          </cell>
          <cell r="M11">
            <v>-258</v>
          </cell>
          <cell r="N11">
            <v>-213.2</v>
          </cell>
          <cell r="O11">
            <v>-225</v>
          </cell>
          <cell r="P11">
            <v>-240</v>
          </cell>
          <cell r="Q11">
            <v>-250</v>
          </cell>
          <cell r="R11">
            <v>-300</v>
          </cell>
          <cell r="T11" t="str">
            <v>Increased investment in PPE for factory modernisation</v>
          </cell>
          <cell r="AH11">
            <v>-189</v>
          </cell>
        </row>
        <row r="12">
          <cell r="A12" t="str">
            <v>Cash outflows for financial RRSPs</v>
          </cell>
          <cell r="F12">
            <v>0</v>
          </cell>
          <cell r="H12">
            <v>0</v>
          </cell>
          <cell r="I12">
            <v>-58</v>
          </cell>
          <cell r="J12">
            <v>-87</v>
          </cell>
          <cell r="K12">
            <v>-55</v>
          </cell>
          <cell r="L12">
            <v>-53</v>
          </cell>
          <cell r="M12">
            <v>-55</v>
          </cell>
          <cell r="N12">
            <v>-25</v>
          </cell>
          <cell r="O12">
            <v>-25</v>
          </cell>
          <cell r="P12">
            <v>-25</v>
          </cell>
          <cell r="Q12">
            <v>-25</v>
          </cell>
          <cell r="R12">
            <v>-25</v>
          </cell>
          <cell r="T12" t="str">
            <v>Cash outflows to financial RRSPs increased to £58mm in 1H06</v>
          </cell>
        </row>
        <row r="13">
          <cell r="A13" t="str">
            <v>Engine certification fees &amp; other capitalised intangibles</v>
          </cell>
          <cell r="C13">
            <v>0</v>
          </cell>
          <cell r="D13">
            <v>-50</v>
          </cell>
          <cell r="E13">
            <v>-37</v>
          </cell>
          <cell r="F13">
            <v>-110</v>
          </cell>
          <cell r="G13">
            <v>0</v>
          </cell>
          <cell r="H13">
            <v>-110</v>
          </cell>
          <cell r="I13">
            <v>-10</v>
          </cell>
          <cell r="J13">
            <v>-120</v>
          </cell>
          <cell r="K13">
            <v>-168</v>
          </cell>
          <cell r="L13">
            <v>-183</v>
          </cell>
          <cell r="M13">
            <v>-98</v>
          </cell>
          <cell r="N13">
            <v>-102.9</v>
          </cell>
          <cell r="O13">
            <v>-108.04500000000002</v>
          </cell>
          <cell r="P13">
            <v>-113.44725000000003</v>
          </cell>
          <cell r="Q13">
            <v>-119.11961250000003</v>
          </cell>
          <cell r="R13">
            <v>-125.07559312500004</v>
          </cell>
          <cell r="T13" t="str">
            <v>Certification fees on Trent 900 &amp; payments to Boeing for position on Trent 1000</v>
          </cell>
        </row>
        <row r="14">
          <cell r="A14" t="str">
            <v>Excess of cash over expensed R&amp;D</v>
          </cell>
          <cell r="E14">
            <v>0</v>
          </cell>
          <cell r="F14">
            <v>0</v>
          </cell>
          <cell r="H14">
            <v>6</v>
          </cell>
          <cell r="I14">
            <v>-57</v>
          </cell>
          <cell r="J14">
            <v>-25</v>
          </cell>
          <cell r="K14">
            <v>-73</v>
          </cell>
          <cell r="L14">
            <v>-87</v>
          </cell>
          <cell r="M14">
            <v>-92</v>
          </cell>
          <cell r="N14">
            <v>-104.14962626262633</v>
          </cell>
          <cell r="O14">
            <v>-103.51685716763598</v>
          </cell>
          <cell r="P14">
            <v>-103.28014472354141</v>
          </cell>
          <cell r="Q14">
            <v>-103.42797065666593</v>
          </cell>
          <cell r="R14">
            <v>-103.95053449702368</v>
          </cell>
          <cell r="T14" t="str">
            <v>Capitalised Trent 900 development costs</v>
          </cell>
        </row>
        <row r="15">
          <cell r="A15" t="str">
            <v>Recoverable engine costs</v>
          </cell>
          <cell r="E15">
            <v>0</v>
          </cell>
          <cell r="F15">
            <v>-21</v>
          </cell>
          <cell r="H15">
            <v>-21</v>
          </cell>
          <cell r="I15">
            <v>-36</v>
          </cell>
          <cell r="J15">
            <v>-64</v>
          </cell>
          <cell r="K15">
            <v>-37</v>
          </cell>
          <cell r="L15">
            <v>-97</v>
          </cell>
          <cell r="M15">
            <v>-123</v>
          </cell>
          <cell r="N15">
            <v>-123</v>
          </cell>
          <cell r="O15">
            <v>-123</v>
          </cell>
          <cell r="P15">
            <v>-123</v>
          </cell>
          <cell r="Q15">
            <v>-123</v>
          </cell>
          <cell r="R15">
            <v>-123</v>
          </cell>
          <cell r="T15" t="str">
            <v>Increase in capitalised losses on engine sales driven by Trent 900 deliveries (on A380)</v>
          </cell>
        </row>
        <row r="16">
          <cell r="A16" t="str">
            <v>Change in working capital</v>
          </cell>
          <cell r="C16">
            <v>0</v>
          </cell>
          <cell r="D16">
            <v>258</v>
          </cell>
          <cell r="E16">
            <v>161</v>
          </cell>
          <cell r="F16">
            <v>28</v>
          </cell>
          <cell r="G16">
            <v>-36</v>
          </cell>
          <cell r="H16">
            <v>-8</v>
          </cell>
          <cell r="I16">
            <v>274</v>
          </cell>
          <cell r="J16">
            <v>166</v>
          </cell>
          <cell r="K16">
            <v>249</v>
          </cell>
          <cell r="L16">
            <v>278</v>
          </cell>
          <cell r="M16">
            <v>122</v>
          </cell>
          <cell r="N16">
            <v>-18.703215398714747</v>
          </cell>
          <cell r="O16">
            <v>-113.53194811519461</v>
          </cell>
          <cell r="P16">
            <v>-227.2776762299909</v>
          </cell>
          <cell r="Q16">
            <v>-273.37041081903863</v>
          </cell>
          <cell r="R16">
            <v>-268.60125593563589</v>
          </cell>
          <cell r="T16" t="str">
            <v>Largest swing factor in our forecasts, RR will try to reduce inventories to drive up FCF</v>
          </cell>
        </row>
        <row r="17">
          <cell r="A17" t="str">
            <v>Cash flow from JVs</v>
          </cell>
          <cell r="D17">
            <v>22</v>
          </cell>
          <cell r="E17">
            <v>18</v>
          </cell>
          <cell r="F17">
            <v>15</v>
          </cell>
          <cell r="G17">
            <v>0</v>
          </cell>
          <cell r="H17">
            <v>15</v>
          </cell>
          <cell r="I17">
            <v>35</v>
          </cell>
          <cell r="J17">
            <v>44</v>
          </cell>
          <cell r="K17">
            <v>42</v>
          </cell>
          <cell r="L17">
            <v>59</v>
          </cell>
          <cell r="M17">
            <v>77</v>
          </cell>
          <cell r="N17">
            <v>77.004000000000005</v>
          </cell>
          <cell r="O17">
            <v>78.544080000000008</v>
          </cell>
          <cell r="P17">
            <v>80.114961600000015</v>
          </cell>
          <cell r="Q17">
            <v>81.717260832000022</v>
          </cell>
          <cell r="R17">
            <v>83.351606048640008</v>
          </cell>
        </row>
        <row r="18">
          <cell r="A18" t="str">
            <v>Free Cash Flow</v>
          </cell>
          <cell r="D18">
            <v>229</v>
          </cell>
          <cell r="E18">
            <v>312</v>
          </cell>
          <cell r="F18">
            <v>162</v>
          </cell>
          <cell r="G18">
            <v>361</v>
          </cell>
          <cell r="H18">
            <v>529</v>
          </cell>
          <cell r="I18">
            <v>687</v>
          </cell>
          <cell r="J18">
            <v>461</v>
          </cell>
          <cell r="K18">
            <v>316</v>
          </cell>
          <cell r="L18">
            <v>585</v>
          </cell>
          <cell r="M18">
            <v>710</v>
          </cell>
          <cell r="N18">
            <v>674.67128692837571</v>
          </cell>
          <cell r="O18">
            <v>675.68247390217675</v>
          </cell>
          <cell r="P18">
            <v>739.23146310928917</v>
          </cell>
          <cell r="Q18">
            <v>910.76341521569407</v>
          </cell>
          <cell r="R18">
            <v>1082.5117447369823</v>
          </cell>
          <cell r="AE18" t="str">
            <v>275/</v>
          </cell>
        </row>
        <row r="20">
          <cell r="A20" t="str">
            <v>FCF as a % of Underlying Net Income</v>
          </cell>
          <cell r="F20">
            <v>0.61596958174904948</v>
          </cell>
          <cell r="H20">
            <v>2.0114068441064639</v>
          </cell>
          <cell r="I20">
            <v>1.9628571428571429</v>
          </cell>
          <cell r="J20">
            <v>0.4619238476953908</v>
          </cell>
          <cell r="K20">
            <v>0.52145214521452143</v>
          </cell>
          <cell r="L20">
            <v>-0.43656716417910446</v>
          </cell>
          <cell r="M20">
            <v>0.31967582170193609</v>
          </cell>
          <cell r="N20">
            <v>0.87929949796987128</v>
          </cell>
          <cell r="O20">
            <v>0.80397546408750575</v>
          </cell>
          <cell r="P20">
            <v>0.76101349032011989</v>
          </cell>
          <cell r="Q20">
            <v>0.80938188150934365</v>
          </cell>
          <cell r="R20">
            <v>0.85527068722007737</v>
          </cell>
        </row>
        <row r="22">
          <cell r="A22" t="str">
            <v>Diluted Shares Outstanding</v>
          </cell>
          <cell r="D22">
            <v>1624</v>
          </cell>
          <cell r="E22">
            <v>1671</v>
          </cell>
          <cell r="F22">
            <v>1752</v>
          </cell>
          <cell r="H22">
            <v>1752</v>
          </cell>
          <cell r="I22">
            <v>1813</v>
          </cell>
          <cell r="J22">
            <v>1810</v>
          </cell>
          <cell r="K22">
            <v>1838</v>
          </cell>
          <cell r="L22">
            <v>1820</v>
          </cell>
          <cell r="M22">
            <v>1845</v>
          </cell>
          <cell r="N22">
            <v>1847.2727272727273</v>
          </cell>
          <cell r="O22">
            <v>1851.6498316498316</v>
          </cell>
          <cell r="P22">
            <v>1855.7027060730766</v>
          </cell>
          <cell r="Q22">
            <v>1859.4553675760808</v>
          </cell>
          <cell r="R22">
            <v>1862.9300541529369</v>
          </cell>
        </row>
        <row r="23">
          <cell r="A23" t="str">
            <v>FCF/share</v>
          </cell>
          <cell r="D23">
            <v>14.100985221674877</v>
          </cell>
          <cell r="E23">
            <v>18.671454219030519</v>
          </cell>
          <cell r="F23">
            <v>9.2465753424657535</v>
          </cell>
          <cell r="H23">
            <v>30.19406392694064</v>
          </cell>
          <cell r="I23">
            <v>37.892995035852181</v>
          </cell>
          <cell r="J23">
            <v>25.46961325966851</v>
          </cell>
          <cell r="K23">
            <v>17.19260065288357</v>
          </cell>
          <cell r="L23">
            <v>32.142857142857146</v>
          </cell>
          <cell r="M23">
            <v>38.482384823848236</v>
          </cell>
          <cell r="N23">
            <v>36.522559823878609</v>
          </cell>
          <cell r="O23">
            <v>36.490834409016706</v>
          </cell>
          <cell r="P23">
            <v>39.835662290626559</v>
          </cell>
          <cell r="Q23">
            <v>48.980117033028471</v>
          </cell>
          <cell r="R23">
            <v>58.108018726940017</v>
          </cell>
        </row>
        <row r="24">
          <cell r="A24" t="str">
            <v xml:space="preserve">P/FCF </v>
          </cell>
          <cell r="I24">
            <v>11.611644832605531</v>
          </cell>
          <cell r="J24">
            <v>17.275488069414315</v>
          </cell>
          <cell r="K24">
            <v>25.592405063291139</v>
          </cell>
          <cell r="L24">
            <v>11.2</v>
          </cell>
          <cell r="M24">
            <v>9.3549295774647891</v>
          </cell>
        </row>
        <row r="25">
          <cell r="A25" t="str">
            <v>FCF Yield</v>
          </cell>
          <cell r="I25">
            <v>8.61204432633004E-2</v>
          </cell>
          <cell r="J25">
            <v>5.7885484681064796E-2</v>
          </cell>
          <cell r="K25">
            <v>3.9074092392917203E-2</v>
          </cell>
          <cell r="L25">
            <v>8.9285714285714288E-2</v>
          </cell>
          <cell r="M25">
            <v>0.10689551339957844</v>
          </cell>
        </row>
        <row r="27">
          <cell r="A27" t="str">
            <v>Target Value per Share</v>
          </cell>
          <cell r="N27">
            <v>698.51863232985727</v>
          </cell>
          <cell r="O27">
            <v>768.37049556284308</v>
          </cell>
          <cell r="P27">
            <v>845.20754511912742</v>
          </cell>
          <cell r="Q27">
            <v>929.72829963104027</v>
          </cell>
        </row>
        <row r="28">
          <cell r="A28" t="str">
            <v>Target Forward FCF multiple</v>
          </cell>
          <cell r="N28">
            <v>19.142303639876669</v>
          </cell>
          <cell r="O28">
            <v>19.288508120113338</v>
          </cell>
          <cell r="P28">
            <v>17.256135679487734</v>
          </cell>
          <cell r="Q28">
            <v>16</v>
          </cell>
        </row>
        <row r="29">
          <cell r="A29" t="str">
            <v>Required Return on Equity</v>
          </cell>
          <cell r="F29">
            <v>0.1</v>
          </cell>
          <cell r="I29">
            <v>0.1</v>
          </cell>
        </row>
        <row r="30">
          <cell r="A30" t="str">
            <v>Cash from operations</v>
          </cell>
          <cell r="B30">
            <v>479</v>
          </cell>
          <cell r="C30">
            <v>418</v>
          </cell>
          <cell r="D30">
            <v>611</v>
          </cell>
          <cell r="E30">
            <v>673</v>
          </cell>
          <cell r="F30">
            <v>640</v>
          </cell>
          <cell r="I30">
            <v>1060</v>
          </cell>
          <cell r="AB30">
            <v>164</v>
          </cell>
          <cell r="AC30">
            <v>446</v>
          </cell>
          <cell r="AE30">
            <v>340</v>
          </cell>
        </row>
        <row r="31">
          <cell r="A31" t="str">
            <v>Interest, dividends, taxation</v>
          </cell>
          <cell r="B31">
            <v>-162</v>
          </cell>
          <cell r="C31">
            <v>-147</v>
          </cell>
          <cell r="D31">
            <v>-222</v>
          </cell>
          <cell r="E31">
            <v>-176</v>
          </cell>
          <cell r="F31">
            <v>-150</v>
          </cell>
          <cell r="I31">
            <v>-224</v>
          </cell>
        </row>
        <row r="32">
          <cell r="A32" t="str">
            <v>Capital expenditure and financial investment</v>
          </cell>
          <cell r="B32">
            <v>-253</v>
          </cell>
          <cell r="C32">
            <v>-181</v>
          </cell>
          <cell r="D32">
            <v>-381</v>
          </cell>
          <cell r="E32">
            <v>-198</v>
          </cell>
          <cell r="F32">
            <v>-219</v>
          </cell>
          <cell r="I32">
            <v>-289</v>
          </cell>
        </row>
        <row r="33">
          <cell r="A33" t="str">
            <v>Dividends</v>
          </cell>
          <cell r="B33">
            <v>126</v>
          </cell>
          <cell r="C33">
            <v>132</v>
          </cell>
          <cell r="D33">
            <v>133</v>
          </cell>
          <cell r="E33">
            <v>53</v>
          </cell>
          <cell r="I33">
            <v>149</v>
          </cell>
        </row>
        <row r="34">
          <cell r="A34" t="str">
            <v>FCF</v>
          </cell>
          <cell r="B34">
            <v>190</v>
          </cell>
          <cell r="C34">
            <v>222</v>
          </cell>
          <cell r="D34">
            <v>141</v>
          </cell>
          <cell r="E34">
            <v>352</v>
          </cell>
          <cell r="F34">
            <v>271</v>
          </cell>
          <cell r="I34">
            <v>696</v>
          </cell>
          <cell r="J34">
            <v>461</v>
          </cell>
          <cell r="K34">
            <v>316</v>
          </cell>
          <cell r="L34">
            <v>585</v>
          </cell>
          <cell r="M34">
            <v>710</v>
          </cell>
          <cell r="N34">
            <v>674.67128692837571</v>
          </cell>
          <cell r="O34">
            <v>675.68247390217675</v>
          </cell>
          <cell r="P34">
            <v>739.23146310928917</v>
          </cell>
          <cell r="Q34">
            <v>910.76341521569407</v>
          </cell>
          <cell r="R34">
            <v>1082.5117447369823</v>
          </cell>
          <cell r="AB34">
            <v>44</v>
          </cell>
          <cell r="AE34">
            <v>175</v>
          </cell>
        </row>
        <row r="36">
          <cell r="I36">
            <v>103</v>
          </cell>
        </row>
        <row r="41">
          <cell r="O41" t="str">
            <v xml:space="preserve"> </v>
          </cell>
        </row>
        <row r="43">
          <cell r="I43">
            <v>8.9198544395924309</v>
          </cell>
          <cell r="J43">
            <v>13.270715835140997</v>
          </cell>
          <cell r="K43">
            <v>19.659620253164555</v>
          </cell>
        </row>
        <row r="44">
          <cell r="A44" t="str">
            <v>Base Case Valuation</v>
          </cell>
        </row>
        <row r="45">
          <cell r="A45" t="str">
            <v>Base-case 2010E FCF</v>
          </cell>
        </row>
        <row r="46">
          <cell r="A46" t="str">
            <v>FCF/share</v>
          </cell>
          <cell r="I46">
            <v>674.67128692837571</v>
          </cell>
        </row>
        <row r="47">
          <cell r="A47" t="str">
            <v>Target P/FCF</v>
          </cell>
          <cell r="I47">
            <v>36.522559823878609</v>
          </cell>
        </row>
        <row r="48">
          <cell r="A48" t="str">
            <v>YE 2009 Fair Value</v>
          </cell>
          <cell r="I48">
            <v>15</v>
          </cell>
        </row>
        <row r="49">
          <cell r="I49">
            <v>547.83839735817912</v>
          </cell>
        </row>
        <row r="50">
          <cell r="A50" t="str">
            <v>YE 2006 Fair Value</v>
          </cell>
        </row>
        <row r="51">
          <cell r="A51" t="str">
            <v>YE 2005 Fair Value</v>
          </cell>
          <cell r="I51">
            <v>411.59909643739968</v>
          </cell>
        </row>
        <row r="52">
          <cell r="A52" t="str">
            <v>12 month Target Value</v>
          </cell>
          <cell r="I52">
            <v>374.18099676127241</v>
          </cell>
        </row>
        <row r="53">
          <cell r="A53" t="str">
            <v>Required Return on Equity</v>
          </cell>
          <cell r="I53">
            <v>392.89004659933607</v>
          </cell>
        </row>
        <row r="54">
          <cell r="I54">
            <v>0.1</v>
          </cell>
        </row>
        <row r="55">
          <cell r="A55" t="str">
            <v>Bull Case Valuation</v>
          </cell>
        </row>
        <row r="56">
          <cell r="A56" t="str">
            <v>Base-case 2010E FCF</v>
          </cell>
        </row>
        <row r="57">
          <cell r="A57" t="str">
            <v>Incremental FCF in Bull Case</v>
          </cell>
          <cell r="I57">
            <v>674.67128692837571</v>
          </cell>
        </row>
        <row r="58">
          <cell r="A58" t="str">
            <v>Bull Case 2010 FCF</v>
          </cell>
        </row>
        <row r="59">
          <cell r="A59" t="str">
            <v>Bull Case 2010E FCF/share</v>
          </cell>
          <cell r="I59">
            <v>674.67128692837571</v>
          </cell>
        </row>
        <row r="60">
          <cell r="A60" t="str">
            <v>Target P/FCF</v>
          </cell>
          <cell r="I60">
            <v>36.522559823878609</v>
          </cell>
        </row>
        <row r="61">
          <cell r="A61" t="str">
            <v>YE 2009 Fair Value</v>
          </cell>
          <cell r="I61">
            <v>15</v>
          </cell>
        </row>
        <row r="62">
          <cell r="I62">
            <v>547.83839735817912</v>
          </cell>
        </row>
        <row r="63">
          <cell r="A63" t="str">
            <v>YE 2006 Fair Value</v>
          </cell>
        </row>
        <row r="64">
          <cell r="A64" t="str">
            <v>YE 2005 Fair Value</v>
          </cell>
          <cell r="I64">
            <v>411.59909643739968</v>
          </cell>
        </row>
        <row r="65">
          <cell r="A65" t="str">
            <v>12 month Target Value</v>
          </cell>
          <cell r="I65">
            <v>374.18099676127241</v>
          </cell>
        </row>
        <row r="66">
          <cell r="A66" t="str">
            <v>Required Return on Equity</v>
          </cell>
          <cell r="I66">
            <v>392.89004659933607</v>
          </cell>
        </row>
        <row r="67">
          <cell r="I67">
            <v>0.1</v>
          </cell>
        </row>
        <row r="68">
          <cell r="A68" t="str">
            <v>Bear Case Valuation</v>
          </cell>
        </row>
        <row r="69">
          <cell r="A69" t="str">
            <v>Base-case 2010E FCF</v>
          </cell>
        </row>
        <row r="70">
          <cell r="A70" t="str">
            <v>Downside FCF in Bear Case</v>
          </cell>
          <cell r="I70">
            <v>674.67128692837571</v>
          </cell>
        </row>
        <row r="71">
          <cell r="A71" t="str">
            <v>Bear Case 2010E FCF</v>
          </cell>
        </row>
        <row r="72">
          <cell r="A72" t="str">
            <v>Bull Case 2010E FCF/share</v>
          </cell>
          <cell r="I72">
            <v>674.67128692837571</v>
          </cell>
        </row>
        <row r="73">
          <cell r="I73">
            <v>36.522559823878609</v>
          </cell>
        </row>
        <row r="74">
          <cell r="A74" t="str">
            <v>Target P/FCF</v>
          </cell>
        </row>
        <row r="75">
          <cell r="A75" t="str">
            <v>YE 2009 Fair Value</v>
          </cell>
          <cell r="I75">
            <v>15</v>
          </cell>
        </row>
        <row r="76">
          <cell r="I76">
            <v>547.83839735817912</v>
          </cell>
        </row>
        <row r="78">
          <cell r="I78">
            <v>411.59909643739968</v>
          </cell>
        </row>
        <row r="79">
          <cell r="I79">
            <v>374.18099676127241</v>
          </cell>
        </row>
        <row r="80">
          <cell r="I80">
            <v>392.89004659933607</v>
          </cell>
        </row>
        <row r="81">
          <cell r="I81">
            <v>0.1</v>
          </cell>
        </row>
      </sheetData>
      <sheetData sheetId="13" refreshError="1">
        <row r="2">
          <cell r="A2" t="str">
            <v>(in millions £)</v>
          </cell>
          <cell r="G2" t="str">
            <v xml:space="preserve">2011E </v>
          </cell>
        </row>
        <row r="3">
          <cell r="A3" t="str">
            <v>Segment</v>
          </cell>
          <cell r="B3" t="str">
            <v xml:space="preserve">Value </v>
          </cell>
          <cell r="C3" t="str">
            <v>Value/share (p)</v>
          </cell>
          <cell r="D3" t="str">
            <v xml:space="preserve">% of Total </v>
          </cell>
          <cell r="G3" t="str">
            <v>EBITA</v>
          </cell>
          <cell r="H3" t="str">
            <v>Multiple</v>
          </cell>
        </row>
        <row r="4">
          <cell r="A4" t="str">
            <v>Civil Aerospace</v>
          </cell>
          <cell r="B4">
            <v>6333.6349989401715</v>
          </cell>
          <cell r="C4">
            <v>342.44278686823242</v>
          </cell>
          <cell r="D4">
            <v>0.50540320273456019</v>
          </cell>
          <cell r="G4">
            <v>554.72726895351991</v>
          </cell>
          <cell r="H4">
            <v>11.417565628039931</v>
          </cell>
        </row>
        <row r="5">
          <cell r="A5" t="str">
            <v>Defence Aero</v>
          </cell>
          <cell r="B5">
            <v>2558.856187926338</v>
          </cell>
          <cell r="C5">
            <v>138.35054346124215</v>
          </cell>
          <cell r="D5">
            <v>0.20418829202054165</v>
          </cell>
          <cell r="G5">
            <v>288.13661679501985</v>
          </cell>
          <cell r="H5">
            <v>8.880704633756098</v>
          </cell>
        </row>
        <row r="6">
          <cell r="A6" t="str">
            <v>Marine</v>
          </cell>
          <cell r="B6">
            <v>3239.5376671221748</v>
          </cell>
          <cell r="C6">
            <v>175.15317934796718</v>
          </cell>
          <cell r="D6">
            <v>0.25850443112316435</v>
          </cell>
          <cell r="G6">
            <v>343.32754372199997</v>
          </cell>
          <cell r="H6">
            <v>9.4357057170609693</v>
          </cell>
        </row>
        <row r="7">
          <cell r="A7" t="str">
            <v xml:space="preserve">Energy </v>
          </cell>
          <cell r="B7">
            <v>843.1166669776328</v>
          </cell>
          <cell r="C7">
            <v>45.585074154602907</v>
          </cell>
          <cell r="D7">
            <v>6.7277931841775898E-2</v>
          </cell>
          <cell r="G7">
            <v>52.195214921682258</v>
          </cell>
          <cell r="H7" t="str">
            <v>NM</v>
          </cell>
        </row>
        <row r="8">
          <cell r="A8" t="str">
            <v>Corporate</v>
          </cell>
          <cell r="B8">
            <v>-443.29972997986181</v>
          </cell>
          <cell r="C8">
            <v>-23.968036518940675</v>
          </cell>
          <cell r="D8">
            <v>-3.5373857720041986E-2</v>
          </cell>
          <cell r="G8">
            <v>-50</v>
          </cell>
          <cell r="H8">
            <v>8.8659945995972365</v>
          </cell>
        </row>
        <row r="9">
          <cell r="A9" t="str">
            <v>Consolidated Asset Value</v>
          </cell>
          <cell r="B9">
            <v>12531.845790986454</v>
          </cell>
          <cell r="C9">
            <v>677.56354731310398</v>
          </cell>
          <cell r="D9">
            <v>1.0000000000000002</v>
          </cell>
          <cell r="G9">
            <v>1188.386644392222</v>
          </cell>
          <cell r="H9">
            <v>10.545259701564241</v>
          </cell>
        </row>
        <row r="11">
          <cell r="A11" t="str">
            <v>Contingent liabilities</v>
          </cell>
          <cell r="B11">
            <v>-200</v>
          </cell>
        </row>
        <row r="12">
          <cell r="A12" t="str">
            <v>Long-term Debt</v>
          </cell>
          <cell r="B12">
            <v>-1913</v>
          </cell>
        </row>
        <row r="13">
          <cell r="A13" t="str">
            <v>Average 2010e cash</v>
          </cell>
          <cell r="B13">
            <v>3274.2954971378549</v>
          </cell>
        </row>
        <row r="14">
          <cell r="A14" t="str">
            <v>Pension deficit</v>
          </cell>
          <cell r="B14">
            <v>-435.08699999999953</v>
          </cell>
        </row>
        <row r="15">
          <cell r="A15" t="str">
            <v>Total Net Debt</v>
          </cell>
          <cell r="B15">
            <v>726.20849713785537</v>
          </cell>
        </row>
        <row r="17">
          <cell r="A17" t="str">
            <v>Total Equity Value</v>
          </cell>
          <cell r="B17">
            <v>13258.054288124309</v>
          </cell>
        </row>
        <row r="19">
          <cell r="A19" t="str">
            <v>2010e Fair Market Value</v>
          </cell>
          <cell r="B19">
            <v>716.82770788580683</v>
          </cell>
        </row>
        <row r="20">
          <cell r="A20" t="str">
            <v>Total Shares Outstanding</v>
          </cell>
          <cell r="B20">
            <v>1849.5454545454545</v>
          </cell>
        </row>
      </sheetData>
      <sheetData sheetId="14"/>
      <sheetData sheetId="15"/>
      <sheetData sheetId="16" refreshError="1">
        <row r="1">
          <cell r="B1">
            <v>2007</v>
          </cell>
          <cell r="C1">
            <v>2008</v>
          </cell>
          <cell r="D1">
            <v>2009</v>
          </cell>
          <cell r="E1" t="str">
            <v>2010e</v>
          </cell>
          <cell r="F1" t="str">
            <v>2011e</v>
          </cell>
          <cell r="G1" t="str">
            <v>2012e</v>
          </cell>
          <cell r="H1" t="str">
            <v>2013e</v>
          </cell>
        </row>
        <row r="3">
          <cell r="A3" t="str">
            <v>Base Case - topline</v>
          </cell>
        </row>
        <row r="4">
          <cell r="A4" t="str">
            <v>Revenue</v>
          </cell>
          <cell r="B4">
            <v>7435</v>
          </cell>
          <cell r="C4">
            <v>9082</v>
          </cell>
          <cell r="D4">
            <v>10414</v>
          </cell>
          <cell r="E4">
            <v>10504.628687793149</v>
          </cell>
          <cell r="F4">
            <v>11333.869412789531</v>
          </cell>
          <cell r="G4">
            <v>12197.254435587442</v>
          </cell>
          <cell r="H4">
            <v>13099.104931524082</v>
          </cell>
        </row>
        <row r="5">
          <cell r="A5" t="str">
            <v>Change %</v>
          </cell>
          <cell r="C5">
            <v>0.22151983860121049</v>
          </cell>
          <cell r="D5">
            <v>0.14666373045584669</v>
          </cell>
          <cell r="E5">
            <v>8.7025818891059981E-3</v>
          </cell>
          <cell r="F5">
            <v>7.8940508002914633E-2</v>
          </cell>
          <cell r="G5">
            <v>7.6177428145028481E-2</v>
          </cell>
          <cell r="H5">
            <v>7.3938811451317088E-2</v>
          </cell>
        </row>
        <row r="6">
          <cell r="A6" t="str">
            <v>EBIT</v>
          </cell>
          <cell r="B6">
            <v>832</v>
          </cell>
          <cell r="C6">
            <v>919</v>
          </cell>
          <cell r="D6">
            <v>983</v>
          </cell>
          <cell r="E6">
            <v>1083.1120909282458</v>
          </cell>
          <cell r="F6">
            <v>1188.386644392222</v>
          </cell>
          <cell r="G6">
            <v>1373.9978971046339</v>
          </cell>
          <cell r="H6">
            <v>1581.6182940675674</v>
          </cell>
        </row>
        <row r="7">
          <cell r="A7" t="str">
            <v>Margin %</v>
          </cell>
          <cell r="B7">
            <v>0.11190316072629455</v>
          </cell>
          <cell r="C7">
            <v>0.10118916538207444</v>
          </cell>
          <cell r="D7">
            <v>9.439216439408489E-2</v>
          </cell>
          <cell r="E7">
            <v>0.10310807960179219</v>
          </cell>
          <cell r="F7">
            <v>0.1048526854430849</v>
          </cell>
          <cell r="G7">
            <v>0.11264812949181212</v>
          </cell>
          <cell r="H7">
            <v>0.1207424707516673</v>
          </cell>
        </row>
        <row r="8">
          <cell r="A8" t="str">
            <v>EPS</v>
          </cell>
          <cell r="B8">
            <v>32.970620239390641</v>
          </cell>
          <cell r="C8">
            <v>-73.626373626373635</v>
          </cell>
          <cell r="D8">
            <v>39.674796747967477</v>
          </cell>
          <cell r="E8">
            <v>41.535972564754076</v>
          </cell>
          <cell r="F8">
            <v>45.387995080711818</v>
          </cell>
          <cell r="G8">
            <v>52.345540252998276</v>
          </cell>
          <cell r="H8">
            <v>60.515460194994539</v>
          </cell>
        </row>
        <row r="10">
          <cell r="A10" t="str">
            <v>Base Case - Civil after-market</v>
          </cell>
        </row>
        <row r="11">
          <cell r="B11">
            <v>2007</v>
          </cell>
          <cell r="C11">
            <v>2008</v>
          </cell>
          <cell r="D11">
            <v>2009</v>
          </cell>
          <cell r="E11" t="str">
            <v>2010e</v>
          </cell>
          <cell r="F11" t="str">
            <v>2011e</v>
          </cell>
          <cell r="G11" t="str">
            <v>2012e</v>
          </cell>
          <cell r="H11" t="str">
            <v>2013e</v>
          </cell>
        </row>
        <row r="12">
          <cell r="A12" t="str">
            <v>Revenue (USD terms)</v>
          </cell>
          <cell r="B12">
            <v>5108</v>
          </cell>
          <cell r="C12">
            <v>4988.58</v>
          </cell>
          <cell r="D12">
            <v>4201.6000000000004</v>
          </cell>
          <cell r="E12">
            <v>4586.282339260064</v>
          </cell>
          <cell r="F12">
            <v>5022.6528532213715</v>
          </cell>
          <cell r="G12">
            <v>5505.3337504966257</v>
          </cell>
          <cell r="H12">
            <v>6000.5503645203335</v>
          </cell>
        </row>
        <row r="13">
          <cell r="C13">
            <v>-2.3379013312451069E-2</v>
          </cell>
          <cell r="D13">
            <v>-0.15775631542442936</v>
          </cell>
          <cell r="E13">
            <v>9.155615462206379E-2</v>
          </cell>
          <cell r="F13">
            <v>9.5146892773223746E-2</v>
          </cell>
          <cell r="G13">
            <v>9.6100788045838659E-2</v>
          </cell>
          <cell r="H13">
            <v>8.9952151216815102E-2</v>
          </cell>
        </row>
        <row r="15">
          <cell r="A15" t="str">
            <v>Factor 1 - Top-line</v>
          </cell>
          <cell r="B15">
            <v>2007</v>
          </cell>
          <cell r="C15">
            <v>2008</v>
          </cell>
          <cell r="D15">
            <v>2009</v>
          </cell>
          <cell r="E15" t="str">
            <v>2010e</v>
          </cell>
          <cell r="F15" t="str">
            <v>2011e</v>
          </cell>
          <cell r="G15" t="str">
            <v>2012e</v>
          </cell>
          <cell r="H15" t="str">
            <v>2013e</v>
          </cell>
        </row>
        <row r="17">
          <cell r="A17" t="str">
            <v>Top-line upside</v>
          </cell>
        </row>
        <row r="18">
          <cell r="A18" t="str">
            <v>Revenue</v>
          </cell>
          <cell r="D18">
            <v>10414</v>
          </cell>
          <cell r="E18">
            <v>10660.838687793148</v>
          </cell>
          <cell r="F18">
            <v>11662.323289861561</v>
          </cell>
          <cell r="G18">
            <v>12725.663933627004</v>
          </cell>
          <cell r="H18">
            <v>13857.469358812681</v>
          </cell>
        </row>
        <row r="19">
          <cell r="A19" t="str">
            <v>Change %</v>
          </cell>
          <cell r="E19">
            <v>2.3702581889105998E-2</v>
          </cell>
          <cell r="F19">
            <v>9.3940508002914633E-2</v>
          </cell>
          <cell r="G19">
            <v>9.117742814502848E-2</v>
          </cell>
          <cell r="H19">
            <v>8.8938811451317087E-2</v>
          </cell>
        </row>
        <row r="20">
          <cell r="A20" t="str">
            <v>Incremental revenue</v>
          </cell>
          <cell r="E20">
            <v>156.20999999999913</v>
          </cell>
          <cell r="F20">
            <v>328.45387707203008</v>
          </cell>
          <cell r="G20">
            <v>528.4094980395621</v>
          </cell>
          <cell r="H20">
            <v>758.36442728859947</v>
          </cell>
        </row>
        <row r="21">
          <cell r="A21" t="str">
            <v>Incremental EBIT</v>
          </cell>
          <cell r="E21">
            <v>23.431499999999868</v>
          </cell>
          <cell r="F21">
            <v>49.268081560804511</v>
          </cell>
          <cell r="G21">
            <v>79.261424705934317</v>
          </cell>
          <cell r="H21">
            <v>113.75466409328992</v>
          </cell>
        </row>
        <row r="22">
          <cell r="A22" t="str">
            <v>Incremental margin</v>
          </cell>
          <cell r="E22">
            <v>0.15</v>
          </cell>
          <cell r="F22">
            <v>0.15</v>
          </cell>
          <cell r="G22">
            <v>0.15</v>
          </cell>
          <cell r="H22">
            <v>0.15</v>
          </cell>
        </row>
        <row r="24">
          <cell r="A24" t="str">
            <v>Valuation impact</v>
          </cell>
          <cell r="E24">
            <v>940.12119085363554</v>
          </cell>
          <cell r="F24">
            <v>1034.1333099389992</v>
          </cell>
          <cell r="G24">
            <v>1137.5466409328992</v>
          </cell>
        </row>
        <row r="25">
          <cell r="A25" t="str">
            <v>Upside per share</v>
          </cell>
          <cell r="E25">
            <v>50.89238730014759</v>
          </cell>
        </row>
        <row r="28">
          <cell r="A28" t="str">
            <v>Top-line downside</v>
          </cell>
        </row>
        <row r="29">
          <cell r="A29" t="str">
            <v>Revenue</v>
          </cell>
          <cell r="D29">
            <v>10414</v>
          </cell>
          <cell r="E29">
            <v>10192.208687793149</v>
          </cell>
          <cell r="F29">
            <v>10691.020558645465</v>
          </cell>
          <cell r="G29">
            <v>11184.704392289337</v>
          </cell>
          <cell r="H29">
            <v>11676.147009720857</v>
          </cell>
        </row>
        <row r="30">
          <cell r="A30" t="str">
            <v>Change %</v>
          </cell>
          <cell r="E30">
            <v>-2.1297418110894001E-2</v>
          </cell>
          <cell r="F30">
            <v>4.8940508002914634E-2</v>
          </cell>
          <cell r="G30">
            <v>4.6177428145028482E-2</v>
          </cell>
          <cell r="H30">
            <v>4.3938811451317089E-2</v>
          </cell>
        </row>
        <row r="31">
          <cell r="A31" t="str">
            <v>Revenue downside</v>
          </cell>
          <cell r="E31">
            <v>-312.42000000000007</v>
          </cell>
          <cell r="F31">
            <v>-642.84885414406563</v>
          </cell>
          <cell r="G31">
            <v>-1012.5500432981044</v>
          </cell>
          <cell r="H31">
            <v>-1422.957921803225</v>
          </cell>
        </row>
        <row r="32">
          <cell r="A32" t="str">
            <v>EBIT downside</v>
          </cell>
          <cell r="E32">
            <v>-46.863000000000007</v>
          </cell>
          <cell r="F32">
            <v>-96.427328121609847</v>
          </cell>
          <cell r="G32">
            <v>-151.88250649471564</v>
          </cell>
          <cell r="H32">
            <v>-213.44368827048373</v>
          </cell>
        </row>
        <row r="33">
          <cell r="A33" t="str">
            <v>Incremental margin</v>
          </cell>
          <cell r="E33">
            <v>0.15</v>
          </cell>
          <cell r="F33">
            <v>0.15</v>
          </cell>
          <cell r="G33">
            <v>0.15</v>
          </cell>
          <cell r="H33">
            <v>0.15</v>
          </cell>
        </row>
        <row r="35">
          <cell r="A35" t="str">
            <v>Valuation impact</v>
          </cell>
          <cell r="E35">
            <v>-1763.9974237230058</v>
          </cell>
          <cell r="F35">
            <v>-1940.3971660953066</v>
          </cell>
          <cell r="G35">
            <v>-2134.4368827048374</v>
          </cell>
        </row>
        <row r="36">
          <cell r="A36" t="str">
            <v>Upside per share</v>
          </cell>
          <cell r="E36">
            <v>-95.491986520438303</v>
          </cell>
        </row>
        <row r="40">
          <cell r="A40" t="str">
            <v>Factor 2 - margins</v>
          </cell>
          <cell r="B40">
            <v>2007</v>
          </cell>
          <cell r="C40">
            <v>2008</v>
          </cell>
          <cell r="D40">
            <v>2009</v>
          </cell>
          <cell r="E40" t="str">
            <v>2010e</v>
          </cell>
          <cell r="F40" t="str">
            <v>2011e</v>
          </cell>
          <cell r="G40" t="str">
            <v>2012e</v>
          </cell>
          <cell r="H40" t="str">
            <v>2013e</v>
          </cell>
        </row>
        <row r="43">
          <cell r="A43" t="str">
            <v>Margin upside</v>
          </cell>
        </row>
        <row r="44">
          <cell r="A44" t="str">
            <v>Revenue</v>
          </cell>
          <cell r="D44">
            <v>10414</v>
          </cell>
          <cell r="E44">
            <v>10504.628687793149</v>
          </cell>
          <cell r="F44">
            <v>11333.869412789531</v>
          </cell>
          <cell r="G44">
            <v>12197.254435587442</v>
          </cell>
          <cell r="H44">
            <v>13099.104931524082</v>
          </cell>
        </row>
        <row r="45">
          <cell r="A45" t="str">
            <v>Change %</v>
          </cell>
          <cell r="E45">
            <v>8.7025818891059981E-3</v>
          </cell>
          <cell r="F45">
            <v>7.8940508002914633E-2</v>
          </cell>
          <cell r="G45">
            <v>7.6177428145028481E-2</v>
          </cell>
          <cell r="H45">
            <v>7.3938811451317088E-2</v>
          </cell>
        </row>
        <row r="46">
          <cell r="A46" t="str">
            <v xml:space="preserve">EBIT </v>
          </cell>
          <cell r="E46">
            <v>1188.1583778061772</v>
          </cell>
          <cell r="F46">
            <v>1301.7253385201172</v>
          </cell>
          <cell r="G46">
            <v>1495.9704414605083</v>
          </cell>
          <cell r="H46">
            <v>1712.6093433828082</v>
          </cell>
        </row>
        <row r="47">
          <cell r="A47" t="str">
            <v>EBIT margin</v>
          </cell>
          <cell r="E47">
            <v>0.11310807960179219</v>
          </cell>
          <cell r="F47">
            <v>0.1148526854430849</v>
          </cell>
          <cell r="G47">
            <v>0.12264812949181211</v>
          </cell>
          <cell r="H47">
            <v>0.13074247075166731</v>
          </cell>
        </row>
        <row r="48">
          <cell r="A48" t="str">
            <v>EBIT upside</v>
          </cell>
          <cell r="E48">
            <v>105.04628687793138</v>
          </cell>
          <cell r="F48">
            <v>113.33869412789522</v>
          </cell>
          <cell r="G48">
            <v>121.97254435587433</v>
          </cell>
          <cell r="H48">
            <v>130.99104931524084</v>
          </cell>
        </row>
        <row r="50">
          <cell r="A50" t="str">
            <v>Valuation impact</v>
          </cell>
          <cell r="E50">
            <v>1082.5706554978581</v>
          </cell>
          <cell r="F50">
            <v>1190.827721047644</v>
          </cell>
          <cell r="G50">
            <v>1309.9104931524084</v>
          </cell>
        </row>
        <row r="51">
          <cell r="A51" t="str">
            <v>Upside per share</v>
          </cell>
          <cell r="E51">
            <v>58.60372642951004</v>
          </cell>
        </row>
        <row r="54">
          <cell r="A54" t="str">
            <v>Margin downside</v>
          </cell>
        </row>
        <row r="55">
          <cell r="A55" t="str">
            <v>Revenue</v>
          </cell>
          <cell r="D55">
            <v>10414</v>
          </cell>
          <cell r="E55">
            <v>10504.628687793149</v>
          </cell>
          <cell r="F55">
            <v>11333.869412789531</v>
          </cell>
          <cell r="G55">
            <v>12197.254435587442</v>
          </cell>
          <cell r="H55">
            <v>13099.104931524082</v>
          </cell>
        </row>
        <row r="56">
          <cell r="A56" t="str">
            <v>Change %</v>
          </cell>
          <cell r="E56">
            <v>8.7025818891059981E-3</v>
          </cell>
          <cell r="F56">
            <v>7.8940508002914633E-2</v>
          </cell>
          <cell r="G56">
            <v>7.6177428145028481E-2</v>
          </cell>
          <cell r="H56">
            <v>7.3938811451317088E-2</v>
          </cell>
        </row>
        <row r="57">
          <cell r="A57" t="str">
            <v xml:space="preserve">EBIT </v>
          </cell>
          <cell r="E57">
            <v>925.54266061134865</v>
          </cell>
          <cell r="F57">
            <v>1018.3786032003791</v>
          </cell>
          <cell r="G57">
            <v>1130.052808392885</v>
          </cell>
          <cell r="H57">
            <v>1385.1317200947062</v>
          </cell>
        </row>
        <row r="58">
          <cell r="A58" t="str">
            <v>EBIT margin</v>
          </cell>
          <cell r="E58">
            <v>8.8108079601792191E-2</v>
          </cell>
          <cell r="F58">
            <v>8.9852685443084904E-2</v>
          </cell>
          <cell r="G58">
            <v>9.2648129491812115E-2</v>
          </cell>
          <cell r="H58">
            <v>0.1057424707516673</v>
          </cell>
        </row>
        <row r="59">
          <cell r="A59" t="str">
            <v>EBIT downside</v>
          </cell>
          <cell r="E59">
            <v>-157.56943031689718</v>
          </cell>
          <cell r="F59">
            <v>-170.00804119184295</v>
          </cell>
          <cell r="G59">
            <v>-243.94508871174889</v>
          </cell>
          <cell r="H59">
            <v>-196.48657397286115</v>
          </cell>
        </row>
        <row r="61">
          <cell r="A61" t="str">
            <v>Valuation impact</v>
          </cell>
          <cell r="E61">
            <v>-1623.8559832467861</v>
          </cell>
          <cell r="F61">
            <v>-1786.2415815714648</v>
          </cell>
          <cell r="G61">
            <v>-1964.8657397286115</v>
          </cell>
        </row>
        <row r="62">
          <cell r="A62" t="str">
            <v>Upside per share</v>
          </cell>
          <cell r="E62">
            <v>-87.905589644264992</v>
          </cell>
        </row>
        <row r="67">
          <cell r="A67" t="str">
            <v>Summary</v>
          </cell>
        </row>
        <row r="69">
          <cell r="J69" t="str">
            <v>2010-13e</v>
          </cell>
        </row>
        <row r="70">
          <cell r="A70" t="str">
            <v>£mn</v>
          </cell>
          <cell r="D70">
            <v>2009</v>
          </cell>
          <cell r="E70" t="str">
            <v>2010e</v>
          </cell>
          <cell r="F70" t="str">
            <v>2011e</v>
          </cell>
          <cell r="G70" t="str">
            <v>2012e</v>
          </cell>
          <cell r="H70" t="str">
            <v>2013e</v>
          </cell>
          <cell r="J70" t="str">
            <v>CAGR %</v>
          </cell>
        </row>
        <row r="71">
          <cell r="A71" t="str">
            <v>Base Case</v>
          </cell>
        </row>
        <row r="72">
          <cell r="A72" t="str">
            <v>Revenue</v>
          </cell>
          <cell r="E72">
            <v>10504.628687793149</v>
          </cell>
          <cell r="F72">
            <v>11333.869412789531</v>
          </cell>
          <cell r="G72">
            <v>12197.254435587442</v>
          </cell>
          <cell r="H72">
            <v>13099.104931524082</v>
          </cell>
          <cell r="J72">
            <v>7.6350305548355868E-2</v>
          </cell>
        </row>
        <row r="73">
          <cell r="A73" t="str">
            <v>EBIT</v>
          </cell>
          <cell r="E73">
            <v>1083.1120909282458</v>
          </cell>
          <cell r="F73">
            <v>1188.386644392222</v>
          </cell>
          <cell r="G73">
            <v>1373.9978971046339</v>
          </cell>
          <cell r="H73">
            <v>1581.6182940675674</v>
          </cell>
          <cell r="J73">
            <v>0.13451286562294129</v>
          </cell>
        </row>
        <row r="74">
          <cell r="A74" t="str">
            <v>Margin %</v>
          </cell>
          <cell r="E74">
            <v>0.10310807960179219</v>
          </cell>
          <cell r="F74">
            <v>0.1048526854430849</v>
          </cell>
          <cell r="G74">
            <v>0.11264812949181212</v>
          </cell>
          <cell r="H74">
            <v>0.1207424707516673</v>
          </cell>
        </row>
        <row r="75">
          <cell r="A75" t="str">
            <v xml:space="preserve"> Base Case EPS</v>
          </cell>
          <cell r="E75">
            <v>41.535972564754076</v>
          </cell>
          <cell r="F75">
            <v>45.387995080711818</v>
          </cell>
          <cell r="G75">
            <v>52.345540252998276</v>
          </cell>
          <cell r="H75">
            <v>60.515460194994539</v>
          </cell>
          <cell r="J75">
            <v>0.1336543325046986</v>
          </cell>
        </row>
        <row r="77">
          <cell r="A77" t="str">
            <v>Consolidated asset value</v>
          </cell>
          <cell r="E77">
            <v>675.17248977886447</v>
          </cell>
          <cell r="F77">
            <v>742.68973875675101</v>
          </cell>
          <cell r="G77">
            <v>816.95871263242623</v>
          </cell>
        </row>
        <row r="78">
          <cell r="A78" t="str">
            <v>Target forward P/E</v>
          </cell>
          <cell r="G78">
            <v>13.5</v>
          </cell>
        </row>
        <row r="79">
          <cell r="A79" t="str">
            <v>Present value of dividends</v>
          </cell>
          <cell r="E79">
            <v>44.219973163716098</v>
          </cell>
        </row>
        <row r="80">
          <cell r="A80" t="str">
            <v>Target Price</v>
          </cell>
          <cell r="E80">
            <v>720</v>
          </cell>
          <cell r="I80">
            <v>720</v>
          </cell>
        </row>
        <row r="81">
          <cell r="A81" t="str">
            <v>Implied multiples</v>
          </cell>
          <cell r="E81">
            <v>17.334372004351859</v>
          </cell>
          <cell r="F81">
            <v>15.8632254788882</v>
          </cell>
          <cell r="G81">
            <v>13.754753442606019</v>
          </cell>
        </row>
        <row r="83">
          <cell r="D83">
            <v>2009</v>
          </cell>
          <cell r="E83" t="str">
            <v>2010e</v>
          </cell>
          <cell r="F83" t="str">
            <v>2011e</v>
          </cell>
          <cell r="G83" t="str">
            <v>2012e</v>
          </cell>
          <cell r="H83" t="str">
            <v>2013e</v>
          </cell>
        </row>
        <row r="84">
          <cell r="A84" t="str">
            <v>Bull Case</v>
          </cell>
        </row>
        <row r="85">
          <cell r="A85" t="str">
            <v>Revenue</v>
          </cell>
          <cell r="E85">
            <v>10660.838687793148</v>
          </cell>
          <cell r="F85">
            <v>11662.323289861561</v>
          </cell>
          <cell r="G85">
            <v>12725.663933627004</v>
          </cell>
          <cell r="H85">
            <v>13857.469358812681</v>
          </cell>
          <cell r="J85">
            <v>9.1350332258545608E-2</v>
          </cell>
        </row>
        <row r="86">
          <cell r="A86" t="str">
            <v>EBIT</v>
          </cell>
          <cell r="E86">
            <v>1211.5898778061771</v>
          </cell>
          <cell r="F86">
            <v>1350.9934200809219</v>
          </cell>
          <cell r="G86">
            <v>1575.2318661664426</v>
          </cell>
          <cell r="H86">
            <v>1826.3640074760981</v>
          </cell>
          <cell r="J86">
            <v>0.14659638401751418</v>
          </cell>
        </row>
        <row r="87">
          <cell r="A87" t="str">
            <v>Margin %</v>
          </cell>
          <cell r="E87">
            <v>0.11364864559797433</v>
          </cell>
          <cell r="F87">
            <v>0.11584256296988309</v>
          </cell>
          <cell r="G87">
            <v>0.12378386498200397</v>
          </cell>
          <cell r="H87">
            <v>0.13179635907436582</v>
          </cell>
        </row>
        <row r="88">
          <cell r="A88" t="str">
            <v>NOPAT</v>
          </cell>
          <cell r="E88">
            <v>884.46061079850926</v>
          </cell>
          <cell r="F88">
            <v>986.22519665907294</v>
          </cell>
          <cell r="G88">
            <v>1149.9192623015031</v>
          </cell>
          <cell r="H88">
            <v>1333.2457254575515</v>
          </cell>
        </row>
        <row r="89">
          <cell r="A89" t="str">
            <v>Bull Case EPS</v>
          </cell>
          <cell r="E89">
            <v>46.619375514395799</v>
          </cell>
          <cell r="F89">
            <v>51.813843549118602</v>
          </cell>
          <cell r="G89">
            <v>60.279048787073037</v>
          </cell>
          <cell r="H89">
            <v>70.143315465319915</v>
          </cell>
          <cell r="J89">
            <v>0.14588212838028447</v>
          </cell>
        </row>
        <row r="91">
          <cell r="A91" t="str">
            <v>Consolidated asset value</v>
          </cell>
          <cell r="E91">
            <v>840.56039193978404</v>
          </cell>
          <cell r="F91">
            <v>924.61643113376249</v>
          </cell>
          <cell r="G91">
            <v>1017.0780742471388</v>
          </cell>
        </row>
        <row r="92">
          <cell r="A92" t="str">
            <v>Target forward P/E</v>
          </cell>
          <cell r="G92">
            <v>14.5</v>
          </cell>
        </row>
        <row r="93">
          <cell r="A93" t="str">
            <v>Present value of dividends</v>
          </cell>
          <cell r="E93">
            <v>44.219973163716098</v>
          </cell>
        </row>
        <row r="94">
          <cell r="A94" t="str">
            <v>Target Price</v>
          </cell>
          <cell r="E94">
            <v>884.78036510350012</v>
          </cell>
          <cell r="I94">
            <v>885</v>
          </cell>
        </row>
        <row r="95">
          <cell r="A95" t="str">
            <v>Implied multiples</v>
          </cell>
          <cell r="E95">
            <v>18.983523271921928</v>
          </cell>
          <cell r="F95">
            <v>17.080377354384755</v>
          </cell>
          <cell r="G95">
            <v>14.68171807299305</v>
          </cell>
          <cell r="I95" t="str">
            <v>.</v>
          </cell>
        </row>
        <row r="97">
          <cell r="A97" t="str">
            <v>Bear Case</v>
          </cell>
        </row>
        <row r="98">
          <cell r="A98" t="str">
            <v>Revenue</v>
          </cell>
          <cell r="E98">
            <v>10192.208687793149</v>
          </cell>
          <cell r="F98">
            <v>10691.020558645465</v>
          </cell>
          <cell r="G98">
            <v>11184.704392289337</v>
          </cell>
          <cell r="H98">
            <v>11676.147009720857</v>
          </cell>
          <cell r="J98">
            <v>4.6350249830918955E-2</v>
          </cell>
        </row>
        <row r="99">
          <cell r="A99" t="str">
            <v>EBIT</v>
          </cell>
          <cell r="E99">
            <v>878.6796606113486</v>
          </cell>
          <cell r="F99">
            <v>921.95127507876919</v>
          </cell>
          <cell r="G99">
            <v>978.17030189816933</v>
          </cell>
          <cell r="H99">
            <v>1171.6880318242224</v>
          </cell>
          <cell r="J99">
            <v>0.10067847492641824</v>
          </cell>
        </row>
        <row r="100">
          <cell r="A100" t="str">
            <v>Margin %</v>
          </cell>
          <cell r="E100">
            <v>8.6210917331756801E-2</v>
          </cell>
          <cell r="F100">
            <v>8.623603986367967E-2</v>
          </cell>
          <cell r="G100">
            <v>8.7456071040421385E-2</v>
          </cell>
          <cell r="H100">
            <v>0.10034885916122378</v>
          </cell>
        </row>
        <row r="101">
          <cell r="A101" t="str">
            <v>NOPAT</v>
          </cell>
          <cell r="E101">
            <v>641.43615224628445</v>
          </cell>
          <cell r="F101">
            <v>673.02443080750152</v>
          </cell>
          <cell r="G101">
            <v>714.06432038566356</v>
          </cell>
          <cell r="H101">
            <v>855.3322632316823</v>
          </cell>
        </row>
        <row r="102">
          <cell r="A102" t="str">
            <v>Bear Case EPS</v>
          </cell>
          <cell r="E102">
            <v>33.447318140291472</v>
          </cell>
          <cell r="F102">
            <v>34.859077681169367</v>
          </cell>
          <cell r="G102">
            <v>36.740314061647659</v>
          </cell>
          <cell r="H102">
            <v>44.389542478848384</v>
          </cell>
          <cell r="J102">
            <v>9.8937826747595992E-2</v>
          </cell>
        </row>
        <row r="104">
          <cell r="A104" t="str">
            <v>Consolidated asset value</v>
          </cell>
          <cell r="E104">
            <v>458.56965370711129</v>
          </cell>
          <cell r="F104">
            <v>504.42661907782247</v>
          </cell>
          <cell r="G104">
            <v>554.86928098560475</v>
          </cell>
        </row>
        <row r="105">
          <cell r="A105" t="str">
            <v>Target forward P/E</v>
          </cell>
          <cell r="G105">
            <v>12.5</v>
          </cell>
        </row>
        <row r="106">
          <cell r="A106" t="str">
            <v>Present value of dividends</v>
          </cell>
          <cell r="E106">
            <v>44.219973163716098</v>
          </cell>
        </row>
        <row r="107">
          <cell r="A107" t="str">
            <v>Target Price</v>
          </cell>
          <cell r="E107">
            <v>500</v>
          </cell>
          <cell r="I107">
            <v>500</v>
          </cell>
        </row>
        <row r="108">
          <cell r="A108" t="str">
            <v>Implied multiples</v>
          </cell>
          <cell r="E108">
            <v>14.948881638366323</v>
          </cell>
          <cell r="F108">
            <v>14.343466128769567</v>
          </cell>
          <cell r="G108">
            <v>13.609029012681688</v>
          </cell>
        </row>
        <row r="111">
          <cell r="K111" t="str">
            <v>Current share price</v>
          </cell>
          <cell r="L111">
            <v>580</v>
          </cell>
        </row>
        <row r="112">
          <cell r="K112" t="str">
            <v>Upside to bull</v>
          </cell>
          <cell r="L112">
            <v>0.52586206896551735</v>
          </cell>
        </row>
        <row r="113">
          <cell r="K113" t="str">
            <v>Upside to base</v>
          </cell>
          <cell r="L113">
            <v>0.24137931034482762</v>
          </cell>
        </row>
        <row r="114">
          <cell r="K114" t="str">
            <v>Dowside to bear</v>
          </cell>
          <cell r="L114">
            <v>-0.13793103448275867</v>
          </cell>
        </row>
        <row r="115">
          <cell r="E115">
            <v>790.67182637761948</v>
          </cell>
          <cell r="F115">
            <v>867.52225040632209</v>
          </cell>
          <cell r="G115">
            <v>1003.0184648863827</v>
          </cell>
          <cell r="H115">
            <v>1154.5813546693241</v>
          </cell>
        </row>
        <row r="118">
          <cell r="D118">
            <v>2009</v>
          </cell>
          <cell r="E118" t="str">
            <v>2010e</v>
          </cell>
          <cell r="F118" t="str">
            <v>2011e</v>
          </cell>
          <cell r="G118" t="str">
            <v>2012e</v>
          </cell>
          <cell r="H118" t="str">
            <v>2013e</v>
          </cell>
        </row>
        <row r="119">
          <cell r="A119" t="str">
            <v>Dividends</v>
          </cell>
          <cell r="D119">
            <v>15.011513216700001</v>
          </cell>
          <cell r="E119">
            <v>15.762088877535001</v>
          </cell>
          <cell r="F119">
            <v>16.550193321411751</v>
          </cell>
          <cell r="G119">
            <v>17.377702987482341</v>
          </cell>
          <cell r="H119">
            <v>18.24658813685646</v>
          </cell>
        </row>
      </sheetData>
      <sheetData sheetId="17"/>
      <sheetData sheetId="18"/>
      <sheetData sheetId="19"/>
      <sheetData sheetId="20"/>
      <sheetData sheetId="21" refreshError="1">
        <row r="4">
          <cell r="A4" t="str">
            <v>Dollarised content</v>
          </cell>
        </row>
        <row r="6">
          <cell r="B6" t="str">
            <v>Percentage USD costs</v>
          </cell>
          <cell r="E6" t="str">
            <v>EIS</v>
          </cell>
        </row>
        <row r="7">
          <cell r="A7" t="str">
            <v>RB211</v>
          </cell>
          <cell r="B7">
            <v>0.25</v>
          </cell>
          <cell r="E7">
            <v>1972</v>
          </cell>
        </row>
        <row r="8">
          <cell r="A8" t="str">
            <v>Trent 700</v>
          </cell>
          <cell r="B8">
            <v>0.45</v>
          </cell>
          <cell r="E8">
            <v>1993</v>
          </cell>
        </row>
        <row r="9">
          <cell r="A9" t="str">
            <v>Trent 1000</v>
          </cell>
          <cell r="B9">
            <v>0.7</v>
          </cell>
          <cell r="E9" t="str">
            <v>3Q09</v>
          </cell>
        </row>
        <row r="10">
          <cell r="A10" t="str">
            <v>RB282</v>
          </cell>
          <cell r="B10">
            <v>0.85</v>
          </cell>
          <cell r="E10">
            <v>2012</v>
          </cell>
        </row>
        <row r="14">
          <cell r="A14" t="str">
            <v>Changes to estimates</v>
          </cell>
        </row>
        <row r="15">
          <cell r="B15" t="str">
            <v>2008e</v>
          </cell>
          <cell r="C15" t="str">
            <v>2009e</v>
          </cell>
          <cell r="D15" t="str">
            <v>2010e</v>
          </cell>
          <cell r="E15" t="str">
            <v>2011e</v>
          </cell>
          <cell r="F15" t="str">
            <v>2012e</v>
          </cell>
        </row>
        <row r="16">
          <cell r="A16" t="str">
            <v>Current</v>
          </cell>
        </row>
        <row r="17">
          <cell r="A17" t="str">
            <v>Revenue</v>
          </cell>
          <cell r="B17">
            <v>9082</v>
          </cell>
          <cell r="C17">
            <v>10414</v>
          </cell>
          <cell r="D17">
            <v>10504.628687793149</v>
          </cell>
          <cell r="E17">
            <v>11333.869412789531</v>
          </cell>
          <cell r="F17">
            <v>12197.254435587442</v>
          </cell>
          <cell r="H17">
            <v>7.6627748591430844E-2</v>
          </cell>
        </row>
        <row r="18">
          <cell r="A18" t="str">
            <v xml:space="preserve">Underlying EBIT </v>
          </cell>
          <cell r="B18">
            <v>919</v>
          </cell>
          <cell r="C18">
            <v>983</v>
          </cell>
          <cell r="D18">
            <v>1083.1120909282458</v>
          </cell>
          <cell r="E18">
            <v>1188.386644392222</v>
          </cell>
          <cell r="F18">
            <v>1373.9978971046339</v>
          </cell>
          <cell r="H18">
            <v>8.9467009223566984E-2</v>
          </cell>
        </row>
        <row r="19">
          <cell r="A19" t="str">
            <v>Margin %</v>
          </cell>
          <cell r="B19">
            <v>0.10118916538207444</v>
          </cell>
          <cell r="C19">
            <v>9.439216439408489E-2</v>
          </cell>
          <cell r="D19">
            <v>0.10310807960179219</v>
          </cell>
          <cell r="E19">
            <v>0.1048526854430849</v>
          </cell>
          <cell r="F19">
            <v>0.11264812949181212</v>
          </cell>
          <cell r="H19">
            <v>1.1925440941805476E-2</v>
          </cell>
        </row>
        <row r="20">
          <cell r="A20" t="str">
            <v>EPS</v>
          </cell>
          <cell r="B20">
            <v>-73.626373626373635</v>
          </cell>
          <cell r="C20">
            <v>120.37940379403793</v>
          </cell>
          <cell r="D20">
            <v>41.535972564754076</v>
          </cell>
          <cell r="E20">
            <v>45.387995080711818</v>
          </cell>
          <cell r="F20">
            <v>52.345540252998276</v>
          </cell>
          <cell r="H20">
            <v>-1.8510776706010228</v>
          </cell>
        </row>
        <row r="22">
          <cell r="A22" t="str">
            <v>Prior</v>
          </cell>
        </row>
        <row r="23">
          <cell r="A23" t="str">
            <v>Revenue</v>
          </cell>
          <cell r="B23">
            <v>8028.001201904106</v>
          </cell>
          <cell r="C23">
            <v>8592.4855591195756</v>
          </cell>
          <cell r="D23">
            <v>9238.1087377510903</v>
          </cell>
          <cell r="E23">
            <v>9584.8931342761462</v>
          </cell>
          <cell r="F23">
            <v>10095.928147389963</v>
          </cell>
        </row>
        <row r="24">
          <cell r="A24" t="str">
            <v xml:space="preserve">Underlying EBIT </v>
          </cell>
          <cell r="B24">
            <v>916.76796025048441</v>
          </cell>
          <cell r="C24">
            <v>969.2546835260755</v>
          </cell>
          <cell r="D24">
            <v>1045.1409000307481</v>
          </cell>
          <cell r="E24">
            <v>1074.397143580898</v>
          </cell>
          <cell r="F24">
            <v>1133.2909731549125</v>
          </cell>
        </row>
        <row r="25">
          <cell r="A25" t="str">
            <v>Margin %</v>
          </cell>
          <cell r="B25">
            <v>0.11419629085668828</v>
          </cell>
          <cell r="C25">
            <v>0.11280259674074909</v>
          </cell>
          <cell r="D25">
            <v>0.11313364344368775</v>
          </cell>
          <cell r="E25">
            <v>0.11209276186280995</v>
          </cell>
          <cell r="F25">
            <v>0.11225228197051849</v>
          </cell>
        </row>
        <row r="26">
          <cell r="A26" t="str">
            <v>EPS</v>
          </cell>
          <cell r="B26">
            <v>35.623517741419313</v>
          </cell>
          <cell r="C26">
            <v>37.961719406606811</v>
          </cell>
          <cell r="D26">
            <v>41.175894534746114</v>
          </cell>
          <cell r="E26">
            <v>42.96894110681103</v>
          </cell>
          <cell r="F26">
            <v>46.190081547557483</v>
          </cell>
        </row>
        <row r="28">
          <cell r="A28" t="str">
            <v>Change %</v>
          </cell>
        </row>
        <row r="29">
          <cell r="A29" t="str">
            <v>Revenue</v>
          </cell>
          <cell r="B29">
            <v>0.13129031393840651</v>
          </cell>
          <cell r="C29">
            <v>0.21198923505285072</v>
          </cell>
          <cell r="D29">
            <v>0.1370973200246588</v>
          </cell>
          <cell r="E29">
            <v>0.18247217303434948</v>
          </cell>
          <cell r="F29">
            <v>0.20813601855325414</v>
          </cell>
        </row>
        <row r="30">
          <cell r="A30" t="str">
            <v xml:space="preserve">Underlying EBIT </v>
          </cell>
          <cell r="B30">
            <v>2.4346834164075126E-3</v>
          </cell>
          <cell r="C30">
            <v>1.4181325824416113E-2</v>
          </cell>
          <cell r="D30">
            <v>3.6331169219748993E-2</v>
          </cell>
          <cell r="E30">
            <v>0.10609624336062939</v>
          </cell>
          <cell r="F30">
            <v>0.21239640096984913</v>
          </cell>
        </row>
        <row r="31">
          <cell r="A31" t="str">
            <v>EPS</v>
          </cell>
          <cell r="B31">
            <v>-3.0667912181162436</v>
          </cell>
          <cell r="C31">
            <v>2.1710735360708462</v>
          </cell>
          <cell r="D31">
            <v>8.7448744969975678E-3</v>
          </cell>
          <cell r="E31">
            <v>5.6297733004115003E-2</v>
          </cell>
          <cell r="F31">
            <v>0.13326364663597978</v>
          </cell>
        </row>
        <row r="35">
          <cell r="A35" t="str">
            <v xml:space="preserve">Marine growth </v>
          </cell>
        </row>
        <row r="36">
          <cell r="B36" t="str">
            <v>1H05</v>
          </cell>
          <cell r="C36" t="str">
            <v>2H05</v>
          </cell>
          <cell r="D36" t="str">
            <v>1H06</v>
          </cell>
          <cell r="E36" t="str">
            <v>2H06</v>
          </cell>
          <cell r="F36" t="str">
            <v>1H07</v>
          </cell>
          <cell r="G36" t="str">
            <v>2H07</v>
          </cell>
          <cell r="H36" t="str">
            <v>1H08</v>
          </cell>
        </row>
        <row r="37">
          <cell r="A37" t="str">
            <v>Marine revenue</v>
          </cell>
          <cell r="B37">
            <v>488</v>
          </cell>
          <cell r="C37">
            <v>609</v>
          </cell>
          <cell r="D37">
            <v>620</v>
          </cell>
          <cell r="E37">
            <v>679</v>
          </cell>
          <cell r="F37">
            <v>698</v>
          </cell>
          <cell r="G37">
            <v>850</v>
          </cell>
          <cell r="H37">
            <v>1009</v>
          </cell>
        </row>
        <row r="38">
          <cell r="A38" t="str">
            <v xml:space="preserve">Marine underlying EBIT </v>
          </cell>
          <cell r="B38">
            <v>39</v>
          </cell>
          <cell r="C38">
            <v>50</v>
          </cell>
          <cell r="D38">
            <v>50</v>
          </cell>
          <cell r="E38">
            <v>51</v>
          </cell>
          <cell r="F38">
            <v>58</v>
          </cell>
          <cell r="G38">
            <v>55</v>
          </cell>
          <cell r="H38">
            <v>87</v>
          </cell>
        </row>
        <row r="39">
          <cell r="B39">
            <v>7.9918032786885251E-2</v>
          </cell>
          <cell r="C39">
            <v>8.2101806239737271E-2</v>
          </cell>
          <cell r="D39">
            <v>8.0645161290322578E-2</v>
          </cell>
          <cell r="E39">
            <v>7.511045655375552E-2</v>
          </cell>
          <cell r="F39">
            <v>8.3094555873925502E-2</v>
          </cell>
          <cell r="G39">
            <v>6.4705882352941183E-2</v>
          </cell>
          <cell r="H39">
            <v>8.6223984142715565E-2</v>
          </cell>
        </row>
        <row r="42">
          <cell r="B42" t="str">
            <v>1H05</v>
          </cell>
          <cell r="C42" t="str">
            <v>2H05</v>
          </cell>
          <cell r="D42" t="str">
            <v>1H06</v>
          </cell>
          <cell r="E42" t="str">
            <v>2H06</v>
          </cell>
          <cell r="F42" t="str">
            <v>1H07</v>
          </cell>
          <cell r="G42" t="str">
            <v>2H07</v>
          </cell>
          <cell r="H42" t="str">
            <v>1H08</v>
          </cell>
        </row>
        <row r="43">
          <cell r="A43" t="str">
            <v>Order book</v>
          </cell>
          <cell r="B43">
            <v>1.7</v>
          </cell>
          <cell r="C43">
            <v>1.9</v>
          </cell>
          <cell r="D43">
            <v>2.1</v>
          </cell>
          <cell r="E43">
            <v>2.4</v>
          </cell>
          <cell r="F43">
            <v>3.1</v>
          </cell>
          <cell r="G43">
            <v>4.7</v>
          </cell>
          <cell r="H43">
            <v>5.5</v>
          </cell>
        </row>
        <row r="48">
          <cell r="B48" t="str">
            <v>1H05</v>
          </cell>
          <cell r="C48" t="str">
            <v>2H05</v>
          </cell>
          <cell r="D48" t="str">
            <v>1H06</v>
          </cell>
          <cell r="E48" t="str">
            <v>2H06</v>
          </cell>
          <cell r="F48" t="str">
            <v>1H07</v>
          </cell>
          <cell r="G48" t="str">
            <v>2H07</v>
          </cell>
          <cell r="I48" t="str">
            <v>CAGR</v>
          </cell>
        </row>
        <row r="49">
          <cell r="A49" t="str">
            <v>Marine revenue</v>
          </cell>
          <cell r="B49">
            <v>488</v>
          </cell>
          <cell r="C49">
            <v>609</v>
          </cell>
          <cell r="D49">
            <v>620</v>
          </cell>
          <cell r="E49">
            <v>679</v>
          </cell>
          <cell r="F49">
            <v>698</v>
          </cell>
          <cell r="G49">
            <v>850</v>
          </cell>
          <cell r="I49">
            <v>0.1173772395573629</v>
          </cell>
        </row>
        <row r="50">
          <cell r="A50" t="str">
            <v>Order book</v>
          </cell>
          <cell r="B50">
            <v>1700</v>
          </cell>
          <cell r="C50">
            <v>1900</v>
          </cell>
          <cell r="D50">
            <v>2100</v>
          </cell>
          <cell r="E50">
            <v>2400</v>
          </cell>
          <cell r="F50">
            <v>3100</v>
          </cell>
          <cell r="G50">
            <v>4700</v>
          </cell>
          <cell r="I50">
            <v>0.22554648108752806</v>
          </cell>
        </row>
        <row r="55">
          <cell r="A55" t="str">
            <v>ROIC improvement</v>
          </cell>
          <cell r="B55">
            <v>2006</v>
          </cell>
          <cell r="C55">
            <v>2007</v>
          </cell>
          <cell r="D55" t="str">
            <v>2008e</v>
          </cell>
          <cell r="E55" t="str">
            <v>2009e</v>
          </cell>
          <cell r="F55" t="str">
            <v>2010e</v>
          </cell>
          <cell r="G55" t="str">
            <v>2011e</v>
          </cell>
          <cell r="H55" t="str">
            <v>2012e</v>
          </cell>
        </row>
        <row r="56">
          <cell r="A56" t="str">
            <v>ROIC</v>
          </cell>
          <cell r="B56">
            <v>0.11089277049975739</v>
          </cell>
          <cell r="C56">
            <v>7.5356022206130815E-2</v>
          </cell>
          <cell r="D56">
            <v>0.11649419218585004</v>
          </cell>
          <cell r="E56">
            <v>0.14340231630909436</v>
          </cell>
          <cell r="F56">
            <v>0.12528145420424655</v>
          </cell>
          <cell r="G56">
            <v>0.12964233440802561</v>
          </cell>
          <cell r="H56">
            <v>0.13981334207096835</v>
          </cell>
        </row>
        <row r="90">
          <cell r="I90" t="str">
            <v>EPS estimates</v>
          </cell>
          <cell r="M90" t="str">
            <v>Revenue</v>
          </cell>
          <cell r="Q90" t="str">
            <v>EBIT</v>
          </cell>
        </row>
        <row r="92">
          <cell r="A92" t="str">
            <v>Consensus estimates</v>
          </cell>
          <cell r="B92" t="str">
            <v>2008e</v>
          </cell>
          <cell r="C92" t="str">
            <v>2009e</v>
          </cell>
          <cell r="D92" t="str">
            <v>2010e</v>
          </cell>
          <cell r="I92" t="str">
            <v>2008e</v>
          </cell>
          <cell r="J92" t="str">
            <v>2009e</v>
          </cell>
          <cell r="K92" t="str">
            <v>2010e</v>
          </cell>
          <cell r="M92" t="str">
            <v>2008e</v>
          </cell>
          <cell r="N92" t="str">
            <v>2009e</v>
          </cell>
          <cell r="O92" t="str">
            <v>2010e</v>
          </cell>
          <cell r="Q92" t="str">
            <v>2008e</v>
          </cell>
          <cell r="R92" t="str">
            <v>2009e</v>
          </cell>
          <cell r="S92" t="str">
            <v>2010e</v>
          </cell>
        </row>
        <row r="93">
          <cell r="A93" t="str">
            <v>Revenue</v>
          </cell>
          <cell r="B93">
            <v>8317.6923076923085</v>
          </cell>
          <cell r="C93">
            <v>8944.4166666666661</v>
          </cell>
          <cell r="D93">
            <v>9394.8333333333339</v>
          </cell>
          <cell r="I93">
            <v>32.5</v>
          </cell>
          <cell r="J93">
            <v>34.4</v>
          </cell>
          <cell r="K93">
            <v>39</v>
          </cell>
          <cell r="M93">
            <v>8484</v>
          </cell>
          <cell r="N93">
            <v>9062</v>
          </cell>
          <cell r="O93">
            <v>9855</v>
          </cell>
          <cell r="Q93">
            <v>920</v>
          </cell>
          <cell r="R93">
            <v>975</v>
          </cell>
          <cell r="S93">
            <v>924</v>
          </cell>
        </row>
        <row r="94">
          <cell r="A94" t="str">
            <v>EBIT</v>
          </cell>
          <cell r="B94">
            <v>880.33333333333337</v>
          </cell>
          <cell r="C94">
            <v>922.81818181818187</v>
          </cell>
          <cell r="D94">
            <v>991.33333333333337</v>
          </cell>
          <cell r="I94">
            <v>33.6</v>
          </cell>
          <cell r="J94">
            <v>36.200000000000003</v>
          </cell>
          <cell r="K94">
            <v>37.4</v>
          </cell>
          <cell r="M94">
            <v>7991</v>
          </cell>
          <cell r="N94">
            <v>8464</v>
          </cell>
          <cell r="O94">
            <v>9467</v>
          </cell>
          <cell r="Q94">
            <v>882</v>
          </cell>
          <cell r="R94">
            <v>944</v>
          </cell>
          <cell r="S94">
            <v>1025</v>
          </cell>
        </row>
        <row r="95">
          <cell r="A95" t="str">
            <v>EBIT margin %</v>
          </cell>
          <cell r="B95">
            <v>0.10583865100650451</v>
          </cell>
          <cell r="C95">
            <v>0.10317253949687592</v>
          </cell>
          <cell r="D95">
            <v>0.10551899093473363</v>
          </cell>
          <cell r="I95">
            <v>32</v>
          </cell>
          <cell r="J95">
            <v>34.1</v>
          </cell>
          <cell r="K95">
            <v>38.5</v>
          </cell>
          <cell r="M95">
            <v>8605</v>
          </cell>
          <cell r="N95">
            <v>9153</v>
          </cell>
          <cell r="O95">
            <v>8924</v>
          </cell>
          <cell r="Q95">
            <v>810</v>
          </cell>
          <cell r="R95">
            <v>882</v>
          </cell>
          <cell r="S95">
            <v>940</v>
          </cell>
        </row>
        <row r="96">
          <cell r="A96" t="str">
            <v>EPS</v>
          </cell>
          <cell r="B96">
            <v>34.649999999999991</v>
          </cell>
          <cell r="C96">
            <v>37.53</v>
          </cell>
          <cell r="D96">
            <v>39.54</v>
          </cell>
          <cell r="I96">
            <v>32.4</v>
          </cell>
          <cell r="J96">
            <v>36.799999999999997</v>
          </cell>
          <cell r="K96">
            <v>40.1</v>
          </cell>
          <cell r="M96">
            <v>7915</v>
          </cell>
          <cell r="N96">
            <v>8144</v>
          </cell>
          <cell r="O96">
            <v>9445</v>
          </cell>
          <cell r="Q96">
            <v>860</v>
          </cell>
          <cell r="R96">
            <v>900</v>
          </cell>
          <cell r="S96">
            <v>1003</v>
          </cell>
        </row>
        <row r="97">
          <cell r="I97">
            <v>36</v>
          </cell>
          <cell r="J97">
            <v>38</v>
          </cell>
          <cell r="K97">
            <v>42.7</v>
          </cell>
          <cell r="M97">
            <v>8190</v>
          </cell>
          <cell r="N97">
            <v>8740</v>
          </cell>
          <cell r="O97">
            <v>9203</v>
          </cell>
          <cell r="Q97">
            <v>844</v>
          </cell>
          <cell r="R97">
            <v>882</v>
          </cell>
          <cell r="S97">
            <v>1100</v>
          </cell>
        </row>
        <row r="98">
          <cell r="A98" t="str">
            <v xml:space="preserve">MS estimates </v>
          </cell>
          <cell r="I98">
            <v>35.4</v>
          </cell>
          <cell r="J98">
            <v>37.4</v>
          </cell>
          <cell r="M98">
            <v>8561</v>
          </cell>
          <cell r="N98">
            <v>9292</v>
          </cell>
          <cell r="Q98">
            <v>928</v>
          </cell>
          <cell r="R98">
            <v>1003</v>
          </cell>
          <cell r="S98">
            <v>956</v>
          </cell>
        </row>
        <row r="99">
          <cell r="A99" t="str">
            <v xml:space="preserve">Revenue </v>
          </cell>
          <cell r="B99">
            <v>9082</v>
          </cell>
          <cell r="C99">
            <v>10414</v>
          </cell>
          <cell r="D99">
            <v>10504.628687793149</v>
          </cell>
          <cell r="I99">
            <v>36.299999999999997</v>
          </cell>
          <cell r="J99">
            <v>39.6</v>
          </cell>
          <cell r="M99">
            <v>8382</v>
          </cell>
          <cell r="N99">
            <v>8815</v>
          </cell>
          <cell r="O99">
            <v>9475</v>
          </cell>
          <cell r="Q99">
            <v>921</v>
          </cell>
          <cell r="R99">
            <v>1032</v>
          </cell>
        </row>
        <row r="100">
          <cell r="A100" t="str">
            <v xml:space="preserve">EBIT </v>
          </cell>
          <cell r="B100">
            <v>919</v>
          </cell>
          <cell r="C100">
            <v>983</v>
          </cell>
          <cell r="D100">
            <v>1083.1120909282458</v>
          </cell>
          <cell r="I100">
            <v>35.700000000000003</v>
          </cell>
          <cell r="J100">
            <v>43.3</v>
          </cell>
          <cell r="M100">
            <v>8528</v>
          </cell>
          <cell r="N100">
            <v>9328</v>
          </cell>
          <cell r="Q100">
            <v>928</v>
          </cell>
          <cell r="R100">
            <v>825</v>
          </cell>
        </row>
        <row r="101">
          <cell r="A101" t="str">
            <v>EBIT margin %</v>
          </cell>
          <cell r="B101">
            <v>0.10118916538207444</v>
          </cell>
          <cell r="C101">
            <v>9.439216439408489E-2</v>
          </cell>
          <cell r="D101">
            <v>0.10310807960179219</v>
          </cell>
          <cell r="I101">
            <v>38.700000000000003</v>
          </cell>
          <cell r="J101">
            <v>35.5</v>
          </cell>
          <cell r="M101">
            <v>8554</v>
          </cell>
          <cell r="N101">
            <v>9525</v>
          </cell>
          <cell r="Q101">
            <v>810</v>
          </cell>
          <cell r="R101">
            <v>879</v>
          </cell>
        </row>
        <row r="102">
          <cell r="A102" t="str">
            <v>EPS</v>
          </cell>
          <cell r="B102">
            <v>-73.626373626373635</v>
          </cell>
          <cell r="C102">
            <v>120.37940379403793</v>
          </cell>
          <cell r="D102">
            <v>41.535972564754076</v>
          </cell>
          <cell r="I102">
            <v>33.9</v>
          </cell>
          <cell r="J102">
            <v>40</v>
          </cell>
          <cell r="M102">
            <v>8090</v>
          </cell>
          <cell r="N102">
            <v>8455</v>
          </cell>
          <cell r="Q102">
            <v>860</v>
          </cell>
          <cell r="R102">
            <v>1028</v>
          </cell>
        </row>
        <row r="103">
          <cell r="M103">
            <v>8221</v>
          </cell>
          <cell r="N103">
            <v>8985</v>
          </cell>
          <cell r="Q103">
            <v>955</v>
          </cell>
          <cell r="R103">
            <v>801</v>
          </cell>
        </row>
        <row r="104">
          <cell r="I104">
            <v>34.649999999999991</v>
          </cell>
          <cell r="J104">
            <v>37.53</v>
          </cell>
          <cell r="K104">
            <v>39.54</v>
          </cell>
          <cell r="M104">
            <v>8625</v>
          </cell>
          <cell r="N104">
            <v>9370</v>
          </cell>
          <cell r="Q104">
            <v>846</v>
          </cell>
        </row>
        <row r="105">
          <cell r="A105" t="str">
            <v>Revenue</v>
          </cell>
          <cell r="B105">
            <v>9.1889392398039282E-2</v>
          </cell>
          <cell r="C105">
            <v>0.16430175248991463</v>
          </cell>
          <cell r="D105">
            <v>0.11812826423670608</v>
          </cell>
          <cell r="M105">
            <v>7984</v>
          </cell>
          <cell r="Q105">
            <v>880.33333333333337</v>
          </cell>
          <cell r="R105">
            <v>922.81818181818187</v>
          </cell>
          <cell r="S105">
            <v>991.33333333333337</v>
          </cell>
        </row>
        <row r="106">
          <cell r="A106" t="str">
            <v xml:space="preserve">EBIT </v>
          </cell>
          <cell r="B106">
            <v>4.3922756531616702E-2</v>
          </cell>
          <cell r="C106">
            <v>6.5215249729090763E-2</v>
          </cell>
          <cell r="D106">
            <v>9.2581127365412685E-2</v>
          </cell>
          <cell r="M106">
            <v>8317.6923076923085</v>
          </cell>
          <cell r="N106">
            <v>8944.4166666666661</v>
          </cell>
          <cell r="O106">
            <v>9394.8333333333339</v>
          </cell>
        </row>
        <row r="107">
          <cell r="A107" t="str">
            <v>EPS</v>
          </cell>
          <cell r="B107">
            <v>-3.1248592677164115</v>
          </cell>
          <cell r="C107">
            <v>2.2075513933929636</v>
          </cell>
          <cell r="D107">
            <v>5.0479832189025631E-2</v>
          </cell>
        </row>
        <row r="113">
          <cell r="A113" t="str">
            <v>FX effect on FV</v>
          </cell>
        </row>
        <row r="117">
          <cell r="B117" t="str">
            <v xml:space="preserve">FCF </v>
          </cell>
          <cell r="C117" t="str">
            <v>FV</v>
          </cell>
        </row>
        <row r="118">
          <cell r="A118" t="str">
            <v>FV at 1.95</v>
          </cell>
          <cell r="B118">
            <v>0</v>
          </cell>
          <cell r="C118">
            <v>716.82770788580683</v>
          </cell>
          <cell r="E118">
            <v>358.41385394290342</v>
          </cell>
        </row>
        <row r="120">
          <cell r="B120" t="str">
            <v>2008e</v>
          </cell>
          <cell r="C120" t="str">
            <v>2009e</v>
          </cell>
          <cell r="D120" t="str">
            <v>2010e</v>
          </cell>
          <cell r="E120" t="str">
            <v>2011e</v>
          </cell>
        </row>
        <row r="121">
          <cell r="A121" t="str">
            <v>EPS</v>
          </cell>
          <cell r="B121">
            <v>-73.626373626373635</v>
          </cell>
          <cell r="C121">
            <v>120.37940379403793</v>
          </cell>
          <cell r="D121">
            <v>41.535972564754076</v>
          </cell>
          <cell r="E121">
            <v>45.387995080711818</v>
          </cell>
        </row>
        <row r="124">
          <cell r="B124" t="str">
            <v xml:space="preserve">FCF </v>
          </cell>
          <cell r="C124" t="str">
            <v>FV</v>
          </cell>
        </row>
        <row r="125">
          <cell r="A125" t="str">
            <v>FV at 2.05</v>
          </cell>
          <cell r="B125">
            <v>492.53194569714242</v>
          </cell>
          <cell r="C125">
            <v>545.99807087321074</v>
          </cell>
          <cell r="E125">
            <v>519.26500828517658</v>
          </cell>
        </row>
        <row r="127">
          <cell r="B127" t="str">
            <v>2008e</v>
          </cell>
          <cell r="C127" t="str">
            <v>2009e</v>
          </cell>
          <cell r="D127" t="str">
            <v>2010e</v>
          </cell>
          <cell r="E127" t="str">
            <v>2011e</v>
          </cell>
        </row>
        <row r="128">
          <cell r="A128" t="str">
            <v>EPS</v>
          </cell>
          <cell r="B128">
            <v>35.623517741419313</v>
          </cell>
          <cell r="C128">
            <v>37.961719406606811</v>
          </cell>
          <cell r="D128">
            <v>41.175894534746114</v>
          </cell>
          <cell r="E128">
            <v>43.14640215682121</v>
          </cell>
        </row>
        <row r="131">
          <cell r="A131" t="str">
            <v>Cut to EPS</v>
          </cell>
          <cell r="B131">
            <v>-1.4838418081297249</v>
          </cell>
          <cell r="C131">
            <v>-0.68464938178662949</v>
          </cell>
          <cell r="D131">
            <v>-8.6690646149335526E-3</v>
          </cell>
          <cell r="E131">
            <v>-4.9387352754940217E-2</v>
          </cell>
        </row>
        <row r="133">
          <cell r="B133">
            <v>-492.53194569714242</v>
          </cell>
          <cell r="C133">
            <v>170.82963701259609</v>
          </cell>
        </row>
        <row r="140">
          <cell r="B140">
            <v>2004</v>
          </cell>
          <cell r="C140">
            <v>2005</v>
          </cell>
          <cell r="D140">
            <v>2006</v>
          </cell>
          <cell r="E140">
            <v>2007</v>
          </cell>
          <cell r="F140" t="str">
            <v>2008e</v>
          </cell>
          <cell r="G140" t="str">
            <v>2009e</v>
          </cell>
          <cell r="H140" t="str">
            <v>2010e</v>
          </cell>
          <cell r="I140" t="str">
            <v>2011e</v>
          </cell>
        </row>
        <row r="141">
          <cell r="A141" t="str">
            <v>Civil Aerospace</v>
          </cell>
          <cell r="B141">
            <v>194</v>
          </cell>
          <cell r="C141">
            <v>454</v>
          </cell>
          <cell r="D141">
            <v>519</v>
          </cell>
          <cell r="E141">
            <v>564</v>
          </cell>
          <cell r="F141">
            <v>566</v>
          </cell>
          <cell r="G141">
            <v>493</v>
          </cell>
          <cell r="H141">
            <v>472.81882601904039</v>
          </cell>
          <cell r="I141">
            <v>554.72726895351991</v>
          </cell>
        </row>
        <row r="142">
          <cell r="A142" t="str">
            <v xml:space="preserve">Non-civil divisions </v>
          </cell>
          <cell r="B142">
            <v>223</v>
          </cell>
          <cell r="C142">
            <v>225</v>
          </cell>
          <cell r="D142">
            <v>229</v>
          </cell>
          <cell r="E142">
            <v>268</v>
          </cell>
          <cell r="F142">
            <v>353</v>
          </cell>
          <cell r="G142">
            <v>490</v>
          </cell>
          <cell r="H142">
            <v>610.29326490920539</v>
          </cell>
          <cell r="I142">
            <v>633.65937543870211</v>
          </cell>
        </row>
        <row r="143">
          <cell r="A143" t="str">
            <v xml:space="preserve">Total </v>
          </cell>
          <cell r="B143">
            <v>417</v>
          </cell>
          <cell r="C143">
            <v>679</v>
          </cell>
          <cell r="D143">
            <v>748</v>
          </cell>
          <cell r="E143">
            <v>832</v>
          </cell>
          <cell r="F143">
            <v>919</v>
          </cell>
          <cell r="G143">
            <v>983</v>
          </cell>
          <cell r="H143">
            <v>1083.1120909282458</v>
          </cell>
          <cell r="I143">
            <v>1188.386644392222</v>
          </cell>
        </row>
        <row r="146">
          <cell r="B146">
            <v>1.1494845360824741</v>
          </cell>
          <cell r="C146">
            <v>0.49559471365638769</v>
          </cell>
          <cell r="D146">
            <v>0.44123314065510599</v>
          </cell>
          <cell r="E146">
            <v>0.47517730496453903</v>
          </cell>
          <cell r="F146">
            <v>0.62367491166077738</v>
          </cell>
          <cell r="G146">
            <v>0.99391480730223125</v>
          </cell>
          <cell r="H146">
            <v>1.2907550023920344</v>
          </cell>
          <cell r="I146">
            <v>1.1422899339960082</v>
          </cell>
        </row>
      </sheetData>
      <sheetData sheetId="22"/>
      <sheetData sheetId="23"/>
      <sheetData sheetId="24"/>
      <sheetData sheetId="25"/>
      <sheetData sheetId="26"/>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Cache"/>
      <sheetName val="Model"/>
      <sheetName val="Comm.Aero.Prod"/>
      <sheetName val="BizJet.Prod"/>
      <sheetName val="10K"/>
      <sheetName val="10Q"/>
      <sheetName val="__FDSCACHE__"/>
      <sheetName val="Notes"/>
      <sheetName val="Guidance Tracker"/>
      <sheetName val="M&amp;A"/>
      <sheetName val="Valuation"/>
      <sheetName val="DCF"/>
      <sheetName val="ROIC"/>
      <sheetName val="Other ---&gt;"/>
      <sheetName val="Bull Bear"/>
      <sheetName val="Revenue Data"/>
      <sheetName val="EPS walk"/>
      <sheetName val="MWA RR"/>
      <sheetName val="mwareDates"/>
      <sheetName val="mwareSettings"/>
      <sheetName val="BEAV.Notes"/>
      <sheetName val="Revenue Build-up"/>
      <sheetName val="Quarterly Analysis"/>
      <sheetName val="Variance"/>
      <sheetName val="Working Cap"/>
      <sheetName val="Output"/>
      <sheetName val="BEAV.10Q"/>
      <sheetName val="BEAV.10K"/>
      <sheetName val="#REF"/>
      <sheetName val="Monthly Note"/>
      <sheetName val="Boeing Del Schedule- Reported"/>
      <sheetName val="787 vs A350 Orders"/>
      <sheetName val="Paris 05 Orders"/>
      <sheetName val="Boeing Del Schedule"/>
      <sheetName val="New Tables 2006"/>
      <sheetName val="Graphs"/>
      <sheetName val="Main"/>
      <sheetName val="F'boro 08 Order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are_Cached"/>
      <sheetName val="AFOSHEET"/>
      <sheetName val="Main"/>
      <sheetName val="Aero"/>
      <sheetName val="IS&amp;GS"/>
      <sheetName val="Space"/>
      <sheetName val="ES"/>
      <sheetName val="RiskRetire"/>
      <sheetName val="Guidance History"/>
      <sheetName val="__FDSCACHE__"/>
      <sheetName val="BBB Cases"/>
      <sheetName val="QTR Analysis"/>
      <sheetName val="QTR Variance Analysis"/>
      <sheetName val="Valuation"/>
      <sheetName val="DCF"/>
      <sheetName val="RI"/>
      <sheetName val="DDM"/>
      <sheetName val="Pension"/>
      <sheetName val="Cash Flow"/>
      <sheetName val="ES (New)"/>
      <sheetName val="Space (New)"/>
      <sheetName val="PMV"/>
      <sheetName val="Cases"/>
      <sheetName val="MW-Cache"/>
      <sheetName val="mStartup"/>
      <sheetName val="HV"/>
      <sheetName val="Output"/>
      <sheetName val="Chart"/>
      <sheetName val="Charts"/>
      <sheetName val="Walk"/>
      <sheetName val="Sheet1"/>
      <sheetName val="Notes"/>
      <sheetName val="Dividend"/>
      <sheetName val="mwareDates"/>
      <sheetName val="MWA RR"/>
      <sheetName val="mwareSettings"/>
      <sheetName val="LinkingMetadata"/>
      <sheetName val="F35 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1">
          <cell r="A1" t="str">
            <v>Pension Sensitivity</v>
          </cell>
        </row>
        <row r="4">
          <cell r="A4" t="str">
            <v>LMT Actuarial Sensitivity</v>
          </cell>
          <cell r="D4" t="str">
            <v>Assumption</v>
          </cell>
          <cell r="E4" t="str">
            <v xml:space="preserve">+ / - </v>
          </cell>
          <cell r="F4" t="str">
            <v xml:space="preserve">FAS </v>
          </cell>
        </row>
        <row r="5">
          <cell r="A5" t="str">
            <v>Discount Rate</v>
          </cell>
          <cell r="D5">
            <v>6.1249999999999999E-2</v>
          </cell>
          <cell r="E5">
            <v>2.5000000000000001E-3</v>
          </cell>
          <cell r="F5">
            <v>-95</v>
          </cell>
          <cell r="G5">
            <v>-0.18167107972933216</v>
          </cell>
          <cell r="K5" t="str">
            <v>2010 FAS/CAS</v>
          </cell>
          <cell r="M5">
            <v>-454</v>
          </cell>
        </row>
        <row r="6">
          <cell r="A6" t="str">
            <v>Asset Returns</v>
          </cell>
          <cell r="D6">
            <v>8.5000000000000006E-2</v>
          </cell>
          <cell r="E6">
            <v>0.01</v>
          </cell>
          <cell r="F6">
            <v>-10</v>
          </cell>
          <cell r="K6" t="str">
            <v>2011 FAS/CAS</v>
          </cell>
          <cell r="M6">
            <v>-922</v>
          </cell>
        </row>
        <row r="7">
          <cell r="M7">
            <v>-468</v>
          </cell>
          <cell r="N7">
            <v>4.9263157894736844</v>
          </cell>
          <cell r="O7">
            <v>123.15789473684211</v>
          </cell>
        </row>
        <row r="8">
          <cell r="A8" t="str">
            <v>Tax Rate</v>
          </cell>
          <cell r="D8">
            <v>0.35</v>
          </cell>
          <cell r="M8">
            <v>-0.8949691085613416</v>
          </cell>
        </row>
        <row r="9">
          <cell r="A9" t="str">
            <v>Diluted Avg. Shares (2011)</v>
          </cell>
          <cell r="D9">
            <v>339.9</v>
          </cell>
        </row>
        <row r="10">
          <cell r="A10" t="str">
            <v>2011 EPS</v>
          </cell>
          <cell r="D10">
            <v>7.846425419240953</v>
          </cell>
          <cell r="M10">
            <v>6.9</v>
          </cell>
        </row>
        <row r="12">
          <cell r="A12" t="str">
            <v>Plan Assumptions</v>
          </cell>
        </row>
        <row r="13">
          <cell r="A13" t="str">
            <v>Today (Assumes 5% disc, 5% returns)</v>
          </cell>
        </row>
        <row r="23">
          <cell r="I23" t="str">
            <v>Incremental EBIT Impact from Increased FAS Expense</v>
          </cell>
        </row>
        <row r="25">
          <cell r="L25" t="str">
            <v>Asset Returns</v>
          </cell>
        </row>
        <row r="26">
          <cell r="L26">
            <v>2.5000000000000001E-2</v>
          </cell>
          <cell r="M26">
            <v>0.05</v>
          </cell>
          <cell r="N26">
            <v>7.5000000000000011E-2</v>
          </cell>
          <cell r="O26">
            <v>8.5000000000000006E-2</v>
          </cell>
          <cell r="P26">
            <v>0.1</v>
          </cell>
        </row>
        <row r="27">
          <cell r="J27" t="str">
            <v>Discount Rate</v>
          </cell>
          <cell r="K27">
            <v>6.25E-2</v>
          </cell>
          <cell r="L27">
            <v>-12.499999999999957</v>
          </cell>
          <cell r="M27">
            <v>12.500000000000036</v>
          </cell>
          <cell r="N27">
            <v>37.50000000000005</v>
          </cell>
          <cell r="O27">
            <v>47.500000000000043</v>
          </cell>
          <cell r="P27">
            <v>62.500000000000043</v>
          </cell>
          <cell r="R27">
            <v>1.2500000000000011E-3</v>
          </cell>
          <cell r="S27">
            <v>47.500000000000043</v>
          </cell>
        </row>
        <row r="28">
          <cell r="K28">
            <v>6.1249999999999999E-2</v>
          </cell>
          <cell r="L28">
            <v>-60</v>
          </cell>
          <cell r="M28">
            <v>-35.000000000000007</v>
          </cell>
          <cell r="N28">
            <v>-9.9999999999999947</v>
          </cell>
          <cell r="O28">
            <v>0</v>
          </cell>
          <cell r="P28">
            <v>15</v>
          </cell>
          <cell r="R28">
            <v>0</v>
          </cell>
          <cell r="S28">
            <v>0</v>
          </cell>
        </row>
        <row r="29">
          <cell r="K29">
            <v>0.06</v>
          </cell>
          <cell r="L29">
            <v>-107.50000000000004</v>
          </cell>
          <cell r="M29">
            <v>-82.500000000000057</v>
          </cell>
          <cell r="N29">
            <v>-57.500000000000036</v>
          </cell>
          <cell r="O29">
            <v>-47.500000000000043</v>
          </cell>
          <cell r="P29">
            <v>-32.500000000000043</v>
          </cell>
          <cell r="R29">
            <v>-1.2500000000000011E-3</v>
          </cell>
          <cell r="S29">
            <v>-47.500000000000043</v>
          </cell>
        </row>
        <row r="30">
          <cell r="K30">
            <v>5.7499999999999996E-2</v>
          </cell>
          <cell r="L30">
            <v>-202.50000000000011</v>
          </cell>
          <cell r="M30">
            <v>-177.50000000000011</v>
          </cell>
          <cell r="N30">
            <v>-152.50000000000011</v>
          </cell>
          <cell r="O30">
            <v>-142.50000000000011</v>
          </cell>
          <cell r="P30">
            <v>-127.50000000000011</v>
          </cell>
          <cell r="R30">
            <v>-3.7500000000000033E-3</v>
          </cell>
          <cell r="S30">
            <v>-142.50000000000011</v>
          </cell>
        </row>
        <row r="31">
          <cell r="K31">
            <v>5.4999999999999993E-2</v>
          </cell>
          <cell r="L31">
            <v>-297.50000000000023</v>
          </cell>
          <cell r="M31">
            <v>-272.50000000000023</v>
          </cell>
          <cell r="N31">
            <v>-247.5000000000002</v>
          </cell>
          <cell r="O31">
            <v>-237.5000000000002</v>
          </cell>
          <cell r="P31">
            <v>-222.5000000000002</v>
          </cell>
          <cell r="R31">
            <v>-6.2500000000000056E-3</v>
          </cell>
          <cell r="S31">
            <v>-237.5000000000002</v>
          </cell>
        </row>
        <row r="32">
          <cell r="K32">
            <v>5.2499999999999991E-2</v>
          </cell>
          <cell r="L32">
            <v>-392.50000000000028</v>
          </cell>
          <cell r="M32">
            <v>-367.50000000000028</v>
          </cell>
          <cell r="N32">
            <v>-342.50000000000028</v>
          </cell>
          <cell r="O32">
            <v>-332.50000000000028</v>
          </cell>
          <cell r="P32">
            <v>-317.50000000000028</v>
          </cell>
          <cell r="R32">
            <v>-8.7500000000000078E-3</v>
          </cell>
          <cell r="S32">
            <v>-332.50000000000028</v>
          </cell>
        </row>
        <row r="33">
          <cell r="K33">
            <v>4.9999999999999989E-2</v>
          </cell>
          <cell r="L33">
            <v>-487.50000000000034</v>
          </cell>
          <cell r="M33">
            <v>-462.50000000000034</v>
          </cell>
          <cell r="N33">
            <v>-437.50000000000034</v>
          </cell>
          <cell r="O33">
            <v>-427.50000000000034</v>
          </cell>
          <cell r="P33">
            <v>-412.50000000000034</v>
          </cell>
          <cell r="R33">
            <v>-1.125000000000001E-2</v>
          </cell>
          <cell r="S33">
            <v>-427.50000000000034</v>
          </cell>
        </row>
        <row r="34">
          <cell r="K34">
            <v>4.7499999999999987E-2</v>
          </cell>
          <cell r="L34">
            <v>-582.50000000000045</v>
          </cell>
          <cell r="M34">
            <v>-557.50000000000045</v>
          </cell>
          <cell r="N34">
            <v>-532.50000000000045</v>
          </cell>
          <cell r="O34">
            <v>-522.50000000000045</v>
          </cell>
          <cell r="P34">
            <v>-507.50000000000045</v>
          </cell>
          <cell r="R34">
            <v>-1.3750000000000012E-2</v>
          </cell>
          <cell r="S34">
            <v>-522.50000000000045</v>
          </cell>
        </row>
        <row r="35">
          <cell r="K35">
            <v>4.4999999999999984E-2</v>
          </cell>
          <cell r="L35">
            <v>-677.50000000000045</v>
          </cell>
          <cell r="M35">
            <v>-652.50000000000045</v>
          </cell>
          <cell r="N35">
            <v>-627.50000000000045</v>
          </cell>
          <cell r="O35">
            <v>-617.50000000000045</v>
          </cell>
          <cell r="P35">
            <v>-602.50000000000045</v>
          </cell>
          <cell r="R35">
            <v>-1.6250000000000014E-2</v>
          </cell>
          <cell r="S35">
            <v>-617.50000000000045</v>
          </cell>
        </row>
        <row r="37">
          <cell r="L37" t="str">
            <v xml:space="preserve"> LMT assumptions</v>
          </cell>
        </row>
        <row r="38">
          <cell r="L38" t="str">
            <v xml:space="preserve"> MS assumptions</v>
          </cell>
        </row>
        <row r="42">
          <cell r="I42" t="str">
            <v>Delta vs. Assumption -----------&gt;</v>
          </cell>
          <cell r="L42">
            <v>-6.0000000000000005E-2</v>
          </cell>
          <cell r="M42">
            <v>-3.5000000000000003E-2</v>
          </cell>
          <cell r="N42">
            <v>-9.999999999999995E-3</v>
          </cell>
          <cell r="O42">
            <v>0</v>
          </cell>
          <cell r="P42">
            <v>1.4999999999999999E-2</v>
          </cell>
        </row>
        <row r="43">
          <cell r="I43" t="str">
            <v>Impact -----------------------------&gt;</v>
          </cell>
          <cell r="L43">
            <v>-60</v>
          </cell>
          <cell r="M43">
            <v>-35.000000000000007</v>
          </cell>
          <cell r="N43">
            <v>-9.9999999999999947</v>
          </cell>
          <cell r="O43">
            <v>0</v>
          </cell>
          <cell r="P43">
            <v>15</v>
          </cell>
        </row>
        <row r="46">
          <cell r="I46" t="str">
            <v>Incremental EPS Impact from Increased FAS Expense</v>
          </cell>
        </row>
        <row r="47">
          <cell r="I47" t="str">
            <v>Asset Returns ------------------&gt;</v>
          </cell>
          <cell r="L47">
            <v>2.5000000000000001E-2</v>
          </cell>
          <cell r="M47">
            <v>0.05</v>
          </cell>
          <cell r="N47">
            <v>7.5000000000000011E-2</v>
          </cell>
          <cell r="O47">
            <v>8.5000000000000006E-2</v>
          </cell>
          <cell r="P47">
            <v>0.1</v>
          </cell>
        </row>
        <row r="48">
          <cell r="I48" t="str">
            <v>Delta vs. Assumption -----------&gt;</v>
          </cell>
          <cell r="L48">
            <v>-6.0000000000000005E-2</v>
          </cell>
          <cell r="M48">
            <v>-3.5000000000000003E-2</v>
          </cell>
          <cell r="N48">
            <v>-9.999999999999995E-3</v>
          </cell>
          <cell r="O48">
            <v>0</v>
          </cell>
          <cell r="P48">
            <v>1.4999999999999999E-2</v>
          </cell>
        </row>
        <row r="49">
          <cell r="I49" t="str">
            <v>Impact -----------------------------&gt;</v>
          </cell>
          <cell r="L49">
            <v>-60</v>
          </cell>
          <cell r="M49">
            <v>-35.000000000000007</v>
          </cell>
          <cell r="N49">
            <v>-9.9999999999999947</v>
          </cell>
          <cell r="O49">
            <v>0</v>
          </cell>
          <cell r="P49">
            <v>15</v>
          </cell>
        </row>
        <row r="50">
          <cell r="H50" t="str">
            <v>Discount Rate</v>
          </cell>
          <cell r="I50">
            <v>6.25E-2</v>
          </cell>
          <cell r="J50">
            <v>1.2500000000000011E-3</v>
          </cell>
          <cell r="K50">
            <v>47.500000000000043</v>
          </cell>
          <cell r="L50">
            <v>-2.3904089438069945E-2</v>
          </cell>
          <cell r="M50">
            <v>2.3904089438070091E-2</v>
          </cell>
          <cell r="N50">
            <v>7.1712268314210167E-2</v>
          </cell>
          <cell r="O50">
            <v>9.0835539864666165E-2</v>
          </cell>
          <cell r="P50">
            <v>0.1195204471903502</v>
          </cell>
        </row>
        <row r="51">
          <cell r="I51">
            <v>6.1249999999999999E-2</v>
          </cell>
          <cell r="J51">
            <v>0</v>
          </cell>
          <cell r="K51">
            <v>0</v>
          </cell>
          <cell r="L51">
            <v>-0.11473962930273611</v>
          </cell>
          <cell r="M51">
            <v>-6.6931450426596081E-2</v>
          </cell>
          <cell r="N51">
            <v>-1.9123271550456008E-2</v>
          </cell>
          <cell r="O51">
            <v>0</v>
          </cell>
          <cell r="P51">
            <v>2.8684907325684027E-2</v>
          </cell>
        </row>
        <row r="52">
          <cell r="I52">
            <v>0.06</v>
          </cell>
          <cell r="J52">
            <v>-1.2500000000000011E-3</v>
          </cell>
          <cell r="K52">
            <v>-47.500000000000043</v>
          </cell>
          <cell r="L52">
            <v>-0.20557516916740226</v>
          </cell>
          <cell r="M52">
            <v>-0.15776699029126226</v>
          </cell>
          <cell r="N52">
            <v>-0.10995881141512216</v>
          </cell>
          <cell r="O52">
            <v>-9.0835539864666165E-2</v>
          </cell>
          <cell r="P52">
            <v>-6.2150632538982141E-2</v>
          </cell>
        </row>
        <row r="53">
          <cell r="I53">
            <v>5.7499999999999996E-2</v>
          </cell>
          <cell r="J53">
            <v>-3.7500000000000033E-3</v>
          </cell>
          <cell r="K53">
            <v>-142.50000000000011</v>
          </cell>
          <cell r="L53">
            <v>-0.38724624889673459</v>
          </cell>
          <cell r="M53">
            <v>-0.33943807002059451</v>
          </cell>
          <cell r="N53">
            <v>-0.29162989114445448</v>
          </cell>
          <cell r="O53">
            <v>-0.27250661959399847</v>
          </cell>
          <cell r="P53">
            <v>-0.24382171226831442</v>
          </cell>
        </row>
        <row r="54">
          <cell r="I54">
            <v>5.4999999999999993E-2</v>
          </cell>
          <cell r="J54">
            <v>-6.2500000000000056E-3</v>
          </cell>
          <cell r="K54">
            <v>-237.5000000000002</v>
          </cell>
          <cell r="L54">
            <v>-0.56891732862606692</v>
          </cell>
          <cell r="M54">
            <v>-0.52110914974992695</v>
          </cell>
          <cell r="N54">
            <v>-0.47330097087378686</v>
          </cell>
          <cell r="O54">
            <v>-0.45417769932333085</v>
          </cell>
          <cell r="P54">
            <v>-0.42549279199764684</v>
          </cell>
        </row>
        <row r="55">
          <cell r="I55">
            <v>5.2499999999999991E-2</v>
          </cell>
          <cell r="J55">
            <v>-8.7500000000000078E-3</v>
          </cell>
          <cell r="K55">
            <v>-332.50000000000028</v>
          </cell>
          <cell r="L55">
            <v>-0.75058840835539931</v>
          </cell>
          <cell r="M55">
            <v>-0.70278022947925922</v>
          </cell>
          <cell r="N55">
            <v>-0.65497205060311914</v>
          </cell>
          <cell r="O55">
            <v>-0.63584877905266313</v>
          </cell>
          <cell r="P55">
            <v>-0.60716387172697917</v>
          </cell>
        </row>
        <row r="56">
          <cell r="I56">
            <v>4.9999999999999989E-2</v>
          </cell>
          <cell r="J56">
            <v>-1.125000000000001E-2</v>
          </cell>
          <cell r="K56">
            <v>-427.50000000000034</v>
          </cell>
          <cell r="L56">
            <v>-0.93225948808473158</v>
          </cell>
          <cell r="M56">
            <v>-0.8844513092085915</v>
          </cell>
          <cell r="N56">
            <v>-0.83664313033245141</v>
          </cell>
          <cell r="O56">
            <v>-0.8175198587819954</v>
          </cell>
          <cell r="P56">
            <v>-0.78883495145631144</v>
          </cell>
        </row>
        <row r="57">
          <cell r="I57">
            <v>4.7499999999999987E-2</v>
          </cell>
          <cell r="J57">
            <v>-1.3750000000000012E-2</v>
          </cell>
          <cell r="K57">
            <v>-522.50000000000045</v>
          </cell>
          <cell r="L57">
            <v>-1.1139305678140639</v>
          </cell>
          <cell r="M57">
            <v>-1.0661223889379239</v>
          </cell>
          <cell r="N57">
            <v>-1.0183142100617837</v>
          </cell>
          <cell r="O57">
            <v>-0.99919093851132779</v>
          </cell>
          <cell r="P57">
            <v>-0.97050603118564371</v>
          </cell>
        </row>
        <row r="58">
          <cell r="I58">
            <v>4.4999999999999984E-2</v>
          </cell>
          <cell r="J58">
            <v>-1.6250000000000014E-2</v>
          </cell>
          <cell r="K58">
            <v>-617.50000000000045</v>
          </cell>
          <cell r="L58">
            <v>-1.295601647543396</v>
          </cell>
          <cell r="M58">
            <v>-1.247793468667256</v>
          </cell>
          <cell r="N58">
            <v>-1.1999852897911159</v>
          </cell>
          <cell r="O58">
            <v>-1.1808620182406599</v>
          </cell>
          <cell r="P58">
            <v>-1.1521771109149759</v>
          </cell>
        </row>
        <row r="61">
          <cell r="I61" t="str">
            <v>Incremental Pro Forma EPS from Increased FAS Expense</v>
          </cell>
        </row>
        <row r="62">
          <cell r="I62" t="str">
            <v>Asset Returns ------------------&gt;</v>
          </cell>
          <cell r="L62">
            <v>2.5000000000000001E-2</v>
          </cell>
          <cell r="M62">
            <v>0.05</v>
          </cell>
          <cell r="N62">
            <v>7.5000000000000011E-2</v>
          </cell>
          <cell r="O62">
            <v>8.5000000000000006E-2</v>
          </cell>
          <cell r="P62">
            <v>0.1</v>
          </cell>
        </row>
        <row r="63">
          <cell r="I63" t="str">
            <v>Delta vs. Assumption -----------&gt;</v>
          </cell>
          <cell r="L63">
            <v>-6.0000000000000005E-2</v>
          </cell>
          <cell r="M63">
            <v>-3.5000000000000003E-2</v>
          </cell>
          <cell r="N63">
            <v>-9.999999999999995E-3</v>
          </cell>
          <cell r="O63">
            <v>0</v>
          </cell>
          <cell r="P63">
            <v>1.4999999999999999E-2</v>
          </cell>
        </row>
        <row r="64">
          <cell r="I64" t="str">
            <v>Impact -----------------------------&gt;</v>
          </cell>
          <cell r="L64">
            <v>-60</v>
          </cell>
          <cell r="M64">
            <v>-35.000000000000007</v>
          </cell>
          <cell r="N64">
            <v>-9.9999999999999947</v>
          </cell>
          <cell r="O64">
            <v>0</v>
          </cell>
          <cell r="P64">
            <v>15</v>
          </cell>
        </row>
        <row r="65">
          <cell r="H65" t="str">
            <v>Discount Rate</v>
          </cell>
          <cell r="I65">
            <v>6.25E-2</v>
          </cell>
          <cell r="J65">
            <v>1.2500000000000011E-3</v>
          </cell>
          <cell r="K65">
            <v>47.500000000000043</v>
          </cell>
          <cell r="L65">
            <v>7.8225213298028828</v>
          </cell>
          <cell r="M65">
            <v>7.8703295086790233</v>
          </cell>
          <cell r="N65">
            <v>7.9181376875551628</v>
          </cell>
          <cell r="O65">
            <v>7.9372609591056191</v>
          </cell>
          <cell r="P65">
            <v>7.9659458664313032</v>
          </cell>
        </row>
        <row r="66">
          <cell r="I66">
            <v>6.1249999999999999E-2</v>
          </cell>
          <cell r="J66">
            <v>0</v>
          </cell>
          <cell r="K66">
            <v>0</v>
          </cell>
          <cell r="L66">
            <v>7.7316857899382168</v>
          </cell>
          <cell r="M66">
            <v>7.7794939688143572</v>
          </cell>
          <cell r="N66">
            <v>7.8273021476904967</v>
          </cell>
          <cell r="O66">
            <v>7.846425419240953</v>
          </cell>
          <cell r="P66">
            <v>7.8751103265666371</v>
          </cell>
        </row>
        <row r="67">
          <cell r="I67">
            <v>0.06</v>
          </cell>
          <cell r="J67">
            <v>-1.2500000000000011E-3</v>
          </cell>
          <cell r="K67">
            <v>-47.500000000000043</v>
          </cell>
          <cell r="L67">
            <v>7.6408502500735507</v>
          </cell>
          <cell r="M67">
            <v>7.6886584289496911</v>
          </cell>
          <cell r="N67">
            <v>7.7364666078258306</v>
          </cell>
          <cell r="O67">
            <v>7.755589879376287</v>
          </cell>
          <cell r="P67">
            <v>7.784274786701971</v>
          </cell>
        </row>
        <row r="68">
          <cell r="I68">
            <v>5.7499999999999996E-2</v>
          </cell>
          <cell r="J68">
            <v>-3.7500000000000033E-3</v>
          </cell>
          <cell r="K68">
            <v>-142.50000000000011</v>
          </cell>
          <cell r="L68">
            <v>7.4591791703442185</v>
          </cell>
          <cell r="M68">
            <v>7.5069873492203589</v>
          </cell>
          <cell r="N68">
            <v>7.5547955280964985</v>
          </cell>
          <cell r="O68">
            <v>7.5739187996469548</v>
          </cell>
          <cell r="P68">
            <v>7.6026037069726389</v>
          </cell>
        </row>
        <row r="69">
          <cell r="I69">
            <v>5.4999999999999993E-2</v>
          </cell>
          <cell r="J69">
            <v>-6.2500000000000056E-3</v>
          </cell>
          <cell r="K69">
            <v>-237.5000000000002</v>
          </cell>
          <cell r="L69">
            <v>7.2775080906148863</v>
          </cell>
          <cell r="M69">
            <v>7.3253162694910259</v>
          </cell>
          <cell r="N69">
            <v>7.3731244483671663</v>
          </cell>
          <cell r="O69">
            <v>7.3922477199176218</v>
          </cell>
          <cell r="P69">
            <v>7.4209326272433058</v>
          </cell>
        </row>
        <row r="70">
          <cell r="I70">
            <v>5.2499999999999991E-2</v>
          </cell>
          <cell r="J70">
            <v>-8.7500000000000078E-3</v>
          </cell>
          <cell r="K70">
            <v>-332.50000000000028</v>
          </cell>
          <cell r="L70">
            <v>7.0958370108855533</v>
          </cell>
          <cell r="M70">
            <v>7.1436451897616937</v>
          </cell>
          <cell r="N70">
            <v>7.1914533686378341</v>
          </cell>
          <cell r="O70">
            <v>7.2105766401882896</v>
          </cell>
          <cell r="P70">
            <v>7.2392615475139737</v>
          </cell>
        </row>
        <row r="71">
          <cell r="I71">
            <v>4.9999999999999989E-2</v>
          </cell>
          <cell r="J71">
            <v>-1.125000000000001E-2</v>
          </cell>
          <cell r="K71">
            <v>-427.50000000000034</v>
          </cell>
          <cell r="L71">
            <v>6.9141659311562211</v>
          </cell>
          <cell r="M71">
            <v>6.9619741100323616</v>
          </cell>
          <cell r="N71">
            <v>7.009782288908502</v>
          </cell>
          <cell r="O71">
            <v>7.0289055604589574</v>
          </cell>
          <cell r="P71">
            <v>7.0575904677846415</v>
          </cell>
        </row>
        <row r="72">
          <cell r="I72">
            <v>4.7499999999999987E-2</v>
          </cell>
          <cell r="J72">
            <v>-1.3750000000000012E-2</v>
          </cell>
          <cell r="K72">
            <v>-522.50000000000045</v>
          </cell>
          <cell r="L72">
            <v>6.732494851426889</v>
          </cell>
          <cell r="M72">
            <v>6.7803030303030294</v>
          </cell>
          <cell r="N72">
            <v>6.8281112091791698</v>
          </cell>
          <cell r="O72">
            <v>6.8472344807296253</v>
          </cell>
          <cell r="P72">
            <v>6.8759193880553093</v>
          </cell>
        </row>
        <row r="73">
          <cell r="I73">
            <v>4.4999999999999984E-2</v>
          </cell>
          <cell r="J73">
            <v>-1.6250000000000014E-2</v>
          </cell>
          <cell r="K73">
            <v>-617.50000000000045</v>
          </cell>
          <cell r="L73">
            <v>6.5508237716975568</v>
          </cell>
          <cell r="M73">
            <v>6.5986319505736972</v>
          </cell>
          <cell r="N73">
            <v>6.6464401294498376</v>
          </cell>
          <cell r="O73">
            <v>6.6655634010002931</v>
          </cell>
          <cell r="P73">
            <v>6.6942483083259772</v>
          </cell>
        </row>
      </sheetData>
      <sheetData sheetId="18"/>
      <sheetData sheetId="19"/>
      <sheetData sheetId="20"/>
      <sheetData sheetId="21"/>
      <sheetData sheetId="22"/>
      <sheetData sheetId="23"/>
      <sheetData sheetId="24" refreshError="1"/>
      <sheetData sheetId="25"/>
      <sheetData sheetId="26"/>
      <sheetData sheetId="27"/>
      <sheetData sheetId="28">
        <row r="3">
          <cell r="B3" t="str">
            <v>2010E</v>
          </cell>
          <cell r="C3" t="str">
            <v>2011E</v>
          </cell>
          <cell r="D3" t="str">
            <v>2012E</v>
          </cell>
        </row>
        <row r="4">
          <cell r="A4" t="str">
            <v>Core</v>
          </cell>
          <cell r="B4">
            <v>6.2997282608695651</v>
          </cell>
          <cell r="C4">
            <v>5.3799306350114415</v>
          </cell>
          <cell r="D4">
            <v>7.1174413615560645</v>
          </cell>
        </row>
        <row r="5">
          <cell r="A5" t="str">
            <v>F-35</v>
          </cell>
          <cell r="B5">
            <v>0.53165760869565215</v>
          </cell>
          <cell r="C5">
            <v>0.72065217391304348</v>
          </cell>
          <cell r="D5">
            <v>0.92907608695652188</v>
          </cell>
        </row>
        <row r="6">
          <cell r="A6" t="str">
            <v>Total</v>
          </cell>
          <cell r="B6">
            <v>6.8313858695652172</v>
          </cell>
          <cell r="C6">
            <v>6.1005828089244849</v>
          </cell>
          <cell r="D6">
            <v>8.0465174485125868</v>
          </cell>
        </row>
        <row r="8">
          <cell r="B8">
            <v>10.5</v>
          </cell>
          <cell r="C8">
            <v>9.5</v>
          </cell>
          <cell r="D8">
            <v>8.5</v>
          </cell>
        </row>
        <row r="9">
          <cell r="B9">
            <v>66.147146739130434</v>
          </cell>
          <cell r="C9">
            <v>51.109341032608697</v>
          </cell>
          <cell r="D9">
            <v>60.498251573226547</v>
          </cell>
        </row>
        <row r="10">
          <cell r="B10">
            <v>5.582404891304348</v>
          </cell>
          <cell r="C10">
            <v>6.8461956521739129</v>
          </cell>
          <cell r="D10">
            <v>7.8971467391304362</v>
          </cell>
        </row>
        <row r="11">
          <cell r="B11">
            <v>71.729551630434784</v>
          </cell>
          <cell r="C11">
            <v>57.955536684782608</v>
          </cell>
          <cell r="D11">
            <v>68.395398312356988</v>
          </cell>
        </row>
        <row r="23">
          <cell r="A23" t="str">
            <v>CAPM Implied Cost of Equity</v>
          </cell>
        </row>
        <row r="24">
          <cell r="A24" t="str">
            <v>Equity Risk Premium</v>
          </cell>
          <cell r="E24">
            <v>0.04</v>
          </cell>
          <cell r="F24">
            <v>0.06</v>
          </cell>
          <cell r="H24">
            <v>0.04</v>
          </cell>
          <cell r="I24">
            <v>0.06</v>
          </cell>
        </row>
        <row r="25">
          <cell r="A25" t="str">
            <v>Risk-free Rate (normalized)</v>
          </cell>
          <cell r="E25">
            <v>0.05</v>
          </cell>
          <cell r="F25">
            <v>0.05</v>
          </cell>
          <cell r="H25">
            <v>3.2000000000000001E-2</v>
          </cell>
          <cell r="I25">
            <v>3.2000000000000001E-2</v>
          </cell>
        </row>
        <row r="26">
          <cell r="A26" t="str">
            <v>Beta</v>
          </cell>
          <cell r="E26">
            <v>0.8</v>
          </cell>
          <cell r="F26">
            <v>0.8</v>
          </cell>
          <cell r="H26">
            <v>0.8</v>
          </cell>
          <cell r="I26">
            <v>0.8</v>
          </cell>
        </row>
        <row r="27">
          <cell r="A27" t="str">
            <v>Cost of Equity</v>
          </cell>
          <cell r="E27">
            <v>8.0000000000000016E-2</v>
          </cell>
          <cell r="F27">
            <v>0.1</v>
          </cell>
          <cell r="H27">
            <v>6.5600000000000006E-2</v>
          </cell>
          <cell r="I27">
            <v>8.5599999999999996E-2</v>
          </cell>
        </row>
        <row r="29">
          <cell r="A29" t="str">
            <v>Market Implied Cost of Equity</v>
          </cell>
        </row>
        <row r="30">
          <cell r="E30" t="str">
            <v xml:space="preserve">LTM </v>
          </cell>
          <cell r="F30" t="str">
            <v xml:space="preserve">NTM </v>
          </cell>
        </row>
        <row r="31">
          <cell r="A31" t="str">
            <v>Stock Price</v>
          </cell>
          <cell r="E31">
            <v>72</v>
          </cell>
          <cell r="F31">
            <v>72</v>
          </cell>
        </row>
        <row r="32">
          <cell r="A32" t="str">
            <v>EPS</v>
          </cell>
          <cell r="E32">
            <v>7.2647176583948374</v>
          </cell>
          <cell r="F32">
            <v>7.51</v>
          </cell>
        </row>
        <row r="33">
          <cell r="A33" t="str">
            <v>P/E</v>
          </cell>
          <cell r="E33">
            <v>9.9109151085588962</v>
          </cell>
          <cell r="F33">
            <v>9.5872170439414113</v>
          </cell>
        </row>
        <row r="34">
          <cell r="A34" t="str">
            <v>Cost of Equity (Yield / Inverse P/E)</v>
          </cell>
          <cell r="E34">
            <v>0.10089885636659496</v>
          </cell>
          <cell r="F34">
            <v>0.10430555555555555</v>
          </cell>
        </row>
        <row r="37">
          <cell r="C37" t="str">
            <v xml:space="preserve">BEAR </v>
          </cell>
          <cell r="D37" t="str">
            <v xml:space="preserve">BASE </v>
          </cell>
          <cell r="E37" t="str">
            <v xml:space="preserve">PoR </v>
          </cell>
          <cell r="F37" t="str">
            <v xml:space="preserve">BULL </v>
          </cell>
        </row>
        <row r="38">
          <cell r="A38" t="str">
            <v>Air Force</v>
          </cell>
          <cell r="C38">
            <v>800</v>
          </cell>
          <cell r="D38">
            <v>1250</v>
          </cell>
          <cell r="E38">
            <v>1763</v>
          </cell>
          <cell r="F38">
            <v>1763</v>
          </cell>
        </row>
        <row r="39">
          <cell r="A39" t="str">
            <v>Navy</v>
          </cell>
          <cell r="C39">
            <v>0</v>
          </cell>
          <cell r="D39">
            <v>250</v>
          </cell>
          <cell r="E39">
            <v>340</v>
          </cell>
          <cell r="F39">
            <v>340</v>
          </cell>
        </row>
        <row r="40">
          <cell r="A40" t="str">
            <v>Marines</v>
          </cell>
          <cell r="C40">
            <v>200</v>
          </cell>
          <cell r="D40">
            <v>300</v>
          </cell>
          <cell r="E40">
            <v>340</v>
          </cell>
          <cell r="F40">
            <v>340</v>
          </cell>
        </row>
        <row r="41">
          <cell r="A41" t="str">
            <v>Total U.S.</v>
          </cell>
          <cell r="C41">
            <v>1000</v>
          </cell>
          <cell r="D41">
            <v>1800</v>
          </cell>
          <cell r="E41">
            <v>2443</v>
          </cell>
          <cell r="F41">
            <v>2443</v>
          </cell>
        </row>
        <row r="42">
          <cell r="A42" t="str">
            <v>International</v>
          </cell>
          <cell r="C42">
            <v>500</v>
          </cell>
          <cell r="D42">
            <v>1000</v>
          </cell>
          <cell r="E42">
            <v>730</v>
          </cell>
          <cell r="F42">
            <v>1500</v>
          </cell>
        </row>
        <row r="43">
          <cell r="A43" t="str">
            <v>Total</v>
          </cell>
          <cell r="C43">
            <v>1500</v>
          </cell>
          <cell r="D43">
            <v>2800</v>
          </cell>
          <cell r="E43">
            <v>3173</v>
          </cell>
          <cell r="F43">
            <v>3943</v>
          </cell>
        </row>
        <row r="47">
          <cell r="G47" t="str">
            <v>Delta</v>
          </cell>
        </row>
        <row r="48">
          <cell r="E48" t="str">
            <v>Old</v>
          </cell>
          <cell r="F48" t="str">
            <v>New</v>
          </cell>
          <cell r="G48" t="str">
            <v>$MM</v>
          </cell>
          <cell r="H48" t="str">
            <v>%</v>
          </cell>
        </row>
        <row r="49">
          <cell r="A49" t="str">
            <v>Segment Revenue</v>
          </cell>
        </row>
        <row r="50">
          <cell r="A50" t="str">
            <v>Aeronautics</v>
          </cell>
          <cell r="E50">
            <v>15160</v>
          </cell>
          <cell r="F50">
            <v>14362</v>
          </cell>
          <cell r="G50">
            <v>-798</v>
          </cell>
          <cell r="H50">
            <v>-5.2638522427440604E-2</v>
          </cell>
        </row>
        <row r="51">
          <cell r="A51" t="str">
            <v>Electronic Systems</v>
          </cell>
          <cell r="E51">
            <v>14450</v>
          </cell>
          <cell r="F51">
            <v>0</v>
          </cell>
          <cell r="G51">
            <v>-14450</v>
          </cell>
          <cell r="H51">
            <v>-1</v>
          </cell>
        </row>
        <row r="52">
          <cell r="A52" t="str">
            <v>Information Systems &amp; Global Services (1)</v>
          </cell>
          <cell r="E52">
            <v>10165</v>
          </cell>
          <cell r="F52">
            <v>9381</v>
          </cell>
          <cell r="G52">
            <v>-784</v>
          </cell>
          <cell r="H52">
            <v>-7.7127397934087516E-2</v>
          </cell>
        </row>
        <row r="53">
          <cell r="A53" t="str">
            <v>Space Systems</v>
          </cell>
          <cell r="E53">
            <v>8500</v>
          </cell>
          <cell r="F53">
            <v>8161</v>
          </cell>
          <cell r="G53">
            <v>-339</v>
          </cell>
          <cell r="H53">
            <v>-3.988235294117648E-2</v>
          </cell>
        </row>
        <row r="54">
          <cell r="A54" t="str">
            <v>Total Revenue</v>
          </cell>
          <cell r="E54">
            <v>48275</v>
          </cell>
          <cell r="F54">
            <v>31904</v>
          </cell>
          <cell r="G54">
            <v>-16371</v>
          </cell>
          <cell r="H54">
            <v>-0.33911962713619881</v>
          </cell>
        </row>
        <row r="56">
          <cell r="A56" t="str">
            <v>Segment Op Profit</v>
          </cell>
        </row>
        <row r="57">
          <cell r="A57" t="str">
            <v>Aeronautics</v>
          </cell>
          <cell r="E57">
            <v>1657</v>
          </cell>
          <cell r="F57">
            <v>1630</v>
          </cell>
          <cell r="G57">
            <v>-27</v>
          </cell>
          <cell r="H57">
            <v>-1.6294508147254083E-2</v>
          </cell>
        </row>
        <row r="58">
          <cell r="A58" t="str">
            <v>Electronic Systems</v>
          </cell>
          <cell r="E58">
            <v>1734</v>
          </cell>
          <cell r="F58">
            <v>0</v>
          </cell>
          <cell r="G58">
            <v>-1734</v>
          </cell>
          <cell r="H58">
            <v>-1</v>
          </cell>
        </row>
        <row r="59">
          <cell r="A59" t="str">
            <v>Information Systems &amp; Global Services (1)</v>
          </cell>
          <cell r="E59">
            <v>918.5</v>
          </cell>
          <cell r="F59">
            <v>874</v>
          </cell>
          <cell r="G59">
            <v>-44.5</v>
          </cell>
          <cell r="H59">
            <v>-4.8448557430593397E-2</v>
          </cell>
        </row>
        <row r="60">
          <cell r="A60" t="str">
            <v>Space Systems</v>
          </cell>
          <cell r="E60">
            <v>944.5</v>
          </cell>
          <cell r="F60">
            <v>1063</v>
          </cell>
          <cell r="G60">
            <v>118.5</v>
          </cell>
          <cell r="H60">
            <v>0.12546320804658539</v>
          </cell>
        </row>
        <row r="61">
          <cell r="A61" t="str">
            <v>Total Segment Op Profit</v>
          </cell>
          <cell r="E61">
            <v>5254</v>
          </cell>
          <cell r="F61">
            <v>3567</v>
          </cell>
          <cell r="G61">
            <v>-1687</v>
          </cell>
          <cell r="H61">
            <v>-0.32108869432813092</v>
          </cell>
          <cell r="J61">
            <v>-3.168544377844011</v>
          </cell>
        </row>
        <row r="63">
          <cell r="A63" t="str">
            <v>Segment Op Margins</v>
          </cell>
          <cell r="G63" t="str">
            <v>bps</v>
          </cell>
        </row>
        <row r="64">
          <cell r="A64" t="str">
            <v>Aeronautics</v>
          </cell>
          <cell r="E64">
            <v>0.10930079155672823</v>
          </cell>
          <cell r="F64">
            <v>0.11349394234786242</v>
          </cell>
          <cell r="G64">
            <v>41.931507911341924</v>
          </cell>
        </row>
        <row r="65">
          <cell r="A65" t="str">
            <v>Electronic Systems</v>
          </cell>
          <cell r="E65">
            <v>0.12</v>
          </cell>
          <cell r="F65" t="e">
            <v>#DIV/0!</v>
          </cell>
          <cell r="G65" t="e">
            <v>#DIV/0!</v>
          </cell>
        </row>
        <row r="66">
          <cell r="A66" t="str">
            <v>Information Systems &amp; Global Services</v>
          </cell>
          <cell r="E66">
            <v>9.0359075258239052E-2</v>
          </cell>
          <cell r="F66">
            <v>9.3167039761219483E-2</v>
          </cell>
          <cell r="G66">
            <v>28.079645029804311</v>
          </cell>
        </row>
        <row r="67">
          <cell r="A67" t="str">
            <v>Space Systems</v>
          </cell>
          <cell r="E67">
            <v>0.11111764705882353</v>
          </cell>
          <cell r="F67">
            <v>0.13025364538659479</v>
          </cell>
          <cell r="G67">
            <v>191.35998327771256</v>
          </cell>
        </row>
        <row r="68">
          <cell r="A68" t="str">
            <v>Total Segment Op Profit</v>
          </cell>
          <cell r="E68">
            <v>0.10883480062143967</v>
          </cell>
          <cell r="F68">
            <v>0.11180416248746239</v>
          </cell>
          <cell r="G68">
            <v>29.693618660227155</v>
          </cell>
        </row>
        <row r="70">
          <cell r="A70" t="str">
            <v>Corporate &amp; Other</v>
          </cell>
        </row>
        <row r="71">
          <cell r="A71" t="str">
            <v>FAS/CAS Pension Adj.</v>
          </cell>
          <cell r="E71">
            <v>-1000</v>
          </cell>
          <cell r="F71">
            <v>-922</v>
          </cell>
          <cell r="G71">
            <v>78</v>
          </cell>
          <cell r="H71">
            <v>-7.7999999999999958E-2</v>
          </cell>
          <cell r="J71">
            <v>0.14650056992995428</v>
          </cell>
        </row>
        <row r="72">
          <cell r="A72" t="str">
            <v>Stock Compensation</v>
          </cell>
          <cell r="E72">
            <v>-180</v>
          </cell>
          <cell r="F72">
            <v>-206</v>
          </cell>
          <cell r="G72">
            <v>-26</v>
          </cell>
          <cell r="H72">
            <v>0.14444444444444438</v>
          </cell>
        </row>
        <row r="73">
          <cell r="A73" t="str">
            <v>Unusual Items</v>
          </cell>
          <cell r="E73">
            <v>0</v>
          </cell>
          <cell r="F73">
            <v>-97</v>
          </cell>
          <cell r="G73">
            <v>-97</v>
          </cell>
          <cell r="H73">
            <v>0.14444444444444438</v>
          </cell>
        </row>
        <row r="74">
          <cell r="A74" t="str">
            <v>Other</v>
          </cell>
          <cell r="E74">
            <v>-50</v>
          </cell>
          <cell r="F74">
            <v>-76</v>
          </cell>
          <cell r="G74">
            <v>-26</v>
          </cell>
          <cell r="H74">
            <v>0.52</v>
          </cell>
          <cell r="J74">
            <v>-4.8833523309984764E-2</v>
          </cell>
        </row>
        <row r="75">
          <cell r="A75" t="str">
            <v>Total Corporate &amp; Other</v>
          </cell>
          <cell r="E75">
            <v>-1230</v>
          </cell>
          <cell r="F75">
            <v>-1301</v>
          </cell>
          <cell r="G75">
            <v>-71</v>
          </cell>
          <cell r="H75">
            <v>5.7723577235772261E-2</v>
          </cell>
          <cell r="J75">
            <v>-0.13335308288495837</v>
          </cell>
        </row>
        <row r="77">
          <cell r="A77" t="str">
            <v>EBIT</v>
          </cell>
          <cell r="E77">
            <v>4024</v>
          </cell>
          <cell r="F77">
            <v>2266</v>
          </cell>
          <cell r="G77">
            <v>-1758</v>
          </cell>
          <cell r="H77">
            <v>-0.43687872763419489</v>
          </cell>
        </row>
        <row r="78">
          <cell r="A78" t="str">
            <v>Net Interest</v>
          </cell>
          <cell r="E78">
            <v>-350</v>
          </cell>
          <cell r="F78">
            <v>-349</v>
          </cell>
        </row>
        <row r="79">
          <cell r="A79" t="str">
            <v>EBT</v>
          </cell>
          <cell r="E79">
            <v>3674</v>
          </cell>
          <cell r="F79">
            <v>1917</v>
          </cell>
          <cell r="G79">
            <v>-1757</v>
          </cell>
          <cell r="H79">
            <v>-0.47822536744692434</v>
          </cell>
        </row>
        <row r="80">
          <cell r="A80" t="str">
            <v>Taxes</v>
          </cell>
          <cell r="E80">
            <v>-1176</v>
          </cell>
          <cell r="F80">
            <v>-508.9473974111815</v>
          </cell>
        </row>
        <row r="81">
          <cell r="A81" t="str">
            <v>Effective Tax Rate</v>
          </cell>
          <cell r="E81">
            <v>0.32008709853021228</v>
          </cell>
          <cell r="F81">
            <v>0.26549160011016248</v>
          </cell>
        </row>
        <row r="82">
          <cell r="A82" t="str">
            <v>Net Income</v>
          </cell>
          <cell r="E82">
            <v>2499</v>
          </cell>
          <cell r="F82">
            <v>1408.0526025888184</v>
          </cell>
          <cell r="G82">
            <v>-1090.9473974111816</v>
          </cell>
          <cell r="H82">
            <v>-0.43655358039663128</v>
          </cell>
        </row>
        <row r="83">
          <cell r="A83" t="str">
            <v>Diluted EPS</v>
          </cell>
          <cell r="E83">
            <v>6.903314917127072</v>
          </cell>
          <cell r="F83">
            <v>4.1425495810203543</v>
          </cell>
          <cell r="G83">
            <v>-2.7607653361067177</v>
          </cell>
          <cell r="H83">
            <v>-0.39991878818352611</v>
          </cell>
          <cell r="J83">
            <v>-2.7607653361067177</v>
          </cell>
        </row>
        <row r="84">
          <cell r="A84" t="str">
            <v>Diluted Avg. Shares</v>
          </cell>
          <cell r="E84">
            <v>362</v>
          </cell>
          <cell r="F84">
            <v>339.9</v>
          </cell>
          <cell r="G84">
            <v>-22.100000000000023</v>
          </cell>
          <cell r="H84">
            <v>-6.1049723756906094E-2</v>
          </cell>
        </row>
        <row r="86">
          <cell r="A86" t="str">
            <v>Memo:</v>
          </cell>
        </row>
        <row r="87">
          <cell r="A87" t="str">
            <v>EIG Divestiture (IS&amp;GS)</v>
          </cell>
          <cell r="E87">
            <v>-625</v>
          </cell>
        </row>
        <row r="88">
          <cell r="A88" t="str">
            <v>Organic Total Revenue Compare</v>
          </cell>
          <cell r="E88">
            <v>47650</v>
          </cell>
          <cell r="F88">
            <v>31904</v>
          </cell>
          <cell r="G88">
            <v>-15746</v>
          </cell>
          <cell r="H88">
            <v>-0.33045120671563488</v>
          </cell>
        </row>
        <row r="90">
          <cell r="A90" t="str">
            <v>EIG Divestiture (IS&amp;GS)</v>
          </cell>
          <cell r="E90">
            <v>-62</v>
          </cell>
          <cell r="J90">
            <v>0.11644917096996366</v>
          </cell>
        </row>
        <row r="91">
          <cell r="A91" t="str">
            <v>Organic Segment Op Profit Compare</v>
          </cell>
          <cell r="E91">
            <v>5192</v>
          </cell>
          <cell r="F91">
            <v>3567</v>
          </cell>
          <cell r="G91">
            <v>-1625</v>
          </cell>
          <cell r="H91">
            <v>-0.3129815100154083</v>
          </cell>
        </row>
        <row r="101">
          <cell r="A101" t="str">
            <v>Divestiture of EIG Business</v>
          </cell>
          <cell r="F101">
            <v>-0.11644917096996366</v>
          </cell>
        </row>
        <row r="102">
          <cell r="A102" t="str">
            <v>Other Operating Decline</v>
          </cell>
          <cell r="F102">
            <v>-3.0520952068740472</v>
          </cell>
        </row>
        <row r="103">
          <cell r="A103" t="str">
            <v>$200M inc. in FAS/CAS Pension Adj.</v>
          </cell>
          <cell r="F103">
            <v>0.14650056992995428</v>
          </cell>
        </row>
        <row r="104">
          <cell r="A104" t="str">
            <v>Other Non-Op</v>
          </cell>
          <cell r="F104">
            <v>9.1278471807338946E-2</v>
          </cell>
        </row>
        <row r="105">
          <cell r="A105" t="str">
            <v>50bps Increase in Tax Rate</v>
          </cell>
          <cell r="F105">
            <v>-0.04</v>
          </cell>
          <cell r="I105" t="str">
            <v>sensistize</v>
          </cell>
        </row>
        <row r="106">
          <cell r="A106" t="str">
            <v>Reduced Share Count (Higher Share Repo)</v>
          </cell>
          <cell r="F106">
            <v>0.21</v>
          </cell>
          <cell r="I106" t="str">
            <v>sensistize</v>
          </cell>
        </row>
        <row r="107">
          <cell r="A107" t="str">
            <v>Net Change in 2011 EPS Estimate</v>
          </cell>
          <cell r="F107">
            <v>-2.7607653361067177</v>
          </cell>
        </row>
      </sheetData>
      <sheetData sheetId="29">
        <row r="5">
          <cell r="E5" t="str">
            <v>Old</v>
          </cell>
          <cell r="F5" t="str">
            <v>New</v>
          </cell>
          <cell r="G5" t="str">
            <v>% Chg</v>
          </cell>
        </row>
        <row r="6">
          <cell r="B6" t="str">
            <v>Revenue</v>
          </cell>
          <cell r="E6">
            <v>48900</v>
          </cell>
          <cell r="F6">
            <v>46499</v>
          </cell>
          <cell r="G6">
            <v>-4.9100204498977451E-2</v>
          </cell>
          <cell r="K6">
            <v>-2401</v>
          </cell>
          <cell r="M6" t="str">
            <v>Lower Revenue (w/ prior margin)</v>
          </cell>
          <cell r="P6">
            <v>-0.54705052791299735</v>
          </cell>
        </row>
        <row r="7">
          <cell r="B7" t="str">
            <v>Op Inc</v>
          </cell>
          <cell r="E7">
            <v>5410</v>
          </cell>
          <cell r="F7">
            <v>5281</v>
          </cell>
          <cell r="G7">
            <v>-2.3844731977818889E-2</v>
          </cell>
          <cell r="K7">
            <v>-129</v>
          </cell>
          <cell r="M7" t="str">
            <v>Margin deterioration</v>
          </cell>
          <cell r="P7">
            <v>0.28138415545050838</v>
          </cell>
          <cell r="R7">
            <v>-0.26566637246248898</v>
          </cell>
          <cell r="S7">
            <v>0</v>
          </cell>
        </row>
        <row r="8">
          <cell r="B8" t="str">
            <v>% Margin</v>
          </cell>
          <cell r="E8">
            <v>0.11063394683026585</v>
          </cell>
          <cell r="F8">
            <v>0.11357233488892234</v>
          </cell>
          <cell r="G8" t="str">
            <v>-20bps</v>
          </cell>
          <cell r="K8">
            <v>-282</v>
          </cell>
          <cell r="M8" t="str">
            <v>FAS/CAS</v>
          </cell>
          <cell r="P8">
            <v>-0.58075904677846424</v>
          </cell>
        </row>
        <row r="9">
          <cell r="B9" t="str">
            <v>FAS/CAS</v>
          </cell>
          <cell r="E9">
            <v>-640</v>
          </cell>
          <cell r="F9">
            <v>-922</v>
          </cell>
          <cell r="G9">
            <v>0.44062500000000004</v>
          </cell>
          <cell r="K9">
            <v>-84</v>
          </cell>
          <cell r="M9" t="str">
            <v>Exec buyouts</v>
          </cell>
          <cell r="P9">
            <v>-0.17299205648720212</v>
          </cell>
        </row>
        <row r="10">
          <cell r="B10" t="str">
            <v>Other Corp</v>
          </cell>
          <cell r="E10">
            <v>-295</v>
          </cell>
          <cell r="F10">
            <v>-379</v>
          </cell>
          <cell r="G10">
            <v>0.28474576271186436</v>
          </cell>
          <cell r="K10">
            <v>-495</v>
          </cell>
          <cell r="M10" t="str">
            <v>Lower EBIT</v>
          </cell>
          <cell r="P10">
            <v>-1.0194174757281553</v>
          </cell>
          <cell r="Q10">
            <v>0</v>
          </cell>
        </row>
        <row r="11">
          <cell r="B11" t="str">
            <v>EBIT</v>
          </cell>
          <cell r="E11">
            <v>4475</v>
          </cell>
          <cell r="F11">
            <v>3980</v>
          </cell>
          <cell r="G11">
            <v>-0.11061452513966485</v>
          </cell>
          <cell r="K11">
            <v>-4</v>
          </cell>
          <cell r="M11" t="str">
            <v>Net Interest</v>
          </cell>
          <cell r="P11">
            <v>-7.6493086201824077E-3</v>
          </cell>
        </row>
        <row r="12">
          <cell r="B12" t="str">
            <v>% Margin</v>
          </cell>
          <cell r="E12">
            <v>9.1513292433537827E-2</v>
          </cell>
          <cell r="F12">
            <v>8.5593238564270202E-2</v>
          </cell>
          <cell r="G12" t="str">
            <v>-80bps</v>
          </cell>
          <cell r="I12">
            <v>-5.9200538692676247E-3</v>
          </cell>
          <cell r="K12">
            <v>-499</v>
          </cell>
          <cell r="P12">
            <v>-1.0276551927037363</v>
          </cell>
        </row>
        <row r="13">
          <cell r="B13" t="str">
            <v>Net Interest</v>
          </cell>
          <cell r="E13">
            <v>-350</v>
          </cell>
          <cell r="F13">
            <v>-354</v>
          </cell>
          <cell r="G13">
            <v>1.1428571428571344E-2</v>
          </cell>
          <cell r="K13">
            <v>274</v>
          </cell>
          <cell r="M13" t="str">
            <v>Tax Headwind</v>
          </cell>
          <cell r="P13">
            <v>0.36569579288025877</v>
          </cell>
        </row>
        <row r="14">
          <cell r="B14" t="str">
            <v>EBT</v>
          </cell>
          <cell r="E14">
            <v>4125</v>
          </cell>
          <cell r="F14">
            <v>3626</v>
          </cell>
          <cell r="G14">
            <v>-0.12096969696969695</v>
          </cell>
        </row>
        <row r="15">
          <cell r="B15" t="str">
            <v>Tax</v>
          </cell>
          <cell r="E15">
            <v>-1238</v>
          </cell>
          <cell r="F15">
            <v>-964</v>
          </cell>
          <cell r="G15">
            <v>-0.22132471728594505</v>
          </cell>
          <cell r="K15">
            <v>-225</v>
          </cell>
          <cell r="P15">
            <v>-0.66195939982347751</v>
          </cell>
        </row>
        <row r="16">
          <cell r="B16" t="str">
            <v>Tax Rate</v>
          </cell>
          <cell r="E16">
            <v>0.30012121212121212</v>
          </cell>
          <cell r="F16">
            <v>0.26585769442912299</v>
          </cell>
          <cell r="G16" t="str">
            <v>-200bps</v>
          </cell>
          <cell r="K16">
            <v>339.9</v>
          </cell>
        </row>
        <row r="17">
          <cell r="B17" t="str">
            <v>Net Income</v>
          </cell>
          <cell r="E17">
            <v>2887</v>
          </cell>
          <cell r="F17">
            <v>2662</v>
          </cell>
          <cell r="G17">
            <v>-7.7935573259438895E-2</v>
          </cell>
          <cell r="K17">
            <v>-0.66195939982347751</v>
          </cell>
        </row>
        <row r="18">
          <cell r="B18" t="str">
            <v>Shares</v>
          </cell>
          <cell r="E18">
            <v>361</v>
          </cell>
          <cell r="F18">
            <v>339.9</v>
          </cell>
          <cell r="G18">
            <v>-5.844875346260392E-2</v>
          </cell>
          <cell r="K18">
            <v>-0.16551470654151945</v>
          </cell>
          <cell r="P18">
            <v>7.9972299168975072</v>
          </cell>
        </row>
        <row r="19">
          <cell r="B19" t="str">
            <v>EPS</v>
          </cell>
          <cell r="E19">
            <v>7.9972299168975072</v>
          </cell>
          <cell r="F19">
            <v>7.8317152103559877</v>
          </cell>
          <cell r="G19">
            <v>-2.0696504697432783E-2</v>
          </cell>
        </row>
        <row r="20">
          <cell r="E20">
            <v>0.11063394683026585</v>
          </cell>
          <cell r="F20">
            <v>0.11357233488892234</v>
          </cell>
        </row>
        <row r="21">
          <cell r="F21">
            <v>2.9383880586564826E-3</v>
          </cell>
        </row>
        <row r="22">
          <cell r="F22">
            <v>136.63210633946778</v>
          </cell>
          <cell r="K22">
            <v>0.29510858947649937</v>
          </cell>
        </row>
        <row r="23">
          <cell r="O23">
            <v>600</v>
          </cell>
        </row>
        <row r="24">
          <cell r="C24">
            <v>500</v>
          </cell>
          <cell r="O24">
            <v>0.2</v>
          </cell>
        </row>
        <row r="25">
          <cell r="C25">
            <v>0.05</v>
          </cell>
          <cell r="O25">
            <v>120</v>
          </cell>
        </row>
        <row r="26">
          <cell r="C26">
            <v>25</v>
          </cell>
          <cell r="F26">
            <v>-265.63210633946829</v>
          </cell>
          <cell r="K26">
            <v>-0.5737327654654476</v>
          </cell>
        </row>
        <row r="27">
          <cell r="C27">
            <v>17.5</v>
          </cell>
          <cell r="F27">
            <v>-129.00000000000051</v>
          </cell>
          <cell r="K27">
            <v>-0.27862417598894829</v>
          </cell>
        </row>
        <row r="28">
          <cell r="Q28" t="str">
            <v>Lower Revenue</v>
          </cell>
          <cell r="S28">
            <v>-2401</v>
          </cell>
        </row>
        <row r="29">
          <cell r="Q29" t="str">
            <v>Old Margin</v>
          </cell>
          <cell r="S29">
            <v>0.11063394683026585</v>
          </cell>
        </row>
        <row r="30">
          <cell r="S30">
            <v>-265.63210633946829</v>
          </cell>
        </row>
        <row r="32">
          <cell r="S32">
            <v>0.11357233488892234</v>
          </cell>
        </row>
        <row r="33">
          <cell r="S33">
            <v>-272.68717606830251</v>
          </cell>
        </row>
        <row r="35">
          <cell r="S35">
            <v>-538.31928240777074</v>
          </cell>
        </row>
      </sheetData>
      <sheetData sheetId="30"/>
      <sheetData sheetId="31"/>
      <sheetData sheetId="32"/>
      <sheetData sheetId="33"/>
      <sheetData sheetId="34"/>
      <sheetData sheetId="35"/>
      <sheetData sheetId="36"/>
      <sheetData sheetId="37"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Fleet v2"/>
      <sheetName val="Main"/>
      <sheetName val="Deliveries"/>
      <sheetName val="Old Format"/>
      <sheetName val="Deliveries LCA &amp; RJ"/>
      <sheetName val="Backlog v Deliveries"/>
      <sheetName val="Airbus Monthly"/>
      <sheetName val="Boeing Monthly"/>
      <sheetName val="Storage Summary"/>
      <sheetName val="WW Fleet Stats"/>
      <sheetName val="Sang-scratch"/>
      <sheetName val="from AIRCAP"/>
      <sheetName val="Program Lifecycles"/>
      <sheetName val="Sang - Charts"/>
      <sheetName val="Boeing Charts"/>
      <sheetName val="StoredAC"/>
      <sheetName val="StoredAC v2"/>
      <sheetName val="Table of Contents"/>
    </sheetNames>
    <sheetDataSet>
      <sheetData sheetId="0">
        <row r="5">
          <cell r="A5" t="str">
            <v>Boeing ceded share in North America</v>
          </cell>
        </row>
      </sheetData>
      <sheetData sheetId="1" refreshError="1"/>
      <sheetData sheetId="2">
        <row r="1">
          <cell r="A1" t="str">
            <v>Global Fleet by Region, OEM and Plane Type</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oredAC"/>
      <sheetName val="Total Stored AC"/>
      <sheetName val="By Type"/>
      <sheetName val="Summary"/>
      <sheetName val="Graphs"/>
      <sheetName val="MWare_Cached"/>
      <sheetName val="BJs charts"/>
      <sheetName val="Biz Jet Output Data"/>
    </sheetNames>
    <sheetDataSet>
      <sheetData sheetId="0"/>
      <sheetData sheetId="1" refreshError="1"/>
      <sheetData sheetId="2" refreshError="1"/>
      <sheetData sheetId="3" refreshError="1"/>
      <sheetData sheetId="4">
        <row r="78">
          <cell r="B78" t="str">
            <v>SE-210 (Caravelle)</v>
          </cell>
        </row>
      </sheetData>
      <sheetData sheetId="5" refreshError="1"/>
      <sheetData sheetId="6" refreshError="1"/>
      <sheetData sheetId="7"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sh Flow (2)"/>
      <sheetName val="#REF"/>
      <sheetName val="DCF"/>
      <sheetName val="C1500"/>
    </sheetNames>
    <sheetDataSet>
      <sheetData sheetId="0"/>
      <sheetData sheetId="1" refreshError="1"/>
      <sheetData sheetId="2" refreshError="1"/>
      <sheetData sheetId="3"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TOC"/>
      <sheetName val="Main"/>
      <sheetName val="Qtr"/>
      <sheetName val="Scratch"/>
      <sheetName val="Valuation"/>
      <sheetName val="DCF"/>
      <sheetName val="SOTP"/>
      <sheetName val="Govt Systems"/>
      <sheetName val="Comm Systems"/>
      <sheetName val="Capital Deployment"/>
      <sheetName val="M&amp;A"/>
      <sheetName val="Tables"/>
      <sheetName val="Comm Systems Old"/>
      <sheetName val="Variance"/>
      <sheetName val="Breakdown"/>
      <sheetName val="RI"/>
      <sheetName val="DDM"/>
      <sheetName val="FCF"/>
      <sheetName val="HV"/>
      <sheetName val="Output"/>
      <sheetName val="9-11"/>
      <sheetName val="Guid"/>
      <sheetName val="mwareDates"/>
      <sheetName val="MWA RR"/>
      <sheetName val="CS old"/>
      <sheetName val="mwareSettings"/>
      <sheetName val="MW-Cache"/>
      <sheetName val="Sheet1"/>
      <sheetName val="To Do's"/>
      <sheetName val="Guidance History"/>
      <sheetName val="#REF"/>
      <sheetName val="EPS walk"/>
      <sheetName val="DCF-2"/>
      <sheetName val="QTR Analysis"/>
      <sheetName val="Other--&gt;"/>
      <sheetName val="Rev Breakdown"/>
      <sheetName val="C1500"/>
    </sheetNames>
    <sheetDataSet>
      <sheetData sheetId="0" refreshError="1"/>
      <sheetData sheetId="1" refreshError="1"/>
      <sheetData sheetId="2" refreshError="1"/>
      <sheetData sheetId="3" refreshError="1"/>
      <sheetData sheetId="4" refreshError="1">
        <row r="1">
          <cell r="B1" t="str">
            <v>2009 Cash Distribution</v>
          </cell>
        </row>
        <row r="2">
          <cell r="B2" t="str">
            <v>$MM</v>
          </cell>
        </row>
        <row r="3">
          <cell r="C3" t="str">
            <v xml:space="preserve">YTD </v>
          </cell>
          <cell r="D3" t="str">
            <v xml:space="preserve">4Q </v>
          </cell>
          <cell r="E3" t="str">
            <v xml:space="preserve">FY </v>
          </cell>
          <cell r="G3" t="str">
            <v>Notes</v>
          </cell>
        </row>
        <row r="4">
          <cell r="B4" t="str">
            <v>OCF</v>
          </cell>
          <cell r="C4">
            <v>381</v>
          </cell>
          <cell r="D4">
            <v>252</v>
          </cell>
          <cell r="E4">
            <v>633</v>
          </cell>
          <cell r="G4" t="str">
            <v>Guidance range: $625-675MM</v>
          </cell>
        </row>
        <row r="5">
          <cell r="B5" t="str">
            <v>Capex</v>
          </cell>
          <cell r="C5">
            <v>-117</v>
          </cell>
          <cell r="D5">
            <v>-36</v>
          </cell>
          <cell r="E5">
            <v>-153</v>
          </cell>
          <cell r="G5" t="str">
            <v>Guidance: $150MM</v>
          </cell>
        </row>
        <row r="6">
          <cell r="B6" t="str">
            <v>Dividend</v>
          </cell>
          <cell r="C6">
            <v>-114</v>
          </cell>
          <cell r="D6">
            <v>-38</v>
          </cell>
          <cell r="E6">
            <v>-152</v>
          </cell>
          <cell r="G6" t="str">
            <v>Continued at $0.24 per share</v>
          </cell>
        </row>
        <row r="7">
          <cell r="B7" t="str">
            <v>Repo</v>
          </cell>
          <cell r="C7">
            <v>-95</v>
          </cell>
          <cell r="D7">
            <v>-58</v>
          </cell>
          <cell r="E7">
            <v>-153</v>
          </cell>
          <cell r="G7" t="str">
            <v>Within $67MM remaing program balance</v>
          </cell>
        </row>
        <row r="8">
          <cell r="B8" t="str">
            <v>Remaining FCF</v>
          </cell>
          <cell r="C8">
            <v>55</v>
          </cell>
          <cell r="D8">
            <v>120</v>
          </cell>
          <cell r="E8">
            <v>175</v>
          </cell>
          <cell r="G8" t="str">
            <v>69% generated in 4Q</v>
          </cell>
        </row>
        <row r="9">
          <cell r="B9" t="str">
            <v>Net Income</v>
          </cell>
          <cell r="C9">
            <v>460</v>
          </cell>
          <cell r="D9">
            <v>134</v>
          </cell>
          <cell r="E9">
            <v>594</v>
          </cell>
          <cell r="G9" t="str">
            <v>MS EPS estimate of $3.81</v>
          </cell>
        </row>
        <row r="10">
          <cell r="B10" t="str">
            <v>OCF Conversion</v>
          </cell>
          <cell r="C10">
            <v>0.82826086956521738</v>
          </cell>
          <cell r="D10">
            <v>1.8805970149253732</v>
          </cell>
          <cell r="E10">
            <v>1.0656565656565657</v>
          </cell>
          <cell r="G10" t="str">
            <v>OCF guidance implies knockout 4Q09</v>
          </cell>
        </row>
        <row r="12">
          <cell r="B12" t="str">
            <v>2011 Tailwinds / Headwinds</v>
          </cell>
        </row>
        <row r="13">
          <cell r="H13" t="str">
            <v>Guidance Cushion</v>
          </cell>
        </row>
        <row r="14">
          <cell r="B14" t="str">
            <v>Pension</v>
          </cell>
          <cell r="C14">
            <v>40</v>
          </cell>
          <cell r="D14" t="str">
            <v>Tailwind</v>
          </cell>
          <cell r="J14" t="str">
            <v xml:space="preserve">Low </v>
          </cell>
          <cell r="K14" t="str">
            <v xml:space="preserve">High </v>
          </cell>
          <cell r="M14" t="str">
            <v xml:space="preserve">Delta </v>
          </cell>
        </row>
        <row r="15">
          <cell r="B15" t="str">
            <v>incentive Comp</v>
          </cell>
          <cell r="C15">
            <v>27</v>
          </cell>
          <cell r="D15" t="str">
            <v>Headwind; $100M versus $73M last year</v>
          </cell>
          <cell r="H15" t="str">
            <v>Margin Cushion Holding Sales Constant</v>
          </cell>
        </row>
        <row r="16">
          <cell r="B16" t="str">
            <v>Gov Systems Revs</v>
          </cell>
          <cell r="C16">
            <v>150</v>
          </cell>
          <cell r="D16" t="str">
            <v>Headwind F-22</v>
          </cell>
          <cell r="H16" t="str">
            <v>EPS Range</v>
          </cell>
          <cell r="J16">
            <v>3.7</v>
          </cell>
          <cell r="K16">
            <v>3.9</v>
          </cell>
          <cell r="M16">
            <v>0.19999999999999973</v>
          </cell>
        </row>
        <row r="17">
          <cell r="B17" t="str">
            <v>KC-X - Gov Sys Revs</v>
          </cell>
          <cell r="C17">
            <v>60</v>
          </cell>
          <cell r="D17" t="str">
            <v>Tailwind</v>
          </cell>
          <cell r="H17" t="str">
            <v>MSe Sharecount</v>
          </cell>
          <cell r="J17">
            <v>159.4</v>
          </cell>
          <cell r="K17">
            <v>159.4</v>
          </cell>
        </row>
        <row r="18">
          <cell r="H18" t="str">
            <v>Implied Net Income</v>
          </cell>
          <cell r="J18">
            <v>589.78000000000009</v>
          </cell>
          <cell r="K18">
            <v>621.66</v>
          </cell>
        </row>
        <row r="19">
          <cell r="H19" t="str">
            <v>Tax Guidance</v>
          </cell>
          <cell r="J19">
            <v>0.32</v>
          </cell>
          <cell r="K19">
            <v>0.32</v>
          </cell>
        </row>
        <row r="20">
          <cell r="H20" t="str">
            <v>Implied EBT</v>
          </cell>
          <cell r="J20">
            <v>867.32352941176487</v>
          </cell>
          <cell r="K20">
            <v>914.20588235294122</v>
          </cell>
        </row>
        <row r="21">
          <cell r="H21" t="str">
            <v>MSe Corp, Int. &amp; Stock-based comp.</v>
          </cell>
          <cell r="J21">
            <v>39</v>
          </cell>
          <cell r="K21">
            <v>39</v>
          </cell>
        </row>
        <row r="22">
          <cell r="H22" t="str">
            <v>Implied Segment Op. Profit</v>
          </cell>
          <cell r="J22">
            <v>828.32352941176487</v>
          </cell>
          <cell r="K22">
            <v>875.20588235294122</v>
          </cell>
          <cell r="M22">
            <v>46.88235294117635</v>
          </cell>
        </row>
        <row r="23">
          <cell r="H23" t="str">
            <v>Implied Segment Margin</v>
          </cell>
          <cell r="J23">
            <v>0.18204912734324502</v>
          </cell>
          <cell r="K23">
            <v>0.19235294117647059</v>
          </cell>
          <cell r="M23">
            <v>1.0303813833225567E-2</v>
          </cell>
        </row>
        <row r="24">
          <cell r="H24" t="str">
            <v>Revenue Guidance</v>
          </cell>
          <cell r="J24">
            <v>4550</v>
          </cell>
          <cell r="K24">
            <v>4550</v>
          </cell>
        </row>
        <row r="26">
          <cell r="H26" t="str">
            <v>Sales Cushion Holding Margins Constant</v>
          </cell>
        </row>
        <row r="27">
          <cell r="H27" t="str">
            <v>EPS Range</v>
          </cell>
          <cell r="J27">
            <v>3.7</v>
          </cell>
          <cell r="K27">
            <v>3.9</v>
          </cell>
          <cell r="M27">
            <v>0.19999999999999973</v>
          </cell>
        </row>
        <row r="28">
          <cell r="H28" t="str">
            <v>MSe Sharecount</v>
          </cell>
          <cell r="J28">
            <v>159.19999999999999</v>
          </cell>
          <cell r="K28">
            <v>159.19999999999999</v>
          </cell>
        </row>
        <row r="29">
          <cell r="H29" t="str">
            <v>Implied Net Income</v>
          </cell>
          <cell r="J29">
            <v>589.04</v>
          </cell>
          <cell r="K29">
            <v>620.88</v>
          </cell>
        </row>
        <row r="30">
          <cell r="H30" t="str">
            <v>Tax Guidance</v>
          </cell>
          <cell r="J30">
            <v>0.32</v>
          </cell>
          <cell r="K30">
            <v>0.32</v>
          </cell>
        </row>
        <row r="31">
          <cell r="H31" t="str">
            <v>Implied EBT</v>
          </cell>
          <cell r="J31">
            <v>866.23529411764707</v>
          </cell>
          <cell r="K31">
            <v>913.05882352941182</v>
          </cell>
        </row>
        <row r="32">
          <cell r="H32" t="str">
            <v>MSe Corp, Int. &amp; Stock-based comp.</v>
          </cell>
          <cell r="J32">
            <v>39</v>
          </cell>
          <cell r="K32">
            <v>39</v>
          </cell>
        </row>
        <row r="33">
          <cell r="H33" t="str">
            <v>Implied Segment Op. Profit</v>
          </cell>
          <cell r="J33">
            <v>827.23529411764707</v>
          </cell>
          <cell r="K33">
            <v>874.05882352941182</v>
          </cell>
        </row>
        <row r="34">
          <cell r="H34" t="str">
            <v>Implied Segment Margin</v>
          </cell>
          <cell r="J34">
            <v>0.21</v>
          </cell>
          <cell r="K34">
            <v>0.21</v>
          </cell>
        </row>
        <row r="35">
          <cell r="H35" t="str">
            <v>Revenue Guidance</v>
          </cell>
          <cell r="J35">
            <v>3939.2156862745101</v>
          </cell>
          <cell r="K35">
            <v>4162.1848739495799</v>
          </cell>
          <cell r="M35">
            <v>222.96918767506986</v>
          </cell>
        </row>
        <row r="39">
          <cell r="O39" t="str">
            <v>Sum-of-the-Parts Analysis</v>
          </cell>
        </row>
        <row r="41">
          <cell r="P41" t="str">
            <v>Target P/E Multiple</v>
          </cell>
          <cell r="R41" t="str">
            <v xml:space="preserve">2010E </v>
          </cell>
          <cell r="T41" t="str">
            <v>Implied Value</v>
          </cell>
        </row>
        <row r="42">
          <cell r="P42" t="str">
            <v xml:space="preserve">Low </v>
          </cell>
          <cell r="Q42" t="str">
            <v xml:space="preserve">High </v>
          </cell>
          <cell r="R42" t="str">
            <v>EPS (3)</v>
          </cell>
          <cell r="T42" t="str">
            <v xml:space="preserve">Low </v>
          </cell>
          <cell r="U42" t="str">
            <v xml:space="preserve">High </v>
          </cell>
        </row>
        <row r="43">
          <cell r="O43" t="str">
            <v>GS (1)</v>
          </cell>
          <cell r="P43">
            <v>9</v>
          </cell>
          <cell r="Q43">
            <v>12</v>
          </cell>
          <cell r="R43">
            <v>2.4042925741389092</v>
          </cell>
          <cell r="T43">
            <v>21.638633167250184</v>
          </cell>
          <cell r="U43">
            <v>28.851510889666912</v>
          </cell>
        </row>
        <row r="44">
          <cell r="O44" t="str">
            <v>CS (2)</v>
          </cell>
          <cell r="P44">
            <v>15</v>
          </cell>
          <cell r="Q44">
            <v>17</v>
          </cell>
          <cell r="R44">
            <v>1.2420470485026005</v>
          </cell>
          <cell r="T44">
            <v>18.630705727539009</v>
          </cell>
          <cell r="U44">
            <v>21.114799824544207</v>
          </cell>
        </row>
        <row r="45">
          <cell r="O45" t="str">
            <v>Total</v>
          </cell>
          <cell r="P45">
            <v>11.043770757046753</v>
          </cell>
          <cell r="Q45">
            <v>13.703142297538959</v>
          </cell>
          <cell r="R45">
            <v>3.6463396226415097</v>
          </cell>
          <cell r="T45">
            <v>40.269338894789193</v>
          </cell>
          <cell r="U45">
            <v>49.966310714211119</v>
          </cell>
        </row>
        <row r="47">
          <cell r="O47" t="str">
            <v>Notes</v>
          </cell>
          <cell r="T47" t="str">
            <v>Midpoint</v>
          </cell>
          <cell r="U47">
            <v>45.11782480450016</v>
          </cell>
        </row>
        <row r="49">
          <cell r="O49" t="str">
            <v>(1) Defense multiples likely rangebound in current DoD budget environment (50-75% S&amp;P P/E).</v>
          </cell>
        </row>
        <row r="50">
          <cell r="O50" t="str">
            <v>Margins and growth prospects, however, likely warrant multiple premium over 'Primes'. CAE, HRS</v>
          </cell>
        </row>
        <row r="51">
          <cell r="O51" t="str">
            <v>and Thales are the best comps, in our opinion.</v>
          </cell>
        </row>
        <row r="52">
          <cell r="O52" t="str">
            <v>(2) If defense multiples are appropriate, implication is mid-cycle commercial multiples.</v>
          </cell>
        </row>
        <row r="53">
          <cell r="O53" t="str">
            <v>(3) 2010 EPS allocated by segment operating profit.</v>
          </cell>
          <cell r="Z53" t="str">
            <v>Rolling LTM EBITDA Valuation</v>
          </cell>
        </row>
        <row r="55">
          <cell r="AB55">
            <v>39994</v>
          </cell>
          <cell r="AC55">
            <v>40086</v>
          </cell>
          <cell r="AD55">
            <v>40451</v>
          </cell>
        </row>
        <row r="57">
          <cell r="Z57" t="str">
            <v>LTM EBITDA</v>
          </cell>
          <cell r="AB57">
            <v>1075</v>
          </cell>
          <cell r="AC57">
            <v>1050</v>
          </cell>
          <cell r="AD57">
            <v>1019.1784615384616</v>
          </cell>
        </row>
        <row r="59">
          <cell r="Z59" t="str">
            <v>Rolling valuation at today's trough multiples…</v>
          </cell>
        </row>
        <row r="60">
          <cell r="Z60" t="str">
            <v>Target Multiple</v>
          </cell>
          <cell r="AB60">
            <v>7</v>
          </cell>
          <cell r="AC60">
            <v>7</v>
          </cell>
          <cell r="AD60">
            <v>7</v>
          </cell>
        </row>
        <row r="61">
          <cell r="Z61" t="str">
            <v>Enterprise Value ($Bn)</v>
          </cell>
          <cell r="AB61">
            <v>7.5250000000000004</v>
          </cell>
          <cell r="AC61">
            <v>7.3500000000000005</v>
          </cell>
          <cell r="AD61">
            <v>7.1342492307692318</v>
          </cell>
        </row>
        <row r="62">
          <cell r="Z62" t="str">
            <v>Equity Value ($Bn)</v>
          </cell>
          <cell r="AB62" t="e">
            <v>#REF!</v>
          </cell>
          <cell r="AC62" t="e">
            <v>#REF!</v>
          </cell>
          <cell r="AD62" t="e">
            <v>#REF!</v>
          </cell>
        </row>
        <row r="63">
          <cell r="Z63" t="str">
            <v>Implied Price</v>
          </cell>
          <cell r="AB63" t="e">
            <v>#REF!</v>
          </cell>
          <cell r="AC63" t="e">
            <v>#REF!</v>
          </cell>
          <cell r="AD63" t="e">
            <v>#REF!</v>
          </cell>
        </row>
        <row r="65">
          <cell r="Z65" t="str">
            <v>If multiples return to post 9/11 lows…</v>
          </cell>
        </row>
        <row r="66">
          <cell r="Z66" t="str">
            <v>Target Multiple</v>
          </cell>
          <cell r="AB66">
            <v>9</v>
          </cell>
          <cell r="AC66">
            <v>9</v>
          </cell>
          <cell r="AD66">
            <v>9</v>
          </cell>
        </row>
        <row r="67">
          <cell r="P67">
            <v>39748</v>
          </cell>
          <cell r="Q67">
            <v>40283</v>
          </cell>
          <cell r="Z67" t="str">
            <v>Enterprise Value</v>
          </cell>
          <cell r="AB67">
            <v>9.6750000000000007</v>
          </cell>
          <cell r="AC67">
            <v>9.4500000000000011</v>
          </cell>
          <cell r="AD67">
            <v>9.1726061538461554</v>
          </cell>
        </row>
        <row r="68">
          <cell r="O68" t="str">
            <v>COL</v>
          </cell>
          <cell r="P68">
            <v>31.59</v>
          </cell>
          <cell r="Q68" t="str">
            <v>#Calc</v>
          </cell>
          <cell r="R68" t="e">
            <v>#VALUE!</v>
          </cell>
          <cell r="Z68" t="str">
            <v>Equity Value</v>
          </cell>
          <cell r="AB68" t="e">
            <v>#REF!</v>
          </cell>
          <cell r="AC68" t="e">
            <v>#REF!</v>
          </cell>
          <cell r="AD68" t="e">
            <v>#REF!</v>
          </cell>
        </row>
        <row r="69">
          <cell r="O69" t="str">
            <v>SP50</v>
          </cell>
          <cell r="P69">
            <v>848.92</v>
          </cell>
          <cell r="Q69" t="str">
            <v>#Calc</v>
          </cell>
          <cell r="R69" t="e">
            <v>#VALUE!</v>
          </cell>
          <cell r="Z69" t="str">
            <v>Implied Price</v>
          </cell>
          <cell r="AB69" t="e">
            <v>#REF!</v>
          </cell>
          <cell r="AC69" t="e">
            <v>#REF!</v>
          </cell>
          <cell r="AD69" t="e">
            <v>#REF!</v>
          </cell>
        </row>
        <row r="70">
          <cell r="R70" t="e">
            <v>#VALUE!</v>
          </cell>
        </row>
        <row r="71">
          <cell r="AH71" t="str">
            <v>COL</v>
          </cell>
        </row>
        <row r="72">
          <cell r="AJ72">
            <v>64.05</v>
          </cell>
          <cell r="AK72" t="str">
            <v>Current Price</v>
          </cell>
        </row>
        <row r="74">
          <cell r="AO74" t="str">
            <v>Implied</v>
          </cell>
          <cell r="AP74" t="str">
            <v>2011 P/E</v>
          </cell>
          <cell r="AR74" t="str">
            <v>Implied Value</v>
          </cell>
        </row>
        <row r="75">
          <cell r="AM75" t="str">
            <v>EBIT</v>
          </cell>
          <cell r="AN75" t="str">
            <v>% Total</v>
          </cell>
          <cell r="AO75" t="str">
            <v>EPS</v>
          </cell>
          <cell r="AP75" t="str">
            <v xml:space="preserve">Low </v>
          </cell>
          <cell r="AQ75" t="str">
            <v xml:space="preserve">High </v>
          </cell>
          <cell r="AR75" t="str">
            <v xml:space="preserve">Low </v>
          </cell>
          <cell r="AS75" t="str">
            <v xml:space="preserve">High </v>
          </cell>
        </row>
        <row r="77">
          <cell r="AI77" t="str">
            <v>Government Systems</v>
          </cell>
          <cell r="AM77">
            <v>630.48249999999996</v>
          </cell>
          <cell r="AN77">
            <v>0.61246817167741208</v>
          </cell>
          <cell r="AO77">
            <v>2.6403668868014867</v>
          </cell>
          <cell r="AP77">
            <v>12</v>
          </cell>
          <cell r="AQ77">
            <v>14</v>
          </cell>
          <cell r="AR77">
            <v>31.68440264161784</v>
          </cell>
          <cell r="AS77">
            <v>36.965136415220812</v>
          </cell>
        </row>
        <row r="79">
          <cell r="AI79" t="str">
            <v>Commercial Systems</v>
          </cell>
          <cell r="AM79">
            <v>398.9301767</v>
          </cell>
          <cell r="AN79">
            <v>0.38753182832258781</v>
          </cell>
          <cell r="AO79">
            <v>1.6706602145254563</v>
          </cell>
          <cell r="AP79">
            <v>19.37293836112298</v>
          </cell>
          <cell r="AQ79">
            <v>16.21207193975857</v>
          </cell>
          <cell r="AR79">
            <v>32.365597358382161</v>
          </cell>
          <cell r="AS79">
            <v>27.084863584779185</v>
          </cell>
        </row>
        <row r="81">
          <cell r="AH81" t="str">
            <v>Total Segmet EBIT</v>
          </cell>
          <cell r="AM81">
            <v>1029.4126767</v>
          </cell>
          <cell r="AN81">
            <v>0.99999999999999989</v>
          </cell>
          <cell r="AO81">
            <v>4.3110271013269434</v>
          </cell>
          <cell r="AP81">
            <v>14.85724828319573</v>
          </cell>
          <cell r="AQ81">
            <v>14.85724828319573</v>
          </cell>
          <cell r="AR81">
            <v>64.05</v>
          </cell>
          <cell r="AS81">
            <v>64.05</v>
          </cell>
        </row>
        <row r="83">
          <cell r="AH83" t="str">
            <v xml:space="preserve">Eliminations &amp; Corporate </v>
          </cell>
          <cell r="AM83">
            <v>-72.25</v>
          </cell>
        </row>
        <row r="85">
          <cell r="AH85" t="str">
            <v>EBIT</v>
          </cell>
          <cell r="AM85">
            <v>957.16267670000002</v>
          </cell>
        </row>
        <row r="87">
          <cell r="AH87" t="str">
            <v>BA</v>
          </cell>
        </row>
        <row r="88">
          <cell r="AJ88">
            <v>69.5</v>
          </cell>
          <cell r="AK88" t="str">
            <v>Current Price</v>
          </cell>
        </row>
        <row r="90">
          <cell r="AO90" t="str">
            <v>Implied</v>
          </cell>
          <cell r="AP90" t="str">
            <v>2011 P/E</v>
          </cell>
          <cell r="AR90" t="str">
            <v>Implied Value</v>
          </cell>
        </row>
        <row r="91">
          <cell r="AM91" t="str">
            <v>EBIT</v>
          </cell>
          <cell r="AN91" t="str">
            <v>% Total</v>
          </cell>
          <cell r="AO91" t="str">
            <v>EPS</v>
          </cell>
          <cell r="AP91" t="str">
            <v xml:space="preserve">Low </v>
          </cell>
          <cell r="AQ91" t="str">
            <v xml:space="preserve">High </v>
          </cell>
          <cell r="AR91" t="str">
            <v xml:space="preserve">Low </v>
          </cell>
          <cell r="AS91" t="str">
            <v xml:space="preserve">High </v>
          </cell>
        </row>
        <row r="93">
          <cell r="AI93" t="str">
            <v>Defense</v>
          </cell>
          <cell r="AM93">
            <v>2823.85</v>
          </cell>
          <cell r="AN93">
            <v>0.46390109381342148</v>
          </cell>
          <cell r="AO93">
            <v>1.9006451329606506</v>
          </cell>
          <cell r="AP93">
            <v>10</v>
          </cell>
          <cell r="AQ93">
            <v>12</v>
          </cell>
          <cell r="AR93">
            <v>19.006451329606506</v>
          </cell>
          <cell r="AS93">
            <v>22.807741595527808</v>
          </cell>
        </row>
        <row r="95">
          <cell r="AI95" t="str">
            <v>BCA</v>
          </cell>
          <cell r="AM95">
            <v>3263.33116352564</v>
          </cell>
          <cell r="AN95">
            <v>0.53609890618657852</v>
          </cell>
          <cell r="AO95">
            <v>2.1964461615148907</v>
          </cell>
          <cell r="AP95">
            <v>22.988748622715182</v>
          </cell>
          <cell r="AQ95">
            <v>21.258093743699369</v>
          </cell>
          <cell r="AR95">
            <v>50.493548670393494</v>
          </cell>
          <cell r="AS95">
            <v>46.692258404472192</v>
          </cell>
        </row>
        <row r="97">
          <cell r="AH97" t="str">
            <v>Total Segmet EBIT</v>
          </cell>
          <cell r="AM97">
            <v>6087.1811635256399</v>
          </cell>
          <cell r="AN97">
            <v>1</v>
          </cell>
          <cell r="AO97">
            <v>4.0970912944755415</v>
          </cell>
          <cell r="AP97">
            <v>16.963253929370037</v>
          </cell>
          <cell r="AQ97">
            <v>16.963253929370037</v>
          </cell>
          <cell r="AR97">
            <v>69.5</v>
          </cell>
          <cell r="AS97">
            <v>69.5</v>
          </cell>
        </row>
        <row r="100">
          <cell r="AH100" t="str">
            <v>COL CONS</v>
          </cell>
        </row>
        <row r="101">
          <cell r="AN101" t="str">
            <v>Implied</v>
          </cell>
          <cell r="AO101" t="str">
            <v>2011 P/E</v>
          </cell>
          <cell r="AQ101" t="str">
            <v>Implied Value</v>
          </cell>
        </row>
        <row r="102">
          <cell r="AM102" t="str">
            <v>% Total</v>
          </cell>
          <cell r="AN102" t="str">
            <v>EPS</v>
          </cell>
          <cell r="AO102" t="str">
            <v xml:space="preserve">Low </v>
          </cell>
          <cell r="AP102" t="str">
            <v xml:space="preserve">High </v>
          </cell>
          <cell r="AQ102" t="str">
            <v xml:space="preserve">Low </v>
          </cell>
          <cell r="AR102" t="str">
            <v xml:space="preserve">High </v>
          </cell>
        </row>
        <row r="104">
          <cell r="AJ104" t="str">
            <v>Government Systems</v>
          </cell>
          <cell r="AM104">
            <v>0.61246817167741208</v>
          </cell>
          <cell r="AN104">
            <v>2.5647104688991629</v>
          </cell>
          <cell r="AO104">
            <v>12</v>
          </cell>
          <cell r="AP104">
            <v>14</v>
          </cell>
          <cell r="AQ104">
            <v>30.776525626789955</v>
          </cell>
          <cell r="AR104">
            <v>35.905946564588277</v>
          </cell>
        </row>
        <row r="106">
          <cell r="AJ106" t="str">
            <v>Commercial Systems</v>
          </cell>
          <cell r="AM106">
            <v>0.38753182832258781</v>
          </cell>
          <cell r="AN106">
            <v>1.6227895311008365</v>
          </cell>
          <cell r="AO106">
            <v>20.503875416695983</v>
          </cell>
          <cell r="AP106">
            <v>17.343008995331576</v>
          </cell>
          <cell r="AQ106">
            <v>33.273474373210043</v>
          </cell>
          <cell r="AR106">
            <v>28.14405343541172</v>
          </cell>
        </row>
        <row r="108">
          <cell r="AN108">
            <v>4.1875</v>
          </cell>
          <cell r="AO108">
            <v>15.2955223880597</v>
          </cell>
          <cell r="AP108">
            <v>15.2955223880597</v>
          </cell>
          <cell r="AQ108">
            <v>64.05</v>
          </cell>
          <cell r="AR108">
            <v>64.05</v>
          </cell>
        </row>
        <row r="110">
          <cell r="AH110" t="str">
            <v>BA CONS</v>
          </cell>
        </row>
        <row r="111">
          <cell r="AN111" t="str">
            <v>Implied</v>
          </cell>
          <cell r="AO111" t="str">
            <v>2011 P/E</v>
          </cell>
          <cell r="AQ111" t="str">
            <v>Implied Value</v>
          </cell>
        </row>
        <row r="112">
          <cell r="AM112" t="str">
            <v>% Total</v>
          </cell>
          <cell r="AN112" t="str">
            <v>EPS</v>
          </cell>
          <cell r="AO112" t="str">
            <v xml:space="preserve">Low </v>
          </cell>
          <cell r="AP112" t="str">
            <v xml:space="preserve">High </v>
          </cell>
          <cell r="AQ112" t="str">
            <v xml:space="preserve">Low </v>
          </cell>
          <cell r="AR112" t="str">
            <v xml:space="preserve">High </v>
          </cell>
        </row>
        <row r="114">
          <cell r="AJ114" t="str">
            <v>Government Systems</v>
          </cell>
          <cell r="AM114">
            <v>0.46390109381342148</v>
          </cell>
          <cell r="AN114">
            <v>1.9530236049545044</v>
          </cell>
          <cell r="AO114">
            <v>10</v>
          </cell>
          <cell r="AP114">
            <v>12</v>
          </cell>
          <cell r="AQ114">
            <v>19.530236049545046</v>
          </cell>
          <cell r="AR114">
            <v>23.436283259454054</v>
          </cell>
        </row>
        <row r="116">
          <cell r="AJ116" t="str">
            <v>Commercial Systems</v>
          </cell>
          <cell r="AM116">
            <v>0.53609890618657852</v>
          </cell>
          <cell r="AN116">
            <v>2.2569763950454957</v>
          </cell>
          <cell r="AO116">
            <v>22.140135829576398</v>
          </cell>
          <cell r="AP116">
            <v>20.409480950560582</v>
          </cell>
          <cell r="AQ116">
            <v>49.969763950454954</v>
          </cell>
          <cell r="AR116">
            <v>46.063716740545942</v>
          </cell>
        </row>
        <row r="118">
          <cell r="AN118">
            <v>4.21</v>
          </cell>
          <cell r="AO118">
            <v>16.5083135391924</v>
          </cell>
          <cell r="AP118">
            <v>16.5083135391924</v>
          </cell>
          <cell r="AQ118">
            <v>69.5</v>
          </cell>
          <cell r="AR118">
            <v>69.5</v>
          </cell>
          <cell r="AU118" t="str">
            <v>MS #'s</v>
          </cell>
        </row>
        <row r="120">
          <cell r="AV120" t="str">
            <v xml:space="preserve">Implied Commercial </v>
          </cell>
        </row>
        <row r="121">
          <cell r="AV121" t="str">
            <v>Earnings Multiple</v>
          </cell>
        </row>
        <row r="122">
          <cell r="AU122" t="str">
            <v>BA</v>
          </cell>
          <cell r="AV122">
            <v>21.258093743699369</v>
          </cell>
          <cell r="AW122">
            <v>22.988748622715182</v>
          </cell>
        </row>
        <row r="123">
          <cell r="AU123" t="str">
            <v>COL</v>
          </cell>
          <cell r="AV123">
            <v>16.21207193975857</v>
          </cell>
          <cell r="AW123">
            <v>19.37293836112298</v>
          </cell>
        </row>
        <row r="124">
          <cell r="AU124" t="str">
            <v>Difference</v>
          </cell>
          <cell r="AV124">
            <v>5.0460218039407998</v>
          </cell>
          <cell r="AW124">
            <v>3.6158102615922019</v>
          </cell>
        </row>
        <row r="126">
          <cell r="AU126" t="str">
            <v>CONS</v>
          </cell>
        </row>
        <row r="128">
          <cell r="AV128" t="str">
            <v xml:space="preserve">Implied Commercial </v>
          </cell>
        </row>
        <row r="129">
          <cell r="AV129" t="str">
            <v>Earnings Multiple</v>
          </cell>
        </row>
        <row r="130">
          <cell r="AU130" t="str">
            <v>BA</v>
          </cell>
          <cell r="AV130">
            <v>20.409480950560582</v>
          </cell>
          <cell r="AW130">
            <v>22.140135829576398</v>
          </cell>
        </row>
        <row r="131">
          <cell r="AU131" t="str">
            <v>COL</v>
          </cell>
          <cell r="AV131">
            <v>17.343008995331576</v>
          </cell>
          <cell r="AW131">
            <v>20.503875416695983</v>
          </cell>
        </row>
        <row r="132">
          <cell r="AU132" t="str">
            <v>Difference</v>
          </cell>
          <cell r="AV132">
            <v>3.0664719552290052</v>
          </cell>
          <cell r="AW132">
            <v>1.6362604128804143</v>
          </cell>
        </row>
      </sheetData>
      <sheetData sheetId="5" refreshError="1"/>
      <sheetData sheetId="6" refreshError="1"/>
      <sheetData sheetId="7" refreshError="1">
        <row r="1">
          <cell r="A1" t="str">
            <v>Rockwell Collins, Inc.</v>
          </cell>
        </row>
        <row r="2">
          <cell r="A2" t="str">
            <v>Sum-of-the-Parts Valuation Analysis</v>
          </cell>
        </row>
        <row r="3">
          <cell r="A3" t="str">
            <v>Morgan Stanley Research</v>
          </cell>
        </row>
        <row r="4">
          <cell r="A4" t="str">
            <v>($ in Millions Except EPS)</v>
          </cell>
        </row>
        <row r="5">
          <cell r="A5" t="str">
            <v>Model Updated: 4/10</v>
          </cell>
        </row>
        <row r="8">
          <cell r="B8" t="str">
            <v>Current Peer Multiple SOTP: 2012 P/E Basis</v>
          </cell>
        </row>
        <row r="10">
          <cell r="I10" t="str">
            <v>Implied</v>
          </cell>
          <cell r="J10" t="str">
            <v>Peer</v>
          </cell>
          <cell r="K10" t="str">
            <v>Implied</v>
          </cell>
        </row>
        <row r="11">
          <cell r="G11" t="str">
            <v>EBIT</v>
          </cell>
          <cell r="H11" t="str">
            <v>% Total</v>
          </cell>
          <cell r="I11" t="str">
            <v>EPS</v>
          </cell>
          <cell r="J11" t="str">
            <v>P/E</v>
          </cell>
          <cell r="K11" t="str">
            <v>Value</v>
          </cell>
          <cell r="L11" t="str">
            <v>% Total</v>
          </cell>
          <cell r="N11" t="str">
            <v>Best Trading Comps</v>
          </cell>
        </row>
        <row r="12">
          <cell r="C12" t="str">
            <v>Commercial Systems</v>
          </cell>
          <cell r="G12">
            <v>439.625</v>
          </cell>
          <cell r="H12">
            <v>0.40395571074152348</v>
          </cell>
          <cell r="I12">
            <v>1.715291211886153</v>
          </cell>
          <cell r="J12">
            <v>16</v>
          </cell>
          <cell r="K12">
            <v>27.5</v>
          </cell>
          <cell r="L12">
            <v>0.37671232876712329</v>
          </cell>
          <cell r="N12" t="str">
            <v>Thales, Honeywell, Aerospace suppliers (i.e. Goodrich)</v>
          </cell>
        </row>
        <row r="14">
          <cell r="C14" t="str">
            <v>Government Systems</v>
          </cell>
          <cell r="G14">
            <v>648.67499999999995</v>
          </cell>
          <cell r="H14">
            <v>0.59604428925847652</v>
          </cell>
          <cell r="I14">
            <v>2.5309446161393239</v>
          </cell>
          <cell r="J14">
            <v>18</v>
          </cell>
          <cell r="K14">
            <v>45.5</v>
          </cell>
          <cell r="L14">
            <v>0.62328767123287676</v>
          </cell>
          <cell r="N14" t="str">
            <v>Thales, CAE, ViaSat, Harris</v>
          </cell>
        </row>
        <row r="16">
          <cell r="B16" t="str">
            <v>Total Segmet EBIT</v>
          </cell>
          <cell r="G16">
            <v>1088.3</v>
          </cell>
          <cell r="H16">
            <v>1</v>
          </cell>
          <cell r="I16">
            <v>4.2462358280254771</v>
          </cell>
          <cell r="J16">
            <v>17.19169705982755</v>
          </cell>
          <cell r="K16">
            <v>73</v>
          </cell>
          <cell r="L16">
            <v>1</v>
          </cell>
        </row>
        <row r="18">
          <cell r="B18" t="str">
            <v>Eliminations &amp; Corporate expense</v>
          </cell>
          <cell r="G18">
            <v>-76.377499999999998</v>
          </cell>
        </row>
        <row r="20">
          <cell r="B20" t="str">
            <v>EBIT</v>
          </cell>
          <cell r="G20">
            <v>1011.9224999999999</v>
          </cell>
        </row>
        <row r="23">
          <cell r="B23" t="str">
            <v>Peer CY2012 P/E Valuation</v>
          </cell>
        </row>
        <row r="25">
          <cell r="B25" t="str">
            <v>COL</v>
          </cell>
          <cell r="D25" t="str">
            <v>Ticker</v>
          </cell>
          <cell r="F25" t="str">
            <v>Company</v>
          </cell>
          <cell r="J25" t="str">
            <v xml:space="preserve">Price </v>
          </cell>
          <cell r="K25" t="str">
            <v xml:space="preserve">EPS </v>
          </cell>
          <cell r="L25" t="str">
            <v xml:space="preserve">P/E </v>
          </cell>
          <cell r="N25" t="str">
            <v>Comments</v>
          </cell>
        </row>
        <row r="26">
          <cell r="C26" t="str">
            <v>Commercial Systems</v>
          </cell>
          <cell r="D26">
            <v>63.73</v>
          </cell>
          <cell r="E26" t="str">
            <v>Current Price</v>
          </cell>
        </row>
        <row r="27">
          <cell r="D27" t="str">
            <v>HON</v>
          </cell>
          <cell r="F27" t="str">
            <v>Honeywell International Inc.</v>
          </cell>
          <cell r="J27">
            <v>45.25</v>
          </cell>
          <cell r="K27">
            <v>2.9610069999999999</v>
          </cell>
          <cell r="L27">
            <v>15.281963196979946</v>
          </cell>
          <cell r="N27">
            <v>14</v>
          </cell>
          <cell r="O27">
            <v>16</v>
          </cell>
          <cell r="P27">
            <v>15</v>
          </cell>
        </row>
        <row r="28">
          <cell r="D28" t="str">
            <v>HO-FR</v>
          </cell>
          <cell r="F28" t="str">
            <v>Thales S.A.</v>
          </cell>
          <cell r="I28" t="str">
            <v>Implied</v>
          </cell>
          <cell r="J28">
            <v>29.28</v>
          </cell>
          <cell r="K28">
            <v>2.9053459999999998</v>
          </cell>
          <cell r="L28">
            <v>10.077973501262846</v>
          </cell>
          <cell r="N28">
            <v>12</v>
          </cell>
          <cell r="O28">
            <v>14</v>
          </cell>
          <cell r="P28">
            <v>13</v>
          </cell>
        </row>
        <row r="29">
          <cell r="D29" t="str">
            <v>GR</v>
          </cell>
          <cell r="F29" t="str">
            <v>Goodrich Corp.</v>
          </cell>
          <cell r="G29" t="str">
            <v>EBIT</v>
          </cell>
          <cell r="H29" t="str">
            <v>% Total</v>
          </cell>
          <cell r="I29" t="str">
            <v>EPS</v>
          </cell>
          <cell r="J29">
            <v>70.430000000000007</v>
          </cell>
          <cell r="K29">
            <v>5.0086729999999999</v>
          </cell>
          <cell r="L29">
            <v>14.061608733490889</v>
          </cell>
          <cell r="M29" t="str">
            <v xml:space="preserve">High </v>
          </cell>
          <cell r="N29">
            <v>14</v>
          </cell>
          <cell r="O29">
            <v>18</v>
          </cell>
          <cell r="P29">
            <v>16</v>
          </cell>
        </row>
        <row r="30">
          <cell r="C30" t="str">
            <v>Government Systems</v>
          </cell>
        </row>
        <row r="31">
          <cell r="C31" t="str">
            <v>Government Systems</v>
          </cell>
          <cell r="D31" t="str">
            <v>HO-FR</v>
          </cell>
          <cell r="F31" t="str">
            <v>Thales S.A.</v>
          </cell>
          <cell r="G31">
            <v>630.48249999999996</v>
          </cell>
          <cell r="H31">
            <v>0.61246817167741208</v>
          </cell>
          <cell r="I31">
            <v>2.6403668868014867</v>
          </cell>
          <cell r="J31">
            <v>29.28</v>
          </cell>
          <cell r="K31">
            <v>2.9053459999999998</v>
          </cell>
          <cell r="L31">
            <v>10.077973501262846</v>
          </cell>
          <cell r="M31">
            <v>36.965136415220812</v>
          </cell>
          <cell r="N31">
            <v>12</v>
          </cell>
          <cell r="O31">
            <v>14</v>
          </cell>
          <cell r="P31">
            <v>13</v>
          </cell>
        </row>
        <row r="32">
          <cell r="D32" t="str">
            <v>CAE-CA</v>
          </cell>
          <cell r="F32" t="str">
            <v>CAE Inc.</v>
          </cell>
          <cell r="J32">
            <v>10.210000000000001</v>
          </cell>
          <cell r="K32">
            <v>0.70489889999999999</v>
          </cell>
          <cell r="L32">
            <v>14.484346620486996</v>
          </cell>
          <cell r="N32">
            <v>15</v>
          </cell>
          <cell r="O32">
            <v>20</v>
          </cell>
          <cell r="P32">
            <v>17.5</v>
          </cell>
        </row>
        <row r="33">
          <cell r="C33" t="str">
            <v>Commercial Systems</v>
          </cell>
          <cell r="D33" t="str">
            <v>VSAT</v>
          </cell>
          <cell r="F33" t="str">
            <v>ViaSat Inc.</v>
          </cell>
          <cell r="G33">
            <v>398.9301767</v>
          </cell>
          <cell r="H33">
            <v>0.38753182832258781</v>
          </cell>
          <cell r="I33">
            <v>1.6706602145254563</v>
          </cell>
          <cell r="J33">
            <v>34.99</v>
          </cell>
          <cell r="K33">
            <v>1.8557079999999999</v>
          </cell>
          <cell r="L33">
            <v>18.855337154336784</v>
          </cell>
          <cell r="M33">
            <v>26.764863584779185</v>
          </cell>
          <cell r="N33">
            <v>18</v>
          </cell>
          <cell r="O33">
            <v>22</v>
          </cell>
          <cell r="P33">
            <v>20</v>
          </cell>
        </row>
        <row r="34">
          <cell r="D34" t="str">
            <v>ESLT</v>
          </cell>
          <cell r="F34" t="str">
            <v>Elbit Systems Ltd.</v>
          </cell>
          <cell r="J34">
            <v>64.61</v>
          </cell>
          <cell r="K34">
            <v>5.4442360000000001</v>
          </cell>
          <cell r="L34">
            <v>11.867597216579149</v>
          </cell>
          <cell r="N34">
            <v>14</v>
          </cell>
          <cell r="O34">
            <v>18</v>
          </cell>
          <cell r="P34">
            <v>16</v>
          </cell>
        </row>
        <row r="35">
          <cell r="B35" t="str">
            <v>Total Segmet EBIT</v>
          </cell>
          <cell r="D35" t="str">
            <v>HRS</v>
          </cell>
          <cell r="F35" t="str">
            <v>Harris Corp.</v>
          </cell>
          <cell r="G35">
            <v>1029.4126767</v>
          </cell>
          <cell r="H35">
            <v>0.99999999999999989</v>
          </cell>
          <cell r="I35">
            <v>4.3110271013269434</v>
          </cell>
          <cell r="J35">
            <v>48.45</v>
          </cell>
          <cell r="K35">
            <v>4.3130939999999995</v>
          </cell>
          <cell r="L35">
            <v>11.233235352626213</v>
          </cell>
          <cell r="M35">
            <v>63.73</v>
          </cell>
          <cell r="N35">
            <v>15</v>
          </cell>
          <cell r="O35">
            <v>20</v>
          </cell>
          <cell r="P35">
            <v>17.5</v>
          </cell>
        </row>
        <row r="36">
          <cell r="C36" t="str">
            <v>Competitors Listed in COL 10-K</v>
          </cell>
        </row>
        <row r="37">
          <cell r="B37" t="str">
            <v xml:space="preserve">Eliminations &amp; Corporate </v>
          </cell>
          <cell r="D37" t="str">
            <v>HON</v>
          </cell>
          <cell r="F37" t="str">
            <v>Honeywell International Inc.</v>
          </cell>
          <cell r="G37">
            <v>-72.25</v>
          </cell>
          <cell r="J37">
            <v>45.25</v>
          </cell>
          <cell r="K37">
            <v>2.9610069999999999</v>
          </cell>
          <cell r="L37">
            <v>15.281963196979946</v>
          </cell>
          <cell r="N37" t="str">
            <v>Avionics competitor but diversified industrial conglomerate</v>
          </cell>
        </row>
        <row r="38">
          <cell r="D38" t="str">
            <v>HO-FR</v>
          </cell>
          <cell r="F38" t="str">
            <v>Thales S.A.</v>
          </cell>
          <cell r="J38">
            <v>29.28</v>
          </cell>
          <cell r="K38">
            <v>2.9053459999999998</v>
          </cell>
          <cell r="L38">
            <v>10.077973501262846</v>
          </cell>
          <cell r="N38" t="str">
            <v>Best overall comp</v>
          </cell>
        </row>
        <row r="39">
          <cell r="B39" t="str">
            <v>EBIT</v>
          </cell>
          <cell r="D39" t="str">
            <v>PC</v>
          </cell>
          <cell r="F39" t="str">
            <v>Panasonic Corp. (ADS)</v>
          </cell>
          <cell r="G39">
            <v>957.16267670000002</v>
          </cell>
          <cell r="J39">
            <v>15.33</v>
          </cell>
          <cell r="K39">
            <v>0.73164940000000001</v>
          </cell>
          <cell r="L39">
            <v>20.952658472760312</v>
          </cell>
          <cell r="N39" t="str">
            <v>Not a revelent public market comp. Consumer electronics company.</v>
          </cell>
        </row>
        <row r="40">
          <cell r="D40" t="str">
            <v>RTN</v>
          </cell>
          <cell r="F40" t="str">
            <v>Raytheon Co.</v>
          </cell>
          <cell r="J40">
            <v>56.81</v>
          </cell>
          <cell r="K40">
            <v>5.2703749999999996</v>
          </cell>
          <cell r="L40">
            <v>10.779119132889027</v>
          </cell>
          <cell r="N40" t="str">
            <v>Defense primes have less attactive margin and growth profile than COL</v>
          </cell>
        </row>
        <row r="41">
          <cell r="B41" t="str">
            <v>2012 Annualized PE Multiple</v>
          </cell>
          <cell r="D41" t="str">
            <v>HRS</v>
          </cell>
          <cell r="F41" t="str">
            <v>Harris Corp.</v>
          </cell>
          <cell r="J41">
            <v>48.45</v>
          </cell>
          <cell r="K41">
            <v>4.3130939999999995</v>
          </cell>
          <cell r="L41">
            <v>11.233235352626213</v>
          </cell>
          <cell r="N41" t="str">
            <v>Close competitor for Government systems but trades like Defense primes</v>
          </cell>
        </row>
        <row r="42">
          <cell r="D42" t="str">
            <v>BA-GB</v>
          </cell>
          <cell r="F42" t="str">
            <v>BAE Systems PLC</v>
          </cell>
          <cell r="I42" t="str">
            <v>Implied</v>
          </cell>
          <cell r="J42">
            <v>3.7050000000000001</v>
          </cell>
          <cell r="K42">
            <v>0.43944610000000001</v>
          </cell>
          <cell r="L42">
            <v>8.4310681105145768</v>
          </cell>
          <cell r="N42" t="str">
            <v>Defense primes have less attactive margin and growth profile than COL</v>
          </cell>
        </row>
        <row r="43">
          <cell r="D43" t="str">
            <v>GD</v>
          </cell>
          <cell r="F43" t="str">
            <v>General Dynamics Corp.</v>
          </cell>
          <cell r="G43" t="str">
            <v>EBIT</v>
          </cell>
          <cell r="H43" t="str">
            <v>% Total</v>
          </cell>
          <cell r="I43" t="str">
            <v>EPS</v>
          </cell>
          <cell r="J43">
            <v>76.47</v>
          </cell>
          <cell r="K43">
            <v>6.9860530000000001</v>
          </cell>
          <cell r="L43">
            <v>10.946095026762608</v>
          </cell>
          <cell r="N43" t="str">
            <v>Defense primes have less attactive margin and growth profile than COL</v>
          </cell>
        </row>
        <row r="44">
          <cell r="C44" t="str">
            <v>Commercial Systems</v>
          </cell>
          <cell r="D44" t="str">
            <v>LLL</v>
          </cell>
          <cell r="F44" t="str">
            <v>L-3 Communications Holdings Inc.</v>
          </cell>
          <cell r="G44">
            <v>498.66588632000003</v>
          </cell>
          <cell r="H44">
            <v>0.43179549437468223</v>
          </cell>
          <cell r="I44">
            <v>2.1127525220745791</v>
          </cell>
          <cell r="J44">
            <v>92.67</v>
          </cell>
          <cell r="K44">
            <v>8.7632500000000011</v>
          </cell>
          <cell r="L44">
            <v>10.574843807947964</v>
          </cell>
          <cell r="N44" t="str">
            <v>Defense primes have less attactive margin and growth profile than COL</v>
          </cell>
        </row>
        <row r="45">
          <cell r="D45" t="str">
            <v>BA</v>
          </cell>
          <cell r="F45" t="str">
            <v>Boeing Co.</v>
          </cell>
          <cell r="J45">
            <v>72.099999999999994</v>
          </cell>
          <cell r="K45">
            <v>4.5076679999999998</v>
          </cell>
          <cell r="L45">
            <v>15.994966798797071</v>
          </cell>
          <cell r="N45" t="str">
            <v>Trades primarily on commercial aero OEM business</v>
          </cell>
        </row>
        <row r="46">
          <cell r="C46" t="str">
            <v>Government Systems</v>
          </cell>
          <cell r="D46" t="str">
            <v>NOC</v>
          </cell>
          <cell r="F46" t="str">
            <v>Northrop Grumman Corp.</v>
          </cell>
          <cell r="G46">
            <v>656.2</v>
          </cell>
          <cell r="H46">
            <v>0.56820450562531777</v>
          </cell>
          <cell r="I46">
            <v>2.7801946012719161</v>
          </cell>
          <cell r="J46">
            <v>65.22</v>
          </cell>
          <cell r="K46">
            <v>6.6385549999999993</v>
          </cell>
          <cell r="L46">
            <v>9.8244271531982488</v>
          </cell>
          <cell r="N46" t="str">
            <v>Defense primes have less attactive margin and growth profile than COL</v>
          </cell>
        </row>
        <row r="47">
          <cell r="D47" t="str">
            <v>CAE-CA</v>
          </cell>
          <cell r="F47" t="str">
            <v>CAE Inc.</v>
          </cell>
          <cell r="J47">
            <v>10.210000000000001</v>
          </cell>
          <cell r="K47">
            <v>0.70489889999999999</v>
          </cell>
          <cell r="L47">
            <v>14.484346620486996</v>
          </cell>
          <cell r="N47" t="str">
            <v>Good comp for Government Systems (simulation and training)</v>
          </cell>
        </row>
        <row r="48">
          <cell r="B48" t="str">
            <v>Total Segmet EBIT</v>
          </cell>
          <cell r="G48">
            <v>1154.8658863200001</v>
          </cell>
          <cell r="H48">
            <v>1</v>
          </cell>
          <cell r="I48">
            <v>4.8929471233464952</v>
          </cell>
          <cell r="J48">
            <v>15.634748970611884</v>
          </cell>
          <cell r="K48">
            <v>76.5</v>
          </cell>
          <cell r="L48">
            <v>1.0234113712374582</v>
          </cell>
        </row>
        <row r="50">
          <cell r="B50" t="str">
            <v xml:space="preserve">Eliminations &amp; Corporate </v>
          </cell>
          <cell r="C50" t="str">
            <v>Calendar Year</v>
          </cell>
          <cell r="E50">
            <v>2011</v>
          </cell>
          <cell r="G50">
            <v>-77</v>
          </cell>
        </row>
        <row r="52">
          <cell r="B52" t="str">
            <v>EBIT</v>
          </cell>
          <cell r="G52">
            <v>1077.8658863200001</v>
          </cell>
        </row>
        <row r="55">
          <cell r="B55" t="str">
            <v>Current Peer Multiple SOTP: 2013 P/E Basis - Year Ended Sept</v>
          </cell>
        </row>
        <row r="57">
          <cell r="I57" t="str">
            <v>Implied</v>
          </cell>
          <cell r="J57" t="str">
            <v>Peer</v>
          </cell>
          <cell r="K57" t="str">
            <v>Implied</v>
          </cell>
        </row>
        <row r="58">
          <cell r="G58" t="str">
            <v>EBIT</v>
          </cell>
          <cell r="H58" t="str">
            <v>% Total</v>
          </cell>
          <cell r="I58" t="str">
            <v>EPS</v>
          </cell>
          <cell r="J58" t="str">
            <v>P/E</v>
          </cell>
          <cell r="K58" t="str">
            <v>Value</v>
          </cell>
          <cell r="L58" t="str">
            <v>% Total</v>
          </cell>
        </row>
        <row r="59">
          <cell r="C59" t="str">
            <v>Commercial Systems</v>
          </cell>
          <cell r="G59">
            <v>548.63802487999999</v>
          </cell>
          <cell r="H59">
            <v>0.45299380715452248</v>
          </cell>
          <cell r="I59">
            <v>2.3468718580783743</v>
          </cell>
          <cell r="J59">
            <v>17</v>
          </cell>
          <cell r="K59">
            <v>40</v>
          </cell>
          <cell r="L59">
            <v>0.53511705685618727</v>
          </cell>
        </row>
        <row r="61">
          <cell r="C61" t="str">
            <v>Government Systems</v>
          </cell>
          <cell r="G61">
            <v>662.5</v>
          </cell>
          <cell r="H61">
            <v>0.54700619284547747</v>
          </cell>
          <cell r="I61">
            <v>2.8339315458803549</v>
          </cell>
          <cell r="J61">
            <v>11</v>
          </cell>
          <cell r="K61">
            <v>31.25</v>
          </cell>
          <cell r="L61">
            <v>0.41806020066889632</v>
          </cell>
        </row>
        <row r="63">
          <cell r="B63" t="str">
            <v>Total Segmet EBIT</v>
          </cell>
          <cell r="G63">
            <v>1211.1380248800001</v>
          </cell>
          <cell r="H63">
            <v>1</v>
          </cell>
          <cell r="I63">
            <v>5.1808034039587296</v>
          </cell>
          <cell r="J63">
            <v>13.752693249382288</v>
          </cell>
          <cell r="K63">
            <v>71.25</v>
          </cell>
          <cell r="L63">
            <v>0.95317725752508364</v>
          </cell>
        </row>
        <row r="65">
          <cell r="B65" t="str">
            <v xml:space="preserve">Eliminations &amp; Corporate </v>
          </cell>
          <cell r="G65">
            <v>-80</v>
          </cell>
        </row>
        <row r="67">
          <cell r="B67" t="str">
            <v>EBIT</v>
          </cell>
          <cell r="G67">
            <v>1131.1380248800001</v>
          </cell>
        </row>
        <row r="72">
          <cell r="B72" t="str">
            <v>Peer CY2012 P/E Valuation</v>
          </cell>
        </row>
        <row r="74">
          <cell r="D74" t="str">
            <v>Ticker</v>
          </cell>
          <cell r="F74" t="str">
            <v>Company</v>
          </cell>
          <cell r="J74" t="str">
            <v xml:space="preserve">Price </v>
          </cell>
          <cell r="K74" t="str">
            <v xml:space="preserve">EPS </v>
          </cell>
          <cell r="L74" t="str">
            <v xml:space="preserve">P/E </v>
          </cell>
          <cell r="N74" t="str">
            <v>Comments</v>
          </cell>
        </row>
        <row r="75">
          <cell r="C75" t="str">
            <v>Commercial Systems</v>
          </cell>
          <cell r="N75" t="str">
            <v>Historical Multiples</v>
          </cell>
        </row>
        <row r="76">
          <cell r="D76" t="str">
            <v>HON</v>
          </cell>
          <cell r="F76" t="str">
            <v>Honeywell International Inc.</v>
          </cell>
          <cell r="J76">
            <v>54.3</v>
          </cell>
          <cell r="K76">
            <v>4.3372820000000001</v>
          </cell>
          <cell r="L76">
            <v>12.519361203629369</v>
          </cell>
          <cell r="N76">
            <v>14</v>
          </cell>
          <cell r="O76">
            <v>16</v>
          </cell>
          <cell r="P76">
            <v>15</v>
          </cell>
        </row>
        <row r="77">
          <cell r="D77" t="str">
            <v>HO-FR</v>
          </cell>
          <cell r="F77" t="str">
            <v>Thales S.A.</v>
          </cell>
          <cell r="J77">
            <v>26.535</v>
          </cell>
          <cell r="K77">
            <v>3.5024700000000002</v>
          </cell>
          <cell r="L77">
            <v>7.5760820221158207</v>
          </cell>
          <cell r="N77">
            <v>12</v>
          </cell>
          <cell r="O77">
            <v>14</v>
          </cell>
          <cell r="P77">
            <v>13</v>
          </cell>
        </row>
        <row r="78">
          <cell r="D78" t="str">
            <v>GR</v>
          </cell>
          <cell r="F78" t="str">
            <v>Goodrich Corp.</v>
          </cell>
          <cell r="J78">
            <v>89.78</v>
          </cell>
          <cell r="K78">
            <v>6.0215500000000004</v>
          </cell>
          <cell r="L78">
            <v>14.909782365005688</v>
          </cell>
          <cell r="N78">
            <v>14</v>
          </cell>
          <cell r="O78">
            <v>18</v>
          </cell>
          <cell r="P78">
            <v>16</v>
          </cell>
        </row>
        <row r="79">
          <cell r="C79" t="str">
            <v>Government Systems</v>
          </cell>
        </row>
        <row r="80">
          <cell r="D80" t="str">
            <v>HO-FR</v>
          </cell>
          <cell r="F80" t="str">
            <v>Thales S.A.</v>
          </cell>
          <cell r="J80">
            <v>26.535</v>
          </cell>
          <cell r="K80">
            <v>3.5024700000000002</v>
          </cell>
          <cell r="L80">
            <v>7.5760820221158207</v>
          </cell>
          <cell r="N80">
            <v>12</v>
          </cell>
          <cell r="O80">
            <v>14</v>
          </cell>
          <cell r="P80">
            <v>13</v>
          </cell>
        </row>
        <row r="81">
          <cell r="D81" t="str">
            <v>CAE-CA</v>
          </cell>
          <cell r="F81" t="str">
            <v>CAE Inc.</v>
          </cell>
          <cell r="J81">
            <v>11.82</v>
          </cell>
          <cell r="K81">
            <v>0.82252179999999997</v>
          </cell>
          <cell r="L81">
            <v>14.370439786519945</v>
          </cell>
          <cell r="N81">
            <v>15</v>
          </cell>
          <cell r="O81">
            <v>20</v>
          </cell>
          <cell r="P81">
            <v>17.5</v>
          </cell>
        </row>
        <row r="82">
          <cell r="D82" t="str">
            <v>ESLT</v>
          </cell>
          <cell r="F82" t="str">
            <v>Elbit Systems Ltd.</v>
          </cell>
          <cell r="J82">
            <v>55.75</v>
          </cell>
          <cell r="K82">
            <v>4.8813000000000004</v>
          </cell>
          <cell r="L82">
            <v>11.421137811648535</v>
          </cell>
          <cell r="N82">
            <v>14</v>
          </cell>
          <cell r="O82">
            <v>18</v>
          </cell>
          <cell r="P82">
            <v>16</v>
          </cell>
        </row>
        <row r="83">
          <cell r="D83" t="str">
            <v>HRS</v>
          </cell>
          <cell r="F83" t="str">
            <v>Harris Corp.</v>
          </cell>
          <cell r="J83">
            <v>46.36</v>
          </cell>
          <cell r="K83">
            <v>5.2782029999999995</v>
          </cell>
          <cell r="L83">
            <v>8.7832923440042006</v>
          </cell>
          <cell r="N83">
            <v>15</v>
          </cell>
          <cell r="O83">
            <v>20</v>
          </cell>
          <cell r="P83">
            <v>17.5</v>
          </cell>
        </row>
        <row r="84">
          <cell r="C84" t="str">
            <v>Competitors Listed in COL 10-K</v>
          </cell>
        </row>
        <row r="85">
          <cell r="D85" t="str">
            <v>HON</v>
          </cell>
          <cell r="F85" t="str">
            <v>Honeywell International Inc.</v>
          </cell>
          <cell r="J85">
            <v>54.3</v>
          </cell>
          <cell r="K85">
            <v>4.3372820000000001</v>
          </cell>
          <cell r="L85">
            <v>12.519361203629369</v>
          </cell>
          <cell r="N85" t="str">
            <v>Avionics competitor but diversified industrial conglomerate</v>
          </cell>
        </row>
        <row r="86">
          <cell r="D86" t="str">
            <v>HO-FR</v>
          </cell>
          <cell r="F86" t="str">
            <v>Thales S.A.</v>
          </cell>
          <cell r="J86">
            <v>26.535</v>
          </cell>
          <cell r="K86">
            <v>3.5024700000000002</v>
          </cell>
          <cell r="L86">
            <v>7.5760820221158207</v>
          </cell>
          <cell r="N86" t="str">
            <v>Best overall comp</v>
          </cell>
        </row>
        <row r="87">
          <cell r="D87" t="str">
            <v>PC</v>
          </cell>
          <cell r="F87" t="str">
            <v>Panasonic Corp. ADS</v>
          </cell>
          <cell r="J87">
            <v>14.28</v>
          </cell>
          <cell r="K87">
            <v>0.97861139999999991</v>
          </cell>
          <cell r="L87">
            <v>14.592104690380676</v>
          </cell>
          <cell r="N87" t="str">
            <v>Not a revelent public market comp. Consumer electronics company.</v>
          </cell>
        </row>
        <row r="88">
          <cell r="D88" t="str">
            <v>RTN</v>
          </cell>
          <cell r="F88" t="str">
            <v>Raytheon Co.</v>
          </cell>
          <cell r="J88">
            <v>49.85</v>
          </cell>
          <cell r="K88">
            <v>5.4044609999999995</v>
          </cell>
          <cell r="L88">
            <v>9.2238615469701806</v>
          </cell>
          <cell r="N88" t="str">
            <v>Defense primes have less attactive margin and growth profile than COL</v>
          </cell>
        </row>
        <row r="89">
          <cell r="D89" t="str">
            <v>HRS</v>
          </cell>
          <cell r="F89" t="str">
            <v>Harris Corp.</v>
          </cell>
          <cell r="J89">
            <v>46.36</v>
          </cell>
          <cell r="K89">
            <v>5.2782029999999995</v>
          </cell>
          <cell r="L89">
            <v>8.7832923440042006</v>
          </cell>
          <cell r="N89" t="str">
            <v>Close competitor for Government systems but trades like Defense primes</v>
          </cell>
        </row>
        <row r="90">
          <cell r="D90" t="str">
            <v>BA-GB</v>
          </cell>
          <cell r="F90" t="str">
            <v>BAE Systems PLC</v>
          </cell>
          <cell r="J90">
            <v>3.468</v>
          </cell>
          <cell r="K90">
            <v>0.4393571</v>
          </cell>
          <cell r="L90">
            <v>7.8933514446449138</v>
          </cell>
          <cell r="N90" t="str">
            <v>Defense primes have less attactive margin and growth profile than COL</v>
          </cell>
        </row>
        <row r="91">
          <cell r="D91" t="str">
            <v>GD</v>
          </cell>
          <cell r="F91" t="str">
            <v>General Dynamics Corp.</v>
          </cell>
          <cell r="J91">
            <v>72.010000000000005</v>
          </cell>
          <cell r="K91">
            <v>7.7467000000000006</v>
          </cell>
          <cell r="L91">
            <v>9.2955710173364139</v>
          </cell>
          <cell r="N91" t="str">
            <v>Defense primes have less attactive margin and growth profile than COL</v>
          </cell>
        </row>
        <row r="92">
          <cell r="D92" t="str">
            <v>LLL</v>
          </cell>
          <cell r="F92" t="str">
            <v>L-3 Communications Holdings Inc.</v>
          </cell>
          <cell r="J92">
            <v>78.23</v>
          </cell>
          <cell r="K92">
            <v>8.9269999999999996</v>
          </cell>
          <cell r="L92">
            <v>8.7633023412120536</v>
          </cell>
          <cell r="N92" t="str">
            <v>Defense primes have less attactive margin and growth profile than COL</v>
          </cell>
        </row>
        <row r="93">
          <cell r="D93" t="str">
            <v>BA</v>
          </cell>
          <cell r="F93" t="str">
            <v>Boeing Co.</v>
          </cell>
          <cell r="J93">
            <v>69.38</v>
          </cell>
          <cell r="K93">
            <v>5.5007419999999998</v>
          </cell>
          <cell r="L93">
            <v>12.612843867245546</v>
          </cell>
          <cell r="N93" t="str">
            <v>Trades primarily on commercial aero OEM business</v>
          </cell>
        </row>
        <row r="94">
          <cell r="D94" t="str">
            <v>NOC</v>
          </cell>
          <cell r="F94" t="str">
            <v>Northrop Grumman Corp.</v>
          </cell>
          <cell r="J94">
            <v>68.06</v>
          </cell>
          <cell r="K94">
            <v>7.3796100000000004</v>
          </cell>
          <cell r="L94">
            <v>9.2227096011848868</v>
          </cell>
          <cell r="N94" t="str">
            <v>Defense primes have less attactive margin and growth profile than COL</v>
          </cell>
        </row>
        <row r="95">
          <cell r="D95" t="str">
            <v>CAE-CA</v>
          </cell>
          <cell r="F95" t="str">
            <v>CAE Inc.</v>
          </cell>
          <cell r="J95">
            <v>11.82</v>
          </cell>
          <cell r="K95">
            <v>0.82252179999999997</v>
          </cell>
          <cell r="L95">
            <v>14.370439786519945</v>
          </cell>
          <cell r="N95" t="str">
            <v>Good comp for Government Systems (simulation and training)</v>
          </cell>
        </row>
        <row r="98">
          <cell r="C98" t="str">
            <v>Calendar Year</v>
          </cell>
          <cell r="E98">
            <v>2012</v>
          </cell>
        </row>
      </sheetData>
      <sheetData sheetId="8" refreshError="1">
        <row r="1">
          <cell r="A1" t="str">
            <v>Rockwell Collins, Inc.</v>
          </cell>
        </row>
        <row r="2">
          <cell r="A2" t="str">
            <v>Government Systems Segment Detail</v>
          </cell>
        </row>
        <row r="3">
          <cell r="A3" t="str">
            <v>Morgan Stanley Research</v>
          </cell>
        </row>
        <row r="4">
          <cell r="A4" t="str">
            <v>($ in Millions Except EPS)</v>
          </cell>
        </row>
        <row r="5">
          <cell r="A5" t="str">
            <v>Model Updated: 4/10</v>
          </cell>
        </row>
        <row r="6">
          <cell r="A6" t="str">
            <v>Fiscal Year Ended Sept. 30</v>
          </cell>
          <cell r="E6">
            <v>2008</v>
          </cell>
          <cell r="I6" t="str">
            <v>2009A</v>
          </cell>
          <cell r="M6" t="str">
            <v>2010E</v>
          </cell>
          <cell r="Q6" t="str">
            <v>2011E</v>
          </cell>
          <cell r="U6" t="str">
            <v>2012E</v>
          </cell>
        </row>
        <row r="8">
          <cell r="E8" t="str">
            <v>Q1</v>
          </cell>
          <cell r="F8" t="str">
            <v>Q2</v>
          </cell>
          <cell r="G8" t="str">
            <v>Q3</v>
          </cell>
          <cell r="H8" t="str">
            <v>Q4</v>
          </cell>
          <cell r="I8" t="str">
            <v>Q1</v>
          </cell>
          <cell r="J8" t="str">
            <v>Q2</v>
          </cell>
          <cell r="K8" t="str">
            <v>Q3</v>
          </cell>
          <cell r="L8" t="str">
            <v>Q4</v>
          </cell>
          <cell r="M8" t="str">
            <v>Q1A</v>
          </cell>
          <cell r="N8" t="str">
            <v>Q2E</v>
          </cell>
          <cell r="O8" t="str">
            <v>Q3E</v>
          </cell>
          <cell r="P8" t="str">
            <v>Q4E</v>
          </cell>
          <cell r="Q8">
            <v>2006</v>
          </cell>
          <cell r="R8">
            <v>2007</v>
          </cell>
          <cell r="S8">
            <v>2008</v>
          </cell>
          <cell r="T8" t="str">
            <v>2009A</v>
          </cell>
          <cell r="U8" t="str">
            <v>2010E</v>
          </cell>
          <cell r="V8" t="str">
            <v>2011E</v>
          </cell>
          <cell r="W8" t="str">
            <v>2012E</v>
          </cell>
          <cell r="X8" t="str">
            <v>2013E</v>
          </cell>
          <cell r="Y8" t="str">
            <v>2014E</v>
          </cell>
          <cell r="Z8" t="str">
            <v>2015E</v>
          </cell>
          <cell r="AA8" t="str">
            <v>2012E</v>
          </cell>
          <cell r="AB8" t="str">
            <v>Comment</v>
          </cell>
          <cell r="AC8" t="str">
            <v>2014E</v>
          </cell>
          <cell r="AD8" t="str">
            <v>2015E</v>
          </cell>
          <cell r="AE8" t="str">
            <v>2012E</v>
          </cell>
          <cell r="AF8" t="str">
            <v>Comment</v>
          </cell>
          <cell r="AG8" t="str">
            <v>2014E</v>
          </cell>
          <cell r="AH8" t="str">
            <v>2015E</v>
          </cell>
          <cell r="AJ8" t="str">
            <v>Comment</v>
          </cell>
        </row>
        <row r="9">
          <cell r="A9" t="str">
            <v>Segment Revenue</v>
          </cell>
        </row>
        <row r="11">
          <cell r="B11" t="str">
            <v>Airborne Solutions</v>
          </cell>
          <cell r="E11">
            <v>375</v>
          </cell>
          <cell r="F11">
            <v>399</v>
          </cell>
          <cell r="G11">
            <v>429</v>
          </cell>
          <cell r="H11">
            <v>459</v>
          </cell>
          <cell r="I11">
            <v>403</v>
          </cell>
          <cell r="J11">
            <v>431</v>
          </cell>
          <cell r="K11">
            <v>452</v>
          </cell>
          <cell r="L11">
            <v>475</v>
          </cell>
          <cell r="M11">
            <v>410</v>
          </cell>
          <cell r="N11">
            <v>460</v>
          </cell>
          <cell r="O11">
            <v>475</v>
          </cell>
          <cell r="P11">
            <v>525</v>
          </cell>
          <cell r="Q11">
            <v>1462</v>
          </cell>
          <cell r="R11">
            <v>1605</v>
          </cell>
          <cell r="S11">
            <v>1662</v>
          </cell>
          <cell r="T11">
            <v>1761</v>
          </cell>
          <cell r="U11">
            <v>1870</v>
          </cell>
          <cell r="V11">
            <v>1970</v>
          </cell>
          <cell r="W11">
            <v>2070</v>
          </cell>
          <cell r="X11">
            <v>2200</v>
          </cell>
          <cell r="Y11">
            <v>2300</v>
          </cell>
          <cell r="Z11">
            <v>2400</v>
          </cell>
          <cell r="AA11">
            <v>1995</v>
          </cell>
          <cell r="AB11">
            <v>2020</v>
          </cell>
          <cell r="AC11">
            <v>2040</v>
          </cell>
          <cell r="AD11">
            <v>2050</v>
          </cell>
          <cell r="AE11">
            <v>2000</v>
          </cell>
          <cell r="AF11">
            <v>2100</v>
          </cell>
          <cell r="AG11">
            <v>2150</v>
          </cell>
          <cell r="AH11">
            <v>2250</v>
          </cell>
        </row>
        <row r="12">
          <cell r="C12" t="str">
            <v>Y/Y Growth</v>
          </cell>
          <cell r="I12">
            <v>7.4666666666666659E-2</v>
          </cell>
          <cell r="J12">
            <v>8.0200501253132828E-2</v>
          </cell>
          <cell r="K12">
            <v>5.3613053613053685E-2</v>
          </cell>
          <cell r="L12">
            <v>3.4858387799564294E-2</v>
          </cell>
          <cell r="M12">
            <v>1.7369727047146455E-2</v>
          </cell>
          <cell r="N12">
            <v>6.728538283062635E-2</v>
          </cell>
          <cell r="O12">
            <v>5.0884955752212413E-2</v>
          </cell>
          <cell r="P12">
            <v>0.10526315789473695</v>
          </cell>
          <cell r="Q12">
            <v>6.8292682926829329E-2</v>
          </cell>
          <cell r="R12">
            <v>9.7811217510259896E-2</v>
          </cell>
          <cell r="S12">
            <v>3.5514018691588767E-2</v>
          </cell>
          <cell r="T12">
            <v>5.9566787003610067E-2</v>
          </cell>
          <cell r="U12">
            <v>6.1896649630891476E-2</v>
          </cell>
          <cell r="V12">
            <v>5.3475935828876997E-2</v>
          </cell>
          <cell r="W12">
            <v>5.0761421319796884E-2</v>
          </cell>
          <cell r="X12">
            <v>6.2801932367149815E-2</v>
          </cell>
          <cell r="Y12">
            <v>4.5454545454545414E-2</v>
          </cell>
          <cell r="Z12">
            <v>4.3478260869565188E-2</v>
          </cell>
          <cell r="AA12">
            <v>2.3076923076922995E-2</v>
          </cell>
          <cell r="AB12">
            <v>1.2531328320801949E-2</v>
          </cell>
          <cell r="AC12">
            <v>9.9009900990099098E-3</v>
          </cell>
          <cell r="AD12">
            <v>4.9019607843137081E-3</v>
          </cell>
          <cell r="AE12">
            <v>1.5228426395939021E-2</v>
          </cell>
          <cell r="AF12">
            <v>5.0000000000000044E-2</v>
          </cell>
          <cell r="AG12">
            <v>2.3809523809523725E-2</v>
          </cell>
          <cell r="AH12">
            <v>4.6511627906976827E-2</v>
          </cell>
        </row>
        <row r="14">
          <cell r="B14" t="str">
            <v>DataPath</v>
          </cell>
          <cell r="E14">
            <v>0</v>
          </cell>
          <cell r="F14">
            <v>0</v>
          </cell>
          <cell r="G14">
            <v>0</v>
          </cell>
          <cell r="H14">
            <v>0</v>
          </cell>
          <cell r="I14">
            <v>0</v>
          </cell>
          <cell r="J14">
            <v>0</v>
          </cell>
          <cell r="K14">
            <v>23</v>
          </cell>
          <cell r="L14">
            <v>61</v>
          </cell>
          <cell r="M14">
            <v>60</v>
          </cell>
          <cell r="N14">
            <v>60</v>
          </cell>
          <cell r="O14">
            <v>65</v>
          </cell>
          <cell r="P14">
            <v>65</v>
          </cell>
          <cell r="Q14">
            <v>0</v>
          </cell>
          <cell r="R14">
            <v>0</v>
          </cell>
          <cell r="S14">
            <v>0</v>
          </cell>
          <cell r="T14">
            <v>84</v>
          </cell>
          <cell r="U14">
            <v>250</v>
          </cell>
          <cell r="V14">
            <v>260</v>
          </cell>
          <cell r="W14">
            <v>270</v>
          </cell>
          <cell r="X14">
            <v>280</v>
          </cell>
          <cell r="Y14">
            <v>290</v>
          </cell>
          <cell r="Z14">
            <v>300</v>
          </cell>
          <cell r="AA14">
            <v>275</v>
          </cell>
          <cell r="AB14" t="str">
            <v>Annuity-like business, low sgl-digits sales growth</v>
          </cell>
          <cell r="AC14">
            <v>290</v>
          </cell>
          <cell r="AD14">
            <v>300</v>
          </cell>
          <cell r="AE14">
            <v>250</v>
          </cell>
          <cell r="AF14" t="str">
            <v>Annuity-like business, low sgl-digits sales growth</v>
          </cell>
          <cell r="AG14">
            <v>290</v>
          </cell>
          <cell r="AH14">
            <v>300</v>
          </cell>
          <cell r="AJ14" t="str">
            <v>Annuity-like business, low sgl-digits sales growth</v>
          </cell>
        </row>
        <row r="15">
          <cell r="C15" t="str">
            <v>Y/Y Growth</v>
          </cell>
          <cell r="O15">
            <v>1.8260869565217392</v>
          </cell>
          <cell r="P15">
            <v>6.5573770491803351E-2</v>
          </cell>
          <cell r="S15">
            <v>0.14035087719298245</v>
          </cell>
          <cell r="T15">
            <v>-0.11392405063291144</v>
          </cell>
          <cell r="U15" t="str">
            <v xml:space="preserve">NM </v>
          </cell>
          <cell r="V15">
            <v>4.0000000000000036E-2</v>
          </cell>
          <cell r="W15">
            <v>3.8461538461538547E-2</v>
          </cell>
          <cell r="X15">
            <v>3.7037037037036979E-2</v>
          </cell>
          <cell r="Y15">
            <v>3.5714285714285809E-2</v>
          </cell>
          <cell r="Z15">
            <v>3.4482758620689724E-2</v>
          </cell>
          <cell r="AA15">
            <v>7.8431372549019551E-2</v>
          </cell>
          <cell r="AB15">
            <v>1.8181818181818077E-2</v>
          </cell>
          <cell r="AC15">
            <v>3.5714285714285809E-2</v>
          </cell>
          <cell r="AD15">
            <v>3.4482758620689724E-2</v>
          </cell>
          <cell r="AE15">
            <v>4.1666666666666741E-2</v>
          </cell>
          <cell r="AF15">
            <v>0.10000000000000009</v>
          </cell>
          <cell r="AG15">
            <v>5.4545454545454453E-2</v>
          </cell>
          <cell r="AH15">
            <v>3.4482758620689724E-2</v>
          </cell>
        </row>
        <row r="17">
          <cell r="B17" t="str">
            <v>Surface Solutions ex. DataPath</v>
          </cell>
          <cell r="E17">
            <v>172</v>
          </cell>
          <cell r="F17">
            <v>177</v>
          </cell>
          <cell r="G17">
            <v>178</v>
          </cell>
          <cell r="H17">
            <v>177</v>
          </cell>
          <cell r="I17">
            <v>171</v>
          </cell>
          <cell r="J17">
            <v>182</v>
          </cell>
          <cell r="K17">
            <v>176</v>
          </cell>
          <cell r="L17">
            <v>205</v>
          </cell>
          <cell r="M17">
            <v>146</v>
          </cell>
          <cell r="N17">
            <v>180</v>
          </cell>
          <cell r="O17">
            <v>220</v>
          </cell>
          <cell r="P17">
            <v>234</v>
          </cell>
          <cell r="Q17">
            <v>581</v>
          </cell>
          <cell r="R17">
            <v>626</v>
          </cell>
          <cell r="S17">
            <v>704</v>
          </cell>
          <cell r="T17">
            <v>734</v>
          </cell>
          <cell r="U17">
            <v>780</v>
          </cell>
          <cell r="V17">
            <v>820</v>
          </cell>
          <cell r="W17">
            <v>860</v>
          </cell>
          <cell r="X17">
            <v>890</v>
          </cell>
          <cell r="Y17">
            <v>925</v>
          </cell>
          <cell r="Z17">
            <v>960</v>
          </cell>
          <cell r="AA17">
            <v>820</v>
          </cell>
          <cell r="AB17">
            <v>840</v>
          </cell>
          <cell r="AC17">
            <v>850</v>
          </cell>
          <cell r="AD17">
            <v>860</v>
          </cell>
          <cell r="AE17">
            <v>500</v>
          </cell>
          <cell r="AF17">
            <v>550</v>
          </cell>
          <cell r="AG17">
            <v>600</v>
          </cell>
          <cell r="AH17">
            <v>625</v>
          </cell>
        </row>
        <row r="18">
          <cell r="C18" t="str">
            <v>Y/Y Growth</v>
          </cell>
          <cell r="I18">
            <v>-5.8139534883721034E-3</v>
          </cell>
          <cell r="J18">
            <v>2.8248587570621542E-2</v>
          </cell>
          <cell r="K18">
            <v>-1.1235955056179803E-2</v>
          </cell>
          <cell r="L18">
            <v>0.15819209039548032</v>
          </cell>
          <cell r="M18">
            <v>-0.14619883040935677</v>
          </cell>
          <cell r="N18">
            <v>-1.098901098901095E-2</v>
          </cell>
          <cell r="O18">
            <v>0.25</v>
          </cell>
          <cell r="P18">
            <v>0.14146341463414625</v>
          </cell>
          <cell r="Q18">
            <v>4.1095890410958846E-2</v>
          </cell>
          <cell r="R18">
            <v>7.745266781411364E-2</v>
          </cell>
          <cell r="S18">
            <v>0.12460063897763574</v>
          </cell>
          <cell r="T18">
            <v>4.2613636363636465E-2</v>
          </cell>
          <cell r="U18">
            <v>6.2670299727520362E-2</v>
          </cell>
          <cell r="V18">
            <v>5.1282051282051322E-2</v>
          </cell>
          <cell r="W18">
            <v>4.8780487804878092E-2</v>
          </cell>
          <cell r="X18">
            <v>3.488372093023262E-2</v>
          </cell>
          <cell r="Y18">
            <v>3.9325842696629199E-2</v>
          </cell>
          <cell r="Z18">
            <v>3.7837837837837895E-2</v>
          </cell>
          <cell r="AA18">
            <v>0.10067114093959728</v>
          </cell>
          <cell r="AB18">
            <v>2.4390243902439046E-2</v>
          </cell>
          <cell r="AC18">
            <v>1.1904761904761862E-2</v>
          </cell>
          <cell r="AD18">
            <v>1.1764705882352899E-2</v>
          </cell>
          <cell r="AE18">
            <v>-0.14529914529914534</v>
          </cell>
          <cell r="AF18">
            <v>0.10000000000000009</v>
          </cell>
          <cell r="AG18">
            <v>9.0909090909090828E-2</v>
          </cell>
          <cell r="AH18">
            <v>4.1666666666666741E-2</v>
          </cell>
        </row>
        <row r="20">
          <cell r="B20" t="str">
            <v>Surface Solutions</v>
          </cell>
          <cell r="E20">
            <v>172</v>
          </cell>
          <cell r="F20">
            <v>177</v>
          </cell>
          <cell r="G20">
            <v>178</v>
          </cell>
          <cell r="H20">
            <v>177</v>
          </cell>
          <cell r="I20">
            <v>171</v>
          </cell>
          <cell r="J20">
            <v>182</v>
          </cell>
          <cell r="K20">
            <v>199</v>
          </cell>
          <cell r="L20">
            <v>266</v>
          </cell>
          <cell r="M20">
            <v>206</v>
          </cell>
          <cell r="N20">
            <v>240</v>
          </cell>
          <cell r="O20">
            <v>285</v>
          </cell>
          <cell r="P20">
            <v>299</v>
          </cell>
          <cell r="Q20">
            <v>581</v>
          </cell>
          <cell r="R20">
            <v>626</v>
          </cell>
          <cell r="S20">
            <v>704</v>
          </cell>
          <cell r="T20">
            <v>818</v>
          </cell>
          <cell r="U20">
            <v>1030</v>
          </cell>
          <cell r="V20">
            <v>1080</v>
          </cell>
          <cell r="W20">
            <v>1130</v>
          </cell>
          <cell r="X20">
            <v>1170</v>
          </cell>
          <cell r="Y20">
            <v>1215</v>
          </cell>
          <cell r="Z20">
            <v>1260</v>
          </cell>
          <cell r="AA20">
            <v>1095</v>
          </cell>
          <cell r="AB20">
            <v>1120</v>
          </cell>
          <cell r="AC20">
            <v>1140</v>
          </cell>
          <cell r="AD20">
            <v>1160</v>
          </cell>
          <cell r="AE20">
            <v>750</v>
          </cell>
          <cell r="AF20">
            <v>825</v>
          </cell>
          <cell r="AG20">
            <v>890</v>
          </cell>
          <cell r="AH20">
            <v>925</v>
          </cell>
        </row>
        <row r="21">
          <cell r="C21" t="str">
            <v>Y/Y Growth</v>
          </cell>
          <cell r="I21">
            <v>-5.8139534883721034E-3</v>
          </cell>
          <cell r="J21">
            <v>2.8248587570621542E-2</v>
          </cell>
          <cell r="K21">
            <v>0.1179775280898876</v>
          </cell>
          <cell r="L21">
            <v>0.50282485875706207</v>
          </cell>
          <cell r="M21">
            <v>0.20467836257309946</v>
          </cell>
          <cell r="N21">
            <v>0.31868131868131866</v>
          </cell>
          <cell r="O21">
            <v>0.4321608040201006</v>
          </cell>
          <cell r="P21">
            <v>0.12406015037593976</v>
          </cell>
          <cell r="Q21">
            <v>2.9126213592232997E-2</v>
          </cell>
          <cell r="R21">
            <v>7.745266781411364E-2</v>
          </cell>
          <cell r="S21">
            <v>0.12460063897763574</v>
          </cell>
          <cell r="T21">
            <v>0.16193181818181812</v>
          </cell>
          <cell r="U21">
            <v>0.25916870415647919</v>
          </cell>
          <cell r="V21">
            <v>4.8543689320388328E-2</v>
          </cell>
          <cell r="W21">
            <v>4.629629629629628E-2</v>
          </cell>
          <cell r="X21">
            <v>3.539823008849563E-2</v>
          </cell>
          <cell r="Y21">
            <v>3.8461538461538547E-2</v>
          </cell>
          <cell r="Z21">
            <v>3.7037037037036979E-2</v>
          </cell>
          <cell r="AA21">
            <v>9.4999999999999973E-2</v>
          </cell>
          <cell r="AB21">
            <v>2.2831050228310446E-2</v>
          </cell>
          <cell r="AC21">
            <v>1.7857142857142794E-2</v>
          </cell>
          <cell r="AD21">
            <v>1.7543859649122862E-2</v>
          </cell>
          <cell r="AE21">
            <v>-9.0909090909090939E-2</v>
          </cell>
          <cell r="AF21">
            <v>0.10000000000000009</v>
          </cell>
          <cell r="AG21">
            <v>7.8787878787878851E-2</v>
          </cell>
          <cell r="AH21">
            <v>3.9325842696629199E-2</v>
          </cell>
        </row>
        <row r="23">
          <cell r="B23" t="str">
            <v>Total Revenue</v>
          </cell>
          <cell r="E23">
            <v>547</v>
          </cell>
          <cell r="F23">
            <v>576</v>
          </cell>
          <cell r="G23">
            <v>607</v>
          </cell>
          <cell r="H23">
            <v>636</v>
          </cell>
          <cell r="I23">
            <v>574</v>
          </cell>
          <cell r="J23">
            <v>613</v>
          </cell>
          <cell r="K23">
            <v>651</v>
          </cell>
          <cell r="L23">
            <v>741</v>
          </cell>
          <cell r="M23">
            <v>616</v>
          </cell>
          <cell r="N23">
            <v>700</v>
          </cell>
          <cell r="O23">
            <v>760</v>
          </cell>
          <cell r="P23">
            <v>824</v>
          </cell>
          <cell r="Q23">
            <v>2043</v>
          </cell>
          <cell r="R23">
            <v>2231</v>
          </cell>
          <cell r="S23">
            <v>2366</v>
          </cell>
          <cell r="T23">
            <v>2579</v>
          </cell>
          <cell r="U23">
            <v>2900</v>
          </cell>
          <cell r="V23">
            <v>3050</v>
          </cell>
          <cell r="W23">
            <v>3200</v>
          </cell>
          <cell r="X23">
            <v>3370</v>
          </cell>
          <cell r="Y23">
            <v>3515</v>
          </cell>
          <cell r="Z23">
            <v>3660</v>
          </cell>
          <cell r="AA23">
            <v>3090</v>
          </cell>
          <cell r="AB23">
            <v>3140</v>
          </cell>
          <cell r="AC23">
            <v>3180</v>
          </cell>
          <cell r="AD23">
            <v>3210</v>
          </cell>
          <cell r="AE23">
            <v>2750</v>
          </cell>
          <cell r="AF23" t="str">
            <v xml:space="preserve">Programatic headwinds in 2011 including KC-135 GATM, F-22, Califormia Highway Patrol wrapup and JTRS revenue decline (wait for initial LRIP) </v>
          </cell>
          <cell r="AG23">
            <v>3040</v>
          </cell>
          <cell r="AH23">
            <v>3175</v>
          </cell>
          <cell r="AJ23" t="str">
            <v xml:space="preserve">Programatic headwinds in 2011 including KC-135 GATM, F-22, Califormia Highway Patrol wrapup and JTRS revenue decline (wait for initial LRIP) </v>
          </cell>
        </row>
        <row r="24">
          <cell r="C24" t="str">
            <v>Y/Y Growth</v>
          </cell>
          <cell r="I24">
            <v>4.9360146252285242E-2</v>
          </cell>
          <cell r="J24">
            <v>6.423611111111116E-2</v>
          </cell>
          <cell r="K24">
            <v>7.2487644151565167E-2</v>
          </cell>
          <cell r="L24">
            <v>0.16509433962264142</v>
          </cell>
          <cell r="M24">
            <v>7.3170731707317138E-2</v>
          </cell>
          <cell r="N24">
            <v>0.1419249592169658</v>
          </cell>
          <cell r="O24">
            <v>0.16743471582181257</v>
          </cell>
          <cell r="P24">
            <v>0.11201079622132259</v>
          </cell>
          <cell r="Q24">
            <v>5.5194805194805241E-2</v>
          </cell>
          <cell r="R24">
            <v>9.2021536955457561E-2</v>
          </cell>
          <cell r="S24">
            <v>6.0510981622590831E-2</v>
          </cell>
          <cell r="T24">
            <v>9.0025359256128423E-2</v>
          </cell>
          <cell r="U24">
            <v>0.12446684761535476</v>
          </cell>
          <cell r="V24">
            <v>5.1724137931034475E-2</v>
          </cell>
          <cell r="W24">
            <v>4.9180327868852514E-2</v>
          </cell>
          <cell r="X24">
            <v>5.3125000000000089E-2</v>
          </cell>
          <cell r="Y24">
            <v>4.3026706231453993E-2</v>
          </cell>
          <cell r="Z24">
            <v>4.1251778093883251E-2</v>
          </cell>
          <cell r="AA24">
            <v>4.7457627118643986E-2</v>
          </cell>
          <cell r="AB24">
            <v>1.6181229773462702E-2</v>
          </cell>
          <cell r="AC24">
            <v>1.2738853503184711E-2</v>
          </cell>
          <cell r="AD24">
            <v>9.4339622641510523E-3</v>
          </cell>
          <cell r="AE24">
            <v>-1.610017889087656E-2</v>
          </cell>
          <cell r="AF24">
            <v>6.3636363636363713E-2</v>
          </cell>
          <cell r="AG24">
            <v>3.9316239316239399E-2</v>
          </cell>
          <cell r="AH24">
            <v>4.4407894736842035E-2</v>
          </cell>
        </row>
        <row r="25">
          <cell r="C25" t="str">
            <v>Y/Y Growth ex. DataPath</v>
          </cell>
          <cell r="I25">
            <v>4.9360146252285242E-2</v>
          </cell>
          <cell r="J25">
            <v>6.423611111111116E-2</v>
          </cell>
          <cell r="K25">
            <v>3.4596375617792496E-2</v>
          </cell>
          <cell r="L25">
            <v>6.9182389937106903E-2</v>
          </cell>
          <cell r="M25">
            <v>-3.1358885017421567E-2</v>
          </cell>
          <cell r="N25">
            <v>4.4045676998368588E-2</v>
          </cell>
          <cell r="O25">
            <v>0.1066878980891719</v>
          </cell>
          <cell r="P25">
            <v>0.11617647058823533</v>
          </cell>
          <cell r="Q25">
            <v>6.1151079136690711E-2</v>
          </cell>
          <cell r="R25">
            <v>3.6334913112164191E-2</v>
          </cell>
          <cell r="S25">
            <v>2.582496413199431E-2</v>
          </cell>
          <cell r="T25">
            <v>2.0862308762169768E-2</v>
          </cell>
          <cell r="U25">
            <v>6.2124248496993939E-2</v>
          </cell>
          <cell r="V25">
            <v>5.2830188679245271E-2</v>
          </cell>
          <cell r="W25">
            <v>5.017921146953408E-2</v>
          </cell>
          <cell r="X25">
            <v>5.4607508532423132E-2</v>
          </cell>
          <cell r="Y25">
            <v>4.3689320388349495E-2</v>
          </cell>
          <cell r="Z25">
            <v>4.1860465116279055E-2</v>
          </cell>
          <cell r="AA25">
            <v>4.4526901669758923E-2</v>
          </cell>
          <cell r="AB25">
            <v>1.5985790408525657E-2</v>
          </cell>
          <cell r="AC25">
            <v>1.0489510489510412E-2</v>
          </cell>
          <cell r="AD25">
            <v>6.9204152249136008E-3</v>
          </cell>
          <cell r="AE25">
            <v>-2.1526418786692814E-2</v>
          </cell>
          <cell r="AF25">
            <v>6.0000000000000053E-2</v>
          </cell>
          <cell r="AG25">
            <v>3.7735849056603765E-2</v>
          </cell>
          <cell r="AH25">
            <v>4.5454545454545414E-2</v>
          </cell>
        </row>
        <row r="26">
          <cell r="B26" t="str">
            <v>vs Model</v>
          </cell>
          <cell r="I26">
            <v>574</v>
          </cell>
          <cell r="J26">
            <v>613</v>
          </cell>
          <cell r="K26">
            <v>651</v>
          </cell>
          <cell r="L26">
            <v>741</v>
          </cell>
          <cell r="M26">
            <v>616</v>
          </cell>
          <cell r="N26">
            <v>693</v>
          </cell>
          <cell r="O26">
            <v>754</v>
          </cell>
          <cell r="P26">
            <v>837</v>
          </cell>
          <cell r="Q26">
            <v>2043</v>
          </cell>
          <cell r="R26">
            <v>2231</v>
          </cell>
          <cell r="S26">
            <v>2366</v>
          </cell>
          <cell r="T26">
            <v>2579</v>
          </cell>
          <cell r="U26">
            <v>2900</v>
          </cell>
          <cell r="V26">
            <v>2990</v>
          </cell>
          <cell r="W26">
            <v>3145</v>
          </cell>
          <cell r="X26">
            <v>3270</v>
          </cell>
          <cell r="Y26">
            <v>3355</v>
          </cell>
          <cell r="Z26">
            <v>3440</v>
          </cell>
          <cell r="AA26">
            <v>3090</v>
          </cell>
          <cell r="AB26">
            <v>3140</v>
          </cell>
          <cell r="AC26">
            <v>3180</v>
          </cell>
          <cell r="AD26">
            <v>3210</v>
          </cell>
          <cell r="AE26">
            <v>33.5</v>
          </cell>
          <cell r="AF26">
            <v>-45.854599999999664</v>
          </cell>
          <cell r="AG26">
            <v>-57.987929999999778</v>
          </cell>
          <cell r="AH26">
            <v>-85.585275539999202</v>
          </cell>
        </row>
        <row r="27">
          <cell r="B27" t="str">
            <v>vs Main Model</v>
          </cell>
          <cell r="I27">
            <v>574</v>
          </cell>
          <cell r="J27">
            <v>613</v>
          </cell>
          <cell r="K27">
            <v>651</v>
          </cell>
          <cell r="L27">
            <v>741</v>
          </cell>
          <cell r="M27">
            <v>616</v>
          </cell>
          <cell r="N27">
            <v>700</v>
          </cell>
          <cell r="O27">
            <v>760</v>
          </cell>
          <cell r="P27">
            <v>824</v>
          </cell>
          <cell r="Q27">
            <v>2043</v>
          </cell>
          <cell r="R27">
            <v>2231</v>
          </cell>
          <cell r="S27">
            <v>2366</v>
          </cell>
          <cell r="T27">
            <v>2579</v>
          </cell>
          <cell r="U27">
            <v>2900</v>
          </cell>
          <cell r="V27">
            <v>3050</v>
          </cell>
          <cell r="W27">
            <v>3200</v>
          </cell>
          <cell r="X27">
            <v>3370</v>
          </cell>
          <cell r="Y27">
            <v>3515</v>
          </cell>
          <cell r="Z27">
            <v>3660</v>
          </cell>
        </row>
        <row r="28">
          <cell r="B28" t="str">
            <v>vs Main Model</v>
          </cell>
          <cell r="C28" t="str">
            <v>Difference</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3090</v>
          </cell>
          <cell r="AB28">
            <v>3140</v>
          </cell>
          <cell r="AC28">
            <v>3180</v>
          </cell>
          <cell r="AD28">
            <v>3210</v>
          </cell>
        </row>
        <row r="29">
          <cell r="B29" t="str">
            <v>Avionics</v>
          </cell>
          <cell r="C29" t="str">
            <v>Difference</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1505.7</v>
          </cell>
          <cell r="AF29">
            <v>1580.9850000000001</v>
          </cell>
          <cell r="AG29">
            <v>1660.0342500000002</v>
          </cell>
          <cell r="AH29">
            <v>1743.0359625000003</v>
          </cell>
          <cell r="AJ29" t="str">
            <v>Tanker/transports/rotary wing / UAV (small but growing) and simulation..</v>
          </cell>
        </row>
        <row r="30">
          <cell r="B30" t="str">
            <v>Incremental Revenue Analysis</v>
          </cell>
          <cell r="C30" t="str">
            <v>Y/Y Growth</v>
          </cell>
          <cell r="Q30">
            <v>3.9603960396039639E-2</v>
          </cell>
          <cell r="R30">
            <v>6.3444108761329332E-2</v>
          </cell>
          <cell r="S30">
            <v>2.3188405797101463E-2</v>
          </cell>
          <cell r="T30">
            <v>9.7560975609756184E-3</v>
          </cell>
          <cell r="U30">
            <v>2.857142857142847E-2</v>
          </cell>
          <cell r="V30">
            <v>0.03</v>
          </cell>
          <cell r="AC30">
            <v>5.6273764258555126E-2</v>
          </cell>
          <cell r="AD30">
            <v>3.2397408207343492E-2</v>
          </cell>
          <cell r="AE30">
            <v>0.05</v>
          </cell>
          <cell r="AF30">
            <v>0.05</v>
          </cell>
          <cell r="AG30">
            <v>0.05</v>
          </cell>
          <cell r="AH30">
            <v>0.05</v>
          </cell>
          <cell r="AJ30" t="str">
            <v>K390 (ERJ tanker) is a major program.  Firestorm</v>
          </cell>
        </row>
        <row r="31">
          <cell r="B31" t="str">
            <v>Incremental Revenue Analysis</v>
          </cell>
        </row>
        <row r="32">
          <cell r="B32" t="str">
            <v>Annuity Organic Revenue</v>
          </cell>
          <cell r="M32">
            <v>164</v>
          </cell>
          <cell r="N32">
            <v>197</v>
          </cell>
          <cell r="O32">
            <v>186</v>
          </cell>
          <cell r="P32">
            <v>202</v>
          </cell>
          <cell r="Q32">
            <v>156</v>
          </cell>
          <cell r="R32">
            <v>190</v>
          </cell>
          <cell r="S32">
            <v>164</v>
          </cell>
          <cell r="T32">
            <v>2495</v>
          </cell>
          <cell r="U32">
            <v>2569.85</v>
          </cell>
          <cell r="V32">
            <v>2646.9454999999998</v>
          </cell>
          <cell r="W32">
            <v>2726.353865</v>
          </cell>
          <cell r="X32">
            <v>2808.1444809499999</v>
          </cell>
          <cell r="Y32">
            <v>2892.3888153785001</v>
          </cell>
          <cell r="Z32">
            <v>2979.1604798398553</v>
          </cell>
          <cell r="AB32">
            <v>541</v>
          </cell>
          <cell r="AC32">
            <v>749</v>
          </cell>
          <cell r="AD32">
            <v>698</v>
          </cell>
          <cell r="AE32">
            <v>642.16000000000008</v>
          </cell>
          <cell r="AF32">
            <v>655.00320000000011</v>
          </cell>
          <cell r="AG32">
            <v>668.10326400000008</v>
          </cell>
          <cell r="AH32">
            <v>681.46532928000011</v>
          </cell>
          <cell r="AJ32" t="str">
            <v>Legacy Aircraft comm, old Datapath, Datalinks… JRTS, $40..  One of the</v>
          </cell>
        </row>
        <row r="33">
          <cell r="B33" t="str">
            <v>Annuity Organic Revenue</v>
          </cell>
          <cell r="C33" t="str">
            <v>Y/Y Growth</v>
          </cell>
          <cell r="Q33">
            <v>-4.8780487804878092E-2</v>
          </cell>
          <cell r="R33">
            <v>-3.5532994923857864E-2</v>
          </cell>
          <cell r="S33">
            <v>-0.11827956989247312</v>
          </cell>
          <cell r="T33">
            <v>2495</v>
          </cell>
          <cell r="U33">
            <v>0.03</v>
          </cell>
          <cell r="V33">
            <v>0.03</v>
          </cell>
          <cell r="W33">
            <v>0.03</v>
          </cell>
          <cell r="X33">
            <v>0.03</v>
          </cell>
          <cell r="Y33">
            <v>0.03</v>
          </cell>
          <cell r="Z33">
            <v>0.03</v>
          </cell>
          <cell r="AA33">
            <v>2726.353865</v>
          </cell>
          <cell r="AB33">
            <v>2808.1444809499999</v>
          </cell>
          <cell r="AC33">
            <v>2892.3888153785001</v>
          </cell>
          <cell r="AD33">
            <v>2979.1604798398553</v>
          </cell>
          <cell r="AE33">
            <v>-0.08</v>
          </cell>
          <cell r="AF33">
            <v>0.02</v>
          </cell>
          <cell r="AG33">
            <v>0.02</v>
          </cell>
          <cell r="AH33">
            <v>0.02</v>
          </cell>
          <cell r="AJ33" t="str">
            <v>JTRS decomposes into MIDS-J (data link) which is delivering, ground radio (GMR) is most uncertain, amd manpack which is still progressing</v>
          </cell>
        </row>
        <row r="34">
          <cell r="C34" t="str">
            <v>Y/Y Growth</v>
          </cell>
          <cell r="U34">
            <v>0.03</v>
          </cell>
          <cell r="V34">
            <v>0.03</v>
          </cell>
          <cell r="W34">
            <v>0.03</v>
          </cell>
          <cell r="X34">
            <v>0.03</v>
          </cell>
          <cell r="Y34">
            <v>0.03</v>
          </cell>
          <cell r="Z34">
            <v>0.03</v>
          </cell>
          <cell r="AA34">
            <v>0.03</v>
          </cell>
          <cell r="AB34">
            <v>0.03</v>
          </cell>
          <cell r="AC34">
            <v>0.03</v>
          </cell>
          <cell r="AD34">
            <v>0.03</v>
          </cell>
        </row>
        <row r="35">
          <cell r="B35" t="str">
            <v>Growing Programs</v>
          </cell>
          <cell r="M35">
            <v>78</v>
          </cell>
          <cell r="N35">
            <v>94</v>
          </cell>
          <cell r="O35">
            <v>141</v>
          </cell>
          <cell r="P35">
            <v>95</v>
          </cell>
          <cell r="Q35">
            <v>106</v>
          </cell>
          <cell r="R35">
            <v>92</v>
          </cell>
          <cell r="S35">
            <v>82</v>
          </cell>
          <cell r="T35">
            <v>97</v>
          </cell>
          <cell r="U35">
            <v>60</v>
          </cell>
          <cell r="V35">
            <v>59.800000000000004</v>
          </cell>
          <cell r="AB35">
            <v>370</v>
          </cell>
          <cell r="AC35">
            <v>408</v>
          </cell>
          <cell r="AD35">
            <v>377</v>
          </cell>
          <cell r="AE35">
            <v>346.84000000000003</v>
          </cell>
          <cell r="AF35">
            <v>357.24520000000007</v>
          </cell>
          <cell r="AG35">
            <v>367.96255600000006</v>
          </cell>
          <cell r="AH35">
            <v>379.00143268000005</v>
          </cell>
          <cell r="AJ35" t="str">
            <v>Public safety vehicles, Firestorm, JPALs.. Electronic warfare…Lumpy from a growth perpective..</v>
          </cell>
        </row>
        <row r="36">
          <cell r="B36" t="str">
            <v>Growing Programs</v>
          </cell>
          <cell r="C36" t="str">
            <v>DataPath</v>
          </cell>
          <cell r="Q36">
            <v>0.35897435897435903</v>
          </cell>
          <cell r="R36">
            <v>-2.1276595744680882E-2</v>
          </cell>
          <cell r="S36">
            <v>-0.41843971631205679</v>
          </cell>
          <cell r="T36">
            <v>84</v>
          </cell>
          <cell r="U36">
            <v>250</v>
          </cell>
          <cell r="V36">
            <v>260</v>
          </cell>
          <cell r="W36">
            <v>270</v>
          </cell>
          <cell r="X36">
            <v>280</v>
          </cell>
          <cell r="Y36">
            <v>290</v>
          </cell>
          <cell r="Z36">
            <v>300</v>
          </cell>
          <cell r="AC36">
            <v>0.10270270270270276</v>
          </cell>
          <cell r="AD36">
            <v>-7.5980392156862697E-2</v>
          </cell>
          <cell r="AE36">
            <v>-0.08</v>
          </cell>
          <cell r="AF36">
            <v>0.03</v>
          </cell>
          <cell r="AG36">
            <v>0.03</v>
          </cell>
          <cell r="AH36">
            <v>0.03</v>
          </cell>
          <cell r="AJ36" t="str">
            <v>2/12 Expected to be down 20% in '12, revised down from down low double digits</v>
          </cell>
        </row>
        <row r="37">
          <cell r="C37" t="str">
            <v>DataPath</v>
          </cell>
          <cell r="T37">
            <v>84</v>
          </cell>
          <cell r="U37">
            <v>250</v>
          </cell>
          <cell r="V37">
            <v>260</v>
          </cell>
          <cell r="W37">
            <v>270</v>
          </cell>
          <cell r="X37">
            <v>280</v>
          </cell>
          <cell r="Y37">
            <v>290</v>
          </cell>
          <cell r="Z37">
            <v>300</v>
          </cell>
          <cell r="AA37">
            <v>275</v>
          </cell>
          <cell r="AB37">
            <v>280</v>
          </cell>
          <cell r="AC37">
            <v>290</v>
          </cell>
          <cell r="AD37">
            <v>300</v>
          </cell>
        </row>
        <row r="38">
          <cell r="B38" t="str">
            <v>Navigation Products</v>
          </cell>
          <cell r="C38" t="str">
            <v>Black Hawk (USG and International)</v>
          </cell>
          <cell r="M38">
            <v>71</v>
          </cell>
          <cell r="N38">
            <v>71</v>
          </cell>
          <cell r="O38">
            <v>82</v>
          </cell>
          <cell r="P38">
            <v>91</v>
          </cell>
          <cell r="Q38">
            <v>73</v>
          </cell>
          <cell r="R38">
            <v>82</v>
          </cell>
          <cell r="S38">
            <v>69</v>
          </cell>
          <cell r="T38">
            <v>80</v>
          </cell>
          <cell r="U38">
            <v>55</v>
          </cell>
          <cell r="V38">
            <v>57.4</v>
          </cell>
          <cell r="AB38">
            <v>353</v>
          </cell>
          <cell r="AC38">
            <v>315</v>
          </cell>
          <cell r="AD38">
            <v>304</v>
          </cell>
          <cell r="AE38">
            <v>288.8</v>
          </cell>
          <cell r="AF38">
            <v>285.91200000000003</v>
          </cell>
          <cell r="AG38">
            <v>285.91200000000003</v>
          </cell>
          <cell r="AH38">
            <v>285.91200000000003</v>
          </cell>
          <cell r="AJ38" t="str">
            <v>GPS products, Half of 2011.  Dagger, cutting 50%</v>
          </cell>
        </row>
        <row r="39">
          <cell r="C39" t="str">
            <v>JTRS (combined programs: GMR, HMS, MIDS)</v>
          </cell>
          <cell r="Q39">
            <v>2.8169014084507005E-2</v>
          </cell>
          <cell r="R39">
            <v>0.15492957746478875</v>
          </cell>
          <cell r="S39">
            <v>-0.15853658536585369</v>
          </cell>
          <cell r="T39">
            <v>0</v>
          </cell>
          <cell r="U39">
            <v>0</v>
          </cell>
          <cell r="V39">
            <v>0</v>
          </cell>
          <cell r="W39">
            <v>50</v>
          </cell>
          <cell r="X39">
            <v>100</v>
          </cell>
          <cell r="Y39">
            <v>150</v>
          </cell>
          <cell r="Z39">
            <v>200</v>
          </cell>
          <cell r="AB39" t="str">
            <v>$5.5B program over 20 years</v>
          </cell>
          <cell r="AC39">
            <v>-0.1076487252124646</v>
          </cell>
          <cell r="AD39">
            <v>-3.4920634920634908E-2</v>
          </cell>
          <cell r="AE39">
            <v>-0.05</v>
          </cell>
          <cell r="AF39">
            <v>-0.01</v>
          </cell>
          <cell r="AG39">
            <v>0</v>
          </cell>
          <cell r="AH39">
            <v>0</v>
          </cell>
        </row>
        <row r="40">
          <cell r="C40" t="str">
            <v>Boeing Tanker</v>
          </cell>
          <cell r="T40">
            <v>0</v>
          </cell>
          <cell r="U40">
            <v>25</v>
          </cell>
          <cell r="V40">
            <v>50</v>
          </cell>
          <cell r="W40">
            <v>75</v>
          </cell>
          <cell r="X40">
            <v>100</v>
          </cell>
          <cell r="Y40">
            <v>100</v>
          </cell>
          <cell r="Z40">
            <v>100</v>
          </cell>
          <cell r="AA40">
            <v>50</v>
          </cell>
          <cell r="AB40" t="str">
            <v>"Big program per plane"…179 planes, estimated $5MM per plane</v>
          </cell>
          <cell r="AC40">
            <v>150</v>
          </cell>
          <cell r="AD40">
            <v>200</v>
          </cell>
          <cell r="AF40" t="str">
            <v>$5.5B program over 20 years</v>
          </cell>
        </row>
        <row r="41">
          <cell r="B41" t="str">
            <v>Total Revenue</v>
          </cell>
          <cell r="C41" t="str">
            <v>Athena Technologies (UAV Controls)</v>
          </cell>
          <cell r="M41">
            <v>616</v>
          </cell>
          <cell r="N41">
            <v>693</v>
          </cell>
          <cell r="O41">
            <v>754</v>
          </cell>
          <cell r="P41">
            <v>798</v>
          </cell>
          <cell r="Q41">
            <v>650</v>
          </cell>
          <cell r="R41">
            <v>716</v>
          </cell>
          <cell r="S41">
            <v>668</v>
          </cell>
          <cell r="T41">
            <v>0</v>
          </cell>
          <cell r="U41">
            <v>25</v>
          </cell>
          <cell r="V41">
            <v>50</v>
          </cell>
          <cell r="W41">
            <v>75</v>
          </cell>
          <cell r="X41">
            <v>100</v>
          </cell>
          <cell r="Y41">
            <v>100</v>
          </cell>
          <cell r="Z41">
            <v>100</v>
          </cell>
          <cell r="AA41">
            <v>75</v>
          </cell>
          <cell r="AB41" t="str">
            <v>Predator, Reaper, Watchkeeper</v>
          </cell>
          <cell r="AC41">
            <v>100</v>
          </cell>
          <cell r="AD41">
            <v>100</v>
          </cell>
          <cell r="AE41">
            <v>2783.5</v>
          </cell>
          <cell r="AF41" t="str">
            <v>"Big program per plane"…179 planes, estimated $5MM per plane</v>
          </cell>
          <cell r="AG41">
            <v>2982.0120700000002</v>
          </cell>
          <cell r="AH41">
            <v>3089.4147244600008</v>
          </cell>
          <cell r="AJ41" t="str">
            <v>~50% of government business is priced commercially.</v>
          </cell>
        </row>
        <row r="42">
          <cell r="C42" t="str">
            <v>Athena Technologies (UAV Controls)</v>
          </cell>
          <cell r="Q42">
            <v>5.5194805194805241E-2</v>
          </cell>
          <cell r="R42">
            <v>3.3189033189033212E-2</v>
          </cell>
          <cell r="S42">
            <v>-0.11405835543766574</v>
          </cell>
          <cell r="T42">
            <v>-2.3809523809523836E-2</v>
          </cell>
          <cell r="U42">
            <v>-0.1</v>
          </cell>
          <cell r="V42">
            <v>-0.1</v>
          </cell>
          <cell r="W42">
            <v>0.08</v>
          </cell>
          <cell r="X42">
            <v>0.08</v>
          </cell>
          <cell r="AB42" t="str">
            <v>Predator, Reaper, Watchkeeper</v>
          </cell>
          <cell r="AC42">
            <v>0.10934470725087242</v>
          </cell>
          <cell r="AD42">
            <v>-1.6777350576721473E-2</v>
          </cell>
          <cell r="AE42">
            <v>-1.0487024528972655E-2</v>
          </cell>
          <cell r="AF42" t="str">
            <v>Predator, Reaper, Watchkeeper</v>
          </cell>
          <cell r="AG42">
            <v>3.5728195595817969E-2</v>
          </cell>
          <cell r="AH42">
            <v>3.6016840957991292E-2</v>
          </cell>
          <cell r="AJ42" t="str">
            <v>12/7/11 - def biz should grow +1-2pts off a flat def environment"</v>
          </cell>
        </row>
        <row r="43">
          <cell r="B43" t="str">
            <v>Total Growth</v>
          </cell>
          <cell r="T43">
            <v>84</v>
          </cell>
          <cell r="U43">
            <v>275</v>
          </cell>
          <cell r="V43">
            <v>310</v>
          </cell>
          <cell r="W43">
            <v>395</v>
          </cell>
          <cell r="X43">
            <v>480</v>
          </cell>
          <cell r="Y43">
            <v>540</v>
          </cell>
          <cell r="Z43">
            <v>600</v>
          </cell>
        </row>
        <row r="44">
          <cell r="B44" t="str">
            <v>Total Growth</v>
          </cell>
          <cell r="M44">
            <v>0</v>
          </cell>
          <cell r="N44">
            <v>0</v>
          </cell>
          <cell r="O44">
            <v>0</v>
          </cell>
          <cell r="P44">
            <v>0</v>
          </cell>
          <cell r="Q44">
            <v>0</v>
          </cell>
          <cell r="R44">
            <v>0</v>
          </cell>
          <cell r="S44">
            <v>0</v>
          </cell>
          <cell r="T44">
            <v>84</v>
          </cell>
          <cell r="U44">
            <v>275</v>
          </cell>
          <cell r="V44">
            <v>310</v>
          </cell>
          <cell r="W44">
            <v>395</v>
          </cell>
          <cell r="X44">
            <v>480</v>
          </cell>
          <cell r="Y44">
            <v>540</v>
          </cell>
          <cell r="Z44">
            <v>600</v>
          </cell>
          <cell r="AA44">
            <v>400</v>
          </cell>
          <cell r="AB44">
            <v>480</v>
          </cell>
          <cell r="AC44">
            <v>540</v>
          </cell>
          <cell r="AD44">
            <v>600</v>
          </cell>
          <cell r="AE44">
            <v>0</v>
          </cell>
          <cell r="AF44">
            <v>0</v>
          </cell>
          <cell r="AG44">
            <v>0</v>
          </cell>
          <cell r="AH44">
            <v>0</v>
          </cell>
          <cell r="AJ44" t="str">
            <v>-Thre GEMS, secured communication..  20</v>
          </cell>
        </row>
        <row r="45">
          <cell r="B45" t="str">
            <v>Decaying Programs</v>
          </cell>
          <cell r="X45">
            <v>8.6600000000003092</v>
          </cell>
          <cell r="AJ45" t="str">
            <v xml:space="preserve"> Canadian SCAMP..20</v>
          </cell>
        </row>
        <row r="46">
          <cell r="B46" t="str">
            <v>Decaying Programs</v>
          </cell>
          <cell r="C46" t="str">
            <v>DAGR</v>
          </cell>
          <cell r="Q46">
            <v>0.48461538461538461</v>
          </cell>
          <cell r="R46">
            <v>0.49162011173184356</v>
          </cell>
          <cell r="S46">
            <v>0.52844311377245512</v>
          </cell>
          <cell r="T46">
            <v>-50</v>
          </cell>
          <cell r="U46">
            <v>-100</v>
          </cell>
          <cell r="V46">
            <v>-150</v>
          </cell>
          <cell r="W46">
            <v>-150</v>
          </cell>
          <cell r="X46">
            <v>-150</v>
          </cell>
          <cell r="Y46">
            <v>-150</v>
          </cell>
          <cell r="Z46">
            <v>-150</v>
          </cell>
          <cell r="AB46">
            <v>0.5098875533152385</v>
          </cell>
          <cell r="AC46">
            <v>0.48549458231387627</v>
          </cell>
          <cell r="AD46">
            <v>0.50977603981514397</v>
          </cell>
          <cell r="AE46">
            <v>0.54093766840308966</v>
          </cell>
          <cell r="AF46">
            <v>0.54911606756643827</v>
          </cell>
          <cell r="AG46">
            <v>0.55668260591581042</v>
          </cell>
          <cell r="AH46">
            <v>0.5641961724011223</v>
          </cell>
          <cell r="AJ46" t="str">
            <v>Integrated Combat… 20</v>
          </cell>
        </row>
        <row r="47">
          <cell r="B47" t="str">
            <v>Communication Products</v>
          </cell>
          <cell r="C47" t="str">
            <v>DAGR</v>
          </cell>
          <cell r="Q47">
            <v>0.24</v>
          </cell>
          <cell r="R47">
            <v>0.26536312849162014</v>
          </cell>
          <cell r="S47">
            <v>0.24550898203592814</v>
          </cell>
          <cell r="T47">
            <v>0</v>
          </cell>
          <cell r="U47">
            <v>0</v>
          </cell>
          <cell r="V47">
            <v>0</v>
          </cell>
          <cell r="W47">
            <v>0</v>
          </cell>
          <cell r="X47">
            <v>0</v>
          </cell>
          <cell r="Y47">
            <v>0</v>
          </cell>
          <cell r="Z47">
            <v>0</v>
          </cell>
          <cell r="AA47">
            <v>-150</v>
          </cell>
          <cell r="AB47">
            <v>-150</v>
          </cell>
          <cell r="AC47">
            <v>-150</v>
          </cell>
          <cell r="AD47">
            <v>-150</v>
          </cell>
          <cell r="AE47">
            <v>0.23070235315250587</v>
          </cell>
          <cell r="AF47">
            <v>0.22749917388680685</v>
          </cell>
          <cell r="AG47">
            <v>0.22404445331436906</v>
          </cell>
          <cell r="AH47">
            <v>0.22058072161195955</v>
          </cell>
        </row>
        <row r="48">
          <cell r="B48" t="str">
            <v>Surface Solutions</v>
          </cell>
          <cell r="Q48">
            <v>0.16307692307692306</v>
          </cell>
          <cell r="R48">
            <v>0.12849162011173185</v>
          </cell>
          <cell r="S48">
            <v>0.12275449101796407</v>
          </cell>
          <cell r="T48">
            <v>0</v>
          </cell>
          <cell r="U48">
            <v>0</v>
          </cell>
          <cell r="V48">
            <v>0</v>
          </cell>
          <cell r="W48">
            <v>0</v>
          </cell>
          <cell r="X48">
            <v>0</v>
          </cell>
          <cell r="Y48">
            <v>0</v>
          </cell>
          <cell r="Z48">
            <v>0</v>
          </cell>
          <cell r="AA48">
            <v>0</v>
          </cell>
          <cell r="AB48">
            <v>0</v>
          </cell>
          <cell r="AC48">
            <v>0</v>
          </cell>
          <cell r="AD48">
            <v>0</v>
          </cell>
          <cell r="AE48">
            <v>0.12460571223280044</v>
          </cell>
          <cell r="AF48">
            <v>0.12408029132533564</v>
          </cell>
          <cell r="AG48">
            <v>0.12339405319710864</v>
          </cell>
          <cell r="AH48">
            <v>0.12267742160976648</v>
          </cell>
        </row>
        <row r="49">
          <cell r="B49" t="str">
            <v>Total Decay</v>
          </cell>
          <cell r="Q49">
            <v>0.1123076923076923</v>
          </cell>
          <cell r="R49">
            <v>0.11452513966480447</v>
          </cell>
          <cell r="S49">
            <v>0.10329341317365269</v>
          </cell>
          <cell r="T49">
            <v>-50</v>
          </cell>
          <cell r="U49">
            <v>-100</v>
          </cell>
          <cell r="V49">
            <v>-150</v>
          </cell>
          <cell r="W49">
            <v>-150</v>
          </cell>
          <cell r="X49">
            <v>-150</v>
          </cell>
          <cell r="Y49">
            <v>-150</v>
          </cell>
          <cell r="Z49">
            <v>-150</v>
          </cell>
          <cell r="AA49">
            <v>0</v>
          </cell>
          <cell r="AB49">
            <v>0</v>
          </cell>
          <cell r="AC49">
            <v>0</v>
          </cell>
          <cell r="AD49">
            <v>0</v>
          </cell>
          <cell r="AE49">
            <v>0.10375426621160409</v>
          </cell>
          <cell r="AF49">
            <v>9.9304467221419251E-2</v>
          </cell>
          <cell r="AG49">
            <v>9.5878887572711943E-2</v>
          </cell>
          <cell r="AH49">
            <v>9.2545684377151605E-2</v>
          </cell>
        </row>
        <row r="50">
          <cell r="B50" t="str">
            <v>Total Decay</v>
          </cell>
          <cell r="I50">
            <v>574</v>
          </cell>
          <cell r="J50">
            <v>613</v>
          </cell>
          <cell r="K50">
            <v>651</v>
          </cell>
          <cell r="L50">
            <v>741</v>
          </cell>
          <cell r="M50">
            <v>616</v>
          </cell>
          <cell r="N50">
            <v>693</v>
          </cell>
          <cell r="O50">
            <v>754</v>
          </cell>
          <cell r="P50">
            <v>798</v>
          </cell>
          <cell r="Q50">
            <v>1068</v>
          </cell>
          <cell r="R50">
            <v>1115</v>
          </cell>
          <cell r="S50">
            <v>1270</v>
          </cell>
          <cell r="T50">
            <v>-50</v>
          </cell>
          <cell r="U50">
            <v>-100</v>
          </cell>
          <cell r="V50">
            <v>-150</v>
          </cell>
          <cell r="W50">
            <v>-150</v>
          </cell>
          <cell r="X50">
            <v>-150</v>
          </cell>
          <cell r="Y50">
            <v>-150</v>
          </cell>
          <cell r="Z50">
            <v>-150</v>
          </cell>
          <cell r="AA50">
            <v>-150</v>
          </cell>
          <cell r="AB50">
            <v>-150</v>
          </cell>
          <cell r="AC50">
            <v>-150</v>
          </cell>
          <cell r="AD50">
            <v>-150</v>
          </cell>
          <cell r="AE50">
            <v>2783.5</v>
          </cell>
          <cell r="AF50">
            <v>2879.1454000000003</v>
          </cell>
          <cell r="AG50">
            <v>2982.0120700000002</v>
          </cell>
          <cell r="AH50">
            <v>3089.4147244600008</v>
          </cell>
        </row>
        <row r="51">
          <cell r="C51" t="str">
            <v>Assumed M&amp;A</v>
          </cell>
          <cell r="I51">
            <v>0</v>
          </cell>
          <cell r="J51">
            <v>0</v>
          </cell>
          <cell r="K51">
            <v>0</v>
          </cell>
          <cell r="L51">
            <v>0</v>
          </cell>
          <cell r="M51">
            <v>0</v>
          </cell>
          <cell r="N51">
            <v>0</v>
          </cell>
          <cell r="O51">
            <v>0</v>
          </cell>
          <cell r="P51">
            <v>0</v>
          </cell>
          <cell r="Q51">
            <v>-418</v>
          </cell>
          <cell r="R51">
            <v>-399</v>
          </cell>
          <cell r="S51">
            <v>-602</v>
          </cell>
          <cell r="T51">
            <v>0</v>
          </cell>
          <cell r="U51">
            <v>25</v>
          </cell>
          <cell r="V51">
            <v>50</v>
          </cell>
          <cell r="W51">
            <v>75</v>
          </cell>
          <cell r="X51">
            <v>100</v>
          </cell>
          <cell r="Y51">
            <v>125</v>
          </cell>
          <cell r="Z51">
            <v>150</v>
          </cell>
          <cell r="AA51">
            <v>0</v>
          </cell>
          <cell r="AB51" t="str">
            <v>Assumes $25MM of annual bolt-on M&amp;A</v>
          </cell>
          <cell r="AC51">
            <v>0</v>
          </cell>
          <cell r="AD51">
            <v>-18</v>
          </cell>
          <cell r="AE51">
            <v>-33.5</v>
          </cell>
          <cell r="AF51">
            <v>45.854599999999664</v>
          </cell>
          <cell r="AG51">
            <v>57.987929999999778</v>
          </cell>
          <cell r="AH51">
            <v>85.585275539999202</v>
          </cell>
        </row>
        <row r="52">
          <cell r="C52" t="str">
            <v>Assumed Divestitures</v>
          </cell>
          <cell r="T52">
            <v>0</v>
          </cell>
          <cell r="U52">
            <v>0</v>
          </cell>
          <cell r="V52">
            <v>0</v>
          </cell>
          <cell r="W52">
            <v>0</v>
          </cell>
          <cell r="X52">
            <v>0</v>
          </cell>
          <cell r="Y52">
            <v>0</v>
          </cell>
          <cell r="Z52">
            <v>0</v>
          </cell>
          <cell r="AA52">
            <v>75</v>
          </cell>
          <cell r="AB52" t="str">
            <v>Assumes $25MM of annual bolt-on M&amp;A</v>
          </cell>
          <cell r="AC52">
            <v>125</v>
          </cell>
          <cell r="AD52">
            <v>150</v>
          </cell>
          <cell r="AF52" t="str">
            <v>Assumes $25MM of annual bolt-on M&amp;A</v>
          </cell>
        </row>
        <row r="53">
          <cell r="B53" t="str">
            <v>Incremental Revenue Analysis</v>
          </cell>
          <cell r="C53" t="str">
            <v>Assumed Divestitures</v>
          </cell>
          <cell r="T53">
            <v>0</v>
          </cell>
          <cell r="U53">
            <v>0</v>
          </cell>
          <cell r="V53">
            <v>0</v>
          </cell>
          <cell r="W53">
            <v>0</v>
          </cell>
          <cell r="X53">
            <v>0</v>
          </cell>
          <cell r="Y53">
            <v>0</v>
          </cell>
          <cell r="Z53">
            <v>0</v>
          </cell>
          <cell r="AA53">
            <v>0</v>
          </cell>
          <cell r="AB53">
            <v>0</v>
          </cell>
          <cell r="AC53">
            <v>0</v>
          </cell>
          <cell r="AD53">
            <v>0</v>
          </cell>
        </row>
        <row r="54">
          <cell r="B54" t="str">
            <v>Projected Revenue</v>
          </cell>
          <cell r="T54">
            <v>2529</v>
          </cell>
          <cell r="U54">
            <v>2769.85</v>
          </cell>
          <cell r="V54">
            <v>2856.9454999999998</v>
          </cell>
          <cell r="W54">
            <v>3046.353865</v>
          </cell>
          <cell r="X54">
            <v>3238.1444809499999</v>
          </cell>
          <cell r="Y54">
            <v>3407.3888153785001</v>
          </cell>
          <cell r="Z54">
            <v>3579.1604798398553</v>
          </cell>
        </row>
        <row r="55">
          <cell r="B55" t="str">
            <v>Projected Revenue</v>
          </cell>
          <cell r="C55" t="str">
            <v>Y/Y Growth</v>
          </cell>
          <cell r="T55">
            <v>2529</v>
          </cell>
          <cell r="U55">
            <v>9.5235270858046617E-2</v>
          </cell>
          <cell r="V55">
            <v>3.1444121522826052E-2</v>
          </cell>
          <cell r="W55">
            <v>6.6297507250313359E-2</v>
          </cell>
          <cell r="X55">
            <v>6.2957431883902348E-2</v>
          </cell>
          <cell r="Y55">
            <v>5.22658378661498E-2</v>
          </cell>
          <cell r="Z55">
            <v>5.0411524416028364E-2</v>
          </cell>
          <cell r="AA55">
            <v>3051.353865</v>
          </cell>
          <cell r="AB55">
            <v>3238.1444809499999</v>
          </cell>
          <cell r="AC55">
            <v>3407.3888153785001</v>
          </cell>
          <cell r="AD55">
            <v>3579.1604798398553</v>
          </cell>
          <cell r="AE55">
            <v>2726.353865</v>
          </cell>
          <cell r="AF55">
            <v>2808.1444809499999</v>
          </cell>
          <cell r="AG55">
            <v>2892.3888153785001</v>
          </cell>
          <cell r="AH55">
            <v>2979.1604798398553</v>
          </cell>
        </row>
        <row r="56">
          <cell r="C56" t="str">
            <v>Difference vs. Top-Down Segment Forecast</v>
          </cell>
          <cell r="U56">
            <v>-130.15000000000009</v>
          </cell>
          <cell r="V56">
            <v>-193.05450000000019</v>
          </cell>
          <cell r="W56">
            <v>-153.64613499999996</v>
          </cell>
          <cell r="X56">
            <v>-131.85551905000011</v>
          </cell>
          <cell r="Y56">
            <v>-107.61118462149989</v>
          </cell>
          <cell r="Z56">
            <v>-80.83952016014473</v>
          </cell>
          <cell r="AA56">
            <v>6.9920117688083483E-2</v>
          </cell>
          <cell r="AB56">
            <v>6.121565187589284E-2</v>
          </cell>
          <cell r="AC56">
            <v>5.22658378661498E-2</v>
          </cell>
          <cell r="AD56">
            <v>5.0411524416028364E-2</v>
          </cell>
          <cell r="AE56">
            <v>0.03</v>
          </cell>
          <cell r="AF56">
            <v>0.03</v>
          </cell>
          <cell r="AG56">
            <v>0.03</v>
          </cell>
          <cell r="AH56">
            <v>0.03</v>
          </cell>
        </row>
        <row r="57">
          <cell r="C57" t="str">
            <v>Difference vs. Top-Down Segment Forecast</v>
          </cell>
          <cell r="U57">
            <v>-130.15000000000009</v>
          </cell>
          <cell r="V57">
            <v>-133.05450000000019</v>
          </cell>
          <cell r="W57">
            <v>-98.646134999999958</v>
          </cell>
          <cell r="X57">
            <v>-31.855519050000112</v>
          </cell>
          <cell r="Y57">
            <v>52.388815378500112</v>
          </cell>
          <cell r="Z57">
            <v>139.16047983985527</v>
          </cell>
          <cell r="AA57">
            <v>-38.646134999999958</v>
          </cell>
          <cell r="AB57">
            <v>98.144480949999888</v>
          </cell>
          <cell r="AC57">
            <v>227.38881537850011</v>
          </cell>
          <cell r="AD57">
            <v>369.16047983985527</v>
          </cell>
        </row>
        <row r="58">
          <cell r="B58" t="str">
            <v>Change in Revenue</v>
          </cell>
          <cell r="I58">
            <v>27</v>
          </cell>
          <cell r="J58">
            <v>37</v>
          </cell>
          <cell r="K58">
            <v>44</v>
          </cell>
          <cell r="L58">
            <v>105</v>
          </cell>
          <cell r="R58">
            <v>188</v>
          </cell>
          <cell r="S58">
            <v>135</v>
          </cell>
          <cell r="T58">
            <v>213</v>
          </cell>
        </row>
        <row r="59">
          <cell r="B59" t="str">
            <v>M&amp;A Pickup</v>
          </cell>
          <cell r="C59" t="str">
            <v>DataPath</v>
          </cell>
          <cell r="I59">
            <v>8</v>
          </cell>
          <cell r="J59">
            <v>10</v>
          </cell>
          <cell r="K59">
            <v>27</v>
          </cell>
          <cell r="L59">
            <v>66</v>
          </cell>
          <cell r="R59">
            <v>38</v>
          </cell>
          <cell r="S59">
            <v>17</v>
          </cell>
          <cell r="T59">
            <v>111</v>
          </cell>
          <cell r="V59">
            <v>188</v>
          </cell>
          <cell r="W59">
            <v>135</v>
          </cell>
          <cell r="X59">
            <v>213</v>
          </cell>
          <cell r="AB59">
            <v>84</v>
          </cell>
          <cell r="AC59">
            <v>256</v>
          </cell>
          <cell r="AD59">
            <v>240</v>
          </cell>
          <cell r="AE59">
            <v>250</v>
          </cell>
          <cell r="AF59">
            <v>275</v>
          </cell>
          <cell r="AG59">
            <v>290</v>
          </cell>
          <cell r="AH59">
            <v>300</v>
          </cell>
        </row>
        <row r="60">
          <cell r="B60" t="str">
            <v>Organic Change in Revenue</v>
          </cell>
          <cell r="I60">
            <v>19</v>
          </cell>
          <cell r="J60">
            <v>27</v>
          </cell>
          <cell r="K60">
            <v>17</v>
          </cell>
          <cell r="L60">
            <v>39</v>
          </cell>
          <cell r="R60">
            <v>150</v>
          </cell>
          <cell r="S60">
            <v>118</v>
          </cell>
          <cell r="T60">
            <v>102</v>
          </cell>
          <cell r="V60">
            <v>38</v>
          </cell>
          <cell r="W60">
            <v>17</v>
          </cell>
          <cell r="X60">
            <v>111</v>
          </cell>
        </row>
        <row r="61">
          <cell r="B61" t="str">
            <v>Organic Change in Revenue</v>
          </cell>
          <cell r="C61" t="str">
            <v>Black Hawk (USG and International)</v>
          </cell>
          <cell r="I61">
            <v>19</v>
          </cell>
          <cell r="J61">
            <v>27</v>
          </cell>
          <cell r="K61">
            <v>17</v>
          </cell>
          <cell r="L61">
            <v>39</v>
          </cell>
          <cell r="R61">
            <v>150</v>
          </cell>
          <cell r="S61">
            <v>118</v>
          </cell>
          <cell r="T61">
            <v>102</v>
          </cell>
          <cell r="V61">
            <v>150</v>
          </cell>
          <cell r="W61">
            <v>118</v>
          </cell>
          <cell r="X61">
            <v>102</v>
          </cell>
        </row>
        <row r="62">
          <cell r="C62" t="str">
            <v>JTRS (combined programs: GMR, HMS, MIDS)</v>
          </cell>
          <cell r="AB62">
            <v>0</v>
          </cell>
          <cell r="AC62">
            <v>0</v>
          </cell>
          <cell r="AD62">
            <v>0</v>
          </cell>
          <cell r="AE62">
            <v>50</v>
          </cell>
          <cell r="AF62">
            <v>100</v>
          </cell>
          <cell r="AG62">
            <v>150</v>
          </cell>
          <cell r="AH62">
            <v>200</v>
          </cell>
          <cell r="AJ62" t="str">
            <v>$5.5B program over 20 years</v>
          </cell>
        </row>
        <row r="63">
          <cell r="A63" t="str">
            <v>Segment Operating Profit</v>
          </cell>
          <cell r="C63" t="str">
            <v>Boeing Tanker</v>
          </cell>
          <cell r="AB63">
            <v>0</v>
          </cell>
          <cell r="AC63">
            <v>25</v>
          </cell>
          <cell r="AD63">
            <v>50</v>
          </cell>
          <cell r="AE63">
            <v>75</v>
          </cell>
          <cell r="AF63">
            <v>100</v>
          </cell>
          <cell r="AG63">
            <v>100</v>
          </cell>
          <cell r="AH63">
            <v>100</v>
          </cell>
          <cell r="AJ63" t="str">
            <v>"Big program per plane"…179 planes, estimated $5MM per plane</v>
          </cell>
        </row>
        <row r="64">
          <cell r="A64" t="str">
            <v>Segment Operating Profit</v>
          </cell>
          <cell r="C64" t="str">
            <v>Athena Technologies (UAV Controls)</v>
          </cell>
          <cell r="AJ64" t="str">
            <v>Predator, Reaper, Watchkeeper</v>
          </cell>
        </row>
        <row r="65">
          <cell r="B65" t="str">
            <v>Airborne Solutions</v>
          </cell>
          <cell r="K65">
            <v>113</v>
          </cell>
          <cell r="L65">
            <v>109.25</v>
          </cell>
          <cell r="M65">
            <v>94.3</v>
          </cell>
          <cell r="N65">
            <v>105.80000000000001</v>
          </cell>
          <cell r="O65">
            <v>109.25</v>
          </cell>
          <cell r="P65">
            <v>110.25</v>
          </cell>
          <cell r="Q65">
            <v>287.67694566813509</v>
          </cell>
          <cell r="R65">
            <v>317.25907664724338</v>
          </cell>
          <cell r="S65">
            <v>341.39137785291632</v>
          </cell>
          <cell r="T65">
            <v>422.11169999999998</v>
          </cell>
          <cell r="U65">
            <v>419.6</v>
          </cell>
          <cell r="V65">
            <v>433.4</v>
          </cell>
          <cell r="W65">
            <v>434.7</v>
          </cell>
          <cell r="X65">
            <v>462</v>
          </cell>
          <cell r="Y65">
            <v>483</v>
          </cell>
          <cell r="Z65">
            <v>504</v>
          </cell>
        </row>
        <row r="66">
          <cell r="B66" t="str">
            <v>Airborne Solutions</v>
          </cell>
          <cell r="C66" t="str">
            <v>% Margin</v>
          </cell>
          <cell r="K66">
            <v>0.25</v>
          </cell>
          <cell r="L66">
            <v>0.23</v>
          </cell>
          <cell r="M66">
            <v>0.23</v>
          </cell>
          <cell r="N66">
            <v>0.23</v>
          </cell>
          <cell r="O66">
            <v>0.23</v>
          </cell>
          <cell r="P66">
            <v>0.21</v>
          </cell>
          <cell r="Q66">
            <v>0.19676945668135096</v>
          </cell>
          <cell r="R66">
            <v>0.1976692066337965</v>
          </cell>
          <cell r="S66">
            <v>0.20540997464074387</v>
          </cell>
          <cell r="T66">
            <v>0.2397</v>
          </cell>
          <cell r="U66">
            <v>0.22438502673796792</v>
          </cell>
          <cell r="V66">
            <v>0.22</v>
          </cell>
          <cell r="W66">
            <v>0.21</v>
          </cell>
          <cell r="X66">
            <v>0.21</v>
          </cell>
          <cell r="Y66">
            <v>0.21</v>
          </cell>
          <cell r="Z66">
            <v>0.21</v>
          </cell>
          <cell r="AA66">
            <v>434.91</v>
          </cell>
          <cell r="AB66" t="str">
            <v>Airborne/Surface equivalent margins; assumes some erosion from return of bonuses (frozen FY09)</v>
          </cell>
          <cell r="AC66">
            <v>428.4</v>
          </cell>
          <cell r="AD66">
            <v>430.5</v>
          </cell>
          <cell r="AE66">
            <v>375</v>
          </cell>
          <cell r="AF66">
            <v>475</v>
          </cell>
          <cell r="AG66">
            <v>540</v>
          </cell>
          <cell r="AH66">
            <v>600</v>
          </cell>
        </row>
        <row r="67">
          <cell r="C67" t="str">
            <v>% Margin</v>
          </cell>
          <cell r="K67">
            <v>0.25</v>
          </cell>
          <cell r="L67">
            <v>0.23</v>
          </cell>
          <cell r="M67">
            <v>0.23</v>
          </cell>
          <cell r="N67">
            <v>0.22750000000000001</v>
          </cell>
          <cell r="O67">
            <v>0.21199999999999999</v>
          </cell>
          <cell r="P67">
            <v>0.21</v>
          </cell>
          <cell r="Q67">
            <v>0.19676945668135096</v>
          </cell>
          <cell r="R67">
            <v>0.1976692066337965</v>
          </cell>
          <cell r="S67">
            <v>0.20540997464074387</v>
          </cell>
          <cell r="T67">
            <v>0.2397</v>
          </cell>
          <cell r="U67">
            <v>0.21913502673796789</v>
          </cell>
          <cell r="V67">
            <v>0.22</v>
          </cell>
          <cell r="W67">
            <v>0.215</v>
          </cell>
          <cell r="X67">
            <v>0.21299999999999999</v>
          </cell>
          <cell r="Y67">
            <v>0.21</v>
          </cell>
          <cell r="Z67">
            <v>0.21</v>
          </cell>
          <cell r="AA67">
            <v>0.218</v>
          </cell>
          <cell r="AB67" t="str">
            <v>Airborne/Surface equivalent margins; assumes some erosion from return of bonuses (frozen FY09)</v>
          </cell>
          <cell r="AC67">
            <v>0.21</v>
          </cell>
          <cell r="AD67">
            <v>0.21</v>
          </cell>
          <cell r="AF67" t="str">
            <v>Airborne/Surface equivalent margins; assumes some erosion from return of bonuses (frozen FY09)</v>
          </cell>
        </row>
        <row r="68">
          <cell r="B68" t="str">
            <v>DataPath</v>
          </cell>
          <cell r="K68">
            <v>1.1500000000000001</v>
          </cell>
          <cell r="L68">
            <v>3.0500000000000003</v>
          </cell>
          <cell r="M68">
            <v>6.6</v>
          </cell>
          <cell r="N68">
            <v>6</v>
          </cell>
          <cell r="O68">
            <v>6.5</v>
          </cell>
          <cell r="P68">
            <v>6.5</v>
          </cell>
          <cell r="T68">
            <v>4.2</v>
          </cell>
          <cell r="U68">
            <v>25.6</v>
          </cell>
          <cell r="V68">
            <v>32.5</v>
          </cell>
          <cell r="W68">
            <v>40.5</v>
          </cell>
          <cell r="X68">
            <v>49</v>
          </cell>
          <cell r="Y68">
            <v>50.75</v>
          </cell>
          <cell r="Z68">
            <v>52.5</v>
          </cell>
          <cell r="AB68" t="str">
            <v>Low sgl digit with potential for high-teens margin</v>
          </cell>
        </row>
        <row r="69">
          <cell r="B69" t="str">
            <v>DataPath</v>
          </cell>
          <cell r="C69" t="str">
            <v>% Margin</v>
          </cell>
          <cell r="K69">
            <v>0.05</v>
          </cell>
          <cell r="L69">
            <v>0.05</v>
          </cell>
          <cell r="M69">
            <v>0.11</v>
          </cell>
          <cell r="N69">
            <v>0.1</v>
          </cell>
          <cell r="O69">
            <v>0.1</v>
          </cell>
          <cell r="P69">
            <v>0.1</v>
          </cell>
          <cell r="Q69">
            <v>6.6</v>
          </cell>
          <cell r="R69">
            <v>7.5</v>
          </cell>
          <cell r="S69">
            <v>8.7100000000000009</v>
          </cell>
          <cell r="T69">
            <v>0.05</v>
          </cell>
          <cell r="U69">
            <v>0.1024</v>
          </cell>
          <cell r="V69">
            <v>0.125</v>
          </cell>
          <cell r="W69">
            <v>0.15</v>
          </cell>
          <cell r="X69">
            <v>0.17499999999999999</v>
          </cell>
          <cell r="Y69">
            <v>0.17499999999999999</v>
          </cell>
          <cell r="Z69">
            <v>0.17499999999999999</v>
          </cell>
          <cell r="AA69">
            <v>41.25</v>
          </cell>
          <cell r="AB69" t="str">
            <v>Low sgl digit with potential for high-teens margin</v>
          </cell>
          <cell r="AC69">
            <v>50.75</v>
          </cell>
          <cell r="AD69">
            <v>52.5</v>
          </cell>
          <cell r="AE69">
            <v>-150</v>
          </cell>
          <cell r="AF69" t="str">
            <v>Low sgl digit with potential for high-teens margin</v>
          </cell>
          <cell r="AG69">
            <v>-150</v>
          </cell>
          <cell r="AH69">
            <v>-150</v>
          </cell>
        </row>
        <row r="70">
          <cell r="C70" t="str">
            <v>% Margin</v>
          </cell>
          <cell r="K70">
            <v>0.05</v>
          </cell>
          <cell r="L70">
            <v>0.05</v>
          </cell>
          <cell r="M70">
            <v>0.11</v>
          </cell>
          <cell r="N70">
            <v>0.1</v>
          </cell>
          <cell r="O70">
            <v>0.1</v>
          </cell>
          <cell r="P70">
            <v>0.1</v>
          </cell>
          <cell r="Q70">
            <v>0.11</v>
          </cell>
          <cell r="R70">
            <v>0.125</v>
          </cell>
          <cell r="S70">
            <v>0.13400000000000001</v>
          </cell>
          <cell r="T70">
            <v>0.05</v>
          </cell>
          <cell r="U70">
            <v>0.1024</v>
          </cell>
          <cell r="V70">
            <v>0.12</v>
          </cell>
          <cell r="W70">
            <v>0.15</v>
          </cell>
          <cell r="X70">
            <v>0.17</v>
          </cell>
          <cell r="Y70">
            <v>0.17499999999999999</v>
          </cell>
          <cell r="Z70">
            <v>0.17499999999999999</v>
          </cell>
          <cell r="AA70">
            <v>0.15</v>
          </cell>
          <cell r="AB70">
            <v>0.17</v>
          </cell>
          <cell r="AC70">
            <v>0.17499999999999999</v>
          </cell>
          <cell r="AD70">
            <v>0.17499999999999999</v>
          </cell>
          <cell r="AE70">
            <v>0</v>
          </cell>
          <cell r="AF70">
            <v>0</v>
          </cell>
          <cell r="AG70">
            <v>0</v>
          </cell>
          <cell r="AH70">
            <v>0</v>
          </cell>
        </row>
        <row r="71">
          <cell r="B71" t="str">
            <v>Surface Solutions ex. DataPath</v>
          </cell>
          <cell r="K71">
            <v>44</v>
          </cell>
          <cell r="L71">
            <v>47.15</v>
          </cell>
          <cell r="M71">
            <v>33.1</v>
          </cell>
          <cell r="N71">
            <v>41.4</v>
          </cell>
          <cell r="O71">
            <v>50.6</v>
          </cell>
          <cell r="P71">
            <v>49.14</v>
          </cell>
          <cell r="T71">
            <v>175.93979999999999</v>
          </cell>
          <cell r="U71">
            <v>174.24</v>
          </cell>
          <cell r="V71">
            <v>180.4</v>
          </cell>
          <cell r="W71">
            <v>180.6</v>
          </cell>
          <cell r="X71">
            <v>186.9</v>
          </cell>
          <cell r="Y71">
            <v>194.25</v>
          </cell>
          <cell r="Z71">
            <v>201.6</v>
          </cell>
          <cell r="AB71">
            <v>0</v>
          </cell>
          <cell r="AC71">
            <v>0</v>
          </cell>
          <cell r="AD71">
            <v>0</v>
          </cell>
          <cell r="AE71">
            <v>0</v>
          </cell>
          <cell r="AF71">
            <v>0</v>
          </cell>
          <cell r="AG71">
            <v>0</v>
          </cell>
          <cell r="AH71">
            <v>0</v>
          </cell>
        </row>
        <row r="72">
          <cell r="B72" t="str">
            <v>Surface Solutions ex. DataPath</v>
          </cell>
          <cell r="C72" t="str">
            <v>% Margin</v>
          </cell>
          <cell r="K72">
            <v>0.25</v>
          </cell>
          <cell r="L72">
            <v>0.23</v>
          </cell>
          <cell r="M72">
            <v>0.23</v>
          </cell>
          <cell r="N72">
            <v>0.23</v>
          </cell>
          <cell r="O72">
            <v>0.23</v>
          </cell>
          <cell r="P72">
            <v>0.21</v>
          </cell>
          <cell r="Q72">
            <v>33.1</v>
          </cell>
          <cell r="R72">
            <v>34.979999999999997</v>
          </cell>
          <cell r="S72">
            <v>50.76</v>
          </cell>
          <cell r="T72">
            <v>0.2397</v>
          </cell>
          <cell r="U72">
            <v>0.2233846153846154</v>
          </cell>
          <cell r="V72">
            <v>0.22</v>
          </cell>
          <cell r="W72">
            <v>0.21</v>
          </cell>
          <cell r="X72">
            <v>0.21</v>
          </cell>
          <cell r="Y72">
            <v>0.21</v>
          </cell>
          <cell r="Z72">
            <v>0.21</v>
          </cell>
          <cell r="AA72">
            <v>177.94</v>
          </cell>
          <cell r="AB72">
            <v>180.6</v>
          </cell>
          <cell r="AC72">
            <v>178.5</v>
          </cell>
          <cell r="AD72">
            <v>180.6</v>
          </cell>
          <cell r="AE72">
            <v>-150</v>
          </cell>
          <cell r="AF72">
            <v>-150</v>
          </cell>
          <cell r="AG72">
            <v>-150</v>
          </cell>
          <cell r="AH72">
            <v>-150</v>
          </cell>
        </row>
        <row r="73">
          <cell r="C73" t="str">
            <v>% Margin</v>
          </cell>
          <cell r="K73">
            <v>0.25</v>
          </cell>
          <cell r="L73">
            <v>0.23</v>
          </cell>
          <cell r="M73">
            <v>0.23</v>
          </cell>
          <cell r="N73">
            <v>0.22750000000000001</v>
          </cell>
          <cell r="O73">
            <v>0.21199999999999999</v>
          </cell>
          <cell r="P73">
            <v>0.21</v>
          </cell>
          <cell r="Q73">
            <v>0.20799999999999999</v>
          </cell>
          <cell r="R73">
            <v>0.22</v>
          </cell>
          <cell r="S73">
            <v>0.216</v>
          </cell>
          <cell r="T73">
            <v>0.2397</v>
          </cell>
          <cell r="U73">
            <v>0.2177294871794872</v>
          </cell>
          <cell r="V73">
            <v>0.22</v>
          </cell>
          <cell r="W73">
            <v>0.215</v>
          </cell>
          <cell r="X73">
            <v>0.21299999999999999</v>
          </cell>
          <cell r="Y73">
            <v>0.21</v>
          </cell>
          <cell r="Z73">
            <v>0.21</v>
          </cell>
          <cell r="AA73">
            <v>0.217</v>
          </cell>
          <cell r="AB73">
            <v>0.215</v>
          </cell>
          <cell r="AC73">
            <v>0.21</v>
          </cell>
          <cell r="AD73">
            <v>0.21</v>
          </cell>
        </row>
        <row r="74">
          <cell r="B74" t="str">
            <v>Surface Solutions</v>
          </cell>
          <cell r="C74" t="str">
            <v>Assumed M&amp;A</v>
          </cell>
          <cell r="K74">
            <v>45.15</v>
          </cell>
          <cell r="L74">
            <v>50.199999999999996</v>
          </cell>
          <cell r="M74">
            <v>39.700000000000003</v>
          </cell>
          <cell r="N74">
            <v>47.4</v>
          </cell>
          <cell r="O74">
            <v>57.1</v>
          </cell>
          <cell r="P74">
            <v>55.64</v>
          </cell>
          <cell r="Q74">
            <v>114.32305433186491</v>
          </cell>
          <cell r="R74">
            <v>123.74092335275662</v>
          </cell>
          <cell r="S74">
            <v>144.60862214708368</v>
          </cell>
          <cell r="T74">
            <v>180.13979999999998</v>
          </cell>
          <cell r="U74">
            <v>199.84</v>
          </cell>
          <cell r="V74">
            <v>212.9</v>
          </cell>
          <cell r="W74">
            <v>221.1</v>
          </cell>
          <cell r="X74">
            <v>235.9</v>
          </cell>
          <cell r="Y74">
            <v>245</v>
          </cell>
          <cell r="Z74">
            <v>254.1</v>
          </cell>
          <cell r="AB74">
            <v>0</v>
          </cell>
          <cell r="AC74">
            <v>25</v>
          </cell>
          <cell r="AD74">
            <v>50</v>
          </cell>
          <cell r="AE74">
            <v>75</v>
          </cell>
          <cell r="AF74">
            <v>100</v>
          </cell>
          <cell r="AG74">
            <v>125</v>
          </cell>
          <cell r="AH74">
            <v>150</v>
          </cell>
          <cell r="AJ74" t="str">
            <v>Assumes $25MM of annual bolt-on M&amp;A</v>
          </cell>
        </row>
        <row r="75">
          <cell r="B75" t="str">
            <v>Surface Solutions</v>
          </cell>
          <cell r="C75" t="str">
            <v>% Margin</v>
          </cell>
          <cell r="K75">
            <v>0.22688442211055276</v>
          </cell>
          <cell r="L75">
            <v>0.18872180451127818</v>
          </cell>
          <cell r="M75">
            <v>0.19271844660194176</v>
          </cell>
          <cell r="N75">
            <v>0.19749999999999998</v>
          </cell>
          <cell r="O75">
            <v>0.20035087719298247</v>
          </cell>
          <cell r="P75">
            <v>0.18608695652173912</v>
          </cell>
          <cell r="Q75">
            <v>0.19676945668135096</v>
          </cell>
          <cell r="R75">
            <v>0.19766920663379653</v>
          </cell>
          <cell r="S75">
            <v>0.20540997464074387</v>
          </cell>
          <cell r="T75">
            <v>0.22021980440097796</v>
          </cell>
          <cell r="U75">
            <v>0.19401941747572815</v>
          </cell>
          <cell r="V75">
            <v>0.19712962962962963</v>
          </cell>
          <cell r="W75">
            <v>0.19566371681415928</v>
          </cell>
          <cell r="X75">
            <v>0.20162393162393163</v>
          </cell>
          <cell r="Y75">
            <v>0.20164609053497942</v>
          </cell>
          <cell r="Z75">
            <v>0.20166666666666666</v>
          </cell>
          <cell r="AA75">
            <v>219.19</v>
          </cell>
          <cell r="AB75" t="str">
            <v>Airborne/Surface equivalent margins; assumes some erosion from return of bonuses (frozen FY09)</v>
          </cell>
          <cell r="AC75">
            <v>229.25</v>
          </cell>
          <cell r="AD75">
            <v>233.1</v>
          </cell>
          <cell r="AE75">
            <v>0</v>
          </cell>
          <cell r="AF75">
            <v>0</v>
          </cell>
          <cell r="AG75">
            <v>0</v>
          </cell>
          <cell r="AH75">
            <v>0</v>
          </cell>
        </row>
        <row r="76">
          <cell r="C76" t="str">
            <v>% Margin</v>
          </cell>
          <cell r="K76">
            <v>0.22688442211055276</v>
          </cell>
          <cell r="L76">
            <v>0.18872180451127818</v>
          </cell>
          <cell r="M76">
            <v>0.19271844660194176</v>
          </cell>
          <cell r="N76">
            <v>0.19535714285714287</v>
          </cell>
          <cell r="O76">
            <v>0.19028571428571431</v>
          </cell>
          <cell r="P76">
            <v>0.18249999999999997</v>
          </cell>
          <cell r="Q76">
            <v>0.19676945668135096</v>
          </cell>
          <cell r="R76">
            <v>0.19766920663379653</v>
          </cell>
          <cell r="S76">
            <v>0.20540997464074387</v>
          </cell>
          <cell r="T76">
            <v>0.22021980440097796</v>
          </cell>
          <cell r="U76">
            <v>0.18973689320388351</v>
          </cell>
          <cell r="V76">
            <v>0.19558685446009388</v>
          </cell>
          <cell r="W76">
            <v>0.19939999999999999</v>
          </cell>
          <cell r="X76">
            <v>0.20270940170940169</v>
          </cell>
          <cell r="Y76">
            <v>0.20157676348547718</v>
          </cell>
          <cell r="Z76">
            <v>0.20153225806451613</v>
          </cell>
          <cell r="AA76">
            <v>0.20017351598173516</v>
          </cell>
          <cell r="AB76" t="str">
            <v>Airborne/Surface equivalent margins; assumes some erosion from return of bonuses (frozen FY09)</v>
          </cell>
          <cell r="AC76">
            <v>0.20109649122807016</v>
          </cell>
          <cell r="AD76">
            <v>0.20094827586206895</v>
          </cell>
          <cell r="AF76" t="str">
            <v>Airborne/Surface equivalent margins; assumes some erosion from return of bonuses (frozen FY09)</v>
          </cell>
        </row>
        <row r="77">
          <cell r="B77" t="str">
            <v>Total Operating Profit</v>
          </cell>
          <cell r="E77">
            <v>115</v>
          </cell>
          <cell r="F77">
            <v>115</v>
          </cell>
          <cell r="G77">
            <v>131</v>
          </cell>
          <cell r="H77">
            <v>125</v>
          </cell>
          <cell r="I77">
            <v>140</v>
          </cell>
          <cell r="J77">
            <v>145</v>
          </cell>
          <cell r="K77">
            <v>158</v>
          </cell>
          <cell r="L77">
            <v>159</v>
          </cell>
          <cell r="M77">
            <v>134</v>
          </cell>
          <cell r="N77">
            <v>153.20000000000002</v>
          </cell>
          <cell r="O77">
            <v>166.35</v>
          </cell>
          <cell r="P77">
            <v>165.89</v>
          </cell>
          <cell r="Q77">
            <v>402</v>
          </cell>
          <cell r="R77">
            <v>441</v>
          </cell>
          <cell r="S77">
            <v>486</v>
          </cell>
          <cell r="T77">
            <v>602</v>
          </cell>
          <cell r="U77">
            <v>619.44000000000005</v>
          </cell>
          <cell r="V77">
            <v>646.29999999999995</v>
          </cell>
          <cell r="W77">
            <v>655.8</v>
          </cell>
          <cell r="X77">
            <v>697.9</v>
          </cell>
          <cell r="Y77">
            <v>728</v>
          </cell>
          <cell r="Z77">
            <v>758.1</v>
          </cell>
          <cell r="AB77">
            <v>2529</v>
          </cell>
          <cell r="AC77">
            <v>2775.85</v>
          </cell>
          <cell r="AD77">
            <v>2836.9454999999998</v>
          </cell>
          <cell r="AE77">
            <v>3026.353865</v>
          </cell>
          <cell r="AF77">
            <v>3233.1444809499999</v>
          </cell>
          <cell r="AG77">
            <v>3407.3888153785001</v>
          </cell>
          <cell r="AH77">
            <v>3579.1604798398553</v>
          </cell>
        </row>
        <row r="78">
          <cell r="B78" t="str">
            <v>Total Operating Profit</v>
          </cell>
          <cell r="C78" t="str">
            <v>% Margin</v>
          </cell>
          <cell r="E78">
            <v>0.21023765996343693</v>
          </cell>
          <cell r="F78">
            <v>0.19965277777777779</v>
          </cell>
          <cell r="G78">
            <v>0.21581548599670511</v>
          </cell>
          <cell r="H78">
            <v>0.19654088050314467</v>
          </cell>
          <cell r="I78">
            <v>0.24390243902439024</v>
          </cell>
          <cell r="J78">
            <v>0.2365415986949429</v>
          </cell>
          <cell r="K78">
            <v>0.24270353302611367</v>
          </cell>
          <cell r="L78">
            <v>0.2145748987854251</v>
          </cell>
          <cell r="M78">
            <v>0.21753246753246752</v>
          </cell>
          <cell r="N78">
            <v>0.21885714285714289</v>
          </cell>
          <cell r="O78">
            <v>0.21888157894736843</v>
          </cell>
          <cell r="P78">
            <v>0.20132281553398057</v>
          </cell>
          <cell r="Q78">
            <v>0.19676945668135096</v>
          </cell>
          <cell r="R78">
            <v>0.1976692066337965</v>
          </cell>
          <cell r="S78">
            <v>0.20540997464074387</v>
          </cell>
          <cell r="T78">
            <v>0.23342380767739435</v>
          </cell>
          <cell r="U78">
            <v>0.21360000000000001</v>
          </cell>
          <cell r="V78">
            <v>0.21190163934426229</v>
          </cell>
          <cell r="W78">
            <v>0.20493749999999999</v>
          </cell>
          <cell r="X78">
            <v>0.20709198813056379</v>
          </cell>
          <cell r="Y78">
            <v>0.20711237553342818</v>
          </cell>
          <cell r="Z78">
            <v>0.20713114754098361</v>
          </cell>
          <cell r="AA78">
            <v>654.1</v>
          </cell>
          <cell r="AB78">
            <v>662.5</v>
          </cell>
          <cell r="AC78">
            <v>657.65</v>
          </cell>
          <cell r="AD78">
            <v>663.6</v>
          </cell>
          <cell r="AE78">
            <v>6.6764893791579905E-2</v>
          </cell>
          <cell r="AF78">
            <v>6.8329952535144178E-2</v>
          </cell>
          <cell r="AG78">
            <v>5.3893148127207136E-2</v>
          </cell>
          <cell r="AH78">
            <v>5.0411524416028364E-2</v>
          </cell>
        </row>
        <row r="79">
          <cell r="C79" t="str">
            <v>% Margin</v>
          </cell>
          <cell r="E79">
            <v>0.21023765996343693</v>
          </cell>
          <cell r="F79">
            <v>0.19965277777777779</v>
          </cell>
          <cell r="G79">
            <v>0.21581548599670511</v>
          </cell>
          <cell r="H79">
            <v>0.19654088050314467</v>
          </cell>
          <cell r="I79">
            <v>0.24390243902439024</v>
          </cell>
          <cell r="J79">
            <v>0.2365415986949429</v>
          </cell>
          <cell r="K79">
            <v>0.15000000000000568</v>
          </cell>
          <cell r="L79">
            <v>0.44999999999998863</v>
          </cell>
          <cell r="M79">
            <v>0</v>
          </cell>
          <cell r="N79">
            <v>0</v>
          </cell>
          <cell r="O79">
            <v>0</v>
          </cell>
          <cell r="P79">
            <v>0</v>
          </cell>
          <cell r="Q79">
            <v>0.19676945668135096</v>
          </cell>
          <cell r="R79">
            <v>0.1976692066337965</v>
          </cell>
          <cell r="S79">
            <v>0.20540997464074387</v>
          </cell>
          <cell r="T79">
            <v>0.25149999999996453</v>
          </cell>
          <cell r="U79">
            <v>0</v>
          </cell>
          <cell r="V79">
            <v>0</v>
          </cell>
          <cell r="W79">
            <v>0</v>
          </cell>
          <cell r="X79">
            <v>0</v>
          </cell>
          <cell r="Y79">
            <v>0</v>
          </cell>
          <cell r="Z79">
            <v>0</v>
          </cell>
          <cell r="AA79">
            <v>0.21168284789644012</v>
          </cell>
          <cell r="AB79">
            <v>0.21098726114649682</v>
          </cell>
          <cell r="AC79">
            <v>0.20680817610062893</v>
          </cell>
          <cell r="AD79">
            <v>0.20672897196261683</v>
          </cell>
          <cell r="AE79">
            <v>242.85386500000004</v>
          </cell>
          <cell r="AF79">
            <v>353.99908094999955</v>
          </cell>
          <cell r="AG79">
            <v>425.37674537849989</v>
          </cell>
          <cell r="AH79">
            <v>489.74575537985447</v>
          </cell>
        </row>
        <row r="80">
          <cell r="B80" t="str">
            <v>Check</v>
          </cell>
          <cell r="E80">
            <v>115</v>
          </cell>
          <cell r="F80">
            <v>115</v>
          </cell>
          <cell r="G80">
            <v>131</v>
          </cell>
          <cell r="H80">
            <v>125</v>
          </cell>
          <cell r="I80">
            <v>140</v>
          </cell>
          <cell r="J80">
            <v>145</v>
          </cell>
          <cell r="K80">
            <v>158</v>
          </cell>
          <cell r="L80">
            <v>159</v>
          </cell>
          <cell r="M80">
            <v>134</v>
          </cell>
          <cell r="N80">
            <v>150</v>
          </cell>
          <cell r="O80">
            <v>153</v>
          </cell>
          <cell r="P80">
            <v>168.2115</v>
          </cell>
          <cell r="Q80">
            <v>402</v>
          </cell>
          <cell r="R80">
            <v>441</v>
          </cell>
          <cell r="S80">
            <v>486</v>
          </cell>
          <cell r="T80">
            <v>602</v>
          </cell>
          <cell r="U80">
            <v>605.2115</v>
          </cell>
          <cell r="V80">
            <v>631.79999999999995</v>
          </cell>
          <cell r="W80">
            <v>658.625</v>
          </cell>
          <cell r="X80">
            <v>684.47</v>
          </cell>
          <cell r="Y80">
            <v>694.4</v>
          </cell>
          <cell r="Z80">
            <v>711.9</v>
          </cell>
          <cell r="AA80">
            <v>654.1</v>
          </cell>
          <cell r="AB80">
            <v>662.5</v>
          </cell>
          <cell r="AC80">
            <v>657.65</v>
          </cell>
          <cell r="AD80">
            <v>663.6</v>
          </cell>
        </row>
        <row r="81">
          <cell r="B81" t="str">
            <v>Revenue = Model?</v>
          </cell>
          <cell r="E81" t="b">
            <v>1</v>
          </cell>
          <cell r="F81" t="b">
            <v>1</v>
          </cell>
          <cell r="G81" t="b">
            <v>1</v>
          </cell>
          <cell r="H81" t="b">
            <v>1</v>
          </cell>
          <cell r="I81" t="b">
            <v>1</v>
          </cell>
          <cell r="J81" t="b">
            <v>1</v>
          </cell>
          <cell r="K81" t="b">
            <v>1</v>
          </cell>
          <cell r="L81" t="b">
            <v>1</v>
          </cell>
          <cell r="M81" t="b">
            <v>1</v>
          </cell>
          <cell r="N81" t="b">
            <v>1</v>
          </cell>
          <cell r="O81" t="b">
            <v>1</v>
          </cell>
          <cell r="P81" t="b">
            <v>1</v>
          </cell>
          <cell r="Q81" t="b">
            <v>1</v>
          </cell>
          <cell r="R81" t="b">
            <v>1</v>
          </cell>
          <cell r="S81" t="b">
            <v>1</v>
          </cell>
          <cell r="T81" t="b">
            <v>1</v>
          </cell>
          <cell r="U81" t="b">
            <v>1</v>
          </cell>
          <cell r="V81" t="b">
            <v>1</v>
          </cell>
          <cell r="W81" t="b">
            <v>1</v>
          </cell>
          <cell r="X81" t="b">
            <v>1</v>
          </cell>
          <cell r="Y81" t="b">
            <v>1</v>
          </cell>
          <cell r="Z81" t="b">
            <v>1</v>
          </cell>
          <cell r="AA81">
            <v>135</v>
          </cell>
          <cell r="AB81">
            <v>213</v>
          </cell>
        </row>
        <row r="82">
          <cell r="B82" t="str">
            <v>Op Profit = Model?</v>
          </cell>
          <cell r="E82" t="b">
            <v>1</v>
          </cell>
          <cell r="F82" t="b">
            <v>1</v>
          </cell>
          <cell r="G82" t="b">
            <v>1</v>
          </cell>
          <cell r="H82" t="b">
            <v>1</v>
          </cell>
          <cell r="I82" t="b">
            <v>1</v>
          </cell>
          <cell r="J82" t="b">
            <v>1</v>
          </cell>
          <cell r="K82" t="b">
            <v>1</v>
          </cell>
          <cell r="L82" t="b">
            <v>1</v>
          </cell>
          <cell r="M82" t="b">
            <v>1</v>
          </cell>
          <cell r="N82">
            <v>1.2000000000000171</v>
          </cell>
          <cell r="O82">
            <v>1.3499999999999943</v>
          </cell>
          <cell r="P82">
            <v>-2.5500000000000682</v>
          </cell>
          <cell r="Q82" t="b">
            <v>1</v>
          </cell>
          <cell r="R82" t="b">
            <v>1</v>
          </cell>
          <cell r="S82" t="b">
            <v>1</v>
          </cell>
          <cell r="T82" t="b">
            <v>1</v>
          </cell>
          <cell r="U82" t="b">
            <v>1</v>
          </cell>
          <cell r="V82">
            <v>-21.6</v>
          </cell>
          <cell r="W82" t="b">
            <v>1</v>
          </cell>
          <cell r="X82" t="b">
            <v>1</v>
          </cell>
          <cell r="Y82" t="b">
            <v>1</v>
          </cell>
          <cell r="Z82" t="b">
            <v>1</v>
          </cell>
          <cell r="AA82">
            <v>0.22492857142857151</v>
          </cell>
          <cell r="AB82">
            <v>0.16799999999999954</v>
          </cell>
          <cell r="AC82">
            <v>-0.12125000000000057</v>
          </cell>
          <cell r="AD82">
            <v>0.19833333333333486</v>
          </cell>
        </row>
        <row r="83">
          <cell r="B83" t="str">
            <v>Pension</v>
          </cell>
          <cell r="E83" t="b">
            <v>1</v>
          </cell>
          <cell r="F83" t="b">
            <v>1</v>
          </cell>
          <cell r="G83" t="b">
            <v>1</v>
          </cell>
          <cell r="H83" t="b">
            <v>1</v>
          </cell>
          <cell r="I83" t="b">
            <v>1</v>
          </cell>
          <cell r="J83" t="b">
            <v>1</v>
          </cell>
          <cell r="K83" t="b">
            <v>1</v>
          </cell>
          <cell r="L83" t="b">
            <v>1</v>
          </cell>
          <cell r="M83" t="b">
            <v>1</v>
          </cell>
          <cell r="N83" t="b">
            <v>1</v>
          </cell>
          <cell r="O83">
            <v>0</v>
          </cell>
          <cell r="P83">
            <v>-14.600000000000023</v>
          </cell>
          <cell r="Q83" t="b">
            <v>1</v>
          </cell>
          <cell r="R83" t="b">
            <v>1</v>
          </cell>
          <cell r="S83" t="b">
            <v>1</v>
          </cell>
          <cell r="T83" t="b">
            <v>1</v>
          </cell>
          <cell r="U83" t="b">
            <v>1</v>
          </cell>
          <cell r="V83">
            <v>-2</v>
          </cell>
          <cell r="W83" t="b">
            <v>1</v>
          </cell>
          <cell r="X83" t="b">
            <v>1</v>
          </cell>
          <cell r="Y83" t="b">
            <v>1</v>
          </cell>
          <cell r="Z83" t="b">
            <v>1</v>
          </cell>
          <cell r="AA83">
            <v>118</v>
          </cell>
          <cell r="AB83">
            <v>102</v>
          </cell>
        </row>
        <row r="84">
          <cell r="B84" t="str">
            <v>San Jose</v>
          </cell>
          <cell r="E84" t="b">
            <v>1</v>
          </cell>
          <cell r="F84" t="b">
            <v>1</v>
          </cell>
          <cell r="G84" t="b">
            <v>1</v>
          </cell>
          <cell r="H84" t="b">
            <v>1</v>
          </cell>
          <cell r="I84" t="b">
            <v>1</v>
          </cell>
          <cell r="J84" t="b">
            <v>1</v>
          </cell>
          <cell r="K84" t="b">
            <v>1</v>
          </cell>
          <cell r="L84" t="b">
            <v>1</v>
          </cell>
          <cell r="M84" t="b">
            <v>1</v>
          </cell>
          <cell r="N84" t="b">
            <v>1</v>
          </cell>
          <cell r="O84" t="b">
            <v>1</v>
          </cell>
          <cell r="P84" t="b">
            <v>1</v>
          </cell>
          <cell r="Q84" t="b">
            <v>1</v>
          </cell>
          <cell r="R84" t="b">
            <v>1</v>
          </cell>
          <cell r="S84" t="b">
            <v>1</v>
          </cell>
          <cell r="T84" t="b">
            <v>1</v>
          </cell>
          <cell r="U84" t="b">
            <v>1</v>
          </cell>
          <cell r="V84">
            <v>18</v>
          </cell>
          <cell r="W84" t="b">
            <v>1</v>
          </cell>
          <cell r="X84" t="b">
            <v>1</v>
          </cell>
          <cell r="Y84" t="b">
            <v>1</v>
          </cell>
          <cell r="Z84" t="b">
            <v>1</v>
          </cell>
        </row>
        <row r="85">
          <cell r="A85" t="str">
            <v>Airborne Solutions Program Build</v>
          </cell>
          <cell r="B85" t="str">
            <v>Op Profit = Model?</v>
          </cell>
          <cell r="E85" t="b">
            <v>1</v>
          </cell>
          <cell r="F85" t="b">
            <v>1</v>
          </cell>
          <cell r="G85" t="b">
            <v>1</v>
          </cell>
          <cell r="H85" t="b">
            <v>1</v>
          </cell>
          <cell r="I85" t="b">
            <v>1</v>
          </cell>
          <cell r="J85" t="b">
            <v>1</v>
          </cell>
          <cell r="K85" t="b">
            <v>0</v>
          </cell>
          <cell r="L85" t="b">
            <v>0</v>
          </cell>
          <cell r="M85" t="b">
            <v>1</v>
          </cell>
          <cell r="N85" t="b">
            <v>0</v>
          </cell>
          <cell r="O85">
            <v>0.46399999999999864</v>
          </cell>
          <cell r="P85">
            <v>-0.47149999999999181</v>
          </cell>
          <cell r="Q85" t="b">
            <v>1</v>
          </cell>
          <cell r="R85" t="b">
            <v>1</v>
          </cell>
          <cell r="S85" t="b">
            <v>1</v>
          </cell>
          <cell r="T85" t="b">
            <v>0</v>
          </cell>
          <cell r="U85" t="b">
            <v>1</v>
          </cell>
          <cell r="V85" t="b">
            <v>1</v>
          </cell>
          <cell r="W85" t="b">
            <v>1</v>
          </cell>
          <cell r="X85" t="b">
            <v>1</v>
          </cell>
          <cell r="Y85" t="b">
            <v>1</v>
          </cell>
          <cell r="Z85" t="b">
            <v>1</v>
          </cell>
        </row>
        <row r="86">
          <cell r="A86" t="str">
            <v>Airborne Solutions Program Build</v>
          </cell>
          <cell r="B86" t="str">
            <v>Revenue = Model?</v>
          </cell>
          <cell r="E86" t="b">
            <v>1</v>
          </cell>
          <cell r="F86" t="b">
            <v>1</v>
          </cell>
          <cell r="G86" t="b">
            <v>1</v>
          </cell>
          <cell r="H86" t="b">
            <v>1</v>
          </cell>
          <cell r="I86" t="b">
            <v>1</v>
          </cell>
          <cell r="J86" t="b">
            <v>1</v>
          </cell>
          <cell r="K86" t="b">
            <v>1</v>
          </cell>
          <cell r="L86" t="b">
            <v>1</v>
          </cell>
          <cell r="M86" t="b">
            <v>1</v>
          </cell>
          <cell r="N86" t="b">
            <v>1</v>
          </cell>
          <cell r="O86" t="b">
            <v>1</v>
          </cell>
          <cell r="P86" t="b">
            <v>1</v>
          </cell>
          <cell r="Q86" t="b">
            <v>1</v>
          </cell>
          <cell r="R86" t="b">
            <v>1</v>
          </cell>
          <cell r="S86" t="b">
            <v>1</v>
          </cell>
          <cell r="T86" t="b">
            <v>1</v>
          </cell>
          <cell r="U86" t="b">
            <v>1</v>
          </cell>
          <cell r="V86" t="b">
            <v>1</v>
          </cell>
          <cell r="W86" t="b">
            <v>1</v>
          </cell>
          <cell r="X86" t="b">
            <v>1</v>
          </cell>
          <cell r="Y86" t="b">
            <v>1</v>
          </cell>
          <cell r="Z86" t="b">
            <v>1</v>
          </cell>
          <cell r="AA86" t="b">
            <v>1</v>
          </cell>
          <cell r="AB86" t="b">
            <v>1</v>
          </cell>
          <cell r="AC86" t="b">
            <v>1</v>
          </cell>
          <cell r="AD86" t="b">
            <v>1</v>
          </cell>
        </row>
        <row r="87">
          <cell r="B87" t="str">
            <v>Tanker / Transport</v>
          </cell>
          <cell r="E87" t="b">
            <v>1</v>
          </cell>
          <cell r="F87" t="b">
            <v>1</v>
          </cell>
          <cell r="G87" t="b">
            <v>1</v>
          </cell>
          <cell r="H87" t="b">
            <v>1</v>
          </cell>
          <cell r="I87" t="b">
            <v>1</v>
          </cell>
          <cell r="J87" t="b">
            <v>1</v>
          </cell>
          <cell r="K87" t="b">
            <v>0</v>
          </cell>
          <cell r="L87" t="b">
            <v>0</v>
          </cell>
          <cell r="M87" t="b">
            <v>1</v>
          </cell>
          <cell r="N87" t="b">
            <v>0</v>
          </cell>
          <cell r="O87">
            <v>0.46399999999999864</v>
          </cell>
          <cell r="P87">
            <v>-0.47149999999999181</v>
          </cell>
          <cell r="Q87" t="b">
            <v>1</v>
          </cell>
          <cell r="R87" t="b">
            <v>1</v>
          </cell>
          <cell r="S87" t="b">
            <v>1</v>
          </cell>
          <cell r="T87" t="b">
            <v>0</v>
          </cell>
          <cell r="U87" t="b">
            <v>1</v>
          </cell>
          <cell r="V87" t="b">
            <v>1</v>
          </cell>
          <cell r="W87" t="b">
            <v>1</v>
          </cell>
          <cell r="X87" t="b">
            <v>1</v>
          </cell>
          <cell r="Y87" t="b">
            <v>1</v>
          </cell>
          <cell r="Z87" t="b">
            <v>1</v>
          </cell>
          <cell r="AA87" t="b">
            <v>1</v>
          </cell>
          <cell r="AB87" t="b">
            <v>1</v>
          </cell>
          <cell r="AC87" t="b">
            <v>1</v>
          </cell>
          <cell r="AD87" t="b">
            <v>1</v>
          </cell>
        </row>
        <row r="88">
          <cell r="A88" t="str">
            <v>Airborne Solutions Program Build</v>
          </cell>
          <cell r="B88" t="str">
            <v>Tanker / Transport</v>
          </cell>
          <cell r="C88" t="str">
            <v>767 Tanker</v>
          </cell>
          <cell r="E88" t="b">
            <v>1</v>
          </cell>
          <cell r="F88" t="b">
            <v>1</v>
          </cell>
          <cell r="G88" t="b">
            <v>1</v>
          </cell>
          <cell r="H88" t="b">
            <v>1</v>
          </cell>
          <cell r="I88" t="b">
            <v>1</v>
          </cell>
          <cell r="J88" t="b">
            <v>1</v>
          </cell>
          <cell r="K88" t="b">
            <v>1</v>
          </cell>
          <cell r="L88" t="b">
            <v>1</v>
          </cell>
          <cell r="M88" t="b">
            <v>1</v>
          </cell>
          <cell r="N88" t="b">
            <v>1</v>
          </cell>
          <cell r="O88" t="b">
            <v>1</v>
          </cell>
          <cell r="P88" t="b">
            <v>1</v>
          </cell>
          <cell r="Q88" t="b">
            <v>0</v>
          </cell>
          <cell r="R88" t="b">
            <v>0</v>
          </cell>
          <cell r="S88">
            <v>50</v>
          </cell>
          <cell r="T88">
            <v>50</v>
          </cell>
          <cell r="U88">
            <v>50</v>
          </cell>
          <cell r="V88">
            <v>50</v>
          </cell>
          <cell r="W88">
            <v>100</v>
          </cell>
          <cell r="X88">
            <v>150</v>
          </cell>
          <cell r="Y88">
            <v>175</v>
          </cell>
          <cell r="Z88">
            <v>200</v>
          </cell>
          <cell r="AA88" t="b">
            <v>1</v>
          </cell>
          <cell r="AB88" t="str">
            <v>Big program</v>
          </cell>
          <cell r="AC88" t="b">
            <v>1</v>
          </cell>
          <cell r="AD88" t="b">
            <v>1</v>
          </cell>
          <cell r="AE88">
            <v>426</v>
          </cell>
          <cell r="AF88">
            <v>451.5</v>
          </cell>
          <cell r="AG88" t="str">
            <v>http://www.rockwellcollins.com/products/gov/airborne/tanker-transport/boeing767/index.html</v>
          </cell>
          <cell r="AH88">
            <v>472.5</v>
          </cell>
        </row>
        <row r="89">
          <cell r="B89" t="str">
            <v>Op Profit = Model?</v>
          </cell>
          <cell r="C89" t="str">
            <v>KC-10</v>
          </cell>
          <cell r="E89" t="b">
            <v>1</v>
          </cell>
          <cell r="F89" t="b">
            <v>1</v>
          </cell>
          <cell r="G89" t="b">
            <v>1</v>
          </cell>
          <cell r="H89" t="b">
            <v>1</v>
          </cell>
          <cell r="I89" t="b">
            <v>1</v>
          </cell>
          <cell r="J89" t="b">
            <v>1</v>
          </cell>
          <cell r="K89" t="b">
            <v>0</v>
          </cell>
          <cell r="L89" t="b">
            <v>0</v>
          </cell>
          <cell r="M89" t="b">
            <v>1</v>
          </cell>
          <cell r="N89" t="b">
            <v>0</v>
          </cell>
          <cell r="O89">
            <v>0.46399999999999864</v>
          </cell>
          <cell r="P89">
            <v>-0.76300000000000523</v>
          </cell>
          <cell r="Q89" t="b">
            <v>0</v>
          </cell>
          <cell r="R89" t="b">
            <v>0</v>
          </cell>
          <cell r="S89">
            <v>0</v>
          </cell>
          <cell r="T89">
            <v>0</v>
          </cell>
          <cell r="U89">
            <v>0</v>
          </cell>
          <cell r="V89">
            <v>0</v>
          </cell>
          <cell r="W89">
            <v>0</v>
          </cell>
          <cell r="X89">
            <v>0</v>
          </cell>
          <cell r="Y89">
            <v>0</v>
          </cell>
          <cell r="Z89">
            <v>0</v>
          </cell>
          <cell r="AA89" t="b">
            <v>1</v>
          </cell>
          <cell r="AB89" t="str">
            <v>Spring 2010</v>
          </cell>
          <cell r="AC89" t="b">
            <v>1</v>
          </cell>
          <cell r="AD89" t="b">
            <v>1</v>
          </cell>
          <cell r="AE89">
            <v>0.21299999999999999</v>
          </cell>
          <cell r="AF89">
            <v>0.215</v>
          </cell>
          <cell r="AG89" t="str">
            <v>http://www.rockwellcollins.com/products/gov/airborne/tanker-transport/c130/index.html</v>
          </cell>
          <cell r="AH89">
            <v>0.21</v>
          </cell>
          <cell r="AJ89" t="str">
            <v>Airborne/Surface equivalent margins; assumes some erosion from return of bonuses (frozen FY09)</v>
          </cell>
        </row>
        <row r="90">
          <cell r="A90" t="str">
            <v>Airborne Solutions Program Build</v>
          </cell>
          <cell r="B90" t="str">
            <v>Tanker / Transport</v>
          </cell>
          <cell r="C90" t="str">
            <v>C-130 International</v>
          </cell>
          <cell r="S90">
            <v>100</v>
          </cell>
          <cell r="T90">
            <v>100</v>
          </cell>
          <cell r="U90">
            <v>100</v>
          </cell>
          <cell r="V90">
            <v>100</v>
          </cell>
          <cell r="W90">
            <v>100</v>
          </cell>
          <cell r="X90">
            <v>100</v>
          </cell>
          <cell r="Y90">
            <v>100</v>
          </cell>
          <cell r="Z90">
            <v>100</v>
          </cell>
          <cell r="AB90" t="str">
            <v>Look at LMT</v>
          </cell>
          <cell r="AG90" t="str">
            <v>http://www.rockwellcollins.com/products/gov/airborne/tanker-transport/c130/index.html</v>
          </cell>
        </row>
        <row r="91">
          <cell r="B91" t="str">
            <v>DataPath</v>
          </cell>
          <cell r="C91" t="str">
            <v>C-130 AMP (USAF Avionics Modernization Program)</v>
          </cell>
          <cell r="K91">
            <v>1.1500000000000001</v>
          </cell>
          <cell r="L91">
            <v>3.0500000000000003</v>
          </cell>
          <cell r="M91">
            <v>6.6</v>
          </cell>
          <cell r="N91">
            <v>6</v>
          </cell>
          <cell r="O91">
            <v>5.7</v>
          </cell>
          <cell r="P91">
            <v>7.9</v>
          </cell>
          <cell r="Q91">
            <v>6.6</v>
          </cell>
          <cell r="R91">
            <v>7.5</v>
          </cell>
          <cell r="S91">
            <v>0</v>
          </cell>
          <cell r="T91">
            <v>0</v>
          </cell>
          <cell r="U91">
            <v>0</v>
          </cell>
          <cell r="V91">
            <v>0</v>
          </cell>
          <cell r="W91">
            <v>0</v>
          </cell>
          <cell r="X91">
            <v>0</v>
          </cell>
          <cell r="Y91">
            <v>0</v>
          </cell>
          <cell r="Z91">
            <v>0</v>
          </cell>
          <cell r="AB91" t="str">
            <v>Look at LMT</v>
          </cell>
          <cell r="AC91">
            <v>26.200000000000003</v>
          </cell>
          <cell r="AD91">
            <v>30.48</v>
          </cell>
          <cell r="AE91">
            <v>35</v>
          </cell>
          <cell r="AF91">
            <v>41.25</v>
          </cell>
          <cell r="AG91" t="str">
            <v>http://www.rockwellcollins.com/products/gov/airborne/tanker-transport/c130/index.html</v>
          </cell>
          <cell r="AH91">
            <v>49.5</v>
          </cell>
          <cell r="AJ91" t="str">
            <v>Low sgl digit with potential for high-teens margin</v>
          </cell>
        </row>
        <row r="92">
          <cell r="A92" t="str">
            <v>Airborne Solutions Program Build</v>
          </cell>
          <cell r="B92" t="str">
            <v>Tanker / Transport</v>
          </cell>
          <cell r="C92" t="str">
            <v>C/K-135 GATM (Global Air Traffic Management)</v>
          </cell>
          <cell r="K92">
            <v>0.05</v>
          </cell>
          <cell r="L92">
            <v>0.05</v>
          </cell>
          <cell r="M92">
            <v>0.11</v>
          </cell>
          <cell r="N92">
            <v>0.1</v>
          </cell>
          <cell r="O92">
            <v>0.1</v>
          </cell>
          <cell r="P92">
            <v>0.1</v>
          </cell>
          <cell r="Q92">
            <v>0.11</v>
          </cell>
          <cell r="R92">
            <v>0.125</v>
          </cell>
          <cell r="S92">
            <v>125</v>
          </cell>
          <cell r="T92">
            <v>125</v>
          </cell>
          <cell r="U92">
            <v>125</v>
          </cell>
          <cell r="V92">
            <v>125</v>
          </cell>
          <cell r="W92">
            <v>125</v>
          </cell>
          <cell r="X92">
            <v>125</v>
          </cell>
          <cell r="Y92">
            <v>125</v>
          </cell>
          <cell r="Z92">
            <v>125</v>
          </cell>
          <cell r="AB92" t="str">
            <v>Now on block 45</v>
          </cell>
          <cell r="AC92">
            <v>0.10234375000000001</v>
          </cell>
          <cell r="AD92" t="str">
            <v>Comment in old transcript</v>
          </cell>
          <cell r="AE92">
            <v>0.14000000000000001</v>
          </cell>
          <cell r="AF92">
            <v>0.15</v>
          </cell>
          <cell r="AG92" t="str">
            <v>http://www.rockwellcollins.com/products/gov/airborne/tanker-transport/kc135/index.html</v>
          </cell>
          <cell r="AH92">
            <v>0.16500000000000001</v>
          </cell>
        </row>
        <row r="93">
          <cell r="B93" t="str">
            <v>Total</v>
          </cell>
          <cell r="C93" t="str">
            <v>767 Tanker</v>
          </cell>
          <cell r="S93">
            <v>275</v>
          </cell>
          <cell r="T93">
            <v>275</v>
          </cell>
          <cell r="U93">
            <v>275</v>
          </cell>
          <cell r="V93">
            <v>275</v>
          </cell>
          <cell r="W93">
            <v>325</v>
          </cell>
          <cell r="X93">
            <v>375</v>
          </cell>
          <cell r="Y93">
            <v>400</v>
          </cell>
          <cell r="Z93">
            <v>425</v>
          </cell>
          <cell r="AA93">
            <v>100</v>
          </cell>
          <cell r="AB93" t="str">
            <v>Big program</v>
          </cell>
          <cell r="AC93">
            <v>175</v>
          </cell>
          <cell r="AD93" t="str">
            <v>Comment in old transcript</v>
          </cell>
          <cell r="AF93" t="str">
            <v>Big program</v>
          </cell>
          <cell r="AG93" t="str">
            <v>http://www.rockwellcollins.com/products/gov/airborne/tanker-transport/boeing767/index.html</v>
          </cell>
          <cell r="AK93" t="str">
            <v>http://www.rockwellcollins.com/products/gov/airborne/tanker-transport/boeing767/index.html</v>
          </cell>
        </row>
        <row r="94">
          <cell r="B94" t="str">
            <v>Total</v>
          </cell>
          <cell r="C94" t="str">
            <v>KC-10</v>
          </cell>
          <cell r="K94">
            <v>44</v>
          </cell>
          <cell r="L94">
            <v>47.15</v>
          </cell>
          <cell r="M94">
            <v>33.1</v>
          </cell>
          <cell r="N94">
            <v>40.495000000000005</v>
          </cell>
          <cell r="O94">
            <v>50.244</v>
          </cell>
          <cell r="P94">
            <v>42.816000000000003</v>
          </cell>
          <cell r="Q94">
            <v>33.1</v>
          </cell>
          <cell r="R94">
            <v>34.979999999999997</v>
          </cell>
          <cell r="S94">
            <v>0</v>
          </cell>
          <cell r="T94">
            <v>0</v>
          </cell>
          <cell r="U94">
            <v>0</v>
          </cell>
          <cell r="V94">
            <v>0</v>
          </cell>
          <cell r="W94">
            <v>0</v>
          </cell>
          <cell r="X94">
            <v>0</v>
          </cell>
          <cell r="Y94">
            <v>0</v>
          </cell>
          <cell r="Z94">
            <v>0</v>
          </cell>
          <cell r="AA94">
            <v>0</v>
          </cell>
          <cell r="AB94" t="str">
            <v>Spring 2010</v>
          </cell>
          <cell r="AC94">
            <v>0</v>
          </cell>
          <cell r="AD94">
            <v>0</v>
          </cell>
          <cell r="AE94">
            <v>108.5</v>
          </cell>
          <cell r="AF94" t="str">
            <v>Spring 2010</v>
          </cell>
          <cell r="AG94" t="str">
            <v>http://www.rockwellcollins.com/products/gov/airborne/tanker-transport/c130/index.html</v>
          </cell>
          <cell r="AH94">
            <v>131.25</v>
          </cell>
          <cell r="AK94" t="str">
            <v>http://www.rockwellcollins.com/products/gov/airborne/tanker-transport/c130/index.html</v>
          </cell>
        </row>
        <row r="95">
          <cell r="B95" t="str">
            <v>Rotary Wing</v>
          </cell>
          <cell r="C95" t="str">
            <v>C-130 International</v>
          </cell>
          <cell r="I95" t="str">
            <v>Common Avionics Architecture System (CAAS)</v>
          </cell>
          <cell r="K95">
            <v>0.25</v>
          </cell>
          <cell r="L95">
            <v>0.23</v>
          </cell>
          <cell r="M95">
            <v>0.23</v>
          </cell>
          <cell r="N95">
            <v>0.22750000000000001</v>
          </cell>
          <cell r="O95">
            <v>0.21199999999999999</v>
          </cell>
          <cell r="P95">
            <v>0.223</v>
          </cell>
          <cell r="Q95">
            <v>0.20799999999999999</v>
          </cell>
          <cell r="R95">
            <v>0.22</v>
          </cell>
          <cell r="S95">
            <v>100</v>
          </cell>
          <cell r="T95">
            <v>100</v>
          </cell>
          <cell r="U95">
            <v>100</v>
          </cell>
          <cell r="V95">
            <v>100</v>
          </cell>
          <cell r="W95">
            <v>100</v>
          </cell>
          <cell r="X95">
            <v>100</v>
          </cell>
          <cell r="Y95">
            <v>100</v>
          </cell>
          <cell r="Z95">
            <v>100</v>
          </cell>
          <cell r="AA95">
            <v>100</v>
          </cell>
          <cell r="AB95" t="str">
            <v>Look at LMT</v>
          </cell>
          <cell r="AC95">
            <v>175</v>
          </cell>
          <cell r="AD95" t="str">
            <v>Comment in old transcript</v>
          </cell>
          <cell r="AE95">
            <v>0.217</v>
          </cell>
          <cell r="AF95" t="str">
            <v>Big program</v>
          </cell>
          <cell r="AG95" t="str">
            <v>http://www.rockwellcollins.com/products/gov/airborne/tanker-transport/c130/index.html</v>
          </cell>
          <cell r="AH95">
            <v>0.21</v>
          </cell>
          <cell r="AK95" t="str">
            <v>http://www.rockwellcollins.com/products/gov/airborne/tanker-transport/boeing767/index.html</v>
          </cell>
        </row>
        <row r="96">
          <cell r="B96" t="str">
            <v>Rotary Wing</v>
          </cell>
          <cell r="C96" t="str">
            <v>C-130 AMP (USAF Avionics Modernization Program)</v>
          </cell>
          <cell r="I96" t="str">
            <v>Common Avionics Architecture System (CAAS)</v>
          </cell>
          <cell r="S96">
            <v>125</v>
          </cell>
          <cell r="T96">
            <v>125</v>
          </cell>
          <cell r="U96">
            <v>125</v>
          </cell>
          <cell r="V96">
            <v>125</v>
          </cell>
          <cell r="W96">
            <v>125</v>
          </cell>
          <cell r="X96">
            <v>125</v>
          </cell>
          <cell r="Y96">
            <v>125</v>
          </cell>
          <cell r="Z96">
            <v>125</v>
          </cell>
          <cell r="AA96">
            <v>0</v>
          </cell>
          <cell r="AB96" t="str">
            <v>Look at LMT</v>
          </cell>
          <cell r="AC96">
            <v>0</v>
          </cell>
          <cell r="AD96">
            <v>0</v>
          </cell>
          <cell r="AF96" t="str">
            <v>Spring 2010</v>
          </cell>
          <cell r="AG96" t="str">
            <v>http://www.rockwellcollins.com/products/gov/airborne/cargo-utility/chmh53e/index.html</v>
          </cell>
          <cell r="AK96" t="str">
            <v>http://www.rockwellcollins.com/products/gov/airborne/tanker-transport/c130/index.html</v>
          </cell>
        </row>
        <row r="97">
          <cell r="B97" t="str">
            <v>Surface Solutions</v>
          </cell>
          <cell r="C97" t="str">
            <v>UH-60M Black Hawk</v>
          </cell>
          <cell r="K97">
            <v>45.15</v>
          </cell>
          <cell r="L97">
            <v>50.199999999999996</v>
          </cell>
          <cell r="M97">
            <v>39.700000000000003</v>
          </cell>
          <cell r="N97">
            <v>46.495000000000005</v>
          </cell>
          <cell r="O97">
            <v>55.944000000000003</v>
          </cell>
          <cell r="P97">
            <v>50.716000000000001</v>
          </cell>
          <cell r="Q97">
            <v>39.700000000000003</v>
          </cell>
          <cell r="R97">
            <v>42.48</v>
          </cell>
          <cell r="S97">
            <v>125</v>
          </cell>
          <cell r="T97">
            <v>125</v>
          </cell>
          <cell r="U97">
            <v>125</v>
          </cell>
          <cell r="V97">
            <v>125</v>
          </cell>
          <cell r="W97">
            <v>125</v>
          </cell>
          <cell r="X97">
            <v>125</v>
          </cell>
          <cell r="Y97">
            <v>125</v>
          </cell>
          <cell r="Z97">
            <v>125</v>
          </cell>
          <cell r="AA97">
            <v>100</v>
          </cell>
          <cell r="AB97" t="str">
            <v>Now on block 45</v>
          </cell>
          <cell r="AC97">
            <v>100</v>
          </cell>
          <cell r="AD97" t="str">
            <v>Comment in old transcript</v>
          </cell>
          <cell r="AE97">
            <v>143.5</v>
          </cell>
          <cell r="AF97" t="str">
            <v>Look at LMT</v>
          </cell>
          <cell r="AG97" t="str">
            <v>http://www.rockwellcollins.com/products/gov/airborne/cargo-utility/uh60m/index.html</v>
          </cell>
          <cell r="AH97" t="str">
            <v>Comment in old transcript</v>
          </cell>
          <cell r="AK97" t="str">
            <v>http://www.rockwellcollins.com/products/gov/airborne/tanker-transport/c130/index.html</v>
          </cell>
        </row>
        <row r="98">
          <cell r="B98" t="str">
            <v>Total</v>
          </cell>
          <cell r="C98" t="str">
            <v>International Black Hawk</v>
          </cell>
          <cell r="I98" t="str">
            <v>Common Avionics Architecture System (CAAS)</v>
          </cell>
          <cell r="K98">
            <v>0.22688442211055276</v>
          </cell>
          <cell r="L98">
            <v>0.18872180451127818</v>
          </cell>
          <cell r="M98">
            <v>0.19271844660194176</v>
          </cell>
          <cell r="N98">
            <v>0.19535714285714287</v>
          </cell>
          <cell r="O98">
            <v>0.19028571428571431</v>
          </cell>
          <cell r="P98">
            <v>0.18714391143911441</v>
          </cell>
          <cell r="Q98">
            <v>0.18726415094339624</v>
          </cell>
          <cell r="R98">
            <v>0.19397260273972602</v>
          </cell>
          <cell r="S98">
            <v>0</v>
          </cell>
          <cell r="T98">
            <v>0</v>
          </cell>
          <cell r="U98">
            <v>0</v>
          </cell>
          <cell r="V98">
            <v>0</v>
          </cell>
          <cell r="W98">
            <v>0</v>
          </cell>
          <cell r="X98">
            <v>0</v>
          </cell>
          <cell r="Y98">
            <v>0</v>
          </cell>
          <cell r="Z98">
            <v>0</v>
          </cell>
          <cell r="AA98">
            <v>0</v>
          </cell>
          <cell r="AB98" t="str">
            <v>Look at UTX</v>
          </cell>
          <cell r="AC98">
            <v>0</v>
          </cell>
          <cell r="AD98">
            <v>0</v>
          </cell>
          <cell r="AE98">
            <v>0.19133333333333333</v>
          </cell>
          <cell r="AF98" t="str">
            <v>Look at LMT</v>
          </cell>
          <cell r="AG98" t="str">
            <v>http://www.rockwellcollins.com/products/gov/airborne/cargo-utility/uh60m/index.html</v>
          </cell>
          <cell r="AH98">
            <v>0.19540540540540541</v>
          </cell>
          <cell r="AJ98" t="str">
            <v>Airborne/Surface equivalent margins; assumes some erosion from return of bonuses (frozen FY09)</v>
          </cell>
        </row>
        <row r="99">
          <cell r="C99" t="str">
            <v>CH-47 Chinook</v>
          </cell>
          <cell r="S99">
            <v>125</v>
          </cell>
          <cell r="T99">
            <v>125</v>
          </cell>
          <cell r="U99">
            <v>125</v>
          </cell>
          <cell r="V99">
            <v>125</v>
          </cell>
          <cell r="W99">
            <v>125</v>
          </cell>
          <cell r="X99">
            <v>125</v>
          </cell>
          <cell r="Y99">
            <v>125</v>
          </cell>
          <cell r="Z99">
            <v>125</v>
          </cell>
          <cell r="AA99">
            <v>125</v>
          </cell>
          <cell r="AB99" t="str">
            <v>Look at UTX</v>
          </cell>
          <cell r="AC99">
            <v>125</v>
          </cell>
          <cell r="AD99">
            <v>125</v>
          </cell>
          <cell r="AF99" t="str">
            <v>Now on block 45</v>
          </cell>
          <cell r="AG99" t="str">
            <v>http://www.rockwellcollins.com/products/gov/airborne/cargo-utility/ch47/index.html</v>
          </cell>
          <cell r="AH99" t="str">
            <v>Comment in old transcript</v>
          </cell>
          <cell r="AK99" t="str">
            <v>http://www.rockwellcollins.com/products/gov/airborne/tanker-transport/kc135/index.html</v>
          </cell>
        </row>
        <row r="100">
          <cell r="B100" t="str">
            <v>Total</v>
          </cell>
          <cell r="C100" t="str">
            <v>CH-47 Chinook</v>
          </cell>
          <cell r="E100">
            <v>115</v>
          </cell>
          <cell r="F100">
            <v>115</v>
          </cell>
          <cell r="G100">
            <v>131</v>
          </cell>
          <cell r="H100">
            <v>125</v>
          </cell>
          <cell r="I100" t="str">
            <v>Common Avionics Architecture System (CAAS)</v>
          </cell>
          <cell r="J100">
            <v>145</v>
          </cell>
          <cell r="K100">
            <v>158.15</v>
          </cell>
          <cell r="L100">
            <v>159.44999999999999</v>
          </cell>
          <cell r="M100">
            <v>134</v>
          </cell>
          <cell r="N100">
            <v>150.00749999999999</v>
          </cell>
          <cell r="O100">
            <v>153.464</v>
          </cell>
          <cell r="P100">
            <v>168.23699999999999</v>
          </cell>
          <cell r="Q100">
            <v>130.804</v>
          </cell>
          <cell r="R100">
            <v>151.82</v>
          </cell>
          <cell r="S100">
            <v>375</v>
          </cell>
          <cell r="T100">
            <v>375</v>
          </cell>
          <cell r="U100">
            <v>375</v>
          </cell>
          <cell r="V100">
            <v>375</v>
          </cell>
          <cell r="W100">
            <v>375</v>
          </cell>
          <cell r="X100">
            <v>375</v>
          </cell>
          <cell r="Y100">
            <v>375</v>
          </cell>
          <cell r="Z100">
            <v>375</v>
          </cell>
          <cell r="AA100">
            <v>325</v>
          </cell>
          <cell r="AB100">
            <v>375</v>
          </cell>
          <cell r="AC100">
            <v>400</v>
          </cell>
          <cell r="AD100">
            <v>425</v>
          </cell>
          <cell r="AE100">
            <v>569.5</v>
          </cell>
          <cell r="AF100">
            <v>609.625</v>
          </cell>
          <cell r="AG100" t="str">
            <v>http://www.rockwellcollins.com/products/gov/airborne/cargo-utility/ch47/index.html</v>
          </cell>
          <cell r="AH100">
            <v>653.25</v>
          </cell>
        </row>
        <row r="101">
          <cell r="B101" t="str">
            <v>Total</v>
          </cell>
          <cell r="C101" t="str">
            <v>USMC CH/MH-53E</v>
          </cell>
          <cell r="E101">
            <v>0.21023765996343693</v>
          </cell>
          <cell r="F101">
            <v>0.19965277777777779</v>
          </cell>
          <cell r="G101">
            <v>0.21581548599670511</v>
          </cell>
          <cell r="H101">
            <v>0.19654088050314467</v>
          </cell>
          <cell r="I101">
            <v>0.24390243902439024</v>
          </cell>
          <cell r="J101">
            <v>0.2365415986949429</v>
          </cell>
          <cell r="K101">
            <v>0.24293394777265745</v>
          </cell>
          <cell r="L101">
            <v>0.2151821862348178</v>
          </cell>
          <cell r="M101">
            <v>0.21753246753246752</v>
          </cell>
          <cell r="N101">
            <v>0.21646103896103894</v>
          </cell>
          <cell r="O101">
            <v>0.20353315649867373</v>
          </cell>
          <cell r="P101">
            <v>0.21082330827067669</v>
          </cell>
          <cell r="Q101">
            <v>0.20123692307692309</v>
          </cell>
          <cell r="R101">
            <v>0.2120391061452514</v>
          </cell>
          <cell r="S101">
            <v>125</v>
          </cell>
          <cell r="T101">
            <v>125</v>
          </cell>
          <cell r="U101">
            <v>125</v>
          </cell>
          <cell r="V101">
            <v>125</v>
          </cell>
          <cell r="W101">
            <v>125</v>
          </cell>
          <cell r="X101">
            <v>125</v>
          </cell>
          <cell r="Y101">
            <v>125</v>
          </cell>
          <cell r="Z101">
            <v>125</v>
          </cell>
          <cell r="AA101">
            <v>125</v>
          </cell>
          <cell r="AB101" t="str">
            <v>Look at UTX</v>
          </cell>
          <cell r="AC101">
            <v>125</v>
          </cell>
          <cell r="AD101">
            <v>125</v>
          </cell>
          <cell r="AE101">
            <v>0.2070909090909091</v>
          </cell>
          <cell r="AF101">
            <v>0.20841880341880342</v>
          </cell>
          <cell r="AG101" t="str">
            <v>http://www.rockwellcollins.com/products/gov/airborne/cargo-utility/chmh53e/index.html</v>
          </cell>
          <cell r="AH101">
            <v>0.20574803149606299</v>
          </cell>
          <cell r="AK101" t="str">
            <v>http://www.rockwellcollins.com/products/gov/airborne/cargo-utility/chmh53e/index.html</v>
          </cell>
        </row>
        <row r="102">
          <cell r="B102" t="str">
            <v>Special Mission</v>
          </cell>
          <cell r="C102" t="str">
            <v>UH-60M Black Hawk</v>
          </cell>
          <cell r="E102">
            <v>115</v>
          </cell>
          <cell r="F102">
            <v>115</v>
          </cell>
          <cell r="G102">
            <v>131</v>
          </cell>
          <cell r="H102">
            <v>125</v>
          </cell>
          <cell r="I102" t="str">
            <v>Common Avionics Architecture System (CAAS)</v>
          </cell>
          <cell r="J102">
            <v>145</v>
          </cell>
          <cell r="K102">
            <v>158</v>
          </cell>
          <cell r="L102">
            <v>159</v>
          </cell>
          <cell r="M102">
            <v>134</v>
          </cell>
          <cell r="N102">
            <v>150</v>
          </cell>
          <cell r="O102">
            <v>153</v>
          </cell>
          <cell r="P102">
            <v>169</v>
          </cell>
          <cell r="Q102">
            <v>131</v>
          </cell>
          <cell r="R102">
            <v>150</v>
          </cell>
          <cell r="S102">
            <v>125</v>
          </cell>
          <cell r="T102">
            <v>125</v>
          </cell>
          <cell r="U102">
            <v>125</v>
          </cell>
          <cell r="V102">
            <v>125</v>
          </cell>
          <cell r="W102">
            <v>125</v>
          </cell>
          <cell r="X102">
            <v>125</v>
          </cell>
          <cell r="Y102">
            <v>125</v>
          </cell>
          <cell r="Z102">
            <v>125</v>
          </cell>
          <cell r="AA102">
            <v>125</v>
          </cell>
          <cell r="AB102">
            <v>125</v>
          </cell>
          <cell r="AC102">
            <v>125</v>
          </cell>
          <cell r="AD102">
            <v>125</v>
          </cell>
          <cell r="AE102">
            <v>569.5</v>
          </cell>
          <cell r="AF102">
            <v>609.625</v>
          </cell>
          <cell r="AG102" t="str">
            <v>http://www.rockwellcollins.com/products/gov/airborne/cargo-utility/uh60m/index.html</v>
          </cell>
          <cell r="AH102">
            <v>653.25</v>
          </cell>
          <cell r="AK102" t="str">
            <v>http://www.rockwellcollins.com/products/gov/airborne/cargo-utility/uh60m/index.html</v>
          </cell>
        </row>
        <row r="103">
          <cell r="B103" t="str">
            <v>Special Mission</v>
          </cell>
          <cell r="C103" t="str">
            <v>International Black Hawk</v>
          </cell>
          <cell r="S103">
            <v>25</v>
          </cell>
          <cell r="T103">
            <v>25</v>
          </cell>
          <cell r="U103">
            <v>25</v>
          </cell>
          <cell r="V103">
            <v>25</v>
          </cell>
          <cell r="W103">
            <v>25</v>
          </cell>
          <cell r="X103">
            <v>25</v>
          </cell>
          <cell r="Y103">
            <v>25</v>
          </cell>
          <cell r="Z103">
            <v>25</v>
          </cell>
          <cell r="AA103">
            <v>125</v>
          </cell>
          <cell r="AB103" t="str">
            <v>Look at UTX</v>
          </cell>
          <cell r="AC103">
            <v>125</v>
          </cell>
          <cell r="AD103">
            <v>125</v>
          </cell>
          <cell r="AF103" t="str">
            <v>Look at UTX</v>
          </cell>
          <cell r="AG103" t="str">
            <v>http://www.rockwellcollins.com/products/gov/airborne/special-mission/commando-solo/index.html</v>
          </cell>
          <cell r="AK103" t="str">
            <v>http://www.rockwellcollins.com/products/gov/airborne/cargo-utility/chmh53e/index.html</v>
          </cell>
        </row>
        <row r="104">
          <cell r="B104" t="str">
            <v>Incremental Y/Y Margins</v>
          </cell>
          <cell r="C104" t="str">
            <v>E-6B Mercury</v>
          </cell>
          <cell r="I104">
            <v>0.92592592592592593</v>
          </cell>
          <cell r="J104">
            <v>0.81081081081081086</v>
          </cell>
          <cell r="K104">
            <v>0.61704545454545467</v>
          </cell>
          <cell r="L104">
            <v>0.328095238095238</v>
          </cell>
          <cell r="M104">
            <v>-0.14285714285714285</v>
          </cell>
          <cell r="N104">
            <v>6.259374999999992E-2</v>
          </cell>
          <cell r="O104">
            <v>-4.5495145631068032E-2</v>
          </cell>
          <cell r="P104">
            <v>0.15415789473684222</v>
          </cell>
          <cell r="Q104">
            <v>-9.3999999999999945E-2</v>
          </cell>
          <cell r="R104">
            <v>7.880434782608696E-2</v>
          </cell>
          <cell r="S104">
            <v>25</v>
          </cell>
          <cell r="T104">
            <v>25</v>
          </cell>
          <cell r="U104">
            <v>25</v>
          </cell>
          <cell r="V104">
            <v>25</v>
          </cell>
          <cell r="W104">
            <v>25</v>
          </cell>
          <cell r="X104">
            <v>25</v>
          </cell>
          <cell r="Y104">
            <v>25</v>
          </cell>
          <cell r="Z104">
            <v>25</v>
          </cell>
          <cell r="AA104">
            <v>125</v>
          </cell>
          <cell r="AB104">
            <v>125</v>
          </cell>
          <cell r="AC104">
            <v>125</v>
          </cell>
          <cell r="AD104">
            <v>125</v>
          </cell>
          <cell r="AE104">
            <v>0.10244444444444475</v>
          </cell>
          <cell r="AF104">
            <v>0.22928571428571429</v>
          </cell>
          <cell r="AG104" t="str">
            <v>http://www.rockwellcollins.com/products/gov/airborne/special-mission/e6b/index.html</v>
          </cell>
          <cell r="AH104">
            <v>0.21740740740740758</v>
          </cell>
          <cell r="AK104" t="str">
            <v>http://www.rockwellcollins.com/products/gov/airborne/cargo-utility/uh60m/index.html</v>
          </cell>
        </row>
        <row r="105">
          <cell r="B105" t="str">
            <v>Total</v>
          </cell>
          <cell r="C105" t="str">
            <v>U.S. Coast Guard Deepwater</v>
          </cell>
          <cell r="S105">
            <v>25</v>
          </cell>
          <cell r="T105">
            <v>25</v>
          </cell>
          <cell r="U105">
            <v>25</v>
          </cell>
          <cell r="V105">
            <v>25</v>
          </cell>
          <cell r="W105">
            <v>25</v>
          </cell>
          <cell r="X105">
            <v>25</v>
          </cell>
          <cell r="Y105">
            <v>25</v>
          </cell>
          <cell r="Z105">
            <v>25</v>
          </cell>
          <cell r="AA105" t="str">
            <v>- avionics update CN235-300M a/c</v>
          </cell>
          <cell r="AB105">
            <v>0</v>
          </cell>
          <cell r="AC105">
            <v>0</v>
          </cell>
          <cell r="AD105">
            <v>0</v>
          </cell>
          <cell r="AF105" t="str">
            <v>Look at UTX</v>
          </cell>
          <cell r="AG105" t="str">
            <v>http://www.rockwellcollins.com/products/gov/airborne/special-mission/deepwater/index.html</v>
          </cell>
        </row>
        <row r="106">
          <cell r="C106" t="str">
            <v>Joint STARS (Surveillance Target Attack Radar System)</v>
          </cell>
          <cell r="S106">
            <v>25</v>
          </cell>
          <cell r="T106">
            <v>25</v>
          </cell>
          <cell r="U106">
            <v>25</v>
          </cell>
          <cell r="V106">
            <v>25</v>
          </cell>
          <cell r="W106">
            <v>25</v>
          </cell>
          <cell r="X106">
            <v>25</v>
          </cell>
          <cell r="Y106">
            <v>25</v>
          </cell>
          <cell r="Z106">
            <v>25</v>
          </cell>
          <cell r="AA106" t="str">
            <v>- avionics update CN235-300M a/c</v>
          </cell>
          <cell r="AB106">
            <v>125</v>
          </cell>
          <cell r="AC106">
            <v>125</v>
          </cell>
          <cell r="AD106">
            <v>125</v>
          </cell>
          <cell r="AG106" t="str">
            <v>http://www.rockwellcollins.com/products/gov/airborne/special-mission/joint-stars/index.html</v>
          </cell>
          <cell r="AK106" t="str">
            <v>http://www.rockwellcollins.com/products/gov/airborne/cargo-utility/ch47/index.html</v>
          </cell>
        </row>
        <row r="107">
          <cell r="B107" t="str">
            <v>Special Mission</v>
          </cell>
          <cell r="C107" t="str">
            <v>P-3 Orion</v>
          </cell>
          <cell r="S107">
            <v>25</v>
          </cell>
          <cell r="T107">
            <v>25</v>
          </cell>
          <cell r="U107">
            <v>25</v>
          </cell>
          <cell r="V107">
            <v>25</v>
          </cell>
          <cell r="W107">
            <v>25</v>
          </cell>
          <cell r="X107">
            <v>25</v>
          </cell>
          <cell r="Y107">
            <v>25</v>
          </cell>
          <cell r="Z107">
            <v>25</v>
          </cell>
          <cell r="AA107">
            <v>375</v>
          </cell>
          <cell r="AB107">
            <v>375</v>
          </cell>
          <cell r="AC107">
            <v>375</v>
          </cell>
          <cell r="AD107">
            <v>375</v>
          </cell>
          <cell r="AG107" t="str">
            <v>http://www.rockwellcollins.com/products/gov/airborne/special-mission/p3/index.html</v>
          </cell>
        </row>
        <row r="108">
          <cell r="C108" t="str">
            <v>S-92 Multi-Mission</v>
          </cell>
          <cell r="S108">
            <v>50</v>
          </cell>
          <cell r="T108">
            <v>50</v>
          </cell>
          <cell r="U108">
            <v>50</v>
          </cell>
          <cell r="V108">
            <v>50</v>
          </cell>
          <cell r="W108">
            <v>50</v>
          </cell>
          <cell r="X108">
            <v>50</v>
          </cell>
          <cell r="Y108">
            <v>50</v>
          </cell>
          <cell r="Z108">
            <v>50</v>
          </cell>
          <cell r="AA108" t="str">
            <v>- avionics update CN235-300M a/c</v>
          </cell>
          <cell r="AB108" t="str">
            <v>Look at UTX</v>
          </cell>
          <cell r="AC108">
            <v>25</v>
          </cell>
          <cell r="AD108">
            <v>25</v>
          </cell>
          <cell r="AE108" t="str">
            <v>Cuts during F3Q11</v>
          </cell>
          <cell r="AG108" t="str">
            <v>http://www.rockwellcollins.com/products/gov/airborne/special-mission/civil-transport/index.html</v>
          </cell>
          <cell r="AK108" t="str">
            <v>http://www.rockwellcollins.com/products/gov/airborne/special-mission/commando-solo/index.html</v>
          </cell>
        </row>
        <row r="109">
          <cell r="B109" t="str">
            <v>Special Mission</v>
          </cell>
          <cell r="C109" t="str">
            <v>U.S. Coast Guard MH-60T</v>
          </cell>
          <cell r="S109">
            <v>50</v>
          </cell>
          <cell r="T109">
            <v>50</v>
          </cell>
          <cell r="U109">
            <v>50</v>
          </cell>
          <cell r="V109">
            <v>50</v>
          </cell>
          <cell r="W109">
            <v>50</v>
          </cell>
          <cell r="X109">
            <v>50</v>
          </cell>
          <cell r="Y109">
            <v>50</v>
          </cell>
          <cell r="Z109">
            <v>50</v>
          </cell>
          <cell r="AA109">
            <v>25</v>
          </cell>
          <cell r="AB109" t="str">
            <v>Look at UTX</v>
          </cell>
          <cell r="AC109">
            <v>25</v>
          </cell>
          <cell r="AD109">
            <v>25</v>
          </cell>
          <cell r="AE109" t="str">
            <v>-Thre GEMS, secured communication..  20</v>
          </cell>
          <cell r="AG109" t="str">
            <v>http://www.rockwellcollins.com/products/gov/airborne/special-mission/mh-60t/index.html</v>
          </cell>
          <cell r="AI109" t="str">
            <v>Communications</v>
          </cell>
          <cell r="AK109" t="str">
            <v>http://www.rockwellcollins.com/products/gov/airborne/special-mission/e6b/index.html</v>
          </cell>
        </row>
        <row r="110">
          <cell r="C110" t="str">
            <v>S-70B SEAHAWK</v>
          </cell>
          <cell r="S110">
            <v>50</v>
          </cell>
          <cell r="T110">
            <v>50</v>
          </cell>
          <cell r="U110">
            <v>50</v>
          </cell>
          <cell r="V110">
            <v>50</v>
          </cell>
          <cell r="W110">
            <v>50</v>
          </cell>
          <cell r="X110">
            <v>50</v>
          </cell>
          <cell r="Y110">
            <v>50</v>
          </cell>
          <cell r="Z110">
            <v>50</v>
          </cell>
          <cell r="AA110" t="str">
            <v>- avionics update CN235-300M a/c</v>
          </cell>
          <cell r="AB110" t="str">
            <v>Look at UTX</v>
          </cell>
          <cell r="AC110">
            <v>25</v>
          </cell>
          <cell r="AD110">
            <v>25</v>
          </cell>
          <cell r="AE110" t="str">
            <v>- avionics update CN235-300M a/c</v>
          </cell>
          <cell r="AG110" t="str">
            <v>http://www.rockwellcollins.com/products/gov/airborne/special-mission/s-70b/index.html</v>
          </cell>
          <cell r="AI110" t="str">
            <v>Surface</v>
          </cell>
          <cell r="AK110" t="str">
            <v>http://www.rockwellcollins.com/products/gov/airborne/special-mission/commando-solo/index.html</v>
          </cell>
        </row>
        <row r="111">
          <cell r="C111" t="str">
            <v>USMC VH-60N (Presidential Helicopter)</v>
          </cell>
          <cell r="S111">
            <v>25</v>
          </cell>
          <cell r="T111">
            <v>25</v>
          </cell>
          <cell r="U111">
            <v>25</v>
          </cell>
          <cell r="V111">
            <v>25</v>
          </cell>
          <cell r="W111">
            <v>25</v>
          </cell>
          <cell r="X111">
            <v>25</v>
          </cell>
          <cell r="Y111">
            <v>25</v>
          </cell>
          <cell r="Z111">
            <v>25</v>
          </cell>
          <cell r="AA111">
            <v>25</v>
          </cell>
          <cell r="AB111" t="str">
            <v>Look at UTX</v>
          </cell>
          <cell r="AC111">
            <v>25</v>
          </cell>
          <cell r="AD111">
            <v>25</v>
          </cell>
          <cell r="AE111" t="str">
            <v>Integrated Combat… 20</v>
          </cell>
          <cell r="AG111" t="str">
            <v>http://www.rockwellcollins.com/products/gov/airborne/special-mission/vh-60n/index.html</v>
          </cell>
          <cell r="AI111" t="str">
            <v>Surface</v>
          </cell>
          <cell r="AK111" t="str">
            <v>http://www.rockwellcollins.com/products/gov/airborne/special-mission/e6b/index.html</v>
          </cell>
        </row>
        <row r="112">
          <cell r="B112" t="str">
            <v>Total</v>
          </cell>
          <cell r="C112" t="str">
            <v>P-3 Orion</v>
          </cell>
          <cell r="S112">
            <v>300</v>
          </cell>
          <cell r="T112">
            <v>300</v>
          </cell>
          <cell r="U112">
            <v>300</v>
          </cell>
          <cell r="V112">
            <v>300</v>
          </cell>
          <cell r="W112">
            <v>300</v>
          </cell>
          <cell r="X112">
            <v>300</v>
          </cell>
          <cell r="Y112">
            <v>300</v>
          </cell>
          <cell r="Z112">
            <v>300</v>
          </cell>
          <cell r="AA112">
            <v>25</v>
          </cell>
          <cell r="AB112" t="str">
            <v>Look at UTX</v>
          </cell>
          <cell r="AC112">
            <v>25</v>
          </cell>
          <cell r="AD112">
            <v>25</v>
          </cell>
          <cell r="AE112" t="str">
            <v>- avionics update CN235-300M a/c</v>
          </cell>
          <cell r="AG112" t="str">
            <v>http://www.rockwellcollins.com/products/gov/airborne/special-mission/p3/index.html</v>
          </cell>
          <cell r="AK112" t="str">
            <v>http://www.rockwellcollins.com/products/gov/airborne/special-mission/deepwater/index.html</v>
          </cell>
        </row>
        <row r="113">
          <cell r="B113" t="str">
            <v>Total</v>
          </cell>
          <cell r="C113" t="str">
            <v>S-92 Multi-Mission</v>
          </cell>
          <cell r="S113">
            <v>50</v>
          </cell>
          <cell r="T113">
            <v>50</v>
          </cell>
          <cell r="U113">
            <v>50</v>
          </cell>
          <cell r="V113">
            <v>50</v>
          </cell>
          <cell r="W113">
            <v>50</v>
          </cell>
          <cell r="X113">
            <v>50</v>
          </cell>
          <cell r="Y113">
            <v>50</v>
          </cell>
          <cell r="Z113">
            <v>50</v>
          </cell>
          <cell r="AA113">
            <v>25</v>
          </cell>
          <cell r="AB113" t="str">
            <v>Look at UTX</v>
          </cell>
          <cell r="AC113">
            <v>25</v>
          </cell>
          <cell r="AD113">
            <v>25</v>
          </cell>
          <cell r="AE113" t="str">
            <v>Additonal cuts post F3Q11</v>
          </cell>
          <cell r="AF113" t="str">
            <v>Look at UTX</v>
          </cell>
          <cell r="AG113" t="str">
            <v>http://www.rockwellcollins.com/products/gov/airborne/special-mission/civil-transport/index.html</v>
          </cell>
          <cell r="AK113" t="str">
            <v>http://www.rockwellcollins.com/products/gov/airborne/special-mission/joint-stars/index.html</v>
          </cell>
        </row>
        <row r="114">
          <cell r="B114" t="str">
            <v>Fighter / Bomber</v>
          </cell>
          <cell r="C114" t="str">
            <v>U.S. Coast Guard MH-60T</v>
          </cell>
          <cell r="S114">
            <v>50</v>
          </cell>
          <cell r="T114">
            <v>50</v>
          </cell>
          <cell r="U114">
            <v>50</v>
          </cell>
          <cell r="V114">
            <v>50</v>
          </cell>
          <cell r="W114">
            <v>50</v>
          </cell>
          <cell r="X114">
            <v>50</v>
          </cell>
          <cell r="Y114">
            <v>50</v>
          </cell>
          <cell r="Z114">
            <v>50</v>
          </cell>
          <cell r="AA114">
            <v>25</v>
          </cell>
          <cell r="AB114" t="str">
            <v>Look at UTX</v>
          </cell>
          <cell r="AC114">
            <v>25</v>
          </cell>
          <cell r="AD114">
            <v>25</v>
          </cell>
          <cell r="AE114" t="str">
            <v>-- DAGR $75mn drawdown due to lower optempo, mostly first half</v>
          </cell>
          <cell r="AF114" t="str">
            <v>Look at UTX</v>
          </cell>
          <cell r="AG114" t="str">
            <v>http://www.rockwellcollins.com/products/gov/airborne/special-mission/mh-60t/index.html</v>
          </cell>
          <cell r="AK114" t="str">
            <v>http://www.rockwellcollins.com/products/gov/airborne/special-mission/p3/index.html</v>
          </cell>
        </row>
        <row r="115">
          <cell r="B115" t="str">
            <v>Fighter / Bomber</v>
          </cell>
          <cell r="C115" t="str">
            <v>S-70B SEAHAWK</v>
          </cell>
          <cell r="S115">
            <v>20</v>
          </cell>
          <cell r="T115">
            <v>20</v>
          </cell>
          <cell r="U115">
            <v>20</v>
          </cell>
          <cell r="V115">
            <v>20</v>
          </cell>
          <cell r="W115">
            <v>20</v>
          </cell>
          <cell r="X115">
            <v>20</v>
          </cell>
          <cell r="Y115">
            <v>20</v>
          </cell>
          <cell r="Z115">
            <v>20</v>
          </cell>
          <cell r="AA115">
            <v>50</v>
          </cell>
          <cell r="AB115" t="str">
            <v>Look at UTX</v>
          </cell>
          <cell r="AC115">
            <v>50</v>
          </cell>
          <cell r="AD115">
            <v>50</v>
          </cell>
          <cell r="AE115" t="str">
            <v>$100mn total impact from lower OCO (from $150 to $50)</v>
          </cell>
          <cell r="AF115" t="str">
            <v>Look at UTX</v>
          </cell>
          <cell r="AG115" t="str">
            <v>http://www.rockwellcollins.com/products/gov/airborne/fighters/f15/index.html</v>
          </cell>
          <cell r="AK115" t="str">
            <v>http://www.rockwellcollins.com/products/gov/airborne/special-mission/civil-transport/index.html</v>
          </cell>
        </row>
        <row r="116">
          <cell r="C116" t="str">
            <v>F-16 Fighting Falcon</v>
          </cell>
          <cell r="S116">
            <v>20</v>
          </cell>
          <cell r="T116">
            <v>20</v>
          </cell>
          <cell r="U116">
            <v>20</v>
          </cell>
          <cell r="V116">
            <v>20</v>
          </cell>
          <cell r="W116">
            <v>20</v>
          </cell>
          <cell r="X116">
            <v>20</v>
          </cell>
          <cell r="Y116">
            <v>20</v>
          </cell>
          <cell r="Z116">
            <v>20</v>
          </cell>
          <cell r="AA116">
            <v>50</v>
          </cell>
          <cell r="AB116">
            <v>50</v>
          </cell>
          <cell r="AC116">
            <v>50</v>
          </cell>
          <cell r="AD116">
            <v>50</v>
          </cell>
          <cell r="AF116" t="str">
            <v>Look at UTX</v>
          </cell>
          <cell r="AG116" t="str">
            <v>http://www.rockwellcollins.com/products/gov/airborne/fighters/f16/index.html</v>
          </cell>
          <cell r="AK116" t="str">
            <v>http://www.rockwellcollins.com/products/gov/airborne/special-mission/mh-60t/index.html</v>
          </cell>
        </row>
        <row r="117">
          <cell r="B117" t="str">
            <v>Total</v>
          </cell>
          <cell r="C117" t="str">
            <v>F/A-18 Super Hornet</v>
          </cell>
          <cell r="S117">
            <v>20</v>
          </cell>
          <cell r="T117">
            <v>20</v>
          </cell>
          <cell r="U117">
            <v>20</v>
          </cell>
          <cell r="V117">
            <v>20</v>
          </cell>
          <cell r="W117">
            <v>20</v>
          </cell>
          <cell r="X117">
            <v>20</v>
          </cell>
          <cell r="Y117">
            <v>20</v>
          </cell>
          <cell r="Z117">
            <v>20</v>
          </cell>
          <cell r="AA117">
            <v>50</v>
          </cell>
          <cell r="AB117">
            <v>50</v>
          </cell>
          <cell r="AC117">
            <v>50</v>
          </cell>
          <cell r="AD117">
            <v>50</v>
          </cell>
          <cell r="AE117" t="str">
            <v>At Risk</v>
          </cell>
          <cell r="AF117" t="str">
            <v>Look at UTX</v>
          </cell>
          <cell r="AG117" t="str">
            <v>http://www.rockwellcollins.com/products/gov/airborne/fighters/f18/index.html</v>
          </cell>
          <cell r="AK117" t="str">
            <v>http://www.rockwellcollins.com/products/gov/airborne/special-mission/s-70b/index.html</v>
          </cell>
        </row>
        <row r="118">
          <cell r="C118" t="str">
            <v>F-22A Raptor</v>
          </cell>
          <cell r="S118">
            <v>20</v>
          </cell>
          <cell r="T118">
            <v>20</v>
          </cell>
          <cell r="U118">
            <v>20</v>
          </cell>
          <cell r="V118">
            <v>20</v>
          </cell>
          <cell r="W118">
            <v>20</v>
          </cell>
          <cell r="X118">
            <v>20</v>
          </cell>
          <cell r="Y118">
            <v>20</v>
          </cell>
          <cell r="Z118">
            <v>20</v>
          </cell>
          <cell r="AA118">
            <v>25</v>
          </cell>
          <cell r="AB118">
            <v>25</v>
          </cell>
          <cell r="AC118">
            <v>25</v>
          </cell>
          <cell r="AD118">
            <v>25</v>
          </cell>
          <cell r="AE118" t="str">
            <v>JTRS</v>
          </cell>
          <cell r="AG118" t="str">
            <v>http://www.rockwellcollins.com/products/gov/airborne/fighters/f22/index.html</v>
          </cell>
          <cell r="AK118" t="str">
            <v>http://www.rockwellcollins.com/products/gov/airborne/special-mission/vh-60n/index.html</v>
          </cell>
        </row>
        <row r="119">
          <cell r="B119" t="str">
            <v>Fighter / Bomber</v>
          </cell>
          <cell r="C119" t="str">
            <v>F-35 Joint Strike Fighter</v>
          </cell>
          <cell r="S119">
            <v>20</v>
          </cell>
          <cell r="T119">
            <v>20</v>
          </cell>
          <cell r="U119">
            <v>20</v>
          </cell>
          <cell r="V119">
            <v>20</v>
          </cell>
          <cell r="W119">
            <v>20</v>
          </cell>
          <cell r="X119">
            <v>20</v>
          </cell>
          <cell r="Y119">
            <v>20</v>
          </cell>
          <cell r="Z119">
            <v>20</v>
          </cell>
          <cell r="AA119">
            <v>300</v>
          </cell>
          <cell r="AB119">
            <v>300</v>
          </cell>
          <cell r="AC119">
            <v>300</v>
          </cell>
          <cell r="AD119">
            <v>300</v>
          </cell>
          <cell r="AE119" t="str">
            <v>-- GMR at risk - current a stop work order.. Already anticipated in guidance</v>
          </cell>
          <cell r="AG119" t="str">
            <v>http://www.rockwellcollins.com/products/gov/airborne/fighters/f35/index.html</v>
          </cell>
        </row>
        <row r="120">
          <cell r="C120" t="str">
            <v>B-1B Lancer</v>
          </cell>
          <cell r="S120">
            <v>20</v>
          </cell>
          <cell r="T120">
            <v>20</v>
          </cell>
          <cell r="U120">
            <v>20</v>
          </cell>
          <cell r="V120">
            <v>20</v>
          </cell>
          <cell r="W120">
            <v>20</v>
          </cell>
          <cell r="X120">
            <v>20</v>
          </cell>
          <cell r="Y120">
            <v>20</v>
          </cell>
          <cell r="Z120">
            <v>20</v>
          </cell>
          <cell r="AA120">
            <v>20</v>
          </cell>
          <cell r="AB120">
            <v>20</v>
          </cell>
          <cell r="AC120">
            <v>20</v>
          </cell>
          <cell r="AD120">
            <v>20</v>
          </cell>
          <cell r="AE120" t="str">
            <v>-- HMS (Manpack) - continuing to go forward</v>
          </cell>
          <cell r="AG120" t="str">
            <v>http://www.rockwellcollins.com/products/gov/airborne/fighters/B-1B/index.html</v>
          </cell>
          <cell r="AK120" t="str">
            <v>http://www.rockwellcollins.com/products/gov/airborne/fighters/f15/index.html</v>
          </cell>
        </row>
        <row r="121">
          <cell r="B121" t="str">
            <v>Fighter / Bomber</v>
          </cell>
          <cell r="C121" t="str">
            <v>B-52H</v>
          </cell>
          <cell r="S121">
            <v>20</v>
          </cell>
          <cell r="T121">
            <v>20</v>
          </cell>
          <cell r="U121">
            <v>20</v>
          </cell>
          <cell r="V121">
            <v>20</v>
          </cell>
          <cell r="W121">
            <v>20</v>
          </cell>
          <cell r="X121">
            <v>20</v>
          </cell>
          <cell r="Y121">
            <v>20</v>
          </cell>
          <cell r="Z121">
            <v>20</v>
          </cell>
          <cell r="AA121">
            <v>20</v>
          </cell>
          <cell r="AB121">
            <v>20</v>
          </cell>
          <cell r="AC121">
            <v>20</v>
          </cell>
          <cell r="AD121">
            <v>20</v>
          </cell>
          <cell r="AE121" t="str">
            <v>-- MIDS-J - currently delivering</v>
          </cell>
          <cell r="AG121" t="str">
            <v>http://www.rockwellcollins.com/products/gov/airborne/fighters/B-52/index.html</v>
          </cell>
          <cell r="AK121" t="str">
            <v>http://www.rockwellcollins.com/products/gov/airborne/fighters/f16/index.html</v>
          </cell>
        </row>
        <row r="122">
          <cell r="B122" t="str">
            <v>Pension</v>
          </cell>
          <cell r="C122" t="str">
            <v>Mirage 2000 (Dassault)</v>
          </cell>
          <cell r="S122">
            <v>20</v>
          </cell>
          <cell r="T122">
            <v>20</v>
          </cell>
          <cell r="U122">
            <v>20</v>
          </cell>
          <cell r="V122">
            <v>20</v>
          </cell>
          <cell r="W122">
            <v>20</v>
          </cell>
          <cell r="X122">
            <v>20</v>
          </cell>
          <cell r="Y122">
            <v>20</v>
          </cell>
          <cell r="Z122">
            <v>20</v>
          </cell>
          <cell r="AA122">
            <v>20</v>
          </cell>
          <cell r="AB122">
            <v>20</v>
          </cell>
          <cell r="AC122">
            <v>20</v>
          </cell>
          <cell r="AD122">
            <v>20</v>
          </cell>
          <cell r="AG122" t="str">
            <v>http://www.rockwellcollins.com/products/gov/airborne/fighters/mirage/index.html</v>
          </cell>
          <cell r="AK122" t="str">
            <v>http://www.rockwellcollins.com/products/gov/airborne/fighters/f15/index.html</v>
          </cell>
        </row>
        <row r="123">
          <cell r="B123" t="str">
            <v>San Jose</v>
          </cell>
          <cell r="C123" t="str">
            <v>Gripen (SAAB)</v>
          </cell>
          <cell r="S123">
            <v>20</v>
          </cell>
          <cell r="T123">
            <v>20</v>
          </cell>
          <cell r="U123">
            <v>20</v>
          </cell>
          <cell r="V123">
            <v>20</v>
          </cell>
          <cell r="W123">
            <v>20</v>
          </cell>
          <cell r="X123">
            <v>20</v>
          </cell>
          <cell r="Y123">
            <v>20</v>
          </cell>
          <cell r="Z123">
            <v>20</v>
          </cell>
          <cell r="AA123">
            <v>20</v>
          </cell>
          <cell r="AB123">
            <v>20</v>
          </cell>
          <cell r="AC123">
            <v>20</v>
          </cell>
          <cell r="AD123">
            <v>20</v>
          </cell>
          <cell r="AE123" t="str">
            <v>Opportunities</v>
          </cell>
          <cell r="AG123" t="str">
            <v>http://www.rockwellcollins.com/products/gov/airborne/fighters/gripen/index.html</v>
          </cell>
          <cell r="AK123" t="str">
            <v>http://www.rockwellcollins.com/products/gov/airborne/fighters/f16/index.html</v>
          </cell>
        </row>
        <row r="124">
          <cell r="B124" t="str">
            <v>Total</v>
          </cell>
          <cell r="C124" t="str">
            <v>F-35 Joint Strike Fighter</v>
          </cell>
          <cell r="S124">
            <v>180</v>
          </cell>
          <cell r="T124">
            <v>180</v>
          </cell>
          <cell r="U124">
            <v>180</v>
          </cell>
          <cell r="V124">
            <v>180</v>
          </cell>
          <cell r="W124">
            <v>180</v>
          </cell>
          <cell r="X124">
            <v>180</v>
          </cell>
          <cell r="Y124">
            <v>180</v>
          </cell>
          <cell r="Z124">
            <v>180</v>
          </cell>
          <cell r="AA124">
            <v>20</v>
          </cell>
          <cell r="AB124">
            <v>20</v>
          </cell>
          <cell r="AC124">
            <v>20</v>
          </cell>
          <cell r="AD124">
            <v>20</v>
          </cell>
          <cell r="AE124" t="str">
            <v>90% Fixed price, 50% on commercial terms</v>
          </cell>
          <cell r="AG124" t="str">
            <v>http://www.rockwellcollins.com/products/gov/airborne/fighters/f35/index.html</v>
          </cell>
          <cell r="AK124" t="str">
            <v>http://www.rockwellcollins.com/products/gov/airborne/fighters/f18/index.html</v>
          </cell>
        </row>
        <row r="125">
          <cell r="B125" t="str">
            <v>Total</v>
          </cell>
          <cell r="C125" t="str">
            <v>B-1B Lancer</v>
          </cell>
          <cell r="E125" t="b">
            <v>1</v>
          </cell>
          <cell r="F125" t="b">
            <v>1</v>
          </cell>
          <cell r="G125" t="b">
            <v>1</v>
          </cell>
          <cell r="H125" t="b">
            <v>1</v>
          </cell>
          <cell r="I125" t="b">
            <v>1</v>
          </cell>
          <cell r="J125" t="b">
            <v>1</v>
          </cell>
          <cell r="K125" t="b">
            <v>1</v>
          </cell>
          <cell r="L125" t="b">
            <v>1</v>
          </cell>
          <cell r="M125" t="b">
            <v>1</v>
          </cell>
          <cell r="N125" t="b">
            <v>1</v>
          </cell>
          <cell r="O125" t="b">
            <v>1</v>
          </cell>
          <cell r="P125" t="b">
            <v>1</v>
          </cell>
          <cell r="Q125" t="b">
            <v>0</v>
          </cell>
          <cell r="R125" t="b">
            <v>0</v>
          </cell>
          <cell r="S125">
            <v>20</v>
          </cell>
          <cell r="T125">
            <v>20</v>
          </cell>
          <cell r="U125">
            <v>20</v>
          </cell>
          <cell r="V125">
            <v>20</v>
          </cell>
          <cell r="W125">
            <v>20</v>
          </cell>
          <cell r="X125">
            <v>20</v>
          </cell>
          <cell r="Y125">
            <v>20</v>
          </cell>
          <cell r="Z125">
            <v>20</v>
          </cell>
          <cell r="AA125">
            <v>20</v>
          </cell>
          <cell r="AB125">
            <v>20</v>
          </cell>
          <cell r="AC125">
            <v>20</v>
          </cell>
          <cell r="AD125">
            <v>20</v>
          </cell>
          <cell r="AE125" t="b">
            <v>0</v>
          </cell>
          <cell r="AF125" t="b">
            <v>0</v>
          </cell>
          <cell r="AG125" t="str">
            <v>http://www.rockwellcollins.com/products/gov/airborne/fighters/B-1B/index.html</v>
          </cell>
          <cell r="AH125" t="b">
            <v>0</v>
          </cell>
          <cell r="AK125" t="str">
            <v>http://www.rockwellcollins.com/products/gov/airborne/fighters/f22/index.html</v>
          </cell>
        </row>
        <row r="126">
          <cell r="B126" t="str">
            <v>Unmanned Systems</v>
          </cell>
          <cell r="C126" t="str">
            <v>B-52H</v>
          </cell>
          <cell r="E126" t="b">
            <v>1</v>
          </cell>
          <cell r="F126" t="b">
            <v>1</v>
          </cell>
          <cell r="G126" t="b">
            <v>1</v>
          </cell>
          <cell r="H126" t="b">
            <v>1</v>
          </cell>
          <cell r="I126" t="b">
            <v>1</v>
          </cell>
          <cell r="J126" t="b">
            <v>1</v>
          </cell>
          <cell r="K126" t="b">
            <v>0</v>
          </cell>
          <cell r="L126" t="b">
            <v>0</v>
          </cell>
          <cell r="M126" t="b">
            <v>1</v>
          </cell>
          <cell r="N126" t="b">
            <v>0</v>
          </cell>
          <cell r="O126">
            <v>0.46399999999999864</v>
          </cell>
          <cell r="P126">
            <v>-0.76300000000000523</v>
          </cell>
          <cell r="Q126" t="b">
            <v>0</v>
          </cell>
          <cell r="R126" t="b">
            <v>0</v>
          </cell>
          <cell r="S126">
            <v>20</v>
          </cell>
          <cell r="T126">
            <v>20</v>
          </cell>
          <cell r="U126">
            <v>20</v>
          </cell>
          <cell r="V126">
            <v>20</v>
          </cell>
          <cell r="W126">
            <v>20</v>
          </cell>
          <cell r="X126">
            <v>20</v>
          </cell>
          <cell r="Y126">
            <v>20</v>
          </cell>
          <cell r="Z126">
            <v>20</v>
          </cell>
          <cell r="AA126">
            <v>20</v>
          </cell>
          <cell r="AB126">
            <v>20</v>
          </cell>
          <cell r="AC126">
            <v>20</v>
          </cell>
          <cell r="AD126">
            <v>20</v>
          </cell>
          <cell r="AE126" t="b">
            <v>1</v>
          </cell>
          <cell r="AF126" t="b">
            <v>1</v>
          </cell>
          <cell r="AG126" t="str">
            <v>http://www.rockwellcollins.com/products/gov/airborne/fighters/B-52/index.html</v>
          </cell>
          <cell r="AH126" t="b">
            <v>1</v>
          </cell>
          <cell r="AK126" t="str">
            <v>http://www.rockwellcollins.com/products/gov/airborne/fighters/f35/index.html</v>
          </cell>
        </row>
        <row r="127">
          <cell r="B127" t="str">
            <v>Unmanned Systems</v>
          </cell>
          <cell r="C127" t="str">
            <v>Mirage 2000 (Dassault)</v>
          </cell>
          <cell r="S127">
            <v>22</v>
          </cell>
          <cell r="T127">
            <v>50</v>
          </cell>
          <cell r="U127">
            <v>100</v>
          </cell>
          <cell r="V127">
            <v>120</v>
          </cell>
          <cell r="W127">
            <v>140</v>
          </cell>
          <cell r="X127">
            <v>160</v>
          </cell>
          <cell r="Y127">
            <v>180</v>
          </cell>
          <cell r="Z127">
            <v>200</v>
          </cell>
          <cell r="AA127">
            <v>20</v>
          </cell>
          <cell r="AB127">
            <v>20</v>
          </cell>
          <cell r="AC127">
            <v>20</v>
          </cell>
          <cell r="AD127">
            <v>20</v>
          </cell>
          <cell r="AE127" t="str">
            <v>Firestorm</v>
          </cell>
          <cell r="AG127" t="str">
            <v>http://www.rockwellcollins.com/products/gov/airborne/uas-solutions/flight-controls/index.html</v>
          </cell>
          <cell r="AK127" t="str">
            <v>http://www.rockwellcollins.com/products/gov/airborne/fighters/B-1B/index.html</v>
          </cell>
        </row>
        <row r="128">
          <cell r="C128" t="str">
            <v>Other</v>
          </cell>
          <cell r="S128">
            <v>10</v>
          </cell>
          <cell r="T128">
            <v>20</v>
          </cell>
          <cell r="U128">
            <v>30</v>
          </cell>
          <cell r="V128">
            <v>40</v>
          </cell>
          <cell r="W128">
            <v>50</v>
          </cell>
          <cell r="X128">
            <v>60</v>
          </cell>
          <cell r="Y128">
            <v>70</v>
          </cell>
          <cell r="Z128">
            <v>80</v>
          </cell>
          <cell r="AA128">
            <v>20</v>
          </cell>
          <cell r="AB128">
            <v>20</v>
          </cell>
          <cell r="AC128">
            <v>20</v>
          </cell>
          <cell r="AD128">
            <v>20</v>
          </cell>
          <cell r="AE128" t="str">
            <v>75% of revs on legacy platforms</v>
          </cell>
          <cell r="AG128" t="str">
            <v>http://www.rockwellcollins.com/products/gov/airborne/fighters/gripen/index.html</v>
          </cell>
          <cell r="AK128" t="str">
            <v>http://www.rockwellcollins.com/products/gov/airborne/fighters/B-52/index.html</v>
          </cell>
        </row>
        <row r="129">
          <cell r="A129" t="str">
            <v>Airborne Solutions Program Build</v>
          </cell>
          <cell r="B129" t="str">
            <v>Total</v>
          </cell>
          <cell r="C129" t="str">
            <v>Other</v>
          </cell>
          <cell r="S129">
            <v>32</v>
          </cell>
          <cell r="T129">
            <v>70</v>
          </cell>
          <cell r="U129">
            <v>130</v>
          </cell>
          <cell r="V129">
            <v>160</v>
          </cell>
          <cell r="W129">
            <v>190</v>
          </cell>
          <cell r="X129">
            <v>220</v>
          </cell>
          <cell r="Y129">
            <v>250</v>
          </cell>
          <cell r="Z129">
            <v>280</v>
          </cell>
          <cell r="AA129">
            <v>20</v>
          </cell>
          <cell r="AB129">
            <v>20</v>
          </cell>
          <cell r="AC129">
            <v>20</v>
          </cell>
          <cell r="AD129">
            <v>20</v>
          </cell>
          <cell r="AK129" t="str">
            <v>http://www.rockwellcollins.com/products/gov/airborne/fighters/mirage/index.html</v>
          </cell>
        </row>
        <row r="130">
          <cell r="B130" t="str">
            <v>Total</v>
          </cell>
          <cell r="C130" t="str">
            <v>Athena Technologies</v>
          </cell>
          <cell r="S130">
            <v>32</v>
          </cell>
          <cell r="T130">
            <v>70</v>
          </cell>
          <cell r="U130">
            <v>130</v>
          </cell>
          <cell r="V130">
            <v>160</v>
          </cell>
          <cell r="W130">
            <v>190</v>
          </cell>
          <cell r="X130">
            <v>220</v>
          </cell>
          <cell r="Y130">
            <v>250</v>
          </cell>
          <cell r="Z130">
            <v>280</v>
          </cell>
          <cell r="AA130">
            <v>20</v>
          </cell>
          <cell r="AB130">
            <v>20</v>
          </cell>
          <cell r="AC130">
            <v>20</v>
          </cell>
          <cell r="AD130">
            <v>20</v>
          </cell>
          <cell r="AG130" t="str">
            <v>http://www.rockwellcollins.com/products/gov/airborne/uas-solutions/flight-controls/index.html</v>
          </cell>
          <cell r="AK130" t="str">
            <v>http://www.rockwellcollins.com/products/gov/airborne/fighters/gripen/index.html</v>
          </cell>
        </row>
        <row r="131">
          <cell r="B131" t="str">
            <v>Other / Unaccounted for</v>
          </cell>
          <cell r="C131" t="str">
            <v>Other</v>
          </cell>
          <cell r="S131">
            <v>500</v>
          </cell>
          <cell r="T131">
            <v>561</v>
          </cell>
          <cell r="U131">
            <v>610</v>
          </cell>
          <cell r="V131">
            <v>680</v>
          </cell>
          <cell r="W131">
            <v>700</v>
          </cell>
          <cell r="X131">
            <v>750</v>
          </cell>
          <cell r="Y131">
            <v>795</v>
          </cell>
          <cell r="Z131">
            <v>840</v>
          </cell>
          <cell r="AA131">
            <v>180</v>
          </cell>
          <cell r="AB131">
            <v>180</v>
          </cell>
          <cell r="AC131">
            <v>180</v>
          </cell>
          <cell r="AD131">
            <v>180</v>
          </cell>
        </row>
        <row r="132">
          <cell r="B132" t="str">
            <v>Other / Unaccounted for</v>
          </cell>
          <cell r="C132" t="str">
            <v>Athena Technologies</v>
          </cell>
          <cell r="S132">
            <v>22</v>
          </cell>
          <cell r="T132">
            <v>50</v>
          </cell>
          <cell r="U132">
            <v>100</v>
          </cell>
          <cell r="V132">
            <v>120</v>
          </cell>
          <cell r="W132">
            <v>140</v>
          </cell>
          <cell r="X132">
            <v>160</v>
          </cell>
          <cell r="Y132">
            <v>180</v>
          </cell>
          <cell r="Z132">
            <v>200</v>
          </cell>
          <cell r="AA132">
            <v>140</v>
          </cell>
          <cell r="AB132">
            <v>160</v>
          </cell>
          <cell r="AC132">
            <v>180</v>
          </cell>
          <cell r="AD132">
            <v>200</v>
          </cell>
          <cell r="AE132">
            <v>100</v>
          </cell>
          <cell r="AF132">
            <v>150</v>
          </cell>
          <cell r="AG132" t="str">
            <v>http://www.rockwellcollins.com/products/gov/airborne/uas-solutions/flight-controls/index.html</v>
          </cell>
          <cell r="AH132">
            <v>200</v>
          </cell>
          <cell r="AJ132" t="str">
            <v>Big program</v>
          </cell>
          <cell r="AK132" t="str">
            <v>http://www.rockwellcollins.com/products/gov/airborne/uas-solutions/flight-controls/index.html</v>
          </cell>
          <cell r="AO132" t="str">
            <v>http://www.rockwellcollins.com/products/gov/airborne/tanker-transport/boeing767/index.html</v>
          </cell>
        </row>
        <row r="133">
          <cell r="B133" t="str">
            <v>Airborne Solutions Program Build</v>
          </cell>
          <cell r="C133" t="str">
            <v>Other</v>
          </cell>
          <cell r="S133">
            <v>1662</v>
          </cell>
          <cell r="T133">
            <v>1761</v>
          </cell>
          <cell r="U133">
            <v>1870</v>
          </cell>
          <cell r="V133">
            <v>1970</v>
          </cell>
          <cell r="W133">
            <v>2070</v>
          </cell>
          <cell r="X133">
            <v>2200</v>
          </cell>
          <cell r="Y133">
            <v>2300</v>
          </cell>
          <cell r="Z133">
            <v>2400</v>
          </cell>
          <cell r="AA133">
            <v>50</v>
          </cell>
          <cell r="AB133">
            <v>60</v>
          </cell>
          <cell r="AC133">
            <v>70</v>
          </cell>
          <cell r="AD133">
            <v>80</v>
          </cell>
          <cell r="AE133">
            <v>0</v>
          </cell>
          <cell r="AF133">
            <v>0</v>
          </cell>
          <cell r="AG133">
            <v>0</v>
          </cell>
          <cell r="AH133">
            <v>0</v>
          </cell>
          <cell r="AJ133" t="str">
            <v>Spring 2010</v>
          </cell>
          <cell r="AO133" t="str">
            <v>http://www.rockwellcollins.com/products/gov/airborne/tanker-transport/c130/index.html</v>
          </cell>
        </row>
        <row r="134">
          <cell r="B134" t="str">
            <v>Total</v>
          </cell>
          <cell r="C134" t="str">
            <v>Difference vs. Top-Down Segment Forecast</v>
          </cell>
          <cell r="S134">
            <v>0</v>
          </cell>
          <cell r="T134">
            <v>0</v>
          </cell>
          <cell r="U134">
            <v>0</v>
          </cell>
          <cell r="V134">
            <v>0</v>
          </cell>
          <cell r="W134">
            <v>0</v>
          </cell>
          <cell r="X134">
            <v>0</v>
          </cell>
          <cell r="Y134">
            <v>0</v>
          </cell>
          <cell r="Z134">
            <v>0</v>
          </cell>
          <cell r="AA134">
            <v>140</v>
          </cell>
          <cell r="AB134">
            <v>160</v>
          </cell>
          <cell r="AC134">
            <v>180</v>
          </cell>
          <cell r="AD134">
            <v>200</v>
          </cell>
          <cell r="AE134">
            <v>100</v>
          </cell>
          <cell r="AF134">
            <v>100</v>
          </cell>
          <cell r="AG134">
            <v>100</v>
          </cell>
          <cell r="AH134">
            <v>100</v>
          </cell>
          <cell r="AJ134" t="str">
            <v>Look at LMT</v>
          </cell>
          <cell r="AK134" t="str">
            <v>http://www.rockwellcollins.com/products/gov/airborne/uas-solutions/flight-controls/index.html</v>
          </cell>
          <cell r="AO134" t="str">
            <v>http://www.rockwellcollins.com/products/gov/airborne/tanker-transport/c130/index.html</v>
          </cell>
        </row>
        <row r="135">
          <cell r="B135" t="str">
            <v>San Jose</v>
          </cell>
          <cell r="C135" t="str">
            <v>Difference vs. Top-Down Segment Forecast</v>
          </cell>
          <cell r="S135">
            <v>0</v>
          </cell>
          <cell r="T135">
            <v>0</v>
          </cell>
          <cell r="U135">
            <v>0</v>
          </cell>
          <cell r="V135">
            <v>0</v>
          </cell>
          <cell r="W135">
            <v>0</v>
          </cell>
          <cell r="X135">
            <v>0</v>
          </cell>
          <cell r="Y135">
            <v>0</v>
          </cell>
          <cell r="Z135">
            <v>0</v>
          </cell>
          <cell r="AA135">
            <v>50</v>
          </cell>
          <cell r="AB135">
            <v>60</v>
          </cell>
          <cell r="AC135">
            <v>70</v>
          </cell>
          <cell r="AD135">
            <v>80</v>
          </cell>
          <cell r="AE135">
            <v>0</v>
          </cell>
          <cell r="AF135">
            <v>0</v>
          </cell>
          <cell r="AG135">
            <v>0</v>
          </cell>
          <cell r="AH135">
            <v>0</v>
          </cell>
          <cell r="AJ135" t="str">
            <v>Look at LMT</v>
          </cell>
        </row>
        <row r="136">
          <cell r="A136" t="str">
            <v>Surface Solutions Program Build</v>
          </cell>
          <cell r="B136" t="str">
            <v>Other / Unaccounted for</v>
          </cell>
          <cell r="C136" t="str">
            <v>C/K-135 GATM (Global Air Traffic Management)</v>
          </cell>
          <cell r="L136" t="str">
            <v>Program Value</v>
          </cell>
          <cell r="S136">
            <v>500</v>
          </cell>
          <cell r="T136">
            <v>561</v>
          </cell>
          <cell r="U136">
            <v>610</v>
          </cell>
          <cell r="V136">
            <v>635</v>
          </cell>
          <cell r="W136">
            <v>650</v>
          </cell>
          <cell r="X136">
            <v>650</v>
          </cell>
          <cell r="Y136">
            <v>645</v>
          </cell>
          <cell r="Z136">
            <v>640</v>
          </cell>
          <cell r="AA136">
            <v>190</v>
          </cell>
          <cell r="AB136">
            <v>220</v>
          </cell>
          <cell r="AC136">
            <v>250</v>
          </cell>
          <cell r="AD136">
            <v>280</v>
          </cell>
          <cell r="AE136">
            <v>125</v>
          </cell>
          <cell r="AF136">
            <v>125</v>
          </cell>
          <cell r="AG136">
            <v>125</v>
          </cell>
          <cell r="AH136">
            <v>125</v>
          </cell>
          <cell r="AJ136" t="str">
            <v>Now on block 45</v>
          </cell>
          <cell r="AL136" t="str">
            <v>Comment in old transcript</v>
          </cell>
          <cell r="AO136" t="str">
            <v>http://www.rockwellcollins.com/products/gov/airborne/tanker-transport/kc135/index.html</v>
          </cell>
        </row>
        <row r="137">
          <cell r="A137" t="str">
            <v>Surface Solutions Program Build</v>
          </cell>
          <cell r="B137" t="str">
            <v>Total</v>
          </cell>
          <cell r="C137" t="str">
            <v>Difference vs. Top-Down Segment Forecast</v>
          </cell>
          <cell r="E137" t="b">
            <v>1</v>
          </cell>
          <cell r="F137" t="b">
            <v>1</v>
          </cell>
          <cell r="G137" t="b">
            <v>1</v>
          </cell>
          <cell r="H137" t="b">
            <v>1</v>
          </cell>
          <cell r="I137" t="b">
            <v>1</v>
          </cell>
          <cell r="J137" t="b">
            <v>1</v>
          </cell>
          <cell r="K137" t="b">
            <v>1</v>
          </cell>
          <cell r="L137" t="str">
            <v>Program Value</v>
          </cell>
          <cell r="M137" t="b">
            <v>1</v>
          </cell>
          <cell r="N137" t="b">
            <v>1</v>
          </cell>
          <cell r="O137" t="b">
            <v>1</v>
          </cell>
          <cell r="P137" t="b">
            <v>1</v>
          </cell>
          <cell r="Q137" t="b">
            <v>0</v>
          </cell>
          <cell r="R137" t="b">
            <v>0</v>
          </cell>
          <cell r="S137">
            <v>0</v>
          </cell>
          <cell r="T137">
            <v>0</v>
          </cell>
          <cell r="U137">
            <v>0</v>
          </cell>
          <cell r="V137">
            <v>0</v>
          </cell>
          <cell r="W137">
            <v>0</v>
          </cell>
          <cell r="X137">
            <v>0</v>
          </cell>
          <cell r="Y137">
            <v>0</v>
          </cell>
          <cell r="Z137">
            <v>0</v>
          </cell>
          <cell r="AA137">
            <v>275</v>
          </cell>
          <cell r="AB137">
            <v>275</v>
          </cell>
          <cell r="AC137">
            <v>275</v>
          </cell>
          <cell r="AD137">
            <v>275</v>
          </cell>
          <cell r="AE137">
            <v>325</v>
          </cell>
          <cell r="AF137">
            <v>375</v>
          </cell>
          <cell r="AG137">
            <v>400</v>
          </cell>
          <cell r="AH137">
            <v>425</v>
          </cell>
        </row>
        <row r="138">
          <cell r="B138" t="str">
            <v>DataPath</v>
          </cell>
          <cell r="E138" t="b">
            <v>1</v>
          </cell>
          <cell r="F138" t="b">
            <v>1</v>
          </cell>
          <cell r="G138" t="b">
            <v>1</v>
          </cell>
          <cell r="H138" t="b">
            <v>1</v>
          </cell>
          <cell r="I138" t="b">
            <v>1</v>
          </cell>
          <cell r="J138" t="b">
            <v>1</v>
          </cell>
          <cell r="K138" t="b">
            <v>0</v>
          </cell>
          <cell r="L138" t="b">
            <v>0</v>
          </cell>
          <cell r="M138" t="b">
            <v>1</v>
          </cell>
          <cell r="N138" t="b">
            <v>0</v>
          </cell>
          <cell r="O138">
            <v>0.46399999999999864</v>
          </cell>
          <cell r="P138">
            <v>-0.76300000000000523</v>
          </cell>
          <cell r="Q138" t="b">
            <v>0</v>
          </cell>
          <cell r="R138" t="b">
            <v>0</v>
          </cell>
          <cell r="S138">
            <v>0</v>
          </cell>
          <cell r="T138">
            <v>84</v>
          </cell>
          <cell r="U138">
            <v>250</v>
          </cell>
          <cell r="V138">
            <v>260</v>
          </cell>
          <cell r="W138">
            <v>270</v>
          </cell>
          <cell r="X138">
            <v>280</v>
          </cell>
          <cell r="Y138">
            <v>290</v>
          </cell>
          <cell r="Z138">
            <v>300</v>
          </cell>
          <cell r="AA138">
            <v>625</v>
          </cell>
          <cell r="AB138">
            <v>570</v>
          </cell>
          <cell r="AC138">
            <v>535</v>
          </cell>
          <cell r="AD138">
            <v>490</v>
          </cell>
          <cell r="AE138" t="b">
            <v>1</v>
          </cell>
          <cell r="AF138" t="b">
            <v>1</v>
          </cell>
          <cell r="AG138" t="b">
            <v>1</v>
          </cell>
          <cell r="AH138" t="b">
            <v>1</v>
          </cell>
        </row>
        <row r="139">
          <cell r="A139" t="str">
            <v>Surface Solutions Program Build</v>
          </cell>
          <cell r="B139" t="str">
            <v>DAGR (Defense Advanced GPS Receiver)</v>
          </cell>
          <cell r="C139" t="str">
            <v>Difference vs. Top-Down Segment Forecast</v>
          </cell>
          <cell r="I139" t="str">
            <v>Common Avionics Architecture System (CAAS)</v>
          </cell>
          <cell r="L139" t="str">
            <v>Program Value</v>
          </cell>
          <cell r="P139" t="str">
            <v>Total $5.5B program potential</v>
          </cell>
          <cell r="S139">
            <v>200</v>
          </cell>
          <cell r="T139">
            <v>150</v>
          </cell>
          <cell r="U139">
            <v>100</v>
          </cell>
          <cell r="V139">
            <v>50</v>
          </cell>
          <cell r="W139">
            <v>50</v>
          </cell>
          <cell r="X139">
            <v>50</v>
          </cell>
          <cell r="Y139">
            <v>50</v>
          </cell>
          <cell r="Z139">
            <v>50</v>
          </cell>
          <cell r="AA139" t="str">
            <v>- IDIQ thru 2014, stock replenishment levels</v>
          </cell>
          <cell r="AB139">
            <v>0</v>
          </cell>
          <cell r="AC139">
            <v>0</v>
          </cell>
          <cell r="AD139">
            <v>0</v>
          </cell>
        </row>
        <row r="140">
          <cell r="B140" t="str">
            <v>JTRS GMR (Ground Mobile Radio)</v>
          </cell>
          <cell r="C140" t="str">
            <v>USMC CH/MH-53E</v>
          </cell>
          <cell r="P140" t="str">
            <v>Total $5.5B program potential</v>
          </cell>
          <cell r="S140">
            <v>200</v>
          </cell>
          <cell r="T140">
            <v>150</v>
          </cell>
          <cell r="U140">
            <v>100</v>
          </cell>
          <cell r="V140">
            <v>100</v>
          </cell>
          <cell r="W140">
            <v>100</v>
          </cell>
          <cell r="X140">
            <v>100</v>
          </cell>
          <cell r="Y140">
            <v>100</v>
          </cell>
          <cell r="Z140">
            <v>100</v>
          </cell>
          <cell r="AA140" t="str">
            <v>- IDIQ thru 2014, stock replenishment levels</v>
          </cell>
          <cell r="AB140">
            <v>2020</v>
          </cell>
          <cell r="AC140">
            <v>2040</v>
          </cell>
          <cell r="AD140">
            <v>2050</v>
          </cell>
          <cell r="AE140">
            <v>125</v>
          </cell>
          <cell r="AF140">
            <v>125</v>
          </cell>
          <cell r="AG140" t="str">
            <v>http://www.rockwellcollins.com/products/gov/surface/soldier/jtrs-hms/index.html</v>
          </cell>
          <cell r="AH140">
            <v>125</v>
          </cell>
          <cell r="AO140" t="str">
            <v>http://www.rockwellcollins.com/products/gov/airborne/cargo-utility/chmh53e/index.html</v>
          </cell>
        </row>
        <row r="141">
          <cell r="A141" t="str">
            <v>Surface Solutions Program Build</v>
          </cell>
          <cell r="B141" t="str">
            <v>JTRS HMS (Handheld / Manpack / Small Form Fit)</v>
          </cell>
          <cell r="C141" t="str">
            <v>Difference vs. Top-Down Segment Forecast</v>
          </cell>
          <cell r="L141" t="str">
            <v>Program Value</v>
          </cell>
          <cell r="S141">
            <v>0</v>
          </cell>
          <cell r="T141">
            <v>84</v>
          </cell>
          <cell r="U141">
            <v>100</v>
          </cell>
          <cell r="V141">
            <v>100</v>
          </cell>
          <cell r="W141">
            <v>100</v>
          </cell>
          <cell r="X141">
            <v>100</v>
          </cell>
          <cell r="Y141">
            <v>100</v>
          </cell>
          <cell r="Z141">
            <v>100</v>
          </cell>
          <cell r="AA141">
            <v>0</v>
          </cell>
          <cell r="AB141">
            <v>0</v>
          </cell>
          <cell r="AC141">
            <v>0</v>
          </cell>
          <cell r="AD141">
            <v>0</v>
          </cell>
          <cell r="AE141">
            <v>125</v>
          </cell>
          <cell r="AF141">
            <v>125</v>
          </cell>
          <cell r="AG141" t="str">
            <v>http://www.rockwellcollins.com/products/gov/surface/soldier/jtrs-hms/index.html</v>
          </cell>
          <cell r="AH141">
            <v>125</v>
          </cell>
          <cell r="AO141" t="str">
            <v>http://www.rockwellcollins.com/products/gov/airborne/cargo-utility/uh60m/index.html</v>
          </cell>
        </row>
        <row r="142">
          <cell r="B142" t="str">
            <v>MIDS-JTRS (DataLink Solutions JV with BAE Systems)</v>
          </cell>
          <cell r="C142" t="str">
            <v>International Black Hawk</v>
          </cell>
          <cell r="P142" t="str">
            <v>Total $5.5B program potential</v>
          </cell>
          <cell r="S142">
            <v>200</v>
          </cell>
          <cell r="T142">
            <v>150</v>
          </cell>
          <cell r="U142">
            <v>100</v>
          </cell>
          <cell r="V142">
            <v>100</v>
          </cell>
          <cell r="W142">
            <v>100</v>
          </cell>
          <cell r="X142">
            <v>100</v>
          </cell>
          <cell r="Y142">
            <v>100</v>
          </cell>
          <cell r="Z142">
            <v>100</v>
          </cell>
          <cell r="AA142" t="str">
            <v>- IDIQ thru 2014, stock replenishment levels</v>
          </cell>
          <cell r="AB142">
            <v>0</v>
          </cell>
          <cell r="AC142">
            <v>0</v>
          </cell>
          <cell r="AD142">
            <v>0</v>
          </cell>
          <cell r="AE142">
            <v>0</v>
          </cell>
          <cell r="AF142">
            <v>0</v>
          </cell>
          <cell r="AG142" t="str">
            <v>http://www.rockwellcollins.com/products/gov/surface/soldier/jtrs-hms/index.html</v>
          </cell>
          <cell r="AH142">
            <v>0</v>
          </cell>
          <cell r="AJ142" t="str">
            <v>Look at UTX</v>
          </cell>
        </row>
        <row r="143">
          <cell r="A143" t="str">
            <v>Surface Solutions Program Build</v>
          </cell>
          <cell r="B143" t="str">
            <v>JPALS (Jt. Precision Approach and Landing System)</v>
          </cell>
          <cell r="C143" t="str">
            <v>CH-47 Chinook</v>
          </cell>
          <cell r="L143">
            <v>94</v>
          </cell>
          <cell r="M143" t="str">
            <v>http://www.rockwellcollins.com/news/page11137.html</v>
          </cell>
          <cell r="S143">
            <v>0</v>
          </cell>
          <cell r="T143">
            <v>84</v>
          </cell>
          <cell r="U143">
            <v>100</v>
          </cell>
          <cell r="V143">
            <v>100</v>
          </cell>
          <cell r="W143">
            <v>100</v>
          </cell>
          <cell r="X143">
            <v>100</v>
          </cell>
          <cell r="Y143">
            <v>100</v>
          </cell>
          <cell r="Z143">
            <v>100</v>
          </cell>
          <cell r="AA143">
            <v>275</v>
          </cell>
          <cell r="AB143">
            <v>280</v>
          </cell>
          <cell r="AC143">
            <v>290</v>
          </cell>
          <cell r="AD143">
            <v>300</v>
          </cell>
          <cell r="AE143">
            <v>125</v>
          </cell>
          <cell r="AF143">
            <v>125</v>
          </cell>
          <cell r="AG143" t="str">
            <v>http://www.rockwellcollins.com/products/gov/surface/soldier/jtrs-hms/index.html</v>
          </cell>
          <cell r="AH143">
            <v>125</v>
          </cell>
          <cell r="AO143" t="str">
            <v>http://www.rockwellcollins.com/products/gov/airborne/cargo-utility/ch47/index.html</v>
          </cell>
        </row>
        <row r="144">
          <cell r="B144" t="str">
            <v>Soldier Displays</v>
          </cell>
          <cell r="C144" t="str">
            <v>767 Tanker</v>
          </cell>
          <cell r="L144">
            <v>94</v>
          </cell>
          <cell r="M144" t="str">
            <v>http://www.rockwellcollins.com/news/page11137.html</v>
          </cell>
          <cell r="P144" t="str">
            <v>Total $5.5B program potential</v>
          </cell>
          <cell r="S144">
            <v>200</v>
          </cell>
          <cell r="T144">
            <v>150</v>
          </cell>
          <cell r="U144">
            <v>100</v>
          </cell>
          <cell r="V144">
            <v>100</v>
          </cell>
          <cell r="W144">
            <v>100</v>
          </cell>
          <cell r="X144">
            <v>100</v>
          </cell>
          <cell r="Y144">
            <v>100</v>
          </cell>
          <cell r="Z144">
            <v>100</v>
          </cell>
          <cell r="AA144" t="str">
            <v>- IDIQ thru 2014, stock replenishment levels</v>
          </cell>
          <cell r="AB144">
            <v>50</v>
          </cell>
          <cell r="AC144">
            <v>50</v>
          </cell>
          <cell r="AD144">
            <v>50</v>
          </cell>
          <cell r="AE144" t="str">
            <v>- IDIQ thru 2014, stock replenishment levels</v>
          </cell>
          <cell r="AF144">
            <v>375</v>
          </cell>
          <cell r="AG144" t="str">
            <v>http://www.rockwellcollins.com/products/gov/surface/soldier/soldier-systems/index.html</v>
          </cell>
          <cell r="AH144">
            <v>375</v>
          </cell>
          <cell r="AJ144" t="str">
            <v>Big program</v>
          </cell>
          <cell r="AO144" t="str">
            <v>http://www.rockwellcollins.com/products/gov/airborne/tanker-transport/boeing767/index.html</v>
          </cell>
        </row>
        <row r="145">
          <cell r="B145" t="str">
            <v>Precision Targeting</v>
          </cell>
          <cell r="C145" t="str">
            <v>KC-10</v>
          </cell>
          <cell r="U145">
            <v>100</v>
          </cell>
          <cell r="V145">
            <v>100</v>
          </cell>
          <cell r="W145">
            <v>100</v>
          </cell>
          <cell r="X145">
            <v>100</v>
          </cell>
          <cell r="Y145">
            <v>100</v>
          </cell>
          <cell r="Z145">
            <v>100</v>
          </cell>
          <cell r="AA145">
            <v>275</v>
          </cell>
          <cell r="AB145">
            <v>280</v>
          </cell>
          <cell r="AC145">
            <v>290</v>
          </cell>
          <cell r="AD145">
            <v>300</v>
          </cell>
          <cell r="AE145">
            <v>0</v>
          </cell>
          <cell r="AF145">
            <v>0</v>
          </cell>
          <cell r="AG145" t="str">
            <v>http://www.rockwellcollins.com/products/gov/surface/precision-targeting/index.html</v>
          </cell>
          <cell r="AH145">
            <v>0</v>
          </cell>
          <cell r="AJ145" t="str">
            <v>Spring 2010</v>
          </cell>
          <cell r="AK145" t="str">
            <v>http://www.rockwellcollins.com/products/gov/surface/soldier/jtrs-hms/index.html</v>
          </cell>
          <cell r="AO145" t="str">
            <v>http://www.rockwellcollins.com/products/gov/airborne/tanker-transport/c130/index.html</v>
          </cell>
        </row>
        <row r="146">
          <cell r="B146" t="str">
            <v>Maritime Solutions</v>
          </cell>
          <cell r="C146" t="str">
            <v>C-130 International</v>
          </cell>
          <cell r="L146">
            <v>94</v>
          </cell>
          <cell r="M146" t="str">
            <v>http://www.rockwellcollins.com/news/page11137.html</v>
          </cell>
          <cell r="P146" t="str">
            <v>Total $5.5B program potential</v>
          </cell>
          <cell r="T146" t="str">
            <v>Total $5.5B program potential</v>
          </cell>
          <cell r="U146">
            <v>100</v>
          </cell>
          <cell r="V146">
            <v>100</v>
          </cell>
          <cell r="W146">
            <v>100</v>
          </cell>
          <cell r="X146">
            <v>100</v>
          </cell>
          <cell r="Y146">
            <v>100</v>
          </cell>
          <cell r="Z146">
            <v>100</v>
          </cell>
          <cell r="AA146">
            <v>100</v>
          </cell>
          <cell r="AB146">
            <v>100</v>
          </cell>
          <cell r="AC146">
            <v>100</v>
          </cell>
          <cell r="AD146">
            <v>100</v>
          </cell>
          <cell r="AE146" t="str">
            <v>- IDIQ thru 2014, stock replenishment levels</v>
          </cell>
          <cell r="AF146">
            <v>100</v>
          </cell>
          <cell r="AG146" t="str">
            <v>http://www.rockwellcollins.com/products/gov/surface/maritime-solutions/index.html</v>
          </cell>
          <cell r="AH146">
            <v>100</v>
          </cell>
          <cell r="AJ146" t="str">
            <v>Look at LMT</v>
          </cell>
          <cell r="AK146" t="str">
            <v>http://www.rockwellcollins.com/products/gov/surface/soldier/jtrs-hms/index.html</v>
          </cell>
          <cell r="AO146" t="str">
            <v>http://www.rockwellcollins.com/products/gov/airborne/tanker-transport/c130/index.html</v>
          </cell>
        </row>
        <row r="147">
          <cell r="B147" t="str">
            <v>Displays - California Highway Patrol</v>
          </cell>
          <cell r="C147" t="str">
            <v>Commando Solo (EC-130E/J)</v>
          </cell>
          <cell r="U147">
            <v>100</v>
          </cell>
          <cell r="V147">
            <v>100</v>
          </cell>
          <cell r="W147">
            <v>100</v>
          </cell>
          <cell r="X147">
            <v>100</v>
          </cell>
          <cell r="Y147">
            <v>100</v>
          </cell>
          <cell r="Z147">
            <v>100</v>
          </cell>
          <cell r="AA147">
            <v>100</v>
          </cell>
          <cell r="AB147">
            <v>100</v>
          </cell>
          <cell r="AC147">
            <v>100</v>
          </cell>
          <cell r="AD147">
            <v>100</v>
          </cell>
          <cell r="AE147">
            <v>25</v>
          </cell>
          <cell r="AF147">
            <v>25</v>
          </cell>
          <cell r="AG147" t="str">
            <v>http://www.rockwellcollins.com/products/gov/surface/soldier/jtrs-hms/index.html</v>
          </cell>
          <cell r="AH147">
            <v>25</v>
          </cell>
          <cell r="AJ147" t="str">
            <v>Look at LMT</v>
          </cell>
          <cell r="AK147" t="str">
            <v>http://www.rockwellcollins.com/products/gov/surface/soldier/jtrs-hms/index.html</v>
          </cell>
          <cell r="AO147" t="str">
            <v>http://www.rockwellcollins.com/products/gov/airborne/special-mission/commando-solo/index.html</v>
          </cell>
        </row>
        <row r="148">
          <cell r="B148" t="str">
            <v>Displays - Royal Canadian Mountain Police</v>
          </cell>
          <cell r="C148" t="str">
            <v>E-6B Mercury</v>
          </cell>
          <cell r="L148">
            <v>94</v>
          </cell>
          <cell r="M148" t="str">
            <v>http://www.rockwellcollins.com/news/page11137.html</v>
          </cell>
          <cell r="Q148" t="str">
            <v>http://www.rockwellcollins.com/news/page11137.html</v>
          </cell>
          <cell r="U148">
            <v>100</v>
          </cell>
          <cell r="V148">
            <v>100</v>
          </cell>
          <cell r="W148">
            <v>100</v>
          </cell>
          <cell r="X148">
            <v>100</v>
          </cell>
          <cell r="Y148">
            <v>100</v>
          </cell>
          <cell r="Z148">
            <v>100</v>
          </cell>
          <cell r="AA148">
            <v>100</v>
          </cell>
          <cell r="AB148">
            <v>100</v>
          </cell>
          <cell r="AC148">
            <v>100</v>
          </cell>
          <cell r="AD148">
            <v>100</v>
          </cell>
          <cell r="AE148">
            <v>25</v>
          </cell>
          <cell r="AF148">
            <v>25</v>
          </cell>
          <cell r="AG148" t="str">
            <v>http://www.rockwellcollins.com/products/gov/surface/precision-targeting/index.html</v>
          </cell>
          <cell r="AH148">
            <v>25</v>
          </cell>
          <cell r="AJ148" t="str">
            <v>Now on block 45</v>
          </cell>
          <cell r="AK148" t="str">
            <v>http://www.rockwellcollins.com/products/gov/surface/soldier/jtrs-hms/index.html</v>
          </cell>
          <cell r="AL148" t="str">
            <v>Comment in old transcript</v>
          </cell>
          <cell r="AO148" t="str">
            <v>http://www.rockwellcollins.com/products/gov/airborne/special-mission/e6b/index.html</v>
          </cell>
        </row>
        <row r="149">
          <cell r="B149" t="str">
            <v>Other</v>
          </cell>
          <cell r="C149" t="str">
            <v>U.S. Coast Guard Deepwater</v>
          </cell>
          <cell r="U149">
            <v>-20</v>
          </cell>
          <cell r="V149">
            <v>70</v>
          </cell>
          <cell r="W149">
            <v>110</v>
          </cell>
          <cell r="X149">
            <v>140</v>
          </cell>
          <cell r="Y149">
            <v>175</v>
          </cell>
          <cell r="Z149">
            <v>210</v>
          </cell>
          <cell r="AA149">
            <v>100</v>
          </cell>
          <cell r="AB149">
            <v>100</v>
          </cell>
          <cell r="AC149">
            <v>100</v>
          </cell>
          <cell r="AD149">
            <v>100</v>
          </cell>
          <cell r="AE149">
            <v>25</v>
          </cell>
          <cell r="AF149">
            <v>25</v>
          </cell>
          <cell r="AG149" t="str">
            <v>http://www.rockwellcollins.com/products/gov/surface/soldier/soldier-systems/index.html</v>
          </cell>
          <cell r="AH149">
            <v>25</v>
          </cell>
          <cell r="AI149" t="str">
            <v>- avionics update CN235-300M a/c</v>
          </cell>
          <cell r="AK149" t="str">
            <v>http://www.rockwellcollins.com/products/gov/surface/soldier/jtrs-hms/index.html</v>
          </cell>
          <cell r="AO149" t="str">
            <v>http://www.rockwellcollins.com/products/gov/airborne/special-mission/deepwater/index.html</v>
          </cell>
        </row>
        <row r="150">
          <cell r="B150" t="str">
            <v>Precision Targeting</v>
          </cell>
          <cell r="C150" t="str">
            <v>Joint STARS (Surveillance Target Attack Radar System)</v>
          </cell>
          <cell r="L150">
            <v>94</v>
          </cell>
          <cell r="M150" t="str">
            <v>http://www.rockwellcollins.com/news/page11137.html</v>
          </cell>
          <cell r="Q150" t="str">
            <v>http://www.rockwellcollins.com/news/page11137.html</v>
          </cell>
          <cell r="U150">
            <v>1030</v>
          </cell>
          <cell r="V150">
            <v>1080</v>
          </cell>
          <cell r="W150">
            <v>1130</v>
          </cell>
          <cell r="X150">
            <v>1170</v>
          </cell>
          <cell r="Y150">
            <v>1215</v>
          </cell>
          <cell r="Z150">
            <v>1260</v>
          </cell>
          <cell r="AA150">
            <v>100</v>
          </cell>
          <cell r="AB150">
            <v>100</v>
          </cell>
          <cell r="AC150">
            <v>100</v>
          </cell>
          <cell r="AD150">
            <v>100</v>
          </cell>
          <cell r="AE150">
            <v>25</v>
          </cell>
          <cell r="AF150">
            <v>25</v>
          </cell>
          <cell r="AG150" t="str">
            <v>http://www.rockwellcollins.com/products/gov/surface/precision-targeting/index.html</v>
          </cell>
          <cell r="AH150">
            <v>25</v>
          </cell>
          <cell r="AK150" t="str">
            <v>http://www.rockwellcollins.com/products/gov/surface/precision-targeting/index.html</v>
          </cell>
          <cell r="AO150" t="str">
            <v>http://www.rockwellcollins.com/products/gov/airborne/special-mission/joint-stars/index.html</v>
          </cell>
        </row>
        <row r="151">
          <cell r="B151" t="str">
            <v>Maritime Solutions</v>
          </cell>
          <cell r="C151" t="str">
            <v>P-3 Orion</v>
          </cell>
          <cell r="I151" t="str">
            <v>Common Avionics Architecture System (CAAS)</v>
          </cell>
          <cell r="U151">
            <v>1030</v>
          </cell>
          <cell r="V151">
            <v>1080</v>
          </cell>
          <cell r="W151">
            <v>1130</v>
          </cell>
          <cell r="X151">
            <v>1170</v>
          </cell>
          <cell r="Y151">
            <v>1215</v>
          </cell>
          <cell r="Z151">
            <v>1260</v>
          </cell>
          <cell r="AA151">
            <v>100</v>
          </cell>
          <cell r="AB151">
            <v>100</v>
          </cell>
          <cell r="AC151">
            <v>100</v>
          </cell>
          <cell r="AD151">
            <v>100</v>
          </cell>
          <cell r="AE151">
            <v>25</v>
          </cell>
          <cell r="AF151">
            <v>25</v>
          </cell>
          <cell r="AG151" t="str">
            <v>http://www.rockwellcollins.com/products/gov/surface/maritime-solutions/index.html</v>
          </cell>
          <cell r="AH151">
            <v>25</v>
          </cell>
          <cell r="AK151" t="str">
            <v>http://www.rockwellcollins.com/products/gov/surface/soldier/soldier-systems/index.html</v>
          </cell>
          <cell r="AO151" t="str">
            <v>http://www.rockwellcollins.com/products/gov/airborne/special-mission/p3/index.html</v>
          </cell>
        </row>
        <row r="152">
          <cell r="B152" t="str">
            <v>Displays - California Highway Patrol</v>
          </cell>
          <cell r="C152" t="str">
            <v>S-92 Multi-Mission</v>
          </cell>
          <cell r="U152">
            <v>0</v>
          </cell>
          <cell r="V152">
            <v>0</v>
          </cell>
          <cell r="W152">
            <v>0</v>
          </cell>
          <cell r="X152">
            <v>0</v>
          </cell>
          <cell r="Y152">
            <v>0</v>
          </cell>
          <cell r="Z152">
            <v>0</v>
          </cell>
          <cell r="AA152">
            <v>100</v>
          </cell>
          <cell r="AB152">
            <v>100</v>
          </cell>
          <cell r="AC152">
            <v>100</v>
          </cell>
          <cell r="AD152">
            <v>100</v>
          </cell>
          <cell r="AE152">
            <v>50</v>
          </cell>
          <cell r="AF152">
            <v>50</v>
          </cell>
          <cell r="AG152">
            <v>50</v>
          </cell>
          <cell r="AH152">
            <v>50</v>
          </cell>
          <cell r="AJ152" t="str">
            <v>Look at UTX</v>
          </cell>
          <cell r="AK152" t="str">
            <v>http://www.rockwellcollins.com/products/gov/surface/precision-targeting/index.html</v>
          </cell>
          <cell r="AO152" t="str">
            <v>http://www.rockwellcollins.com/products/gov/airborne/special-mission/civil-transport/index.html</v>
          </cell>
        </row>
        <row r="153">
          <cell r="B153" t="str">
            <v>Displays - Royal Canadian Mountain Police</v>
          </cell>
          <cell r="C153" t="str">
            <v>U.S. Coast Guard MH-60T</v>
          </cell>
          <cell r="U153">
            <v>0</v>
          </cell>
          <cell r="V153">
            <v>0</v>
          </cell>
          <cell r="W153">
            <v>0</v>
          </cell>
          <cell r="X153">
            <v>0</v>
          </cell>
          <cell r="Y153">
            <v>0</v>
          </cell>
          <cell r="Z153">
            <v>0</v>
          </cell>
          <cell r="AA153">
            <v>100</v>
          </cell>
          <cell r="AB153">
            <v>100</v>
          </cell>
          <cell r="AC153">
            <v>100</v>
          </cell>
          <cell r="AD153">
            <v>100</v>
          </cell>
          <cell r="AE153">
            <v>50</v>
          </cell>
          <cell r="AF153">
            <v>50</v>
          </cell>
          <cell r="AG153">
            <v>50</v>
          </cell>
          <cell r="AH153">
            <v>50</v>
          </cell>
          <cell r="AJ153" t="str">
            <v>Look at UTX</v>
          </cell>
          <cell r="AK153" t="str">
            <v>http://www.rockwellcollins.com/products/gov/surface/maritime-solutions/index.html</v>
          </cell>
          <cell r="AO153" t="str">
            <v>http://www.rockwellcollins.com/products/gov/airborne/special-mission/mh-60t/index.html</v>
          </cell>
        </row>
        <row r="154">
          <cell r="B154" t="str">
            <v>Other</v>
          </cell>
          <cell r="C154" t="str">
            <v>S-70B SEAHAWK</v>
          </cell>
          <cell r="U154">
            <v>-20</v>
          </cell>
          <cell r="V154">
            <v>55</v>
          </cell>
          <cell r="W154">
            <v>105</v>
          </cell>
          <cell r="X154">
            <v>140</v>
          </cell>
          <cell r="Y154">
            <v>165</v>
          </cell>
          <cell r="Z154">
            <v>190</v>
          </cell>
          <cell r="AA154">
            <v>70</v>
          </cell>
          <cell r="AB154">
            <v>90</v>
          </cell>
          <cell r="AC154">
            <v>100</v>
          </cell>
          <cell r="AD154">
            <v>110</v>
          </cell>
          <cell r="AE154">
            <v>50</v>
          </cell>
          <cell r="AF154">
            <v>50</v>
          </cell>
          <cell r="AG154">
            <v>50</v>
          </cell>
          <cell r="AH154">
            <v>50</v>
          </cell>
          <cell r="AJ154" t="str">
            <v>Look at UTX</v>
          </cell>
          <cell r="AO154" t="str">
            <v>http://www.rockwellcollins.com/products/gov/airborne/special-mission/s-70b/index.html</v>
          </cell>
        </row>
        <row r="155">
          <cell r="A155" t="str">
            <v>Quarterly Marginal Sales Disclosure</v>
          </cell>
          <cell r="B155" t="str">
            <v>Displays - Royal Canadian Mountain Police</v>
          </cell>
          <cell r="C155" t="str">
            <v>USMC VH-60N (Presidential Helicopter)</v>
          </cell>
          <cell r="L155" t="str">
            <v>Program Value</v>
          </cell>
          <cell r="U155">
            <v>1030</v>
          </cell>
          <cell r="V155">
            <v>1065</v>
          </cell>
          <cell r="W155">
            <v>1125</v>
          </cell>
          <cell r="X155">
            <v>1170</v>
          </cell>
          <cell r="Y155">
            <v>1205</v>
          </cell>
          <cell r="Z155">
            <v>1240</v>
          </cell>
          <cell r="AA155">
            <v>1095</v>
          </cell>
          <cell r="AB155">
            <v>1120</v>
          </cell>
          <cell r="AC155">
            <v>1140</v>
          </cell>
          <cell r="AD155">
            <v>1160</v>
          </cell>
          <cell r="AE155">
            <v>25</v>
          </cell>
          <cell r="AF155">
            <v>25</v>
          </cell>
          <cell r="AG155">
            <v>25</v>
          </cell>
          <cell r="AH155">
            <v>25</v>
          </cell>
          <cell r="AO155" t="str">
            <v>http://www.rockwellcollins.com/products/gov/airborne/special-mission/vh-60n/index.html</v>
          </cell>
        </row>
        <row r="156">
          <cell r="A156" t="str">
            <v>Quarterly Marginal Sales Disclosure</v>
          </cell>
          <cell r="B156" t="str">
            <v>Other</v>
          </cell>
          <cell r="L156" t="str">
            <v>Program Value</v>
          </cell>
          <cell r="U156">
            <v>1030</v>
          </cell>
          <cell r="V156">
            <v>1065</v>
          </cell>
          <cell r="W156">
            <v>1125</v>
          </cell>
          <cell r="X156">
            <v>1170</v>
          </cell>
          <cell r="Y156">
            <v>1205</v>
          </cell>
          <cell r="Z156">
            <v>1240</v>
          </cell>
          <cell r="AA156">
            <v>70</v>
          </cell>
          <cell r="AB156">
            <v>90</v>
          </cell>
          <cell r="AC156">
            <v>100</v>
          </cell>
          <cell r="AD156">
            <v>110</v>
          </cell>
          <cell r="AE156">
            <v>300</v>
          </cell>
          <cell r="AF156">
            <v>300</v>
          </cell>
          <cell r="AG156">
            <v>300</v>
          </cell>
          <cell r="AH156">
            <v>300</v>
          </cell>
        </row>
        <row r="157">
          <cell r="B157" t="str">
            <v>4Q 08 Airborne Solutions</v>
          </cell>
          <cell r="T157">
            <v>459</v>
          </cell>
          <cell r="U157">
            <v>0</v>
          </cell>
          <cell r="V157">
            <v>0</v>
          </cell>
          <cell r="W157">
            <v>0</v>
          </cell>
          <cell r="X157">
            <v>0</v>
          </cell>
          <cell r="Y157">
            <v>0</v>
          </cell>
          <cell r="Z157">
            <v>0</v>
          </cell>
          <cell r="AA157">
            <v>1095</v>
          </cell>
          <cell r="AB157">
            <v>1120</v>
          </cell>
          <cell r="AC157">
            <v>1140</v>
          </cell>
          <cell r="AD157">
            <v>1160</v>
          </cell>
        </row>
        <row r="158">
          <cell r="A158" t="str">
            <v>Quarterly Marginal Sales Disclosure</v>
          </cell>
          <cell r="B158" t="str">
            <v>SEOS Group</v>
          </cell>
          <cell r="L158" t="str">
            <v>Program Value</v>
          </cell>
          <cell r="T158">
            <v>5</v>
          </cell>
          <cell r="W158">
            <v>704</v>
          </cell>
          <cell r="X158">
            <v>818</v>
          </cell>
          <cell r="Y158">
            <v>1009</v>
          </cell>
          <cell r="Z158">
            <v>1000</v>
          </cell>
          <cell r="AA158">
            <v>1095</v>
          </cell>
          <cell r="AB158">
            <v>1120</v>
          </cell>
          <cell r="AC158">
            <v>1140</v>
          </cell>
          <cell r="AD158">
            <v>1160</v>
          </cell>
        </row>
        <row r="159">
          <cell r="B159" t="str">
            <v>Organic:</v>
          </cell>
          <cell r="C159" t="str">
            <v>F-15 Eagle</v>
          </cell>
          <cell r="T159">
            <v>11</v>
          </cell>
          <cell r="W159">
            <v>0</v>
          </cell>
          <cell r="X159">
            <v>0</v>
          </cell>
          <cell r="Y159">
            <v>0</v>
          </cell>
          <cell r="Z159">
            <v>0</v>
          </cell>
          <cell r="AA159">
            <v>0</v>
          </cell>
          <cell r="AB159">
            <v>0</v>
          </cell>
          <cell r="AC159">
            <v>0</v>
          </cell>
          <cell r="AD159">
            <v>0</v>
          </cell>
          <cell r="AE159">
            <v>20</v>
          </cell>
          <cell r="AF159">
            <v>20</v>
          </cell>
          <cell r="AG159">
            <v>20</v>
          </cell>
          <cell r="AH159">
            <v>20</v>
          </cell>
          <cell r="AO159" t="str">
            <v>http://www.rockwellcollins.com/products/gov/airborne/fighters/f15/index.html</v>
          </cell>
        </row>
        <row r="160">
          <cell r="A160" t="str">
            <v>Quarterly Marginal Sales Disclosure</v>
          </cell>
          <cell r="B160" t="str">
            <v>+ F-15 Head-Down Displays</v>
          </cell>
          <cell r="C160" t="str">
            <v>F-16 Fighting Falcon</v>
          </cell>
          <cell r="L160" t="str">
            <v>Program Value</v>
          </cell>
          <cell r="T160">
            <v>11</v>
          </cell>
          <cell r="AA160">
            <v>20</v>
          </cell>
          <cell r="AB160">
            <v>20</v>
          </cell>
          <cell r="AC160">
            <v>20</v>
          </cell>
          <cell r="AD160">
            <v>20</v>
          </cell>
          <cell r="AE160">
            <v>20</v>
          </cell>
          <cell r="AF160">
            <v>20</v>
          </cell>
          <cell r="AG160">
            <v>20</v>
          </cell>
          <cell r="AH160">
            <v>20</v>
          </cell>
          <cell r="AO160" t="str">
            <v>http://www.rockwellcollins.com/products/gov/airborne/fighters/f16/index.html</v>
          </cell>
        </row>
        <row r="161">
          <cell r="B161" t="str">
            <v>+ UAV Controls</v>
          </cell>
          <cell r="C161" t="str">
            <v>F/A-18 Super Hornet</v>
          </cell>
          <cell r="T161">
            <v>5</v>
          </cell>
          <cell r="AA161">
            <v>20</v>
          </cell>
          <cell r="AB161">
            <v>20</v>
          </cell>
          <cell r="AC161">
            <v>20</v>
          </cell>
          <cell r="AD161">
            <v>20</v>
          </cell>
          <cell r="AE161">
            <v>20</v>
          </cell>
          <cell r="AF161">
            <v>20</v>
          </cell>
          <cell r="AG161">
            <v>20</v>
          </cell>
          <cell r="AH161">
            <v>20</v>
          </cell>
          <cell r="AI161" t="str">
            <v>- avionics update CN235-300M a/c</v>
          </cell>
          <cell r="AO161" t="str">
            <v>http://www.rockwellcollins.com/products/gov/airborne/fighters/f18/index.html</v>
          </cell>
        </row>
        <row r="162">
          <cell r="A162" t="str">
            <v>Quarterly Marginal Sales Disclosure</v>
          </cell>
          <cell r="B162" t="str">
            <v>4Q09 Airborne Solutions</v>
          </cell>
          <cell r="C162" t="str">
            <v>F-22A Raptor</v>
          </cell>
          <cell r="L162" t="str">
            <v>Program Value</v>
          </cell>
          <cell r="T162">
            <v>475</v>
          </cell>
          <cell r="X162">
            <v>459</v>
          </cell>
          <cell r="AA162">
            <v>20</v>
          </cell>
          <cell r="AB162">
            <v>20</v>
          </cell>
          <cell r="AC162">
            <v>20</v>
          </cell>
          <cell r="AD162">
            <v>20</v>
          </cell>
          <cell r="AE162">
            <v>20</v>
          </cell>
          <cell r="AF162">
            <v>20</v>
          </cell>
          <cell r="AG162">
            <v>20</v>
          </cell>
          <cell r="AH162">
            <v>20</v>
          </cell>
          <cell r="AO162" t="str">
            <v>http://www.rockwellcollins.com/products/gov/airborne/fighters/f22/index.html</v>
          </cell>
        </row>
        <row r="163">
          <cell r="B163" t="str">
            <v>SEOS Group</v>
          </cell>
          <cell r="C163" t="str">
            <v>F-35 Joint Strike Fighter</v>
          </cell>
          <cell r="T163">
            <v>5</v>
          </cell>
          <cell r="X163">
            <v>5</v>
          </cell>
          <cell r="AA163">
            <v>20</v>
          </cell>
          <cell r="AB163">
            <v>20</v>
          </cell>
          <cell r="AC163">
            <v>20</v>
          </cell>
          <cell r="AD163">
            <v>20</v>
          </cell>
          <cell r="AE163">
            <v>20</v>
          </cell>
          <cell r="AF163">
            <v>20</v>
          </cell>
          <cell r="AG163">
            <v>20</v>
          </cell>
          <cell r="AH163">
            <v>20</v>
          </cell>
          <cell r="AO163" t="str">
            <v>http://www.rockwellcollins.com/products/gov/airborne/fighters/f35/index.html</v>
          </cell>
        </row>
        <row r="164">
          <cell r="B164" t="str">
            <v>4Q 08 Surface Solutions</v>
          </cell>
          <cell r="C164" t="str">
            <v>B-1B Lancer</v>
          </cell>
          <cell r="T164">
            <v>177</v>
          </cell>
          <cell r="X164">
            <v>459</v>
          </cell>
          <cell r="AA164">
            <v>20</v>
          </cell>
          <cell r="AB164">
            <v>20</v>
          </cell>
          <cell r="AC164">
            <v>20</v>
          </cell>
          <cell r="AD164">
            <v>20</v>
          </cell>
          <cell r="AE164">
            <v>20</v>
          </cell>
          <cell r="AF164">
            <v>20</v>
          </cell>
          <cell r="AG164">
            <v>20</v>
          </cell>
          <cell r="AH164">
            <v>20</v>
          </cell>
          <cell r="AJ164" t="str">
            <v>Look at UTX</v>
          </cell>
          <cell r="AO164" t="str">
            <v>http://www.rockwellcollins.com/products/gov/airborne/fighters/B-1B/index.html</v>
          </cell>
        </row>
        <row r="165">
          <cell r="B165" t="str">
            <v>DataPath</v>
          </cell>
          <cell r="C165" t="str">
            <v>B-52H</v>
          </cell>
          <cell r="T165">
            <v>61</v>
          </cell>
          <cell r="X165">
            <v>5</v>
          </cell>
          <cell r="AA165">
            <v>20</v>
          </cell>
          <cell r="AB165">
            <v>20</v>
          </cell>
          <cell r="AC165">
            <v>20</v>
          </cell>
          <cell r="AD165">
            <v>20</v>
          </cell>
          <cell r="AE165">
            <v>20</v>
          </cell>
          <cell r="AF165">
            <v>20</v>
          </cell>
          <cell r="AG165">
            <v>20</v>
          </cell>
          <cell r="AH165">
            <v>20</v>
          </cell>
          <cell r="AJ165" t="str">
            <v>Look at UTX</v>
          </cell>
          <cell r="AO165" t="str">
            <v>http://www.rockwellcollins.com/products/gov/airborne/fighters/B-52/index.html</v>
          </cell>
        </row>
        <row r="166">
          <cell r="B166" t="str">
            <v>Organic:</v>
          </cell>
          <cell r="C166" t="str">
            <v>Mirage 2000 (Dassault)</v>
          </cell>
          <cell r="T166">
            <v>28</v>
          </cell>
          <cell r="X166">
            <v>11</v>
          </cell>
          <cell r="AA166">
            <v>20</v>
          </cell>
          <cell r="AB166">
            <v>20</v>
          </cell>
          <cell r="AC166">
            <v>20</v>
          </cell>
          <cell r="AD166">
            <v>20</v>
          </cell>
          <cell r="AE166">
            <v>20</v>
          </cell>
          <cell r="AF166">
            <v>20</v>
          </cell>
          <cell r="AG166">
            <v>20</v>
          </cell>
          <cell r="AH166">
            <v>20</v>
          </cell>
          <cell r="AJ166" t="str">
            <v>Look at UTX</v>
          </cell>
          <cell r="AO166" t="str">
            <v>http://www.rockwellcollins.com/products/gov/airborne/fighters/mirage/index.html</v>
          </cell>
        </row>
        <row r="167">
          <cell r="B167" t="str">
            <v>+ UK Precision Targeting</v>
          </cell>
          <cell r="C167" t="str">
            <v>Gripen (SAAB)</v>
          </cell>
          <cell r="T167">
            <v>475</v>
          </cell>
          <cell r="X167">
            <v>475</v>
          </cell>
          <cell r="AA167">
            <v>20</v>
          </cell>
          <cell r="AB167">
            <v>20</v>
          </cell>
          <cell r="AC167">
            <v>20</v>
          </cell>
          <cell r="AD167">
            <v>20</v>
          </cell>
          <cell r="AE167">
            <v>20</v>
          </cell>
          <cell r="AF167">
            <v>20</v>
          </cell>
          <cell r="AG167">
            <v>20</v>
          </cell>
          <cell r="AH167">
            <v>20</v>
          </cell>
          <cell r="AO167" t="str">
            <v>http://www.rockwellcollins.com/products/gov/airborne/fighters/gripen/index.html</v>
          </cell>
        </row>
        <row r="168">
          <cell r="B168" t="str">
            <v>+ JTRS</v>
          </cell>
          <cell r="T168">
            <v>61</v>
          </cell>
          <cell r="AA168">
            <v>180</v>
          </cell>
          <cell r="AB168">
            <v>180</v>
          </cell>
          <cell r="AC168">
            <v>180</v>
          </cell>
          <cell r="AD168">
            <v>180</v>
          </cell>
          <cell r="AE168">
            <v>180</v>
          </cell>
          <cell r="AF168">
            <v>180</v>
          </cell>
          <cell r="AG168">
            <v>180</v>
          </cell>
          <cell r="AH168">
            <v>180</v>
          </cell>
        </row>
        <row r="169">
          <cell r="B169" t="str">
            <v>+ JPALS</v>
          </cell>
          <cell r="T169">
            <v>177</v>
          </cell>
          <cell r="X169">
            <v>475</v>
          </cell>
        </row>
        <row r="170">
          <cell r="B170" t="str">
            <v>- DAGR</v>
          </cell>
          <cell r="T170">
            <v>61</v>
          </cell>
          <cell r="X170">
            <v>61</v>
          </cell>
        </row>
        <row r="171">
          <cell r="B171" t="str">
            <v>- GB-GRAM</v>
          </cell>
          <cell r="C171" t="str">
            <v>Athena Technologies</v>
          </cell>
          <cell r="T171">
            <v>28</v>
          </cell>
          <cell r="X171">
            <v>177</v>
          </cell>
          <cell r="AA171">
            <v>22</v>
          </cell>
          <cell r="AB171">
            <v>50</v>
          </cell>
          <cell r="AC171">
            <v>100</v>
          </cell>
          <cell r="AD171">
            <v>120</v>
          </cell>
          <cell r="AE171">
            <v>140</v>
          </cell>
          <cell r="AF171">
            <v>160</v>
          </cell>
          <cell r="AG171">
            <v>180</v>
          </cell>
          <cell r="AH171">
            <v>200</v>
          </cell>
          <cell r="AO171" t="str">
            <v>http://www.rockwellcollins.com/products/gov/airborne/uas-solutions/flight-controls/index.html</v>
          </cell>
        </row>
        <row r="172">
          <cell r="B172" t="str">
            <v>4Q09 Surface Solutions</v>
          </cell>
          <cell r="C172" t="str">
            <v>Other</v>
          </cell>
          <cell r="T172">
            <v>266</v>
          </cell>
          <cell r="X172">
            <v>61</v>
          </cell>
          <cell r="AA172">
            <v>10</v>
          </cell>
          <cell r="AB172">
            <v>20</v>
          </cell>
          <cell r="AC172">
            <v>30</v>
          </cell>
          <cell r="AD172">
            <v>40</v>
          </cell>
          <cell r="AE172">
            <v>50</v>
          </cell>
          <cell r="AF172">
            <v>60</v>
          </cell>
          <cell r="AG172">
            <v>70</v>
          </cell>
          <cell r="AH172">
            <v>80</v>
          </cell>
          <cell r="AO172" t="str">
            <v>http://www.rockwellcollins.com/products/gov/airborne/fighters/f16/index.html</v>
          </cell>
        </row>
        <row r="173">
          <cell r="B173" t="str">
            <v>+ JTRS</v>
          </cell>
          <cell r="C173" t="str">
            <v>F/A-18 Super Hornet</v>
          </cell>
          <cell r="T173">
            <v>266</v>
          </cell>
          <cell r="X173">
            <v>28</v>
          </cell>
          <cell r="AA173">
            <v>32</v>
          </cell>
          <cell r="AB173">
            <v>70</v>
          </cell>
          <cell r="AC173">
            <v>130</v>
          </cell>
          <cell r="AD173">
            <v>160</v>
          </cell>
          <cell r="AE173">
            <v>190</v>
          </cell>
          <cell r="AF173">
            <v>220</v>
          </cell>
          <cell r="AG173">
            <v>250</v>
          </cell>
          <cell r="AH173">
            <v>280</v>
          </cell>
          <cell r="AO173" t="str">
            <v>http://www.rockwellcollins.com/products/gov/airborne/fighters/f18/index.html</v>
          </cell>
        </row>
        <row r="174">
          <cell r="B174" t="str">
            <v>1Q 09 Airborne Solutions</v>
          </cell>
          <cell r="C174" t="str">
            <v>F-22A Raptor</v>
          </cell>
          <cell r="T174">
            <v>403</v>
          </cell>
          <cell r="AA174">
            <v>20</v>
          </cell>
          <cell r="AB174">
            <v>20</v>
          </cell>
          <cell r="AC174">
            <v>20</v>
          </cell>
          <cell r="AD174">
            <v>20</v>
          </cell>
          <cell r="AE174">
            <v>20</v>
          </cell>
          <cell r="AF174">
            <v>20</v>
          </cell>
          <cell r="AG174">
            <v>20</v>
          </cell>
          <cell r="AH174">
            <v>20</v>
          </cell>
          <cell r="AO174" t="str">
            <v>http://www.rockwellcollins.com/products/gov/airborne/fighters/f22/index.html</v>
          </cell>
        </row>
        <row r="175">
          <cell r="B175" t="str">
            <v>SEOS Group</v>
          </cell>
          <cell r="C175" t="str">
            <v>F-35 Joint Strike Fighter</v>
          </cell>
          <cell r="T175">
            <v>5</v>
          </cell>
          <cell r="AA175">
            <v>500</v>
          </cell>
          <cell r="AB175">
            <v>561</v>
          </cell>
          <cell r="AC175">
            <v>592</v>
          </cell>
          <cell r="AD175">
            <v>680</v>
          </cell>
          <cell r="AE175">
            <v>630</v>
          </cell>
          <cell r="AF175">
            <v>650</v>
          </cell>
          <cell r="AG175">
            <v>645</v>
          </cell>
          <cell r="AH175">
            <v>690</v>
          </cell>
          <cell r="AO175" t="str">
            <v>http://www.rockwellcollins.com/products/gov/airborne/fighters/f35/index.html</v>
          </cell>
        </row>
        <row r="176">
          <cell r="B176" t="str">
            <v>Organic:</v>
          </cell>
          <cell r="C176" t="str">
            <v>B-1B Lancer</v>
          </cell>
          <cell r="T176">
            <v>2</v>
          </cell>
          <cell r="AA176">
            <v>20</v>
          </cell>
          <cell r="AB176">
            <v>20</v>
          </cell>
          <cell r="AC176">
            <v>20</v>
          </cell>
          <cell r="AD176">
            <v>20</v>
          </cell>
          <cell r="AE176">
            <v>20</v>
          </cell>
          <cell r="AF176">
            <v>20</v>
          </cell>
          <cell r="AG176">
            <v>20</v>
          </cell>
          <cell r="AH176">
            <v>20</v>
          </cell>
          <cell r="AO176" t="str">
            <v>http://www.rockwellcollins.com/products/gov/airborne/fighters/B-1B/index.html</v>
          </cell>
        </row>
        <row r="177">
          <cell r="B177" t="str">
            <v>+ Transport / Tanker</v>
          </cell>
          <cell r="C177" t="str">
            <v>B-52H</v>
          </cell>
          <cell r="T177">
            <v>266</v>
          </cell>
          <cell r="X177">
            <v>266</v>
          </cell>
          <cell r="AA177">
            <v>1662</v>
          </cell>
          <cell r="AB177">
            <v>1761</v>
          </cell>
          <cell r="AC177">
            <v>1852</v>
          </cell>
          <cell r="AD177">
            <v>1970</v>
          </cell>
          <cell r="AE177">
            <v>2000</v>
          </cell>
          <cell r="AF177">
            <v>2100</v>
          </cell>
          <cell r="AG177">
            <v>2150</v>
          </cell>
          <cell r="AH177">
            <v>2250</v>
          </cell>
          <cell r="AO177" t="str">
            <v>http://www.rockwellcollins.com/products/gov/airborne/fighters/B-52/index.html</v>
          </cell>
        </row>
        <row r="178">
          <cell r="B178" t="str">
            <v>- F-22</v>
          </cell>
          <cell r="C178" t="str">
            <v>Difference vs. Top-Down Segment Forecast</v>
          </cell>
          <cell r="T178">
            <v>5</v>
          </cell>
          <cell r="AA178">
            <v>0</v>
          </cell>
          <cell r="AB178">
            <v>0</v>
          </cell>
          <cell r="AC178">
            <v>0</v>
          </cell>
          <cell r="AD178">
            <v>0</v>
          </cell>
          <cell r="AE178">
            <v>0</v>
          </cell>
          <cell r="AF178">
            <v>0</v>
          </cell>
          <cell r="AG178">
            <v>0</v>
          </cell>
          <cell r="AH178">
            <v>0</v>
          </cell>
          <cell r="AO178" t="str">
            <v>http://www.rockwellcollins.com/products/gov/airborne/fighters/mirage/index.html</v>
          </cell>
        </row>
        <row r="179">
          <cell r="B179" t="str">
            <v>1Q10 Airborne Solutions</v>
          </cell>
          <cell r="C179" t="str">
            <v>Gripen (SAAB)</v>
          </cell>
          <cell r="T179">
            <v>410</v>
          </cell>
          <cell r="X179">
            <v>266</v>
          </cell>
          <cell r="AA179">
            <v>20</v>
          </cell>
          <cell r="AB179">
            <v>20</v>
          </cell>
          <cell r="AC179">
            <v>20</v>
          </cell>
          <cell r="AD179">
            <v>20</v>
          </cell>
          <cell r="AE179">
            <v>20</v>
          </cell>
          <cell r="AF179">
            <v>20</v>
          </cell>
          <cell r="AG179">
            <v>20</v>
          </cell>
          <cell r="AH179">
            <v>20</v>
          </cell>
          <cell r="AO179" t="str">
            <v>http://www.rockwellcollins.com/products/gov/airborne/fighters/gripen/index.html</v>
          </cell>
        </row>
        <row r="180">
          <cell r="A180" t="str">
            <v>Surface Solutions Program Build</v>
          </cell>
          <cell r="B180" t="str">
            <v>SEOS Group</v>
          </cell>
          <cell r="L180" t="str">
            <v>Program Value</v>
          </cell>
          <cell r="T180">
            <v>5</v>
          </cell>
          <cell r="X180">
            <v>5</v>
          </cell>
          <cell r="AA180">
            <v>180</v>
          </cell>
          <cell r="AB180">
            <v>180</v>
          </cell>
          <cell r="AC180">
            <v>180</v>
          </cell>
          <cell r="AD180">
            <v>180</v>
          </cell>
          <cell r="AE180">
            <v>180</v>
          </cell>
          <cell r="AF180">
            <v>180</v>
          </cell>
          <cell r="AG180">
            <v>180</v>
          </cell>
          <cell r="AH180">
            <v>180</v>
          </cell>
        </row>
        <row r="181">
          <cell r="B181" t="str">
            <v>1Q 09 Surface Solutions</v>
          </cell>
          <cell r="T181">
            <v>171</v>
          </cell>
          <cell r="X181">
            <v>403</v>
          </cell>
        </row>
        <row r="182">
          <cell r="B182" t="str">
            <v>DataPath</v>
          </cell>
          <cell r="T182">
            <v>60</v>
          </cell>
          <cell r="X182">
            <v>5</v>
          </cell>
          <cell r="AA182">
            <v>0</v>
          </cell>
          <cell r="AB182">
            <v>84</v>
          </cell>
          <cell r="AC182">
            <v>256</v>
          </cell>
          <cell r="AD182">
            <v>240</v>
          </cell>
          <cell r="AE182">
            <v>250</v>
          </cell>
          <cell r="AF182">
            <v>275</v>
          </cell>
          <cell r="AG182">
            <v>290</v>
          </cell>
          <cell r="AH182">
            <v>300</v>
          </cell>
        </row>
        <row r="183">
          <cell r="B183" t="str">
            <v>Organic:</v>
          </cell>
          <cell r="C183" t="str">
            <v>Athena Technologies</v>
          </cell>
          <cell r="P183" t="str">
            <v>Total $5.5B program potential</v>
          </cell>
          <cell r="T183">
            <v>-25</v>
          </cell>
          <cell r="X183">
            <v>2</v>
          </cell>
          <cell r="AA183">
            <v>200</v>
          </cell>
          <cell r="AB183">
            <v>150</v>
          </cell>
          <cell r="AC183">
            <v>100</v>
          </cell>
          <cell r="AD183">
            <v>50</v>
          </cell>
          <cell r="AE183">
            <v>50</v>
          </cell>
          <cell r="AF183">
            <v>50</v>
          </cell>
          <cell r="AG183">
            <v>50</v>
          </cell>
          <cell r="AH183">
            <v>50</v>
          </cell>
          <cell r="AI183" t="str">
            <v>- IDIQ thru 2014, stock replenishment levels</v>
          </cell>
          <cell r="AO183" t="str">
            <v>http://www.rockwellcollins.com/products/gov/airborne/uas-solutions/flight-controls/index.html</v>
          </cell>
        </row>
        <row r="184">
          <cell r="B184" t="str">
            <v>- DAGR</v>
          </cell>
          <cell r="C184" t="str">
            <v>Other</v>
          </cell>
          <cell r="T184">
            <v>410</v>
          </cell>
          <cell r="X184">
            <v>410</v>
          </cell>
          <cell r="AA184">
            <v>10</v>
          </cell>
          <cell r="AB184">
            <v>20</v>
          </cell>
          <cell r="AC184">
            <v>100</v>
          </cell>
          <cell r="AD184">
            <v>100</v>
          </cell>
          <cell r="AE184">
            <v>100</v>
          </cell>
          <cell r="AF184">
            <v>100</v>
          </cell>
          <cell r="AG184">
            <v>100</v>
          </cell>
          <cell r="AH184">
            <v>100</v>
          </cell>
          <cell r="AO184" t="str">
            <v>http://www.rockwellcollins.com/products/gov/surface/soldier/jtrs-hms/index.html</v>
          </cell>
        </row>
        <row r="185">
          <cell r="B185" t="str">
            <v>1Q10 Surface Solutions</v>
          </cell>
          <cell r="T185">
            <v>206</v>
          </cell>
          <cell r="AA185">
            <v>32</v>
          </cell>
          <cell r="AB185">
            <v>70</v>
          </cell>
          <cell r="AC185">
            <v>100</v>
          </cell>
          <cell r="AD185">
            <v>100</v>
          </cell>
          <cell r="AE185">
            <v>100</v>
          </cell>
          <cell r="AF185">
            <v>100</v>
          </cell>
          <cell r="AG185">
            <v>100</v>
          </cell>
          <cell r="AH185">
            <v>100</v>
          </cell>
          <cell r="AO185" t="str">
            <v>http://www.rockwellcollins.com/products/gov/surface/soldier/jtrs-hms/index.html</v>
          </cell>
        </row>
        <row r="186">
          <cell r="B186" t="str">
            <v>1Q 09 Surface Solutions</v>
          </cell>
          <cell r="T186">
            <v>171</v>
          </cell>
          <cell r="X186">
            <v>410</v>
          </cell>
          <cell r="AC186">
            <v>100</v>
          </cell>
          <cell r="AD186">
            <v>100</v>
          </cell>
          <cell r="AE186">
            <v>100</v>
          </cell>
          <cell r="AF186">
            <v>100</v>
          </cell>
          <cell r="AG186">
            <v>100</v>
          </cell>
          <cell r="AH186">
            <v>100</v>
          </cell>
          <cell r="AO186" t="str">
            <v>http://www.rockwellcollins.com/products/gov/surface/soldier/jtrs-hms/index.html</v>
          </cell>
        </row>
        <row r="187">
          <cell r="B187" t="str">
            <v>DataPath</v>
          </cell>
          <cell r="L187">
            <v>94</v>
          </cell>
          <cell r="M187" t="str">
            <v>http://www.rockwellcollins.com/news/page11137.html</v>
          </cell>
          <cell r="Q187" t="str">
            <v>http://www.rockwellcollins.com/news/page11137.html</v>
          </cell>
          <cell r="T187">
            <v>60</v>
          </cell>
          <cell r="X187">
            <v>60</v>
          </cell>
          <cell r="AA187">
            <v>500</v>
          </cell>
          <cell r="AB187">
            <v>561</v>
          </cell>
          <cell r="AC187">
            <v>100</v>
          </cell>
          <cell r="AD187">
            <v>100</v>
          </cell>
          <cell r="AE187">
            <v>100</v>
          </cell>
          <cell r="AF187">
            <v>100</v>
          </cell>
          <cell r="AG187">
            <v>100</v>
          </cell>
          <cell r="AH187">
            <v>100</v>
          </cell>
        </row>
        <row r="188">
          <cell r="B188" t="str">
            <v>Organic:</v>
          </cell>
          <cell r="T188">
            <v>-25</v>
          </cell>
          <cell r="X188">
            <v>171</v>
          </cell>
          <cell r="AC188">
            <v>100</v>
          </cell>
          <cell r="AD188">
            <v>100</v>
          </cell>
          <cell r="AE188">
            <v>100</v>
          </cell>
          <cell r="AF188">
            <v>100</v>
          </cell>
          <cell r="AG188">
            <v>100</v>
          </cell>
          <cell r="AH188">
            <v>100</v>
          </cell>
          <cell r="AO188" t="str">
            <v>http://www.rockwellcollins.com/products/gov/surface/soldier/soldier-systems/index.html</v>
          </cell>
        </row>
        <row r="189">
          <cell r="B189" t="str">
            <v>- DAGR</v>
          </cell>
          <cell r="X189">
            <v>60</v>
          </cell>
          <cell r="AA189">
            <v>1662</v>
          </cell>
          <cell r="AB189">
            <v>1761</v>
          </cell>
          <cell r="AC189">
            <v>100</v>
          </cell>
          <cell r="AD189">
            <v>100</v>
          </cell>
          <cell r="AE189">
            <v>100</v>
          </cell>
          <cell r="AF189">
            <v>100</v>
          </cell>
          <cell r="AG189">
            <v>100</v>
          </cell>
          <cell r="AH189">
            <v>100</v>
          </cell>
          <cell r="AO189" t="str">
            <v>http://www.rockwellcollins.com/products/gov/surface/precision-targeting/index.html</v>
          </cell>
        </row>
        <row r="190">
          <cell r="B190" t="str">
            <v>1Q10 Surface Solutions</v>
          </cell>
          <cell r="C190" t="str">
            <v>Difference vs. Top-Down Segment Forecast</v>
          </cell>
          <cell r="T190">
            <v>206</v>
          </cell>
          <cell r="X190">
            <v>-25</v>
          </cell>
          <cell r="AA190">
            <v>0</v>
          </cell>
          <cell r="AB190">
            <v>0</v>
          </cell>
          <cell r="AC190">
            <v>100</v>
          </cell>
          <cell r="AD190">
            <v>100</v>
          </cell>
          <cell r="AE190">
            <v>100</v>
          </cell>
          <cell r="AF190">
            <v>100</v>
          </cell>
          <cell r="AG190">
            <v>100</v>
          </cell>
          <cell r="AH190">
            <v>100</v>
          </cell>
          <cell r="AO190" t="str">
            <v>http://www.rockwellcollins.com/products/gov/surface/maritime-solutions/index.html</v>
          </cell>
        </row>
        <row r="191">
          <cell r="B191" t="str">
            <v>- DAGR</v>
          </cell>
        </row>
        <row r="192">
          <cell r="A192" t="str">
            <v>Surface Solutions Program Build</v>
          </cell>
          <cell r="B192" t="str">
            <v>1Q10 Surface Solutions</v>
          </cell>
          <cell r="L192" t="str">
            <v>Program Value</v>
          </cell>
          <cell r="X192">
            <v>206</v>
          </cell>
        </row>
        <row r="193">
          <cell r="B193" t="str">
            <v>Other</v>
          </cell>
          <cell r="AA193">
            <v>504</v>
          </cell>
          <cell r="AB193">
            <v>584</v>
          </cell>
          <cell r="AC193">
            <v>-47</v>
          </cell>
          <cell r="AD193">
            <v>-165</v>
          </cell>
          <cell r="AE193">
            <v>-250</v>
          </cell>
          <cell r="AF193">
            <v>-200</v>
          </cell>
          <cell r="AG193">
            <v>-150</v>
          </cell>
          <cell r="AH193">
            <v>-125</v>
          </cell>
        </row>
        <row r="194">
          <cell r="B194" t="str">
            <v>DataPath</v>
          </cell>
          <cell r="AA194">
            <v>704</v>
          </cell>
          <cell r="AB194">
            <v>818</v>
          </cell>
          <cell r="AC194">
            <v>1009</v>
          </cell>
          <cell r="AD194">
            <v>825</v>
          </cell>
          <cell r="AE194">
            <v>750</v>
          </cell>
          <cell r="AF194">
            <v>825</v>
          </cell>
          <cell r="AG194">
            <v>890</v>
          </cell>
          <cell r="AH194">
            <v>925</v>
          </cell>
        </row>
        <row r="195">
          <cell r="B195" t="str">
            <v>DAGR (Defense Advanced GPS Receiver)</v>
          </cell>
          <cell r="P195" t="str">
            <v>Total $5.5B program potential</v>
          </cell>
          <cell r="T195" t="str">
            <v>Total $5.5B program potential</v>
          </cell>
          <cell r="AA195">
            <v>704</v>
          </cell>
          <cell r="AB195">
            <v>818</v>
          </cell>
          <cell r="AC195">
            <v>1009</v>
          </cell>
          <cell r="AD195">
            <v>825</v>
          </cell>
          <cell r="AE195">
            <v>750</v>
          </cell>
          <cell r="AF195">
            <v>825</v>
          </cell>
          <cell r="AG195">
            <v>890</v>
          </cell>
          <cell r="AH195">
            <v>925</v>
          </cell>
          <cell r="AI195" t="str">
            <v>- IDIQ thru 2014, stock replenishment levels</v>
          </cell>
        </row>
        <row r="196">
          <cell r="B196" t="str">
            <v>JTRS GMR (Ground Mobile Radio)</v>
          </cell>
          <cell r="AA196">
            <v>0</v>
          </cell>
          <cell r="AB196">
            <v>0</v>
          </cell>
          <cell r="AC196">
            <v>0</v>
          </cell>
          <cell r="AD196">
            <v>0</v>
          </cell>
          <cell r="AE196">
            <v>0</v>
          </cell>
          <cell r="AF196">
            <v>0</v>
          </cell>
          <cell r="AG196">
            <v>0</v>
          </cell>
          <cell r="AH196">
            <v>0</v>
          </cell>
          <cell r="AO196" t="str">
            <v>http://www.rockwellcollins.com/products/gov/surface/soldier/jtrs-hms/index.html</v>
          </cell>
        </row>
        <row r="197">
          <cell r="B197" t="str">
            <v>JTRS HMS (Handheld / Manpack / Small Form Fit)</v>
          </cell>
          <cell r="AC197">
            <v>100</v>
          </cell>
          <cell r="AD197">
            <v>100</v>
          </cell>
          <cell r="AE197">
            <v>100</v>
          </cell>
          <cell r="AF197">
            <v>100</v>
          </cell>
          <cell r="AG197">
            <v>100</v>
          </cell>
          <cell r="AH197">
            <v>100</v>
          </cell>
          <cell r="AO197" t="str">
            <v>http://www.rockwellcollins.com/products/gov/surface/soldier/jtrs-hms/index.html</v>
          </cell>
        </row>
        <row r="198">
          <cell r="B198" t="str">
            <v>MIDS-JTRS (DataLink Solutions JV with BAE Systems)</v>
          </cell>
          <cell r="AC198">
            <v>100</v>
          </cell>
          <cell r="AD198">
            <v>100</v>
          </cell>
          <cell r="AE198">
            <v>100</v>
          </cell>
          <cell r="AF198">
            <v>100</v>
          </cell>
          <cell r="AG198">
            <v>100</v>
          </cell>
          <cell r="AH198">
            <v>100</v>
          </cell>
          <cell r="AO198" t="str">
            <v>http://www.rockwellcollins.com/products/gov/surface/soldier/jtrs-hms/index.html</v>
          </cell>
        </row>
        <row r="199">
          <cell r="A199" t="str">
            <v>Quarterly Marginal Sales Disclosure</v>
          </cell>
          <cell r="B199" t="str">
            <v>JPALS (Jt. Precision Approach and Landing System)</v>
          </cell>
          <cell r="L199" t="str">
            <v>Program Value</v>
          </cell>
          <cell r="M199" t="str">
            <v>http://www.rockwellcollins.com/news/page11137.html</v>
          </cell>
          <cell r="Q199" t="str">
            <v>http://www.rockwellcollins.com/news/page11137.html</v>
          </cell>
          <cell r="AC199">
            <v>100</v>
          </cell>
          <cell r="AD199">
            <v>100</v>
          </cell>
          <cell r="AE199">
            <v>100</v>
          </cell>
          <cell r="AF199">
            <v>100</v>
          </cell>
          <cell r="AG199">
            <v>100</v>
          </cell>
          <cell r="AH199">
            <v>100</v>
          </cell>
        </row>
        <row r="200">
          <cell r="B200" t="str">
            <v>Soldier Displays</v>
          </cell>
          <cell r="AC200">
            <v>100</v>
          </cell>
          <cell r="AD200">
            <v>100</v>
          </cell>
          <cell r="AE200">
            <v>100</v>
          </cell>
          <cell r="AF200">
            <v>100</v>
          </cell>
          <cell r="AG200">
            <v>100</v>
          </cell>
          <cell r="AH200">
            <v>100</v>
          </cell>
          <cell r="AO200" t="str">
            <v>http://www.rockwellcollins.com/products/gov/surface/soldier/soldier-systems/index.html</v>
          </cell>
        </row>
        <row r="201">
          <cell r="B201" t="str">
            <v>4Q 08 Airborne Solutions</v>
          </cell>
          <cell r="AB201">
            <v>459</v>
          </cell>
          <cell r="AC201">
            <v>100</v>
          </cell>
          <cell r="AD201">
            <v>100</v>
          </cell>
          <cell r="AE201">
            <v>100</v>
          </cell>
          <cell r="AF201">
            <v>100</v>
          </cell>
          <cell r="AG201">
            <v>100</v>
          </cell>
          <cell r="AH201">
            <v>100</v>
          </cell>
          <cell r="AO201" t="str">
            <v>http://www.rockwellcollins.com/products/gov/surface/precision-targeting/index.html</v>
          </cell>
        </row>
        <row r="202">
          <cell r="B202" t="str">
            <v>SEOS Group</v>
          </cell>
          <cell r="AB202">
            <v>5</v>
          </cell>
          <cell r="AC202">
            <v>100</v>
          </cell>
          <cell r="AD202">
            <v>100</v>
          </cell>
          <cell r="AE202">
            <v>100</v>
          </cell>
          <cell r="AF202">
            <v>100</v>
          </cell>
          <cell r="AG202">
            <v>100</v>
          </cell>
          <cell r="AH202">
            <v>100</v>
          </cell>
          <cell r="AO202" t="str">
            <v>http://www.rockwellcollins.com/products/gov/surface/maritime-solutions/index.html</v>
          </cell>
        </row>
        <row r="203">
          <cell r="B203" t="str">
            <v>Organic:</v>
          </cell>
          <cell r="AB203">
            <v>11</v>
          </cell>
        </row>
        <row r="204">
          <cell r="B204" t="str">
            <v>+ F-15 Head-Down Displays</v>
          </cell>
        </row>
        <row r="205">
          <cell r="B205" t="str">
            <v>+ UAV Controls</v>
          </cell>
          <cell r="AA205">
            <v>504</v>
          </cell>
          <cell r="AB205">
            <v>584</v>
          </cell>
          <cell r="AC205">
            <v>-47</v>
          </cell>
          <cell r="AD205">
            <v>-165</v>
          </cell>
          <cell r="AE205">
            <v>-250</v>
          </cell>
          <cell r="AF205">
            <v>-200</v>
          </cell>
          <cell r="AG205">
            <v>-150</v>
          </cell>
          <cell r="AH205">
            <v>-125</v>
          </cell>
        </row>
        <row r="206">
          <cell r="B206" t="str">
            <v>4Q09 Airborne Solutions</v>
          </cell>
          <cell r="AA206">
            <v>704</v>
          </cell>
          <cell r="AB206">
            <v>475</v>
          </cell>
          <cell r="AC206">
            <v>1009</v>
          </cell>
          <cell r="AD206">
            <v>825</v>
          </cell>
          <cell r="AE206">
            <v>750</v>
          </cell>
          <cell r="AF206">
            <v>825</v>
          </cell>
          <cell r="AG206">
            <v>890</v>
          </cell>
          <cell r="AH206">
            <v>925</v>
          </cell>
        </row>
        <row r="207">
          <cell r="AA207">
            <v>704</v>
          </cell>
          <cell r="AB207">
            <v>818</v>
          </cell>
          <cell r="AC207">
            <v>1009</v>
          </cell>
          <cell r="AD207">
            <v>825</v>
          </cell>
          <cell r="AE207">
            <v>750</v>
          </cell>
          <cell r="AF207">
            <v>825</v>
          </cell>
          <cell r="AG207">
            <v>890</v>
          </cell>
          <cell r="AH207">
            <v>925</v>
          </cell>
        </row>
        <row r="208">
          <cell r="B208" t="str">
            <v>4Q 08 Surface Solutions</v>
          </cell>
          <cell r="AA208">
            <v>0</v>
          </cell>
          <cell r="AB208">
            <v>177</v>
          </cell>
          <cell r="AC208">
            <v>0</v>
          </cell>
          <cell r="AD208">
            <v>0</v>
          </cell>
          <cell r="AE208">
            <v>0</v>
          </cell>
          <cell r="AF208">
            <v>0</v>
          </cell>
          <cell r="AG208">
            <v>0</v>
          </cell>
          <cell r="AH208">
            <v>0</v>
          </cell>
        </row>
        <row r="209">
          <cell r="B209" t="str">
            <v>DataPath</v>
          </cell>
          <cell r="AB209">
            <v>61</v>
          </cell>
        </row>
        <row r="210">
          <cell r="B210" t="str">
            <v>Organic:</v>
          </cell>
          <cell r="AB210">
            <v>28</v>
          </cell>
        </row>
        <row r="211">
          <cell r="A211" t="str">
            <v>Quarterly Marginal Sales Disclosure</v>
          </cell>
          <cell r="B211" t="str">
            <v>+ UK Precision Targeting</v>
          </cell>
          <cell r="L211" t="str">
            <v>Program Value</v>
          </cell>
        </row>
        <row r="212">
          <cell r="B212" t="str">
            <v>+ JTRS</v>
          </cell>
        </row>
        <row r="213">
          <cell r="B213" t="str">
            <v>+ JPALS</v>
          </cell>
          <cell r="AB213">
            <v>459</v>
          </cell>
        </row>
        <row r="214">
          <cell r="B214" t="str">
            <v>- DAGR</v>
          </cell>
          <cell r="AB214">
            <v>5</v>
          </cell>
        </row>
        <row r="215">
          <cell r="B215" t="str">
            <v>- GB-GRAM</v>
          </cell>
          <cell r="AB215">
            <v>11</v>
          </cell>
        </row>
        <row r="216">
          <cell r="B216" t="str">
            <v>4Q09 Surface Solutions</v>
          </cell>
          <cell r="AB216">
            <v>266</v>
          </cell>
        </row>
        <row r="217">
          <cell r="B217" t="str">
            <v>+ UAV Controls</v>
          </cell>
        </row>
        <row r="218">
          <cell r="B218" t="str">
            <v>1Q 09 Airborne Solutions</v>
          </cell>
          <cell r="AB218">
            <v>403</v>
          </cell>
        </row>
        <row r="219">
          <cell r="B219" t="str">
            <v>SEOS Group</v>
          </cell>
          <cell r="AB219">
            <v>5</v>
          </cell>
        </row>
        <row r="220">
          <cell r="B220" t="str">
            <v>Organic:</v>
          </cell>
          <cell r="AB220">
            <v>2</v>
          </cell>
        </row>
        <row r="221">
          <cell r="B221" t="str">
            <v>+ Transport / Tanker</v>
          </cell>
          <cell r="AB221">
            <v>61</v>
          </cell>
        </row>
        <row r="222">
          <cell r="B222" t="str">
            <v>- F-22</v>
          </cell>
          <cell r="AB222">
            <v>28</v>
          </cell>
        </row>
        <row r="223">
          <cell r="B223" t="str">
            <v>1Q10 Airborne Solutions</v>
          </cell>
          <cell r="AB223">
            <v>410</v>
          </cell>
        </row>
        <row r="224">
          <cell r="B224" t="str">
            <v>+ JTRS</v>
          </cell>
        </row>
        <row r="225">
          <cell r="B225" t="str">
            <v>1Q 09 Surface Solutions</v>
          </cell>
          <cell r="AB225">
            <v>171</v>
          </cell>
        </row>
        <row r="226">
          <cell r="B226" t="str">
            <v>DataPath</v>
          </cell>
          <cell r="AB226">
            <v>60</v>
          </cell>
        </row>
        <row r="227">
          <cell r="B227" t="str">
            <v>Organic:</v>
          </cell>
          <cell r="AB227">
            <v>-25</v>
          </cell>
        </row>
        <row r="228">
          <cell r="B228" t="str">
            <v>- DAGR</v>
          </cell>
          <cell r="AB228">
            <v>266</v>
          </cell>
        </row>
        <row r="229">
          <cell r="B229" t="str">
            <v>1Q10 Surface Solutions</v>
          </cell>
          <cell r="AB229">
            <v>206</v>
          </cell>
        </row>
        <row r="230">
          <cell r="B230" t="str">
            <v>1Q 09 Airborne Solutions</v>
          </cell>
          <cell r="AB230">
            <v>403</v>
          </cell>
        </row>
        <row r="231">
          <cell r="B231" t="str">
            <v>SEOS Group</v>
          </cell>
          <cell r="AB231">
            <v>5</v>
          </cell>
        </row>
        <row r="232">
          <cell r="B232" t="str">
            <v>Organic:</v>
          </cell>
          <cell r="AB232">
            <v>2</v>
          </cell>
        </row>
        <row r="233">
          <cell r="B233" t="str">
            <v>+ Transport / Tanker</v>
          </cell>
        </row>
        <row r="234">
          <cell r="B234" t="str">
            <v>- F-22</v>
          </cell>
        </row>
        <row r="235">
          <cell r="B235" t="str">
            <v>1Q10 Airborne Solutions</v>
          </cell>
          <cell r="AB235">
            <v>410</v>
          </cell>
        </row>
        <row r="237">
          <cell r="B237" t="str">
            <v>1Q 09 Surface Solutions</v>
          </cell>
          <cell r="AB237">
            <v>171</v>
          </cell>
        </row>
        <row r="238">
          <cell r="B238" t="str">
            <v>DataPath</v>
          </cell>
          <cell r="AB238">
            <v>60</v>
          </cell>
        </row>
        <row r="239">
          <cell r="B239" t="str">
            <v>Organic:</v>
          </cell>
          <cell r="AB239">
            <v>-25</v>
          </cell>
        </row>
        <row r="240">
          <cell r="B240" t="str">
            <v>- DAGR</v>
          </cell>
        </row>
        <row r="241">
          <cell r="B241" t="str">
            <v>1Q10 Surface Solutions</v>
          </cell>
          <cell r="AB241">
            <v>206</v>
          </cell>
        </row>
      </sheetData>
      <sheetData sheetId="9" refreshError="1">
        <row r="1">
          <cell r="A1" t="str">
            <v>Rockwell Collins, Inc.</v>
          </cell>
          <cell r="AB1" t="str">
            <v>6mn adjustment in gov</v>
          </cell>
        </row>
        <row r="2">
          <cell r="A2" t="str">
            <v>Commercial Systems Segment Detail</v>
          </cell>
          <cell r="AB2" t="str">
            <v>9mn in commercial</v>
          </cell>
        </row>
        <row r="3">
          <cell r="A3" t="str">
            <v>Morgan Stanley Research</v>
          </cell>
          <cell r="O3" t="str">
            <v>IAM Strike</v>
          </cell>
        </row>
        <row r="4">
          <cell r="A4" t="str">
            <v>($ in Millions Except EPS)</v>
          </cell>
        </row>
        <row r="5">
          <cell r="A5" t="str">
            <v>Model Updated: 4/10</v>
          </cell>
        </row>
        <row r="6">
          <cell r="A6" t="str">
            <v>Fiscal Year Ended Sept. 30</v>
          </cell>
          <cell r="H6">
            <v>2007</v>
          </cell>
          <cell r="L6">
            <v>2008</v>
          </cell>
          <cell r="P6" t="str">
            <v>2009A</v>
          </cell>
          <cell r="T6" t="str">
            <v>2010E</v>
          </cell>
        </row>
        <row r="7">
          <cell r="I7" t="str">
            <v>Dec. 31</v>
          </cell>
          <cell r="J7" t="str">
            <v>March 31</v>
          </cell>
          <cell r="K7" t="str">
            <v>June 30</v>
          </cell>
          <cell r="L7" t="str">
            <v>Sept. 30</v>
          </cell>
          <cell r="M7" t="str">
            <v>Dec. 31</v>
          </cell>
          <cell r="N7" t="str">
            <v>March 31</v>
          </cell>
          <cell r="O7" t="str">
            <v>June 30</v>
          </cell>
          <cell r="P7" t="str">
            <v>Sept. 30</v>
          </cell>
          <cell r="Q7" t="str">
            <v>Dec</v>
          </cell>
          <cell r="R7" t="str">
            <v>March</v>
          </cell>
          <cell r="S7" t="str">
            <v>June</v>
          </cell>
          <cell r="T7" t="str">
            <v>Sept</v>
          </cell>
          <cell r="U7" t="str">
            <v>Dec</v>
          </cell>
          <cell r="V7" t="str">
            <v>March</v>
          </cell>
          <cell r="W7" t="str">
            <v>June</v>
          </cell>
          <cell r="X7" t="str">
            <v>Sept</v>
          </cell>
          <cell r="Y7" t="str">
            <v>Dec</v>
          </cell>
          <cell r="Z7" t="str">
            <v>March</v>
          </cell>
          <cell r="AA7" t="str">
            <v>June</v>
          </cell>
          <cell r="AB7" t="str">
            <v>Sept</v>
          </cell>
          <cell r="AC7" t="str">
            <v>Dec</v>
          </cell>
          <cell r="AD7" t="str">
            <v>March</v>
          </cell>
          <cell r="AE7" t="str">
            <v>June</v>
          </cell>
          <cell r="AF7" t="str">
            <v>Sept</v>
          </cell>
          <cell r="AJ7" t="str">
            <v>Y/Y Growth Rates</v>
          </cell>
          <cell r="AN7" t="str">
            <v>Y/Y Growth Rates</v>
          </cell>
          <cell r="AR7" t="str">
            <v>Y/Y Growth Rates</v>
          </cell>
        </row>
        <row r="8">
          <cell r="H8" t="str">
            <v>Q1</v>
          </cell>
          <cell r="I8" t="str">
            <v>1Q07</v>
          </cell>
          <cell r="J8" t="str">
            <v>2Q07</v>
          </cell>
          <cell r="K8" t="str">
            <v>3Q07</v>
          </cell>
          <cell r="L8" t="str">
            <v>4Q07</v>
          </cell>
          <cell r="M8" t="str">
            <v>1Q08</v>
          </cell>
          <cell r="N8" t="str">
            <v>2Q08</v>
          </cell>
          <cell r="O8" t="str">
            <v>3Q08</v>
          </cell>
          <cell r="P8" t="str">
            <v>4Q08</v>
          </cell>
          <cell r="Q8" t="str">
            <v>1Q09</v>
          </cell>
          <cell r="R8" t="str">
            <v>2Q09</v>
          </cell>
          <cell r="S8" t="str">
            <v>3Q09</v>
          </cell>
          <cell r="T8" t="str">
            <v>4Q09</v>
          </cell>
          <cell r="U8" t="str">
            <v>1Q10A</v>
          </cell>
          <cell r="V8" t="str">
            <v>2Q10A</v>
          </cell>
          <cell r="W8" t="str">
            <v>3Q10A</v>
          </cell>
          <cell r="X8" t="str">
            <v>4Q10E</v>
          </cell>
          <cell r="Y8">
            <v>2006</v>
          </cell>
          <cell r="Z8">
            <v>2007</v>
          </cell>
          <cell r="AA8">
            <v>2008</v>
          </cell>
          <cell r="AB8">
            <v>2009</v>
          </cell>
          <cell r="AC8">
            <v>2010</v>
          </cell>
          <cell r="AD8">
            <v>2011</v>
          </cell>
          <cell r="AE8">
            <v>2012</v>
          </cell>
          <cell r="AF8">
            <v>2013</v>
          </cell>
          <cell r="AG8">
            <v>2014</v>
          </cell>
          <cell r="AH8">
            <v>2015</v>
          </cell>
          <cell r="AI8" t="str">
            <v>2012E</v>
          </cell>
          <cell r="AJ8">
            <v>2010</v>
          </cell>
          <cell r="AK8">
            <v>2011</v>
          </cell>
          <cell r="AL8">
            <v>2012</v>
          </cell>
          <cell r="AM8">
            <v>2013</v>
          </cell>
          <cell r="AN8">
            <v>2014</v>
          </cell>
          <cell r="AO8">
            <v>2015</v>
          </cell>
          <cell r="AP8" t="str">
            <v>1Q10A</v>
          </cell>
          <cell r="AQ8" t="str">
            <v>2Q10A</v>
          </cell>
          <cell r="AR8" t="str">
            <v>3Q10A</v>
          </cell>
          <cell r="AS8" t="str">
            <v>4Q10E</v>
          </cell>
          <cell r="AT8" t="str">
            <v>1Q10</v>
          </cell>
          <cell r="AU8" t="str">
            <v>Notes</v>
          </cell>
          <cell r="AV8" t="str">
            <v>3Q10</v>
          </cell>
          <cell r="AW8" t="str">
            <v>4Q10</v>
          </cell>
          <cell r="AX8" t="str">
            <v>1Q10</v>
          </cell>
          <cell r="AY8" t="str">
            <v>Notes</v>
          </cell>
          <cell r="AZ8" t="str">
            <v>3Q10</v>
          </cell>
          <cell r="BA8" t="str">
            <v>4Q10</v>
          </cell>
          <cell r="BC8" t="str">
            <v>Notes</v>
          </cell>
        </row>
        <row r="9">
          <cell r="A9" t="str">
            <v>Macro Indicators</v>
          </cell>
        </row>
        <row r="10">
          <cell r="B10" t="str">
            <v>Commercial Systems Sales</v>
          </cell>
        </row>
        <row r="11">
          <cell r="B11" t="str">
            <v>Aircraft Deliveries</v>
          </cell>
          <cell r="C11" t="str">
            <v>Air Transport Aviation Electronics:</v>
          </cell>
        </row>
        <row r="12">
          <cell r="B12" t="str">
            <v>Boeing</v>
          </cell>
          <cell r="D12" t="str">
            <v>Original Equipment</v>
          </cell>
          <cell r="Q12">
            <v>67</v>
          </cell>
          <cell r="R12">
            <v>102</v>
          </cell>
          <cell r="S12">
            <v>91</v>
          </cell>
          <cell r="T12">
            <v>105</v>
          </cell>
          <cell r="U12">
            <v>98</v>
          </cell>
          <cell r="V12">
            <v>113</v>
          </cell>
          <cell r="W12">
            <v>114</v>
          </cell>
          <cell r="X12">
            <v>525</v>
          </cell>
          <cell r="Y12">
            <v>381</v>
          </cell>
          <cell r="Z12">
            <v>281</v>
          </cell>
          <cell r="AA12">
            <v>285</v>
          </cell>
          <cell r="AB12">
            <v>365</v>
          </cell>
          <cell r="AC12">
            <v>440</v>
          </cell>
          <cell r="AD12">
            <v>497.19999999999993</v>
          </cell>
          <cell r="AE12">
            <v>546.91999999999996</v>
          </cell>
          <cell r="AF12">
            <v>601.61199999999997</v>
          </cell>
          <cell r="AG12">
            <v>632.72986206896553</v>
          </cell>
          <cell r="AH12">
            <v>663.8477241379311</v>
          </cell>
          <cell r="AI12">
            <v>509</v>
          </cell>
          <cell r="AJ12">
            <v>0.20547945205479445</v>
          </cell>
          <cell r="AK12">
            <v>0.12999999999999989</v>
          </cell>
          <cell r="AL12">
            <v>0.10000000000000009</v>
          </cell>
          <cell r="AM12">
            <v>0.10000000000000009</v>
          </cell>
          <cell r="AN12">
            <v>5.1724137931034475E-2</v>
          </cell>
          <cell r="AO12">
            <v>4.9180327868852514E-2</v>
          </cell>
          <cell r="AP12">
            <v>0.46268656716417911</v>
          </cell>
          <cell r="AQ12">
            <v>0.10784313725490202</v>
          </cell>
          <cell r="AR12">
            <v>0.25274725274725274</v>
          </cell>
          <cell r="AS12">
            <v>9.5238095238095344E-2</v>
          </cell>
          <cell r="AT12">
            <v>0.46268656716417911</v>
          </cell>
          <cell r="AU12">
            <v>0.10784313725490202</v>
          </cell>
          <cell r="AV12">
            <v>0.25274725274725274</v>
          </cell>
          <cell r="AW12">
            <v>8.5714285714285632E-2</v>
          </cell>
          <cell r="AX12">
            <v>0.46268656716417911</v>
          </cell>
          <cell r="AY12">
            <v>0.10784313725490202</v>
          </cell>
          <cell r="AZ12">
            <v>0.25274725274725274</v>
          </cell>
          <cell r="BA12">
            <v>8.5714285714285632E-2</v>
          </cell>
        </row>
        <row r="13">
          <cell r="C13" t="str">
            <v>Y/Y Change</v>
          </cell>
          <cell r="D13" t="str">
            <v>Aftermarket</v>
          </cell>
          <cell r="Q13">
            <v>132</v>
          </cell>
          <cell r="R13">
            <v>140</v>
          </cell>
          <cell r="S13">
            <v>130</v>
          </cell>
          <cell r="T13">
            <v>134</v>
          </cell>
          <cell r="U13">
            <v>125</v>
          </cell>
          <cell r="V13">
            <v>127</v>
          </cell>
          <cell r="W13">
            <v>115</v>
          </cell>
          <cell r="X13">
            <v>147.4</v>
          </cell>
          <cell r="Y13">
            <v>-0.27428571428571424</v>
          </cell>
          <cell r="Z13">
            <v>-0.26246719160104992</v>
          </cell>
          <cell r="AA13">
            <v>1.4234875444839812E-2</v>
          </cell>
          <cell r="AB13">
            <v>536</v>
          </cell>
          <cell r="AC13">
            <v>514.4</v>
          </cell>
          <cell r="AD13">
            <v>565.84</v>
          </cell>
          <cell r="AE13">
            <v>622.42400000000009</v>
          </cell>
          <cell r="AF13">
            <v>672.21792000000016</v>
          </cell>
          <cell r="AG13">
            <v>703.24336246153871</v>
          </cell>
          <cell r="AH13">
            <v>734.26880492307725</v>
          </cell>
          <cell r="AI13">
            <v>0.1782407407407407</v>
          </cell>
          <cell r="AJ13">
            <v>-4.0298507462686595E-2</v>
          </cell>
          <cell r="AK13">
            <v>0.10000000000000009</v>
          </cell>
          <cell r="AL13">
            <v>0.10000000000000009</v>
          </cell>
          <cell r="AM13">
            <v>8.0000000000000071E-2</v>
          </cell>
          <cell r="AN13">
            <v>4.6153846153846212E-2</v>
          </cell>
          <cell r="AO13">
            <v>4.4117647058823595E-2</v>
          </cell>
          <cell r="AP13">
            <v>-5.3030303030302983E-2</v>
          </cell>
          <cell r="AQ13">
            <v>-9.285714285714286E-2</v>
          </cell>
          <cell r="AR13">
            <v>-0.11538461538461542</v>
          </cell>
          <cell r="AS13">
            <v>0.10000000000000009</v>
          </cell>
          <cell r="AT13">
            <v>-0.24242424242424243</v>
          </cell>
          <cell r="AU13" t="str">
            <v>7/10 - half non discretionary; 50% of discretionary is IFE (Inflight Entertainment)</v>
          </cell>
          <cell r="AV13">
            <v>-0.29230769230769227</v>
          </cell>
          <cell r="AW13">
            <v>-0.11194029850746268</v>
          </cell>
          <cell r="AX13">
            <v>-0.24242424242424243</v>
          </cell>
          <cell r="AY13" t="str">
            <v>7/10 - half non discretionary; 50% of discretionary is IFE (Inflight Entertainment)</v>
          </cell>
          <cell r="AZ13">
            <v>-0.33846153846153848</v>
          </cell>
          <cell r="BA13">
            <v>-0.19402985074626866</v>
          </cell>
          <cell r="BC13" t="str">
            <v>7/10 - half non discretionary; 50% of discretionary is IFE (Inflight Entertainment)</v>
          </cell>
        </row>
        <row r="14">
          <cell r="D14" t="str">
            <v xml:space="preserve">Wide-Body In-Flight Entertainment </v>
          </cell>
          <cell r="Q14">
            <v>21</v>
          </cell>
          <cell r="R14">
            <v>17</v>
          </cell>
          <cell r="S14">
            <v>23</v>
          </cell>
          <cell r="T14">
            <v>24</v>
          </cell>
          <cell r="U14">
            <v>18</v>
          </cell>
          <cell r="V14">
            <v>11</v>
          </cell>
          <cell r="W14">
            <v>10</v>
          </cell>
          <cell r="X14">
            <v>6</v>
          </cell>
          <cell r="Y14">
            <v>27</v>
          </cell>
          <cell r="Z14">
            <v>29</v>
          </cell>
          <cell r="AA14">
            <v>24</v>
          </cell>
          <cell r="AB14">
            <v>85</v>
          </cell>
          <cell r="AC14">
            <v>45</v>
          </cell>
          <cell r="AD14">
            <v>27</v>
          </cell>
          <cell r="AE14">
            <v>18.899999999999999</v>
          </cell>
          <cell r="AF14">
            <v>13.229999999999999</v>
          </cell>
          <cell r="AG14">
            <v>9.2609999999999992</v>
          </cell>
          <cell r="AH14">
            <v>6.4826999999999995</v>
          </cell>
          <cell r="AI14">
            <v>69.02</v>
          </cell>
          <cell r="AJ14">
            <v>-0.47058823529411764</v>
          </cell>
          <cell r="AK14">
            <v>-0.4</v>
          </cell>
          <cell r="AL14">
            <v>23.673859999999994</v>
          </cell>
          <cell r="AM14">
            <v>83.3</v>
          </cell>
          <cell r="AN14">
            <v>0.70588235294117641</v>
          </cell>
          <cell r="AO14">
            <v>-0.32000000000000006</v>
          </cell>
          <cell r="AP14">
            <v>-0.1428571428571429</v>
          </cell>
          <cell r="AQ14">
            <v>-0.3529411764705882</v>
          </cell>
          <cell r="AR14">
            <v>-0.56521739130434789</v>
          </cell>
          <cell r="AS14">
            <v>-0.75</v>
          </cell>
          <cell r="AT14">
            <v>1.0476190476190474</v>
          </cell>
          <cell r="AU14">
            <v>1.0588235294117645</v>
          </cell>
          <cell r="AV14">
            <v>0.43478260869565211</v>
          </cell>
          <cell r="AW14">
            <v>0.41666666666666674</v>
          </cell>
          <cell r="AX14">
            <v>1.0476190476190474</v>
          </cell>
          <cell r="AY14">
            <v>1.0588235294117645</v>
          </cell>
          <cell r="AZ14">
            <v>0.43478260869565211</v>
          </cell>
          <cell r="BA14">
            <v>0.41666666666666674</v>
          </cell>
        </row>
        <row r="15">
          <cell r="B15" t="str">
            <v>Airbus</v>
          </cell>
          <cell r="D15" t="str">
            <v>Total Air Transport Electronics</v>
          </cell>
          <cell r="Q15">
            <v>220</v>
          </cell>
          <cell r="R15">
            <v>259</v>
          </cell>
          <cell r="S15">
            <v>244</v>
          </cell>
          <cell r="T15">
            <v>263</v>
          </cell>
          <cell r="U15">
            <v>241</v>
          </cell>
          <cell r="V15">
            <v>251</v>
          </cell>
          <cell r="W15">
            <v>239</v>
          </cell>
          <cell r="X15">
            <v>325</v>
          </cell>
          <cell r="Y15">
            <v>303</v>
          </cell>
          <cell r="Z15">
            <v>305</v>
          </cell>
          <cell r="AA15">
            <v>320</v>
          </cell>
          <cell r="AB15">
            <v>986</v>
          </cell>
          <cell r="AC15">
            <v>999.4</v>
          </cell>
          <cell r="AD15">
            <v>1090.04</v>
          </cell>
          <cell r="AE15">
            <v>1188.2440000000001</v>
          </cell>
          <cell r="AF15">
            <v>1287.0599200000001</v>
          </cell>
          <cell r="AG15">
            <v>1345.2342245305042</v>
          </cell>
          <cell r="AH15">
            <v>1404.5992290610084</v>
          </cell>
          <cell r="AI15">
            <v>453</v>
          </cell>
          <cell r="AJ15">
            <v>1.3590263691683591E-2</v>
          </cell>
          <cell r="AK15">
            <v>9.0694416649989895E-2</v>
          </cell>
          <cell r="AL15">
            <v>9.0092106711680442E-2</v>
          </cell>
          <cell r="AM15">
            <v>8.3161303570647105E-2</v>
          </cell>
          <cell r="AN15">
            <v>4.5199375434287425E-2</v>
          </cell>
          <cell r="AO15">
            <v>4.4129864857715084E-2</v>
          </cell>
          <cell r="AP15">
            <v>9.5454545454545459E-2</v>
          </cell>
          <cell r="AQ15">
            <v>-3.0888030888030937E-2</v>
          </cell>
          <cell r="AR15">
            <v>-2.0491803278688492E-2</v>
          </cell>
          <cell r="AS15">
            <v>2.0532319391634912E-2</v>
          </cell>
          <cell r="AT15">
            <v>9.5454545454545459E-2</v>
          </cell>
          <cell r="AU15">
            <v>-3.0888030888030937E-2</v>
          </cell>
          <cell r="AV15">
            <v>-2.0491803278688492E-2</v>
          </cell>
          <cell r="AW15">
            <v>1.5209125475285079E-2</v>
          </cell>
          <cell r="AX15">
            <v>9.5454545454545459E-2</v>
          </cell>
          <cell r="AY15">
            <v>-3.0888030888030937E-2</v>
          </cell>
          <cell r="AZ15">
            <v>-4.5081967213114749E-2</v>
          </cell>
          <cell r="BA15">
            <v>-2.6615969581749055E-2</v>
          </cell>
        </row>
        <row r="16">
          <cell r="C16" t="str">
            <v>Y/Y Change</v>
          </cell>
          <cell r="Y16">
            <v>-6.7692307692307718E-2</v>
          </cell>
          <cell r="Z16">
            <v>6.6006600660066805E-3</v>
          </cell>
          <cell r="AA16">
            <v>4.9180327868852514E-2</v>
          </cell>
          <cell r="AB16">
            <v>0.18124999999999991</v>
          </cell>
          <cell r="AC16">
            <v>0.14814814814814814</v>
          </cell>
          <cell r="AD16">
            <v>4.377880184331806E-2</v>
          </cell>
          <cell r="AE16">
            <v>6.6225165562913801E-2</v>
          </cell>
          <cell r="AF16">
            <v>0</v>
          </cell>
          <cell r="AG16">
            <v>-0.10144927536231885</v>
          </cell>
          <cell r="AH16">
            <v>1.6129032258064502E-2</v>
          </cell>
          <cell r="AI16">
            <v>2.7210884353741527E-2</v>
          </cell>
          <cell r="AJ16">
            <v>1.7660044150110465E-2</v>
          </cell>
          <cell r="AK16">
            <v>3.0368763557483636E-2</v>
          </cell>
          <cell r="AL16">
            <v>5.2631578947368363E-2</v>
          </cell>
        </row>
        <row r="17">
          <cell r="C17" t="str">
            <v>Business and Regional Aviation Electronics:</v>
          </cell>
          <cell r="AM17">
            <v>0.15770127118644051</v>
          </cell>
        </row>
        <row r="18">
          <cell r="B18" t="str">
            <v>Large Commercial Deliveries</v>
          </cell>
          <cell r="D18" t="str">
            <v>Orginal Equipment</v>
          </cell>
          <cell r="Q18">
            <v>177</v>
          </cell>
          <cell r="R18">
            <v>193</v>
          </cell>
          <cell r="S18">
            <v>120</v>
          </cell>
          <cell r="T18">
            <v>115</v>
          </cell>
          <cell r="U18">
            <v>103</v>
          </cell>
          <cell r="V18">
            <v>120</v>
          </cell>
          <cell r="W18">
            <v>126</v>
          </cell>
          <cell r="X18">
            <v>850</v>
          </cell>
          <cell r="Y18">
            <v>683.72571428571428</v>
          </cell>
          <cell r="Z18">
            <v>585.73753280839901</v>
          </cell>
          <cell r="AA18">
            <v>605.0142348754448</v>
          </cell>
          <cell r="AB18">
            <v>605</v>
          </cell>
          <cell r="AC18">
            <v>479</v>
          </cell>
          <cell r="AD18">
            <v>526.90000000000009</v>
          </cell>
          <cell r="AE18">
            <v>632.28000000000009</v>
          </cell>
          <cell r="AF18">
            <v>720.79920000000016</v>
          </cell>
          <cell r="AG18">
            <v>821.71108800000025</v>
          </cell>
          <cell r="AH18">
            <v>887.4479750400003</v>
          </cell>
          <cell r="AI18">
            <v>962.17824074074076</v>
          </cell>
          <cell r="AJ18">
            <v>-0.20826446280991739</v>
          </cell>
          <cell r="AK18">
            <v>0.10000000000000009</v>
          </cell>
          <cell r="AL18">
            <v>0.19999999999999996</v>
          </cell>
          <cell r="AM18">
            <v>0.14000000000000012</v>
          </cell>
          <cell r="AN18">
            <v>0.14000000000000012</v>
          </cell>
          <cell r="AO18">
            <v>8.0000000000000071E-2</v>
          </cell>
          <cell r="AP18">
            <v>-0.41807909604519777</v>
          </cell>
          <cell r="AQ18">
            <v>-0.37823834196891193</v>
          </cell>
          <cell r="AR18">
            <v>5.0000000000000044E-2</v>
          </cell>
          <cell r="AS18">
            <v>0.13043478260869557</v>
          </cell>
          <cell r="AT18">
            <v>-0.41807909604519777</v>
          </cell>
          <cell r="AU18" t="str">
            <v>7/10 - 7% biz jet OEM growth would translate into 14% growth for COL</v>
          </cell>
          <cell r="AV18">
            <v>5.0000000000000044E-2</v>
          </cell>
          <cell r="AW18">
            <v>1.7391304347825987E-2</v>
          </cell>
          <cell r="AX18">
            <v>-0.41807909604519777</v>
          </cell>
          <cell r="AY18" t="str">
            <v>7/10 - 7% biz jet OEM growth would translate into 14% growth for COL</v>
          </cell>
          <cell r="AZ18">
            <v>5.0000000000000044E-2</v>
          </cell>
          <cell r="BA18">
            <v>1.7391304347825987E-2</v>
          </cell>
          <cell r="BC18" t="str">
            <v>7/10 - 7% biz jet OEM growth would translate into 14% growth for COL</v>
          </cell>
        </row>
        <row r="19">
          <cell r="C19" t="str">
            <v>Y/Y Change</v>
          </cell>
          <cell r="D19" t="str">
            <v>Aftermarket</v>
          </cell>
          <cell r="Q19">
            <v>87</v>
          </cell>
          <cell r="R19">
            <v>73</v>
          </cell>
          <cell r="S19">
            <v>69</v>
          </cell>
          <cell r="T19">
            <v>71</v>
          </cell>
          <cell r="U19">
            <v>67</v>
          </cell>
          <cell r="V19">
            <v>78</v>
          </cell>
          <cell r="W19">
            <v>95</v>
          </cell>
          <cell r="X19">
            <v>88</v>
          </cell>
          <cell r="Y19">
            <v>-0.19561680672268911</v>
          </cell>
          <cell r="Z19">
            <v>-0.14331504495144398</v>
          </cell>
          <cell r="AA19">
            <v>3.2910136344893148E-2</v>
          </cell>
          <cell r="AB19">
            <v>300</v>
          </cell>
          <cell r="AC19">
            <v>328</v>
          </cell>
          <cell r="AD19">
            <v>354.24</v>
          </cell>
          <cell r="AE19">
            <v>382.57920000000001</v>
          </cell>
          <cell r="AF19">
            <v>409.35974400000003</v>
          </cell>
          <cell r="AG19">
            <v>433.92132864000007</v>
          </cell>
          <cell r="AH19">
            <v>459.9566083584001</v>
          </cell>
          <cell r="AI19">
            <v>0.10218836139961085</v>
          </cell>
          <cell r="AJ19">
            <v>9.3333333333333268E-2</v>
          </cell>
          <cell r="AK19">
            <v>8.0000000000000071E-2</v>
          </cell>
          <cell r="AL19">
            <v>8.0000000000000071E-2</v>
          </cell>
          <cell r="AM19">
            <v>7.0000000000000062E-2</v>
          </cell>
          <cell r="AN19">
            <v>6.0000000000000053E-2</v>
          </cell>
          <cell r="AO19">
            <v>6.0000000000000053E-2</v>
          </cell>
          <cell r="AP19">
            <v>-0.22988505747126442</v>
          </cell>
          <cell r="AQ19">
            <v>6.8493150684931559E-2</v>
          </cell>
          <cell r="AR19">
            <v>0.37681159420289845</v>
          </cell>
          <cell r="AS19">
            <v>0.23943661971830976</v>
          </cell>
          <cell r="AT19">
            <v>-0.22988505747126442</v>
          </cell>
          <cell r="AU19">
            <v>6.8493150684931559E-2</v>
          </cell>
          <cell r="AV19">
            <v>0.37681159420289845</v>
          </cell>
          <cell r="AW19">
            <v>0.40845070422535201</v>
          </cell>
          <cell r="AX19">
            <v>-0.22988505747126442</v>
          </cell>
          <cell r="AY19">
            <v>6.8493150684931559E-2</v>
          </cell>
          <cell r="AZ19">
            <v>0.37681159420289845</v>
          </cell>
          <cell r="BA19">
            <v>0.40845070422535201</v>
          </cell>
        </row>
        <row r="20">
          <cell r="D20" t="str">
            <v>Total Business and Regional Aviation</v>
          </cell>
          <cell r="Q20">
            <v>264</v>
          </cell>
          <cell r="R20">
            <v>266</v>
          </cell>
          <cell r="S20">
            <v>189</v>
          </cell>
          <cell r="T20">
            <v>186</v>
          </cell>
          <cell r="U20">
            <v>170</v>
          </cell>
          <cell r="V20">
            <v>198</v>
          </cell>
          <cell r="W20">
            <v>221</v>
          </cell>
          <cell r="X20">
            <v>218</v>
          </cell>
          <cell r="Y20">
            <v>210</v>
          </cell>
          <cell r="Z20">
            <v>231</v>
          </cell>
          <cell r="AA20">
            <v>242</v>
          </cell>
          <cell r="AB20">
            <v>905</v>
          </cell>
          <cell r="AC20">
            <v>807</v>
          </cell>
          <cell r="AD20">
            <v>881.1400000000001</v>
          </cell>
          <cell r="AE20">
            <v>1014.8592000000001</v>
          </cell>
          <cell r="AF20">
            <v>1130.1589440000002</v>
          </cell>
          <cell r="AG20">
            <v>1255.6324166400004</v>
          </cell>
          <cell r="AH20">
            <v>1347.4045833984005</v>
          </cell>
          <cell r="AI20">
            <v>1069.5906</v>
          </cell>
          <cell r="AJ20">
            <v>-0.10828729281767957</v>
          </cell>
          <cell r="AK20">
            <v>9.1871127633209593E-2</v>
          </cell>
          <cell r="AL20">
            <v>0.15175704201375484</v>
          </cell>
          <cell r="AM20">
            <v>0.11361156700358044</v>
          </cell>
          <cell r="AN20">
            <v>0.11102285506488907</v>
          </cell>
          <cell r="AO20">
            <v>7.3088401941690195E-2</v>
          </cell>
          <cell r="AP20">
            <v>-0.35606060606060608</v>
          </cell>
          <cell r="AQ20">
            <v>-0.25563909774436089</v>
          </cell>
          <cell r="AR20">
            <v>0.1693121693121693</v>
          </cell>
          <cell r="AS20">
            <v>0.17204301075268824</v>
          </cell>
          <cell r="AT20">
            <v>-0.35606060606060608</v>
          </cell>
          <cell r="AU20">
            <v>-0.25563909774436089</v>
          </cell>
          <cell r="AV20">
            <v>0.1693121693121693</v>
          </cell>
          <cell r="AW20">
            <v>0.16666666666666674</v>
          </cell>
          <cell r="AX20">
            <v>-0.35606060606060608</v>
          </cell>
          <cell r="AY20">
            <v>-0.25563909774436089</v>
          </cell>
          <cell r="AZ20">
            <v>0.1693121693121693</v>
          </cell>
          <cell r="BA20">
            <v>0.16666666666666674</v>
          </cell>
        </row>
        <row r="21">
          <cell r="B21" t="str">
            <v>Regional Jet Deliveries</v>
          </cell>
          <cell r="X21">
            <v>330</v>
          </cell>
          <cell r="Y21">
            <v>315</v>
          </cell>
          <cell r="Z21">
            <v>316</v>
          </cell>
          <cell r="AA21">
            <v>331</v>
          </cell>
          <cell r="AB21">
            <v>258</v>
          </cell>
          <cell r="AC21">
            <v>210</v>
          </cell>
          <cell r="AD21">
            <v>258</v>
          </cell>
          <cell r="AE21">
            <v>272</v>
          </cell>
          <cell r="AF21">
            <v>200</v>
          </cell>
          <cell r="AG21">
            <v>160</v>
          </cell>
          <cell r="AH21">
            <v>110</v>
          </cell>
          <cell r="AI21">
            <v>105</v>
          </cell>
          <cell r="AJ21">
            <v>135</v>
          </cell>
          <cell r="AK21">
            <v>150</v>
          </cell>
          <cell r="AL21">
            <v>150</v>
          </cell>
          <cell r="AN21" t="str">
            <v>Source: Airline Monitor, Bombardier/Embraer</v>
          </cell>
        </row>
        <row r="22">
          <cell r="C22" t="str">
            <v>Y/Y Change</v>
          </cell>
          <cell r="Q22">
            <v>484</v>
          </cell>
          <cell r="R22">
            <v>525</v>
          </cell>
          <cell r="S22">
            <v>433</v>
          </cell>
          <cell r="T22">
            <v>449</v>
          </cell>
          <cell r="U22">
            <v>411</v>
          </cell>
          <cell r="V22">
            <v>449</v>
          </cell>
          <cell r="W22">
            <v>460</v>
          </cell>
          <cell r="X22">
            <v>486.4</v>
          </cell>
          <cell r="Y22">
            <v>-4.5454545454545414E-2</v>
          </cell>
          <cell r="Z22">
            <v>3.1746031746031633E-3</v>
          </cell>
          <cell r="AA22">
            <v>4.7468354430379778E-2</v>
          </cell>
          <cell r="AB22">
            <v>-0.22054380664652573</v>
          </cell>
          <cell r="AC22">
            <v>-0.18604651162790697</v>
          </cell>
          <cell r="AD22">
            <v>0.22857142857142865</v>
          </cell>
          <cell r="AE22">
            <v>5.4263565891472965E-2</v>
          </cell>
          <cell r="AF22">
            <v>-0.26470588235294112</v>
          </cell>
          <cell r="AG22">
            <v>-0.19999999999999996</v>
          </cell>
          <cell r="AH22">
            <v>-0.3125</v>
          </cell>
          <cell r="AI22">
            <v>-4.5454545454545414E-2</v>
          </cell>
          <cell r="AJ22">
            <v>-4.4738233738762512E-2</v>
          </cell>
          <cell r="AK22">
            <v>9.1220106288750991E-2</v>
          </cell>
          <cell r="AL22">
            <v>0.11765703791637527</v>
          </cell>
          <cell r="AM22">
            <v>9.7188213425499104E-2</v>
          </cell>
          <cell r="AN22">
            <v>7.5974823755348586E-2</v>
          </cell>
          <cell r="AO22">
            <v>5.8110311730895203E-2</v>
          </cell>
          <cell r="AP22">
            <v>-0.15082644628099173</v>
          </cell>
          <cell r="AQ22">
            <v>-0.14476190476190476</v>
          </cell>
          <cell r="AR22">
            <v>6.2355658198614217E-2</v>
          </cell>
          <cell r="AS22">
            <v>8.3296213808463193E-2</v>
          </cell>
          <cell r="AT22">
            <v>-0.15082644628099173</v>
          </cell>
          <cell r="AU22">
            <v>-0.14476190476190476</v>
          </cell>
          <cell r="AV22">
            <v>6.2355658198614217E-2</v>
          </cell>
          <cell r="AW22">
            <v>7.795100222717144E-2</v>
          </cell>
          <cell r="AX22">
            <v>-0.15082644628099173</v>
          </cell>
          <cell r="AY22">
            <v>-0.14476190476190476</v>
          </cell>
          <cell r="AZ22">
            <v>4.8498845265589008E-2</v>
          </cell>
          <cell r="BA22">
            <v>5.3452115812917533E-2</v>
          </cell>
        </row>
        <row r="23">
          <cell r="D23" t="str">
            <v>Check</v>
          </cell>
          <cell r="I23">
            <v>492</v>
          </cell>
          <cell r="J23">
            <v>542</v>
          </cell>
          <cell r="K23">
            <v>545</v>
          </cell>
          <cell r="L23">
            <v>605</v>
          </cell>
          <cell r="M23">
            <v>565</v>
          </cell>
          <cell r="N23">
            <v>610</v>
          </cell>
          <cell r="O23">
            <v>587</v>
          </cell>
          <cell r="P23">
            <v>641</v>
          </cell>
          <cell r="Q23">
            <v>484</v>
          </cell>
          <cell r="R23">
            <v>525</v>
          </cell>
          <cell r="S23">
            <v>433</v>
          </cell>
          <cell r="T23">
            <v>449</v>
          </cell>
          <cell r="U23">
            <v>411</v>
          </cell>
          <cell r="V23">
            <v>449</v>
          </cell>
          <cell r="W23">
            <v>460</v>
          </cell>
          <cell r="X23">
            <v>486.40000000000009</v>
          </cell>
          <cell r="Y23">
            <v>1820</v>
          </cell>
          <cell r="Z23">
            <v>2184</v>
          </cell>
          <cell r="AA23">
            <v>2403</v>
          </cell>
          <cell r="AB23">
            <v>1891</v>
          </cell>
          <cell r="AC23">
            <v>1806.4</v>
          </cell>
          <cell r="AD23">
            <v>1971.18</v>
          </cell>
          <cell r="AE23">
            <v>2203.1032000000005</v>
          </cell>
          <cell r="AF23">
            <v>2417.2188640000004</v>
          </cell>
          <cell r="AG23">
            <v>2600.8666411705044</v>
          </cell>
          <cell r="AH23">
            <v>2752.0038124594089</v>
          </cell>
          <cell r="AI23">
            <v>2252.3762000000002</v>
          </cell>
          <cell r="AJ23">
            <v>2493.8092040000001</v>
          </cell>
          <cell r="AK23">
            <v>2698.2184133600003</v>
          </cell>
          <cell r="AL23">
            <v>2856.3530421728001</v>
          </cell>
          <cell r="AM23">
            <v>2255.63</v>
          </cell>
          <cell r="AN23">
            <v>2492.8658</v>
          </cell>
          <cell r="AO23">
            <v>2696.2151020689657</v>
          </cell>
          <cell r="AP23">
            <v>2852.7883950179312</v>
          </cell>
        </row>
        <row r="24">
          <cell r="B24" t="str">
            <v>Total Large and Regional</v>
          </cell>
          <cell r="D24" t="str">
            <v>Difference</v>
          </cell>
          <cell r="Q24">
            <v>0</v>
          </cell>
          <cell r="R24">
            <v>0</v>
          </cell>
          <cell r="S24">
            <v>0</v>
          </cell>
          <cell r="T24">
            <v>0</v>
          </cell>
          <cell r="U24">
            <v>0</v>
          </cell>
          <cell r="V24">
            <v>0</v>
          </cell>
          <cell r="W24">
            <v>0</v>
          </cell>
          <cell r="X24">
            <v>1180</v>
          </cell>
          <cell r="Y24">
            <v>998.72571428571428</v>
          </cell>
          <cell r="Z24">
            <v>901.73753280839901</v>
          </cell>
          <cell r="AA24">
            <v>936.0142348754448</v>
          </cell>
          <cell r="AB24">
            <v>926.01754385964909</v>
          </cell>
          <cell r="AC24">
            <v>1042.3724137931035</v>
          </cell>
          <cell r="AD24">
            <v>1152.108040201005</v>
          </cell>
          <cell r="AE24">
            <v>1129.8503401360545</v>
          </cell>
          <cell r="AF24">
            <v>1158.2666666666667</v>
          </cell>
          <cell r="AG24">
            <v>1038.9368421052632</v>
          </cell>
          <cell r="AH24">
            <v>982.97078651685388</v>
          </cell>
          <cell r="AI24">
            <v>1067.1782407407409</v>
          </cell>
          <cell r="AJ24">
            <v>1131.0510805500983</v>
          </cell>
          <cell r="AK24">
            <v>1166.0112149532711</v>
          </cell>
          <cell r="AL24">
            <v>1192.0018484288355</v>
          </cell>
          <cell r="AM24">
            <v>0</v>
          </cell>
          <cell r="AN24">
            <v>0</v>
          </cell>
          <cell r="AO24">
            <v>0</v>
          </cell>
          <cell r="AP24">
            <v>0</v>
          </cell>
        </row>
        <row r="25">
          <cell r="C25" t="str">
            <v>Y/Y Change</v>
          </cell>
          <cell r="Q25">
            <v>219</v>
          </cell>
          <cell r="R25">
            <v>213</v>
          </cell>
          <cell r="S25">
            <v>199</v>
          </cell>
          <cell r="T25">
            <v>205</v>
          </cell>
          <cell r="U25">
            <v>167</v>
          </cell>
          <cell r="V25">
            <v>181</v>
          </cell>
          <cell r="W25">
            <v>187</v>
          </cell>
          <cell r="X25">
            <v>219</v>
          </cell>
          <cell r="Y25">
            <v>-0.15362227602905565</v>
          </cell>
          <cell r="Z25">
            <v>-9.7111929822174425E-2</v>
          </cell>
          <cell r="AA25">
            <v>3.8011839165985828E-2</v>
          </cell>
          <cell r="AB25">
            <v>-1.0680063019688935E-2</v>
          </cell>
          <cell r="AC25">
            <v>0.12565082670948802</v>
          </cell>
          <cell r="AD25">
            <v>0.10527487580814121</v>
          </cell>
          <cell r="AE25">
            <v>-1.9319108354688086E-2</v>
          </cell>
          <cell r="AF25">
            <v>2.5150522614517667E-2</v>
          </cell>
          <cell r="AG25">
            <v>-0.10302448304484013</v>
          </cell>
          <cell r="AH25">
            <v>-5.386858307479192E-2</v>
          </cell>
          <cell r="AI25">
            <v>8.5666283656582687E-2</v>
          </cell>
          <cell r="AJ25">
            <v>5.9852082221075298E-2</v>
          </cell>
          <cell r="AK25">
            <v>3.0909421337690146E-2</v>
          </cell>
          <cell r="AL25">
            <v>2.2290208826684532E-2</v>
          </cell>
        </row>
        <row r="26">
          <cell r="C26" t="str">
            <v>Y/Y Growth Rates</v>
          </cell>
          <cell r="Q26">
            <v>265</v>
          </cell>
          <cell r="R26">
            <v>312</v>
          </cell>
          <cell r="S26">
            <v>234</v>
          </cell>
          <cell r="T26">
            <v>244</v>
          </cell>
          <cell r="U26">
            <v>244</v>
          </cell>
          <cell r="V26">
            <v>268</v>
          </cell>
          <cell r="W26">
            <v>273</v>
          </cell>
          <cell r="X26">
            <v>265</v>
          </cell>
          <cell r="Y26">
            <v>260</v>
          </cell>
          <cell r="Z26">
            <v>299</v>
          </cell>
          <cell r="AA26">
            <v>313</v>
          </cell>
          <cell r="AB26">
            <v>309.84999999999997</v>
          </cell>
          <cell r="AC26">
            <v>0</v>
          </cell>
          <cell r="AD26">
            <v>0</v>
          </cell>
          <cell r="AE26">
            <v>0</v>
          </cell>
          <cell r="AF26">
            <v>1055</v>
          </cell>
          <cell r="AG26">
            <v>1050</v>
          </cell>
          <cell r="AH26">
            <v>1181.8499999999999</v>
          </cell>
          <cell r="AI26">
            <v>1316.3748000000001</v>
          </cell>
          <cell r="AJ26">
            <v>1472.9776080000001</v>
          </cell>
          <cell r="AK26">
            <v>1596.81380352</v>
          </cell>
          <cell r="AL26">
            <v>1688.7445424016</v>
          </cell>
          <cell r="AM26">
            <v>1303.8499999999999</v>
          </cell>
          <cell r="AN26">
            <v>1455.4256</v>
          </cell>
          <cell r="AO26">
            <v>1575.7796860689655</v>
          </cell>
          <cell r="AP26">
            <v>1665.1268540579313</v>
          </cell>
        </row>
        <row r="27">
          <cell r="B27" t="str">
            <v>Biz Jets</v>
          </cell>
          <cell r="C27" t="str">
            <v>Air Transport Aviation Electronics:</v>
          </cell>
          <cell r="Q27">
            <v>219</v>
          </cell>
          <cell r="R27">
            <v>213</v>
          </cell>
          <cell r="S27">
            <v>199</v>
          </cell>
          <cell r="T27">
            <v>205</v>
          </cell>
          <cell r="U27">
            <v>167</v>
          </cell>
          <cell r="V27">
            <v>181</v>
          </cell>
          <cell r="W27">
            <v>181</v>
          </cell>
          <cell r="X27">
            <v>784</v>
          </cell>
          <cell r="Y27">
            <v>676</v>
          </cell>
          <cell r="Z27">
            <v>515</v>
          </cell>
          <cell r="AA27">
            <v>591</v>
          </cell>
          <cell r="AB27">
            <v>750</v>
          </cell>
          <cell r="AC27">
            <v>886</v>
          </cell>
          <cell r="AD27">
            <v>1138</v>
          </cell>
          <cell r="AE27">
            <v>1315</v>
          </cell>
          <cell r="AF27">
            <v>800</v>
          </cell>
          <cell r="AG27">
            <v>625</v>
          </cell>
          <cell r="AH27">
            <v>800</v>
          </cell>
          <cell r="AI27">
            <v>900</v>
          </cell>
          <cell r="AJ27">
            <v>1000</v>
          </cell>
          <cell r="AK27">
            <v>1100</v>
          </cell>
          <cell r="AL27">
            <v>1200</v>
          </cell>
          <cell r="AM27">
            <v>951.78</v>
          </cell>
          <cell r="AN27" t="str">
            <v>Source: GAMA, Honeywell</v>
          </cell>
          <cell r="AO27">
            <v>1120.4354160000003</v>
          </cell>
          <cell r="AP27">
            <v>1187.6615409600004</v>
          </cell>
        </row>
        <row r="28">
          <cell r="C28" t="str">
            <v>Y/Y Change</v>
          </cell>
          <cell r="D28" t="str">
            <v>Original Equipment</v>
          </cell>
          <cell r="U28">
            <v>0.46268656716417911</v>
          </cell>
          <cell r="V28">
            <v>0.10784313725490202</v>
          </cell>
          <cell r="W28">
            <v>0.25274725274725274</v>
          </cell>
          <cell r="X28">
            <v>9.5238095238095344E-2</v>
          </cell>
          <cell r="Y28">
            <v>-0.13775510204081631</v>
          </cell>
          <cell r="Z28">
            <v>-0.23816568047337283</v>
          </cell>
          <cell r="AA28">
            <v>0.14757281553398061</v>
          </cell>
          <cell r="AB28">
            <v>0.26903553299492389</v>
          </cell>
          <cell r="AC28">
            <v>0.20547945205479445</v>
          </cell>
          <cell r="AD28">
            <v>0.13</v>
          </cell>
          <cell r="AE28">
            <v>0.1</v>
          </cell>
          <cell r="AF28">
            <v>0.1</v>
          </cell>
          <cell r="AG28">
            <v>5.1724137931034475E-2</v>
          </cell>
          <cell r="AH28">
            <v>4.9180327868852514E-2</v>
          </cell>
          <cell r="AI28">
            <v>0.125</v>
          </cell>
          <cell r="AJ28">
            <v>0.11111111111111116</v>
          </cell>
          <cell r="AK28">
            <v>0.10000000000000009</v>
          </cell>
          <cell r="AL28">
            <v>9.0909090909090828E-2</v>
          </cell>
        </row>
        <row r="29">
          <cell r="C29" t="str">
            <v>Y/Y Growth Rates</v>
          </cell>
          <cell r="D29" t="str">
            <v>Aftermarket</v>
          </cell>
          <cell r="U29">
            <v>-5.3030303030302983E-2</v>
          </cell>
          <cell r="V29">
            <v>-9.285714285714286E-2</v>
          </cell>
          <cell r="W29">
            <v>-0.11538461538461542</v>
          </cell>
          <cell r="X29">
            <v>0.10000000000000009</v>
          </cell>
          <cell r="Y29">
            <v>0.17346938775510212</v>
          </cell>
          <cell r="Z29">
            <v>0.16814159292035402</v>
          </cell>
          <cell r="AA29">
            <v>0.13157894736842102</v>
          </cell>
          <cell r="AB29">
            <v>0.16877192982456091</v>
          </cell>
          <cell r="AC29">
            <v>-4.0298507462686595E-2</v>
          </cell>
          <cell r="AD29">
            <v>0.1</v>
          </cell>
          <cell r="AE29">
            <v>0.1</v>
          </cell>
          <cell r="AF29">
            <v>0.08</v>
          </cell>
          <cell r="AG29">
            <v>4.6153846153846212E-2</v>
          </cell>
          <cell r="AH29">
            <v>4.4117647058823595E-2</v>
          </cell>
          <cell r="AI29">
            <v>0.14000000000000001</v>
          </cell>
          <cell r="AJ29">
            <v>0.15</v>
          </cell>
          <cell r="AK29">
            <v>5.1724137931034475E-2</v>
          </cell>
          <cell r="AL29">
            <v>4.9180327868852514E-2</v>
          </cell>
        </row>
        <row r="30">
          <cell r="A30" t="str">
            <v>Segment Revenue</v>
          </cell>
          <cell r="C30" t="str">
            <v>Air Transport Aviation Electronics:</v>
          </cell>
          <cell r="D30" t="str">
            <v xml:space="preserve">Wide-Body In-Flight Entertainment </v>
          </cell>
          <cell r="U30">
            <v>-0.1428571428571429</v>
          </cell>
          <cell r="V30">
            <v>-0.3529411764705882</v>
          </cell>
          <cell r="W30">
            <v>-0.56521739130434789</v>
          </cell>
          <cell r="X30">
            <v>-0.75</v>
          </cell>
          <cell r="Y30">
            <v>8.0000000000000071E-2</v>
          </cell>
          <cell r="Z30">
            <v>0.11650485436893199</v>
          </cell>
          <cell r="AA30">
            <v>0.25</v>
          </cell>
          <cell r="AB30">
            <v>5.6134453781513161E-2</v>
          </cell>
          <cell r="AC30">
            <v>-0.47058823529411764</v>
          </cell>
          <cell r="AD30">
            <v>-0.4</v>
          </cell>
          <cell r="AE30">
            <v>-0.3</v>
          </cell>
          <cell r="AF30">
            <v>-0.3</v>
          </cell>
          <cell r="AG30">
            <v>-0.3</v>
          </cell>
          <cell r="AH30">
            <v>-0.3</v>
          </cell>
          <cell r="AI30">
            <v>0.15</v>
          </cell>
          <cell r="AJ30">
            <v>0.09</v>
          </cell>
          <cell r="AK30">
            <v>0.08</v>
          </cell>
          <cell r="AL30">
            <v>0.06</v>
          </cell>
        </row>
        <row r="31">
          <cell r="D31" t="str">
            <v>Total Air Transport Electronics</v>
          </cell>
          <cell r="U31">
            <v>9.5454545454545459E-2</v>
          </cell>
          <cell r="V31">
            <v>-3.0888030888030937E-2</v>
          </cell>
          <cell r="W31">
            <v>-2.0491803278688492E-2</v>
          </cell>
          <cell r="X31">
            <v>2.0532319391634912E-2</v>
          </cell>
          <cell r="Y31">
            <v>-0.37209302325581395</v>
          </cell>
          <cell r="Z31">
            <v>-0.17142857142857137</v>
          </cell>
          <cell r="AA31">
            <v>-0.27272727272727271</v>
          </cell>
          <cell r="AB31">
            <v>-0.4529411764705884</v>
          </cell>
          <cell r="AC31">
            <v>1.3590263691683591E-2</v>
          </cell>
          <cell r="AD31">
            <v>9.0694416649989895E-2</v>
          </cell>
          <cell r="AE31">
            <v>9.0092106711680442E-2</v>
          </cell>
          <cell r="AF31">
            <v>8.3161303570647105E-2</v>
          </cell>
          <cell r="AG31">
            <v>4.5199375434287425E-2</v>
          </cell>
          <cell r="AH31">
            <v>4.4129864857715084E-2</v>
          </cell>
          <cell r="AI31">
            <v>-0.3</v>
          </cell>
          <cell r="AJ31">
            <v>-0.3</v>
          </cell>
          <cell r="AK31">
            <v>-0.3</v>
          </cell>
          <cell r="AL31">
            <v>-0.3</v>
          </cell>
          <cell r="AM31">
            <v>0.14000000000000001</v>
          </cell>
          <cell r="AN31">
            <v>0.15</v>
          </cell>
          <cell r="AO31">
            <v>5.1724137931034475E-2</v>
          </cell>
          <cell r="AP31">
            <v>4.9180327868852514E-2</v>
          </cell>
        </row>
        <row r="32">
          <cell r="B32" t="str">
            <v>OEM Revenue</v>
          </cell>
          <cell r="D32" t="str">
            <v>Total Air Transport Electronics</v>
          </cell>
          <cell r="U32">
            <v>9.5454545454545459E-2</v>
          </cell>
          <cell r="V32">
            <v>-3.0888030888030937E-2</v>
          </cell>
          <cell r="W32">
            <v>-2.0491803278688492E-2</v>
          </cell>
          <cell r="X32">
            <v>1.5209125475285079E-2</v>
          </cell>
          <cell r="Y32">
            <v>3.7344398340249052E-2</v>
          </cell>
          <cell r="Z32">
            <v>9.960159362549792E-2</v>
          </cell>
          <cell r="AA32">
            <v>0.12133891213389125</v>
          </cell>
          <cell r="AB32">
            <v>3.9400749063670304E-2</v>
          </cell>
          <cell r="AC32">
            <v>0.11111111111111116</v>
          </cell>
          <cell r="AG32">
            <v>1.2170385395537497E-2</v>
          </cell>
          <cell r="AH32">
            <v>7.3667334669338613E-2</v>
          </cell>
          <cell r="AI32">
            <v>0.10383903240256842</v>
          </cell>
          <cell r="AJ32">
            <v>9.6691167021309754E-2</v>
          </cell>
          <cell r="AK32">
            <v>5.1293484737607642E-2</v>
          </cell>
          <cell r="AL32">
            <v>4.5500978679041459E-2</v>
          </cell>
          <cell r="AM32">
            <v>0.15</v>
          </cell>
          <cell r="AN32">
            <v>0.09</v>
          </cell>
          <cell r="AO32">
            <v>0.08</v>
          </cell>
          <cell r="AP32">
            <v>0.06</v>
          </cell>
        </row>
        <row r="33">
          <cell r="C33" t="str">
            <v>Business and Regional Aviation Electronics:</v>
          </cell>
          <cell r="D33" t="str">
            <v xml:space="preserve">Wide-Body In-Flight Entertainment </v>
          </cell>
          <cell r="U33">
            <v>1.0476190476190474</v>
          </cell>
          <cell r="V33">
            <v>1.0588235294117645</v>
          </cell>
          <cell r="W33">
            <v>0.43478260869565211</v>
          </cell>
          <cell r="X33">
            <v>0.41666666666666674</v>
          </cell>
          <cell r="Y33">
            <v>-0.37209302325581395</v>
          </cell>
          <cell r="Z33">
            <v>-0.17142857142857137</v>
          </cell>
          <cell r="AA33">
            <v>-0.15151515151515149</v>
          </cell>
          <cell r="AB33">
            <v>-0.2720588235294118</v>
          </cell>
          <cell r="AC33">
            <v>-7.407407407407407E-2</v>
          </cell>
          <cell r="AG33">
            <v>0.70588235294117641</v>
          </cell>
          <cell r="AH33">
            <v>-0.25</v>
          </cell>
          <cell r="AI33">
            <v>-0.3</v>
          </cell>
          <cell r="AJ33">
            <v>-0.3</v>
          </cell>
          <cell r="AK33">
            <v>-0.3</v>
          </cell>
          <cell r="AL33">
            <v>-0.3</v>
          </cell>
          <cell r="AM33">
            <v>-0.3</v>
          </cell>
          <cell r="AN33">
            <v>-0.3</v>
          </cell>
          <cell r="AO33">
            <v>-0.3</v>
          </cell>
          <cell r="AP33">
            <v>-0.3</v>
          </cell>
        </row>
        <row r="34">
          <cell r="C34" t="str">
            <v>Large Commercial OEM</v>
          </cell>
          <cell r="D34" t="str">
            <v>Orginal Equipment</v>
          </cell>
          <cell r="U34">
            <v>-0.41807909604519777</v>
          </cell>
          <cell r="V34">
            <v>-0.37823834196891193</v>
          </cell>
          <cell r="W34">
            <v>5.0000000000000044E-2</v>
          </cell>
          <cell r="X34">
            <v>0.13043478260869557</v>
          </cell>
          <cell r="Y34">
            <v>0.14563106796116498</v>
          </cell>
          <cell r="Z34">
            <v>4.1666666666666741E-2</v>
          </cell>
          <cell r="AA34">
            <v>7.1428571428571397E-2</v>
          </cell>
          <cell r="AB34">
            <v>0.23008547008547064</v>
          </cell>
          <cell r="AC34">
            <v>-0.20826446280991739</v>
          </cell>
          <cell r="AD34">
            <v>0.1</v>
          </cell>
          <cell r="AE34">
            <v>0.2</v>
          </cell>
          <cell r="AF34">
            <v>365</v>
          </cell>
          <cell r="AG34">
            <v>405</v>
          </cell>
          <cell r="AH34">
            <v>470</v>
          </cell>
          <cell r="AI34">
            <v>525</v>
          </cell>
          <cell r="AJ34">
            <v>600</v>
          </cell>
          <cell r="AK34">
            <v>650</v>
          </cell>
          <cell r="AL34">
            <v>700</v>
          </cell>
          <cell r="AM34">
            <v>9.4877589453860711E-2</v>
          </cell>
          <cell r="AN34" t="str">
            <v>~10% increase</v>
          </cell>
          <cell r="AO34">
            <v>4.7963861295757804E-2</v>
          </cell>
          <cell r="AP34">
            <v>4.3353651606964139E-2</v>
          </cell>
        </row>
        <row r="35">
          <cell r="D35" t="str">
            <v>Y/Y Change</v>
          </cell>
          <cell r="U35">
            <v>-0.22988505747126442</v>
          </cell>
          <cell r="V35">
            <v>6.8493150684931559E-2</v>
          </cell>
          <cell r="W35">
            <v>0.37681159420289845</v>
          </cell>
          <cell r="X35">
            <v>0.23943661971830976</v>
          </cell>
          <cell r="Y35">
            <v>0.14563106796116498</v>
          </cell>
          <cell r="Z35">
            <v>0.14999999999999991</v>
          </cell>
          <cell r="AA35">
            <v>0.11111111111111116</v>
          </cell>
          <cell r="AB35">
            <v>0.11606837606837539</v>
          </cell>
          <cell r="AC35">
            <v>9.3333333333333268E-2</v>
          </cell>
          <cell r="AD35">
            <v>0.08</v>
          </cell>
          <cell r="AE35">
            <v>0.08</v>
          </cell>
          <cell r="AF35">
            <v>7.0000000000000007E-2</v>
          </cell>
          <cell r="AG35">
            <v>0.1095890410958904</v>
          </cell>
          <cell r="AH35">
            <v>0.16049382716049387</v>
          </cell>
          <cell r="AI35">
            <v>0.11702127659574457</v>
          </cell>
          <cell r="AJ35">
            <v>0.14285714285714279</v>
          </cell>
          <cell r="AK35">
            <v>8.3333333333333259E-2</v>
          </cell>
          <cell r="AL35">
            <v>7.6923076923076872E-2</v>
          </cell>
        </row>
        <row r="36">
          <cell r="C36" t="str">
            <v>Business and Regional Aviation Electronics:</v>
          </cell>
          <cell r="D36" t="str">
            <v>Total Business and Regional Aviation</v>
          </cell>
          <cell r="U36">
            <v>-0.35606060606060608</v>
          </cell>
          <cell r="V36">
            <v>-0.25563909774436089</v>
          </cell>
          <cell r="W36">
            <v>0.1693121693121693</v>
          </cell>
          <cell r="X36">
            <v>0.17204301075268824</v>
          </cell>
          <cell r="Y36">
            <v>0.37313432835820892</v>
          </cell>
          <cell r="Z36">
            <v>0.19230769230769229</v>
          </cell>
          <cell r="AA36">
            <v>7.3684210526315796E-2</v>
          </cell>
          <cell r="AB36">
            <v>0.10799999999999965</v>
          </cell>
          <cell r="AC36">
            <v>-0.10828729281767957</v>
          </cell>
          <cell r="AD36">
            <v>9.1871127633209593E-2</v>
          </cell>
          <cell r="AE36">
            <v>0.15175704201375484</v>
          </cell>
          <cell r="AF36">
            <v>0.11361156700358044</v>
          </cell>
          <cell r="AG36">
            <v>0.11102285506488907</v>
          </cell>
          <cell r="AH36">
            <v>7.3088401941690195E-2</v>
          </cell>
          <cell r="AI36">
            <v>0.14000000000000001</v>
          </cell>
          <cell r="AJ36">
            <v>0.09</v>
          </cell>
          <cell r="AK36">
            <v>0.08</v>
          </cell>
          <cell r="AL36">
            <v>0.06</v>
          </cell>
        </row>
        <row r="37">
          <cell r="C37" t="str">
            <v>Regional Jet OEM</v>
          </cell>
          <cell r="D37" t="str">
            <v>Total Business and Regional Aviation</v>
          </cell>
          <cell r="U37">
            <v>-0.35606060606060608</v>
          </cell>
          <cell r="V37">
            <v>-0.25563909774436089</v>
          </cell>
          <cell r="W37">
            <v>0.1693121693121693</v>
          </cell>
          <cell r="X37">
            <v>0.16666666666666674</v>
          </cell>
          <cell r="Y37">
            <v>0.23529411764705888</v>
          </cell>
          <cell r="Z37">
            <v>0.16666666666666674</v>
          </cell>
          <cell r="AA37">
            <v>9.5022624434389247E-2</v>
          </cell>
          <cell r="AB37">
            <v>0.1123502304147459</v>
          </cell>
          <cell r="AC37">
            <v>0.19491525423728806</v>
          </cell>
          <cell r="AF37">
            <v>160</v>
          </cell>
          <cell r="AG37">
            <v>175</v>
          </cell>
          <cell r="AH37">
            <v>190</v>
          </cell>
          <cell r="AI37">
            <v>210</v>
          </cell>
          <cell r="AJ37">
            <v>230</v>
          </cell>
          <cell r="AK37">
            <v>250</v>
          </cell>
          <cell r="AL37">
            <v>275</v>
          </cell>
          <cell r="AM37">
            <v>0.17</v>
          </cell>
          <cell r="AN37" t="str">
            <v>~10% increase</v>
          </cell>
          <cell r="AO37">
            <v>0.14000000000000001</v>
          </cell>
          <cell r="AP37">
            <v>0.08</v>
          </cell>
        </row>
        <row r="38">
          <cell r="C38" t="str">
            <v>Total Commercial</v>
          </cell>
          <cell r="D38" t="str">
            <v>Y/Y Change</v>
          </cell>
          <cell r="U38">
            <v>-0.15082644628099173</v>
          </cell>
          <cell r="V38">
            <v>-0.14476190476190476</v>
          </cell>
          <cell r="W38">
            <v>6.2355658198614217E-2</v>
          </cell>
          <cell r="X38">
            <v>8.3296213808463193E-2</v>
          </cell>
          <cell r="Y38">
            <v>0.11922141119221408</v>
          </cell>
          <cell r="Z38">
            <v>0.19999999999999996</v>
          </cell>
          <cell r="AA38">
            <v>0.10027472527472536</v>
          </cell>
          <cell r="AB38">
            <v>-0.21306699958385356</v>
          </cell>
          <cell r="AC38">
            <v>-4.4738233738762512E-2</v>
          </cell>
          <cell r="AD38">
            <v>9.1220106288750991E-2</v>
          </cell>
          <cell r="AE38">
            <v>0.11765703791637527</v>
          </cell>
          <cell r="AF38">
            <v>9.7188213425499104E-2</v>
          </cell>
          <cell r="AG38">
            <v>9.375E-2</v>
          </cell>
          <cell r="AH38">
            <v>8.5714285714285632E-2</v>
          </cell>
          <cell r="AI38">
            <v>0.10526315789473695</v>
          </cell>
          <cell r="AJ38">
            <v>9.5238095238095344E-2</v>
          </cell>
          <cell r="AK38">
            <v>8.6956521739130377E-2</v>
          </cell>
          <cell r="AL38">
            <v>0.10000000000000009</v>
          </cell>
          <cell r="AM38">
            <v>0.14000000000000001</v>
          </cell>
          <cell r="AN38">
            <v>0.09</v>
          </cell>
          <cell r="AO38">
            <v>0.08</v>
          </cell>
          <cell r="AP38">
            <v>0.06</v>
          </cell>
        </row>
        <row r="39">
          <cell r="C39" t="str">
            <v>Total Commercial</v>
          </cell>
          <cell r="D39" t="str">
            <v>Total Business and Regional Aviation</v>
          </cell>
          <cell r="U39">
            <v>-0.15082644628099173</v>
          </cell>
          <cell r="V39">
            <v>-0.14476190476190476</v>
          </cell>
          <cell r="W39">
            <v>6.2355658198614217E-2</v>
          </cell>
          <cell r="X39">
            <v>7.795100222717144E-2</v>
          </cell>
          <cell r="Y39">
            <v>0.11922141119221408</v>
          </cell>
          <cell r="Z39">
            <v>0.12917594654788411</v>
          </cell>
          <cell r="AA39">
            <v>0.10869565217391308</v>
          </cell>
          <cell r="AB39">
            <v>7.2107438016528747E-2</v>
          </cell>
          <cell r="AC39">
            <v>0.15238095238095228</v>
          </cell>
          <cell r="AD39">
            <v>0.19999999999999996</v>
          </cell>
          <cell r="AE39">
            <v>0.10027472527472536</v>
          </cell>
          <cell r="AF39">
            <v>-0.21306699958385356</v>
          </cell>
          <cell r="AG39">
            <v>-4.6007403490216814E-2</v>
          </cell>
          <cell r="AH39">
            <v>0.10637472283813731</v>
          </cell>
          <cell r="AI39">
            <v>0.12850152813267224</v>
          </cell>
          <cell r="AJ39">
            <v>0.10719035479064276</v>
          </cell>
          <cell r="AK39">
            <v>8.1966659290587884E-2</v>
          </cell>
          <cell r="AL39">
            <v>5.8607052724052755E-2</v>
          </cell>
          <cell r="AM39">
            <v>0.15770127118644051</v>
          </cell>
          <cell r="AN39">
            <v>0.11981553158198155</v>
          </cell>
          <cell r="AO39">
            <v>0.11642354124748522</v>
          </cell>
          <cell r="AP39">
            <v>7.2397575976030026E-2</v>
          </cell>
        </row>
        <row r="40">
          <cell r="C40" t="str">
            <v>Business Jet OEM</v>
          </cell>
          <cell r="U40">
            <v>-0.23744292237442921</v>
          </cell>
          <cell r="V40">
            <v>-0.15023474178403751</v>
          </cell>
          <cell r="W40">
            <v>-6.0301507537688481E-2</v>
          </cell>
          <cell r="X40">
            <v>6.8292682926829329E-2</v>
          </cell>
          <cell r="Y40">
            <v>0.19760479041916157</v>
          </cell>
          <cell r="Z40">
            <v>0.149171270718232</v>
          </cell>
          <cell r="AA40">
            <v>0.16042780748663099</v>
          </cell>
          <cell r="AB40">
            <v>7.9817351598173492E-2</v>
          </cell>
          <cell r="AC40">
            <v>471.63498098859316</v>
          </cell>
          <cell r="AD40">
            <v>605.77946768060838</v>
          </cell>
          <cell r="AE40">
            <v>700</v>
          </cell>
          <cell r="AF40">
            <v>445</v>
          </cell>
          <cell r="AG40">
            <v>300</v>
          </cell>
          <cell r="AH40">
            <v>340</v>
          </cell>
          <cell r="AI40">
            <v>370</v>
          </cell>
          <cell r="AJ40">
            <v>405</v>
          </cell>
          <cell r="AK40">
            <v>440</v>
          </cell>
          <cell r="AL40">
            <v>475</v>
          </cell>
          <cell r="AN40" t="str">
            <v>~30% decline</v>
          </cell>
        </row>
        <row r="41">
          <cell r="C41" t="str">
            <v>Air Transport Aviation Electronics:</v>
          </cell>
          <cell r="D41" t="str">
            <v>Y/Y Change</v>
          </cell>
          <cell r="U41">
            <v>-0.15082644628099173</v>
          </cell>
          <cell r="V41">
            <v>-0.14476190476190476</v>
          </cell>
          <cell r="W41">
            <v>4.8498845265589008E-2</v>
          </cell>
          <cell r="X41">
            <v>7.795100222717144E-2</v>
          </cell>
          <cell r="Y41">
            <v>0.11922141119221408</v>
          </cell>
          <cell r="Z41">
            <v>0.12917594654788411</v>
          </cell>
          <cell r="AA41">
            <v>0.14977973568281944</v>
          </cell>
          <cell r="AB41">
            <v>0.14969008264462791</v>
          </cell>
          <cell r="AC41">
            <v>0.11086956521739122</v>
          </cell>
          <cell r="AD41">
            <v>0.28442437923250563</v>
          </cell>
          <cell r="AE41">
            <v>0.15553602811950795</v>
          </cell>
          <cell r="AF41">
            <v>-0.21306699958385356</v>
          </cell>
          <cell r="AG41">
            <v>-0.3258426966292135</v>
          </cell>
          <cell r="AH41">
            <v>0.1333333333333333</v>
          </cell>
          <cell r="AI41">
            <v>8.8235294117646967E-2</v>
          </cell>
          <cell r="AJ41">
            <v>9.4594594594594517E-2</v>
          </cell>
          <cell r="AK41">
            <v>8.6419753086419693E-2</v>
          </cell>
          <cell r="AL41">
            <v>7.9545454545454586E-2</v>
          </cell>
          <cell r="AM41">
            <v>0.12444167497507475</v>
          </cell>
          <cell r="AN41">
            <v>0.10517496220568079</v>
          </cell>
          <cell r="AO41">
            <v>8.1572502646939826E-2</v>
          </cell>
          <cell r="AP41">
            <v>5.8071513963710686E-2</v>
          </cell>
        </row>
        <row r="42">
          <cell r="C42" t="str">
            <v>Qtrly Sequential Growth Rates</v>
          </cell>
          <cell r="D42" t="str">
            <v>Original Equipment</v>
          </cell>
          <cell r="R42">
            <v>0.52238805970149249</v>
          </cell>
          <cell r="S42">
            <v>-0.10784313725490191</v>
          </cell>
          <cell r="T42">
            <v>0.15384615384615374</v>
          </cell>
          <cell r="U42">
            <v>-6.6666666666666652E-2</v>
          </cell>
          <cell r="V42">
            <v>0.15306122448979598</v>
          </cell>
          <cell r="W42">
            <v>8.8495575221239076E-3</v>
          </cell>
          <cell r="X42">
            <v>8.7719298245614308E-3</v>
          </cell>
          <cell r="Y42">
            <v>8.7719298245614308E-3</v>
          </cell>
          <cell r="Z42">
            <v>4.3478260869565188E-2</v>
          </cell>
          <cell r="AA42">
            <v>4.1666666666666741E-2</v>
          </cell>
          <cell r="AB42">
            <v>5.3440000000000598E-2</v>
          </cell>
        </row>
        <row r="43">
          <cell r="C43" t="str">
            <v>Regional and Business Jet OEM</v>
          </cell>
          <cell r="D43" t="str">
            <v>Aftermarket</v>
          </cell>
          <cell r="R43">
            <v>6.0606060606060552E-2</v>
          </cell>
          <cell r="S43">
            <v>-7.1428571428571397E-2</v>
          </cell>
          <cell r="T43">
            <v>3.076923076923066E-2</v>
          </cell>
          <cell r="U43">
            <v>-6.7164179104477584E-2</v>
          </cell>
          <cell r="V43">
            <v>1.6000000000000014E-2</v>
          </cell>
          <cell r="W43">
            <v>-9.4488188976378007E-2</v>
          </cell>
          <cell r="X43">
            <v>0.28173913043478271</v>
          </cell>
          <cell r="Y43">
            <v>-9.2436974789915971E-2</v>
          </cell>
          <cell r="Z43">
            <v>9.259259259259256E-2</v>
          </cell>
          <cell r="AA43">
            <v>-6.7796610169491567E-2</v>
          </cell>
          <cell r="AB43">
            <v>0.16072727272727327</v>
          </cell>
          <cell r="AC43">
            <v>0.11538461538461542</v>
          </cell>
          <cell r="AF43">
            <v>605</v>
          </cell>
          <cell r="AG43">
            <v>475</v>
          </cell>
          <cell r="AH43">
            <v>530</v>
          </cell>
          <cell r="AI43">
            <v>580</v>
          </cell>
          <cell r="AJ43">
            <v>635</v>
          </cell>
          <cell r="AK43">
            <v>690</v>
          </cell>
          <cell r="AL43">
            <v>750</v>
          </cell>
          <cell r="AN43" t="str">
            <v>~22% decline</v>
          </cell>
        </row>
        <row r="44">
          <cell r="C44" t="str">
            <v>Total Aftermarket</v>
          </cell>
          <cell r="D44" t="str">
            <v>% Total OEM Revenue</v>
          </cell>
          <cell r="R44">
            <v>-0.19047619047619047</v>
          </cell>
          <cell r="S44">
            <v>0.35294117647058831</v>
          </cell>
          <cell r="T44">
            <v>4.3478260869565188E-2</v>
          </cell>
          <cell r="U44">
            <v>-0.25</v>
          </cell>
          <cell r="V44">
            <v>-0.38888888888888884</v>
          </cell>
          <cell r="W44">
            <v>-9.0909090909090939E-2</v>
          </cell>
          <cell r="X44">
            <v>-0.4</v>
          </cell>
          <cell r="Y44">
            <v>8.7719298245614308E-3</v>
          </cell>
          <cell r="Z44">
            <v>0.14782608695652177</v>
          </cell>
          <cell r="AA44">
            <v>-2.2727272727272707E-2</v>
          </cell>
          <cell r="AB44">
            <v>3.2868217054263127E-2</v>
          </cell>
          <cell r="AC44">
            <v>0.10499999999999998</v>
          </cell>
          <cell r="AF44">
            <v>0.62371134020618557</v>
          </cell>
          <cell r="AG44">
            <v>0.53977272727272729</v>
          </cell>
          <cell r="AH44">
            <v>0.53</v>
          </cell>
          <cell r="AI44">
            <v>0.52488687782805432</v>
          </cell>
          <cell r="AJ44">
            <v>0.51417004048582993</v>
          </cell>
          <cell r="AK44">
            <v>0.5149253731343284</v>
          </cell>
          <cell r="AL44">
            <v>0.51724137931034486</v>
          </cell>
          <cell r="AM44">
            <v>0.14534296028880855</v>
          </cell>
          <cell r="AN44">
            <v>9.000000000000008E-2</v>
          </cell>
          <cell r="AO44">
            <v>8.0000000000000293E-2</v>
          </cell>
          <cell r="AP44">
            <v>6.0000000000000053E-2</v>
          </cell>
        </row>
        <row r="45">
          <cell r="D45" t="str">
            <v>Y/Y Change</v>
          </cell>
          <cell r="R45">
            <v>0.17727272727272725</v>
          </cell>
          <cell r="S45">
            <v>-5.791505791505791E-2</v>
          </cell>
          <cell r="T45">
            <v>7.7868852459016313E-2</v>
          </cell>
          <cell r="U45">
            <v>-8.365019011406849E-2</v>
          </cell>
          <cell r="V45">
            <v>4.1493775933610033E-2</v>
          </cell>
          <cell r="W45">
            <v>-4.7808764940239001E-2</v>
          </cell>
          <cell r="X45">
            <v>0.12301255230125507</v>
          </cell>
          <cell r="Y45">
            <v>-9.2436974789915971E-2</v>
          </cell>
          <cell r="Z45">
            <v>6.4814814814814881E-2</v>
          </cell>
          <cell r="AA45">
            <v>0</v>
          </cell>
          <cell r="AB45">
            <v>9.286956521739187E-2</v>
          </cell>
          <cell r="AG45">
            <v>-0.21487603305785119</v>
          </cell>
          <cell r="AH45">
            <v>0.11578947368421044</v>
          </cell>
          <cell r="AI45">
            <v>9.4339622641509413E-2</v>
          </cell>
          <cell r="AJ45">
            <v>9.4827586206896575E-2</v>
          </cell>
          <cell r="AK45">
            <v>8.6614173228346525E-2</v>
          </cell>
          <cell r="AL45">
            <v>8.6956521739130377E-2</v>
          </cell>
        </row>
        <row r="46">
          <cell r="C46" t="str">
            <v>Qtrly Sequential Growth Rates</v>
          </cell>
          <cell r="D46" t="str">
            <v xml:space="preserve">Wide-Body In-Flight Entertainment </v>
          </cell>
          <cell r="R46">
            <v>-0.19047619047619047</v>
          </cell>
          <cell r="S46">
            <v>0.35294117647058831</v>
          </cell>
          <cell r="T46">
            <v>4.3478260869565188E-2</v>
          </cell>
          <cell r="U46">
            <v>0.79166666666666674</v>
          </cell>
          <cell r="V46">
            <v>-0.18604651162790697</v>
          </cell>
          <cell r="W46">
            <v>-5.7142857142857162E-2</v>
          </cell>
          <cell r="X46">
            <v>3.0303030303030276E-2</v>
          </cell>
          <cell r="Y46">
            <v>-0.20588235294117652</v>
          </cell>
          <cell r="Z46">
            <v>7.4074074074074181E-2</v>
          </cell>
          <cell r="AA46">
            <v>-0.17241379310344829</v>
          </cell>
          <cell r="AB46">
            <v>-0.2250000000000002</v>
          </cell>
        </row>
        <row r="47">
          <cell r="C47" t="str">
            <v>Large Commercial + Regional Aircraft</v>
          </cell>
          <cell r="D47" t="str">
            <v>Total Air Transport Electronics</v>
          </cell>
          <cell r="R47">
            <v>0.17727272727272725</v>
          </cell>
          <cell r="S47">
            <v>-5.791505791505791E-2</v>
          </cell>
          <cell r="T47">
            <v>7.7868852459016313E-2</v>
          </cell>
          <cell r="U47">
            <v>-8.365019011406849E-2</v>
          </cell>
          <cell r="V47">
            <v>4.1493775933610033E-2</v>
          </cell>
          <cell r="W47">
            <v>-4.7808764940239001E-2</v>
          </cell>
          <cell r="X47">
            <v>0.11715481171548126</v>
          </cell>
          <cell r="Y47">
            <v>-6.3670411985018771E-2</v>
          </cell>
          <cell r="Z47">
            <v>0.10400000000000009</v>
          </cell>
          <cell r="AA47">
            <v>-2.8985507246376829E-2</v>
          </cell>
          <cell r="AB47">
            <v>3.5522388059701315E-2</v>
          </cell>
          <cell r="AC47">
            <v>412.36501901140684</v>
          </cell>
          <cell r="AD47">
            <v>457.22053231939162</v>
          </cell>
          <cell r="AE47">
            <v>569</v>
          </cell>
          <cell r="AF47">
            <v>525</v>
          </cell>
          <cell r="AG47">
            <v>575</v>
          </cell>
          <cell r="AN47" t="str">
            <v>low dbl digit growth</v>
          </cell>
        </row>
        <row r="48">
          <cell r="D48" t="str">
            <v>Y/Y Change</v>
          </cell>
          <cell r="R48">
            <v>9.0395480225988756E-2</v>
          </cell>
          <cell r="S48">
            <v>-0.37823834196891193</v>
          </cell>
          <cell r="T48">
            <v>-4.166666666666663E-2</v>
          </cell>
          <cell r="U48">
            <v>-0.10434782608695647</v>
          </cell>
          <cell r="V48">
            <v>0.16504854368932032</v>
          </cell>
          <cell r="W48">
            <v>5.0000000000000044E-2</v>
          </cell>
          <cell r="X48">
            <v>3.1746031746031855E-2</v>
          </cell>
          <cell r="Y48">
            <v>8.5470085470085166E-3</v>
          </cell>
          <cell r="Z48">
            <v>5.9322033898305149E-2</v>
          </cell>
          <cell r="AA48">
            <v>8.0000000000000071E-2</v>
          </cell>
          <cell r="AB48">
            <v>6.6074074074074618E-2</v>
          </cell>
          <cell r="AC48">
            <v>-1.5873015873015928E-2</v>
          </cell>
          <cell r="AD48">
            <v>0.10877623280345228</v>
          </cell>
          <cell r="AE48">
            <v>0.24447604553884017</v>
          </cell>
          <cell r="AF48">
            <v>-7.7328646748681895E-2</v>
          </cell>
          <cell r="AG48">
            <v>9.5238095238095344E-2</v>
          </cell>
        </row>
        <row r="49">
          <cell r="C49" t="str">
            <v>Business and Regional Aviation Electronics:</v>
          </cell>
          <cell r="D49" t="str">
            <v>Aftermarket</v>
          </cell>
          <cell r="R49">
            <v>-0.16091954022988508</v>
          </cell>
          <cell r="S49">
            <v>-5.4794520547945202E-2</v>
          </cell>
          <cell r="T49">
            <v>2.8985507246376718E-2</v>
          </cell>
          <cell r="U49">
            <v>-5.633802816901412E-2</v>
          </cell>
          <cell r="V49">
            <v>0.16417910447761197</v>
          </cell>
          <cell r="W49">
            <v>0.21794871794871784</v>
          </cell>
          <cell r="X49">
            <v>-7.3684210526315796E-2</v>
          </cell>
          <cell r="Y49">
            <v>-7.999999999999996E-2</v>
          </cell>
          <cell r="Z49">
            <v>3.2608695652173836E-2</v>
          </cell>
          <cell r="AA49">
            <v>7.3684210526315796E-2</v>
          </cell>
          <cell r="AB49">
            <v>6.6666666666666208E-2</v>
          </cell>
          <cell r="AC49">
            <v>7.1428571428571397E-2</v>
          </cell>
        </row>
        <row r="50">
          <cell r="B50" t="str">
            <v>Total OEM Revenue</v>
          </cell>
          <cell r="D50" t="str">
            <v>Total Business and Regional Aviation</v>
          </cell>
          <cell r="L50">
            <v>283</v>
          </cell>
          <cell r="M50">
            <v>328</v>
          </cell>
          <cell r="N50">
            <v>325</v>
          </cell>
          <cell r="O50">
            <v>333</v>
          </cell>
          <cell r="P50">
            <v>244</v>
          </cell>
          <cell r="Q50">
            <v>295</v>
          </cell>
          <cell r="R50">
            <v>7.575757575757569E-3</v>
          </cell>
          <cell r="S50">
            <v>-0.28947368421052633</v>
          </cell>
          <cell r="T50">
            <v>-1.5873015873015928E-2</v>
          </cell>
          <cell r="U50">
            <v>-8.6021505376344121E-2</v>
          </cell>
          <cell r="V50">
            <v>0.16470588235294126</v>
          </cell>
          <cell r="W50">
            <v>0.11616161616161613</v>
          </cell>
          <cell r="X50">
            <v>-1.3574660633484115E-2</v>
          </cell>
          <cell r="Y50">
            <v>8.5470085470085166E-3</v>
          </cell>
          <cell r="Z50">
            <v>0.16949152542372881</v>
          </cell>
          <cell r="AA50">
            <v>1.449275362318847E-2</v>
          </cell>
          <cell r="AB50">
            <v>-6.7285714285714837E-2</v>
          </cell>
          <cell r="AC50">
            <v>884</v>
          </cell>
          <cell r="AD50">
            <v>1063</v>
          </cell>
          <cell r="AE50">
            <v>1269</v>
          </cell>
          <cell r="AF50">
            <v>970</v>
          </cell>
          <cell r="AG50">
            <v>880</v>
          </cell>
          <cell r="AH50">
            <v>1000</v>
          </cell>
          <cell r="AI50">
            <v>1105</v>
          </cell>
          <cell r="AJ50">
            <v>1235</v>
          </cell>
          <cell r="AK50">
            <v>1340</v>
          </cell>
          <cell r="AL50">
            <v>1450</v>
          </cell>
          <cell r="AN50" t="str">
            <v>down ~10%</v>
          </cell>
        </row>
        <row r="51">
          <cell r="C51" t="str">
            <v>Y/Y Change</v>
          </cell>
          <cell r="D51" t="str">
            <v>Aftermarket</v>
          </cell>
          <cell r="L51">
            <v>0</v>
          </cell>
          <cell r="M51">
            <v>0</v>
          </cell>
          <cell r="N51">
            <v>0</v>
          </cell>
          <cell r="O51">
            <v>0</v>
          </cell>
          <cell r="P51">
            <v>-0.13780918727915192</v>
          </cell>
          <cell r="Q51">
            <v>-0.10060975609756095</v>
          </cell>
          <cell r="R51">
            <v>-0.35076923076923072</v>
          </cell>
          <cell r="S51">
            <v>-0.33933933933933935</v>
          </cell>
          <cell r="T51">
            <v>-0.17622950819672134</v>
          </cell>
          <cell r="U51">
            <v>-5.633802816901412E-2</v>
          </cell>
          <cell r="V51">
            <v>0.16417910447761197</v>
          </cell>
          <cell r="W51">
            <v>0.21794871794871784</v>
          </cell>
          <cell r="X51">
            <v>5.2631578947368363E-2</v>
          </cell>
          <cell r="Y51">
            <v>-7.999999999999996E-2</v>
          </cell>
          <cell r="Z51">
            <v>1.0869565217391353E-2</v>
          </cell>
          <cell r="AA51">
            <v>9.6774193548387011E-2</v>
          </cell>
          <cell r="AB51">
            <v>8.627450980392104E-2</v>
          </cell>
          <cell r="AC51">
            <v>-1.46520146520146E-2</v>
          </cell>
          <cell r="AD51">
            <v>0.20248868778280538</v>
          </cell>
          <cell r="AE51">
            <v>0.19379115710253991</v>
          </cell>
          <cell r="AF51">
            <v>-0.23561859732072499</v>
          </cell>
          <cell r="AG51">
            <v>-9.2783505154639179E-2</v>
          </cell>
          <cell r="AH51">
            <v>0.13636363636363646</v>
          </cell>
          <cell r="AI51">
            <v>0.10499999999999998</v>
          </cell>
          <cell r="AJ51">
            <v>0.11764705882352944</v>
          </cell>
          <cell r="AK51">
            <v>8.5020242914979782E-2</v>
          </cell>
          <cell r="AL51">
            <v>8.2089552238805874E-2</v>
          </cell>
        </row>
        <row r="52">
          <cell r="B52" t="str">
            <v>Key Statistics</v>
          </cell>
          <cell r="D52" t="str">
            <v>Total Business and Regional Aviation</v>
          </cell>
          <cell r="R52">
            <v>7.575757575757569E-3</v>
          </cell>
          <cell r="S52">
            <v>-0.28947368421052633</v>
          </cell>
          <cell r="T52">
            <v>-1.5873015873015928E-2</v>
          </cell>
          <cell r="U52">
            <v>-8.6021505376344121E-2</v>
          </cell>
          <cell r="V52">
            <v>0.16470588235294126</v>
          </cell>
          <cell r="W52">
            <v>0.11616161616161613</v>
          </cell>
          <cell r="X52">
            <v>-1.8099547511312264E-2</v>
          </cell>
          <cell r="Y52">
            <v>-3.2258064516129004E-2</v>
          </cell>
          <cell r="Z52">
            <v>0.10000000000000009</v>
          </cell>
          <cell r="AA52">
            <v>4.7619047619047672E-2</v>
          </cell>
          <cell r="AB52">
            <v>-2.5619834710748357E-3</v>
          </cell>
        </row>
        <row r="53">
          <cell r="B53" t="str">
            <v>Aftermarket Revenue</v>
          </cell>
          <cell r="C53" t="str">
            <v>Revenue Breakdown</v>
          </cell>
        </row>
        <row r="54">
          <cell r="B54" t="str">
            <v>Key Statistics</v>
          </cell>
          <cell r="D54" t="str">
            <v>OEM</v>
          </cell>
          <cell r="M54">
            <v>283</v>
          </cell>
          <cell r="N54">
            <v>328</v>
          </cell>
          <cell r="O54">
            <v>325</v>
          </cell>
          <cell r="P54">
            <v>333</v>
          </cell>
          <cell r="Q54">
            <v>244</v>
          </cell>
          <cell r="R54">
            <v>295</v>
          </cell>
          <cell r="S54">
            <v>211</v>
          </cell>
          <cell r="T54">
            <v>220</v>
          </cell>
          <cell r="U54">
            <v>201</v>
          </cell>
          <cell r="V54">
            <v>233</v>
          </cell>
          <cell r="W54">
            <v>240</v>
          </cell>
          <cell r="X54">
            <v>245</v>
          </cell>
          <cell r="Y54">
            <v>884</v>
          </cell>
          <cell r="Z54">
            <v>1063</v>
          </cell>
          <cell r="AA54">
            <v>1269</v>
          </cell>
          <cell r="AB54">
            <v>970</v>
          </cell>
          <cell r="AC54">
            <v>919</v>
          </cell>
          <cell r="AD54">
            <v>1024.0999999999999</v>
          </cell>
          <cell r="AE54">
            <v>1179.2</v>
          </cell>
          <cell r="AF54">
            <v>1322.4112</v>
          </cell>
          <cell r="AG54">
            <v>1454.4409500689658</v>
          </cell>
          <cell r="AH54">
            <v>1551.2956991779315</v>
          </cell>
          <cell r="AI54">
            <v>1171.1616000000004</v>
          </cell>
          <cell r="AJ54">
            <v>1340.7293760000002</v>
          </cell>
          <cell r="AK54">
            <v>1471.5295317848281</v>
          </cell>
          <cell r="AL54">
            <v>1568.3582070448558</v>
          </cell>
        </row>
        <row r="55">
          <cell r="C55" t="str">
            <v>Non-Discretionary (Maintenance and Repair)</v>
          </cell>
          <cell r="D55" t="str">
            <v>Aftermarket</v>
          </cell>
          <cell r="M55">
            <v>241</v>
          </cell>
          <cell r="N55">
            <v>247</v>
          </cell>
          <cell r="O55">
            <v>239</v>
          </cell>
          <cell r="P55">
            <v>265</v>
          </cell>
          <cell r="Q55">
            <v>219</v>
          </cell>
          <cell r="R55">
            <v>213</v>
          </cell>
          <cell r="S55">
            <v>199</v>
          </cell>
          <cell r="T55">
            <v>205</v>
          </cell>
          <cell r="U55">
            <v>192</v>
          </cell>
          <cell r="V55">
            <v>205</v>
          </cell>
          <cell r="W55">
            <v>210</v>
          </cell>
          <cell r="X55">
            <v>235.4</v>
          </cell>
          <cell r="Y55">
            <v>804</v>
          </cell>
          <cell r="Z55">
            <v>953</v>
          </cell>
          <cell r="AA55">
            <v>992</v>
          </cell>
          <cell r="AB55">
            <v>836</v>
          </cell>
          <cell r="AC55">
            <v>842.4</v>
          </cell>
          <cell r="AD55">
            <v>920.08</v>
          </cell>
          <cell r="AE55">
            <v>420</v>
          </cell>
          <cell r="AF55">
            <v>370</v>
          </cell>
          <cell r="AG55">
            <v>385</v>
          </cell>
          <cell r="AH55">
            <v>445</v>
          </cell>
          <cell r="AI55">
            <v>500</v>
          </cell>
          <cell r="AJ55">
            <v>550</v>
          </cell>
          <cell r="AK55">
            <v>575</v>
          </cell>
          <cell r="AL55">
            <v>600</v>
          </cell>
        </row>
        <row r="56">
          <cell r="D56" t="str">
            <v>Y/Y Change</v>
          </cell>
          <cell r="M56">
            <v>41</v>
          </cell>
          <cell r="N56">
            <v>35</v>
          </cell>
          <cell r="O56">
            <v>23</v>
          </cell>
          <cell r="P56">
            <v>43</v>
          </cell>
          <cell r="Q56">
            <v>21</v>
          </cell>
          <cell r="R56">
            <v>17</v>
          </cell>
          <cell r="S56">
            <v>23</v>
          </cell>
          <cell r="T56">
            <v>24</v>
          </cell>
          <cell r="U56">
            <v>18</v>
          </cell>
          <cell r="V56">
            <v>11</v>
          </cell>
          <cell r="W56">
            <v>10</v>
          </cell>
          <cell r="X56">
            <v>6</v>
          </cell>
          <cell r="Y56">
            <v>132</v>
          </cell>
          <cell r="Z56">
            <v>168</v>
          </cell>
          <cell r="AA56">
            <v>142</v>
          </cell>
          <cell r="AB56">
            <v>85</v>
          </cell>
          <cell r="AC56">
            <v>45</v>
          </cell>
          <cell r="AD56">
            <v>27</v>
          </cell>
          <cell r="AE56">
            <v>18.899999999999999</v>
          </cell>
          <cell r="AF56">
            <v>13.229999999999999</v>
          </cell>
          <cell r="AG56">
            <v>4.0540540540540571E-2</v>
          </cell>
          <cell r="AH56">
            <v>0.1558441558441559</v>
          </cell>
          <cell r="AI56">
            <v>0.12359550561797761</v>
          </cell>
          <cell r="AJ56">
            <v>0.10000000000000009</v>
          </cell>
          <cell r="AK56">
            <v>4.5454545454545414E-2</v>
          </cell>
          <cell r="AL56">
            <v>4.3478260869565188E-2</v>
          </cell>
        </row>
        <row r="57">
          <cell r="C57" t="str">
            <v>% of Sales</v>
          </cell>
          <cell r="D57" t="str">
            <v>% Large Commercial Aftermarket</v>
          </cell>
          <cell r="M57">
            <v>241</v>
          </cell>
          <cell r="N57">
            <v>247</v>
          </cell>
          <cell r="O57">
            <v>239</v>
          </cell>
          <cell r="P57">
            <v>265</v>
          </cell>
          <cell r="Q57">
            <v>219</v>
          </cell>
          <cell r="R57">
            <v>213</v>
          </cell>
          <cell r="S57">
            <v>199</v>
          </cell>
          <cell r="T57">
            <v>205</v>
          </cell>
          <cell r="U57">
            <v>167</v>
          </cell>
          <cell r="V57">
            <v>181</v>
          </cell>
          <cell r="W57">
            <v>187</v>
          </cell>
          <cell r="X57">
            <v>219</v>
          </cell>
          <cell r="Y57">
            <v>200</v>
          </cell>
          <cell r="Z57">
            <v>208</v>
          </cell>
          <cell r="AA57">
            <v>217</v>
          </cell>
          <cell r="AB57">
            <v>236.48000000000002</v>
          </cell>
          <cell r="AC57">
            <v>804</v>
          </cell>
          <cell r="AD57">
            <v>953</v>
          </cell>
          <cell r="AE57">
            <v>0.7</v>
          </cell>
          <cell r="AF57">
            <v>0.71153846153846156</v>
          </cell>
          <cell r="AG57">
            <v>0.71962616822429903</v>
          </cell>
          <cell r="AH57">
            <v>0.73553719008264462</v>
          </cell>
          <cell r="AI57">
            <v>0.72992700729927007</v>
          </cell>
          <cell r="AJ57">
            <v>0.73333333333333328</v>
          </cell>
          <cell r="AK57">
            <v>0.72784810126582278</v>
          </cell>
          <cell r="AL57">
            <v>0.72289156626506024</v>
          </cell>
        </row>
        <row r="58">
          <cell r="B58" t="str">
            <v>Key Statistics</v>
          </cell>
          <cell r="D58" t="str">
            <v>OEM</v>
          </cell>
          <cell r="M58">
            <v>0.50088495575221237</v>
          </cell>
          <cell r="N58">
            <v>0.53770491803278686</v>
          </cell>
          <cell r="O58">
            <v>0.55366269165247017</v>
          </cell>
          <cell r="P58">
            <v>0.51950078003120126</v>
          </cell>
          <cell r="Q58">
            <v>0.50413223140495866</v>
          </cell>
          <cell r="R58">
            <v>0.56190476190476191</v>
          </cell>
          <cell r="S58">
            <v>0.48729792147806006</v>
          </cell>
          <cell r="T58">
            <v>0.48997772828507796</v>
          </cell>
          <cell r="U58">
            <v>0.48905109489051096</v>
          </cell>
          <cell r="V58">
            <v>0.51893095768374164</v>
          </cell>
          <cell r="W58">
            <v>0.52173913043478259</v>
          </cell>
          <cell r="X58">
            <v>0.50370065789473684</v>
          </cell>
          <cell r="Y58">
            <v>0.48571428571428571</v>
          </cell>
          <cell r="Z58">
            <v>0.48672161172161171</v>
          </cell>
          <cell r="AA58">
            <v>0.5280898876404494</v>
          </cell>
          <cell r="AB58">
            <v>0.51295610787942891</v>
          </cell>
          <cell r="AC58">
            <v>0.50874667847652788</v>
          </cell>
          <cell r="AD58">
            <v>0.51953652127152261</v>
          </cell>
          <cell r="AE58">
            <v>0.53524501258043644</v>
          </cell>
          <cell r="AF58">
            <v>0.5470796292776241</v>
          </cell>
          <cell r="AG58">
            <v>0.55921396623950059</v>
          </cell>
          <cell r="AH58">
            <v>0.56369678419579317</v>
          </cell>
          <cell r="AI58">
            <v>69.02</v>
          </cell>
          <cell r="AJ58">
            <v>48.313999999999993</v>
          </cell>
          <cell r="AK58">
            <v>33.819799999999994</v>
          </cell>
          <cell r="AL58">
            <v>23.673859999999994</v>
          </cell>
        </row>
        <row r="59">
          <cell r="C59" t="str">
            <v>Discretionary (Upgrades and Retrofits)</v>
          </cell>
          <cell r="D59" t="str">
            <v>Aftermarket</v>
          </cell>
          <cell r="M59">
            <v>0.42654867256637169</v>
          </cell>
          <cell r="N59">
            <v>0.40491803278688526</v>
          </cell>
          <cell r="O59">
            <v>0.40715502555366268</v>
          </cell>
          <cell r="P59">
            <v>0.41341653666146644</v>
          </cell>
          <cell r="Q59">
            <v>0.4524793388429752</v>
          </cell>
          <cell r="R59">
            <v>0.40571428571428569</v>
          </cell>
          <cell r="S59">
            <v>0.45958429561200925</v>
          </cell>
          <cell r="T59">
            <v>0.45657015590200445</v>
          </cell>
          <cell r="U59">
            <v>0.46715328467153283</v>
          </cell>
          <cell r="V59">
            <v>0.45657015590200445</v>
          </cell>
          <cell r="W59">
            <v>0.45652173913043476</v>
          </cell>
          <cell r="X59">
            <v>0.48396381578947373</v>
          </cell>
          <cell r="Y59">
            <v>0.44175824175824174</v>
          </cell>
          <cell r="Z59">
            <v>0.43635531135531136</v>
          </cell>
          <cell r="AA59">
            <v>0.41281731169371622</v>
          </cell>
          <cell r="AB59">
            <v>0.44209413008989951</v>
          </cell>
          <cell r="AC59">
            <v>0.46634189548272803</v>
          </cell>
          <cell r="AD59">
            <v>0.46676609949370429</v>
          </cell>
          <cell r="AE59">
            <v>180</v>
          </cell>
          <cell r="AF59">
            <v>150</v>
          </cell>
          <cell r="AG59">
            <v>150</v>
          </cell>
          <cell r="AH59">
            <v>160</v>
          </cell>
          <cell r="AI59">
            <v>185</v>
          </cell>
          <cell r="AJ59">
            <v>200</v>
          </cell>
          <cell r="AK59">
            <v>215</v>
          </cell>
          <cell r="AL59">
            <v>230</v>
          </cell>
        </row>
        <row r="60">
          <cell r="D60" t="str">
            <v>Y/Y Change</v>
          </cell>
          <cell r="M60">
            <v>7.2566371681415928E-2</v>
          </cell>
          <cell r="N60">
            <v>5.737704918032787E-2</v>
          </cell>
          <cell r="O60">
            <v>3.9182282793867124E-2</v>
          </cell>
          <cell r="P60">
            <v>6.7082683307332289E-2</v>
          </cell>
          <cell r="Q60">
            <v>4.3388429752066117E-2</v>
          </cell>
          <cell r="R60">
            <v>3.2380952380952378E-2</v>
          </cell>
          <cell r="S60">
            <v>5.3117782909930716E-2</v>
          </cell>
          <cell r="T60">
            <v>5.3452115812917596E-2</v>
          </cell>
          <cell r="U60">
            <v>4.3795620437956206E-2</v>
          </cell>
          <cell r="V60">
            <v>2.4498886414253896E-2</v>
          </cell>
          <cell r="W60">
            <v>2.1739130434782608E-2</v>
          </cell>
          <cell r="X60">
            <v>1.2335526315789474E-2</v>
          </cell>
          <cell r="Y60">
            <v>7.2527472527472533E-2</v>
          </cell>
          <cell r="Z60">
            <v>7.6923076923076927E-2</v>
          </cell>
          <cell r="AA60">
            <v>5.9092800665834375E-2</v>
          </cell>
          <cell r="AB60">
            <v>4.4949762030671601E-2</v>
          </cell>
          <cell r="AC60">
            <v>2.491142604074402E-2</v>
          </cell>
          <cell r="AD60">
            <v>1.369737923477308E-2</v>
          </cell>
          <cell r="AE60">
            <v>8.5788082918675772E-3</v>
          </cell>
          <cell r="AF60">
            <v>5.473232149987059E-3</v>
          </cell>
          <cell r="AG60">
            <v>0</v>
          </cell>
          <cell r="AH60">
            <v>6.6666666666666652E-2</v>
          </cell>
          <cell r="AI60">
            <v>0.15625</v>
          </cell>
          <cell r="AJ60">
            <v>8.1081081081081141E-2</v>
          </cell>
          <cell r="AK60">
            <v>7.4999999999999956E-2</v>
          </cell>
          <cell r="AL60">
            <v>6.9767441860465018E-2</v>
          </cell>
          <cell r="AM60">
            <v>1220.55</v>
          </cell>
          <cell r="AN60">
            <v>1397.1156000000001</v>
          </cell>
          <cell r="AO60">
            <v>1534.9626860689655</v>
          </cell>
          <cell r="AP60">
            <v>1636.5549540579314</v>
          </cell>
        </row>
        <row r="61">
          <cell r="C61" t="str">
            <v>Y/Y Growth Rates</v>
          </cell>
          <cell r="D61" t="str">
            <v>% Large Commercial Aftermarket</v>
          </cell>
          <cell r="M61">
            <v>0.42654867256637169</v>
          </cell>
          <cell r="N61">
            <v>0.40491803278688526</v>
          </cell>
          <cell r="O61">
            <v>0.40715502555366268</v>
          </cell>
          <cell r="P61">
            <v>0.41341653666146644</v>
          </cell>
          <cell r="Q61">
            <v>0.4524793388429752</v>
          </cell>
          <cell r="R61">
            <v>0.40571428571428569</v>
          </cell>
          <cell r="S61">
            <v>0.45958429561200925</v>
          </cell>
          <cell r="T61">
            <v>0.45657015590200445</v>
          </cell>
          <cell r="U61">
            <v>0.40632603406326034</v>
          </cell>
          <cell r="V61">
            <v>0.40311804008908686</v>
          </cell>
          <cell r="W61">
            <v>0.40652173913043477</v>
          </cell>
          <cell r="X61">
            <v>0.4524793388429752</v>
          </cell>
          <cell r="Y61">
            <v>0.43478260869565216</v>
          </cell>
          <cell r="Z61">
            <v>0.41025641025641024</v>
          </cell>
          <cell r="AA61">
            <v>0.42549019607843136</v>
          </cell>
          <cell r="AB61">
            <v>0.45573328194257096</v>
          </cell>
          <cell r="AC61">
            <v>0.44175824175824174</v>
          </cell>
          <cell r="AD61">
            <v>0.43635531135531136</v>
          </cell>
          <cell r="AE61">
            <v>0.3</v>
          </cell>
          <cell r="AF61">
            <v>0.28846153846153844</v>
          </cell>
          <cell r="AG61">
            <v>0.28037383177570091</v>
          </cell>
          <cell r="AH61">
            <v>0.43162483090335191</v>
          </cell>
          <cell r="AI61">
            <v>0.43808134715683822</v>
          </cell>
          <cell r="AJ61">
            <v>0.43127964973217742</v>
          </cell>
          <cell r="AK61">
            <v>0.43049572527137803</v>
          </cell>
          <cell r="AL61">
            <v>0.43106218460704998</v>
          </cell>
          <cell r="AM61">
            <v>951.78</v>
          </cell>
          <cell r="AN61">
            <v>1037.4402</v>
          </cell>
          <cell r="AO61">
            <v>1120.4354160000003</v>
          </cell>
          <cell r="AP61">
            <v>1187.6615409600004</v>
          </cell>
        </row>
        <row r="62">
          <cell r="D62" t="str">
            <v>OEM</v>
          </cell>
          <cell r="M62">
            <v>7.2566371681415928E-2</v>
          </cell>
          <cell r="N62">
            <v>5.737704918032787E-2</v>
          </cell>
          <cell r="O62">
            <v>3.9182282793867124E-2</v>
          </cell>
          <cell r="P62">
            <v>6.7082683307332289E-2</v>
          </cell>
          <cell r="Q62">
            <v>-0.13780918727915192</v>
          </cell>
          <cell r="R62">
            <v>-0.10060975609756095</v>
          </cell>
          <cell r="S62">
            <v>-0.35076923076923072</v>
          </cell>
          <cell r="T62">
            <v>-0.33933933933933935</v>
          </cell>
          <cell r="U62">
            <v>-0.17622950819672134</v>
          </cell>
          <cell r="V62">
            <v>-0.21016949152542375</v>
          </cell>
          <cell r="W62">
            <v>0.13744075829383884</v>
          </cell>
          <cell r="X62">
            <v>0.11363636363636354</v>
          </cell>
          <cell r="Y62">
            <v>0.15920398009950243</v>
          </cell>
          <cell r="Z62">
            <v>0.20248868778280538</v>
          </cell>
          <cell r="AA62">
            <v>0.19379115710253991</v>
          </cell>
          <cell r="AB62">
            <v>-0.23561859732072499</v>
          </cell>
          <cell r="AC62">
            <v>-5.2577319587628901E-2</v>
          </cell>
          <cell r="AD62">
            <v>0.11436343852013042</v>
          </cell>
          <cell r="AE62">
            <v>0.15145005370569287</v>
          </cell>
          <cell r="AF62">
            <v>0.12144776119402989</v>
          </cell>
          <cell r="AG62">
            <v>9.9840163232862711E-2</v>
          </cell>
          <cell r="AH62">
            <v>6.6592424466853206E-2</v>
          </cell>
          <cell r="AI62">
            <v>0.15544751381215494</v>
          </cell>
          <cell r="AJ62">
            <v>0.14478597658939618</v>
          </cell>
          <cell r="AK62">
            <v>9.7558954197799252E-2</v>
          </cell>
          <cell r="AL62">
            <v>6.5801380922735131E-2</v>
          </cell>
          <cell r="AM62">
            <v>83.3</v>
          </cell>
          <cell r="AN62">
            <v>58.309999999999995</v>
          </cell>
          <cell r="AO62">
            <v>40.816999999999993</v>
          </cell>
          <cell r="AP62">
            <v>28.571899999999992</v>
          </cell>
        </row>
        <row r="63">
          <cell r="C63" t="str">
            <v>Large Commercial Aftermarket</v>
          </cell>
          <cell r="D63" t="str">
            <v>Aftermarket</v>
          </cell>
          <cell r="Q63">
            <v>-9.1286307053941917E-2</v>
          </cell>
          <cell r="R63">
            <v>-0.13765182186234814</v>
          </cell>
          <cell r="S63">
            <v>-0.16736401673640167</v>
          </cell>
          <cell r="T63">
            <v>-0.22641509433962259</v>
          </cell>
          <cell r="U63">
            <v>-0.12328767123287676</v>
          </cell>
          <cell r="V63">
            <v>-3.7558685446009377E-2</v>
          </cell>
          <cell r="W63">
            <v>5.5276381909547645E-2</v>
          </cell>
          <cell r="X63">
            <v>0.1482926829268294</v>
          </cell>
          <cell r="Y63">
            <v>0.19760479041916157</v>
          </cell>
          <cell r="Z63">
            <v>0.18532338308457708</v>
          </cell>
          <cell r="AA63">
            <v>4.0923399790136372E-2</v>
          </cell>
          <cell r="AB63">
            <v>-0.157258064516129</v>
          </cell>
          <cell r="AC63">
            <v>7.6555023923443599E-3</v>
          </cell>
          <cell r="AD63">
            <v>9.2212725546058971E-2</v>
          </cell>
          <cell r="AE63">
            <v>600</v>
          </cell>
          <cell r="AF63">
            <v>520</v>
          </cell>
          <cell r="AG63">
            <v>535</v>
          </cell>
          <cell r="AH63">
            <v>605</v>
          </cell>
          <cell r="AI63">
            <v>685</v>
          </cell>
          <cell r="AJ63">
            <v>750</v>
          </cell>
          <cell r="AK63">
            <v>790</v>
          </cell>
          <cell r="AL63">
            <v>830</v>
          </cell>
          <cell r="AN63" t="str">
            <v>flat</v>
          </cell>
        </row>
        <row r="64">
          <cell r="D64" t="str">
            <v>Y/Y Change</v>
          </cell>
          <cell r="I64">
            <v>0</v>
          </cell>
          <cell r="J64">
            <v>0</v>
          </cell>
          <cell r="K64">
            <v>0</v>
          </cell>
          <cell r="L64">
            <v>0</v>
          </cell>
          <cell r="M64">
            <v>0.50088495575221237</v>
          </cell>
          <cell r="N64">
            <v>0.53770491803278686</v>
          </cell>
          <cell r="O64">
            <v>0.55366269165247017</v>
          </cell>
          <cell r="P64">
            <v>0.51950078003120126</v>
          </cell>
          <cell r="Q64">
            <v>-0.48780487804878048</v>
          </cell>
          <cell r="R64">
            <v>-0.51428571428571423</v>
          </cell>
          <cell r="S64">
            <v>0</v>
          </cell>
          <cell r="T64">
            <v>-0.44186046511627908</v>
          </cell>
          <cell r="U64">
            <v>-0.1428571428571429</v>
          </cell>
          <cell r="V64">
            <v>-0.3529411764705882</v>
          </cell>
          <cell r="W64">
            <v>-0.56521739130434789</v>
          </cell>
          <cell r="X64">
            <v>-0.75</v>
          </cell>
          <cell r="Y64">
            <v>0.15920398009950243</v>
          </cell>
          <cell r="Z64">
            <v>0.27272727272727271</v>
          </cell>
          <cell r="AA64">
            <v>-0.15476190476190477</v>
          </cell>
          <cell r="AB64">
            <v>-0.40140845070422537</v>
          </cell>
          <cell r="AC64">
            <v>-0.47058823529411764</v>
          </cell>
          <cell r="AD64">
            <v>-0.4</v>
          </cell>
          <cell r="AE64">
            <v>0.19379115710253991</v>
          </cell>
          <cell r="AF64">
            <v>-0.23561859732072499</v>
          </cell>
          <cell r="AG64">
            <v>2.8846153846153744E-2</v>
          </cell>
          <cell r="AH64">
            <v>0.13084112149532712</v>
          </cell>
          <cell r="AI64">
            <v>0.13223140495867769</v>
          </cell>
          <cell r="AJ64">
            <v>9.4890510948905105E-2</v>
          </cell>
          <cell r="AK64">
            <v>5.3333333333333233E-2</v>
          </cell>
          <cell r="AL64">
            <v>5.0632911392405111E-2</v>
          </cell>
          <cell r="AM64">
            <v>0.5411126824878193</v>
          </cell>
          <cell r="AN64">
            <v>0.56044557232082048</v>
          </cell>
          <cell r="AO64">
            <v>0.56930275514408979</v>
          </cell>
          <cell r="AP64">
            <v>0.57366854019596669</v>
          </cell>
        </row>
        <row r="65">
          <cell r="D65" t="str">
            <v>Aftermarket</v>
          </cell>
          <cell r="I65">
            <v>0</v>
          </cell>
          <cell r="J65">
            <v>0</v>
          </cell>
          <cell r="K65">
            <v>0</v>
          </cell>
          <cell r="L65">
            <v>0</v>
          </cell>
          <cell r="M65">
            <v>0.42654867256637169</v>
          </cell>
          <cell r="N65">
            <v>0.40491803278688526</v>
          </cell>
          <cell r="O65">
            <v>0.40715502555366268</v>
          </cell>
          <cell r="P65">
            <v>0.41341653666146644</v>
          </cell>
          <cell r="Q65">
            <v>-9.1286307053941917E-2</v>
          </cell>
          <cell r="R65">
            <v>-0.13765182186234814</v>
          </cell>
          <cell r="S65">
            <v>-0.16736401673640167</v>
          </cell>
          <cell r="T65">
            <v>-0.22641509433962259</v>
          </cell>
          <cell r="U65">
            <v>-0.23744292237442921</v>
          </cell>
          <cell r="V65">
            <v>-0.15023474178403751</v>
          </cell>
          <cell r="W65">
            <v>-6.0301507537688481E-2</v>
          </cell>
          <cell r="X65">
            <v>6.8292682926829329E-2</v>
          </cell>
          <cell r="Y65">
            <v>0.19760479041916157</v>
          </cell>
          <cell r="Z65">
            <v>0.149171270718232</v>
          </cell>
          <cell r="AA65">
            <v>0.16042780748663099</v>
          </cell>
          <cell r="AB65">
            <v>7.9817351598173492E-2</v>
          </cell>
          <cell r="AC65">
            <v>0.44175824175824174</v>
          </cell>
          <cell r="AD65">
            <v>0.18532338308457708</v>
          </cell>
          <cell r="AE65">
            <v>4.0923399790136372E-2</v>
          </cell>
          <cell r="AF65">
            <v>-0.157258064516129</v>
          </cell>
          <cell r="AG65">
            <v>-9.8086124401913888E-2</v>
          </cell>
          <cell r="AH65">
            <v>0.14254641909814336</v>
          </cell>
          <cell r="AI65">
            <v>0.1453823652319266</v>
          </cell>
          <cell r="AJ65">
            <v>9.000000000000008E-2</v>
          </cell>
          <cell r="AK65">
            <v>7.9999999999999849E-2</v>
          </cell>
          <cell r="AL65">
            <v>6.0000000000000053E-2</v>
          </cell>
          <cell r="AM65">
            <v>0.4219575018952576</v>
          </cell>
          <cell r="AN65">
            <v>0.41616367796453385</v>
          </cell>
          <cell r="AO65">
            <v>0.41555861590576498</v>
          </cell>
          <cell r="AP65">
            <v>0.41631603067164585</v>
          </cell>
        </row>
        <row r="66">
          <cell r="C66" t="str">
            <v>Regional and Business Jet Aftermarket</v>
          </cell>
          <cell r="D66" t="str">
            <v>Other</v>
          </cell>
          <cell r="I66">
            <v>0</v>
          </cell>
          <cell r="J66">
            <v>0</v>
          </cell>
          <cell r="K66">
            <v>0</v>
          </cell>
          <cell r="L66">
            <v>0</v>
          </cell>
          <cell r="M66">
            <v>7.2566371681415928E-2</v>
          </cell>
          <cell r="N66">
            <v>5.737704918032787E-2</v>
          </cell>
          <cell r="O66">
            <v>3.9182282793867124E-2</v>
          </cell>
          <cell r="P66">
            <v>6.7082683307332289E-2</v>
          </cell>
          <cell r="Q66">
            <v>-0.48780487804878048</v>
          </cell>
          <cell r="R66">
            <v>-0.51428571428571423</v>
          </cell>
          <cell r="S66">
            <v>0</v>
          </cell>
          <cell r="T66">
            <v>-0.44186046511627908</v>
          </cell>
          <cell r="U66">
            <v>1.0476190476190474</v>
          </cell>
          <cell r="V66">
            <v>1.0588235294117645</v>
          </cell>
          <cell r="W66">
            <v>0.43478260869565211</v>
          </cell>
          <cell r="X66">
            <v>0.41666666666666674</v>
          </cell>
          <cell r="Y66">
            <v>-0.37209302325581395</v>
          </cell>
          <cell r="Z66">
            <v>-0.17142857142857137</v>
          </cell>
          <cell r="AA66">
            <v>-0.27272727272727271</v>
          </cell>
          <cell r="AB66">
            <v>-0.4529411764705884</v>
          </cell>
          <cell r="AC66">
            <v>7.2527472527472533E-2</v>
          </cell>
          <cell r="AD66">
            <v>0.27272727272727271</v>
          </cell>
          <cell r="AE66">
            <v>392</v>
          </cell>
          <cell r="AF66">
            <v>316</v>
          </cell>
          <cell r="AG66">
            <v>330</v>
          </cell>
          <cell r="AH66">
            <v>380</v>
          </cell>
          <cell r="AI66">
            <v>430</v>
          </cell>
          <cell r="AJ66">
            <v>450</v>
          </cell>
          <cell r="AK66">
            <v>475</v>
          </cell>
          <cell r="AL66">
            <v>500</v>
          </cell>
          <cell r="AM66">
            <v>3.6929815616922983E-2</v>
          </cell>
          <cell r="AN66" t="str">
            <v>low single digit w/ air routing</v>
          </cell>
          <cell r="AO66">
            <v>1.5138628950145219E-2</v>
          </cell>
          <cell r="AP66">
            <v>1.0015429132387649E-2</v>
          </cell>
        </row>
        <row r="67">
          <cell r="C67" t="str">
            <v>Y/Y Growth Rates</v>
          </cell>
          <cell r="D67" t="str">
            <v>Y/Y Change</v>
          </cell>
          <cell r="AG67">
            <v>4.4303797468354444E-2</v>
          </cell>
          <cell r="AH67">
            <v>0.1515151515151516</v>
          </cell>
          <cell r="AI67">
            <v>0.13157894736842102</v>
          </cell>
          <cell r="AJ67">
            <v>4.6511627906976827E-2</v>
          </cell>
          <cell r="AK67">
            <v>5.555555555555558E-2</v>
          </cell>
          <cell r="AL67">
            <v>5.2631578947368363E-2</v>
          </cell>
        </row>
        <row r="68">
          <cell r="A68" t="str">
            <v>Segment Operating Income</v>
          </cell>
          <cell r="D68" t="str">
            <v>OEM</v>
          </cell>
          <cell r="Q68">
            <v>-0.13780918727915192</v>
          </cell>
          <cell r="R68">
            <v>-0.10060975609756095</v>
          </cell>
          <cell r="S68">
            <v>-0.35076923076923072</v>
          </cell>
          <cell r="T68">
            <v>-0.33933933933933935</v>
          </cell>
          <cell r="U68">
            <v>-0.17622950819672134</v>
          </cell>
          <cell r="V68">
            <v>-0.21016949152542375</v>
          </cell>
          <cell r="W68">
            <v>0.13744075829383884</v>
          </cell>
          <cell r="X68">
            <v>5.0000000000000044E-2</v>
          </cell>
          <cell r="Y68">
            <v>0.15920398009950243</v>
          </cell>
          <cell r="Z68">
            <v>0.15879828326180268</v>
          </cell>
          <cell r="AA68">
            <v>0.1875</v>
          </cell>
          <cell r="AB68">
            <v>0.23419913419913407</v>
          </cell>
          <cell r="AC68">
            <v>0.13733905579399153</v>
          </cell>
          <cell r="AD68">
            <v>0.20248868778280538</v>
          </cell>
          <cell r="AE68">
            <v>0.19379115710253991</v>
          </cell>
          <cell r="AF68">
            <v>-0.23561859732072499</v>
          </cell>
          <cell r="AG68">
            <v>-6.7010309278350499E-2</v>
          </cell>
          <cell r="AH68">
            <v>0.18574585635359098</v>
          </cell>
          <cell r="AI68">
            <v>0.1557634889572268</v>
          </cell>
          <cell r="AJ68">
            <v>0.14468077963003911</v>
          </cell>
          <cell r="AK68">
            <v>9.8488004341296786E-2</v>
          </cell>
          <cell r="AL68">
            <v>6.6123939591793635E-2</v>
          </cell>
          <cell r="AM68">
            <v>0.15582386363636358</v>
          </cell>
          <cell r="AN68">
            <v>0.14466068575642144</v>
          </cell>
          <cell r="AO68">
            <v>9.8665483420960598E-2</v>
          </cell>
          <cell r="AP68">
            <v>6.6185496827381174E-2</v>
          </cell>
        </row>
        <row r="69">
          <cell r="C69" t="str">
            <v>Air Routing</v>
          </cell>
          <cell r="D69" t="str">
            <v>Aftermarket</v>
          </cell>
          <cell r="Q69">
            <v>-9.1286307053941917E-2</v>
          </cell>
          <cell r="R69">
            <v>-0.13765182186234814</v>
          </cell>
          <cell r="S69">
            <v>-0.16736401673640167</v>
          </cell>
          <cell r="T69">
            <v>-0.22641509433962259</v>
          </cell>
          <cell r="U69">
            <v>-0.23744292237442921</v>
          </cell>
          <cell r="V69">
            <v>-0.15023474178403751</v>
          </cell>
          <cell r="W69">
            <v>-9.0452261306532611E-2</v>
          </cell>
          <cell r="X69">
            <v>6.8292682926829329E-2</v>
          </cell>
          <cell r="Y69">
            <v>0.19760479041916157</v>
          </cell>
          <cell r="Z69">
            <v>0.149171270718232</v>
          </cell>
          <cell r="AA69">
            <v>0.15469613259668513</v>
          </cell>
          <cell r="AB69">
            <v>0.1260273972602739</v>
          </cell>
          <cell r="AC69">
            <v>0.10499999999999998</v>
          </cell>
          <cell r="AD69">
            <v>0.18532338308457708</v>
          </cell>
          <cell r="AE69">
            <v>4.0923399790136372E-2</v>
          </cell>
          <cell r="AF69">
            <v>-0.157258064516129</v>
          </cell>
          <cell r="AG69">
            <v>30</v>
          </cell>
          <cell r="AH69">
            <v>35</v>
          </cell>
          <cell r="AI69">
            <v>40</v>
          </cell>
          <cell r="AJ69">
            <v>45</v>
          </cell>
          <cell r="AK69">
            <v>50</v>
          </cell>
          <cell r="AL69">
            <v>55</v>
          </cell>
          <cell r="AM69">
            <v>0.14534296028880855</v>
          </cell>
          <cell r="AN69">
            <v>9.000000000000008E-2</v>
          </cell>
          <cell r="AO69">
            <v>8.0000000000000293E-2</v>
          </cell>
          <cell r="AP69">
            <v>6.0000000000000053E-2</v>
          </cell>
        </row>
        <row r="70">
          <cell r="A70" t="str">
            <v>Segment Operating Income</v>
          </cell>
          <cell r="C70" t="str">
            <v>Segment Operating Profit</v>
          </cell>
          <cell r="D70" t="str">
            <v>Y/Y Change</v>
          </cell>
          <cell r="I70">
            <v>114</v>
          </cell>
          <cell r="J70">
            <v>122</v>
          </cell>
          <cell r="K70">
            <v>119</v>
          </cell>
          <cell r="L70">
            <v>130</v>
          </cell>
          <cell r="M70">
            <v>137</v>
          </cell>
          <cell r="N70">
            <v>140</v>
          </cell>
          <cell r="O70">
            <v>139</v>
          </cell>
          <cell r="P70">
            <v>144</v>
          </cell>
          <cell r="Q70">
            <v>97</v>
          </cell>
          <cell r="R70">
            <v>110</v>
          </cell>
          <cell r="S70">
            <v>75</v>
          </cell>
          <cell r="T70">
            <v>71</v>
          </cell>
          <cell r="U70">
            <v>68</v>
          </cell>
          <cell r="V70">
            <v>69</v>
          </cell>
          <cell r="W70">
            <v>75</v>
          </cell>
          <cell r="X70">
            <v>80.636800000000051</v>
          </cell>
          <cell r="Y70">
            <v>370</v>
          </cell>
          <cell r="Z70">
            <v>485</v>
          </cell>
          <cell r="AA70">
            <v>560</v>
          </cell>
          <cell r="AB70">
            <v>353</v>
          </cell>
          <cell r="AC70">
            <v>292.63680000000005</v>
          </cell>
          <cell r="AD70">
            <v>358.75475999999998</v>
          </cell>
          <cell r="AE70">
            <v>451.63615600000008</v>
          </cell>
          <cell r="AF70">
            <v>531.78815008000004</v>
          </cell>
          <cell r="AG70">
            <v>598.19932746921609</v>
          </cell>
          <cell r="AH70">
            <v>0.16666666666666674</v>
          </cell>
          <cell r="AI70">
            <v>0.14285714285714279</v>
          </cell>
          <cell r="AJ70">
            <v>0.125</v>
          </cell>
          <cell r="AK70">
            <v>0.11111111111111116</v>
          </cell>
          <cell r="AL70">
            <v>0.10000000000000009</v>
          </cell>
        </row>
        <row r="71">
          <cell r="C71" t="str">
            <v>Operating Profit Margin (%)</v>
          </cell>
          <cell r="I71">
            <v>0.23170731707317074</v>
          </cell>
          <cell r="J71">
            <v>0.22509225092250923</v>
          </cell>
          <cell r="K71">
            <v>0.21834862385321102</v>
          </cell>
          <cell r="L71">
            <v>0.21487603305785125</v>
          </cell>
          <cell r="M71">
            <v>0.2424778761061947</v>
          </cell>
          <cell r="N71">
            <v>0.22950819672131148</v>
          </cell>
          <cell r="O71">
            <v>0.23679727427597955</v>
          </cell>
          <cell r="P71">
            <v>0.22464898595943839</v>
          </cell>
          <cell r="Q71">
            <v>0.20041322314049587</v>
          </cell>
          <cell r="R71">
            <v>0.20952380952380953</v>
          </cell>
          <cell r="S71">
            <v>0.17321016166281755</v>
          </cell>
          <cell r="T71">
            <v>0.15812917594654788</v>
          </cell>
          <cell r="U71">
            <v>0.16545012165450121</v>
          </cell>
          <cell r="V71">
            <v>0.15367483296213807</v>
          </cell>
          <cell r="W71">
            <v>0.16304347826086957</v>
          </cell>
          <cell r="X71">
            <v>0.16578289473684218</v>
          </cell>
          <cell r="Y71">
            <v>0.2032967032967033</v>
          </cell>
          <cell r="Z71">
            <v>0.22206959706959706</v>
          </cell>
          <cell r="AA71">
            <v>0.23304203079483979</v>
          </cell>
          <cell r="AB71">
            <v>0.18667371760973031</v>
          </cell>
          <cell r="AC71">
            <v>0.16200000000000001</v>
          </cell>
          <cell r="AD71">
            <v>0.182</v>
          </cell>
          <cell r="AE71">
            <v>0.20499999999999999</v>
          </cell>
          <cell r="AF71">
            <v>0.22</v>
          </cell>
          <cell r="AG71">
            <v>0.23</v>
          </cell>
          <cell r="AH71">
            <v>0.23499999999999999</v>
          </cell>
          <cell r="AI71">
            <v>0.214</v>
          </cell>
          <cell r="AJ71">
            <v>0.22</v>
          </cell>
          <cell r="AK71">
            <v>0.23</v>
          </cell>
          <cell r="AL71">
            <v>0.23499999999999999</v>
          </cell>
        </row>
        <row r="72">
          <cell r="B72" t="str">
            <v>Total Aftermarket Revenue</v>
          </cell>
          <cell r="C72" t="str">
            <v>Change in Margin (bps)</v>
          </cell>
          <cell r="I72">
            <v>114</v>
          </cell>
          <cell r="J72">
            <v>-66.150661506615137</v>
          </cell>
          <cell r="K72">
            <v>-67.436270692982077</v>
          </cell>
          <cell r="L72">
            <v>241</v>
          </cell>
          <cell r="M72">
            <v>247</v>
          </cell>
          <cell r="N72">
            <v>239</v>
          </cell>
          <cell r="O72">
            <v>265</v>
          </cell>
          <cell r="P72">
            <v>219</v>
          </cell>
          <cell r="Q72">
            <v>213</v>
          </cell>
          <cell r="R72">
            <v>199</v>
          </cell>
          <cell r="S72">
            <v>205</v>
          </cell>
          <cell r="T72">
            <v>-150.80985716269674</v>
          </cell>
          <cell r="U72">
            <v>73.209457079533308</v>
          </cell>
          <cell r="V72">
            <v>-117.75288692363134</v>
          </cell>
          <cell r="W72">
            <v>93.686452987314922</v>
          </cell>
          <cell r="X72">
            <v>27.39416475972617</v>
          </cell>
          <cell r="Y72">
            <v>375.1380855986111</v>
          </cell>
          <cell r="Z72">
            <v>187.72893772893761</v>
          </cell>
          <cell r="AA72">
            <v>109.7243372524273</v>
          </cell>
          <cell r="AB72">
            <v>-463.6831318510948</v>
          </cell>
          <cell r="AC72">
            <v>804</v>
          </cell>
          <cell r="AD72">
            <v>953</v>
          </cell>
          <cell r="AE72">
            <v>992</v>
          </cell>
          <cell r="AF72">
            <v>836</v>
          </cell>
          <cell r="AG72">
            <v>895</v>
          </cell>
          <cell r="AH72">
            <v>1020</v>
          </cell>
          <cell r="AI72">
            <v>1155</v>
          </cell>
          <cell r="AJ72">
            <v>1245</v>
          </cell>
          <cell r="AK72">
            <v>1315</v>
          </cell>
          <cell r="AL72">
            <v>1385</v>
          </cell>
          <cell r="AN72" t="str">
            <v>low sgl digit growth across all</v>
          </cell>
        </row>
        <row r="73">
          <cell r="C73" t="str">
            <v>Y/Y Change</v>
          </cell>
          <cell r="I73">
            <v>0.23170731707317074</v>
          </cell>
          <cell r="J73">
            <v>0.22509225092250923</v>
          </cell>
          <cell r="K73">
            <v>0.21834862385321102</v>
          </cell>
          <cell r="L73">
            <v>0</v>
          </cell>
          <cell r="M73">
            <v>0</v>
          </cell>
          <cell r="N73">
            <v>0</v>
          </cell>
          <cell r="O73">
            <v>0</v>
          </cell>
          <cell r="P73">
            <v>-9.1286307053941917E-2</v>
          </cell>
          <cell r="Q73">
            <v>-0.13765182186234814</v>
          </cell>
          <cell r="R73">
            <v>-0.16736401673640167</v>
          </cell>
          <cell r="S73">
            <v>-0.22641509433962259</v>
          </cell>
          <cell r="T73">
            <v>0.15812917594654788</v>
          </cell>
          <cell r="U73">
            <v>0.16545012165450121</v>
          </cell>
          <cell r="V73">
            <v>0.15367483296213807</v>
          </cell>
          <cell r="W73">
            <v>0.16304347826086957</v>
          </cell>
          <cell r="X73">
            <v>0.16735537190082644</v>
          </cell>
          <cell r="Y73">
            <v>0.18260869565217391</v>
          </cell>
          <cell r="Z73">
            <v>0.1814595660749507</v>
          </cell>
          <cell r="AA73">
            <v>0.18823529411764706</v>
          </cell>
          <cell r="AB73">
            <v>0.19124571208325306</v>
          </cell>
          <cell r="AC73">
            <v>0.2032967032967033</v>
          </cell>
          <cell r="AD73">
            <v>0.18532338308457708</v>
          </cell>
          <cell r="AE73">
            <v>4.0923399790136372E-2</v>
          </cell>
          <cell r="AF73">
            <v>-0.157258064516129</v>
          </cell>
          <cell r="AG73">
            <v>7.0574162679425845E-2</v>
          </cell>
          <cell r="AH73">
            <v>0.13966480446927365</v>
          </cell>
          <cell r="AI73">
            <v>0.13235294117647056</v>
          </cell>
          <cell r="AJ73">
            <v>7.7922077922077948E-2</v>
          </cell>
          <cell r="AK73">
            <v>5.6224899598393607E-2</v>
          </cell>
          <cell r="AL73">
            <v>5.323193916349811E-2</v>
          </cell>
        </row>
        <row r="74">
          <cell r="A74" t="str">
            <v>Segment Operating Income</v>
          </cell>
          <cell r="C74" t="str">
            <v>Incremental Sales (Y/Y)</v>
          </cell>
          <cell r="J74">
            <v>-66.150661506615137</v>
          </cell>
          <cell r="K74">
            <v>-67.436270692982077</v>
          </cell>
          <cell r="L74">
            <v>-34.725907953597755</v>
          </cell>
          <cell r="M74">
            <v>73</v>
          </cell>
          <cell r="N74">
            <v>68</v>
          </cell>
          <cell r="O74">
            <v>42</v>
          </cell>
          <cell r="P74">
            <v>36</v>
          </cell>
          <cell r="Q74">
            <v>-81</v>
          </cell>
          <cell r="R74">
            <v>-85</v>
          </cell>
          <cell r="S74">
            <v>-154</v>
          </cell>
          <cell r="T74">
            <v>-192</v>
          </cell>
          <cell r="U74">
            <v>-73</v>
          </cell>
          <cell r="V74">
            <v>-76</v>
          </cell>
          <cell r="W74">
            <v>27</v>
          </cell>
          <cell r="X74">
            <v>37.400000000000091</v>
          </cell>
          <cell r="Y74">
            <v>185</v>
          </cell>
          <cell r="Z74">
            <v>364</v>
          </cell>
          <cell r="AA74">
            <v>219</v>
          </cell>
          <cell r="AB74">
            <v>-512</v>
          </cell>
          <cell r="AC74">
            <v>-84.599999999999909</v>
          </cell>
          <cell r="AD74">
            <v>164.77999999999997</v>
          </cell>
          <cell r="AE74">
            <v>231.92320000000041</v>
          </cell>
          <cell r="AF74">
            <v>214.11566399999992</v>
          </cell>
          <cell r="AG74">
            <v>183.64777717050401</v>
          </cell>
          <cell r="AH74">
            <v>151.13717128890448</v>
          </cell>
          <cell r="AI74">
            <v>253.22559999999999</v>
          </cell>
          <cell r="AJ74">
            <v>237.66693600000053</v>
          </cell>
          <cell r="AK74">
            <v>202.34828858482797</v>
          </cell>
          <cell r="AL74">
            <v>156.37702482802797</v>
          </cell>
        </row>
        <row r="75">
          <cell r="B75" t="str">
            <v>Wide-body IFE Revenue</v>
          </cell>
          <cell r="C75" t="str">
            <v>Incremental Operating Profit (Y/Y)</v>
          </cell>
          <cell r="L75">
            <v>41</v>
          </cell>
          <cell r="M75">
            <v>23</v>
          </cell>
          <cell r="N75">
            <v>18</v>
          </cell>
          <cell r="O75">
            <v>20</v>
          </cell>
          <cell r="P75">
            <v>14</v>
          </cell>
          <cell r="Q75">
            <v>-40</v>
          </cell>
          <cell r="R75">
            <v>-30</v>
          </cell>
          <cell r="S75">
            <v>-64</v>
          </cell>
          <cell r="T75">
            <v>-73</v>
          </cell>
          <cell r="U75">
            <v>-29</v>
          </cell>
          <cell r="V75">
            <v>-41</v>
          </cell>
          <cell r="W75">
            <v>0</v>
          </cell>
          <cell r="X75">
            <v>9.6368000000000507</v>
          </cell>
          <cell r="Y75">
            <v>74</v>
          </cell>
          <cell r="Z75">
            <v>115</v>
          </cell>
          <cell r="AA75">
            <v>75</v>
          </cell>
          <cell r="AB75">
            <v>-207</v>
          </cell>
          <cell r="AC75">
            <v>-60.363199999999949</v>
          </cell>
          <cell r="AD75">
            <v>66.117959999999925</v>
          </cell>
          <cell r="AE75">
            <v>92.881396000000109</v>
          </cell>
          <cell r="AF75">
            <v>80.151994079999952</v>
          </cell>
          <cell r="AG75">
            <v>66.41117738921605</v>
          </cell>
          <cell r="AH75">
            <v>48.521568458744923</v>
          </cell>
          <cell r="AI75">
            <v>-646.72089592796101</v>
          </cell>
          <cell r="AJ75">
            <v>0</v>
          </cell>
          <cell r="AK75">
            <v>0</v>
          </cell>
          <cell r="AL75">
            <v>0</v>
          </cell>
          <cell r="AM75">
            <v>-663.47499461202119</v>
          </cell>
          <cell r="AN75" t="str">
            <v>down 40%</v>
          </cell>
        </row>
        <row r="76">
          <cell r="C76" t="str">
            <v>Y/Y Change</v>
          </cell>
          <cell r="I76">
            <v>114</v>
          </cell>
          <cell r="J76">
            <v>122</v>
          </cell>
          <cell r="K76">
            <v>119</v>
          </cell>
          <cell r="L76">
            <v>0</v>
          </cell>
          <cell r="M76">
            <v>0.31506849315068491</v>
          </cell>
          <cell r="N76">
            <v>0.26470588235294118</v>
          </cell>
          <cell r="O76">
            <v>0.47619047619047616</v>
          </cell>
          <cell r="P76">
            <v>0.3888888888888889</v>
          </cell>
          <cell r="Q76">
            <v>0.49382716049382713</v>
          </cell>
          <cell r="R76">
            <v>0.35294117647058826</v>
          </cell>
          <cell r="S76">
            <v>0.41558441558441561</v>
          </cell>
          <cell r="T76">
            <v>0.38020833333333331</v>
          </cell>
          <cell r="U76">
            <v>0.39726027397260272</v>
          </cell>
          <cell r="V76">
            <v>0.53947368421052633</v>
          </cell>
          <cell r="W76">
            <v>0</v>
          </cell>
          <cell r="X76">
            <v>0.25766844919786169</v>
          </cell>
          <cell r="Y76">
            <v>0.4</v>
          </cell>
          <cell r="Z76">
            <v>0.31593406593406592</v>
          </cell>
          <cell r="AA76">
            <v>0.34246575342465752</v>
          </cell>
          <cell r="AB76">
            <v>0.404296875</v>
          </cell>
          <cell r="AC76">
            <v>0.71351300236406634</v>
          </cell>
          <cell r="AD76">
            <v>0.51291394586721661</v>
          </cell>
          <cell r="AE76">
            <v>0.40910696299464627</v>
          </cell>
          <cell r="AF76">
            <v>0.37433970304946945</v>
          </cell>
          <cell r="AG76">
            <v>0.3616225494935229</v>
          </cell>
          <cell r="AH76">
            <v>0.32104324862607153</v>
          </cell>
          <cell r="AI76">
            <v>0</v>
          </cell>
          <cell r="AJ76">
            <v>0</v>
          </cell>
          <cell r="AK76">
            <v>0</v>
          </cell>
          <cell r="AL76">
            <v>0</v>
          </cell>
          <cell r="AM76">
            <v>478.19355999999999</v>
          </cell>
          <cell r="AN76">
            <v>548.430476</v>
          </cell>
          <cell r="AO76">
            <v>620.12947347586214</v>
          </cell>
          <cell r="AP76">
            <v>670.4052728292138</v>
          </cell>
        </row>
        <row r="77">
          <cell r="C77" t="str">
            <v>Incremental Operating Profit (Y/Y)</v>
          </cell>
          <cell r="I77">
            <v>0.23170731707317074</v>
          </cell>
          <cell r="J77">
            <v>0.22509225092250923</v>
          </cell>
          <cell r="K77">
            <v>0.21834862385321102</v>
          </cell>
          <cell r="L77">
            <v>0.21487603305785125</v>
          </cell>
          <cell r="M77">
            <v>23</v>
          </cell>
          <cell r="N77">
            <v>18</v>
          </cell>
          <cell r="O77">
            <v>20</v>
          </cell>
          <cell r="P77">
            <v>14</v>
          </cell>
          <cell r="Q77">
            <v>-40</v>
          </cell>
          <cell r="R77">
            <v>-30</v>
          </cell>
          <cell r="S77">
            <v>-64</v>
          </cell>
          <cell r="T77">
            <v>-73</v>
          </cell>
          <cell r="U77">
            <v>-29</v>
          </cell>
          <cell r="V77">
            <v>-41</v>
          </cell>
          <cell r="W77">
            <v>0</v>
          </cell>
          <cell r="X77">
            <v>10</v>
          </cell>
          <cell r="Y77">
            <v>16</v>
          </cell>
          <cell r="Z77">
            <v>23</v>
          </cell>
          <cell r="AA77">
            <v>21</v>
          </cell>
          <cell r="AB77">
            <v>18.23739999999998</v>
          </cell>
          <cell r="AC77">
            <v>74</v>
          </cell>
          <cell r="AD77">
            <v>115</v>
          </cell>
          <cell r="AE77">
            <v>75</v>
          </cell>
          <cell r="AF77">
            <v>-207</v>
          </cell>
          <cell r="AG77">
            <v>-60</v>
          </cell>
          <cell r="AH77">
            <v>78.23739999999998</v>
          </cell>
          <cell r="AI77">
            <v>110.77110680000004</v>
          </cell>
          <cell r="AJ77">
            <v>66.629518079999968</v>
          </cell>
          <cell r="AK77">
            <v>71.952210192800067</v>
          </cell>
          <cell r="AL77">
            <v>50.652729837807897</v>
          </cell>
          <cell r="AM77">
            <v>-671.24296491060795</v>
          </cell>
          <cell r="AN77">
            <v>0.22</v>
          </cell>
          <cell r="AO77">
            <v>0.23</v>
          </cell>
          <cell r="AP77">
            <v>0.23499999999999999</v>
          </cell>
        </row>
        <row r="78">
          <cell r="B78" t="str">
            <v>Total Commercial Systems Revenue</v>
          </cell>
          <cell r="C78" t="str">
            <v>Compensation Headwinds Y/Y</v>
          </cell>
          <cell r="H78">
            <v>492</v>
          </cell>
          <cell r="I78">
            <v>542</v>
          </cell>
          <cell r="J78">
            <v>545</v>
          </cell>
          <cell r="K78">
            <v>605</v>
          </cell>
          <cell r="L78">
            <v>565</v>
          </cell>
          <cell r="M78">
            <v>610</v>
          </cell>
          <cell r="N78">
            <v>587</v>
          </cell>
          <cell r="O78">
            <v>641</v>
          </cell>
          <cell r="P78">
            <v>484</v>
          </cell>
          <cell r="Q78">
            <v>525</v>
          </cell>
          <cell r="R78">
            <v>433</v>
          </cell>
          <cell r="S78">
            <v>449</v>
          </cell>
          <cell r="T78">
            <v>411</v>
          </cell>
          <cell r="U78">
            <v>450</v>
          </cell>
          <cell r="V78">
            <v>465</v>
          </cell>
          <cell r="W78">
            <v>499</v>
          </cell>
          <cell r="X78">
            <v>1752</v>
          </cell>
          <cell r="Y78">
            <v>1377</v>
          </cell>
          <cell r="Z78">
            <v>1272</v>
          </cell>
          <cell r="AA78">
            <v>1395</v>
          </cell>
          <cell r="AB78">
            <v>1635</v>
          </cell>
          <cell r="AC78">
            <v>1820</v>
          </cell>
          <cell r="AD78">
            <v>-14.399999999999999</v>
          </cell>
          <cell r="AE78">
            <v>-2</v>
          </cell>
          <cell r="AF78">
            <v>1891</v>
          </cell>
          <cell r="AG78">
            <v>1825</v>
          </cell>
          <cell r="AH78">
            <v>2050</v>
          </cell>
          <cell r="AI78">
            <v>2260</v>
          </cell>
          <cell r="AJ78">
            <v>2480</v>
          </cell>
          <cell r="AK78">
            <v>2655</v>
          </cell>
          <cell r="AL78">
            <v>2835</v>
          </cell>
          <cell r="AM78">
            <v>194.99999999999989</v>
          </cell>
          <cell r="AN78" t="str">
            <v>down 7% (y/y gr in 2H)</v>
          </cell>
          <cell r="AO78">
            <v>100.00000000000009</v>
          </cell>
          <cell r="AP78">
            <v>49.999999999999766</v>
          </cell>
        </row>
        <row r="79">
          <cell r="C79" t="str">
            <v>Y/Y Change</v>
          </cell>
          <cell r="L79">
            <v>0.14837398373983746</v>
          </cell>
          <cell r="M79">
            <v>0.1254612546125462</v>
          </cell>
          <cell r="N79">
            <v>7.7064220183486132E-2</v>
          </cell>
          <cell r="O79">
            <v>5.9504132231404938E-2</v>
          </cell>
          <cell r="P79">
            <v>-0.14336283185840704</v>
          </cell>
          <cell r="Q79">
            <v>-0.13934426229508201</v>
          </cell>
          <cell r="R79">
            <v>-0.26235093696763201</v>
          </cell>
          <cell r="S79">
            <v>-0.29953198127925118</v>
          </cell>
          <cell r="T79">
            <v>-0.15082644628099173</v>
          </cell>
          <cell r="U79">
            <v>-0.1428571428571429</v>
          </cell>
          <cell r="V79">
            <v>7.390300230946889E-2</v>
          </cell>
          <cell r="W79">
            <v>0.11135857461024501</v>
          </cell>
          <cell r="Y79">
            <v>-0.21404109589041098</v>
          </cell>
          <cell r="Z79">
            <v>-7.6252723311546866E-2</v>
          </cell>
          <cell r="AA79">
            <v>9.6698113207547065E-2</v>
          </cell>
          <cell r="AB79">
            <v>0.17204301075268824</v>
          </cell>
          <cell r="AC79">
            <v>0.11314984709480114</v>
          </cell>
          <cell r="AD79">
            <v>-4</v>
          </cell>
          <cell r="AE79">
            <v>0.10027472527472536</v>
          </cell>
          <cell r="AF79">
            <v>-0.21306699958385356</v>
          </cell>
          <cell r="AG79">
            <v>-3.4902168164992031E-2</v>
          </cell>
          <cell r="AH79">
            <v>0.12328767123287676</v>
          </cell>
          <cell r="AI79">
            <v>0.10243902439024399</v>
          </cell>
          <cell r="AJ79">
            <v>9.7345132743362761E-2</v>
          </cell>
          <cell r="AK79">
            <v>7.0564516129032251E-2</v>
          </cell>
          <cell r="AL79">
            <v>6.7796610169491567E-2</v>
          </cell>
        </row>
        <row r="80">
          <cell r="C80" t="str">
            <v>San Jose</v>
          </cell>
          <cell r="M80">
            <v>73</v>
          </cell>
          <cell r="N80">
            <v>68</v>
          </cell>
          <cell r="O80">
            <v>42</v>
          </cell>
          <cell r="P80">
            <v>36</v>
          </cell>
          <cell r="Q80">
            <v>-81</v>
          </cell>
          <cell r="R80">
            <v>-85</v>
          </cell>
          <cell r="S80">
            <v>-154</v>
          </cell>
          <cell r="T80">
            <v>-192</v>
          </cell>
          <cell r="U80">
            <v>-73</v>
          </cell>
          <cell r="V80">
            <v>-76</v>
          </cell>
          <cell r="W80">
            <v>21</v>
          </cell>
          <cell r="X80">
            <v>35</v>
          </cell>
          <cell r="Y80">
            <v>49</v>
          </cell>
          <cell r="Z80">
            <v>58</v>
          </cell>
          <cell r="AA80">
            <v>68</v>
          </cell>
          <cell r="AB80">
            <v>72.450000000000045</v>
          </cell>
          <cell r="AC80">
            <v>185</v>
          </cell>
          <cell r="AD80">
            <v>2</v>
          </cell>
          <cell r="AE80">
            <v>219</v>
          </cell>
          <cell r="AF80">
            <v>-512</v>
          </cell>
          <cell r="AG80">
            <v>-87</v>
          </cell>
          <cell r="AH80">
            <v>-14.399999999999999</v>
          </cell>
          <cell r="AI80">
            <v>-2</v>
          </cell>
          <cell r="AJ80">
            <v>245.63044799999989</v>
          </cell>
          <cell r="AK80">
            <v>210.09408672000063</v>
          </cell>
          <cell r="AL80">
            <v>161.79963075360001</v>
          </cell>
          <cell r="AM80">
            <v>262.63000000000011</v>
          </cell>
          <cell r="AN80">
            <v>237.23579999999993</v>
          </cell>
          <cell r="AO80">
            <v>203.3493020689657</v>
          </cell>
          <cell r="AP80">
            <v>156.57329294896545</v>
          </cell>
        </row>
        <row r="81">
          <cell r="B81" t="str">
            <v>vs Main Model</v>
          </cell>
          <cell r="C81" t="str">
            <v>Total</v>
          </cell>
          <cell r="H81">
            <v>0</v>
          </cell>
          <cell r="I81">
            <v>0</v>
          </cell>
          <cell r="J81">
            <v>0</v>
          </cell>
          <cell r="K81">
            <v>0</v>
          </cell>
          <cell r="L81">
            <v>0</v>
          </cell>
          <cell r="M81">
            <v>0</v>
          </cell>
          <cell r="N81">
            <v>0</v>
          </cell>
          <cell r="O81">
            <v>0</v>
          </cell>
          <cell r="P81">
            <v>484</v>
          </cell>
          <cell r="Q81">
            <v>525</v>
          </cell>
          <cell r="R81">
            <v>433</v>
          </cell>
          <cell r="S81">
            <v>449</v>
          </cell>
          <cell r="T81">
            <v>411</v>
          </cell>
          <cell r="U81">
            <v>450</v>
          </cell>
          <cell r="V81">
            <v>465</v>
          </cell>
          <cell r="W81">
            <v>499</v>
          </cell>
          <cell r="X81">
            <v>10</v>
          </cell>
          <cell r="Y81">
            <v>16</v>
          </cell>
          <cell r="Z81">
            <v>23</v>
          </cell>
          <cell r="AA81">
            <v>33</v>
          </cell>
          <cell r="AB81">
            <v>1635</v>
          </cell>
          <cell r="AC81">
            <v>1820</v>
          </cell>
          <cell r="AD81">
            <v>-16.399999999999999</v>
          </cell>
          <cell r="AE81">
            <v>2403</v>
          </cell>
          <cell r="AF81">
            <v>1891</v>
          </cell>
          <cell r="AG81">
            <v>1825</v>
          </cell>
          <cell r="AH81">
            <v>2050</v>
          </cell>
          <cell r="AI81">
            <v>2260</v>
          </cell>
          <cell r="AJ81">
            <v>2480</v>
          </cell>
          <cell r="AK81">
            <v>2655</v>
          </cell>
          <cell r="AL81">
            <v>2835</v>
          </cell>
          <cell r="AM81">
            <v>-686.92731688629613</v>
          </cell>
          <cell r="AN81">
            <v>70.236916000000008</v>
          </cell>
          <cell r="AO81">
            <v>71.698997475862143</v>
          </cell>
          <cell r="AP81">
            <v>50.275799353351658</v>
          </cell>
          <cell r="AQ81">
            <v>-670.4052728292138</v>
          </cell>
        </row>
        <row r="82">
          <cell r="A82" t="str">
            <v>OEM Build-Up</v>
          </cell>
          <cell r="C82" t="str">
            <v>Difference</v>
          </cell>
          <cell r="M82">
            <v>0.31506849315068491</v>
          </cell>
          <cell r="N82">
            <v>0.26470588235294118</v>
          </cell>
          <cell r="O82">
            <v>0.47619047619047616</v>
          </cell>
          <cell r="P82">
            <v>0</v>
          </cell>
          <cell r="Q82">
            <v>0</v>
          </cell>
          <cell r="R82">
            <v>0</v>
          </cell>
          <cell r="S82">
            <v>0</v>
          </cell>
          <cell r="T82">
            <v>0</v>
          </cell>
          <cell r="U82">
            <v>0</v>
          </cell>
          <cell r="V82">
            <v>0</v>
          </cell>
          <cell r="W82">
            <v>0</v>
          </cell>
          <cell r="X82">
            <v>0.2857142857142857</v>
          </cell>
          <cell r="Y82">
            <v>0.32653061224489793</v>
          </cell>
          <cell r="Z82">
            <v>0.39655172413793105</v>
          </cell>
          <cell r="AA82">
            <v>0.48529411764705882</v>
          </cell>
          <cell r="AB82">
            <v>0</v>
          </cell>
          <cell r="AC82">
            <v>0</v>
          </cell>
          <cell r="AD82">
            <v>0</v>
          </cell>
          <cell r="AE82">
            <v>0</v>
          </cell>
          <cell r="AF82">
            <v>0</v>
          </cell>
          <cell r="AG82">
            <v>0</v>
          </cell>
          <cell r="AH82">
            <v>0</v>
          </cell>
          <cell r="AI82">
            <v>0</v>
          </cell>
          <cell r="AJ82">
            <v>0</v>
          </cell>
          <cell r="AK82">
            <v>0</v>
          </cell>
          <cell r="AL82">
            <v>0</v>
          </cell>
          <cell r="AM82">
            <v>0.3580648060008374</v>
          </cell>
          <cell r="AN82">
            <v>0.29606373068482933</v>
          </cell>
          <cell r="AO82">
            <v>0.35259032977425958</v>
          </cell>
          <cell r="AP82">
            <v>0.32110073440007991</v>
          </cell>
        </row>
        <row r="83">
          <cell r="A83" t="str">
            <v>OEM Build-Up</v>
          </cell>
          <cell r="C83" t="str">
            <v>Total</v>
          </cell>
          <cell r="AH83">
            <v>1.6000000000000014</v>
          </cell>
        </row>
        <row r="84">
          <cell r="A84" t="str">
            <v>Segment Operating Profit</v>
          </cell>
          <cell r="C84" t="str">
            <v>Boeing Deliveries (Calendar)</v>
          </cell>
          <cell r="AH84">
            <v>-14.399999999999999</v>
          </cell>
          <cell r="AI84">
            <v>-2</v>
          </cell>
          <cell r="AL84">
            <v>-14.399999999999999</v>
          </cell>
          <cell r="AM84">
            <v>-2</v>
          </cell>
        </row>
        <row r="85">
          <cell r="A85" t="str">
            <v>OEM Build-Up</v>
          </cell>
          <cell r="C85" t="str">
            <v>Boeing Deliveries (Calendar)</v>
          </cell>
          <cell r="D85" t="str">
            <v>737NG</v>
          </cell>
          <cell r="Z85">
            <v>330</v>
          </cell>
          <cell r="AA85">
            <v>290</v>
          </cell>
          <cell r="AB85">
            <v>372</v>
          </cell>
          <cell r="AC85">
            <v>376</v>
          </cell>
          <cell r="AD85">
            <v>380</v>
          </cell>
          <cell r="AE85">
            <v>410</v>
          </cell>
          <cell r="AF85">
            <v>410</v>
          </cell>
          <cell r="AG85">
            <v>372</v>
          </cell>
          <cell r="AH85">
            <v>372</v>
          </cell>
          <cell r="AL85">
            <v>14</v>
          </cell>
        </row>
        <row r="86">
          <cell r="B86" t="str">
            <v>Segment Operating Profit</v>
          </cell>
          <cell r="C86" t="str">
            <v>San Jose</v>
          </cell>
          <cell r="D86" t="str">
            <v>737NG</v>
          </cell>
          <cell r="H86">
            <v>114</v>
          </cell>
          <cell r="I86">
            <v>122</v>
          </cell>
          <cell r="J86">
            <v>119</v>
          </cell>
          <cell r="K86">
            <v>130</v>
          </cell>
          <cell r="L86">
            <v>137</v>
          </cell>
          <cell r="M86">
            <v>140</v>
          </cell>
          <cell r="N86">
            <v>139</v>
          </cell>
          <cell r="O86">
            <v>144</v>
          </cell>
          <cell r="P86">
            <v>97</v>
          </cell>
          <cell r="Q86">
            <v>110</v>
          </cell>
          <cell r="R86">
            <v>75</v>
          </cell>
          <cell r="S86">
            <v>71</v>
          </cell>
          <cell r="T86">
            <v>68</v>
          </cell>
          <cell r="U86">
            <v>75</v>
          </cell>
          <cell r="V86">
            <v>83</v>
          </cell>
          <cell r="W86">
            <v>94</v>
          </cell>
          <cell r="X86">
            <v>275</v>
          </cell>
          <cell r="Y86">
            <v>174</v>
          </cell>
          <cell r="Z86">
            <v>330</v>
          </cell>
          <cell r="AA86">
            <v>290</v>
          </cell>
          <cell r="AB86">
            <v>372</v>
          </cell>
          <cell r="AC86">
            <v>376</v>
          </cell>
          <cell r="AD86">
            <v>380</v>
          </cell>
          <cell r="AE86">
            <v>410</v>
          </cell>
          <cell r="AF86">
            <v>410</v>
          </cell>
          <cell r="AG86">
            <v>372</v>
          </cell>
          <cell r="AH86">
            <v>372</v>
          </cell>
          <cell r="AI86">
            <v>494.75</v>
          </cell>
          <cell r="AJ86">
            <v>560.75</v>
          </cell>
          <cell r="AK86">
            <v>604.5</v>
          </cell>
          <cell r="AL86">
            <v>649.5</v>
          </cell>
        </row>
        <row r="87">
          <cell r="B87" t="str">
            <v>Operating Profit Margin (%)</v>
          </cell>
          <cell r="C87" t="str">
            <v>Boeing Deliveries (Calendar)</v>
          </cell>
          <cell r="D87">
            <v>747</v>
          </cell>
          <cell r="H87">
            <v>0.23170731707317074</v>
          </cell>
          <cell r="I87">
            <v>0.22509225092250923</v>
          </cell>
          <cell r="J87">
            <v>0.21834862385321102</v>
          </cell>
          <cell r="K87">
            <v>0.21487603305785125</v>
          </cell>
          <cell r="L87">
            <v>0.2424778761061947</v>
          </cell>
          <cell r="M87">
            <v>0.22950819672131148</v>
          </cell>
          <cell r="N87">
            <v>0.23679727427597955</v>
          </cell>
          <cell r="O87">
            <v>0.22464898595943839</v>
          </cell>
          <cell r="P87">
            <v>0.20041322314049587</v>
          </cell>
          <cell r="Q87">
            <v>0.20952380952380953</v>
          </cell>
          <cell r="R87">
            <v>0.17321016166281755</v>
          </cell>
          <cell r="S87">
            <v>0.15812917594654788</v>
          </cell>
          <cell r="T87">
            <v>0.16545012165450121</v>
          </cell>
          <cell r="U87">
            <v>0.16666666666666666</v>
          </cell>
          <cell r="V87">
            <v>0.17849462365591398</v>
          </cell>
          <cell r="W87">
            <v>0.18837675350701402</v>
          </cell>
          <cell r="X87">
            <v>0.1569634703196347</v>
          </cell>
          <cell r="Y87">
            <v>0.12636165577342048</v>
          </cell>
          <cell r="Z87">
            <v>16</v>
          </cell>
          <cell r="AA87">
            <v>14</v>
          </cell>
          <cell r="AB87">
            <v>8</v>
          </cell>
          <cell r="AC87">
            <v>8</v>
          </cell>
          <cell r="AD87">
            <v>0</v>
          </cell>
          <cell r="AE87">
            <v>12</v>
          </cell>
          <cell r="AF87">
            <v>20</v>
          </cell>
          <cell r="AG87">
            <v>22</v>
          </cell>
          <cell r="AH87">
            <v>20</v>
          </cell>
          <cell r="AI87">
            <v>20</v>
          </cell>
          <cell r="AJ87">
            <v>0.22610887096774193</v>
          </cell>
          <cell r="AK87">
            <v>0.22768361581920904</v>
          </cell>
          <cell r="AL87">
            <v>0.22910052910052911</v>
          </cell>
          <cell r="AM87">
            <v>20</v>
          </cell>
        </row>
        <row r="88">
          <cell r="B88" t="str">
            <v>Change in Margin (bps)</v>
          </cell>
          <cell r="D88">
            <v>767</v>
          </cell>
          <cell r="H88">
            <v>2317.0731707317073</v>
          </cell>
          <cell r="I88">
            <v>-66.150661506615137</v>
          </cell>
          <cell r="J88">
            <v>-67.436270692982077</v>
          </cell>
          <cell r="K88">
            <v>-34.725907953597755</v>
          </cell>
          <cell r="L88">
            <v>276.01843048343454</v>
          </cell>
          <cell r="M88">
            <v>-129.69679384883221</v>
          </cell>
          <cell r="N88">
            <v>72.890775546680658</v>
          </cell>
          <cell r="O88">
            <v>-121.48288316541162</v>
          </cell>
          <cell r="P88">
            <v>-242.35762818942518</v>
          </cell>
          <cell r="Q88">
            <v>91.105863833136624</v>
          </cell>
          <cell r="R88">
            <v>-363.13647860991978</v>
          </cell>
          <cell r="S88">
            <v>-150.80985716269674</v>
          </cell>
          <cell r="T88">
            <v>73.209457079533308</v>
          </cell>
          <cell r="U88">
            <v>12.165450121654487</v>
          </cell>
          <cell r="V88">
            <v>118.27956989247323</v>
          </cell>
          <cell r="W88">
            <v>98.821298511000407</v>
          </cell>
          <cell r="Y88">
            <v>-306.01814546214217</v>
          </cell>
          <cell r="Z88">
            <v>12</v>
          </cell>
          <cell r="AA88">
            <v>10</v>
          </cell>
          <cell r="AB88">
            <v>13</v>
          </cell>
          <cell r="AC88">
            <v>12</v>
          </cell>
          <cell r="AD88">
            <v>18</v>
          </cell>
          <cell r="AE88">
            <v>18</v>
          </cell>
          <cell r="AF88">
            <v>12</v>
          </cell>
          <cell r="AG88">
            <v>12</v>
          </cell>
          <cell r="AH88">
            <v>12</v>
          </cell>
          <cell r="AI88">
            <v>134.28124325491063</v>
          </cell>
          <cell r="AJ88">
            <v>71.929417642020994</v>
          </cell>
          <cell r="AK88">
            <v>15.747448514671081</v>
          </cell>
          <cell r="AL88">
            <v>14.169132813200703</v>
          </cell>
        </row>
        <row r="89">
          <cell r="A89" t="str">
            <v>OEM Build-Up</v>
          </cell>
          <cell r="D89">
            <v>777</v>
          </cell>
          <cell r="Z89">
            <v>83</v>
          </cell>
          <cell r="AA89">
            <v>61</v>
          </cell>
          <cell r="AB89">
            <v>88</v>
          </cell>
          <cell r="AC89">
            <v>72</v>
          </cell>
          <cell r="AD89">
            <v>72</v>
          </cell>
          <cell r="AE89">
            <v>84</v>
          </cell>
          <cell r="AF89">
            <v>84</v>
          </cell>
          <cell r="AG89">
            <v>84</v>
          </cell>
          <cell r="AH89">
            <v>84</v>
          </cell>
          <cell r="AI89">
            <v>35</v>
          </cell>
          <cell r="AJ89">
            <v>24</v>
          </cell>
          <cell r="AK89">
            <v>24</v>
          </cell>
          <cell r="AL89">
            <v>20</v>
          </cell>
          <cell r="AM89">
            <v>20</v>
          </cell>
        </row>
        <row r="90">
          <cell r="B90" t="str">
            <v>Incremental Sales (Y/Y)</v>
          </cell>
          <cell r="D90">
            <v>787</v>
          </cell>
          <cell r="L90">
            <v>73</v>
          </cell>
          <cell r="M90">
            <v>68</v>
          </cell>
          <cell r="N90">
            <v>42</v>
          </cell>
          <cell r="O90">
            <v>36</v>
          </cell>
          <cell r="P90">
            <v>-81</v>
          </cell>
          <cell r="Q90">
            <v>-85</v>
          </cell>
          <cell r="R90">
            <v>-154</v>
          </cell>
          <cell r="S90">
            <v>-192</v>
          </cell>
          <cell r="T90">
            <v>-73</v>
          </cell>
          <cell r="U90">
            <v>-75</v>
          </cell>
          <cell r="V90">
            <v>32</v>
          </cell>
          <cell r="W90">
            <v>50</v>
          </cell>
          <cell r="Y90">
            <v>-375</v>
          </cell>
          <cell r="Z90">
            <v>0</v>
          </cell>
          <cell r="AA90">
            <v>0</v>
          </cell>
          <cell r="AB90">
            <v>0</v>
          </cell>
          <cell r="AC90">
            <v>0</v>
          </cell>
          <cell r="AD90">
            <v>50</v>
          </cell>
          <cell r="AE90">
            <v>48</v>
          </cell>
          <cell r="AF90">
            <v>108</v>
          </cell>
          <cell r="AG90">
            <v>120</v>
          </cell>
          <cell r="AH90">
            <v>120</v>
          </cell>
          <cell r="AI90">
            <v>210</v>
          </cell>
          <cell r="AJ90">
            <v>220</v>
          </cell>
          <cell r="AK90">
            <v>175</v>
          </cell>
          <cell r="AL90">
            <v>180</v>
          </cell>
        </row>
        <row r="91">
          <cell r="B91" t="str">
            <v>Incremental Operating Profit (Y/Y)</v>
          </cell>
          <cell r="C91" t="str">
            <v>Boeing Deliveries (Calendar)</v>
          </cell>
          <cell r="D91" t="str">
            <v>Total Boeing</v>
          </cell>
          <cell r="L91">
            <v>23</v>
          </cell>
          <cell r="M91">
            <v>18</v>
          </cell>
          <cell r="N91">
            <v>20</v>
          </cell>
          <cell r="O91">
            <v>14</v>
          </cell>
          <cell r="P91">
            <v>-40</v>
          </cell>
          <cell r="Q91">
            <v>-30</v>
          </cell>
          <cell r="R91">
            <v>-64</v>
          </cell>
          <cell r="S91">
            <v>-73</v>
          </cell>
          <cell r="T91">
            <v>-29</v>
          </cell>
          <cell r="U91">
            <v>-35</v>
          </cell>
          <cell r="V91">
            <v>8</v>
          </cell>
          <cell r="W91">
            <v>23</v>
          </cell>
          <cell r="Y91">
            <v>-101</v>
          </cell>
          <cell r="Z91">
            <v>441</v>
          </cell>
          <cell r="AA91">
            <v>375</v>
          </cell>
          <cell r="AB91">
            <v>481</v>
          </cell>
          <cell r="AC91">
            <v>468</v>
          </cell>
          <cell r="AD91">
            <v>520</v>
          </cell>
          <cell r="AE91">
            <v>572</v>
          </cell>
          <cell r="AF91">
            <v>634</v>
          </cell>
          <cell r="AG91">
            <v>610</v>
          </cell>
          <cell r="AH91">
            <v>608</v>
          </cell>
          <cell r="AI91">
            <v>73.5</v>
          </cell>
          <cell r="AJ91">
            <v>66</v>
          </cell>
          <cell r="AK91">
            <v>43.75</v>
          </cell>
          <cell r="AL91">
            <v>45</v>
          </cell>
        </row>
        <row r="92">
          <cell r="B92" t="str">
            <v>Drop Through Rate</v>
          </cell>
          <cell r="C92" t="str">
            <v>Boeing Deliveries (Adjusted)</v>
          </cell>
          <cell r="D92">
            <v>787</v>
          </cell>
          <cell r="L92">
            <v>0.31506849315068491</v>
          </cell>
          <cell r="M92">
            <v>0.26470588235294118</v>
          </cell>
          <cell r="N92">
            <v>0.47619047619047616</v>
          </cell>
          <cell r="O92">
            <v>0.3888888888888889</v>
          </cell>
          <cell r="P92">
            <v>0.49382716049382713</v>
          </cell>
          <cell r="Q92">
            <v>0.35294117647058826</v>
          </cell>
          <cell r="R92">
            <v>0.41558441558441561</v>
          </cell>
          <cell r="S92">
            <v>0.38020833333333331</v>
          </cell>
          <cell r="T92">
            <v>0.39726027397260272</v>
          </cell>
          <cell r="U92">
            <v>0.46666666666666667</v>
          </cell>
          <cell r="V92">
            <v>0.25</v>
          </cell>
          <cell r="W92">
            <v>0.46</v>
          </cell>
          <cell r="Y92">
            <v>0.26933333333333331</v>
          </cell>
          <cell r="Z92">
            <v>0.35238095238095241</v>
          </cell>
          <cell r="AA92">
            <v>0.51219512195121952</v>
          </cell>
          <cell r="AB92">
            <v>0.4</v>
          </cell>
          <cell r="AC92">
            <v>0.4</v>
          </cell>
          <cell r="AD92">
            <v>0.31593406593406592</v>
          </cell>
          <cell r="AE92">
            <v>0.34246575342465752</v>
          </cell>
          <cell r="AF92">
            <v>0.404296875</v>
          </cell>
          <cell r="AG92">
            <v>0.5</v>
          </cell>
          <cell r="AH92">
            <v>0.45</v>
          </cell>
          <cell r="AI92">
            <v>0.35</v>
          </cell>
          <cell r="AJ92">
            <v>0.3</v>
          </cell>
          <cell r="AK92">
            <v>0.25</v>
          </cell>
          <cell r="AL92">
            <v>0.25</v>
          </cell>
          <cell r="AM92">
            <v>420</v>
          </cell>
          <cell r="AN92">
            <v>445</v>
          </cell>
          <cell r="AO92">
            <v>505</v>
          </cell>
          <cell r="AP92">
            <v>480</v>
          </cell>
        </row>
        <row r="93">
          <cell r="C93" t="str">
            <v>Boeing Deliveries (Adjusted)</v>
          </cell>
          <cell r="D93" t="str">
            <v>737NG</v>
          </cell>
          <cell r="Z93">
            <v>247.5</v>
          </cell>
          <cell r="AA93">
            <v>300</v>
          </cell>
          <cell r="AB93">
            <v>351.5</v>
          </cell>
          <cell r="AC93">
            <v>375</v>
          </cell>
          <cell r="AD93">
            <v>379</v>
          </cell>
          <cell r="AE93">
            <v>402.5</v>
          </cell>
          <cell r="AF93">
            <v>410</v>
          </cell>
          <cell r="AG93">
            <v>381.5</v>
          </cell>
          <cell r="AH93">
            <v>372</v>
          </cell>
          <cell r="AI93">
            <v>607</v>
          </cell>
          <cell r="AJ93">
            <v>665</v>
          </cell>
          <cell r="AK93">
            <v>690</v>
          </cell>
          <cell r="AL93">
            <v>694</v>
          </cell>
          <cell r="AM93">
            <v>20</v>
          </cell>
          <cell r="AN93">
            <v>24</v>
          </cell>
          <cell r="AO93">
            <v>24</v>
          </cell>
          <cell r="AP93">
            <v>24</v>
          </cell>
          <cell r="AQ93">
            <v>20</v>
          </cell>
        </row>
        <row r="94">
          <cell r="D94" t="str">
            <v>737NG</v>
          </cell>
          <cell r="H94" t="b">
            <v>1</v>
          </cell>
          <cell r="I94" t="b">
            <v>1</v>
          </cell>
          <cell r="J94" t="b">
            <v>1</v>
          </cell>
          <cell r="K94" t="b">
            <v>1</v>
          </cell>
          <cell r="L94" t="b">
            <v>1</v>
          </cell>
          <cell r="M94" t="b">
            <v>1</v>
          </cell>
          <cell r="N94" t="b">
            <v>1</v>
          </cell>
          <cell r="O94" t="b">
            <v>1</v>
          </cell>
          <cell r="P94" t="b">
            <v>1</v>
          </cell>
          <cell r="Q94" t="b">
            <v>1</v>
          </cell>
          <cell r="R94" t="b">
            <v>1</v>
          </cell>
          <cell r="S94" t="b">
            <v>1</v>
          </cell>
          <cell r="T94" t="b">
            <v>1</v>
          </cell>
          <cell r="U94" t="b">
            <v>1</v>
          </cell>
          <cell r="V94" t="b">
            <v>1</v>
          </cell>
          <cell r="W94" t="b">
            <v>1</v>
          </cell>
          <cell r="Z94">
            <v>247.5</v>
          </cell>
          <cell r="AA94">
            <v>300</v>
          </cell>
          <cell r="AB94">
            <v>351.5</v>
          </cell>
          <cell r="AC94">
            <v>375</v>
          </cell>
          <cell r="AD94">
            <v>379</v>
          </cell>
          <cell r="AE94">
            <v>402.5</v>
          </cell>
          <cell r="AF94">
            <v>410</v>
          </cell>
          <cell r="AG94">
            <v>381.5</v>
          </cell>
          <cell r="AH94">
            <v>372</v>
          </cell>
          <cell r="AI94" t="b">
            <v>1</v>
          </cell>
          <cell r="AJ94" t="b">
            <v>1</v>
          </cell>
          <cell r="AK94" t="b">
            <v>1</v>
          </cell>
          <cell r="AL94" t="b">
            <v>1</v>
          </cell>
          <cell r="AM94">
            <v>18</v>
          </cell>
          <cell r="AN94">
            <v>18</v>
          </cell>
          <cell r="AO94">
            <v>22</v>
          </cell>
          <cell r="AP94">
            <v>22</v>
          </cell>
        </row>
        <row r="95">
          <cell r="C95" t="str">
            <v>Boeing Deliveries (Adjusted)</v>
          </cell>
          <cell r="D95">
            <v>747</v>
          </cell>
          <cell r="Z95">
            <v>12</v>
          </cell>
          <cell r="AA95">
            <v>14.5</v>
          </cell>
          <cell r="AB95">
            <v>9.5</v>
          </cell>
          <cell r="AC95">
            <v>0</v>
          </cell>
          <cell r="AD95">
            <v>8</v>
          </cell>
          <cell r="AE95">
            <v>9</v>
          </cell>
          <cell r="AF95">
            <v>18</v>
          </cell>
          <cell r="AG95">
            <v>21.5</v>
          </cell>
          <cell r="AH95">
            <v>20.5</v>
          </cell>
          <cell r="AI95">
            <v>20</v>
          </cell>
          <cell r="AJ95">
            <v>26.75</v>
          </cell>
          <cell r="AK95">
            <v>24</v>
          </cell>
          <cell r="AL95">
            <v>21</v>
          </cell>
          <cell r="AM95">
            <v>20</v>
          </cell>
          <cell r="AN95">
            <v>95</v>
          </cell>
          <cell r="AO95">
            <v>95</v>
          </cell>
          <cell r="AP95">
            <v>100</v>
          </cell>
        </row>
        <row r="96">
          <cell r="D96">
            <v>767</v>
          </cell>
          <cell r="Z96">
            <v>9</v>
          </cell>
          <cell r="AA96">
            <v>10.5</v>
          </cell>
          <cell r="AB96">
            <v>12.25</v>
          </cell>
          <cell r="AC96">
            <v>12.25</v>
          </cell>
          <cell r="AD96">
            <v>16.5</v>
          </cell>
          <cell r="AE96">
            <v>18</v>
          </cell>
          <cell r="AF96">
            <v>13.5</v>
          </cell>
          <cell r="AG96">
            <v>12</v>
          </cell>
          <cell r="AH96">
            <v>12</v>
          </cell>
          <cell r="AI96">
            <v>401.25</v>
          </cell>
          <cell r="AJ96">
            <v>432.5</v>
          </cell>
          <cell r="AK96">
            <v>445.25</v>
          </cell>
          <cell r="AL96">
            <v>447</v>
          </cell>
          <cell r="AM96">
            <v>60</v>
          </cell>
          <cell r="AN96">
            <v>84</v>
          </cell>
          <cell r="AO96">
            <v>108</v>
          </cell>
          <cell r="AP96">
            <v>120</v>
          </cell>
        </row>
        <row r="97">
          <cell r="D97">
            <v>777</v>
          </cell>
          <cell r="Z97">
            <v>62.25</v>
          </cell>
          <cell r="AA97">
            <v>66.5</v>
          </cell>
          <cell r="AB97">
            <v>81.25</v>
          </cell>
          <cell r="AC97">
            <v>76</v>
          </cell>
          <cell r="AD97">
            <v>78</v>
          </cell>
          <cell r="AE97">
            <v>81</v>
          </cell>
          <cell r="AF97">
            <v>84</v>
          </cell>
          <cell r="AG97">
            <v>84</v>
          </cell>
          <cell r="AH97">
            <v>84</v>
          </cell>
          <cell r="AI97">
            <v>29.25</v>
          </cell>
          <cell r="AJ97">
            <v>26.75</v>
          </cell>
          <cell r="AK97">
            <v>24</v>
          </cell>
          <cell r="AL97">
            <v>21</v>
          </cell>
          <cell r="AM97">
            <v>20</v>
          </cell>
          <cell r="AN97">
            <v>666</v>
          </cell>
          <cell r="AO97">
            <v>754</v>
          </cell>
          <cell r="AP97">
            <v>746</v>
          </cell>
        </row>
        <row r="98">
          <cell r="D98">
            <v>787</v>
          </cell>
          <cell r="Z98">
            <v>0</v>
          </cell>
          <cell r="AA98">
            <v>0</v>
          </cell>
          <cell r="AB98">
            <v>10</v>
          </cell>
          <cell r="AC98">
            <v>18</v>
          </cell>
          <cell r="AD98">
            <v>50</v>
          </cell>
          <cell r="AE98">
            <v>60</v>
          </cell>
          <cell r="AF98">
            <v>108</v>
          </cell>
          <cell r="AG98">
            <v>120</v>
          </cell>
          <cell r="AH98">
            <v>120</v>
          </cell>
          <cell r="AI98">
            <v>18</v>
          </cell>
          <cell r="AJ98">
            <v>18</v>
          </cell>
          <cell r="AK98">
            <v>13.5</v>
          </cell>
          <cell r="AL98">
            <v>12</v>
          </cell>
        </row>
        <row r="99">
          <cell r="C99" t="str">
            <v>Boeing Deliveries (Adjusted)</v>
          </cell>
          <cell r="D99" t="str">
            <v>Total Boeing</v>
          </cell>
          <cell r="Z99">
            <v>330.75</v>
          </cell>
          <cell r="AA99">
            <v>391.5</v>
          </cell>
          <cell r="AB99">
            <v>464.5</v>
          </cell>
          <cell r="AC99">
            <v>481.25</v>
          </cell>
          <cell r="AD99">
            <v>531.5</v>
          </cell>
          <cell r="AE99">
            <v>570.5</v>
          </cell>
          <cell r="AF99">
            <v>633.5</v>
          </cell>
          <cell r="AG99">
            <v>619</v>
          </cell>
          <cell r="AH99">
            <v>608.5</v>
          </cell>
          <cell r="AI99">
            <v>81.25</v>
          </cell>
          <cell r="AJ99">
            <v>95.25</v>
          </cell>
          <cell r="AK99">
            <v>99</v>
          </cell>
          <cell r="AL99">
            <v>96</v>
          </cell>
        </row>
        <row r="100">
          <cell r="C100" t="str">
            <v>Airbus Deliveries (Calendar)</v>
          </cell>
          <cell r="D100">
            <v>787</v>
          </cell>
          <cell r="AD100">
            <v>0</v>
          </cell>
          <cell r="AE100">
            <v>0</v>
          </cell>
          <cell r="AF100">
            <v>10</v>
          </cell>
          <cell r="AG100">
            <v>18</v>
          </cell>
          <cell r="AH100">
            <v>30</v>
          </cell>
          <cell r="AI100">
            <v>50</v>
          </cell>
          <cell r="AJ100">
            <v>80</v>
          </cell>
          <cell r="AK100">
            <v>100</v>
          </cell>
          <cell r="AL100">
            <v>120</v>
          </cell>
          <cell r="AM100">
            <v>408.75</v>
          </cell>
          <cell r="AN100">
            <v>438.75</v>
          </cell>
          <cell r="AO100">
            <v>490</v>
          </cell>
          <cell r="AP100">
            <v>486.25</v>
          </cell>
        </row>
        <row r="101">
          <cell r="C101" t="str">
            <v>Airbus Deliveries (Calendar)</v>
          </cell>
          <cell r="D101" t="str">
            <v>A320 Family</v>
          </cell>
          <cell r="Z101">
            <v>367</v>
          </cell>
          <cell r="AA101">
            <v>386</v>
          </cell>
          <cell r="AB101">
            <v>402</v>
          </cell>
          <cell r="AC101">
            <v>408</v>
          </cell>
          <cell r="AD101">
            <v>427</v>
          </cell>
          <cell r="AE101">
            <v>450</v>
          </cell>
          <cell r="AF101">
            <v>452</v>
          </cell>
          <cell r="AG101">
            <v>452</v>
          </cell>
          <cell r="AH101">
            <v>458</v>
          </cell>
          <cell r="AI101">
            <v>579.75</v>
          </cell>
          <cell r="AJ101">
            <v>652.5</v>
          </cell>
          <cell r="AK101">
            <v>681.75</v>
          </cell>
          <cell r="AL101">
            <v>696</v>
          </cell>
          <cell r="AM101">
            <v>20</v>
          </cell>
          <cell r="AN101">
            <v>25.5</v>
          </cell>
          <cell r="AO101">
            <v>24</v>
          </cell>
          <cell r="AP101">
            <v>24</v>
          </cell>
          <cell r="AQ101">
            <v>20</v>
          </cell>
        </row>
        <row r="102">
          <cell r="D102" t="str">
            <v>A320 Family</v>
          </cell>
          <cell r="Z102">
            <v>367</v>
          </cell>
          <cell r="AA102">
            <v>386</v>
          </cell>
          <cell r="AB102">
            <v>402</v>
          </cell>
          <cell r="AC102">
            <v>408</v>
          </cell>
          <cell r="AD102">
            <v>427</v>
          </cell>
          <cell r="AE102">
            <v>450</v>
          </cell>
          <cell r="AF102">
            <v>452</v>
          </cell>
          <cell r="AG102">
            <v>452</v>
          </cell>
          <cell r="AH102">
            <v>458</v>
          </cell>
          <cell r="AI102">
            <v>454</v>
          </cell>
          <cell r="AJ102">
            <v>476</v>
          </cell>
          <cell r="AK102">
            <v>476</v>
          </cell>
          <cell r="AL102">
            <v>476</v>
          </cell>
          <cell r="AM102">
            <v>18</v>
          </cell>
          <cell r="AN102">
            <v>18</v>
          </cell>
          <cell r="AO102">
            <v>21</v>
          </cell>
          <cell r="AP102">
            <v>22</v>
          </cell>
        </row>
        <row r="103">
          <cell r="C103" t="str">
            <v>Airbus Deliveries (Calendar)</v>
          </cell>
          <cell r="D103" t="str">
            <v>A330</v>
          </cell>
          <cell r="Z103">
            <v>68</v>
          </cell>
          <cell r="AA103">
            <v>72</v>
          </cell>
          <cell r="AB103">
            <v>76</v>
          </cell>
          <cell r="AC103">
            <v>73</v>
          </cell>
          <cell r="AD103">
            <v>70</v>
          </cell>
          <cell r="AE103">
            <v>68</v>
          </cell>
          <cell r="AF103">
            <v>68</v>
          </cell>
          <cell r="AG103">
            <v>64</v>
          </cell>
          <cell r="AH103">
            <v>62</v>
          </cell>
          <cell r="AI103">
            <v>90</v>
          </cell>
          <cell r="AJ103">
            <v>90</v>
          </cell>
          <cell r="AK103">
            <v>82</v>
          </cell>
          <cell r="AL103">
            <v>74</v>
          </cell>
          <cell r="AM103">
            <v>81</v>
          </cell>
          <cell r="AN103">
            <v>92.25</v>
          </cell>
          <cell r="AO103">
            <v>95</v>
          </cell>
          <cell r="AP103">
            <v>98.75</v>
          </cell>
        </row>
        <row r="104">
          <cell r="D104" t="str">
            <v>A340</v>
          </cell>
          <cell r="Z104">
            <v>11</v>
          </cell>
          <cell r="AA104">
            <v>13</v>
          </cell>
          <cell r="AB104">
            <v>10</v>
          </cell>
          <cell r="AC104">
            <v>10</v>
          </cell>
          <cell r="AD104">
            <v>7</v>
          </cell>
          <cell r="AE104">
            <v>5</v>
          </cell>
          <cell r="AF104">
            <v>4</v>
          </cell>
          <cell r="AG104">
            <v>3</v>
          </cell>
          <cell r="AH104">
            <v>3</v>
          </cell>
          <cell r="AI104">
            <v>454</v>
          </cell>
          <cell r="AJ104">
            <v>476</v>
          </cell>
          <cell r="AK104">
            <v>476</v>
          </cell>
          <cell r="AL104">
            <v>476</v>
          </cell>
          <cell r="AM104">
            <v>46</v>
          </cell>
          <cell r="AN104">
            <v>78</v>
          </cell>
          <cell r="AO104">
            <v>102</v>
          </cell>
          <cell r="AP104">
            <v>117</v>
          </cell>
        </row>
        <row r="105">
          <cell r="D105" t="str">
            <v>A350</v>
          </cell>
          <cell r="Z105">
            <v>0</v>
          </cell>
          <cell r="AA105">
            <v>0</v>
          </cell>
          <cell r="AB105">
            <v>0</v>
          </cell>
          <cell r="AC105">
            <v>0</v>
          </cell>
          <cell r="AD105">
            <v>0</v>
          </cell>
          <cell r="AE105">
            <v>0</v>
          </cell>
          <cell r="AF105">
            <v>10</v>
          </cell>
          <cell r="AG105">
            <v>15</v>
          </cell>
          <cell r="AH105">
            <v>25</v>
          </cell>
          <cell r="AI105">
            <v>90</v>
          </cell>
          <cell r="AJ105">
            <v>90</v>
          </cell>
          <cell r="AK105">
            <v>82</v>
          </cell>
          <cell r="AL105">
            <v>74</v>
          </cell>
          <cell r="AM105">
            <v>579</v>
          </cell>
          <cell r="AN105">
            <v>652.5</v>
          </cell>
          <cell r="AO105">
            <v>732</v>
          </cell>
          <cell r="AP105">
            <v>748</v>
          </cell>
        </row>
        <row r="106">
          <cell r="D106" t="str">
            <v>A380</v>
          </cell>
          <cell r="Z106">
            <v>1</v>
          </cell>
          <cell r="AA106">
            <v>12</v>
          </cell>
          <cell r="AB106">
            <v>10</v>
          </cell>
          <cell r="AC106">
            <v>15</v>
          </cell>
          <cell r="AD106">
            <v>20</v>
          </cell>
          <cell r="AE106">
            <v>25</v>
          </cell>
          <cell r="AF106">
            <v>30</v>
          </cell>
          <cell r="AG106">
            <v>30</v>
          </cell>
          <cell r="AH106">
            <v>30</v>
          </cell>
          <cell r="AI106">
            <v>5</v>
          </cell>
          <cell r="AJ106">
            <v>4</v>
          </cell>
          <cell r="AK106">
            <v>2</v>
          </cell>
          <cell r="AL106">
            <v>2</v>
          </cell>
        </row>
        <row r="107">
          <cell r="C107" t="str">
            <v>Airbus Deliveries (Calendar)</v>
          </cell>
          <cell r="D107" t="str">
            <v>Total Airbus</v>
          </cell>
          <cell r="Z107">
            <v>447</v>
          </cell>
          <cell r="AA107">
            <v>483</v>
          </cell>
          <cell r="AB107">
            <v>498</v>
          </cell>
          <cell r="AC107">
            <v>506</v>
          </cell>
          <cell r="AD107">
            <v>524</v>
          </cell>
          <cell r="AE107">
            <v>548</v>
          </cell>
          <cell r="AF107">
            <v>564</v>
          </cell>
          <cell r="AG107">
            <v>564</v>
          </cell>
          <cell r="AH107">
            <v>578</v>
          </cell>
          <cell r="AI107">
            <v>0</v>
          </cell>
          <cell r="AJ107">
            <v>2</v>
          </cell>
          <cell r="AK107">
            <v>15</v>
          </cell>
          <cell r="AL107">
            <v>25</v>
          </cell>
        </row>
        <row r="108">
          <cell r="C108" t="str">
            <v>Airbus Deliveries (Adjusted)</v>
          </cell>
          <cell r="D108" t="str">
            <v>A380</v>
          </cell>
          <cell r="AD108">
            <v>1</v>
          </cell>
          <cell r="AE108">
            <v>12</v>
          </cell>
          <cell r="AF108">
            <v>10</v>
          </cell>
          <cell r="AG108">
            <v>18</v>
          </cell>
          <cell r="AH108">
            <v>22</v>
          </cell>
          <cell r="AI108">
            <v>25</v>
          </cell>
          <cell r="AJ108">
            <v>30</v>
          </cell>
          <cell r="AK108">
            <v>30</v>
          </cell>
          <cell r="AL108">
            <v>30</v>
          </cell>
          <cell r="AM108">
            <v>454</v>
          </cell>
          <cell r="AN108">
            <v>476</v>
          </cell>
          <cell r="AO108">
            <v>476</v>
          </cell>
          <cell r="AP108">
            <v>476</v>
          </cell>
        </row>
        <row r="109">
          <cell r="C109" t="str">
            <v>Airbus Deliveries (Adjusted)</v>
          </cell>
          <cell r="D109" t="str">
            <v>A320 Family</v>
          </cell>
          <cell r="Z109">
            <v>367</v>
          </cell>
          <cell r="AA109">
            <v>386</v>
          </cell>
          <cell r="AB109">
            <v>402</v>
          </cell>
          <cell r="AC109">
            <v>408</v>
          </cell>
          <cell r="AD109">
            <v>440</v>
          </cell>
          <cell r="AE109">
            <v>450</v>
          </cell>
          <cell r="AF109">
            <v>452</v>
          </cell>
          <cell r="AG109">
            <v>452</v>
          </cell>
          <cell r="AH109">
            <v>458</v>
          </cell>
          <cell r="AI109">
            <v>574</v>
          </cell>
          <cell r="AJ109">
            <v>602</v>
          </cell>
          <cell r="AK109">
            <v>605</v>
          </cell>
          <cell r="AL109">
            <v>607</v>
          </cell>
          <cell r="AM109">
            <v>90</v>
          </cell>
          <cell r="AN109">
            <v>90</v>
          </cell>
          <cell r="AO109">
            <v>90</v>
          </cell>
          <cell r="AP109">
            <v>90</v>
          </cell>
        </row>
        <row r="110">
          <cell r="D110" t="str">
            <v>A320 Family</v>
          </cell>
          <cell r="Z110">
            <v>367</v>
          </cell>
          <cell r="AA110">
            <v>386</v>
          </cell>
          <cell r="AB110">
            <v>402</v>
          </cell>
          <cell r="AC110">
            <v>408</v>
          </cell>
          <cell r="AD110">
            <v>440</v>
          </cell>
          <cell r="AE110">
            <v>450</v>
          </cell>
          <cell r="AF110">
            <v>452</v>
          </cell>
          <cell r="AG110">
            <v>452</v>
          </cell>
          <cell r="AH110">
            <v>458</v>
          </cell>
          <cell r="AI110">
            <v>450</v>
          </cell>
          <cell r="AJ110">
            <v>452</v>
          </cell>
          <cell r="AK110">
            <v>452</v>
          </cell>
          <cell r="AL110">
            <v>458</v>
          </cell>
          <cell r="AM110">
            <v>0</v>
          </cell>
          <cell r="AN110">
            <v>0</v>
          </cell>
          <cell r="AO110">
            <v>0</v>
          </cell>
          <cell r="AP110">
            <v>0</v>
          </cell>
        </row>
        <row r="111">
          <cell r="C111" t="str">
            <v>Airbus Deliveries (Adjusted)</v>
          </cell>
          <cell r="D111" t="str">
            <v>A330</v>
          </cell>
          <cell r="Z111">
            <v>68</v>
          </cell>
          <cell r="AA111">
            <v>72</v>
          </cell>
          <cell r="AB111">
            <v>76</v>
          </cell>
          <cell r="AC111">
            <v>73</v>
          </cell>
          <cell r="AD111">
            <v>70</v>
          </cell>
          <cell r="AE111">
            <v>68</v>
          </cell>
          <cell r="AF111">
            <v>68</v>
          </cell>
          <cell r="AG111">
            <v>64</v>
          </cell>
          <cell r="AH111">
            <v>62</v>
          </cell>
          <cell r="AI111">
            <v>68</v>
          </cell>
          <cell r="AJ111">
            <v>68</v>
          </cell>
          <cell r="AK111">
            <v>64</v>
          </cell>
          <cell r="AL111">
            <v>62</v>
          </cell>
          <cell r="AM111">
            <v>0</v>
          </cell>
          <cell r="AN111">
            <v>0</v>
          </cell>
          <cell r="AO111">
            <v>2</v>
          </cell>
          <cell r="AP111">
            <v>4</v>
          </cell>
        </row>
        <row r="112">
          <cell r="D112" t="str">
            <v>A340</v>
          </cell>
          <cell r="Z112">
            <v>11</v>
          </cell>
          <cell r="AA112">
            <v>13</v>
          </cell>
          <cell r="AB112">
            <v>10</v>
          </cell>
          <cell r="AC112">
            <v>10</v>
          </cell>
          <cell r="AD112">
            <v>7</v>
          </cell>
          <cell r="AE112">
            <v>5</v>
          </cell>
          <cell r="AF112">
            <v>4</v>
          </cell>
          <cell r="AG112">
            <v>3</v>
          </cell>
          <cell r="AH112">
            <v>3</v>
          </cell>
          <cell r="AI112">
            <v>450</v>
          </cell>
          <cell r="AJ112">
            <v>452</v>
          </cell>
          <cell r="AK112">
            <v>452</v>
          </cell>
          <cell r="AL112">
            <v>458</v>
          </cell>
          <cell r="AM112">
            <v>25</v>
          </cell>
          <cell r="AN112">
            <v>30</v>
          </cell>
          <cell r="AO112">
            <v>30</v>
          </cell>
          <cell r="AP112">
            <v>30</v>
          </cell>
        </row>
        <row r="113">
          <cell r="D113" t="str">
            <v>A350</v>
          </cell>
          <cell r="Z113">
            <v>0</v>
          </cell>
          <cell r="AA113">
            <v>0</v>
          </cell>
          <cell r="AB113">
            <v>0</v>
          </cell>
          <cell r="AC113">
            <v>0</v>
          </cell>
          <cell r="AD113">
            <v>0</v>
          </cell>
          <cell r="AE113">
            <v>0</v>
          </cell>
          <cell r="AF113">
            <v>10</v>
          </cell>
          <cell r="AG113">
            <v>15</v>
          </cell>
          <cell r="AH113">
            <v>25</v>
          </cell>
          <cell r="AI113">
            <v>68</v>
          </cell>
          <cell r="AJ113">
            <v>68</v>
          </cell>
          <cell r="AK113">
            <v>64</v>
          </cell>
          <cell r="AL113">
            <v>62</v>
          </cell>
          <cell r="AM113">
            <v>569</v>
          </cell>
          <cell r="AN113">
            <v>596</v>
          </cell>
          <cell r="AO113">
            <v>598</v>
          </cell>
          <cell r="AP113">
            <v>600</v>
          </cell>
        </row>
        <row r="114">
          <cell r="D114" t="str">
            <v>A380</v>
          </cell>
          <cell r="Z114">
            <v>1</v>
          </cell>
          <cell r="AA114">
            <v>12</v>
          </cell>
          <cell r="AB114">
            <v>10</v>
          </cell>
          <cell r="AC114">
            <v>15</v>
          </cell>
          <cell r="AD114">
            <v>20</v>
          </cell>
          <cell r="AE114">
            <v>25</v>
          </cell>
          <cell r="AF114">
            <v>30</v>
          </cell>
          <cell r="AG114">
            <v>30</v>
          </cell>
          <cell r="AH114">
            <v>30</v>
          </cell>
          <cell r="AI114">
            <v>5</v>
          </cell>
          <cell r="AJ114">
            <v>4</v>
          </cell>
          <cell r="AK114">
            <v>3</v>
          </cell>
          <cell r="AL114">
            <v>3</v>
          </cell>
        </row>
        <row r="115">
          <cell r="C115" t="str">
            <v>Airbus Deliveries (Adjusted)</v>
          </cell>
          <cell r="D115" t="str">
            <v>Total Airbus</v>
          </cell>
          <cell r="Z115">
            <v>447</v>
          </cell>
          <cell r="AA115">
            <v>483</v>
          </cell>
          <cell r="AB115">
            <v>498</v>
          </cell>
          <cell r="AC115">
            <v>506</v>
          </cell>
          <cell r="AD115">
            <v>537</v>
          </cell>
          <cell r="AE115">
            <v>548</v>
          </cell>
          <cell r="AF115">
            <v>564</v>
          </cell>
          <cell r="AG115">
            <v>564</v>
          </cell>
          <cell r="AH115">
            <v>578</v>
          </cell>
          <cell r="AI115">
            <v>0</v>
          </cell>
          <cell r="AJ115">
            <v>10</v>
          </cell>
          <cell r="AK115">
            <v>15</v>
          </cell>
          <cell r="AL115">
            <v>25</v>
          </cell>
        </row>
        <row r="116">
          <cell r="C116" t="str">
            <v>Boeing $ Content:</v>
          </cell>
          <cell r="D116" t="str">
            <v>A380</v>
          </cell>
          <cell r="AD116">
            <v>1</v>
          </cell>
          <cell r="AE116">
            <v>12</v>
          </cell>
          <cell r="AF116">
            <v>10</v>
          </cell>
          <cell r="AG116">
            <v>15</v>
          </cell>
          <cell r="AH116">
            <v>20</v>
          </cell>
          <cell r="AI116">
            <v>25</v>
          </cell>
          <cell r="AJ116">
            <v>30</v>
          </cell>
          <cell r="AK116">
            <v>30</v>
          </cell>
          <cell r="AL116">
            <v>30</v>
          </cell>
          <cell r="AM116">
            <v>443</v>
          </cell>
          <cell r="AN116">
            <v>470.5</v>
          </cell>
          <cell r="AO116">
            <v>476</v>
          </cell>
          <cell r="AP116">
            <v>476</v>
          </cell>
        </row>
        <row r="117">
          <cell r="C117" t="str">
            <v>Boeing $ Content:</v>
          </cell>
          <cell r="D117" t="str">
            <v>737NG</v>
          </cell>
          <cell r="F117">
            <v>0.47499999999999998</v>
          </cell>
          <cell r="Z117">
            <v>117.5625</v>
          </cell>
          <cell r="AA117">
            <v>142.5</v>
          </cell>
          <cell r="AB117">
            <v>166.96250000000001</v>
          </cell>
          <cell r="AC117">
            <v>178.125</v>
          </cell>
          <cell r="AD117">
            <v>180.02500000000001</v>
          </cell>
          <cell r="AE117">
            <v>191.1875</v>
          </cell>
          <cell r="AF117">
            <v>194.75</v>
          </cell>
          <cell r="AG117">
            <v>181.21250000000001</v>
          </cell>
          <cell r="AH117">
            <v>176.7</v>
          </cell>
          <cell r="AI117">
            <v>548</v>
          </cell>
          <cell r="AJ117">
            <v>564</v>
          </cell>
          <cell r="AK117">
            <v>564</v>
          </cell>
          <cell r="AL117">
            <v>578</v>
          </cell>
          <cell r="AM117">
            <v>88</v>
          </cell>
          <cell r="AN117">
            <v>90</v>
          </cell>
          <cell r="AO117">
            <v>90</v>
          </cell>
          <cell r="AP117">
            <v>90</v>
          </cell>
        </row>
        <row r="118">
          <cell r="C118">
            <v>717</v>
          </cell>
          <cell r="D118" t="str">
            <v>737NG</v>
          </cell>
          <cell r="F118">
            <v>0.47499999999999998</v>
          </cell>
          <cell r="Z118">
            <v>117.5625</v>
          </cell>
          <cell r="AA118">
            <v>142.5</v>
          </cell>
          <cell r="AB118">
            <v>166.96250000000001</v>
          </cell>
          <cell r="AC118">
            <v>178.125</v>
          </cell>
          <cell r="AD118">
            <v>180.02500000000001</v>
          </cell>
          <cell r="AE118">
            <v>191.1875</v>
          </cell>
          <cell r="AF118">
            <v>194.75</v>
          </cell>
          <cell r="AG118">
            <v>181.21250000000001</v>
          </cell>
          <cell r="AH118">
            <v>176.7</v>
          </cell>
          <cell r="AI118">
            <v>190.59375</v>
          </cell>
          <cell r="AJ118">
            <v>205.4375</v>
          </cell>
          <cell r="AK118">
            <v>211.49374999999998</v>
          </cell>
          <cell r="AL118">
            <v>212.32499999999999</v>
          </cell>
          <cell r="AM118">
            <v>1.75</v>
          </cell>
          <cell r="AN118">
            <v>0</v>
          </cell>
          <cell r="AO118">
            <v>0</v>
          </cell>
          <cell r="AP118">
            <v>0</v>
          </cell>
        </row>
        <row r="119">
          <cell r="C119" t="str">
            <v>Boeing $ Content:</v>
          </cell>
          <cell r="D119">
            <v>747</v>
          </cell>
          <cell r="F119">
            <v>0.97499999999999998</v>
          </cell>
          <cell r="Z119">
            <v>11.7</v>
          </cell>
          <cell r="AA119">
            <v>14.137499999999999</v>
          </cell>
          <cell r="AB119">
            <v>9.2624999999999993</v>
          </cell>
          <cell r="AC119">
            <v>0</v>
          </cell>
          <cell r="AD119">
            <v>7.8</v>
          </cell>
          <cell r="AE119">
            <v>8.7750000000000004</v>
          </cell>
          <cell r="AF119">
            <v>17.55</v>
          </cell>
          <cell r="AG119">
            <v>20.962499999999999</v>
          </cell>
          <cell r="AH119">
            <v>19.987500000000001</v>
          </cell>
          <cell r="AI119">
            <v>28.518750000000001</v>
          </cell>
          <cell r="AJ119">
            <v>26.081250000000001</v>
          </cell>
          <cell r="AK119">
            <v>23.4</v>
          </cell>
          <cell r="AL119">
            <v>20.474999999999998</v>
          </cell>
          <cell r="AM119">
            <v>0</v>
          </cell>
          <cell r="AN119">
            <v>0</v>
          </cell>
          <cell r="AO119">
            <v>1.5</v>
          </cell>
          <cell r="AP119">
            <v>3.5</v>
          </cell>
        </row>
        <row r="120">
          <cell r="D120">
            <v>767</v>
          </cell>
          <cell r="F120">
            <v>0.72</v>
          </cell>
          <cell r="Z120">
            <v>6.4799999999999995</v>
          </cell>
          <cell r="AA120">
            <v>7.56</v>
          </cell>
          <cell r="AB120">
            <v>8.82</v>
          </cell>
          <cell r="AC120">
            <v>8.82</v>
          </cell>
          <cell r="AD120">
            <v>11.879999999999999</v>
          </cell>
          <cell r="AE120">
            <v>12.959999999999999</v>
          </cell>
          <cell r="AF120">
            <v>9.7199999999999989</v>
          </cell>
          <cell r="AG120">
            <v>8.64</v>
          </cell>
          <cell r="AH120">
            <v>8.64</v>
          </cell>
          <cell r="AI120">
            <v>190.59375</v>
          </cell>
          <cell r="AJ120">
            <v>205.4375</v>
          </cell>
          <cell r="AK120">
            <v>211.49374999999998</v>
          </cell>
          <cell r="AL120">
            <v>212.32499999999999</v>
          </cell>
          <cell r="AM120">
            <v>24.25</v>
          </cell>
          <cell r="AN120">
            <v>28.75</v>
          </cell>
          <cell r="AO120">
            <v>30</v>
          </cell>
          <cell r="AP120">
            <v>30</v>
          </cell>
        </row>
        <row r="121">
          <cell r="D121">
            <v>777</v>
          </cell>
          <cell r="F121">
            <v>0.7</v>
          </cell>
          <cell r="Z121">
            <v>43.574999999999996</v>
          </cell>
          <cell r="AA121">
            <v>46.55</v>
          </cell>
          <cell r="AB121">
            <v>56.874999999999993</v>
          </cell>
          <cell r="AC121">
            <v>53.199999999999996</v>
          </cell>
          <cell r="AD121">
            <v>54.599999999999994</v>
          </cell>
          <cell r="AE121">
            <v>56.699999999999996</v>
          </cell>
          <cell r="AF121">
            <v>58.8</v>
          </cell>
          <cell r="AG121">
            <v>58.8</v>
          </cell>
          <cell r="AH121">
            <v>58.8</v>
          </cell>
          <cell r="AI121">
            <v>28.518750000000001</v>
          </cell>
          <cell r="AJ121">
            <v>26.081250000000001</v>
          </cell>
          <cell r="AK121">
            <v>23.4</v>
          </cell>
          <cell r="AL121">
            <v>20.474999999999998</v>
          </cell>
          <cell r="AM121">
            <v>557</v>
          </cell>
          <cell r="AN121">
            <v>589.25</v>
          </cell>
          <cell r="AO121">
            <v>597.5</v>
          </cell>
          <cell r="AP121">
            <v>599.5</v>
          </cell>
        </row>
        <row r="122">
          <cell r="D122">
            <v>787</v>
          </cell>
          <cell r="F122">
            <v>1</v>
          </cell>
          <cell r="Z122">
            <v>0</v>
          </cell>
          <cell r="AA122">
            <v>0</v>
          </cell>
          <cell r="AB122">
            <v>10</v>
          </cell>
          <cell r="AC122">
            <v>18</v>
          </cell>
          <cell r="AD122">
            <v>50</v>
          </cell>
          <cell r="AE122">
            <v>60</v>
          </cell>
          <cell r="AF122">
            <v>108</v>
          </cell>
          <cell r="AG122">
            <v>120</v>
          </cell>
          <cell r="AH122">
            <v>120</v>
          </cell>
          <cell r="AI122">
            <v>12.959999999999999</v>
          </cell>
          <cell r="AJ122">
            <v>12.959999999999999</v>
          </cell>
          <cell r="AK122">
            <v>9.7199999999999989</v>
          </cell>
          <cell r="AL122">
            <v>8.64</v>
          </cell>
        </row>
        <row r="123">
          <cell r="C123" t="str">
            <v>Boeing $ Content:</v>
          </cell>
          <cell r="D123" t="str">
            <v>Total Boeing</v>
          </cell>
          <cell r="F123">
            <v>0.7</v>
          </cell>
          <cell r="Z123">
            <v>179.31749999999997</v>
          </cell>
          <cell r="AA123">
            <v>210.7475</v>
          </cell>
          <cell r="AB123">
            <v>251.92</v>
          </cell>
          <cell r="AC123">
            <v>258.14499999999998</v>
          </cell>
          <cell r="AD123">
            <v>304.30500000000001</v>
          </cell>
          <cell r="AE123">
            <v>329.6225</v>
          </cell>
          <cell r="AF123">
            <v>388.82</v>
          </cell>
          <cell r="AG123">
            <v>389.61500000000001</v>
          </cell>
          <cell r="AH123">
            <v>384.1275</v>
          </cell>
          <cell r="AI123">
            <v>56.874999999999993</v>
          </cell>
          <cell r="AJ123">
            <v>66.674999999999997</v>
          </cell>
          <cell r="AK123">
            <v>69.3</v>
          </cell>
          <cell r="AL123">
            <v>67.199999999999989</v>
          </cell>
        </row>
        <row r="124">
          <cell r="C124" t="str">
            <v>Airbus $ Content</v>
          </cell>
          <cell r="D124">
            <v>787</v>
          </cell>
          <cell r="F124">
            <v>1</v>
          </cell>
          <cell r="AD124">
            <v>0</v>
          </cell>
          <cell r="AE124">
            <v>0</v>
          </cell>
          <cell r="AF124">
            <v>10</v>
          </cell>
          <cell r="AG124">
            <v>18</v>
          </cell>
          <cell r="AH124">
            <v>30</v>
          </cell>
          <cell r="AI124">
            <v>50</v>
          </cell>
          <cell r="AJ124">
            <v>80</v>
          </cell>
          <cell r="AK124">
            <v>100</v>
          </cell>
          <cell r="AL124">
            <v>120</v>
          </cell>
          <cell r="AM124">
            <v>194.15625</v>
          </cell>
          <cell r="AN124">
            <v>208.40625</v>
          </cell>
          <cell r="AO124">
            <v>232.75</v>
          </cell>
          <cell r="AP124">
            <v>230.96875</v>
          </cell>
        </row>
        <row r="125">
          <cell r="C125" t="str">
            <v>Airbus $ Content</v>
          </cell>
          <cell r="D125" t="str">
            <v>A320 Family</v>
          </cell>
          <cell r="F125">
            <v>0.32500000000000001</v>
          </cell>
          <cell r="Z125">
            <v>119.27500000000001</v>
          </cell>
          <cell r="AA125">
            <v>125.45</v>
          </cell>
          <cell r="AB125">
            <v>130.65</v>
          </cell>
          <cell r="AC125">
            <v>132.6</v>
          </cell>
          <cell r="AD125">
            <v>143</v>
          </cell>
          <cell r="AE125">
            <v>146.25</v>
          </cell>
          <cell r="AF125">
            <v>146.9</v>
          </cell>
          <cell r="AG125">
            <v>146.9</v>
          </cell>
          <cell r="AH125">
            <v>148.85</v>
          </cell>
          <cell r="AI125">
            <v>338.94749999999999</v>
          </cell>
          <cell r="AJ125">
            <v>391.15375</v>
          </cell>
          <cell r="AK125">
            <v>413.91374999999999</v>
          </cell>
          <cell r="AL125">
            <v>428.64</v>
          </cell>
          <cell r="AM125">
            <v>24.618749999999999</v>
          </cell>
          <cell r="AN125">
            <v>24.862500000000001</v>
          </cell>
          <cell r="AO125">
            <v>23.4</v>
          </cell>
          <cell r="AP125">
            <v>23.4</v>
          </cell>
        </row>
        <row r="126">
          <cell r="D126" t="str">
            <v>A320 Family</v>
          </cell>
          <cell r="F126">
            <v>0.32500000000000001</v>
          </cell>
          <cell r="Z126">
            <v>119.27500000000001</v>
          </cell>
          <cell r="AA126">
            <v>125.45</v>
          </cell>
          <cell r="AB126">
            <v>130.65</v>
          </cell>
          <cell r="AC126">
            <v>132.6</v>
          </cell>
          <cell r="AD126">
            <v>143</v>
          </cell>
          <cell r="AE126">
            <v>146.25</v>
          </cell>
          <cell r="AF126">
            <v>146.9</v>
          </cell>
          <cell r="AG126">
            <v>146.9</v>
          </cell>
          <cell r="AH126">
            <v>148.85</v>
          </cell>
          <cell r="AI126">
            <v>146.25</v>
          </cell>
          <cell r="AJ126">
            <v>146.9</v>
          </cell>
          <cell r="AK126">
            <v>146.9</v>
          </cell>
          <cell r="AL126">
            <v>148.85</v>
          </cell>
          <cell r="AM126">
            <v>12.959999999999999</v>
          </cell>
          <cell r="AN126">
            <v>12.959999999999999</v>
          </cell>
          <cell r="AO126">
            <v>15.12</v>
          </cell>
          <cell r="AP126">
            <v>15.84</v>
          </cell>
        </row>
        <row r="127">
          <cell r="C127" t="str">
            <v>Airbus $ Content</v>
          </cell>
          <cell r="D127" t="str">
            <v>A330</v>
          </cell>
          <cell r="F127">
            <v>0.32500000000000001</v>
          </cell>
          <cell r="Z127">
            <v>22.1</v>
          </cell>
          <cell r="AA127">
            <v>23.400000000000002</v>
          </cell>
          <cell r="AB127">
            <v>24.7</v>
          </cell>
          <cell r="AC127">
            <v>23.725000000000001</v>
          </cell>
          <cell r="AD127">
            <v>22.75</v>
          </cell>
          <cell r="AE127">
            <v>22.1</v>
          </cell>
          <cell r="AF127">
            <v>22.1</v>
          </cell>
          <cell r="AG127">
            <v>20.8</v>
          </cell>
          <cell r="AH127">
            <v>20.150000000000002</v>
          </cell>
          <cell r="AI127">
            <v>22.1</v>
          </cell>
          <cell r="AJ127">
            <v>22.1</v>
          </cell>
          <cell r="AK127">
            <v>20.8</v>
          </cell>
          <cell r="AL127">
            <v>20.150000000000002</v>
          </cell>
          <cell r="AM127">
            <v>56.699999999999996</v>
          </cell>
          <cell r="AN127">
            <v>64.575000000000003</v>
          </cell>
          <cell r="AO127">
            <v>66.5</v>
          </cell>
          <cell r="AP127">
            <v>69.125</v>
          </cell>
        </row>
        <row r="128">
          <cell r="D128" t="str">
            <v>A340</v>
          </cell>
          <cell r="F128">
            <v>0.32500000000000001</v>
          </cell>
          <cell r="Z128">
            <v>3.5750000000000002</v>
          </cell>
          <cell r="AA128">
            <v>4.2250000000000005</v>
          </cell>
          <cell r="AB128">
            <v>3.25</v>
          </cell>
          <cell r="AC128">
            <v>3.25</v>
          </cell>
          <cell r="AD128">
            <v>2.2749999999999999</v>
          </cell>
          <cell r="AE128">
            <v>1.625</v>
          </cell>
          <cell r="AF128">
            <v>1.3</v>
          </cell>
          <cell r="AG128">
            <v>0.97500000000000009</v>
          </cell>
          <cell r="AH128">
            <v>0.97500000000000009</v>
          </cell>
          <cell r="AI128">
            <v>146.25</v>
          </cell>
          <cell r="AJ128">
            <v>146.9</v>
          </cell>
          <cell r="AK128">
            <v>146.9</v>
          </cell>
          <cell r="AL128">
            <v>148.85</v>
          </cell>
          <cell r="AM128">
            <v>46</v>
          </cell>
          <cell r="AN128">
            <v>78</v>
          </cell>
          <cell r="AO128">
            <v>102</v>
          </cell>
          <cell r="AP128">
            <v>117</v>
          </cell>
        </row>
        <row r="129">
          <cell r="D129" t="str">
            <v>A350</v>
          </cell>
          <cell r="F129">
            <v>0.32500000000000001</v>
          </cell>
          <cell r="Z129">
            <v>0</v>
          </cell>
          <cell r="AA129">
            <v>0</v>
          </cell>
          <cell r="AB129">
            <v>0</v>
          </cell>
          <cell r="AC129">
            <v>0</v>
          </cell>
          <cell r="AD129">
            <v>0</v>
          </cell>
          <cell r="AE129">
            <v>0</v>
          </cell>
          <cell r="AF129">
            <v>3.25</v>
          </cell>
          <cell r="AG129">
            <v>4.875</v>
          </cell>
          <cell r="AH129">
            <v>8.125</v>
          </cell>
          <cell r="AI129">
            <v>22.1</v>
          </cell>
          <cell r="AJ129">
            <v>22.1</v>
          </cell>
          <cell r="AK129">
            <v>20.8</v>
          </cell>
          <cell r="AL129">
            <v>20.150000000000002</v>
          </cell>
          <cell r="AM129">
            <v>334.435</v>
          </cell>
          <cell r="AN129">
            <v>388.80375000000004</v>
          </cell>
          <cell r="AO129">
            <v>439.77</v>
          </cell>
          <cell r="AP129">
            <v>456.33375000000001</v>
          </cell>
        </row>
        <row r="130">
          <cell r="D130" t="str">
            <v>A380</v>
          </cell>
          <cell r="F130">
            <v>0.32500000000000001</v>
          </cell>
          <cell r="Z130">
            <v>0.32500000000000001</v>
          </cell>
          <cell r="AA130">
            <v>3.9000000000000004</v>
          </cell>
          <cell r="AB130">
            <v>3.25</v>
          </cell>
          <cell r="AC130">
            <v>4.875</v>
          </cell>
          <cell r="AD130">
            <v>6.5</v>
          </cell>
          <cell r="AE130">
            <v>8.125</v>
          </cell>
          <cell r="AF130">
            <v>9.75</v>
          </cell>
          <cell r="AG130">
            <v>9.75</v>
          </cell>
          <cell r="AH130">
            <v>9.75</v>
          </cell>
          <cell r="AI130">
            <v>1.625</v>
          </cell>
          <cell r="AJ130">
            <v>1.3</v>
          </cell>
          <cell r="AK130">
            <v>0.97500000000000009</v>
          </cell>
          <cell r="AL130">
            <v>0.97500000000000009</v>
          </cell>
        </row>
        <row r="131">
          <cell r="C131" t="str">
            <v>Airbus $ Content</v>
          </cell>
          <cell r="D131" t="str">
            <v>Total Airbus</v>
          </cell>
          <cell r="F131">
            <v>0.32500000000000001</v>
          </cell>
          <cell r="Z131">
            <v>145.27499999999998</v>
          </cell>
          <cell r="AA131">
            <v>156.97499999999999</v>
          </cell>
          <cell r="AB131">
            <v>161.85</v>
          </cell>
          <cell r="AC131">
            <v>164.45</v>
          </cell>
          <cell r="AD131">
            <v>174.52500000000001</v>
          </cell>
          <cell r="AE131">
            <v>178.1</v>
          </cell>
          <cell r="AF131">
            <v>183.3</v>
          </cell>
          <cell r="AG131">
            <v>183.3</v>
          </cell>
          <cell r="AH131">
            <v>187.85</v>
          </cell>
          <cell r="AI131">
            <v>0</v>
          </cell>
          <cell r="AJ131">
            <v>3.25</v>
          </cell>
          <cell r="AK131">
            <v>4.875</v>
          </cell>
          <cell r="AL131">
            <v>8.125</v>
          </cell>
        </row>
        <row r="132">
          <cell r="C132" t="str">
            <v>Total Boeing &amp; Airbus</v>
          </cell>
          <cell r="D132" t="str">
            <v>A380</v>
          </cell>
          <cell r="F132">
            <v>0.32500000000000001</v>
          </cell>
          <cell r="Z132">
            <v>324.59249999999997</v>
          </cell>
          <cell r="AA132">
            <v>367.72249999999997</v>
          </cell>
          <cell r="AB132">
            <v>413.77</v>
          </cell>
          <cell r="AC132">
            <v>422.59499999999997</v>
          </cell>
          <cell r="AD132">
            <v>478.83000000000004</v>
          </cell>
          <cell r="AE132">
            <v>507.72249999999997</v>
          </cell>
          <cell r="AF132">
            <v>572.12</v>
          </cell>
          <cell r="AG132">
            <v>572.91499999999996</v>
          </cell>
          <cell r="AH132">
            <v>571.97749999999996</v>
          </cell>
          <cell r="AI132">
            <v>8.125</v>
          </cell>
          <cell r="AJ132">
            <v>9.75</v>
          </cell>
          <cell r="AK132">
            <v>9.75</v>
          </cell>
          <cell r="AL132">
            <v>9.75</v>
          </cell>
          <cell r="AM132">
            <v>143.97499999999999</v>
          </cell>
          <cell r="AN132">
            <v>152.91249999999999</v>
          </cell>
          <cell r="AO132">
            <v>154.70000000000002</v>
          </cell>
          <cell r="AP132">
            <v>154.70000000000002</v>
          </cell>
        </row>
        <row r="133">
          <cell r="C133" t="str">
            <v>Total Boeing &amp; Airbus</v>
          </cell>
          <cell r="D133" t="str">
            <v>Total Airbus</v>
          </cell>
          <cell r="F133">
            <v>0.32500000000000001</v>
          </cell>
          <cell r="Z133">
            <v>324.59249999999997</v>
          </cell>
          <cell r="AA133">
            <v>367.72249999999997</v>
          </cell>
          <cell r="AB133">
            <v>413.77</v>
          </cell>
          <cell r="AC133">
            <v>422.59499999999997</v>
          </cell>
          <cell r="AD133">
            <v>478.83000000000004</v>
          </cell>
          <cell r="AE133">
            <v>507.72249999999997</v>
          </cell>
          <cell r="AF133">
            <v>572.12</v>
          </cell>
          <cell r="AG133">
            <v>572.91499999999996</v>
          </cell>
          <cell r="AH133">
            <v>571.97749999999996</v>
          </cell>
          <cell r="AI133">
            <v>178.1</v>
          </cell>
          <cell r="AJ133">
            <v>183.3</v>
          </cell>
          <cell r="AK133">
            <v>183.3</v>
          </cell>
          <cell r="AL133">
            <v>187.85</v>
          </cell>
          <cell r="AM133">
            <v>28.6</v>
          </cell>
          <cell r="AN133">
            <v>29.25</v>
          </cell>
          <cell r="AO133">
            <v>29.25</v>
          </cell>
          <cell r="AP133">
            <v>29.25</v>
          </cell>
        </row>
        <row r="134">
          <cell r="C134" t="str">
            <v>Y/Y Growth Rate</v>
          </cell>
          <cell r="D134" t="str">
            <v>A340</v>
          </cell>
          <cell r="F134">
            <v>0.32500000000000001</v>
          </cell>
          <cell r="AA134">
            <v>0.13287429623296898</v>
          </cell>
          <cell r="AB134">
            <v>0.12522350413695116</v>
          </cell>
          <cell r="AC134">
            <v>2.1328274161974026E-2</v>
          </cell>
          <cell r="AD134">
            <v>0.13307067050012433</v>
          </cell>
          <cell r="AE134">
            <v>6.0339786563080589E-2</v>
          </cell>
          <cell r="AF134">
            <v>0.12683601770652286</v>
          </cell>
          <cell r="AG134">
            <v>1.3895686219673742E-3</v>
          </cell>
          <cell r="AH134">
            <v>-1.63636839670811E-3</v>
          </cell>
          <cell r="AI134">
            <v>0.13127428966822463</v>
          </cell>
          <cell r="AJ134">
            <v>0.11102703329964858</v>
          </cell>
          <cell r="AK134">
            <v>3.9620247931186681E-2</v>
          </cell>
          <cell r="AL134">
            <v>3.2276969510497633E-2</v>
          </cell>
          <cell r="AM134">
            <v>0.56874999999999998</v>
          </cell>
          <cell r="AN134">
            <v>0</v>
          </cell>
          <cell r="AO134">
            <v>0</v>
          </cell>
          <cell r="AP134">
            <v>0</v>
          </cell>
        </row>
        <row r="135">
          <cell r="C135" t="str">
            <v>Model</v>
          </cell>
          <cell r="D135" t="str">
            <v>A350</v>
          </cell>
          <cell r="F135">
            <v>0.32500000000000001</v>
          </cell>
          <cell r="AB135">
            <v>365</v>
          </cell>
          <cell r="AC135">
            <v>440</v>
          </cell>
          <cell r="AD135">
            <v>497.19999999999993</v>
          </cell>
          <cell r="AE135">
            <v>537.78775510204082</v>
          </cell>
          <cell r="AF135">
            <v>588.52244897959179</v>
          </cell>
          <cell r="AG135">
            <v>618.96326530612237</v>
          </cell>
          <cell r="AH135">
            <v>649.40408163265306</v>
          </cell>
          <cell r="AI135">
            <v>517.04750000000001</v>
          </cell>
          <cell r="AJ135">
            <v>574.45375000000001</v>
          </cell>
          <cell r="AK135">
            <v>597.21375</v>
          </cell>
          <cell r="AL135">
            <v>616.49</v>
          </cell>
          <cell r="AM135">
            <v>0</v>
          </cell>
          <cell r="AN135">
            <v>0</v>
          </cell>
          <cell r="AO135">
            <v>0.48750000000000004</v>
          </cell>
          <cell r="AP135">
            <v>1.1375</v>
          </cell>
        </row>
        <row r="136">
          <cell r="C136" t="str">
            <v>Model</v>
          </cell>
          <cell r="D136" t="str">
            <v>A380</v>
          </cell>
          <cell r="F136">
            <v>0.32500000000000001</v>
          </cell>
          <cell r="AB136">
            <v>365</v>
          </cell>
          <cell r="AC136">
            <v>440</v>
          </cell>
          <cell r="AD136">
            <v>497.19999999999993</v>
          </cell>
          <cell r="AE136">
            <v>546.91999999999996</v>
          </cell>
          <cell r="AF136">
            <v>601.61199999999997</v>
          </cell>
          <cell r="AG136">
            <v>632.72986206896553</v>
          </cell>
          <cell r="AH136">
            <v>663.8477241379311</v>
          </cell>
          <cell r="AI136">
            <v>0.13127428966822463</v>
          </cell>
          <cell r="AJ136">
            <v>0.11102703329964858</v>
          </cell>
          <cell r="AK136">
            <v>3.9620247931186681E-2</v>
          </cell>
          <cell r="AL136">
            <v>3.2276969510497633E-2</v>
          </cell>
          <cell r="AM136">
            <v>7.8812500000000005</v>
          </cell>
          <cell r="AN136">
            <v>9.34375</v>
          </cell>
          <cell r="AO136">
            <v>9.75</v>
          </cell>
          <cell r="AP136">
            <v>9.75</v>
          </cell>
        </row>
        <row r="137">
          <cell r="C137" t="str">
            <v>Y/Y Growth Rate</v>
          </cell>
          <cell r="D137" t="str">
            <v>Total Airbus</v>
          </cell>
          <cell r="AB137">
            <v>48.769999999999982</v>
          </cell>
          <cell r="AC137">
            <v>0.20547945205479445</v>
          </cell>
          <cell r="AD137">
            <v>0.12999999999999989</v>
          </cell>
          <cell r="AE137">
            <v>0.10000000000000009</v>
          </cell>
          <cell r="AF137">
            <v>0.10000000000000009</v>
          </cell>
          <cell r="AG137">
            <v>5.1724137931034475E-2</v>
          </cell>
          <cell r="AH137">
            <v>4.9180327868852514E-2</v>
          </cell>
          <cell r="AI137">
            <v>0.14000000000000012</v>
          </cell>
          <cell r="AJ137">
            <v>0.14999999999999991</v>
          </cell>
          <cell r="AK137">
            <v>5.1724137931034475E-2</v>
          </cell>
          <cell r="AL137">
            <v>4.9180327868852514E-2</v>
          </cell>
          <cell r="AM137">
            <v>181.02499999999998</v>
          </cell>
          <cell r="AN137">
            <v>191.50624999999999</v>
          </cell>
          <cell r="AO137">
            <v>194.18750000000003</v>
          </cell>
          <cell r="AP137">
            <v>194.83750000000001</v>
          </cell>
        </row>
        <row r="138">
          <cell r="C138" t="str">
            <v>Difference</v>
          </cell>
          <cell r="AB138">
            <v>48.769999999999982</v>
          </cell>
          <cell r="AC138">
            <v>-17.40500000000003</v>
          </cell>
          <cell r="AD138">
            <v>-18.369999999999891</v>
          </cell>
          <cell r="AE138">
            <v>-39.197499999999991</v>
          </cell>
          <cell r="AF138">
            <v>-29.491999999999962</v>
          </cell>
          <cell r="AG138">
            <v>-59.814862068965567</v>
          </cell>
          <cell r="AH138">
            <v>-91.870224137931132</v>
          </cell>
          <cell r="AI138">
            <v>580.53359999999998</v>
          </cell>
          <cell r="AJ138">
            <v>667.61363999999992</v>
          </cell>
          <cell r="AK138">
            <v>702.14537999999993</v>
          </cell>
          <cell r="AL138">
            <v>736.67711999999995</v>
          </cell>
        </row>
        <row r="139">
          <cell r="C139" t="str">
            <v>Y/Y Growth Rate</v>
          </cell>
          <cell r="AB139">
            <v>0.13361643835616432</v>
          </cell>
          <cell r="AC139">
            <v>-3.9556818181818248E-2</v>
          </cell>
          <cell r="AD139">
            <v>-3.6946902654867039E-2</v>
          </cell>
          <cell r="AE139">
            <v>-7.1669531192861832E-2</v>
          </cell>
          <cell r="AF139">
            <v>-4.9021628557940941E-2</v>
          </cell>
          <cell r="AG139">
            <v>-9.4534596286283606E-2</v>
          </cell>
          <cell r="AH139">
            <v>-0.13839050854205048</v>
          </cell>
          <cell r="AI139">
            <v>0.14000000000000012</v>
          </cell>
          <cell r="AJ139">
            <v>0.14999999999999991</v>
          </cell>
          <cell r="AK139">
            <v>5.1724137931034475E-2</v>
          </cell>
          <cell r="AL139">
            <v>4.9180327868852514E-2</v>
          </cell>
          <cell r="AM139">
            <v>515.46</v>
          </cell>
          <cell r="AN139">
            <v>580.31000000000006</v>
          </cell>
          <cell r="AO139">
            <v>633.95749999999998</v>
          </cell>
          <cell r="AP139">
            <v>651.17124999999999</v>
          </cell>
        </row>
        <row r="140">
          <cell r="C140" t="str">
            <v>Difference</v>
          </cell>
          <cell r="AE140">
            <v>0.13287429623296898</v>
          </cell>
          <cell r="AF140">
            <v>48.769999999999982</v>
          </cell>
          <cell r="AG140">
            <v>-15.355000000000018</v>
          </cell>
          <cell r="AH140">
            <v>-52.191249999999911</v>
          </cell>
          <cell r="AI140">
            <v>-63.486099999999965</v>
          </cell>
          <cell r="AJ140">
            <v>-93.159889999999905</v>
          </cell>
          <cell r="AK140">
            <v>-104.93162999999993</v>
          </cell>
          <cell r="AL140">
            <v>-120.18711999999994</v>
          </cell>
          <cell r="AM140">
            <v>3.3247389745401756E-2</v>
          </cell>
          <cell r="AN140">
            <v>0.12580995615566692</v>
          </cell>
          <cell r="AO140">
            <v>9.2446278713101515E-2</v>
          </cell>
          <cell r="AP140">
            <v>2.7152845419448512E-2</v>
          </cell>
        </row>
        <row r="141">
          <cell r="AF141">
            <v>0.13361643835616432</v>
          </cell>
          <cell r="AG141">
            <v>-3.4977220956719859E-2</v>
          </cell>
          <cell r="AH141">
            <v>-0.10248851229282836</v>
          </cell>
          <cell r="AI141">
            <v>-0.10935818357455962</v>
          </cell>
          <cell r="AJ141">
            <v>-0.1395416217080285</v>
          </cell>
          <cell r="AK141">
            <v>-0.14944430738830744</v>
          </cell>
          <cell r="AL141">
            <v>-0.16314762157945117</v>
          </cell>
        </row>
        <row r="142">
          <cell r="C142" t="str">
            <v>Model</v>
          </cell>
          <cell r="AF142">
            <v>365</v>
          </cell>
          <cell r="AG142">
            <v>439</v>
          </cell>
          <cell r="AH142">
            <v>509.23999999999995</v>
          </cell>
          <cell r="AI142">
            <v>580.53359999999998</v>
          </cell>
          <cell r="AJ142">
            <v>667.61363999999992</v>
          </cell>
          <cell r="AK142">
            <v>702.14537999999993</v>
          </cell>
          <cell r="AL142">
            <v>736.67711999999995</v>
          </cell>
          <cell r="AM142">
            <v>568.86</v>
          </cell>
          <cell r="AN142">
            <v>654.18899999999996</v>
          </cell>
          <cell r="AO142">
            <v>688.02636206896545</v>
          </cell>
          <cell r="AP142">
            <v>721.86372413793106</v>
          </cell>
        </row>
        <row r="143">
          <cell r="C143" t="str">
            <v>Y/Y Growth Rate</v>
          </cell>
          <cell r="AG143">
            <v>0.20273972602739732</v>
          </cell>
          <cell r="AH143">
            <v>0.15999999999999992</v>
          </cell>
          <cell r="AI143">
            <v>0.14000000000000012</v>
          </cell>
          <cell r="AJ143">
            <v>0.14999999999999991</v>
          </cell>
          <cell r="AK143">
            <v>5.1724137931034475E-2</v>
          </cell>
          <cell r="AL143">
            <v>4.9180327868852514E-2</v>
          </cell>
          <cell r="AM143">
            <v>0.14000000000000012</v>
          </cell>
          <cell r="AN143">
            <v>0.14999999999999991</v>
          </cell>
          <cell r="AO143">
            <v>5.1724137931034475E-2</v>
          </cell>
          <cell r="AP143">
            <v>4.9180327868852514E-2</v>
          </cell>
        </row>
        <row r="144">
          <cell r="C144" t="str">
            <v>Difference</v>
          </cell>
          <cell r="AF144">
            <v>48.769999999999982</v>
          </cell>
          <cell r="AG144">
            <v>-15.355000000000018</v>
          </cell>
          <cell r="AH144">
            <v>-52.191249999999911</v>
          </cell>
          <cell r="AI144">
            <v>-63.486099999999965</v>
          </cell>
          <cell r="AJ144">
            <v>-93.159889999999905</v>
          </cell>
          <cell r="AK144">
            <v>-104.93162999999993</v>
          </cell>
          <cell r="AL144">
            <v>-120.18711999999994</v>
          </cell>
          <cell r="AM144">
            <v>-53.399999999999977</v>
          </cell>
          <cell r="AN144">
            <v>-73.878999999999905</v>
          </cell>
          <cell r="AO144">
            <v>-54.068862068965473</v>
          </cell>
          <cell r="AP144">
            <v>-70.692474137931072</v>
          </cell>
        </row>
        <row r="145">
          <cell r="AF145">
            <v>0.13361643835616432</v>
          </cell>
          <cell r="AG145">
            <v>-3.4977220956719859E-2</v>
          </cell>
          <cell r="AH145">
            <v>-0.10248851229282836</v>
          </cell>
          <cell r="AI145">
            <v>-0.10935818357455962</v>
          </cell>
          <cell r="AJ145">
            <v>-0.1395416217080285</v>
          </cell>
          <cell r="AK145">
            <v>-0.14944430738830744</v>
          </cell>
          <cell r="AL145">
            <v>-0.16314762157945117</v>
          </cell>
          <cell r="AM145">
            <v>-9.3871954435186117E-2</v>
          </cell>
          <cell r="AN145">
            <v>-0.11293219543587543</v>
          </cell>
          <cell r="AO145">
            <v>-7.8585451153898936E-2</v>
          </cell>
          <cell r="AP145">
            <v>-9.7930498200825805E-2</v>
          </cell>
        </row>
      </sheetData>
      <sheetData sheetId="10" refreshError="1"/>
      <sheetData sheetId="11" refreshError="1"/>
      <sheetData sheetId="12" refreshError="1"/>
      <sheetData sheetId="13" refreshError="1"/>
      <sheetData sheetId="14" refreshError="1"/>
      <sheetData sheetId="15" refreshError="1">
        <row r="1">
          <cell r="A1" t="str">
            <v>Rockwell Collins, Inc.</v>
          </cell>
        </row>
        <row r="2">
          <cell r="A2" t="str">
            <v>Business Model Breakdown</v>
          </cell>
        </row>
        <row r="3">
          <cell r="A3" t="str">
            <v>Morgan Stanley Research</v>
          </cell>
        </row>
        <row r="4">
          <cell r="A4" t="str">
            <v>($ in Millions Except EPS)</v>
          </cell>
        </row>
        <row r="5">
          <cell r="A5" t="str">
            <v>Model Updated: 4/10</v>
          </cell>
        </row>
        <row r="7">
          <cell r="W7" t="str">
            <v>% Revenue Contribution</v>
          </cell>
        </row>
        <row r="8">
          <cell r="G8" t="str">
            <v>% Sales Contribution</v>
          </cell>
          <cell r="K8" t="str">
            <v>% Implied Revenue</v>
          </cell>
          <cell r="O8" t="str">
            <v>Revenue</v>
          </cell>
          <cell r="W8" t="str">
            <v>Total</v>
          </cell>
          <cell r="Y8" t="str">
            <v>Segment</v>
          </cell>
          <cell r="AA8" t="str">
            <v>Sub-Segment</v>
          </cell>
        </row>
        <row r="9">
          <cell r="G9" t="str">
            <v>Total</v>
          </cell>
          <cell r="H9" t="str">
            <v>Segment</v>
          </cell>
          <cell r="I9" t="str">
            <v>Sub-Segment</v>
          </cell>
          <cell r="K9" t="str">
            <v>Low</v>
          </cell>
          <cell r="L9" t="str">
            <v>Mid</v>
          </cell>
          <cell r="M9" t="str">
            <v>High</v>
          </cell>
          <cell r="O9" t="str">
            <v>09A</v>
          </cell>
          <cell r="P9" t="str">
            <v>10E</v>
          </cell>
          <cell r="R9" t="str">
            <v>Y/Y</v>
          </cell>
          <cell r="T9" t="str">
            <v>Guidance</v>
          </cell>
          <cell r="W9" t="str">
            <v>Calc</v>
          </cell>
          <cell r="X9" t="str">
            <v>Guide</v>
          </cell>
          <cell r="Y9" t="str">
            <v>Calc</v>
          </cell>
          <cell r="Z9" t="str">
            <v>Guide</v>
          </cell>
          <cell r="AA9" t="str">
            <v>Calc</v>
          </cell>
          <cell r="AB9" t="str">
            <v>Guide</v>
          </cell>
        </row>
        <row r="10">
          <cell r="B10" t="str">
            <v>Total Revenue</v>
          </cell>
          <cell r="K10">
            <v>4600</v>
          </cell>
          <cell r="L10">
            <v>4700</v>
          </cell>
          <cell r="M10">
            <v>4800</v>
          </cell>
          <cell r="O10">
            <v>4470</v>
          </cell>
          <cell r="P10">
            <v>4725</v>
          </cell>
          <cell r="R10">
            <v>5.7046979865771785E-2</v>
          </cell>
          <cell r="T10" t="str">
            <v>$4.6-4.8B Total Revenue</v>
          </cell>
          <cell r="X10" t="str">
            <v>@ High-end of guidance</v>
          </cell>
        </row>
        <row r="13">
          <cell r="B13" t="str">
            <v>Government Systems</v>
          </cell>
          <cell r="G13">
            <v>0.6</v>
          </cell>
          <cell r="H13">
            <v>1</v>
          </cell>
          <cell r="K13">
            <v>2760</v>
          </cell>
          <cell r="L13">
            <v>2820</v>
          </cell>
          <cell r="M13">
            <v>2880</v>
          </cell>
          <cell r="O13">
            <v>2579</v>
          </cell>
          <cell r="P13">
            <v>2900</v>
          </cell>
          <cell r="R13">
            <v>0.12446684761535476</v>
          </cell>
          <cell r="T13" t="str">
            <v xml:space="preserve"> +12% y/y</v>
          </cell>
          <cell r="W13">
            <v>0.61375661375661372</v>
          </cell>
          <cell r="X13">
            <v>0.6</v>
          </cell>
          <cell r="Y13">
            <v>1</v>
          </cell>
        </row>
        <row r="15">
          <cell r="B15" t="str">
            <v>Airborne Solutions</v>
          </cell>
          <cell r="G15">
            <v>0.39</v>
          </cell>
          <cell r="H15">
            <v>0.65</v>
          </cell>
          <cell r="K15">
            <v>1794</v>
          </cell>
          <cell r="L15">
            <v>1833</v>
          </cell>
          <cell r="M15">
            <v>1872</v>
          </cell>
          <cell r="O15">
            <v>1761</v>
          </cell>
          <cell r="P15">
            <v>1870</v>
          </cell>
          <cell r="R15">
            <v>6.1896649630891476E-2</v>
          </cell>
          <cell r="T15" t="str">
            <v xml:space="preserve"> +6% y/y</v>
          </cell>
          <cell r="W15">
            <v>0.39576719576719577</v>
          </cell>
          <cell r="Y15">
            <v>0.64482758620689651</v>
          </cell>
          <cell r="Z15">
            <v>0.65</v>
          </cell>
        </row>
        <row r="17">
          <cell r="B17" t="str">
            <v>Surface Solutions</v>
          </cell>
          <cell r="G17">
            <v>0.20999999999999996</v>
          </cell>
          <cell r="H17">
            <v>0.35</v>
          </cell>
          <cell r="K17">
            <v>965.99999999999989</v>
          </cell>
          <cell r="L17">
            <v>986.99999999999989</v>
          </cell>
          <cell r="M17">
            <v>1007.9999999999999</v>
          </cell>
          <cell r="O17">
            <v>818</v>
          </cell>
          <cell r="P17">
            <v>1030</v>
          </cell>
          <cell r="R17">
            <v>0.25916870415647919</v>
          </cell>
          <cell r="T17" t="str">
            <v xml:space="preserve"> +26% y/y (20% DataPath)</v>
          </cell>
          <cell r="W17">
            <v>0.21798941798941798</v>
          </cell>
          <cell r="Y17">
            <v>0.35517241379310344</v>
          </cell>
          <cell r="Z17">
            <v>0.35</v>
          </cell>
        </row>
        <row r="18">
          <cell r="K18">
            <v>0</v>
          </cell>
          <cell r="L18">
            <v>0</v>
          </cell>
          <cell r="M18">
            <v>0</v>
          </cell>
          <cell r="O18">
            <v>0</v>
          </cell>
          <cell r="P18">
            <v>0</v>
          </cell>
        </row>
        <row r="20">
          <cell r="B20" t="str">
            <v>Commercial Systems</v>
          </cell>
          <cell r="G20">
            <v>0.4</v>
          </cell>
          <cell r="H20">
            <v>1</v>
          </cell>
          <cell r="K20">
            <v>1840</v>
          </cell>
          <cell r="L20">
            <v>1880</v>
          </cell>
          <cell r="M20">
            <v>1920</v>
          </cell>
          <cell r="O20">
            <v>1891</v>
          </cell>
          <cell r="P20">
            <v>1825</v>
          </cell>
          <cell r="R20">
            <v>-3.4902168164992031E-2</v>
          </cell>
          <cell r="T20" t="str">
            <v xml:space="preserve"> -3% y/y</v>
          </cell>
          <cell r="W20">
            <v>0.38624338624338622</v>
          </cell>
          <cell r="X20">
            <v>0.4</v>
          </cell>
          <cell r="Y20">
            <v>1</v>
          </cell>
        </row>
        <row r="22">
          <cell r="B22" t="str">
            <v>OEM vs. Aftermarket</v>
          </cell>
        </row>
        <row r="23">
          <cell r="C23" t="str">
            <v>Original Equipment</v>
          </cell>
          <cell r="O23">
            <v>439</v>
          </cell>
          <cell r="P23">
            <v>509.23999999999995</v>
          </cell>
          <cell r="R23">
            <v>0.15999999999999992</v>
          </cell>
          <cell r="T23" t="str">
            <v xml:space="preserve"> +10% y/y</v>
          </cell>
        </row>
        <row r="24">
          <cell r="B24" t="str">
            <v>Total OEM</v>
          </cell>
          <cell r="C24" t="str">
            <v>Aftermarket</v>
          </cell>
          <cell r="G24">
            <v>0.21200000000000002</v>
          </cell>
          <cell r="H24">
            <v>0.53</v>
          </cell>
          <cell r="I24">
            <v>1</v>
          </cell>
          <cell r="K24">
            <v>975.2</v>
          </cell>
          <cell r="L24">
            <v>996.40000000000009</v>
          </cell>
          <cell r="M24">
            <v>1017.6000000000001</v>
          </cell>
          <cell r="O24">
            <v>970</v>
          </cell>
          <cell r="P24">
            <v>880</v>
          </cell>
          <cell r="R24">
            <v>-9.2783505154639179E-2</v>
          </cell>
          <cell r="T24" t="str">
            <v xml:space="preserve"> -10% y/y</v>
          </cell>
          <cell r="W24">
            <v>0.18624338624338624</v>
          </cell>
          <cell r="X24">
            <v>0.19</v>
          </cell>
          <cell r="Y24">
            <v>0.48219178082191783</v>
          </cell>
          <cell r="AA24">
            <v>1</v>
          </cell>
        </row>
        <row r="25">
          <cell r="C25" t="str">
            <v xml:space="preserve">Wide-Body In-Flight Entertainment </v>
          </cell>
          <cell r="O25">
            <v>145</v>
          </cell>
          <cell r="P25">
            <v>98.6</v>
          </cell>
          <cell r="R25">
            <v>-0.32000000000000006</v>
          </cell>
          <cell r="T25" t="str">
            <v xml:space="preserve"> -40% y/y</v>
          </cell>
        </row>
        <row r="26">
          <cell r="B26" t="str">
            <v>Air Transport OEM</v>
          </cell>
          <cell r="G26">
            <v>9.5400000000000013E-2</v>
          </cell>
          <cell r="H26">
            <v>0.23850000000000002</v>
          </cell>
          <cell r="I26">
            <v>0.45</v>
          </cell>
          <cell r="K26">
            <v>438.84000000000003</v>
          </cell>
          <cell r="L26">
            <v>448.38000000000005</v>
          </cell>
          <cell r="M26">
            <v>457.92000000000007</v>
          </cell>
          <cell r="O26">
            <v>365</v>
          </cell>
          <cell r="P26">
            <v>405</v>
          </cell>
          <cell r="R26">
            <v>0.1095890410958904</v>
          </cell>
          <cell r="T26" t="str">
            <v xml:space="preserve"> +10% y/y</v>
          </cell>
          <cell r="W26">
            <v>8.5714285714285715E-2</v>
          </cell>
          <cell r="Y26">
            <v>0.22191780821917809</v>
          </cell>
          <cell r="AA26">
            <v>0.46022727272727271</v>
          </cell>
          <cell r="AB26">
            <v>0.45</v>
          </cell>
        </row>
        <row r="28">
          <cell r="B28" t="str">
            <v>Business &amp; Regional Jet OEM</v>
          </cell>
          <cell r="G28">
            <v>0.11660000000000002</v>
          </cell>
          <cell r="H28">
            <v>0.29150000000000004</v>
          </cell>
          <cell r="I28">
            <v>0.55000000000000004</v>
          </cell>
          <cell r="K28">
            <v>536.36</v>
          </cell>
          <cell r="L28">
            <v>548.0200000000001</v>
          </cell>
          <cell r="M28">
            <v>559.68000000000006</v>
          </cell>
          <cell r="O28">
            <v>605</v>
          </cell>
          <cell r="P28">
            <v>475</v>
          </cell>
          <cell r="R28">
            <v>-0.21487603305785119</v>
          </cell>
          <cell r="T28" t="str">
            <v xml:space="preserve"> -22% y/y</v>
          </cell>
          <cell r="W28">
            <v>0.10052910052910052</v>
          </cell>
          <cell r="Y28">
            <v>0.26027397260273971</v>
          </cell>
          <cell r="AA28">
            <v>0.53977272727272729</v>
          </cell>
          <cell r="AB28">
            <v>0.55000000000000004</v>
          </cell>
        </row>
        <row r="29">
          <cell r="C29" t="str">
            <v>Orginal Equipment</v>
          </cell>
          <cell r="K29">
            <v>0</v>
          </cell>
          <cell r="L29">
            <v>0</v>
          </cell>
          <cell r="M29">
            <v>0</v>
          </cell>
          <cell r="O29">
            <v>466</v>
          </cell>
          <cell r="P29">
            <v>526.57999999999993</v>
          </cell>
          <cell r="R29">
            <v>0.12999999999999989</v>
          </cell>
          <cell r="T29" t="str">
            <v xml:space="preserve"> low double digits</v>
          </cell>
        </row>
        <row r="30">
          <cell r="C30" t="str">
            <v>Aftermarket</v>
          </cell>
          <cell r="O30">
            <v>340</v>
          </cell>
          <cell r="P30">
            <v>397.79999999999995</v>
          </cell>
          <cell r="R30">
            <v>0.16999999999999993</v>
          </cell>
          <cell r="T30" t="str">
            <v>+ mid-teens</v>
          </cell>
        </row>
        <row r="31">
          <cell r="B31" t="str">
            <v>Total Aftermarket</v>
          </cell>
          <cell r="G31">
            <v>0.17600000000000002</v>
          </cell>
          <cell r="H31">
            <v>0.44</v>
          </cell>
          <cell r="I31">
            <v>1</v>
          </cell>
          <cell r="K31">
            <v>809.60000000000014</v>
          </cell>
          <cell r="L31">
            <v>827.2</v>
          </cell>
          <cell r="M31">
            <v>844.80000000000007</v>
          </cell>
          <cell r="O31">
            <v>836</v>
          </cell>
          <cell r="P31">
            <v>895</v>
          </cell>
          <cell r="R31">
            <v>7.0574162679425845E-2</v>
          </cell>
          <cell r="T31" t="str">
            <v xml:space="preserve"> +6% y/y</v>
          </cell>
          <cell r="W31">
            <v>0.18941798941798943</v>
          </cell>
          <cell r="X31">
            <v>0.19</v>
          </cell>
          <cell r="Y31">
            <v>0.49041095890410957</v>
          </cell>
          <cell r="AA31">
            <v>1</v>
          </cell>
        </row>
        <row r="33">
          <cell r="B33" t="str">
            <v>Air Transport Aftermarket</v>
          </cell>
          <cell r="G33">
            <v>0.1056</v>
          </cell>
          <cell r="H33">
            <v>0.26400000000000001</v>
          </cell>
          <cell r="I33">
            <v>0.6</v>
          </cell>
          <cell r="K33">
            <v>485.76000000000005</v>
          </cell>
          <cell r="L33">
            <v>496.32</v>
          </cell>
          <cell r="M33">
            <v>506.88</v>
          </cell>
          <cell r="O33">
            <v>520</v>
          </cell>
          <cell r="P33">
            <v>535</v>
          </cell>
          <cell r="R33">
            <v>2.8846153846153744E-2</v>
          </cell>
          <cell r="T33" t="str">
            <v xml:space="preserve"> +2-3% y/y</v>
          </cell>
          <cell r="W33">
            <v>0.11322751322751323</v>
          </cell>
          <cell r="Y33">
            <v>0.29315068493150687</v>
          </cell>
          <cell r="AA33">
            <v>0.5977653631284916</v>
          </cell>
          <cell r="AB33">
            <v>0.6</v>
          </cell>
        </row>
        <row r="34">
          <cell r="C34" t="str">
            <v>Orginal Equipment</v>
          </cell>
          <cell r="O34">
            <v>0.50166297117516634</v>
          </cell>
          <cell r="P34">
            <v>0.51897389648780001</v>
          </cell>
        </row>
        <row r="35">
          <cell r="B35" t="str">
            <v>Business &amp; Regional Jet Aftermarket</v>
          </cell>
          <cell r="C35" t="str">
            <v>Aftermarket</v>
          </cell>
          <cell r="G35">
            <v>7.0400000000000004E-2</v>
          </cell>
          <cell r="H35">
            <v>0.17600000000000002</v>
          </cell>
          <cell r="I35">
            <v>0.4</v>
          </cell>
          <cell r="K35">
            <v>323.84000000000009</v>
          </cell>
          <cell r="L35">
            <v>330.88000000000005</v>
          </cell>
          <cell r="M35">
            <v>337.92000000000007</v>
          </cell>
          <cell r="O35">
            <v>316</v>
          </cell>
          <cell r="P35">
            <v>360</v>
          </cell>
          <cell r="R35">
            <v>0.139240506329114</v>
          </cell>
          <cell r="T35" t="str">
            <v xml:space="preserve"> +13% y/y (Air Routing 10%)</v>
          </cell>
          <cell r="W35">
            <v>7.6190476190476197E-2</v>
          </cell>
          <cell r="Y35">
            <v>0.19726027397260273</v>
          </cell>
          <cell r="AA35">
            <v>0.4022346368715084</v>
          </cell>
          <cell r="AB35">
            <v>0.4</v>
          </cell>
        </row>
        <row r="36">
          <cell r="C36" t="str">
            <v>Other</v>
          </cell>
          <cell r="O36">
            <v>8.03769401330377E-2</v>
          </cell>
          <cell r="P36">
            <v>4.9401272608848142E-2</v>
          </cell>
        </row>
        <row r="38">
          <cell r="B38" t="str">
            <v>Wide-Body IFE</v>
          </cell>
          <cell r="G38">
            <v>1.2E-2</v>
          </cell>
          <cell r="H38">
            <v>0.03</v>
          </cell>
          <cell r="I38" t="str">
            <v xml:space="preserve">NA </v>
          </cell>
          <cell r="K38">
            <v>55.199999999999996</v>
          </cell>
          <cell r="L38">
            <v>56.4</v>
          </cell>
          <cell r="M38">
            <v>57.599999999999994</v>
          </cell>
          <cell r="O38">
            <v>85</v>
          </cell>
          <cell r="P38">
            <v>50</v>
          </cell>
          <cell r="R38">
            <v>-0.41176470588235292</v>
          </cell>
          <cell r="T38" t="str">
            <v xml:space="preserve"> -40% y/y</v>
          </cell>
          <cell r="W38">
            <v>1.0582010582010581E-2</v>
          </cell>
          <cell r="Y38">
            <v>2.7397260273972601E-2</v>
          </cell>
        </row>
        <row r="39">
          <cell r="B39" t="str">
            <v>Summary - % of Total Company Revenues</v>
          </cell>
        </row>
        <row r="41">
          <cell r="B41" t="str">
            <v>Air Transport vs. Business &amp; Regional Jet</v>
          </cell>
          <cell r="C41" t="str">
            <v>Government Systems</v>
          </cell>
          <cell r="O41">
            <v>0.61329046087888528</v>
          </cell>
          <cell r="P41">
            <v>0.59645362825774884</v>
          </cell>
        </row>
        <row r="42">
          <cell r="D42" t="str">
            <v>Airborne Solutions</v>
          </cell>
          <cell r="O42">
            <v>0.3969989281886388</v>
          </cell>
          <cell r="P42">
            <v>0.39426595766190181</v>
          </cell>
        </row>
        <row r="43">
          <cell r="B43" t="str">
            <v>Air Transport</v>
          </cell>
          <cell r="D43" t="str">
            <v>Surface Solutions</v>
          </cell>
          <cell r="G43">
            <v>0.21200000000000002</v>
          </cell>
          <cell r="H43">
            <v>0.53</v>
          </cell>
          <cell r="K43">
            <v>975.2</v>
          </cell>
          <cell r="L43">
            <v>996.40000000000009</v>
          </cell>
          <cell r="M43">
            <v>1017.6</v>
          </cell>
          <cell r="O43">
            <v>885</v>
          </cell>
          <cell r="P43">
            <v>940</v>
          </cell>
          <cell r="R43">
            <v>6.2146892655367214E-2</v>
          </cell>
          <cell r="W43">
            <v>0.19894179894179895</v>
          </cell>
          <cell r="Y43">
            <v>0.51506849315068493</v>
          </cell>
          <cell r="Z43">
            <v>0.53</v>
          </cell>
          <cell r="AA43">
            <v>1</v>
          </cell>
        </row>
        <row r="45">
          <cell r="C45" t="str">
            <v>OEM</v>
          </cell>
          <cell r="K45">
            <v>438.84000000000003</v>
          </cell>
          <cell r="L45">
            <v>448.38000000000005</v>
          </cell>
          <cell r="M45">
            <v>457.92000000000007</v>
          </cell>
          <cell r="O45">
            <v>365</v>
          </cell>
          <cell r="P45">
            <v>405</v>
          </cell>
          <cell r="R45">
            <v>0.1095890410958904</v>
          </cell>
          <cell r="T45" t="str">
            <v xml:space="preserve"> +10% y/y</v>
          </cell>
          <cell r="W45">
            <v>8.5714285714285715E-2</v>
          </cell>
          <cell r="Y45">
            <v>0.22191780821917809</v>
          </cell>
          <cell r="AA45">
            <v>0.43085106382978722</v>
          </cell>
        </row>
        <row r="47">
          <cell r="C47" t="str">
            <v>Aftermarket</v>
          </cell>
          <cell r="K47">
            <v>485.76000000000005</v>
          </cell>
          <cell r="L47">
            <v>496.32</v>
          </cell>
          <cell r="M47">
            <v>506.88</v>
          </cell>
          <cell r="O47">
            <v>520</v>
          </cell>
          <cell r="P47">
            <v>535</v>
          </cell>
          <cell r="R47">
            <v>2.8846153846153744E-2</v>
          </cell>
          <cell r="T47" t="str">
            <v xml:space="preserve"> +2-3% y/y</v>
          </cell>
          <cell r="W47">
            <v>0.11322751322751323</v>
          </cell>
          <cell r="Y47">
            <v>0.29315068493150687</v>
          </cell>
          <cell r="AA47">
            <v>0.56914893617021278</v>
          </cell>
        </row>
        <row r="48">
          <cell r="C48" t="str">
            <v>Total</v>
          </cell>
          <cell r="K48">
            <v>924.60000000000014</v>
          </cell>
          <cell r="L48">
            <v>944.7</v>
          </cell>
          <cell r="M48">
            <v>964.80000000000007</v>
          </cell>
          <cell r="O48">
            <v>885</v>
          </cell>
          <cell r="P48">
            <v>940</v>
          </cell>
          <cell r="R48">
            <v>6.2146892655367214E-2</v>
          </cell>
          <cell r="T48" t="str">
            <v xml:space="preserve"> -10% y/y</v>
          </cell>
        </row>
        <row r="49">
          <cell r="C49" t="str">
            <v>Difference</v>
          </cell>
          <cell r="D49" t="str">
            <v>Air Transport</v>
          </cell>
          <cell r="K49">
            <v>-50.599999999999909</v>
          </cell>
          <cell r="L49">
            <v>-51.700000000000045</v>
          </cell>
          <cell r="M49">
            <v>-52.799999999999955</v>
          </cell>
          <cell r="O49">
            <v>0.21393354769560557</v>
          </cell>
          <cell r="P49">
            <v>0.21664813279686207</v>
          </cell>
        </row>
        <row r="50">
          <cell r="D50" t="str">
            <v>Business and Regional</v>
          </cell>
          <cell r="O50">
            <v>0.17277599142550912</v>
          </cell>
          <cell r="P50">
            <v>0.18689823894538909</v>
          </cell>
        </row>
        <row r="52">
          <cell r="B52" t="str">
            <v>Business &amp; Regional Jet</v>
          </cell>
          <cell r="D52" t="str">
            <v>OEM</v>
          </cell>
          <cell r="G52">
            <v>0.17600000000000002</v>
          </cell>
          <cell r="H52">
            <v>0.44</v>
          </cell>
          <cell r="K52">
            <v>809.6</v>
          </cell>
          <cell r="L52">
            <v>827.2</v>
          </cell>
          <cell r="M52">
            <v>844.8</v>
          </cell>
          <cell r="O52">
            <v>921</v>
          </cell>
          <cell r="P52">
            <v>835</v>
          </cell>
          <cell r="R52">
            <v>-9.3376764386536415E-2</v>
          </cell>
          <cell r="W52">
            <v>0.17671957671957672</v>
          </cell>
          <cell r="Y52">
            <v>0.45753424657534247</v>
          </cell>
          <cell r="Z52">
            <v>0.44</v>
          </cell>
          <cell r="AA52">
            <v>1</v>
          </cell>
        </row>
        <row r="53">
          <cell r="D53" t="str">
            <v xml:space="preserve">Aftermarket </v>
          </cell>
          <cell r="O53">
            <v>0.16162915326902466</v>
          </cell>
          <cell r="P53">
            <v>0.17418063446491033</v>
          </cell>
        </row>
        <row r="54">
          <cell r="C54" t="str">
            <v>OEM</v>
          </cell>
          <cell r="D54" t="str">
            <v>Other</v>
          </cell>
          <cell r="K54">
            <v>536.36</v>
          </cell>
          <cell r="L54">
            <v>548.0200000000001</v>
          </cell>
          <cell r="M54">
            <v>559.68000000000006</v>
          </cell>
          <cell r="O54">
            <v>605</v>
          </cell>
          <cell r="P54">
            <v>475</v>
          </cell>
          <cell r="R54">
            <v>-0.21487603305785119</v>
          </cell>
          <cell r="T54" t="str">
            <v xml:space="preserve"> -22% y/y</v>
          </cell>
          <cell r="W54">
            <v>0.10052910052910052</v>
          </cell>
          <cell r="Y54">
            <v>0.26027397260273971</v>
          </cell>
          <cell r="AA54">
            <v>0.56886227544910184</v>
          </cell>
        </row>
        <row r="56">
          <cell r="C56" t="str">
            <v>Aftermarket</v>
          </cell>
          <cell r="K56">
            <v>323.84000000000009</v>
          </cell>
          <cell r="L56">
            <v>330.88000000000005</v>
          </cell>
          <cell r="M56">
            <v>337.92000000000007</v>
          </cell>
          <cell r="O56">
            <v>316</v>
          </cell>
          <cell r="P56">
            <v>360</v>
          </cell>
          <cell r="R56">
            <v>0.139240506329114</v>
          </cell>
          <cell r="T56" t="str">
            <v xml:space="preserve"> +13% y/y (Air Routing 10%)</v>
          </cell>
          <cell r="W56">
            <v>7.6190476190476197E-2</v>
          </cell>
          <cell r="Y56">
            <v>0.19726027397260273</v>
          </cell>
          <cell r="AA56">
            <v>0.43113772455089822</v>
          </cell>
        </row>
        <row r="57">
          <cell r="C57" t="str">
            <v>Total</v>
          </cell>
          <cell r="K57">
            <v>860.2</v>
          </cell>
          <cell r="L57">
            <v>878.90000000000009</v>
          </cell>
          <cell r="M57">
            <v>897.60000000000014</v>
          </cell>
          <cell r="O57">
            <v>921</v>
          </cell>
          <cell r="P57">
            <v>835</v>
          </cell>
          <cell r="R57">
            <v>-9.3376764386536415E-2</v>
          </cell>
          <cell r="T57" t="str">
            <v xml:space="preserve"> +6% y/y</v>
          </cell>
        </row>
        <row r="58">
          <cell r="C58" t="str">
            <v>Difference</v>
          </cell>
          <cell r="K58">
            <v>50.600000000000023</v>
          </cell>
          <cell r="L58">
            <v>51.700000000000045</v>
          </cell>
          <cell r="M58">
            <v>52.800000000000182</v>
          </cell>
        </row>
        <row r="61">
          <cell r="C61" t="str">
            <v>Revenue Check</v>
          </cell>
          <cell r="O61">
            <v>0</v>
          </cell>
          <cell r="P61">
            <v>0</v>
          </cell>
        </row>
        <row r="63">
          <cell r="B63" t="str">
            <v>OEM Cross-check</v>
          </cell>
          <cell r="O63">
            <v>0</v>
          </cell>
          <cell r="P63">
            <v>0</v>
          </cell>
        </row>
        <row r="65">
          <cell r="B65" t="str">
            <v>Aftermarket Cross-check</v>
          </cell>
          <cell r="O65">
            <v>0</v>
          </cell>
          <cell r="P65">
            <v>0</v>
          </cell>
        </row>
      </sheetData>
      <sheetData sheetId="16" refreshError="1"/>
      <sheetData sheetId="17" refreshError="1"/>
      <sheetData sheetId="18" refreshError="1">
        <row r="2">
          <cell r="F2">
            <v>2009</v>
          </cell>
          <cell r="G2">
            <v>2010</v>
          </cell>
          <cell r="H2">
            <v>2011</v>
          </cell>
          <cell r="I2">
            <v>2012</v>
          </cell>
          <cell r="J2">
            <v>2013</v>
          </cell>
          <cell r="K2">
            <v>2014</v>
          </cell>
        </row>
        <row r="5">
          <cell r="B5" t="str">
            <v>Sales</v>
          </cell>
          <cell r="F5">
            <v>4470</v>
          </cell>
          <cell r="G5">
            <v>4725</v>
          </cell>
          <cell r="H5">
            <v>5100</v>
          </cell>
          <cell r="I5">
            <v>5460</v>
          </cell>
          <cell r="J5">
            <v>5850</v>
          </cell>
          <cell r="K5">
            <v>6170</v>
          </cell>
        </row>
        <row r="8">
          <cell r="B8" t="str">
            <v>EBIT</v>
          </cell>
          <cell r="F8">
            <v>867.44</v>
          </cell>
          <cell r="G8">
            <v>991.1724999999999</v>
          </cell>
          <cell r="H8">
            <v>1066.55</v>
          </cell>
          <cell r="I8">
            <v>1168.931785714286</v>
          </cell>
          <cell r="J8">
            <v>1237.6240842490843</v>
          </cell>
          <cell r="K8">
            <v>1307.4809890109889</v>
          </cell>
        </row>
        <row r="9">
          <cell r="B9" t="str">
            <v>Tax Rate</v>
          </cell>
          <cell r="F9">
            <v>0.31184435170255148</v>
          </cell>
          <cell r="G9">
            <v>0.31</v>
          </cell>
          <cell r="H9">
            <v>0.31</v>
          </cell>
          <cell r="I9">
            <v>0.31</v>
          </cell>
          <cell r="J9">
            <v>0.31</v>
          </cell>
          <cell r="K9">
            <v>0.31</v>
          </cell>
        </row>
        <row r="10">
          <cell r="B10" t="str">
            <v>NOPAT</v>
          </cell>
          <cell r="F10">
            <v>596.93373555913877</v>
          </cell>
          <cell r="G10">
            <v>683.90902499999993</v>
          </cell>
          <cell r="H10">
            <v>735.91949999999986</v>
          </cell>
          <cell r="I10">
            <v>806.56293214285722</v>
          </cell>
          <cell r="J10">
            <v>853.96061813186805</v>
          </cell>
          <cell r="K10">
            <v>902.16188241758221</v>
          </cell>
        </row>
        <row r="12">
          <cell r="B12" t="str">
            <v>Debt</v>
          </cell>
          <cell r="F12">
            <v>531</v>
          </cell>
          <cell r="G12">
            <v>531</v>
          </cell>
          <cell r="H12">
            <v>531</v>
          </cell>
          <cell r="I12">
            <v>531</v>
          </cell>
          <cell r="J12">
            <v>531</v>
          </cell>
          <cell r="K12">
            <v>531</v>
          </cell>
        </row>
        <row r="13">
          <cell r="B13" t="str">
            <v>Equity</v>
          </cell>
          <cell r="F13">
            <v>1292</v>
          </cell>
          <cell r="G13">
            <v>1588.2926000000002</v>
          </cell>
          <cell r="H13">
            <v>1894.9539175000002</v>
          </cell>
          <cell r="I13">
            <v>2188.0225675000002</v>
          </cell>
          <cell r="J13">
            <v>2480.5416200000004</v>
          </cell>
          <cell r="K13">
            <v>2756.2390526923082</v>
          </cell>
        </row>
        <row r="14">
          <cell r="B14" t="str">
            <v>Total Capital</v>
          </cell>
          <cell r="F14">
            <v>1823</v>
          </cell>
          <cell r="G14">
            <v>2119.2926000000002</v>
          </cell>
          <cell r="H14">
            <v>2425.9539175</v>
          </cell>
          <cell r="I14">
            <v>2719.0225675000002</v>
          </cell>
          <cell r="J14">
            <v>3011.5416200000004</v>
          </cell>
          <cell r="K14">
            <v>3287.2390526923082</v>
          </cell>
        </row>
        <row r="16">
          <cell r="B16" t="str">
            <v>Return on Avg. Capital</v>
          </cell>
          <cell r="G16">
            <v>0.34696005314268141</v>
          </cell>
          <cell r="H16">
            <v>0.32381939996723175</v>
          </cell>
          <cell r="I16">
            <v>0.31353415685936109</v>
          </cell>
          <cell r="J16">
            <v>0.2980371880292696</v>
          </cell>
          <cell r="K16">
            <v>0.28645603944547832</v>
          </cell>
        </row>
        <row r="18">
          <cell r="B18" t="str">
            <v>Less: Excess Cash</v>
          </cell>
          <cell r="F18">
            <v>-335.55606153846156</v>
          </cell>
          <cell r="G18">
            <v>-518.68084057692329</v>
          </cell>
          <cell r="H18">
            <v>-691.90461878205144</v>
          </cell>
          <cell r="I18">
            <v>-806.27879948718009</v>
          </cell>
          <cell r="J18">
            <v>-913.01469371794929</v>
          </cell>
          <cell r="K18">
            <v>-1002.8831396153854</v>
          </cell>
        </row>
        <row r="19">
          <cell r="B19" t="str">
            <v>Net Capital</v>
          </cell>
          <cell r="F19">
            <v>1487.4439384615384</v>
          </cell>
          <cell r="G19">
            <v>1600.6117594230768</v>
          </cell>
          <cell r="H19">
            <v>1734.0492987179487</v>
          </cell>
          <cell r="I19">
            <v>1912.7437680128201</v>
          </cell>
          <cell r="J19">
            <v>2098.5269262820511</v>
          </cell>
          <cell r="K19">
            <v>2284.3559130769227</v>
          </cell>
        </row>
        <row r="21">
          <cell r="B21" t="str">
            <v>Return on Avg. Net Capital</v>
          </cell>
          <cell r="G21">
            <v>0.44293827049071194</v>
          </cell>
          <cell r="H21">
            <v>0.44137589228348928</v>
          </cell>
          <cell r="I21">
            <v>0.44234093757664983</v>
          </cell>
          <cell r="J21">
            <v>0.4257805983258296</v>
          </cell>
          <cell r="K21">
            <v>0.41167510767845644</v>
          </cell>
        </row>
        <row r="28">
          <cell r="B28" t="str">
            <v>Cash</v>
          </cell>
          <cell r="E28">
            <v>235</v>
          </cell>
          <cell r="F28">
            <v>469.65606153846159</v>
          </cell>
          <cell r="G28">
            <v>660.43084057692329</v>
          </cell>
          <cell r="H28">
            <v>844.90461878205144</v>
          </cell>
          <cell r="I28">
            <v>970.07879948718005</v>
          </cell>
          <cell r="J28">
            <v>1088.5146937179493</v>
          </cell>
          <cell r="K28">
            <v>1187.9831396153854</v>
          </cell>
        </row>
        <row r="29">
          <cell r="F29">
            <v>0.10506847014283258</v>
          </cell>
          <cell r="G29">
            <v>0.13977372287342291</v>
          </cell>
          <cell r="H29">
            <v>0.16566757231020615</v>
          </cell>
          <cell r="I29">
            <v>0.17767010979618683</v>
          </cell>
          <cell r="J29">
            <v>0.18607088781503406</v>
          </cell>
          <cell r="K29">
            <v>0.19254183786310947</v>
          </cell>
        </row>
        <row r="32">
          <cell r="F32">
            <v>0.03</v>
          </cell>
          <cell r="G32">
            <v>0.03</v>
          </cell>
          <cell r="H32">
            <v>0.03</v>
          </cell>
          <cell r="I32">
            <v>0.03</v>
          </cell>
          <cell r="J32">
            <v>0.03</v>
          </cell>
          <cell r="K32">
            <v>0.03</v>
          </cell>
        </row>
        <row r="33">
          <cell r="B33" t="str">
            <v>Operating Cash</v>
          </cell>
          <cell r="F33">
            <v>134.1</v>
          </cell>
          <cell r="G33">
            <v>141.75</v>
          </cell>
          <cell r="H33">
            <v>153</v>
          </cell>
          <cell r="I33">
            <v>163.79999999999998</v>
          </cell>
          <cell r="J33">
            <v>175.5</v>
          </cell>
          <cell r="K33">
            <v>185.1</v>
          </cell>
        </row>
        <row r="35">
          <cell r="B35" t="str">
            <v>Excess Cash</v>
          </cell>
          <cell r="F35">
            <v>335.55606153846156</v>
          </cell>
          <cell r="G35">
            <v>518.68084057692329</v>
          </cell>
          <cell r="H35">
            <v>691.90461878205144</v>
          </cell>
          <cell r="I35">
            <v>806.27879948718009</v>
          </cell>
          <cell r="J35">
            <v>913.01469371794929</v>
          </cell>
          <cell r="K35">
            <v>1002.8831396153854</v>
          </cell>
        </row>
        <row r="38">
          <cell r="F38">
            <v>2009</v>
          </cell>
          <cell r="G38">
            <v>2010</v>
          </cell>
          <cell r="H38">
            <v>2011</v>
          </cell>
          <cell r="I38">
            <v>2012</v>
          </cell>
          <cell r="J38">
            <v>2013</v>
          </cell>
          <cell r="K38">
            <v>2014</v>
          </cell>
        </row>
        <row r="40">
          <cell r="B40" t="str">
            <v>Net Income</v>
          </cell>
          <cell r="F40">
            <v>594</v>
          </cell>
          <cell r="G40">
            <v>580.41800000000001</v>
          </cell>
          <cell r="H40">
            <v>666.65902499999993</v>
          </cell>
          <cell r="I40">
            <v>718.66949999999997</v>
          </cell>
          <cell r="J40">
            <v>789.31293214285733</v>
          </cell>
          <cell r="K40">
            <v>836.71061813186816</v>
          </cell>
        </row>
        <row r="41">
          <cell r="B41" t="str">
            <v>D&amp;A</v>
          </cell>
          <cell r="F41">
            <v>144</v>
          </cell>
          <cell r="G41">
            <v>151.73846153846154</v>
          </cell>
          <cell r="H41">
            <v>156.23846153846154</v>
          </cell>
          <cell r="I41">
            <v>163.40512820512822</v>
          </cell>
          <cell r="J41">
            <v>170.90512820512822</v>
          </cell>
          <cell r="K41">
            <v>178.73846153846154</v>
          </cell>
        </row>
        <row r="42">
          <cell r="B42" t="str">
            <v>Non-cash Comp</v>
          </cell>
          <cell r="F42">
            <v>81</v>
          </cell>
          <cell r="G42">
            <v>90</v>
          </cell>
          <cell r="H42">
            <v>90</v>
          </cell>
          <cell r="I42">
            <v>90</v>
          </cell>
          <cell r="J42">
            <v>90</v>
          </cell>
          <cell r="K42">
            <v>90</v>
          </cell>
        </row>
        <row r="43">
          <cell r="B43" t="str">
            <v>Pension &amp; Other</v>
          </cell>
          <cell r="F43">
            <v>-30</v>
          </cell>
          <cell r="G43">
            <v>-98</v>
          </cell>
          <cell r="H43">
            <v>-100</v>
          </cell>
          <cell r="I43">
            <v>-100</v>
          </cell>
          <cell r="J43">
            <v>-100</v>
          </cell>
          <cell r="K43">
            <v>-100</v>
          </cell>
        </row>
        <row r="44">
          <cell r="B44" t="str">
            <v>Working Capital</v>
          </cell>
          <cell r="F44">
            <v>-156</v>
          </cell>
          <cell r="G44">
            <v>20.625000000000057</v>
          </cell>
          <cell r="H44">
            <v>-22.124999999999886</v>
          </cell>
          <cell r="I44">
            <v>-12</v>
          </cell>
          <cell r="J44">
            <v>-68.249999999999886</v>
          </cell>
          <cell r="K44">
            <v>-56.000000000000171</v>
          </cell>
        </row>
        <row r="45">
          <cell r="B45" t="str">
            <v>Operating Cash Flow (OCF)</v>
          </cell>
          <cell r="F45">
            <v>633</v>
          </cell>
          <cell r="G45">
            <v>744.7814615384616</v>
          </cell>
          <cell r="H45">
            <v>790.77248653846152</v>
          </cell>
          <cell r="I45">
            <v>860.07462820512819</v>
          </cell>
          <cell r="J45">
            <v>881.96806034798567</v>
          </cell>
          <cell r="K45">
            <v>949.44907967032941</v>
          </cell>
        </row>
        <row r="47">
          <cell r="B47" t="str">
            <v>OCF % Net Income</v>
          </cell>
          <cell r="F47">
            <v>1.0656565656565657</v>
          </cell>
          <cell r="G47">
            <v>1.2831811927584285</v>
          </cell>
          <cell r="H47">
            <v>1.1861723263079826</v>
          </cell>
          <cell r="I47">
            <v>1.1967596067526565</v>
          </cell>
          <cell r="J47">
            <v>1.1173870646634214</v>
          </cell>
          <cell r="K47">
            <v>1.1347400870687807</v>
          </cell>
        </row>
        <row r="48">
          <cell r="B48" t="str">
            <v>OCF % Sales</v>
          </cell>
          <cell r="F48">
            <v>0.14161073825503356</v>
          </cell>
          <cell r="G48">
            <v>0.15762570614570615</v>
          </cell>
          <cell r="H48">
            <v>0.15505342873303168</v>
          </cell>
          <cell r="I48">
            <v>0.15752282567859491</v>
          </cell>
          <cell r="J48">
            <v>0.15076377099965568</v>
          </cell>
          <cell r="K48">
            <v>0.15388153641334351</v>
          </cell>
          <cell r="M48" t="str">
            <v>In-line with historical mid-teen OCF margins</v>
          </cell>
        </row>
        <row r="50">
          <cell r="B50" t="str">
            <v>Capex</v>
          </cell>
          <cell r="F50">
            <v>-153</v>
          </cell>
          <cell r="G50">
            <v>-135</v>
          </cell>
          <cell r="H50">
            <v>-150</v>
          </cell>
          <cell r="I50">
            <v>-160</v>
          </cell>
          <cell r="J50">
            <v>-170</v>
          </cell>
          <cell r="K50">
            <v>-180</v>
          </cell>
        </row>
        <row r="51">
          <cell r="B51" t="str">
            <v>Free Cash Flow</v>
          </cell>
          <cell r="F51">
            <v>480</v>
          </cell>
          <cell r="G51">
            <v>609.7814615384616</v>
          </cell>
          <cell r="H51">
            <v>640.77248653846152</v>
          </cell>
          <cell r="I51">
            <v>700.07462820512819</v>
          </cell>
          <cell r="J51">
            <v>711.96806034798567</v>
          </cell>
          <cell r="K51">
            <v>769.44907967032941</v>
          </cell>
        </row>
        <row r="53">
          <cell r="B53" t="str">
            <v>Capex % Sales</v>
          </cell>
          <cell r="F53">
            <v>3.4228187919463089E-2</v>
          </cell>
          <cell r="G53">
            <v>2.8571428571428571E-2</v>
          </cell>
          <cell r="H53">
            <v>2.9411764705882353E-2</v>
          </cell>
          <cell r="I53">
            <v>2.9304029304029304E-2</v>
          </cell>
          <cell r="J53">
            <v>2.9059829059829061E-2</v>
          </cell>
          <cell r="K53">
            <v>2.9173419773095625E-2</v>
          </cell>
          <cell r="M53" t="str">
            <v>2001-2009 avg of ~3% sales</v>
          </cell>
        </row>
        <row r="55">
          <cell r="B55" t="str">
            <v>Dividends</v>
          </cell>
          <cell r="F55">
            <v>-152</v>
          </cell>
          <cell r="G55">
            <v>-174.12539999999998</v>
          </cell>
          <cell r="H55">
            <v>-199.99770749999996</v>
          </cell>
          <cell r="I55">
            <v>-215.60084999999998</v>
          </cell>
          <cell r="J55">
            <v>-236.79387964285718</v>
          </cell>
          <cell r="K55">
            <v>-251.01318543956043</v>
          </cell>
        </row>
        <row r="56">
          <cell r="B56" t="str">
            <v>Discretionary Cash Flow</v>
          </cell>
          <cell r="F56">
            <v>328</v>
          </cell>
          <cell r="G56">
            <v>435.65606153846159</v>
          </cell>
          <cell r="H56">
            <v>440.77477903846159</v>
          </cell>
          <cell r="I56">
            <v>484.47377820512821</v>
          </cell>
          <cell r="J56">
            <v>475.17418070512849</v>
          </cell>
          <cell r="K56">
            <v>518.43589423076901</v>
          </cell>
        </row>
        <row r="58">
          <cell r="B58" t="str">
            <v>Dividend Payout Ratio</v>
          </cell>
          <cell r="F58">
            <v>0.25589225589225589</v>
          </cell>
          <cell r="G58">
            <v>0.3</v>
          </cell>
          <cell r="H58">
            <v>0.3</v>
          </cell>
          <cell r="I58">
            <v>0.3</v>
          </cell>
          <cell r="J58">
            <v>0.3</v>
          </cell>
          <cell r="K58">
            <v>0.3</v>
          </cell>
          <cell r="M58">
            <v>0.21424672489082969</v>
          </cell>
        </row>
        <row r="60">
          <cell r="B60" t="str">
            <v>Assumed Share Repurchase</v>
          </cell>
          <cell r="F60">
            <v>-153</v>
          </cell>
          <cell r="G60">
            <v>-200</v>
          </cell>
          <cell r="H60">
            <v>-250</v>
          </cell>
          <cell r="I60">
            <v>-300</v>
          </cell>
          <cell r="J60">
            <v>-350</v>
          </cell>
          <cell r="K60">
            <v>-400</v>
          </cell>
        </row>
        <row r="61">
          <cell r="B61" t="str">
            <v>Remaining Free Cash Flow</v>
          </cell>
          <cell r="F61">
            <v>175</v>
          </cell>
          <cell r="G61">
            <v>235.65606153846159</v>
          </cell>
          <cell r="H61">
            <v>190.77477903846159</v>
          </cell>
          <cell r="I61">
            <v>184.47377820512821</v>
          </cell>
          <cell r="J61">
            <v>125.17418070512849</v>
          </cell>
          <cell r="K61">
            <v>118.43589423076901</v>
          </cell>
        </row>
        <row r="63">
          <cell r="F63">
            <v>235</v>
          </cell>
          <cell r="G63">
            <v>470.65606153846159</v>
          </cell>
          <cell r="H63">
            <v>661.43084057692317</v>
          </cell>
          <cell r="I63">
            <v>845.90461878205133</v>
          </cell>
          <cell r="J63">
            <v>971.07879948717982</v>
          </cell>
          <cell r="K63">
            <v>1089.5146937179488</v>
          </cell>
        </row>
        <row r="64">
          <cell r="G64">
            <v>234.65606153846159</v>
          </cell>
          <cell r="H64">
            <v>190.7747790384617</v>
          </cell>
          <cell r="I64">
            <v>184.47377820512816</v>
          </cell>
          <cell r="J64">
            <v>125.17418070512861</v>
          </cell>
          <cell r="K64">
            <v>118.43589423076912</v>
          </cell>
        </row>
        <row r="66">
          <cell r="G66">
            <v>159</v>
          </cell>
          <cell r="H66">
            <v>157</v>
          </cell>
          <cell r="I66">
            <v>153</v>
          </cell>
          <cell r="J66">
            <v>151.47</v>
          </cell>
          <cell r="K66">
            <v>149.95529999999999</v>
          </cell>
        </row>
        <row r="68">
          <cell r="G68">
            <v>4.6841601354620224</v>
          </cell>
          <cell r="H68">
            <v>5.0367674301812837</v>
          </cell>
          <cell r="I68">
            <v>5.6214027987263284</v>
          </cell>
          <cell r="J68">
            <v>5.8227243701590128</v>
          </cell>
          <cell r="K68">
            <v>6.3315473322405369</v>
          </cell>
        </row>
        <row r="69">
          <cell r="G69">
            <v>3.8351035316884379</v>
          </cell>
          <cell r="H69">
            <v>4.08135341744243</v>
          </cell>
          <cell r="I69">
            <v>4.5756511647393996</v>
          </cell>
          <cell r="J69">
            <v>4.7003899144912236</v>
          </cell>
          <cell r="K69">
            <v>5.1311896256439713</v>
          </cell>
        </row>
        <row r="71">
          <cell r="F71">
            <v>62.62</v>
          </cell>
          <cell r="G71">
            <v>7.4802940521590908E-2</v>
          </cell>
          <cell r="H71">
            <v>8.0433845898774892E-2</v>
          </cell>
          <cell r="I71">
            <v>8.9770086214090203E-2</v>
          </cell>
          <cell r="J71">
            <v>9.298505861001298E-2</v>
          </cell>
          <cell r="K71">
            <v>0.10111062491600986</v>
          </cell>
        </row>
        <row r="72">
          <cell r="G72">
            <v>6.1244067896653431E-2</v>
          </cell>
          <cell r="H72">
            <v>6.5176515768802776E-2</v>
          </cell>
          <cell r="I72">
            <v>7.3070123997754713E-2</v>
          </cell>
          <cell r="J72">
            <v>7.5062119362683227E-2</v>
          </cell>
          <cell r="K72">
            <v>8.1941705934908515E-2</v>
          </cell>
        </row>
        <row r="74">
          <cell r="G74">
            <v>4.4800000000000004</v>
          </cell>
          <cell r="H74">
            <v>4.95</v>
          </cell>
          <cell r="I74">
            <v>5.38</v>
          </cell>
        </row>
        <row r="75">
          <cell r="G75">
            <v>3.29</v>
          </cell>
          <cell r="H75">
            <v>3.99</v>
          </cell>
          <cell r="I75">
            <v>4.4400000000000004</v>
          </cell>
        </row>
        <row r="77">
          <cell r="G77">
            <v>4.5571458808487009E-2</v>
          </cell>
          <cell r="H77">
            <v>1.7528773773996642E-2</v>
          </cell>
          <cell r="I77">
            <v>4.487040868519121E-2</v>
          </cell>
        </row>
        <row r="78">
          <cell r="G78">
            <v>0.16568496403903876</v>
          </cell>
          <cell r="H78">
            <v>2.2895593343967402E-2</v>
          </cell>
          <cell r="I78">
            <v>3.0552064130495271E-2</v>
          </cell>
        </row>
        <row r="81">
          <cell r="F81">
            <v>3.8143036386449181</v>
          </cell>
          <cell r="G81">
            <v>3.6463396226415097</v>
          </cell>
          <cell r="H81">
            <v>4.2462358280254771</v>
          </cell>
          <cell r="I81">
            <v>4.6971862745098036</v>
          </cell>
          <cell r="J81">
            <v>5.2110182355770602</v>
          </cell>
          <cell r="K81">
            <v>5.5797335481431345</v>
          </cell>
        </row>
        <row r="82">
          <cell r="G82">
            <v>18</v>
          </cell>
          <cell r="H82">
            <v>18</v>
          </cell>
          <cell r="I82">
            <v>18</v>
          </cell>
          <cell r="J82">
            <v>18</v>
          </cell>
          <cell r="K82">
            <v>18</v>
          </cell>
        </row>
        <row r="83">
          <cell r="F83">
            <v>50</v>
          </cell>
          <cell r="G83">
            <v>65.634113207547173</v>
          </cell>
          <cell r="H83">
            <v>76.432244904458585</v>
          </cell>
          <cell r="I83">
            <v>84.549352941176465</v>
          </cell>
          <cell r="J83">
            <v>93.798328240387079</v>
          </cell>
          <cell r="K83">
            <v>100.43520386657642</v>
          </cell>
        </row>
        <row r="86">
          <cell r="F86">
            <v>-2.1485573971761762E-2</v>
          </cell>
          <cell r="G86">
            <v>-2.5094102885822034E-3</v>
          </cell>
          <cell r="H86">
            <v>-1.2578616352201255E-2</v>
          </cell>
          <cell r="I86">
            <v>-2.5477707006369421E-2</v>
          </cell>
          <cell r="J86">
            <v>-1.0000000000000009E-2</v>
          </cell>
          <cell r="K86">
            <v>-1.0000000000000009E-2</v>
          </cell>
        </row>
        <row r="87">
          <cell r="F87">
            <v>-350</v>
          </cell>
          <cell r="G87">
            <v>-52.507290566038485</v>
          </cell>
          <cell r="H87">
            <v>-305.72897961783434</v>
          </cell>
          <cell r="I87">
            <v>-676.39482352941172</v>
          </cell>
          <cell r="J87">
            <v>-287.02288441558466</v>
          </cell>
          <cell r="K87">
            <v>-304.25840659340759</v>
          </cell>
        </row>
        <row r="96">
          <cell r="D96">
            <v>235</v>
          </cell>
          <cell r="E96">
            <v>609.7814615384616</v>
          </cell>
          <cell r="F96">
            <v>640.77248653846152</v>
          </cell>
          <cell r="G96">
            <v>700.07462820512819</v>
          </cell>
          <cell r="H96">
            <v>2185.6285762820512</v>
          </cell>
          <cell r="I96">
            <v>-531</v>
          </cell>
          <cell r="J96">
            <v>1654.6285762820512</v>
          </cell>
        </row>
        <row r="103">
          <cell r="E103">
            <v>3.52</v>
          </cell>
          <cell r="F103">
            <v>3.95</v>
          </cell>
          <cell r="G103">
            <v>4.51</v>
          </cell>
        </row>
        <row r="104">
          <cell r="E104">
            <v>559</v>
          </cell>
          <cell r="F104">
            <v>621</v>
          </cell>
          <cell r="G104">
            <v>699</v>
          </cell>
        </row>
        <row r="105">
          <cell r="E105">
            <v>158.80681818181819</v>
          </cell>
          <cell r="F105">
            <v>157.21518987341773</v>
          </cell>
          <cell r="G105">
            <v>154.9889135254989</v>
          </cell>
        </row>
        <row r="107">
          <cell r="E107">
            <v>159</v>
          </cell>
          <cell r="F107">
            <v>157</v>
          </cell>
          <cell r="G107">
            <v>153</v>
          </cell>
        </row>
        <row r="109">
          <cell r="E109">
            <v>3.5157232704402515</v>
          </cell>
          <cell r="F109">
            <v>3.9554140127388533</v>
          </cell>
          <cell r="G109">
            <v>4.5686274509803919</v>
          </cell>
        </row>
        <row r="111">
          <cell r="E111">
            <v>580.41800000000001</v>
          </cell>
          <cell r="F111">
            <v>666.65902499999993</v>
          </cell>
          <cell r="G111">
            <v>718.66949999999997</v>
          </cell>
        </row>
        <row r="119">
          <cell r="D119">
            <v>2002</v>
          </cell>
          <cell r="E119">
            <v>2003</v>
          </cell>
          <cell r="F119">
            <v>2004</v>
          </cell>
          <cell r="G119">
            <v>2005</v>
          </cell>
          <cell r="H119">
            <v>2006</v>
          </cell>
          <cell r="I119" t="str">
            <v>2007</v>
          </cell>
          <cell r="J119">
            <v>2008</v>
          </cell>
          <cell r="K119" t="str">
            <v>2009A</v>
          </cell>
          <cell r="L119" t="str">
            <v>2010E</v>
          </cell>
          <cell r="M119" t="str">
            <v>2011E</v>
          </cell>
          <cell r="N119" t="str">
            <v>2012E</v>
          </cell>
        </row>
        <row r="120">
          <cell r="D120">
            <v>102</v>
          </cell>
          <cell r="E120">
            <v>154</v>
          </cell>
          <cell r="F120">
            <v>179</v>
          </cell>
          <cell r="G120">
            <v>498</v>
          </cell>
          <cell r="H120">
            <v>492</v>
          </cell>
          <cell r="I120">
            <v>333</v>
          </cell>
          <cell r="J120">
            <v>576</v>
          </cell>
          <cell r="K120">
            <v>153</v>
          </cell>
          <cell r="L120">
            <v>200</v>
          </cell>
          <cell r="M120">
            <v>250</v>
          </cell>
          <cell r="N120">
            <v>300</v>
          </cell>
        </row>
        <row r="121">
          <cell r="D121">
            <v>1.6567796610169492</v>
          </cell>
          <cell r="E121">
            <v>1.1705426356589148</v>
          </cell>
          <cell r="F121">
            <v>1.0199335548172757</v>
          </cell>
          <cell r="G121">
            <v>1.1313131313131313</v>
          </cell>
          <cell r="H121">
            <v>0.9454926624737946</v>
          </cell>
          <cell r="I121">
            <v>0.82393162393162389</v>
          </cell>
          <cell r="J121">
            <v>0.66224188790560468</v>
          </cell>
          <cell r="K121">
            <v>0.80808080808080807</v>
          </cell>
          <cell r="L121">
            <v>1.0505901979925873</v>
          </cell>
          <cell r="M121">
            <v>0.96116974721591997</v>
          </cell>
          <cell r="N121">
            <v>0.97412597613385321</v>
          </cell>
        </row>
        <row r="153">
          <cell r="D153">
            <v>2002</v>
          </cell>
          <cell r="E153">
            <v>2003</v>
          </cell>
          <cell r="F153">
            <v>2004</v>
          </cell>
          <cell r="G153">
            <v>2005</v>
          </cell>
          <cell r="H153">
            <v>2006</v>
          </cell>
          <cell r="I153" t="str">
            <v>2007</v>
          </cell>
          <cell r="J153">
            <v>2008</v>
          </cell>
          <cell r="K153" t="str">
            <v>2009A</v>
          </cell>
          <cell r="L153" t="str">
            <v>2010E</v>
          </cell>
          <cell r="M153" t="str">
            <v>2011E</v>
          </cell>
          <cell r="N153" t="str">
            <v>2012E</v>
          </cell>
        </row>
        <row r="154">
          <cell r="C154" t="str">
            <v>% Net Income</v>
          </cell>
          <cell r="D154">
            <v>0.27966101694915252</v>
          </cell>
          <cell r="E154">
            <v>0.24806201550387597</v>
          </cell>
          <cell r="F154">
            <v>0.2292358803986711</v>
          </cell>
          <cell r="G154">
            <v>0.21464646464646464</v>
          </cell>
          <cell r="H154">
            <v>0.20125786163522014</v>
          </cell>
          <cell r="I154">
            <v>0.18290598290598289</v>
          </cell>
          <cell r="J154">
            <v>0.19026548672566371</v>
          </cell>
          <cell r="K154">
            <v>0.25589225589225589</v>
          </cell>
          <cell r="L154">
            <v>0.3</v>
          </cell>
          <cell r="M154">
            <v>0.3</v>
          </cell>
          <cell r="N154">
            <v>0.3</v>
          </cell>
        </row>
        <row r="155">
          <cell r="C155" t="str">
            <v>% FCF</v>
          </cell>
          <cell r="D155">
            <v>0.16879795396419436</v>
          </cell>
          <cell r="E155">
            <v>0.2119205298013245</v>
          </cell>
          <cell r="F155">
            <v>0.22475570032573289</v>
          </cell>
          <cell r="G155">
            <v>0.18973214285714285</v>
          </cell>
          <cell r="H155">
            <v>0.21286031042128603</v>
          </cell>
          <cell r="I155">
            <v>0.22199170124481327</v>
          </cell>
          <cell r="J155">
            <v>0.28730512249443207</v>
          </cell>
          <cell r="K155">
            <v>0.31666666666666665</v>
          </cell>
          <cell r="L155">
            <v>0.28555377784146874</v>
          </cell>
          <cell r="M155">
            <v>0.31211968631864051</v>
          </cell>
          <cell r="N155">
            <v>0.30796838124638759</v>
          </cell>
        </row>
      </sheetData>
      <sheetData sheetId="19" refreshError="1">
        <row r="1">
          <cell r="A1" t="str">
            <v>Rockwell Collins, Inc.</v>
          </cell>
        </row>
        <row r="2">
          <cell r="A2" t="str">
            <v>Historical Valuation</v>
          </cell>
          <cell r="P2" t="str">
            <v>Red = Factset Code</v>
          </cell>
        </row>
        <row r="3">
          <cell r="A3" t="str">
            <v>Morgan Stanely Research</v>
          </cell>
        </row>
        <row r="4">
          <cell r="A4" t="str">
            <v>($ in Millions)</v>
          </cell>
        </row>
        <row r="5">
          <cell r="A5" t="str">
            <v xml:space="preserve">Updated: </v>
          </cell>
        </row>
        <row r="7">
          <cell r="B7" t="str">
            <v>COL</v>
          </cell>
        </row>
        <row r="8">
          <cell r="B8" t="str">
            <v>Fiscal Year Ended September</v>
          </cell>
        </row>
        <row r="9">
          <cell r="H9">
            <v>36891</v>
          </cell>
          <cell r="I9">
            <v>37164</v>
          </cell>
          <cell r="J9">
            <v>37529</v>
          </cell>
          <cell r="K9">
            <v>37894</v>
          </cell>
          <cell r="L9">
            <v>38260</v>
          </cell>
          <cell r="M9">
            <v>38625</v>
          </cell>
          <cell r="N9">
            <v>38990</v>
          </cell>
          <cell r="O9">
            <v>39355</v>
          </cell>
          <cell r="P9">
            <v>39721</v>
          </cell>
        </row>
        <row r="10">
          <cell r="B10" t="str">
            <v>($ in Millions)</v>
          </cell>
          <cell r="I10">
            <v>2001</v>
          </cell>
          <cell r="J10">
            <v>2002</v>
          </cell>
          <cell r="K10">
            <v>2003</v>
          </cell>
          <cell r="L10">
            <v>2004</v>
          </cell>
          <cell r="M10">
            <v>2005</v>
          </cell>
          <cell r="N10">
            <v>2006</v>
          </cell>
          <cell r="O10">
            <v>2007</v>
          </cell>
          <cell r="P10">
            <v>2008</v>
          </cell>
          <cell r="Q10">
            <v>2009</v>
          </cell>
          <cell r="R10">
            <v>2010</v>
          </cell>
          <cell r="S10">
            <v>2011</v>
          </cell>
        </row>
        <row r="12">
          <cell r="B12" t="str">
            <v>EBIT (excl. Extraordinary Items)</v>
          </cell>
          <cell r="I12">
            <v>409</v>
          </cell>
          <cell r="J12">
            <v>341</v>
          </cell>
          <cell r="K12">
            <v>367</v>
          </cell>
          <cell r="L12">
            <v>435</v>
          </cell>
          <cell r="M12">
            <v>569</v>
          </cell>
          <cell r="N12">
            <v>694</v>
          </cell>
          <cell r="O12">
            <v>851</v>
          </cell>
          <cell r="P12">
            <v>974</v>
          </cell>
          <cell r="Q12">
            <v>906</v>
          </cell>
          <cell r="R12">
            <v>867.44</v>
          </cell>
          <cell r="S12">
            <v>991.1724999999999</v>
          </cell>
        </row>
        <row r="13">
          <cell r="B13" t="str">
            <v xml:space="preserve">  % Margin</v>
          </cell>
          <cell r="I13">
            <v>0.14503546099290779</v>
          </cell>
          <cell r="J13">
            <v>0.1368378812199037</v>
          </cell>
          <cell r="K13">
            <v>0.14437450826121165</v>
          </cell>
          <cell r="L13">
            <v>0.14846416382252559</v>
          </cell>
          <cell r="M13">
            <v>0.16516690856313498</v>
          </cell>
          <cell r="N13">
            <v>0.1796531193373026</v>
          </cell>
          <cell r="O13">
            <v>0.19275198187995471</v>
          </cell>
          <cell r="P13">
            <v>0.20423568882365276</v>
          </cell>
          <cell r="Q13">
            <v>0.20268456375838925</v>
          </cell>
          <cell r="R13">
            <v>0.18358518518518518</v>
          </cell>
          <cell r="S13">
            <v>0.19434754901960782</v>
          </cell>
        </row>
        <row r="15">
          <cell r="B15" t="str">
            <v>Depreciation &amp; Amortization</v>
          </cell>
          <cell r="I15">
            <v>138</v>
          </cell>
          <cell r="J15">
            <v>105</v>
          </cell>
          <cell r="K15">
            <v>105</v>
          </cell>
          <cell r="L15">
            <v>109</v>
          </cell>
          <cell r="M15">
            <v>104</v>
          </cell>
          <cell r="N15">
            <v>106</v>
          </cell>
          <cell r="O15">
            <v>118</v>
          </cell>
          <cell r="P15">
            <v>129</v>
          </cell>
          <cell r="Q15">
            <v>144</v>
          </cell>
          <cell r="R15">
            <v>151.73846153846154</v>
          </cell>
          <cell r="S15">
            <v>156.23846153846154</v>
          </cell>
        </row>
        <row r="16">
          <cell r="B16" t="str">
            <v xml:space="preserve">  % Sales</v>
          </cell>
          <cell r="I16">
            <v>4.8936170212765959E-2</v>
          </cell>
          <cell r="J16">
            <v>4.2134831460674156E-2</v>
          </cell>
          <cell r="K16">
            <v>4.1306058221872541E-2</v>
          </cell>
          <cell r="L16">
            <v>3.720136518771331E-2</v>
          </cell>
          <cell r="M16">
            <v>3.0188679245283019E-2</v>
          </cell>
          <cell r="N16">
            <v>2.7439813616360342E-2</v>
          </cell>
          <cell r="O16">
            <v>2.6727066817667046E-2</v>
          </cell>
          <cell r="P16">
            <v>2.7049695953029987E-2</v>
          </cell>
          <cell r="Q16">
            <v>3.2214765100671144E-2</v>
          </cell>
          <cell r="R16">
            <v>3.2113960113960116E-2</v>
          </cell>
          <cell r="S16">
            <v>3.063499245852187E-2</v>
          </cell>
        </row>
        <row r="18">
          <cell r="B18" t="str">
            <v>EBITDA</v>
          </cell>
          <cell r="I18">
            <v>547</v>
          </cell>
          <cell r="J18">
            <v>446</v>
          </cell>
          <cell r="K18">
            <v>472</v>
          </cell>
          <cell r="L18">
            <v>544</v>
          </cell>
          <cell r="M18">
            <v>673</v>
          </cell>
          <cell r="N18">
            <v>800</v>
          </cell>
          <cell r="O18">
            <v>969</v>
          </cell>
          <cell r="P18">
            <v>1103</v>
          </cell>
          <cell r="Q18">
            <v>1050</v>
          </cell>
          <cell r="R18">
            <v>1019.1784615384615</v>
          </cell>
          <cell r="S18">
            <v>1147.4109615384614</v>
          </cell>
          <cell r="U18" t="b">
            <v>1</v>
          </cell>
        </row>
        <row r="19">
          <cell r="B19" t="str">
            <v xml:space="preserve">  % Margin</v>
          </cell>
          <cell r="I19">
            <v>0.19397163120567376</v>
          </cell>
          <cell r="J19">
            <v>0.17897271268057785</v>
          </cell>
          <cell r="K19">
            <v>0.18568056648308418</v>
          </cell>
          <cell r="L19">
            <v>0.18566552901023892</v>
          </cell>
          <cell r="M19">
            <v>0.195355587808418</v>
          </cell>
          <cell r="N19">
            <v>0.20709293295366296</v>
          </cell>
          <cell r="O19">
            <v>0.21947904869762175</v>
          </cell>
          <cell r="P19">
            <v>0.23128538477668276</v>
          </cell>
          <cell r="Q19">
            <v>0.2348993288590604</v>
          </cell>
          <cell r="R19">
            <v>0.2156991452991453</v>
          </cell>
          <cell r="S19">
            <v>0.22498254147812968</v>
          </cell>
        </row>
        <row r="21">
          <cell r="B21" t="str">
            <v>Enterprise Value</v>
          </cell>
        </row>
        <row r="22">
          <cell r="B22" t="str">
            <v xml:space="preserve"> Market Cap</v>
          </cell>
          <cell r="I22">
            <v>3609.8300000000004</v>
          </cell>
          <cell r="J22">
            <v>3773.1295</v>
          </cell>
          <cell r="K22">
            <v>4040.5435000000002</v>
          </cell>
          <cell r="L22">
            <v>5614.2</v>
          </cell>
          <cell r="M22">
            <v>7586.42</v>
          </cell>
          <cell r="N22">
            <v>9044.3349999999991</v>
          </cell>
          <cell r="O22">
            <v>10943.952999999998</v>
          </cell>
          <cell r="P22">
            <v>9817.1684999999998</v>
          </cell>
          <cell r="Q22">
            <v>6798.4179700000004</v>
          </cell>
          <cell r="R22">
            <v>8635.2900000000009</v>
          </cell>
          <cell r="S22">
            <v>8526.67</v>
          </cell>
        </row>
        <row r="23">
          <cell r="B23" t="str">
            <v xml:space="preserve"> Avg. Net Debt (Cash)</v>
          </cell>
          <cell r="I23">
            <v>142</v>
          </cell>
          <cell r="J23">
            <v>112.5</v>
          </cell>
          <cell r="K23">
            <v>29.5</v>
          </cell>
          <cell r="L23">
            <v>-9.5</v>
          </cell>
          <cell r="M23">
            <v>30</v>
          </cell>
          <cell r="N23">
            <v>78</v>
          </cell>
          <cell r="O23">
            <v>46.5</v>
          </cell>
          <cell r="P23">
            <v>166</v>
          </cell>
          <cell r="Q23">
            <v>318.5</v>
          </cell>
          <cell r="R23">
            <v>179.17196923076921</v>
          </cell>
          <cell r="S23">
            <v>-34.043451057692437</v>
          </cell>
        </row>
        <row r="24">
          <cell r="B24" t="str">
            <v>Total</v>
          </cell>
          <cell r="I24">
            <v>3751.8300000000004</v>
          </cell>
          <cell r="J24">
            <v>3885.6295</v>
          </cell>
          <cell r="K24">
            <v>4070.0435000000002</v>
          </cell>
          <cell r="L24">
            <v>5604.7</v>
          </cell>
          <cell r="M24">
            <v>7616.42</v>
          </cell>
          <cell r="N24">
            <v>9122.3349999999991</v>
          </cell>
          <cell r="O24">
            <v>10990.452999999998</v>
          </cell>
          <cell r="P24">
            <v>9983.1684999999998</v>
          </cell>
          <cell r="Q24">
            <v>7116.9179700000004</v>
          </cell>
          <cell r="R24">
            <v>8814.4619692307697</v>
          </cell>
          <cell r="S24">
            <v>8492.6265489423076</v>
          </cell>
        </row>
        <row r="26">
          <cell r="B26" t="str">
            <v>EV / EBITDA</v>
          </cell>
          <cell r="I26">
            <v>6.85892138939671</v>
          </cell>
          <cell r="J26">
            <v>8.712173766816143</v>
          </cell>
          <cell r="K26">
            <v>8.6229735169491537</v>
          </cell>
          <cell r="L26">
            <v>10.302757352941176</v>
          </cell>
          <cell r="M26">
            <v>11.317117384843982</v>
          </cell>
          <cell r="N26">
            <v>11.40291875</v>
          </cell>
          <cell r="O26">
            <v>11.342056759545921</v>
          </cell>
          <cell r="P26">
            <v>9.0509233907524926</v>
          </cell>
          <cell r="Q26">
            <v>6.7780171142857144</v>
          </cell>
          <cell r="R26">
            <v>8.6485952184715895</v>
          </cell>
          <cell r="S26">
            <v>7.401556054123188</v>
          </cell>
        </row>
        <row r="27">
          <cell r="B27" t="str">
            <v>P/E Ratio</v>
          </cell>
          <cell r="I27">
            <v>13.994301221166893</v>
          </cell>
          <cell r="J27">
            <v>16.16593616109683</v>
          </cell>
          <cell r="K27">
            <v>15.661021317829459</v>
          </cell>
          <cell r="L27">
            <v>18.651827242524917</v>
          </cell>
          <cell r="M27">
            <v>18.697276648182378</v>
          </cell>
          <cell r="N27">
            <v>18.605914420901048</v>
          </cell>
          <cell r="O27">
            <v>18.812123764503649</v>
          </cell>
          <cell r="P27">
            <v>14.479599557522125</v>
          </cell>
          <cell r="Q27">
            <v>11.181608503289475</v>
          </cell>
          <cell r="R27">
            <v>14.894388789998757</v>
          </cell>
          <cell r="S27">
            <v>12.790151607112799</v>
          </cell>
        </row>
        <row r="29">
          <cell r="B29" t="str">
            <v>52w High</v>
          </cell>
          <cell r="I29">
            <v>27.12</v>
          </cell>
          <cell r="J29">
            <v>28</v>
          </cell>
          <cell r="K29">
            <v>27.67</v>
          </cell>
          <cell r="L29">
            <v>37.49</v>
          </cell>
          <cell r="M29">
            <v>49.800000000000004</v>
          </cell>
          <cell r="N29">
            <v>60.410000000000004</v>
          </cell>
          <cell r="O29">
            <v>74.69</v>
          </cell>
          <cell r="P29">
            <v>76</v>
          </cell>
          <cell r="Q29">
            <v>57.63</v>
          </cell>
        </row>
        <row r="30">
          <cell r="B30" t="str">
            <v>52w Low</v>
          </cell>
          <cell r="I30">
            <v>11.8</v>
          </cell>
          <cell r="J30">
            <v>12.99</v>
          </cell>
          <cell r="K30">
            <v>17.2</v>
          </cell>
          <cell r="L30">
            <v>24.89</v>
          </cell>
          <cell r="M30">
            <v>34.4</v>
          </cell>
          <cell r="N30">
            <v>43.25</v>
          </cell>
          <cell r="O30">
            <v>54.29</v>
          </cell>
          <cell r="P30">
            <v>44.53</v>
          </cell>
          <cell r="Q30">
            <v>27.670100000000001</v>
          </cell>
        </row>
        <row r="31">
          <cell r="B31" t="str">
            <v>Average Price (Current Rolled Forward)</v>
          </cell>
          <cell r="I31">
            <v>19.46</v>
          </cell>
          <cell r="J31">
            <v>20.495000000000001</v>
          </cell>
          <cell r="K31">
            <v>22.435000000000002</v>
          </cell>
          <cell r="L31">
            <v>31.19</v>
          </cell>
          <cell r="M31">
            <v>42.1</v>
          </cell>
          <cell r="N31">
            <v>51.83</v>
          </cell>
          <cell r="O31">
            <v>64.489999999999995</v>
          </cell>
          <cell r="P31">
            <v>60.265000000000001</v>
          </cell>
          <cell r="Q31">
            <v>42.65005</v>
          </cell>
          <cell r="R31">
            <v>54.31</v>
          </cell>
          <cell r="S31">
            <v>54.31</v>
          </cell>
        </row>
        <row r="60">
          <cell r="B60" t="str">
            <v>Sales</v>
          </cell>
          <cell r="I60">
            <v>2820</v>
          </cell>
          <cell r="J60">
            <v>2492</v>
          </cell>
          <cell r="K60">
            <v>2542</v>
          </cell>
          <cell r="L60">
            <v>2930</v>
          </cell>
          <cell r="M60">
            <v>3445</v>
          </cell>
          <cell r="N60">
            <v>3863</v>
          </cell>
          <cell r="O60">
            <v>4415</v>
          </cell>
          <cell r="P60">
            <v>4769</v>
          </cell>
          <cell r="Q60">
            <v>4470</v>
          </cell>
          <cell r="R60">
            <v>4725</v>
          </cell>
          <cell r="S60">
            <v>5100</v>
          </cell>
        </row>
        <row r="61">
          <cell r="B61" t="str">
            <v>Incremental Sales</v>
          </cell>
          <cell r="J61">
            <v>-328</v>
          </cell>
          <cell r="K61">
            <v>50</v>
          </cell>
          <cell r="L61">
            <v>388</v>
          </cell>
          <cell r="M61">
            <v>515</v>
          </cell>
          <cell r="N61">
            <v>418</v>
          </cell>
          <cell r="O61">
            <v>552</v>
          </cell>
          <cell r="P61">
            <v>354</v>
          </cell>
          <cell r="Q61">
            <v>-299</v>
          </cell>
          <cell r="R61">
            <v>255</v>
          </cell>
          <cell r="S61">
            <v>375</v>
          </cell>
        </row>
        <row r="63">
          <cell r="B63" t="str">
            <v>Capex</v>
          </cell>
          <cell r="I63">
            <v>110</v>
          </cell>
          <cell r="J63">
            <v>62</v>
          </cell>
          <cell r="K63">
            <v>69</v>
          </cell>
          <cell r="L63">
            <v>92</v>
          </cell>
          <cell r="M63">
            <v>111</v>
          </cell>
          <cell r="N63">
            <v>144</v>
          </cell>
          <cell r="O63">
            <v>125</v>
          </cell>
          <cell r="P63">
            <v>171</v>
          </cell>
          <cell r="Q63">
            <v>153</v>
          </cell>
          <cell r="R63">
            <v>135</v>
          </cell>
          <cell r="S63">
            <v>150</v>
          </cell>
        </row>
        <row r="64">
          <cell r="B64" t="str">
            <v>M&amp;A</v>
          </cell>
          <cell r="I64">
            <v>292</v>
          </cell>
          <cell r="J64">
            <v>193</v>
          </cell>
          <cell r="K64">
            <v>-2</v>
          </cell>
          <cell r="L64">
            <v>126</v>
          </cell>
          <cell r="M64">
            <v>19</v>
          </cell>
          <cell r="N64">
            <v>100</v>
          </cell>
          <cell r="O64">
            <v>32</v>
          </cell>
          <cell r="P64">
            <v>105</v>
          </cell>
          <cell r="Q64">
            <v>146</v>
          </cell>
          <cell r="R64">
            <v>0</v>
          </cell>
          <cell r="S64">
            <v>0</v>
          </cell>
        </row>
        <row r="65">
          <cell r="B65" t="str">
            <v>Intangibles</v>
          </cell>
          <cell r="I65">
            <v>0</v>
          </cell>
          <cell r="J65">
            <v>0</v>
          </cell>
          <cell r="K65">
            <v>0</v>
          </cell>
          <cell r="L65">
            <v>11</v>
          </cell>
          <cell r="M65">
            <v>7</v>
          </cell>
          <cell r="N65">
            <v>0</v>
          </cell>
          <cell r="O65">
            <v>8</v>
          </cell>
          <cell r="P65">
            <v>8</v>
          </cell>
          <cell r="Q65">
            <v>2</v>
          </cell>
          <cell r="R65">
            <v>0</v>
          </cell>
          <cell r="S65">
            <v>0</v>
          </cell>
        </row>
        <row r="66">
          <cell r="B66" t="str">
            <v>Less: Depreciation &amp; Amortization</v>
          </cell>
          <cell r="I66">
            <v>-138</v>
          </cell>
          <cell r="J66">
            <v>-105</v>
          </cell>
          <cell r="K66">
            <v>-105</v>
          </cell>
          <cell r="L66">
            <v>-109</v>
          </cell>
          <cell r="M66">
            <v>-104</v>
          </cell>
          <cell r="N66">
            <v>-106</v>
          </cell>
          <cell r="O66">
            <v>-118</v>
          </cell>
          <cell r="P66">
            <v>-129</v>
          </cell>
          <cell r="Q66">
            <v>-144</v>
          </cell>
          <cell r="R66">
            <v>-151.73846153846154</v>
          </cell>
          <cell r="S66">
            <v>-156.23846153846154</v>
          </cell>
        </row>
        <row r="67">
          <cell r="B67" t="str">
            <v>Net Fixed Capital Investment Investment</v>
          </cell>
          <cell r="I67">
            <v>264</v>
          </cell>
          <cell r="J67">
            <v>150</v>
          </cell>
          <cell r="K67">
            <v>-38</v>
          </cell>
          <cell r="L67">
            <v>120</v>
          </cell>
          <cell r="M67">
            <v>33</v>
          </cell>
          <cell r="N67">
            <v>138</v>
          </cell>
          <cell r="O67">
            <v>47</v>
          </cell>
          <cell r="P67">
            <v>155</v>
          </cell>
          <cell r="Q67">
            <v>157</v>
          </cell>
          <cell r="R67">
            <v>-16.738461538461536</v>
          </cell>
          <cell r="S67">
            <v>-6.2384615384615358</v>
          </cell>
        </row>
        <row r="69">
          <cell r="B69" t="str">
            <v>Incremental Fixed Capital Investment</v>
          </cell>
          <cell r="J69">
            <v>-0.45731707317073172</v>
          </cell>
          <cell r="K69">
            <v>-0.76</v>
          </cell>
          <cell r="L69">
            <v>0.30927835051546393</v>
          </cell>
          <cell r="M69">
            <v>6.4077669902912623E-2</v>
          </cell>
          <cell r="N69">
            <v>0.33014354066985646</v>
          </cell>
          <cell r="O69">
            <v>8.5144927536231887E-2</v>
          </cell>
          <cell r="P69">
            <v>0.43785310734463279</v>
          </cell>
          <cell r="Q69">
            <v>-0.52508361204013376</v>
          </cell>
          <cell r="R69">
            <v>-6.5641025641025627E-2</v>
          </cell>
          <cell r="S69">
            <v>-1.6635897435897429E-2</v>
          </cell>
        </row>
        <row r="71">
          <cell r="B71" t="str">
            <v>Net Change in Working Capital</v>
          </cell>
          <cell r="I71">
            <v>-200</v>
          </cell>
          <cell r="J71">
            <v>104</v>
          </cell>
          <cell r="K71">
            <v>-18</v>
          </cell>
          <cell r="L71">
            <v>11</v>
          </cell>
          <cell r="M71">
            <v>38</v>
          </cell>
          <cell r="N71">
            <v>-17</v>
          </cell>
          <cell r="O71">
            <v>-120</v>
          </cell>
          <cell r="P71">
            <v>-330</v>
          </cell>
          <cell r="Q71">
            <v>-156</v>
          </cell>
          <cell r="R71">
            <v>20.625000000000057</v>
          </cell>
          <cell r="S71">
            <v>-22.124999999999886</v>
          </cell>
        </row>
        <row r="72">
          <cell r="J72">
            <v>-0.31707317073170732</v>
          </cell>
          <cell r="K72">
            <v>-0.36</v>
          </cell>
          <cell r="L72">
            <v>2.8350515463917526E-2</v>
          </cell>
          <cell r="M72">
            <v>7.3786407766990289E-2</v>
          </cell>
          <cell r="N72">
            <v>-4.0669856459330141E-2</v>
          </cell>
          <cell r="O72">
            <v>-0.21739130434782608</v>
          </cell>
          <cell r="P72">
            <v>-0.93220338983050843</v>
          </cell>
          <cell r="Q72">
            <v>0.52173913043478259</v>
          </cell>
          <cell r="R72">
            <v>8.0882352941176697E-2</v>
          </cell>
          <cell r="S72">
            <v>-5.8999999999999699E-2</v>
          </cell>
        </row>
        <row r="74">
          <cell r="B74" t="str">
            <v>NOPAT</v>
          </cell>
          <cell r="I74">
            <v>274.03000000000003</v>
          </cell>
          <cell r="J74">
            <v>228.47000000000003</v>
          </cell>
          <cell r="K74">
            <v>245.89000000000001</v>
          </cell>
          <cell r="L74">
            <v>291.45000000000005</v>
          </cell>
          <cell r="M74">
            <v>381.23</v>
          </cell>
          <cell r="N74">
            <v>464.98</v>
          </cell>
          <cell r="O74">
            <v>570.17000000000007</v>
          </cell>
          <cell r="P74">
            <v>652.58000000000004</v>
          </cell>
          <cell r="Q74">
            <v>607.02</v>
          </cell>
          <cell r="R74">
            <v>581.18480000000011</v>
          </cell>
          <cell r="S74">
            <v>664.08557499999995</v>
          </cell>
        </row>
        <row r="75">
          <cell r="B75" t="str">
            <v>Net Investment</v>
          </cell>
          <cell r="I75">
            <v>-264</v>
          </cell>
        </row>
        <row r="76">
          <cell r="I76">
            <v>-200</v>
          </cell>
        </row>
      </sheetData>
      <sheetData sheetId="20" refreshError="1"/>
      <sheetData sheetId="21" refreshError="1"/>
      <sheetData sheetId="22" refreshError="1">
        <row r="2">
          <cell r="B2" t="str">
            <v>Newly announced 2010 Guidance in-line with Prior MS Forecast</v>
          </cell>
        </row>
        <row r="4">
          <cell r="C4" t="str">
            <v>COL Guidance</v>
          </cell>
          <cell r="D4" t="str">
            <v xml:space="preserve">MSe </v>
          </cell>
        </row>
        <row r="5">
          <cell r="B5" t="str">
            <v>Total Sales ($B)</v>
          </cell>
          <cell r="C5" t="str">
            <v>$4.6 - 4.8</v>
          </cell>
          <cell r="D5">
            <v>4.7249999999999996</v>
          </cell>
        </row>
        <row r="6">
          <cell r="B6" t="str">
            <v>Segment Operating Margin (%)</v>
          </cell>
          <cell r="C6" t="str">
            <v>18.5 - 19.5%</v>
          </cell>
          <cell r="D6">
            <v>0.19882328042328043</v>
          </cell>
        </row>
        <row r="7">
          <cell r="B7" t="str">
            <v>EPS</v>
          </cell>
          <cell r="C7" t="str">
            <v>$3.35 - 3.55</v>
          </cell>
          <cell r="D7">
            <v>3.6463396226415097</v>
          </cell>
        </row>
        <row r="11">
          <cell r="B11" t="str">
            <v>CFO ($MM)</v>
          </cell>
          <cell r="C11" t="str">
            <v>$600 - 700</v>
          </cell>
          <cell r="D11">
            <v>744.7814615384616</v>
          </cell>
        </row>
        <row r="12">
          <cell r="B12" t="str">
            <v>Capex ($MM)</v>
          </cell>
          <cell r="C12">
            <v>135</v>
          </cell>
          <cell r="D12">
            <v>135</v>
          </cell>
        </row>
        <row r="13">
          <cell r="B13" t="str">
            <v>FCF ($MM)</v>
          </cell>
          <cell r="C13" t="str">
            <v>$465 - 565</v>
          </cell>
          <cell r="D13">
            <v>609.7814615384616</v>
          </cell>
        </row>
        <row r="21">
          <cell r="H21">
            <v>2001</v>
          </cell>
          <cell r="I21">
            <v>2002</v>
          </cell>
          <cell r="J21">
            <v>2003</v>
          </cell>
          <cell r="K21">
            <v>2004</v>
          </cell>
          <cell r="L21">
            <v>2005</v>
          </cell>
          <cell r="M21">
            <v>2006</v>
          </cell>
          <cell r="N21" t="str">
            <v>2007</v>
          </cell>
          <cell r="O21">
            <v>2008</v>
          </cell>
          <cell r="P21" t="str">
            <v>2009A</v>
          </cell>
          <cell r="Q21" t="str">
            <v>2010E</v>
          </cell>
          <cell r="R21" t="str">
            <v>2011E</v>
          </cell>
          <cell r="S21" t="str">
            <v>2012E</v>
          </cell>
        </row>
        <row r="22">
          <cell r="G22" t="str">
            <v>Commercial</v>
          </cell>
          <cell r="H22">
            <v>0.37872340425531914</v>
          </cell>
          <cell r="I22">
            <v>0.4474317817014446</v>
          </cell>
          <cell r="J22">
            <v>0.49960660896931552</v>
          </cell>
          <cell r="K22">
            <v>0.52389078498293518</v>
          </cell>
          <cell r="L22">
            <v>0.52539912917271403</v>
          </cell>
          <cell r="M22">
            <v>0.5288635775304168</v>
          </cell>
          <cell r="N22">
            <v>0.50532276330690828</v>
          </cell>
          <cell r="O22">
            <v>0.49612078003774374</v>
          </cell>
          <cell r="P22">
            <v>0.57695749440715882</v>
          </cell>
          <cell r="Q22">
            <v>0.61375661375661372</v>
          </cell>
          <cell r="R22">
            <v>0.59803921568627449</v>
          </cell>
          <cell r="S22">
            <v>0.58608058608058611</v>
          </cell>
        </row>
        <row r="23">
          <cell r="G23" t="str">
            <v>Government</v>
          </cell>
          <cell r="H23">
            <v>0.62127659574468086</v>
          </cell>
          <cell r="I23">
            <v>0.5525682182985554</v>
          </cell>
          <cell r="J23">
            <v>0.50039339103068448</v>
          </cell>
          <cell r="K23">
            <v>0.47610921501706482</v>
          </cell>
          <cell r="L23">
            <v>0.47460087082728591</v>
          </cell>
          <cell r="M23">
            <v>0.4711364224695832</v>
          </cell>
          <cell r="N23">
            <v>0.49467723669309172</v>
          </cell>
          <cell r="O23">
            <v>0.50387921996225626</v>
          </cell>
          <cell r="P23">
            <v>0.42304250559284118</v>
          </cell>
          <cell r="Q23">
            <v>0.38624338624338622</v>
          </cell>
          <cell r="R23">
            <v>0.40196078431372551</v>
          </cell>
          <cell r="S23">
            <v>0.41391941391941389</v>
          </cell>
        </row>
      </sheetData>
      <sheetData sheetId="23" refreshError="1"/>
      <sheetData sheetId="24" refreshError="1">
        <row r="1">
          <cell r="A1" t="str">
            <v>RRS-5.13</v>
          </cell>
          <cell r="D1" t="str">
            <v>RISK-REWARD SNAPSHOT
(You must upload your model to ModelWare to capture changes to your scenario values and NOT delete this worksheet.)</v>
          </cell>
          <cell r="I1" t="str">
            <v>Select Language</v>
          </cell>
          <cell r="N1" t="str">
            <v>http://ChartGallery</v>
          </cell>
          <cell r="O1" t="str">
            <v>http://ChartGallery</v>
          </cell>
          <cell r="AA1" t="str">
            <v>ElementName</v>
          </cell>
          <cell r="AB1" t="str">
            <v>ScaleOverride</v>
          </cell>
          <cell r="AC1" t="str">
            <v>UnitOverride</v>
          </cell>
          <cell r="AD1" t="str">
            <v>ReverseSign</v>
          </cell>
          <cell r="AE1" t="str">
            <v>IsDrivingAssumption</v>
          </cell>
          <cell r="AF1" t="str">
            <v>SegmentID</v>
          </cell>
        </row>
        <row r="2">
          <cell r="B2" t="str">
            <v>Instructions:</v>
          </cell>
          <cell r="G2" t="str">
            <v>Is refreshing chart data too slow? Read below to improve performance.</v>
          </cell>
          <cell r="AQ2" t="str">
            <v>Refer to cell G2 to learn about improving chart refresh performance</v>
          </cell>
        </row>
        <row r="4">
          <cell r="B4" t="str">
            <v>Ticker:</v>
          </cell>
          <cell r="C4" t="str">
            <v>COL.N</v>
          </cell>
          <cell r="E4" t="str">
            <v>Company Name:</v>
          </cell>
          <cell r="F4" t="str">
            <v>Rockwell Collins</v>
          </cell>
          <cell r="I4" t="str">
            <v>Sedol:</v>
          </cell>
          <cell r="J4">
            <v>2767228</v>
          </cell>
          <cell r="K4">
            <v>2767228</v>
          </cell>
        </row>
        <row r="5">
          <cell r="B5" t="str">
            <v xml:space="preserve">Chart Data Inputs (decimal formats will reflect on chart): </v>
          </cell>
          <cell r="H5" t="str">
            <v>Risk Reward Chart Gallery 
(Click on the below image for other Risk-Reward Charts)</v>
          </cell>
        </row>
        <row r="6">
          <cell r="B6" t="str">
            <v>Bull Case</v>
          </cell>
          <cell r="C6">
            <v>90</v>
          </cell>
          <cell r="AA6" t="str">
            <v>mstag:bullCaseValueEstimatePerShare</v>
          </cell>
          <cell r="AB6">
            <v>0</v>
          </cell>
          <cell r="AC6" t="str">
            <v>ISO4217:USD</v>
          </cell>
          <cell r="AD6" t="b">
            <v>0</v>
          </cell>
        </row>
        <row r="7">
          <cell r="B7" t="str">
            <v>Base Case</v>
          </cell>
          <cell r="C7">
            <v>80</v>
          </cell>
          <cell r="AA7" t="str">
            <v>mstag:met_12monthIntrinsicValueEstimate</v>
          </cell>
          <cell r="AB7">
            <v>0</v>
          </cell>
          <cell r="AC7" t="str">
            <v>ISO4217:USD</v>
          </cell>
          <cell r="AD7" t="b">
            <v>0</v>
          </cell>
        </row>
        <row r="8">
          <cell r="B8" t="str">
            <v>Bear Case</v>
          </cell>
          <cell r="C8">
            <v>50</v>
          </cell>
          <cell r="K8" t="str">
            <v>日本語</v>
          </cell>
          <cell r="M8" t="str">
            <v>-</v>
          </cell>
          <cell r="AA8" t="str">
            <v>mstag:bearCaseValueEstimatePerShare</v>
          </cell>
          <cell r="AB8">
            <v>0</v>
          </cell>
          <cell r="AC8" t="str">
            <v>ISO4217:USD</v>
          </cell>
          <cell r="AD8" t="b">
            <v>0</v>
          </cell>
        </row>
        <row r="9">
          <cell r="B9" t="str">
            <v>Extreme Upside</v>
          </cell>
          <cell r="K9" t="str">
            <v>English</v>
          </cell>
          <cell r="L9" t="str">
            <v>年</v>
          </cell>
          <cell r="M9" t="str">
            <v>月</v>
          </cell>
          <cell r="N9" t="str">
            <v>-</v>
          </cell>
          <cell r="AA9" t="str">
            <v>mstag:extremeBullCaseValueEstimatePerShare</v>
          </cell>
          <cell r="AB9">
            <v>0</v>
          </cell>
          <cell r="AC9" t="str">
            <v>ISO4217:USD</v>
          </cell>
          <cell r="AD9" t="b">
            <v>0</v>
          </cell>
          <cell r="AH9" t="str">
            <v>Other Refresh Chart Option</v>
          </cell>
        </row>
        <row r="10">
          <cell r="B10" t="str">
            <v>Extreme Downside</v>
          </cell>
          <cell r="O10" t="b">
            <v>0</v>
          </cell>
          <cell r="AA10" t="str">
            <v>mstag:extremeBearCaseValueEstimatePerShare</v>
          </cell>
          <cell r="AB10">
            <v>0</v>
          </cell>
          <cell r="AC10" t="str">
            <v>ISO4217:USD</v>
          </cell>
          <cell r="AD10" t="b">
            <v>0</v>
          </cell>
        </row>
        <row r="11">
          <cell r="B11" t="str">
            <v>Price Target</v>
          </cell>
          <cell r="C11">
            <v>80</v>
          </cell>
          <cell r="O11" t="b">
            <v>1</v>
          </cell>
        </row>
        <row r="12">
          <cell r="B12" t="str">
            <v>Currency</v>
          </cell>
          <cell r="C12" t="str">
            <v>USD American Dollar</v>
          </cell>
          <cell r="F12">
            <v>0</v>
          </cell>
        </row>
        <row r="13">
          <cell r="B13" t="str">
            <v>Currency Symbol</v>
          </cell>
          <cell r="C13" t="str">
            <v>$</v>
          </cell>
          <cell r="F13">
            <v>0</v>
          </cell>
          <cell r="I13" t="str">
            <v xml:space="preserve">WARNINGDONOTEDIT_RRS4RL~COL.N~ </v>
          </cell>
        </row>
        <row r="14">
          <cell r="B14" t="str">
            <v>"Refresh RR Chart" updates chart dates below, as of today. If your PT time horizon is &gt; 1yr. or price history is &lt; 2yrs., adjust Start/End dates and select "Apply Manually Adjusted Dates" option.</v>
          </cell>
        </row>
        <row r="15">
          <cell r="B15" t="str">
            <v>Start Date (-2 Yrs)</v>
          </cell>
          <cell r="C15">
            <v>39547</v>
          </cell>
          <cell r="E15" t="str">
            <v>NA</v>
          </cell>
          <cell r="F15" t="str">
            <v>USD</v>
          </cell>
        </row>
        <row r="16">
          <cell r="B16" t="str">
            <v>End Date (+1 Yr)</v>
          </cell>
          <cell r="C16">
            <v>40642</v>
          </cell>
          <cell r="E16" t="str">
            <v>USD</v>
          </cell>
          <cell r="F16" t="str">
            <v>USD</v>
          </cell>
        </row>
        <row r="17">
          <cell r="B17">
            <v>63.51</v>
          </cell>
          <cell r="C17" t="str">
            <v>Hand entert Share Price</v>
          </cell>
          <cell r="H17" t="str">
            <v>2007-FY</v>
          </cell>
        </row>
        <row r="18">
          <cell r="B18" t="b">
            <v>0</v>
          </cell>
          <cell r="C18">
            <v>40277</v>
          </cell>
        </row>
        <row r="19">
          <cell r="C19" t="str">
            <v>2010-FY</v>
          </cell>
        </row>
        <row r="34">
          <cell r="A34" t="str">
            <v>BullCase</v>
          </cell>
        </row>
        <row r="52">
          <cell r="A52">
            <v>40642</v>
          </cell>
          <cell r="B52">
            <v>758</v>
          </cell>
          <cell r="N52" t="str">
            <v>Apr-11</v>
          </cell>
          <cell r="O52" t="str">
            <v>Dec-12</v>
          </cell>
          <cell r="P52" t="str">
            <v>Base Case  (Dec-12)</v>
          </cell>
          <cell r="R52" t="b">
            <v>0</v>
          </cell>
        </row>
        <row r="53">
          <cell r="A53" t="str">
            <v>Header</v>
          </cell>
          <cell r="B53" t="str">
            <v>Date</v>
          </cell>
          <cell r="C53" t="str">
            <v>Past/Future</v>
          </cell>
          <cell r="D53" t="str">
            <v>Historical Stock Performance</v>
          </cell>
          <cell r="E53" t="str">
            <v>Extreme Upside Cone</v>
          </cell>
          <cell r="F53" t="str">
            <v>Blue Cone</v>
          </cell>
          <cell r="G53" t="str">
            <v>Extreme Downside Cone</v>
          </cell>
          <cell r="H53" t="str">
            <v>White Mask</v>
          </cell>
          <cell r="I53" t="str">
            <v>Current Stock Price</v>
          </cell>
          <cell r="J53" t="str">
            <v>Extreme Upside Price(Apr-11)</v>
          </cell>
          <cell r="K53" t="str">
            <v>Bull Price(Apr-11)</v>
          </cell>
          <cell r="L53" t="str">
            <v>Bear Price(Apr-11)</v>
          </cell>
          <cell r="M53" t="str">
            <v>Extreme Downside Price(Apr-11)</v>
          </cell>
          <cell r="N53" t="str">
            <v>Price Target (Apr-11)</v>
          </cell>
          <cell r="O53" t="str">
            <v>Gray Line</v>
          </cell>
          <cell r="P53" t="str">
            <v>Prices</v>
          </cell>
          <cell r="Q53" t="str">
            <v>Volume</v>
          </cell>
          <cell r="R53" t="str">
            <v>Base Case(Apr-11)</v>
          </cell>
          <cell r="S53" t="str">
            <v>Header Row</v>
          </cell>
          <cell r="T53">
            <v>53</v>
          </cell>
          <cell r="U53">
            <v>0</v>
          </cell>
          <cell r="AI53" t="str">
            <v xml:space="preserve">Display </v>
          </cell>
          <cell r="AJ53" t="str">
            <v>Symbol</v>
          </cell>
          <cell r="AK53" t="str">
            <v>Unit</v>
          </cell>
          <cell r="AL53" t="str">
            <v>FactsetUnit</v>
          </cell>
          <cell r="AM53" t="str">
            <v>Right alligned</v>
          </cell>
          <cell r="AN53" t="str">
            <v>Display 2 Decimal Places for Currency Amount</v>
          </cell>
        </row>
        <row r="54">
          <cell r="A54">
            <v>39547</v>
          </cell>
          <cell r="B54">
            <v>39547</v>
          </cell>
          <cell r="C54" t="str">
            <v>Past</v>
          </cell>
          <cell r="D54">
            <v>63.2</v>
          </cell>
          <cell r="E54" t="e">
            <v>#N/A</v>
          </cell>
          <cell r="F54" t="e">
            <v>#N/A</v>
          </cell>
          <cell r="G54" t="e">
            <v>#N/A</v>
          </cell>
          <cell r="H54" t="e">
            <v>#N/A</v>
          </cell>
          <cell r="I54" t="e">
            <v>#N/A</v>
          </cell>
          <cell r="J54" t="e">
            <v>#N/A</v>
          </cell>
          <cell r="K54" t="e">
            <v>#N/A</v>
          </cell>
          <cell r="L54" t="e">
            <v>#N/A</v>
          </cell>
          <cell r="M54" t="e">
            <v>#N/A</v>
          </cell>
          <cell r="N54" t="e">
            <v>#N/A</v>
          </cell>
          <cell r="O54" t="e">
            <v>#N/A</v>
          </cell>
          <cell r="P54">
            <v>63.2</v>
          </cell>
          <cell r="Q54">
            <v>2.3414999999999999</v>
          </cell>
          <cell r="R54" t="e">
            <v>#N/A</v>
          </cell>
          <cell r="S54" t="str">
            <v>Count</v>
          </cell>
          <cell r="T54">
            <v>758</v>
          </cell>
          <cell r="U54">
            <v>90</v>
          </cell>
          <cell r="AI54" t="str">
            <v>AED UAE Dirham</v>
          </cell>
          <cell r="AJ54" t="str">
            <v>AED</v>
          </cell>
          <cell r="AK54" t="str">
            <v>AED</v>
          </cell>
          <cell r="AL54" t="str">
            <v>AED</v>
          </cell>
          <cell r="AM54">
            <v>0</v>
          </cell>
          <cell r="AN54">
            <v>2</v>
          </cell>
        </row>
        <row r="55">
          <cell r="A55">
            <v>39548</v>
          </cell>
          <cell r="B55">
            <v>39548</v>
          </cell>
          <cell r="C55" t="str">
            <v>Past</v>
          </cell>
          <cell r="D55">
            <v>63.26</v>
          </cell>
          <cell r="E55" t="e">
            <v>#N/A</v>
          </cell>
          <cell r="F55" t="e">
            <v>#N/A</v>
          </cell>
          <cell r="G55" t="e">
            <v>#N/A</v>
          </cell>
          <cell r="H55" t="e">
            <v>#N/A</v>
          </cell>
          <cell r="I55" t="e">
            <v>#N/A</v>
          </cell>
          <cell r="J55" t="e">
            <v>#N/A</v>
          </cell>
          <cell r="K55" t="e">
            <v>#N/A</v>
          </cell>
          <cell r="L55" t="e">
            <v>#N/A</v>
          </cell>
          <cell r="M55" t="e">
            <v>#N/A</v>
          </cell>
          <cell r="N55" t="e">
            <v>#N/A</v>
          </cell>
          <cell r="O55" t="e">
            <v>#N/A</v>
          </cell>
          <cell r="P55">
            <v>63.26</v>
          </cell>
          <cell r="Q55">
            <v>1.0905669999999998</v>
          </cell>
          <cell r="R55" t="e">
            <v>#N/A</v>
          </cell>
          <cell r="S55" t="str">
            <v>Curr Price</v>
          </cell>
          <cell r="T55">
            <v>63.51</v>
          </cell>
          <cell r="U55">
            <v>505</v>
          </cell>
          <cell r="V55">
            <v>26.288689999999999</v>
          </cell>
          <cell r="AI55" t="str">
            <v>ARS Argentinian Pesos</v>
          </cell>
          <cell r="AJ55" t="str">
            <v>Ar$</v>
          </cell>
          <cell r="AK55" t="str">
            <v>ARS</v>
          </cell>
          <cell r="AL55" t="str">
            <v>ARS</v>
          </cell>
          <cell r="AM55">
            <v>0</v>
          </cell>
          <cell r="AN55">
            <v>2</v>
          </cell>
        </row>
        <row r="56">
          <cell r="A56">
            <v>39549</v>
          </cell>
          <cell r="B56">
            <v>39549</v>
          </cell>
          <cell r="C56" t="str">
            <v>Past</v>
          </cell>
          <cell r="D56">
            <v>61.67</v>
          </cell>
          <cell r="E56" t="e">
            <v>#N/A</v>
          </cell>
          <cell r="F56" t="e">
            <v>#N/A</v>
          </cell>
          <cell r="G56" t="e">
            <v>#N/A</v>
          </cell>
          <cell r="H56" t="e">
            <v>#N/A</v>
          </cell>
          <cell r="I56" t="e">
            <v>#N/A</v>
          </cell>
          <cell r="J56" t="e">
            <v>#N/A</v>
          </cell>
          <cell r="K56" t="e">
            <v>#N/A</v>
          </cell>
          <cell r="L56" t="e">
            <v>#N/A</v>
          </cell>
          <cell r="M56" t="e">
            <v>#N/A</v>
          </cell>
          <cell r="N56" t="e">
            <v>#N/A</v>
          </cell>
          <cell r="O56" t="e">
            <v>#N/A</v>
          </cell>
          <cell r="P56">
            <v>61.67</v>
          </cell>
          <cell r="Q56">
            <v>0.87271799999999999</v>
          </cell>
          <cell r="R56" t="e">
            <v>#N/A</v>
          </cell>
          <cell r="S56" t="str">
            <v>Curr Price Date</v>
          </cell>
          <cell r="T56">
            <v>40277</v>
          </cell>
          <cell r="U56">
            <v>40274.855555555558</v>
          </cell>
          <cell r="AI56" t="str">
            <v>AUD Australian Dollar</v>
          </cell>
          <cell r="AJ56" t="str">
            <v>A$</v>
          </cell>
          <cell r="AK56" t="str">
            <v>AUD</v>
          </cell>
          <cell r="AL56" t="str">
            <v>AUD</v>
          </cell>
          <cell r="AM56">
            <v>0</v>
          </cell>
          <cell r="AN56">
            <v>2</v>
          </cell>
        </row>
        <row r="57">
          <cell r="A57">
            <v>39552</v>
          </cell>
          <cell r="B57">
            <v>39552</v>
          </cell>
          <cell r="C57" t="str">
            <v>Past</v>
          </cell>
          <cell r="D57">
            <v>62.51</v>
          </cell>
          <cell r="E57" t="e">
            <v>#N/A</v>
          </cell>
          <cell r="F57" t="e">
            <v>#N/A</v>
          </cell>
          <cell r="G57" t="e">
            <v>#N/A</v>
          </cell>
          <cell r="H57" t="e">
            <v>#N/A</v>
          </cell>
          <cell r="I57" t="e">
            <v>#N/A</v>
          </cell>
          <cell r="J57" t="e">
            <v>#N/A</v>
          </cell>
          <cell r="K57" t="e">
            <v>#N/A</v>
          </cell>
          <cell r="L57" t="e">
            <v>#N/A</v>
          </cell>
          <cell r="M57" t="e">
            <v>#N/A</v>
          </cell>
          <cell r="N57" t="e">
            <v>#N/A</v>
          </cell>
          <cell r="O57" t="e">
            <v>#N/A</v>
          </cell>
          <cell r="P57">
            <v>62.51</v>
          </cell>
          <cell r="Q57">
            <v>1.0499369999999999</v>
          </cell>
          <cell r="R57" t="e">
            <v>#N/A</v>
          </cell>
          <cell r="S57" t="str">
            <v>Bull-Curr</v>
          </cell>
          <cell r="T57">
            <v>26.490000000000002</v>
          </cell>
          <cell r="U57">
            <v>0.10429133858267717</v>
          </cell>
          <cell r="AI57" t="str">
            <v>BGL Bulgarian levs</v>
          </cell>
          <cell r="AJ57" t="str">
            <v>BGL</v>
          </cell>
          <cell r="AK57" t="str">
            <v>BGL</v>
          </cell>
          <cell r="AL57" t="str">
            <v>BGN</v>
          </cell>
          <cell r="AM57">
            <v>0</v>
          </cell>
          <cell r="AN57">
            <v>2</v>
          </cell>
        </row>
        <row r="58">
          <cell r="A58">
            <v>39553</v>
          </cell>
          <cell r="B58">
            <v>39553</v>
          </cell>
          <cell r="C58" t="str">
            <v>Past</v>
          </cell>
          <cell r="D58">
            <v>61.41</v>
          </cell>
          <cell r="E58" t="e">
            <v>#N/A</v>
          </cell>
          <cell r="F58" t="e">
            <v>#N/A</v>
          </cell>
          <cell r="G58" t="e">
            <v>#N/A</v>
          </cell>
          <cell r="H58" t="e">
            <v>#N/A</v>
          </cell>
          <cell r="I58" t="e">
            <v>#N/A</v>
          </cell>
          <cell r="J58" t="e">
            <v>#N/A</v>
          </cell>
          <cell r="K58" t="e">
            <v>#N/A</v>
          </cell>
          <cell r="L58" t="e">
            <v>#N/A</v>
          </cell>
          <cell r="M58" t="e">
            <v>#N/A</v>
          </cell>
          <cell r="N58" t="e">
            <v>#N/A</v>
          </cell>
          <cell r="O58" t="e">
            <v>#N/A</v>
          </cell>
          <cell r="P58">
            <v>61.41</v>
          </cell>
          <cell r="Q58">
            <v>1.6427</v>
          </cell>
          <cell r="R58" t="e">
            <v>#N/A</v>
          </cell>
          <cell r="S58" t="str">
            <v>Upp-Cur</v>
          </cell>
          <cell r="T58">
            <v>-63.51</v>
          </cell>
          <cell r="U58">
            <v>-0.25003937007874016</v>
          </cell>
          <cell r="AI58" t="str">
            <v>BMD Bermudan Dollars</v>
          </cell>
          <cell r="AJ58" t="str">
            <v>BMD</v>
          </cell>
          <cell r="AK58" t="str">
            <v>BMD</v>
          </cell>
          <cell r="AL58" t="str">
            <v>BMD</v>
          </cell>
          <cell r="AM58">
            <v>0</v>
          </cell>
          <cell r="AN58">
            <v>2</v>
          </cell>
        </row>
        <row r="59">
          <cell r="A59">
            <v>39554</v>
          </cell>
          <cell r="B59">
            <v>39554</v>
          </cell>
          <cell r="C59" t="str">
            <v>Past</v>
          </cell>
          <cell r="D59">
            <v>62.4</v>
          </cell>
          <cell r="E59" t="e">
            <v>#N/A</v>
          </cell>
          <cell r="F59" t="e">
            <v>#N/A</v>
          </cell>
          <cell r="G59" t="e">
            <v>#N/A</v>
          </cell>
          <cell r="H59" t="e">
            <v>#N/A</v>
          </cell>
          <cell r="I59" t="e">
            <v>#N/A</v>
          </cell>
          <cell r="J59" t="e">
            <v>#N/A</v>
          </cell>
          <cell r="K59" t="e">
            <v>#N/A</v>
          </cell>
          <cell r="L59" t="e">
            <v>#N/A</v>
          </cell>
          <cell r="M59" t="e">
            <v>#N/A</v>
          </cell>
          <cell r="N59" t="e">
            <v>#N/A</v>
          </cell>
          <cell r="O59" t="e">
            <v>#N/A</v>
          </cell>
          <cell r="P59">
            <v>62.4</v>
          </cell>
          <cell r="Q59">
            <v>1.2424389999999998</v>
          </cell>
          <cell r="R59" t="e">
            <v>#N/A</v>
          </cell>
          <cell r="S59" t="str">
            <v>Curr-Bear</v>
          </cell>
          <cell r="T59">
            <v>13.509999999999998</v>
          </cell>
          <cell r="U59">
            <v>5.3188976377952751E-2</v>
          </cell>
          <cell r="AI59" t="str">
            <v>BRL Brazilian Real</v>
          </cell>
          <cell r="AJ59" t="str">
            <v>R$</v>
          </cell>
          <cell r="AK59" t="str">
            <v>BRL</v>
          </cell>
          <cell r="AL59" t="str">
            <v>BRL</v>
          </cell>
          <cell r="AM59">
            <v>0</v>
          </cell>
          <cell r="AN59">
            <v>2</v>
          </cell>
        </row>
        <row r="60">
          <cell r="A60">
            <v>39555</v>
          </cell>
          <cell r="B60">
            <v>39555</v>
          </cell>
          <cell r="C60" t="str">
            <v>Past</v>
          </cell>
          <cell r="D60">
            <v>62.01</v>
          </cell>
          <cell r="E60" t="e">
            <v>#N/A</v>
          </cell>
          <cell r="F60" t="e">
            <v>#N/A</v>
          </cell>
          <cell r="G60" t="e">
            <v>#N/A</v>
          </cell>
          <cell r="H60" t="e">
            <v>#N/A</v>
          </cell>
          <cell r="I60" t="e">
            <v>#N/A</v>
          </cell>
          <cell r="J60" t="e">
            <v>#N/A</v>
          </cell>
          <cell r="K60" t="e">
            <v>#N/A</v>
          </cell>
          <cell r="L60" t="e">
            <v>#N/A</v>
          </cell>
          <cell r="M60" t="e">
            <v>#N/A</v>
          </cell>
          <cell r="N60" t="e">
            <v>#N/A</v>
          </cell>
          <cell r="O60" t="e">
            <v>#N/A</v>
          </cell>
          <cell r="P60">
            <v>62.01</v>
          </cell>
          <cell r="Q60">
            <v>0.83691699999999991</v>
          </cell>
          <cell r="R60" t="e">
            <v>#N/A</v>
          </cell>
          <cell r="S60" t="str">
            <v>Curr-Lower</v>
          </cell>
          <cell r="T60">
            <v>63.51</v>
          </cell>
          <cell r="U60">
            <v>0.25003937007874016</v>
          </cell>
          <cell r="AI60" t="str">
            <v>CAD Canadian Dollars</v>
          </cell>
          <cell r="AJ60" t="str">
            <v>C$</v>
          </cell>
          <cell r="AK60" t="str">
            <v>CAD</v>
          </cell>
          <cell r="AL60" t="str">
            <v>CAD</v>
          </cell>
          <cell r="AM60">
            <v>0</v>
          </cell>
          <cell r="AN60">
            <v>2</v>
          </cell>
        </row>
        <row r="61">
          <cell r="A61">
            <v>39556</v>
          </cell>
          <cell r="B61">
            <v>39556</v>
          </cell>
          <cell r="C61" t="str">
            <v>Past</v>
          </cell>
          <cell r="D61">
            <v>63.66</v>
          </cell>
          <cell r="E61" t="e">
            <v>#N/A</v>
          </cell>
          <cell r="F61" t="e">
            <v>#N/A</v>
          </cell>
          <cell r="G61" t="e">
            <v>#N/A</v>
          </cell>
          <cell r="H61" t="e">
            <v>#N/A</v>
          </cell>
          <cell r="I61" t="e">
            <v>#N/A</v>
          </cell>
          <cell r="J61" t="e">
            <v>#N/A</v>
          </cell>
          <cell r="K61" t="e">
            <v>#N/A</v>
          </cell>
          <cell r="L61" t="e">
            <v>#N/A</v>
          </cell>
          <cell r="M61" t="e">
            <v>#N/A</v>
          </cell>
          <cell r="N61" t="e">
            <v>#N/A</v>
          </cell>
          <cell r="O61" t="e">
            <v>#N/A</v>
          </cell>
          <cell r="P61">
            <v>63.66</v>
          </cell>
          <cell r="Q61">
            <v>0.799095</v>
          </cell>
          <cell r="R61" t="e">
            <v>#N/A</v>
          </cell>
          <cell r="S61" t="str">
            <v>PriceFoundAt</v>
          </cell>
          <cell r="T61">
            <v>505</v>
          </cell>
          <cell r="AI61" t="str">
            <v>CHF Swiss Francs</v>
          </cell>
          <cell r="AJ61" t="str">
            <v>SFr</v>
          </cell>
          <cell r="AK61" t="str">
            <v>CHF</v>
          </cell>
          <cell r="AL61" t="str">
            <v>CHF</v>
          </cell>
          <cell r="AM61">
            <v>0</v>
          </cell>
          <cell r="AN61">
            <v>2</v>
          </cell>
        </row>
        <row r="62">
          <cell r="A62">
            <v>39559</v>
          </cell>
          <cell r="B62">
            <v>39559</v>
          </cell>
          <cell r="C62" t="str">
            <v>Past</v>
          </cell>
          <cell r="D62">
            <v>62.26</v>
          </cell>
          <cell r="E62" t="e">
            <v>#N/A</v>
          </cell>
          <cell r="F62" t="e">
            <v>#N/A</v>
          </cell>
          <cell r="G62" t="e">
            <v>#N/A</v>
          </cell>
          <cell r="H62" t="e">
            <v>#N/A</v>
          </cell>
          <cell r="I62" t="e">
            <v>#N/A</v>
          </cell>
          <cell r="J62" t="e">
            <v>#N/A</v>
          </cell>
          <cell r="K62" t="e">
            <v>#N/A</v>
          </cell>
          <cell r="L62" t="e">
            <v>#N/A</v>
          </cell>
          <cell r="M62" t="e">
            <v>#N/A</v>
          </cell>
          <cell r="N62" t="e">
            <v>#N/A</v>
          </cell>
          <cell r="O62" t="e">
            <v>#N/A</v>
          </cell>
          <cell r="P62">
            <v>62.26</v>
          </cell>
          <cell r="Q62">
            <v>1.2850429999999999</v>
          </cell>
          <cell r="R62" t="e">
            <v>#N/A</v>
          </cell>
          <cell r="S62" t="str">
            <v>Starting Point</v>
          </cell>
          <cell r="T62">
            <v>558</v>
          </cell>
          <cell r="AI62" t="str">
            <v>CLP Chilean Pesos</v>
          </cell>
          <cell r="AJ62" t="str">
            <v>CLP</v>
          </cell>
          <cell r="AK62" t="str">
            <v>CLP</v>
          </cell>
          <cell r="AL62" t="str">
            <v>CLP</v>
          </cell>
          <cell r="AM62">
            <v>0</v>
          </cell>
          <cell r="AN62">
            <v>2</v>
          </cell>
        </row>
        <row r="63">
          <cell r="A63">
            <v>39560</v>
          </cell>
          <cell r="B63">
            <v>39560</v>
          </cell>
          <cell r="C63" t="str">
            <v>Past</v>
          </cell>
          <cell r="D63">
            <v>61.42</v>
          </cell>
          <cell r="E63" t="e">
            <v>#N/A</v>
          </cell>
          <cell r="F63" t="e">
            <v>#N/A</v>
          </cell>
          <cell r="G63" t="e">
            <v>#N/A</v>
          </cell>
          <cell r="H63" t="e">
            <v>#N/A</v>
          </cell>
          <cell r="I63" t="e">
            <v>#N/A</v>
          </cell>
          <cell r="J63" t="e">
            <v>#N/A</v>
          </cell>
          <cell r="K63" t="e">
            <v>#N/A</v>
          </cell>
          <cell r="L63" t="e">
            <v>#N/A</v>
          </cell>
          <cell r="M63" t="e">
            <v>#N/A</v>
          </cell>
          <cell r="N63" t="e">
            <v>#N/A</v>
          </cell>
          <cell r="O63" t="e">
            <v>#N/A</v>
          </cell>
          <cell r="P63">
            <v>61.42</v>
          </cell>
          <cell r="Q63">
            <v>0.88567399999999996</v>
          </cell>
          <cell r="R63" t="e">
            <v>#N/A</v>
          </cell>
          <cell r="S63" t="str">
            <v>Saved</v>
          </cell>
          <cell r="T63">
            <v>254</v>
          </cell>
          <cell r="AI63" t="str">
            <v>CNY Chinese Renminbi Yuan</v>
          </cell>
          <cell r="AJ63" t="str">
            <v>Rmb</v>
          </cell>
          <cell r="AK63" t="str">
            <v>CNY</v>
          </cell>
          <cell r="AL63" t="str">
            <v>CNY</v>
          </cell>
          <cell r="AM63">
            <v>0</v>
          </cell>
          <cell r="AN63">
            <v>2</v>
          </cell>
        </row>
        <row r="64">
          <cell r="A64">
            <v>39561</v>
          </cell>
          <cell r="B64">
            <v>39561</v>
          </cell>
          <cell r="C64" t="str">
            <v>Past</v>
          </cell>
          <cell r="D64">
            <v>62.49</v>
          </cell>
          <cell r="E64" t="e">
            <v>#N/A</v>
          </cell>
          <cell r="F64" t="e">
            <v>#N/A</v>
          </cell>
          <cell r="G64" t="e">
            <v>#N/A</v>
          </cell>
          <cell r="H64" t="e">
            <v>#N/A</v>
          </cell>
          <cell r="I64" t="e">
            <v>#N/A</v>
          </cell>
          <cell r="J64" t="e">
            <v>#N/A</v>
          </cell>
          <cell r="K64" t="e">
            <v>#N/A</v>
          </cell>
          <cell r="L64" t="e">
            <v>#N/A</v>
          </cell>
          <cell r="M64" t="e">
            <v>#N/A</v>
          </cell>
          <cell r="N64" t="e">
            <v>#N/A</v>
          </cell>
          <cell r="O64" t="e">
            <v>#N/A</v>
          </cell>
          <cell r="P64">
            <v>62.49</v>
          </cell>
          <cell r="Q64">
            <v>1.2205809999999999</v>
          </cell>
          <cell r="R64" t="e">
            <v>#N/A</v>
          </cell>
          <cell r="S64" t="str">
            <v>Right alligned</v>
          </cell>
          <cell r="T64">
            <v>0</v>
          </cell>
          <cell r="AI64" t="str">
            <v>COP Colombian Peso</v>
          </cell>
          <cell r="AJ64" t="str">
            <v>COP</v>
          </cell>
          <cell r="AK64" t="str">
            <v>COP</v>
          </cell>
          <cell r="AL64" t="str">
            <v>COP</v>
          </cell>
          <cell r="AM64">
            <v>0</v>
          </cell>
          <cell r="AN64">
            <v>2</v>
          </cell>
        </row>
        <row r="65">
          <cell r="A65">
            <v>39562</v>
          </cell>
          <cell r="B65">
            <v>39562</v>
          </cell>
          <cell r="C65" t="str">
            <v>Past</v>
          </cell>
          <cell r="D65">
            <v>62.36</v>
          </cell>
          <cell r="E65" t="e">
            <v>#N/A</v>
          </cell>
          <cell r="F65" t="e">
            <v>#N/A</v>
          </cell>
          <cell r="G65" t="e">
            <v>#N/A</v>
          </cell>
          <cell r="H65" t="e">
            <v>#N/A</v>
          </cell>
          <cell r="I65" t="e">
            <v>#N/A</v>
          </cell>
          <cell r="J65" t="e">
            <v>#N/A</v>
          </cell>
          <cell r="K65" t="e">
            <v>#N/A</v>
          </cell>
          <cell r="L65" t="e">
            <v>#N/A</v>
          </cell>
          <cell r="M65" t="e">
            <v>#N/A</v>
          </cell>
          <cell r="N65" t="e">
            <v>#N/A</v>
          </cell>
          <cell r="O65" t="e">
            <v>#N/A</v>
          </cell>
          <cell r="P65">
            <v>62.36</v>
          </cell>
          <cell r="Q65">
            <v>1.5931579999999999</v>
          </cell>
          <cell r="R65" t="e">
            <v>#N/A</v>
          </cell>
          <cell r="S65" t="str">
            <v>Decimal</v>
          </cell>
          <cell r="T65">
            <v>2</v>
          </cell>
          <cell r="AI65" t="str">
            <v>CZK Czech Krona</v>
          </cell>
          <cell r="AJ65" t="str">
            <v>Kcs</v>
          </cell>
          <cell r="AK65" t="str">
            <v>CZK</v>
          </cell>
          <cell r="AL65" t="str">
            <v>CZK</v>
          </cell>
          <cell r="AM65">
            <v>0</v>
          </cell>
          <cell r="AN65">
            <v>2</v>
          </cell>
        </row>
        <row r="66">
          <cell r="A66">
            <v>39563</v>
          </cell>
          <cell r="B66">
            <v>39563</v>
          </cell>
          <cell r="C66" t="str">
            <v>Past</v>
          </cell>
          <cell r="D66">
            <v>64.44</v>
          </cell>
          <cell r="E66" t="e">
            <v>#N/A</v>
          </cell>
          <cell r="F66" t="e">
            <v>#N/A</v>
          </cell>
          <cell r="G66" t="e">
            <v>#N/A</v>
          </cell>
          <cell r="H66" t="e">
            <v>#N/A</v>
          </cell>
          <cell r="I66" t="e">
            <v>#N/A</v>
          </cell>
          <cell r="J66" t="e">
            <v>#N/A</v>
          </cell>
          <cell r="K66" t="e">
            <v>#N/A</v>
          </cell>
          <cell r="L66" t="e">
            <v>#N/A</v>
          </cell>
          <cell r="M66" t="e">
            <v>#N/A</v>
          </cell>
          <cell r="N66" t="e">
            <v>#N/A</v>
          </cell>
          <cell r="O66" t="e">
            <v>#N/A</v>
          </cell>
          <cell r="P66">
            <v>64.44</v>
          </cell>
          <cell r="Q66">
            <v>1.258497</v>
          </cell>
          <cell r="R66" t="e">
            <v>#N/A</v>
          </cell>
          <cell r="S66" t="str">
            <v>default StartDate</v>
          </cell>
          <cell r="T66">
            <v>39547</v>
          </cell>
          <cell r="AI66" t="str">
            <v>DKK Danish Krone</v>
          </cell>
          <cell r="AJ66" t="str">
            <v>DKr</v>
          </cell>
          <cell r="AK66" t="str">
            <v>DKK</v>
          </cell>
          <cell r="AL66" t="str">
            <v>DKK</v>
          </cell>
          <cell r="AM66">
            <v>0</v>
          </cell>
          <cell r="AN66">
            <v>2</v>
          </cell>
        </row>
        <row r="67">
          <cell r="A67">
            <v>39566</v>
          </cell>
          <cell r="B67">
            <v>39566</v>
          </cell>
          <cell r="C67" t="str">
            <v>Past</v>
          </cell>
          <cell r="D67">
            <v>64.06</v>
          </cell>
          <cell r="E67" t="e">
            <v>#N/A</v>
          </cell>
          <cell r="F67" t="e">
            <v>#N/A</v>
          </cell>
          <cell r="G67" t="e">
            <v>#N/A</v>
          </cell>
          <cell r="H67" t="e">
            <v>#N/A</v>
          </cell>
          <cell r="I67" t="e">
            <v>#N/A</v>
          </cell>
          <cell r="J67" t="e">
            <v>#N/A</v>
          </cell>
          <cell r="K67" t="e">
            <v>#N/A</v>
          </cell>
          <cell r="L67" t="e">
            <v>#N/A</v>
          </cell>
          <cell r="M67" t="e">
            <v>#N/A</v>
          </cell>
          <cell r="N67" t="e">
            <v>#N/A</v>
          </cell>
          <cell r="O67" t="e">
            <v>#N/A</v>
          </cell>
          <cell r="P67">
            <v>64.06</v>
          </cell>
          <cell r="Q67">
            <v>1.0035969999999999</v>
          </cell>
          <cell r="R67" t="e">
            <v>#N/A</v>
          </cell>
          <cell r="S67" t="str">
            <v>default EndDate</v>
          </cell>
          <cell r="T67">
            <v>40642</v>
          </cell>
          <cell r="AI67" t="str">
            <v>DZD Algerian Dinar</v>
          </cell>
          <cell r="AJ67" t="str">
            <v>DZD</v>
          </cell>
          <cell r="AK67" t="str">
            <v>DZD</v>
          </cell>
          <cell r="AL67" t="str">
            <v>DZD</v>
          </cell>
          <cell r="AM67">
            <v>0</v>
          </cell>
          <cell r="AN67">
            <v>2</v>
          </cell>
        </row>
        <row r="68">
          <cell r="A68">
            <v>39567</v>
          </cell>
          <cell r="B68">
            <v>39567</v>
          </cell>
          <cell r="C68" t="str">
            <v>Past</v>
          </cell>
          <cell r="D68">
            <v>63.94</v>
          </cell>
          <cell r="E68" t="e">
            <v>#N/A</v>
          </cell>
          <cell r="F68" t="e">
            <v>#N/A</v>
          </cell>
          <cell r="G68" t="e">
            <v>#N/A</v>
          </cell>
          <cell r="H68" t="e">
            <v>#N/A</v>
          </cell>
          <cell r="I68" t="e">
            <v>#N/A</v>
          </cell>
          <cell r="J68" t="e">
            <v>#N/A</v>
          </cell>
          <cell r="K68" t="e">
            <v>#N/A</v>
          </cell>
          <cell r="L68" t="e">
            <v>#N/A</v>
          </cell>
          <cell r="M68" t="e">
            <v>#N/A</v>
          </cell>
          <cell r="N68" t="e">
            <v>#N/A</v>
          </cell>
          <cell r="O68" t="e">
            <v>#N/A</v>
          </cell>
          <cell r="P68">
            <v>63.94</v>
          </cell>
          <cell r="Q68">
            <v>1.09409</v>
          </cell>
          <cell r="R68" t="e">
            <v>#N/A</v>
          </cell>
          <cell r="S68" t="str">
            <v>Max sharePrice</v>
          </cell>
          <cell r="T68">
            <v>66.34</v>
          </cell>
          <cell r="AI68" t="str">
            <v>EGP Egyptian Pound</v>
          </cell>
          <cell r="AJ68" t="str">
            <v>EGP</v>
          </cell>
          <cell r="AK68" t="str">
            <v>EGP</v>
          </cell>
          <cell r="AL68" t="str">
            <v>EGP</v>
          </cell>
          <cell r="AM68">
            <v>0</v>
          </cell>
          <cell r="AN68">
            <v>2</v>
          </cell>
        </row>
        <row r="69">
          <cell r="A69">
            <v>39568</v>
          </cell>
          <cell r="B69">
            <v>39568</v>
          </cell>
          <cell r="C69" t="str">
            <v>Past</v>
          </cell>
          <cell r="D69">
            <v>63.11</v>
          </cell>
          <cell r="E69" t="e">
            <v>#N/A</v>
          </cell>
          <cell r="F69" t="e">
            <v>#N/A</v>
          </cell>
          <cell r="G69" t="e">
            <v>#N/A</v>
          </cell>
          <cell r="H69" t="e">
            <v>#N/A</v>
          </cell>
          <cell r="I69" t="e">
            <v>#N/A</v>
          </cell>
          <cell r="J69" t="e">
            <v>#N/A</v>
          </cell>
          <cell r="K69" t="e">
            <v>#N/A</v>
          </cell>
          <cell r="L69" t="e">
            <v>#N/A</v>
          </cell>
          <cell r="M69" t="e">
            <v>#N/A</v>
          </cell>
          <cell r="N69" t="e">
            <v>#N/A</v>
          </cell>
          <cell r="O69" t="e">
            <v>#N/A</v>
          </cell>
          <cell r="P69">
            <v>63.11</v>
          </cell>
          <cell r="Q69">
            <v>0.93711499999999992</v>
          </cell>
          <cell r="R69" t="e">
            <v>#N/A</v>
          </cell>
          <cell r="AI69" t="str">
            <v>EUR Euro</v>
          </cell>
          <cell r="AJ69" t="str">
            <v>€</v>
          </cell>
          <cell r="AK69" t="str">
            <v>EUR</v>
          </cell>
          <cell r="AL69" t="str">
            <v>EUR</v>
          </cell>
          <cell r="AM69">
            <v>0</v>
          </cell>
          <cell r="AN69">
            <v>2</v>
          </cell>
        </row>
        <row r="70">
          <cell r="A70">
            <v>39569</v>
          </cell>
          <cell r="B70">
            <v>39569</v>
          </cell>
          <cell r="C70" t="str">
            <v>Past</v>
          </cell>
          <cell r="D70">
            <v>63.7</v>
          </cell>
          <cell r="E70" t="e">
            <v>#N/A</v>
          </cell>
          <cell r="F70" t="e">
            <v>#N/A</v>
          </cell>
          <cell r="G70" t="e">
            <v>#N/A</v>
          </cell>
          <cell r="H70" t="e">
            <v>#N/A</v>
          </cell>
          <cell r="I70" t="e">
            <v>#N/A</v>
          </cell>
          <cell r="J70" t="e">
            <v>#N/A</v>
          </cell>
          <cell r="K70" t="e">
            <v>#N/A</v>
          </cell>
          <cell r="L70" t="e">
            <v>#N/A</v>
          </cell>
          <cell r="M70" t="e">
            <v>#N/A</v>
          </cell>
          <cell r="N70" t="e">
            <v>#N/A</v>
          </cell>
          <cell r="O70" t="e">
            <v>#N/A</v>
          </cell>
          <cell r="P70">
            <v>63.7</v>
          </cell>
          <cell r="Q70">
            <v>1.054791</v>
          </cell>
          <cell r="R70" t="e">
            <v>#N/A</v>
          </cell>
          <cell r="AI70" t="str">
            <v>GBp British Pence</v>
          </cell>
          <cell r="AJ70" t="str">
            <v>p</v>
          </cell>
          <cell r="AK70" t="str">
            <v>GBp</v>
          </cell>
          <cell r="AL70" t="str">
            <v>GBX</v>
          </cell>
          <cell r="AM70">
            <v>1</v>
          </cell>
          <cell r="AN70">
            <v>0</v>
          </cell>
        </row>
        <row r="71">
          <cell r="A71">
            <v>39570</v>
          </cell>
          <cell r="B71">
            <v>39570</v>
          </cell>
          <cell r="C71" t="str">
            <v>Past</v>
          </cell>
          <cell r="D71">
            <v>64.849999999999994</v>
          </cell>
          <cell r="E71" t="e">
            <v>#N/A</v>
          </cell>
          <cell r="F71" t="e">
            <v>#N/A</v>
          </cell>
          <cell r="G71" t="e">
            <v>#N/A</v>
          </cell>
          <cell r="H71" t="e">
            <v>#N/A</v>
          </cell>
          <cell r="I71" t="e">
            <v>#N/A</v>
          </cell>
          <cell r="J71" t="e">
            <v>#N/A</v>
          </cell>
          <cell r="K71" t="e">
            <v>#N/A</v>
          </cell>
          <cell r="L71" t="e">
            <v>#N/A</v>
          </cell>
          <cell r="M71" t="e">
            <v>#N/A</v>
          </cell>
          <cell r="N71" t="e">
            <v>#N/A</v>
          </cell>
          <cell r="O71" t="e">
            <v>#N/A</v>
          </cell>
          <cell r="P71">
            <v>64.849999999999994</v>
          </cell>
          <cell r="Q71">
            <v>1.0130520000000001</v>
          </cell>
          <cell r="R71" t="e">
            <v>#N/A</v>
          </cell>
          <cell r="AI71" t="str">
            <v>GBP British Pound</v>
          </cell>
          <cell r="AJ71" t="str">
            <v>₤</v>
          </cell>
          <cell r="AK71" t="str">
            <v>GBP</v>
          </cell>
          <cell r="AL71" t="str">
            <v>GBP</v>
          </cell>
          <cell r="AM71">
            <v>0</v>
          </cell>
          <cell r="AN71">
            <v>2</v>
          </cell>
        </row>
        <row r="72">
          <cell r="A72">
            <v>39573</v>
          </cell>
          <cell r="B72">
            <v>39573</v>
          </cell>
          <cell r="C72" t="str">
            <v>Past</v>
          </cell>
          <cell r="D72">
            <v>63.89</v>
          </cell>
          <cell r="E72" t="e">
            <v>#N/A</v>
          </cell>
          <cell r="F72" t="e">
            <v>#N/A</v>
          </cell>
          <cell r="G72" t="e">
            <v>#N/A</v>
          </cell>
          <cell r="H72" t="e">
            <v>#N/A</v>
          </cell>
          <cell r="I72" t="e">
            <v>#N/A</v>
          </cell>
          <cell r="J72" t="e">
            <v>#N/A</v>
          </cell>
          <cell r="K72" t="e">
            <v>#N/A</v>
          </cell>
          <cell r="L72" t="e">
            <v>#N/A</v>
          </cell>
          <cell r="M72" t="e">
            <v>#N/A</v>
          </cell>
          <cell r="N72" t="e">
            <v>#N/A</v>
          </cell>
          <cell r="O72" t="e">
            <v>#N/A</v>
          </cell>
          <cell r="P72">
            <v>63.89</v>
          </cell>
          <cell r="Q72">
            <v>0.89414799999999994</v>
          </cell>
          <cell r="R72" t="e">
            <v>#N/A</v>
          </cell>
          <cell r="AI72" t="str">
            <v>HKD Hong Kong Dollar</v>
          </cell>
          <cell r="AJ72" t="str">
            <v>HK$</v>
          </cell>
          <cell r="AK72" t="str">
            <v>HKD</v>
          </cell>
          <cell r="AL72" t="str">
            <v>HKD</v>
          </cell>
          <cell r="AM72">
            <v>0</v>
          </cell>
          <cell r="AN72">
            <v>2</v>
          </cell>
        </row>
        <row r="73">
          <cell r="A73">
            <v>39574</v>
          </cell>
          <cell r="B73">
            <v>39574</v>
          </cell>
          <cell r="C73" t="str">
            <v>Past</v>
          </cell>
          <cell r="D73">
            <v>64.239999999999995</v>
          </cell>
          <cell r="E73" t="e">
            <v>#N/A</v>
          </cell>
          <cell r="F73" t="e">
            <v>#N/A</v>
          </cell>
          <cell r="G73" t="e">
            <v>#N/A</v>
          </cell>
          <cell r="H73" t="e">
            <v>#N/A</v>
          </cell>
          <cell r="I73" t="e">
            <v>#N/A</v>
          </cell>
          <cell r="J73" t="e">
            <v>#N/A</v>
          </cell>
          <cell r="K73" t="e">
            <v>#N/A</v>
          </cell>
          <cell r="L73" t="e">
            <v>#N/A</v>
          </cell>
          <cell r="M73" t="e">
            <v>#N/A</v>
          </cell>
          <cell r="N73" t="e">
            <v>#N/A</v>
          </cell>
          <cell r="O73" t="e">
            <v>#N/A</v>
          </cell>
          <cell r="P73">
            <v>64.239999999999995</v>
          </cell>
          <cell r="Q73">
            <v>0.80053399999999997</v>
          </cell>
          <cell r="R73" t="e">
            <v>#N/A</v>
          </cell>
          <cell r="AI73" t="str">
            <v>HUF Hungarian forint</v>
          </cell>
          <cell r="AJ73" t="str">
            <v>Ft</v>
          </cell>
          <cell r="AK73" t="str">
            <v>HUF</v>
          </cell>
          <cell r="AL73" t="str">
            <v>HUF</v>
          </cell>
          <cell r="AM73">
            <v>0</v>
          </cell>
          <cell r="AN73">
            <v>2</v>
          </cell>
        </row>
        <row r="74">
          <cell r="A74">
            <v>39575</v>
          </cell>
          <cell r="B74">
            <v>39575</v>
          </cell>
          <cell r="C74" t="str">
            <v>Past</v>
          </cell>
          <cell r="D74">
            <v>62.64</v>
          </cell>
          <cell r="E74" t="e">
            <v>#N/A</v>
          </cell>
          <cell r="F74" t="e">
            <v>#N/A</v>
          </cell>
          <cell r="G74" t="e">
            <v>#N/A</v>
          </cell>
          <cell r="H74" t="e">
            <v>#N/A</v>
          </cell>
          <cell r="I74" t="e">
            <v>#N/A</v>
          </cell>
          <cell r="J74" t="e">
            <v>#N/A</v>
          </cell>
          <cell r="K74" t="e">
            <v>#N/A</v>
          </cell>
          <cell r="L74" t="e">
            <v>#N/A</v>
          </cell>
          <cell r="M74" t="e">
            <v>#N/A</v>
          </cell>
          <cell r="N74" t="e">
            <v>#N/A</v>
          </cell>
          <cell r="O74" t="e">
            <v>#N/A</v>
          </cell>
          <cell r="P74">
            <v>62.64</v>
          </cell>
          <cell r="Q74">
            <v>0.89341899999999996</v>
          </cell>
          <cell r="R74" t="e">
            <v>#N/A</v>
          </cell>
          <cell r="AI74" t="str">
            <v>IDR Indonesian Rupiah</v>
          </cell>
          <cell r="AJ74" t="str">
            <v>Rp</v>
          </cell>
          <cell r="AK74" t="str">
            <v>IDR</v>
          </cell>
          <cell r="AL74" t="str">
            <v>IDR</v>
          </cell>
          <cell r="AM74">
            <v>0</v>
          </cell>
          <cell r="AN74">
            <v>0</v>
          </cell>
        </row>
        <row r="75">
          <cell r="A75">
            <v>39576</v>
          </cell>
          <cell r="B75">
            <v>39576</v>
          </cell>
          <cell r="C75" t="str">
            <v>Past</v>
          </cell>
          <cell r="D75">
            <v>63.42</v>
          </cell>
          <cell r="E75" t="e">
            <v>#N/A</v>
          </cell>
          <cell r="F75" t="e">
            <v>#N/A</v>
          </cell>
          <cell r="G75" t="e">
            <v>#N/A</v>
          </cell>
          <cell r="H75" t="e">
            <v>#N/A</v>
          </cell>
          <cell r="I75" t="e">
            <v>#N/A</v>
          </cell>
          <cell r="J75" t="e">
            <v>#N/A</v>
          </cell>
          <cell r="K75" t="e">
            <v>#N/A</v>
          </cell>
          <cell r="L75" t="e">
            <v>#N/A</v>
          </cell>
          <cell r="M75" t="e">
            <v>#N/A</v>
          </cell>
          <cell r="N75" t="e">
            <v>#N/A</v>
          </cell>
          <cell r="O75" t="e">
            <v>#N/A</v>
          </cell>
          <cell r="P75">
            <v>63.42</v>
          </cell>
          <cell r="Q75">
            <v>0.76153899999999997</v>
          </cell>
          <cell r="R75" t="e">
            <v>#N/A</v>
          </cell>
          <cell r="AI75" t="str">
            <v>ILS Israeli shekel</v>
          </cell>
          <cell r="AJ75" t="str">
            <v>ILS</v>
          </cell>
          <cell r="AK75" t="str">
            <v>ILS</v>
          </cell>
          <cell r="AL75" t="str">
            <v>ILS</v>
          </cell>
          <cell r="AM75">
            <v>0</v>
          </cell>
          <cell r="AN75">
            <v>2</v>
          </cell>
        </row>
        <row r="76">
          <cell r="A76">
            <v>39577</v>
          </cell>
          <cell r="B76">
            <v>39577</v>
          </cell>
          <cell r="C76" t="str">
            <v>Past</v>
          </cell>
          <cell r="D76">
            <v>63.03</v>
          </cell>
          <cell r="E76" t="e">
            <v>#N/A</v>
          </cell>
          <cell r="F76" t="e">
            <v>#N/A</v>
          </cell>
          <cell r="G76" t="e">
            <v>#N/A</v>
          </cell>
          <cell r="H76" t="e">
            <v>#N/A</v>
          </cell>
          <cell r="I76" t="e">
            <v>#N/A</v>
          </cell>
          <cell r="J76" t="e">
            <v>#N/A</v>
          </cell>
          <cell r="K76" t="e">
            <v>#N/A</v>
          </cell>
          <cell r="L76" t="e">
            <v>#N/A</v>
          </cell>
          <cell r="M76" t="e">
            <v>#N/A</v>
          </cell>
          <cell r="N76" t="e">
            <v>#N/A</v>
          </cell>
          <cell r="O76" t="e">
            <v>#N/A</v>
          </cell>
          <cell r="P76">
            <v>63.03</v>
          </cell>
          <cell r="Q76">
            <v>0.673929</v>
          </cell>
          <cell r="R76" t="e">
            <v>#N/A</v>
          </cell>
          <cell r="AI76" t="str">
            <v>INR Indian Rupee</v>
          </cell>
          <cell r="AJ76" t="str">
            <v>Rs.</v>
          </cell>
          <cell r="AK76" t="str">
            <v>INR</v>
          </cell>
          <cell r="AL76" t="str">
            <v>INR</v>
          </cell>
          <cell r="AM76">
            <v>0</v>
          </cell>
          <cell r="AN76">
            <v>2</v>
          </cell>
        </row>
        <row r="77">
          <cell r="A77">
            <v>39580</v>
          </cell>
          <cell r="B77">
            <v>39580</v>
          </cell>
          <cell r="C77" t="str">
            <v>Past</v>
          </cell>
          <cell r="D77">
            <v>63.88</v>
          </cell>
          <cell r="E77" t="e">
            <v>#N/A</v>
          </cell>
          <cell r="F77" t="e">
            <v>#N/A</v>
          </cell>
          <cell r="G77" t="e">
            <v>#N/A</v>
          </cell>
          <cell r="H77" t="e">
            <v>#N/A</v>
          </cell>
          <cell r="I77" t="e">
            <v>#N/A</v>
          </cell>
          <cell r="J77" t="e">
            <v>#N/A</v>
          </cell>
          <cell r="K77" t="e">
            <v>#N/A</v>
          </cell>
          <cell r="L77" t="e">
            <v>#N/A</v>
          </cell>
          <cell r="M77" t="e">
            <v>#N/A</v>
          </cell>
          <cell r="N77" t="e">
            <v>#N/A</v>
          </cell>
          <cell r="O77" t="e">
            <v>#N/A</v>
          </cell>
          <cell r="P77">
            <v>63.88</v>
          </cell>
          <cell r="Q77">
            <v>0.36889699999999997</v>
          </cell>
          <cell r="R77" t="e">
            <v>#N/A</v>
          </cell>
          <cell r="AI77" t="str">
            <v>IQD Iraqi Dinar</v>
          </cell>
          <cell r="AJ77" t="str">
            <v>IQD</v>
          </cell>
          <cell r="AK77" t="str">
            <v>IQD</v>
          </cell>
          <cell r="AL77" t="str">
            <v>IQD</v>
          </cell>
          <cell r="AM77">
            <v>0</v>
          </cell>
          <cell r="AN77">
            <v>2</v>
          </cell>
        </row>
        <row r="78">
          <cell r="A78">
            <v>39581</v>
          </cell>
          <cell r="B78">
            <v>39581</v>
          </cell>
          <cell r="C78" t="str">
            <v>Past</v>
          </cell>
          <cell r="D78">
            <v>64.680000000000007</v>
          </cell>
          <cell r="E78" t="e">
            <v>#N/A</v>
          </cell>
          <cell r="F78" t="e">
            <v>#N/A</v>
          </cell>
          <cell r="G78" t="e">
            <v>#N/A</v>
          </cell>
          <cell r="H78" t="e">
            <v>#N/A</v>
          </cell>
          <cell r="I78" t="e">
            <v>#N/A</v>
          </cell>
          <cell r="J78" t="e">
            <v>#N/A</v>
          </cell>
          <cell r="K78" t="e">
            <v>#N/A</v>
          </cell>
          <cell r="L78" t="e">
            <v>#N/A</v>
          </cell>
          <cell r="M78" t="e">
            <v>#N/A</v>
          </cell>
          <cell r="N78" t="e">
            <v>#N/A</v>
          </cell>
          <cell r="O78" t="e">
            <v>#N/A</v>
          </cell>
          <cell r="P78">
            <v>64.680000000000007</v>
          </cell>
          <cell r="Q78">
            <v>0.67565299999999995</v>
          </cell>
          <cell r="R78" t="e">
            <v>#N/A</v>
          </cell>
          <cell r="AI78" t="str">
            <v>IRR Iranian Rial</v>
          </cell>
          <cell r="AJ78" t="str">
            <v>IRR</v>
          </cell>
          <cell r="AK78" t="str">
            <v>IRR</v>
          </cell>
          <cell r="AL78" t="str">
            <v>IRR</v>
          </cell>
          <cell r="AM78">
            <v>0</v>
          </cell>
          <cell r="AN78">
            <v>2</v>
          </cell>
        </row>
        <row r="79">
          <cell r="A79">
            <v>39582</v>
          </cell>
          <cell r="B79">
            <v>39582</v>
          </cell>
          <cell r="C79" t="str">
            <v>Past</v>
          </cell>
          <cell r="D79">
            <v>65.72</v>
          </cell>
          <cell r="E79" t="e">
            <v>#N/A</v>
          </cell>
          <cell r="F79" t="e">
            <v>#N/A</v>
          </cell>
          <cell r="G79" t="e">
            <v>#N/A</v>
          </cell>
          <cell r="H79" t="e">
            <v>#N/A</v>
          </cell>
          <cell r="I79" t="e">
            <v>#N/A</v>
          </cell>
          <cell r="J79" t="e">
            <v>#N/A</v>
          </cell>
          <cell r="K79" t="e">
            <v>#N/A</v>
          </cell>
          <cell r="L79" t="e">
            <v>#N/A</v>
          </cell>
          <cell r="M79" t="e">
            <v>#N/A</v>
          </cell>
          <cell r="N79" t="e">
            <v>#N/A</v>
          </cell>
          <cell r="O79" t="e">
            <v>#N/A</v>
          </cell>
          <cell r="P79">
            <v>65.72</v>
          </cell>
          <cell r="Q79">
            <v>1.0094189999999998</v>
          </cell>
          <cell r="R79" t="e">
            <v>#N/A</v>
          </cell>
          <cell r="AI79" t="str">
            <v>ISK Iceland Krona</v>
          </cell>
          <cell r="AJ79" t="str">
            <v>kr</v>
          </cell>
          <cell r="AK79" t="str">
            <v>ISK</v>
          </cell>
          <cell r="AL79" t="str">
            <v>ISK</v>
          </cell>
          <cell r="AM79">
            <v>0</v>
          </cell>
          <cell r="AN79">
            <v>2</v>
          </cell>
        </row>
        <row r="80">
          <cell r="A80">
            <v>39583</v>
          </cell>
          <cell r="B80">
            <v>39583</v>
          </cell>
          <cell r="C80" t="str">
            <v>Past</v>
          </cell>
          <cell r="D80">
            <v>66.34</v>
          </cell>
          <cell r="E80" t="e">
            <v>#N/A</v>
          </cell>
          <cell r="F80" t="e">
            <v>#N/A</v>
          </cell>
          <cell r="G80" t="e">
            <v>#N/A</v>
          </cell>
          <cell r="H80" t="e">
            <v>#N/A</v>
          </cell>
          <cell r="I80" t="e">
            <v>#N/A</v>
          </cell>
          <cell r="J80" t="e">
            <v>#N/A</v>
          </cell>
          <cell r="K80" t="e">
            <v>#N/A</v>
          </cell>
          <cell r="L80" t="e">
            <v>#N/A</v>
          </cell>
          <cell r="M80" t="e">
            <v>#N/A</v>
          </cell>
          <cell r="N80" t="e">
            <v>#N/A</v>
          </cell>
          <cell r="O80" t="e">
            <v>#N/A</v>
          </cell>
          <cell r="P80">
            <v>66.34</v>
          </cell>
          <cell r="Q80">
            <v>0.69335199999999997</v>
          </cell>
          <cell r="R80" t="e">
            <v>#N/A</v>
          </cell>
          <cell r="AI80" t="str">
            <v>JMD Jamaican Dollars</v>
          </cell>
          <cell r="AJ80" t="str">
            <v>JMD</v>
          </cell>
          <cell r="AK80" t="str">
            <v>JMD</v>
          </cell>
          <cell r="AL80" t="str">
            <v>JMD</v>
          </cell>
          <cell r="AM80">
            <v>0</v>
          </cell>
          <cell r="AN80">
            <v>2</v>
          </cell>
        </row>
        <row r="81">
          <cell r="A81">
            <v>39584</v>
          </cell>
          <cell r="B81">
            <v>39584</v>
          </cell>
          <cell r="C81" t="str">
            <v>Past</v>
          </cell>
          <cell r="D81">
            <v>65.77</v>
          </cell>
          <cell r="E81" t="e">
            <v>#N/A</v>
          </cell>
          <cell r="F81" t="e">
            <v>#N/A</v>
          </cell>
          <cell r="G81" t="e">
            <v>#N/A</v>
          </cell>
          <cell r="H81" t="e">
            <v>#N/A</v>
          </cell>
          <cell r="I81" t="e">
            <v>#N/A</v>
          </cell>
          <cell r="J81" t="e">
            <v>#N/A</v>
          </cell>
          <cell r="K81" t="e">
            <v>#N/A</v>
          </cell>
          <cell r="L81" t="e">
            <v>#N/A</v>
          </cell>
          <cell r="M81" t="e">
            <v>#N/A</v>
          </cell>
          <cell r="N81" t="e">
            <v>#N/A</v>
          </cell>
          <cell r="O81" t="e">
            <v>#N/A</v>
          </cell>
          <cell r="P81">
            <v>65.77</v>
          </cell>
          <cell r="Q81">
            <v>0.80123499999999992</v>
          </cell>
          <cell r="R81" t="e">
            <v>#N/A</v>
          </cell>
          <cell r="AI81" t="str">
            <v>JPY Japanese Yen</v>
          </cell>
          <cell r="AJ81" t="str">
            <v>¥</v>
          </cell>
          <cell r="AK81" t="str">
            <v>JPY</v>
          </cell>
          <cell r="AL81" t="str">
            <v>JPY</v>
          </cell>
          <cell r="AM81">
            <v>0</v>
          </cell>
          <cell r="AN81">
            <v>0</v>
          </cell>
        </row>
        <row r="82">
          <cell r="A82">
            <v>39587</v>
          </cell>
          <cell r="B82">
            <v>39587</v>
          </cell>
          <cell r="C82" t="str">
            <v>Past</v>
          </cell>
          <cell r="D82">
            <v>66.3</v>
          </cell>
          <cell r="E82" t="e">
            <v>#N/A</v>
          </cell>
          <cell r="F82" t="e">
            <v>#N/A</v>
          </cell>
          <cell r="G82" t="e">
            <v>#N/A</v>
          </cell>
          <cell r="H82" t="e">
            <v>#N/A</v>
          </cell>
          <cell r="I82" t="e">
            <v>#N/A</v>
          </cell>
          <cell r="J82" t="e">
            <v>#N/A</v>
          </cell>
          <cell r="K82" t="e">
            <v>#N/A</v>
          </cell>
          <cell r="L82" t="e">
            <v>#N/A</v>
          </cell>
          <cell r="M82" t="e">
            <v>#N/A</v>
          </cell>
          <cell r="N82" t="e">
            <v>#N/A</v>
          </cell>
          <cell r="O82" t="e">
            <v>#N/A</v>
          </cell>
          <cell r="P82">
            <v>66.3</v>
          </cell>
          <cell r="Q82">
            <v>0.94335599999999997</v>
          </cell>
          <cell r="R82" t="e">
            <v>#N/A</v>
          </cell>
          <cell r="AI82" t="str">
            <v>KES Kenyan Shilling</v>
          </cell>
          <cell r="AJ82" t="str">
            <v>KES</v>
          </cell>
          <cell r="AK82" t="str">
            <v>KES</v>
          </cell>
          <cell r="AL82" t="str">
            <v>KES</v>
          </cell>
          <cell r="AM82">
            <v>0</v>
          </cell>
          <cell r="AN82">
            <v>0</v>
          </cell>
        </row>
        <row r="83">
          <cell r="A83">
            <v>39588</v>
          </cell>
          <cell r="B83">
            <v>39588</v>
          </cell>
          <cell r="C83" t="str">
            <v>Past</v>
          </cell>
          <cell r="D83">
            <v>65.33</v>
          </cell>
          <cell r="E83" t="e">
            <v>#N/A</v>
          </cell>
          <cell r="F83" t="e">
            <v>#N/A</v>
          </cell>
          <cell r="G83" t="e">
            <v>#N/A</v>
          </cell>
          <cell r="H83" t="e">
            <v>#N/A</v>
          </cell>
          <cell r="I83" t="e">
            <v>#N/A</v>
          </cell>
          <cell r="J83" t="e">
            <v>#N/A</v>
          </cell>
          <cell r="K83" t="e">
            <v>#N/A</v>
          </cell>
          <cell r="L83" t="e">
            <v>#N/A</v>
          </cell>
          <cell r="M83" t="e">
            <v>#N/A</v>
          </cell>
          <cell r="N83" t="e">
            <v>#N/A</v>
          </cell>
          <cell r="O83" t="e">
            <v>#N/A</v>
          </cell>
          <cell r="P83">
            <v>65.33</v>
          </cell>
          <cell r="Q83">
            <v>0.738506</v>
          </cell>
          <cell r="R83" t="e">
            <v>#N/A</v>
          </cell>
          <cell r="AI83" t="str">
            <v>KRW South Korean Won</v>
          </cell>
          <cell r="AJ83" t="str">
            <v>₩</v>
          </cell>
          <cell r="AK83" t="str">
            <v>KRW</v>
          </cell>
          <cell r="AL83" t="str">
            <v>KRW</v>
          </cell>
          <cell r="AM83">
            <v>0</v>
          </cell>
          <cell r="AN83">
            <v>0</v>
          </cell>
        </row>
        <row r="84">
          <cell r="A84">
            <v>39589</v>
          </cell>
          <cell r="B84">
            <v>39589</v>
          </cell>
          <cell r="C84" t="str">
            <v>Past</v>
          </cell>
          <cell r="D84">
            <v>62.96</v>
          </cell>
          <cell r="E84" t="e">
            <v>#N/A</v>
          </cell>
          <cell r="F84" t="e">
            <v>#N/A</v>
          </cell>
          <cell r="G84" t="e">
            <v>#N/A</v>
          </cell>
          <cell r="H84" t="e">
            <v>#N/A</v>
          </cell>
          <cell r="I84" t="e">
            <v>#N/A</v>
          </cell>
          <cell r="J84" t="e">
            <v>#N/A</v>
          </cell>
          <cell r="K84" t="e">
            <v>#N/A</v>
          </cell>
          <cell r="L84" t="e">
            <v>#N/A</v>
          </cell>
          <cell r="M84" t="e">
            <v>#N/A</v>
          </cell>
          <cell r="N84" t="e">
            <v>#N/A</v>
          </cell>
          <cell r="O84" t="e">
            <v>#N/A</v>
          </cell>
          <cell r="P84">
            <v>62.96</v>
          </cell>
          <cell r="Q84">
            <v>1.104722</v>
          </cell>
          <cell r="R84" t="e">
            <v>#N/A</v>
          </cell>
          <cell r="AI84" t="str">
            <v>KWD Kuwaiti Dinar</v>
          </cell>
          <cell r="AJ84" t="str">
            <v>KWD</v>
          </cell>
          <cell r="AK84" t="str">
            <v>KWD</v>
          </cell>
          <cell r="AL84" t="str">
            <v>KWD</v>
          </cell>
          <cell r="AM84">
            <v>0</v>
          </cell>
          <cell r="AN84">
            <v>2</v>
          </cell>
        </row>
        <row r="85">
          <cell r="A85">
            <v>39590</v>
          </cell>
          <cell r="B85">
            <v>39590</v>
          </cell>
          <cell r="C85" t="str">
            <v>Past</v>
          </cell>
          <cell r="D85">
            <v>61.87</v>
          </cell>
          <cell r="E85" t="e">
            <v>#N/A</v>
          </cell>
          <cell r="F85" t="e">
            <v>#N/A</v>
          </cell>
          <cell r="G85" t="e">
            <v>#N/A</v>
          </cell>
          <cell r="H85" t="e">
            <v>#N/A</v>
          </cell>
          <cell r="I85" t="e">
            <v>#N/A</v>
          </cell>
          <cell r="J85" t="e">
            <v>#N/A</v>
          </cell>
          <cell r="K85" t="e">
            <v>#N/A</v>
          </cell>
          <cell r="L85" t="e">
            <v>#N/A</v>
          </cell>
          <cell r="M85" t="e">
            <v>#N/A</v>
          </cell>
          <cell r="N85" t="e">
            <v>#N/A</v>
          </cell>
          <cell r="O85" t="e">
            <v>#N/A</v>
          </cell>
          <cell r="P85">
            <v>61.87</v>
          </cell>
          <cell r="Q85">
            <v>1.5921900000000002</v>
          </cell>
          <cell r="R85" t="e">
            <v>#N/A</v>
          </cell>
          <cell r="AI85" t="str">
            <v>KYD Cayman Dollars</v>
          </cell>
          <cell r="AJ85" t="str">
            <v>KYD</v>
          </cell>
          <cell r="AK85" t="str">
            <v>KYD</v>
          </cell>
          <cell r="AL85" t="str">
            <v>KYD</v>
          </cell>
          <cell r="AM85">
            <v>0</v>
          </cell>
          <cell r="AN85">
            <v>2</v>
          </cell>
        </row>
        <row r="86">
          <cell r="A86">
            <v>39591</v>
          </cell>
          <cell r="B86">
            <v>39591</v>
          </cell>
          <cell r="C86" t="str">
            <v>Past</v>
          </cell>
          <cell r="D86">
            <v>61.32</v>
          </cell>
          <cell r="E86" t="e">
            <v>#N/A</v>
          </cell>
          <cell r="F86" t="e">
            <v>#N/A</v>
          </cell>
          <cell r="G86" t="e">
            <v>#N/A</v>
          </cell>
          <cell r="H86" t="e">
            <v>#N/A</v>
          </cell>
          <cell r="I86" t="e">
            <v>#N/A</v>
          </cell>
          <cell r="J86" t="e">
            <v>#N/A</v>
          </cell>
          <cell r="K86" t="e">
            <v>#N/A</v>
          </cell>
          <cell r="L86" t="e">
            <v>#N/A</v>
          </cell>
          <cell r="M86" t="e">
            <v>#N/A</v>
          </cell>
          <cell r="N86" t="e">
            <v>#N/A</v>
          </cell>
          <cell r="O86" t="e">
            <v>#N/A</v>
          </cell>
          <cell r="P86">
            <v>61.32</v>
          </cell>
          <cell r="Q86">
            <v>0.83629599999999993</v>
          </cell>
          <cell r="R86" t="e">
            <v>#N/A</v>
          </cell>
          <cell r="AI86" t="str">
            <v>LKR Sri Lankan Rupee</v>
          </cell>
          <cell r="AJ86" t="str">
            <v>LKR</v>
          </cell>
          <cell r="AK86" t="str">
            <v>LKR</v>
          </cell>
          <cell r="AL86" t="str">
            <v>LKR</v>
          </cell>
          <cell r="AM86">
            <v>0</v>
          </cell>
          <cell r="AN86">
            <v>2</v>
          </cell>
        </row>
        <row r="87">
          <cell r="A87">
            <v>39595</v>
          </cell>
          <cell r="B87">
            <v>39595</v>
          </cell>
          <cell r="C87" t="str">
            <v>Past</v>
          </cell>
          <cell r="D87">
            <v>61.08</v>
          </cell>
          <cell r="E87" t="e">
            <v>#N/A</v>
          </cell>
          <cell r="F87" t="e">
            <v>#N/A</v>
          </cell>
          <cell r="G87" t="e">
            <v>#N/A</v>
          </cell>
          <cell r="H87" t="e">
            <v>#N/A</v>
          </cell>
          <cell r="I87" t="e">
            <v>#N/A</v>
          </cell>
          <cell r="J87" t="e">
            <v>#N/A</v>
          </cell>
          <cell r="K87" t="e">
            <v>#N/A</v>
          </cell>
          <cell r="L87" t="e">
            <v>#N/A</v>
          </cell>
          <cell r="M87" t="e">
            <v>#N/A</v>
          </cell>
          <cell r="N87" t="e">
            <v>#N/A</v>
          </cell>
          <cell r="O87" t="e">
            <v>#N/A</v>
          </cell>
          <cell r="P87">
            <v>61.08</v>
          </cell>
          <cell r="Q87">
            <v>1.1519279999999998</v>
          </cell>
          <cell r="R87" t="e">
            <v>#N/A</v>
          </cell>
          <cell r="AI87" t="str">
            <v>MAD Moroccan Dirham</v>
          </cell>
          <cell r="AJ87" t="str">
            <v>MAD</v>
          </cell>
          <cell r="AK87" t="str">
            <v>MAD</v>
          </cell>
          <cell r="AL87" t="str">
            <v>MAD</v>
          </cell>
          <cell r="AM87">
            <v>0</v>
          </cell>
          <cell r="AN87">
            <v>2</v>
          </cell>
        </row>
        <row r="88">
          <cell r="A88">
            <v>39596</v>
          </cell>
          <cell r="B88">
            <v>39596</v>
          </cell>
          <cell r="C88" t="str">
            <v>Past</v>
          </cell>
          <cell r="D88">
            <v>60.83</v>
          </cell>
          <cell r="E88" t="e">
            <v>#N/A</v>
          </cell>
          <cell r="F88" t="e">
            <v>#N/A</v>
          </cell>
          <cell r="G88" t="e">
            <v>#N/A</v>
          </cell>
          <cell r="H88" t="e">
            <v>#N/A</v>
          </cell>
          <cell r="I88" t="e">
            <v>#N/A</v>
          </cell>
          <cell r="J88" t="e">
            <v>#N/A</v>
          </cell>
          <cell r="K88" t="e">
            <v>#N/A</v>
          </cell>
          <cell r="L88" t="e">
            <v>#N/A</v>
          </cell>
          <cell r="M88" t="e">
            <v>#N/A</v>
          </cell>
          <cell r="N88" t="e">
            <v>#N/A</v>
          </cell>
          <cell r="O88" t="e">
            <v>#N/A</v>
          </cell>
          <cell r="P88">
            <v>60.83</v>
          </cell>
          <cell r="Q88">
            <v>0.94472599999999995</v>
          </cell>
          <cell r="R88" t="e">
            <v>#N/A</v>
          </cell>
          <cell r="AI88" t="str">
            <v>MXN Mexican Pesos (new)</v>
          </cell>
          <cell r="AJ88" t="str">
            <v>M$</v>
          </cell>
          <cell r="AK88" t="str">
            <v>MXN</v>
          </cell>
          <cell r="AL88" t="str">
            <v>MXN</v>
          </cell>
          <cell r="AM88">
            <v>0</v>
          </cell>
          <cell r="AN88">
            <v>2</v>
          </cell>
        </row>
        <row r="89">
          <cell r="A89">
            <v>39597</v>
          </cell>
          <cell r="B89">
            <v>39597</v>
          </cell>
          <cell r="C89" t="str">
            <v>Past</v>
          </cell>
          <cell r="D89">
            <v>61.13</v>
          </cell>
          <cell r="E89" t="e">
            <v>#N/A</v>
          </cell>
          <cell r="F89" t="e">
            <v>#N/A</v>
          </cell>
          <cell r="G89" t="e">
            <v>#N/A</v>
          </cell>
          <cell r="H89" t="e">
            <v>#N/A</v>
          </cell>
          <cell r="I89" t="e">
            <v>#N/A</v>
          </cell>
          <cell r="J89" t="e">
            <v>#N/A</v>
          </cell>
          <cell r="K89" t="e">
            <v>#N/A</v>
          </cell>
          <cell r="L89" t="e">
            <v>#N/A</v>
          </cell>
          <cell r="M89" t="e">
            <v>#N/A</v>
          </cell>
          <cell r="N89" t="e">
            <v>#N/A</v>
          </cell>
          <cell r="O89" t="e">
            <v>#N/A</v>
          </cell>
          <cell r="P89">
            <v>61.13</v>
          </cell>
          <cell r="Q89">
            <v>0.61835699999999993</v>
          </cell>
          <cell r="R89" t="e">
            <v>#N/A</v>
          </cell>
          <cell r="AI89" t="str">
            <v>MYR Malaysian Ringgit</v>
          </cell>
          <cell r="AJ89" t="str">
            <v>RM</v>
          </cell>
          <cell r="AK89" t="str">
            <v>MYR</v>
          </cell>
          <cell r="AL89" t="str">
            <v>MYR</v>
          </cell>
          <cell r="AM89">
            <v>0</v>
          </cell>
          <cell r="AN89">
            <v>2</v>
          </cell>
        </row>
        <row r="90">
          <cell r="A90">
            <v>39598</v>
          </cell>
          <cell r="B90">
            <v>39598</v>
          </cell>
          <cell r="C90" t="str">
            <v>Past</v>
          </cell>
          <cell r="D90">
            <v>61.37</v>
          </cell>
          <cell r="E90" t="e">
            <v>#N/A</v>
          </cell>
          <cell r="F90" t="e">
            <v>#N/A</v>
          </cell>
          <cell r="G90" t="e">
            <v>#N/A</v>
          </cell>
          <cell r="H90" t="e">
            <v>#N/A</v>
          </cell>
          <cell r="I90" t="e">
            <v>#N/A</v>
          </cell>
          <cell r="J90" t="e">
            <v>#N/A</v>
          </cell>
          <cell r="K90" t="e">
            <v>#N/A</v>
          </cell>
          <cell r="L90" t="e">
            <v>#N/A</v>
          </cell>
          <cell r="M90" t="e">
            <v>#N/A</v>
          </cell>
          <cell r="N90" t="e">
            <v>#N/A</v>
          </cell>
          <cell r="O90" t="e">
            <v>#N/A</v>
          </cell>
          <cell r="P90">
            <v>61.37</v>
          </cell>
          <cell r="Q90">
            <v>1.0274700000000001</v>
          </cell>
          <cell r="R90" t="e">
            <v>#N/A</v>
          </cell>
          <cell r="AI90" t="str">
            <v>NOK Norwegian Krone</v>
          </cell>
          <cell r="AJ90" t="str">
            <v>NKr</v>
          </cell>
          <cell r="AK90" t="str">
            <v>NOK</v>
          </cell>
          <cell r="AL90" t="str">
            <v>NOK</v>
          </cell>
          <cell r="AM90">
            <v>0</v>
          </cell>
          <cell r="AN90">
            <v>2</v>
          </cell>
        </row>
        <row r="91">
          <cell r="A91">
            <v>39601</v>
          </cell>
          <cell r="B91">
            <v>39601</v>
          </cell>
          <cell r="C91" t="str">
            <v>Past</v>
          </cell>
          <cell r="D91">
            <v>60.48</v>
          </cell>
          <cell r="E91" t="e">
            <v>#N/A</v>
          </cell>
          <cell r="F91" t="e">
            <v>#N/A</v>
          </cell>
          <cell r="G91" t="e">
            <v>#N/A</v>
          </cell>
          <cell r="H91" t="e">
            <v>#N/A</v>
          </cell>
          <cell r="I91" t="e">
            <v>#N/A</v>
          </cell>
          <cell r="J91" t="e">
            <v>#N/A</v>
          </cell>
          <cell r="K91" t="e">
            <v>#N/A</v>
          </cell>
          <cell r="L91" t="e">
            <v>#N/A</v>
          </cell>
          <cell r="M91" t="e">
            <v>#N/A</v>
          </cell>
          <cell r="N91" t="e">
            <v>#N/A</v>
          </cell>
          <cell r="O91" t="e">
            <v>#N/A</v>
          </cell>
          <cell r="P91">
            <v>60.48</v>
          </cell>
          <cell r="Q91">
            <v>0.90958799999999995</v>
          </cell>
          <cell r="R91" t="e">
            <v>#N/A</v>
          </cell>
          <cell r="AI91" t="str">
            <v>NZD New Zealand Dollars</v>
          </cell>
          <cell r="AJ91" t="str">
            <v>NZ$</v>
          </cell>
          <cell r="AK91" t="str">
            <v>NZD</v>
          </cell>
          <cell r="AL91" t="str">
            <v>NZD</v>
          </cell>
          <cell r="AM91">
            <v>0</v>
          </cell>
          <cell r="AN91">
            <v>2</v>
          </cell>
        </row>
        <row r="92">
          <cell r="A92">
            <v>39602</v>
          </cell>
          <cell r="B92">
            <v>39602</v>
          </cell>
          <cell r="C92" t="str">
            <v>Past</v>
          </cell>
          <cell r="D92">
            <v>59.53</v>
          </cell>
          <cell r="E92" t="e">
            <v>#N/A</v>
          </cell>
          <cell r="F92" t="e">
            <v>#N/A</v>
          </cell>
          <cell r="G92" t="e">
            <v>#N/A</v>
          </cell>
          <cell r="H92" t="e">
            <v>#N/A</v>
          </cell>
          <cell r="I92" t="e">
            <v>#N/A</v>
          </cell>
          <cell r="J92" t="e">
            <v>#N/A</v>
          </cell>
          <cell r="K92" t="e">
            <v>#N/A</v>
          </cell>
          <cell r="L92" t="e">
            <v>#N/A</v>
          </cell>
          <cell r="M92" t="e">
            <v>#N/A</v>
          </cell>
          <cell r="N92" t="e">
            <v>#N/A</v>
          </cell>
          <cell r="O92" t="e">
            <v>#N/A</v>
          </cell>
          <cell r="P92">
            <v>59.53</v>
          </cell>
          <cell r="Q92">
            <v>2.1573549999999999</v>
          </cell>
          <cell r="R92" t="e">
            <v>#N/A</v>
          </cell>
          <cell r="AI92" t="str">
            <v>OMR Rial Omani</v>
          </cell>
          <cell r="AJ92" t="str">
            <v>OMR</v>
          </cell>
          <cell r="AK92" t="str">
            <v>OMR</v>
          </cell>
          <cell r="AL92" t="str">
            <v>OMR</v>
          </cell>
          <cell r="AM92">
            <v>0</v>
          </cell>
          <cell r="AN92">
            <v>2</v>
          </cell>
        </row>
        <row r="93">
          <cell r="A93">
            <v>39603</v>
          </cell>
          <cell r="B93">
            <v>39603</v>
          </cell>
          <cell r="C93" t="str">
            <v>Past</v>
          </cell>
          <cell r="D93">
            <v>58.46</v>
          </cell>
          <cell r="E93" t="e">
            <v>#N/A</v>
          </cell>
          <cell r="F93" t="e">
            <v>#N/A</v>
          </cell>
          <cell r="G93" t="e">
            <v>#N/A</v>
          </cell>
          <cell r="H93" t="e">
            <v>#N/A</v>
          </cell>
          <cell r="I93" t="e">
            <v>#N/A</v>
          </cell>
          <cell r="J93" t="e">
            <v>#N/A</v>
          </cell>
          <cell r="K93" t="e">
            <v>#N/A</v>
          </cell>
          <cell r="L93" t="e">
            <v>#N/A</v>
          </cell>
          <cell r="M93" t="e">
            <v>#N/A</v>
          </cell>
          <cell r="N93" t="e">
            <v>#N/A</v>
          </cell>
          <cell r="O93" t="e">
            <v>#N/A</v>
          </cell>
          <cell r="P93">
            <v>58.46</v>
          </cell>
          <cell r="Q93">
            <v>2.5510300000000004</v>
          </cell>
          <cell r="R93" t="e">
            <v>#N/A</v>
          </cell>
          <cell r="AI93" t="str">
            <v>PAB Panamanian Balboa</v>
          </cell>
          <cell r="AJ93" t="str">
            <v>PAB</v>
          </cell>
          <cell r="AK93" t="str">
            <v>PAB</v>
          </cell>
          <cell r="AL93" t="str">
            <v>PAB</v>
          </cell>
          <cell r="AM93">
            <v>0</v>
          </cell>
          <cell r="AN93">
            <v>2</v>
          </cell>
        </row>
        <row r="94">
          <cell r="A94">
            <v>39604</v>
          </cell>
          <cell r="B94">
            <v>39604</v>
          </cell>
          <cell r="C94" t="str">
            <v>Past</v>
          </cell>
          <cell r="D94">
            <v>58.6</v>
          </cell>
          <cell r="E94" t="e">
            <v>#N/A</v>
          </cell>
          <cell r="F94" t="e">
            <v>#N/A</v>
          </cell>
          <cell r="G94" t="e">
            <v>#N/A</v>
          </cell>
          <cell r="H94" t="e">
            <v>#N/A</v>
          </cell>
          <cell r="I94" t="e">
            <v>#N/A</v>
          </cell>
          <cell r="J94" t="e">
            <v>#N/A</v>
          </cell>
          <cell r="K94" t="e">
            <v>#N/A</v>
          </cell>
          <cell r="L94" t="e">
            <v>#N/A</v>
          </cell>
          <cell r="M94" t="e">
            <v>#N/A</v>
          </cell>
          <cell r="N94" t="e">
            <v>#N/A</v>
          </cell>
          <cell r="O94" t="e">
            <v>#N/A</v>
          </cell>
          <cell r="P94">
            <v>58.6</v>
          </cell>
          <cell r="Q94">
            <v>1.563715</v>
          </cell>
          <cell r="R94" t="e">
            <v>#N/A</v>
          </cell>
          <cell r="AI94" t="str">
            <v>PEN Peruvian PEN</v>
          </cell>
          <cell r="AJ94" t="str">
            <v>PEN</v>
          </cell>
          <cell r="AK94" t="str">
            <v>PEN</v>
          </cell>
          <cell r="AL94" t="str">
            <v>PEN</v>
          </cell>
          <cell r="AM94">
            <v>0</v>
          </cell>
          <cell r="AN94">
            <v>2</v>
          </cell>
        </row>
        <row r="95">
          <cell r="A95">
            <v>39605</v>
          </cell>
          <cell r="B95">
            <v>39605</v>
          </cell>
          <cell r="C95" t="str">
            <v>Past</v>
          </cell>
          <cell r="D95">
            <v>55.66</v>
          </cell>
          <cell r="E95" t="e">
            <v>#N/A</v>
          </cell>
          <cell r="F95" t="e">
            <v>#N/A</v>
          </cell>
          <cell r="G95" t="e">
            <v>#N/A</v>
          </cell>
          <cell r="H95" t="e">
            <v>#N/A</v>
          </cell>
          <cell r="I95" t="e">
            <v>#N/A</v>
          </cell>
          <cell r="J95" t="e">
            <v>#N/A</v>
          </cell>
          <cell r="K95" t="e">
            <v>#N/A</v>
          </cell>
          <cell r="L95" t="e">
            <v>#N/A</v>
          </cell>
          <cell r="M95" t="e">
            <v>#N/A</v>
          </cell>
          <cell r="N95" t="e">
            <v>#N/A</v>
          </cell>
          <cell r="O95" t="e">
            <v>#N/A</v>
          </cell>
          <cell r="P95">
            <v>55.66</v>
          </cell>
          <cell r="Q95">
            <v>2.6248209999999998</v>
          </cell>
          <cell r="R95" t="e">
            <v>#N/A</v>
          </cell>
          <cell r="AI95" t="str">
            <v>PHP Philippino Peso</v>
          </cell>
          <cell r="AJ95" t="str">
            <v>PP</v>
          </cell>
          <cell r="AK95" t="str">
            <v>PHP</v>
          </cell>
          <cell r="AL95" t="str">
            <v>PHP</v>
          </cell>
          <cell r="AM95">
            <v>0</v>
          </cell>
          <cell r="AN95">
            <v>2</v>
          </cell>
        </row>
        <row r="96">
          <cell r="A96">
            <v>39608</v>
          </cell>
          <cell r="B96">
            <v>39608</v>
          </cell>
          <cell r="C96" t="str">
            <v>Past</v>
          </cell>
          <cell r="D96">
            <v>54.4</v>
          </cell>
          <cell r="E96" t="e">
            <v>#N/A</v>
          </cell>
          <cell r="F96" t="e">
            <v>#N/A</v>
          </cell>
          <cell r="G96" t="e">
            <v>#N/A</v>
          </cell>
          <cell r="H96" t="e">
            <v>#N/A</v>
          </cell>
          <cell r="I96" t="e">
            <v>#N/A</v>
          </cell>
          <cell r="J96" t="e">
            <v>#N/A</v>
          </cell>
          <cell r="K96" t="e">
            <v>#N/A</v>
          </cell>
          <cell r="L96" t="e">
            <v>#N/A</v>
          </cell>
          <cell r="M96" t="e">
            <v>#N/A</v>
          </cell>
          <cell r="N96" t="e">
            <v>#N/A</v>
          </cell>
          <cell r="O96" t="e">
            <v>#N/A</v>
          </cell>
          <cell r="P96">
            <v>54.4</v>
          </cell>
          <cell r="Q96">
            <v>3.6331560000000001</v>
          </cell>
          <cell r="R96" t="e">
            <v>#N/A</v>
          </cell>
          <cell r="AI96" t="str">
            <v>PKR Pakistani Rupee</v>
          </cell>
          <cell r="AJ96" t="str">
            <v>Rs.</v>
          </cell>
          <cell r="AK96" t="str">
            <v>PKR</v>
          </cell>
          <cell r="AL96" t="str">
            <v>PKR</v>
          </cell>
          <cell r="AM96">
            <v>0</v>
          </cell>
          <cell r="AN96">
            <v>2</v>
          </cell>
        </row>
        <row r="97">
          <cell r="A97">
            <v>39609</v>
          </cell>
          <cell r="B97">
            <v>39609</v>
          </cell>
          <cell r="C97" t="str">
            <v>Past</v>
          </cell>
          <cell r="D97">
            <v>54.17</v>
          </cell>
          <cell r="E97" t="e">
            <v>#N/A</v>
          </cell>
          <cell r="F97" t="e">
            <v>#N/A</v>
          </cell>
          <cell r="G97" t="e">
            <v>#N/A</v>
          </cell>
          <cell r="H97" t="e">
            <v>#N/A</v>
          </cell>
          <cell r="I97" t="e">
            <v>#N/A</v>
          </cell>
          <cell r="J97" t="e">
            <v>#N/A</v>
          </cell>
          <cell r="K97" t="e">
            <v>#N/A</v>
          </cell>
          <cell r="L97" t="e">
            <v>#N/A</v>
          </cell>
          <cell r="M97" t="e">
            <v>#N/A</v>
          </cell>
          <cell r="N97" t="e">
            <v>#N/A</v>
          </cell>
          <cell r="O97" t="e">
            <v>#N/A</v>
          </cell>
          <cell r="P97">
            <v>54.17</v>
          </cell>
          <cell r="Q97">
            <v>2.279776</v>
          </cell>
          <cell r="R97" t="e">
            <v>#N/A</v>
          </cell>
          <cell r="AI97" t="str">
            <v>PLN Polish Zloty</v>
          </cell>
          <cell r="AJ97" t="str">
            <v>zł</v>
          </cell>
          <cell r="AK97" t="str">
            <v>PLN</v>
          </cell>
          <cell r="AL97" t="str">
            <v>PLN</v>
          </cell>
          <cell r="AM97">
            <v>0</v>
          </cell>
          <cell r="AN97">
            <v>2</v>
          </cell>
        </row>
        <row r="98">
          <cell r="A98">
            <v>39610</v>
          </cell>
          <cell r="B98">
            <v>39610</v>
          </cell>
          <cell r="C98" t="str">
            <v>Past</v>
          </cell>
          <cell r="D98">
            <v>53.74</v>
          </cell>
          <cell r="E98" t="e">
            <v>#N/A</v>
          </cell>
          <cell r="F98" t="e">
            <v>#N/A</v>
          </cell>
          <cell r="G98" t="e">
            <v>#N/A</v>
          </cell>
          <cell r="H98" t="e">
            <v>#N/A</v>
          </cell>
          <cell r="I98" t="e">
            <v>#N/A</v>
          </cell>
          <cell r="J98" t="e">
            <v>#N/A</v>
          </cell>
          <cell r="K98" t="e">
            <v>#N/A</v>
          </cell>
          <cell r="L98" t="e">
            <v>#N/A</v>
          </cell>
          <cell r="M98" t="e">
            <v>#N/A</v>
          </cell>
          <cell r="N98" t="e">
            <v>#N/A</v>
          </cell>
          <cell r="O98" t="e">
            <v>#N/A</v>
          </cell>
          <cell r="P98">
            <v>53.74</v>
          </cell>
          <cell r="Q98">
            <v>2.453938</v>
          </cell>
          <cell r="R98" t="e">
            <v>#N/A</v>
          </cell>
          <cell r="AI98" t="str">
            <v>QAR Qatari Riyal</v>
          </cell>
          <cell r="AJ98" t="str">
            <v>QAR</v>
          </cell>
          <cell r="AK98" t="str">
            <v>QAR</v>
          </cell>
          <cell r="AL98" t="str">
            <v>QAR</v>
          </cell>
          <cell r="AM98">
            <v>0</v>
          </cell>
          <cell r="AN98">
            <v>2</v>
          </cell>
        </row>
        <row r="99">
          <cell r="A99">
            <v>39611</v>
          </cell>
          <cell r="B99">
            <v>39611</v>
          </cell>
          <cell r="C99" t="str">
            <v>Past</v>
          </cell>
          <cell r="D99">
            <v>53.82</v>
          </cell>
          <cell r="E99" t="e">
            <v>#N/A</v>
          </cell>
          <cell r="F99" t="e">
            <v>#N/A</v>
          </cell>
          <cell r="G99" t="e">
            <v>#N/A</v>
          </cell>
          <cell r="H99" t="e">
            <v>#N/A</v>
          </cell>
          <cell r="I99" t="e">
            <v>#N/A</v>
          </cell>
          <cell r="J99" t="e">
            <v>#N/A</v>
          </cell>
          <cell r="K99" t="e">
            <v>#N/A</v>
          </cell>
          <cell r="L99" t="e">
            <v>#N/A</v>
          </cell>
          <cell r="M99" t="e">
            <v>#N/A</v>
          </cell>
          <cell r="N99" t="e">
            <v>#N/A</v>
          </cell>
          <cell r="O99" t="e">
            <v>#N/A</v>
          </cell>
          <cell r="P99">
            <v>53.82</v>
          </cell>
          <cell r="Q99">
            <v>2.8789039999999999</v>
          </cell>
          <cell r="R99" t="e">
            <v>#N/A</v>
          </cell>
          <cell r="AI99" t="str">
            <v>RUB Russian Rouble</v>
          </cell>
          <cell r="AJ99" t="str">
            <v>RUB</v>
          </cell>
          <cell r="AK99" t="str">
            <v>RUB</v>
          </cell>
          <cell r="AL99" t="str">
            <v>RUB</v>
          </cell>
          <cell r="AM99">
            <v>0</v>
          </cell>
          <cell r="AN99">
            <v>2</v>
          </cell>
        </row>
        <row r="100">
          <cell r="A100">
            <v>39612</v>
          </cell>
          <cell r="B100">
            <v>39612</v>
          </cell>
          <cell r="C100" t="str">
            <v>Past</v>
          </cell>
          <cell r="D100">
            <v>54.2</v>
          </cell>
          <cell r="E100" t="e">
            <v>#N/A</v>
          </cell>
          <cell r="F100" t="e">
            <v>#N/A</v>
          </cell>
          <cell r="G100" t="e">
            <v>#N/A</v>
          </cell>
          <cell r="H100" t="e">
            <v>#N/A</v>
          </cell>
          <cell r="I100" t="e">
            <v>#N/A</v>
          </cell>
          <cell r="J100" t="e">
            <v>#N/A</v>
          </cell>
          <cell r="K100" t="e">
            <v>#N/A</v>
          </cell>
          <cell r="L100" t="e">
            <v>#N/A</v>
          </cell>
          <cell r="M100" t="e">
            <v>#N/A</v>
          </cell>
          <cell r="N100" t="e">
            <v>#N/A</v>
          </cell>
          <cell r="O100" t="e">
            <v>#N/A</v>
          </cell>
          <cell r="P100">
            <v>54.2</v>
          </cell>
          <cell r="Q100">
            <v>2.1869549999999998</v>
          </cell>
          <cell r="R100" t="e">
            <v>#N/A</v>
          </cell>
          <cell r="AI100" t="str">
            <v>SAR Saudi Riyal</v>
          </cell>
          <cell r="AJ100" t="str">
            <v>SAR</v>
          </cell>
          <cell r="AK100" t="str">
            <v>SAR</v>
          </cell>
          <cell r="AL100" t="str">
            <v>SAR</v>
          </cell>
          <cell r="AM100">
            <v>0</v>
          </cell>
          <cell r="AN100">
            <v>2</v>
          </cell>
        </row>
        <row r="101">
          <cell r="A101">
            <v>39615</v>
          </cell>
          <cell r="B101">
            <v>39615</v>
          </cell>
          <cell r="C101" t="str">
            <v>Past</v>
          </cell>
          <cell r="D101">
            <v>53.98</v>
          </cell>
          <cell r="E101" t="e">
            <v>#N/A</v>
          </cell>
          <cell r="F101" t="e">
            <v>#N/A</v>
          </cell>
          <cell r="G101" t="e">
            <v>#N/A</v>
          </cell>
          <cell r="H101" t="e">
            <v>#N/A</v>
          </cell>
          <cell r="I101" t="e">
            <v>#N/A</v>
          </cell>
          <cell r="J101" t="e">
            <v>#N/A</v>
          </cell>
          <cell r="K101" t="e">
            <v>#N/A</v>
          </cell>
          <cell r="L101" t="e">
            <v>#N/A</v>
          </cell>
          <cell r="M101" t="e">
            <v>#N/A</v>
          </cell>
          <cell r="N101" t="e">
            <v>#N/A</v>
          </cell>
          <cell r="O101" t="e">
            <v>#N/A</v>
          </cell>
          <cell r="P101">
            <v>53.98</v>
          </cell>
          <cell r="Q101">
            <v>1.654158</v>
          </cell>
          <cell r="R101" t="e">
            <v>#N/A</v>
          </cell>
          <cell r="AI101" t="str">
            <v>SEK Swedish Krona</v>
          </cell>
          <cell r="AJ101" t="str">
            <v>SKr</v>
          </cell>
          <cell r="AK101" t="str">
            <v>SEK</v>
          </cell>
          <cell r="AL101" t="str">
            <v>SEK</v>
          </cell>
          <cell r="AM101">
            <v>0</v>
          </cell>
          <cell r="AN101">
            <v>2</v>
          </cell>
        </row>
        <row r="102">
          <cell r="A102">
            <v>39616</v>
          </cell>
          <cell r="B102">
            <v>39616</v>
          </cell>
          <cell r="C102" t="str">
            <v>Past</v>
          </cell>
          <cell r="D102">
            <v>52.02</v>
          </cell>
          <cell r="E102" t="e">
            <v>#N/A</v>
          </cell>
          <cell r="F102" t="e">
            <v>#N/A</v>
          </cell>
          <cell r="G102" t="e">
            <v>#N/A</v>
          </cell>
          <cell r="H102" t="e">
            <v>#N/A</v>
          </cell>
          <cell r="I102" t="e">
            <v>#N/A</v>
          </cell>
          <cell r="J102" t="e">
            <v>#N/A</v>
          </cell>
          <cell r="K102" t="e">
            <v>#N/A</v>
          </cell>
          <cell r="L102" t="e">
            <v>#N/A</v>
          </cell>
          <cell r="M102" t="e">
            <v>#N/A</v>
          </cell>
          <cell r="N102" t="e">
            <v>#N/A</v>
          </cell>
          <cell r="O102" t="e">
            <v>#N/A</v>
          </cell>
          <cell r="P102">
            <v>52.02</v>
          </cell>
          <cell r="Q102">
            <v>2.6409549999999999</v>
          </cell>
          <cell r="R102" t="e">
            <v>#N/A</v>
          </cell>
          <cell r="AI102" t="str">
            <v>SGD Singapore Dollar</v>
          </cell>
          <cell r="AJ102" t="str">
            <v>S$</v>
          </cell>
          <cell r="AK102" t="str">
            <v>SGD</v>
          </cell>
          <cell r="AL102" t="str">
            <v>SGD</v>
          </cell>
          <cell r="AM102">
            <v>0</v>
          </cell>
          <cell r="AN102">
            <v>2</v>
          </cell>
        </row>
        <row r="103">
          <cell r="A103">
            <v>39617</v>
          </cell>
          <cell r="B103">
            <v>39617</v>
          </cell>
          <cell r="C103" t="str">
            <v>Past</v>
          </cell>
          <cell r="D103">
            <v>51.65</v>
          </cell>
          <cell r="E103" t="e">
            <v>#N/A</v>
          </cell>
          <cell r="F103" t="e">
            <v>#N/A</v>
          </cell>
          <cell r="G103" t="e">
            <v>#N/A</v>
          </cell>
          <cell r="H103" t="e">
            <v>#N/A</v>
          </cell>
          <cell r="I103" t="e">
            <v>#N/A</v>
          </cell>
          <cell r="J103" t="e">
            <v>#N/A</v>
          </cell>
          <cell r="K103" t="e">
            <v>#N/A</v>
          </cell>
          <cell r="L103" t="e">
            <v>#N/A</v>
          </cell>
          <cell r="M103" t="e">
            <v>#N/A</v>
          </cell>
          <cell r="N103" t="e">
            <v>#N/A</v>
          </cell>
          <cell r="O103" t="e">
            <v>#N/A</v>
          </cell>
          <cell r="P103">
            <v>51.65</v>
          </cell>
          <cell r="Q103">
            <v>2.086948</v>
          </cell>
          <cell r="R103" t="e">
            <v>#N/A</v>
          </cell>
          <cell r="AI103" t="str">
            <v>THB Thailand Baht</v>
          </cell>
          <cell r="AJ103" t="str">
            <v>Bt</v>
          </cell>
          <cell r="AK103" t="str">
            <v>THB</v>
          </cell>
          <cell r="AL103" t="str">
            <v>THB</v>
          </cell>
          <cell r="AM103">
            <v>0</v>
          </cell>
          <cell r="AN103">
            <v>2</v>
          </cell>
        </row>
        <row r="104">
          <cell r="A104">
            <v>39618</v>
          </cell>
          <cell r="B104">
            <v>39618</v>
          </cell>
          <cell r="C104" t="str">
            <v>Past</v>
          </cell>
          <cell r="D104">
            <v>51.6</v>
          </cell>
          <cell r="E104" t="e">
            <v>#N/A</v>
          </cell>
          <cell r="F104" t="e">
            <v>#N/A</v>
          </cell>
          <cell r="G104" t="e">
            <v>#N/A</v>
          </cell>
          <cell r="H104" t="e">
            <v>#N/A</v>
          </cell>
          <cell r="I104" t="e">
            <v>#N/A</v>
          </cell>
          <cell r="J104" t="e">
            <v>#N/A</v>
          </cell>
          <cell r="K104" t="e">
            <v>#N/A</v>
          </cell>
          <cell r="L104" t="e">
            <v>#N/A</v>
          </cell>
          <cell r="M104" t="e">
            <v>#N/A</v>
          </cell>
          <cell r="N104" t="e">
            <v>#N/A</v>
          </cell>
          <cell r="O104" t="e">
            <v>#N/A</v>
          </cell>
          <cell r="P104">
            <v>51.6</v>
          </cell>
          <cell r="Q104">
            <v>2.0014189999999998</v>
          </cell>
          <cell r="R104" t="e">
            <v>#N/A</v>
          </cell>
          <cell r="AI104" t="str">
            <v>TND Tunisian Dinar</v>
          </cell>
          <cell r="AJ104" t="str">
            <v>TND</v>
          </cell>
          <cell r="AK104" t="str">
            <v>TND</v>
          </cell>
          <cell r="AL104" t="str">
            <v>TND</v>
          </cell>
          <cell r="AM104">
            <v>0</v>
          </cell>
          <cell r="AN104">
            <v>2</v>
          </cell>
        </row>
        <row r="105">
          <cell r="A105">
            <v>39619</v>
          </cell>
          <cell r="B105">
            <v>39619</v>
          </cell>
          <cell r="C105" t="str">
            <v>Past</v>
          </cell>
          <cell r="D105">
            <v>50.3</v>
          </cell>
          <cell r="E105" t="e">
            <v>#N/A</v>
          </cell>
          <cell r="F105" t="e">
            <v>#N/A</v>
          </cell>
          <cell r="G105" t="e">
            <v>#N/A</v>
          </cell>
          <cell r="H105" t="e">
            <v>#N/A</v>
          </cell>
          <cell r="I105" t="e">
            <v>#N/A</v>
          </cell>
          <cell r="J105" t="e">
            <v>#N/A</v>
          </cell>
          <cell r="K105" t="e">
            <v>#N/A</v>
          </cell>
          <cell r="L105" t="e">
            <v>#N/A</v>
          </cell>
          <cell r="M105" t="e">
            <v>#N/A</v>
          </cell>
          <cell r="N105" t="e">
            <v>#N/A</v>
          </cell>
          <cell r="O105" t="e">
            <v>#N/A</v>
          </cell>
          <cell r="P105">
            <v>50.3</v>
          </cell>
          <cell r="Q105">
            <v>3.240291</v>
          </cell>
          <cell r="R105" t="e">
            <v>#N/A</v>
          </cell>
          <cell r="AI105" t="str">
            <v>TRY Turkish Lira</v>
          </cell>
          <cell r="AJ105" t="str">
            <v>TL</v>
          </cell>
          <cell r="AK105" t="str">
            <v>TRY</v>
          </cell>
          <cell r="AL105" t="str">
            <v>TRY</v>
          </cell>
          <cell r="AM105">
            <v>0</v>
          </cell>
          <cell r="AN105">
            <v>2</v>
          </cell>
        </row>
        <row r="106">
          <cell r="A106">
            <v>39622</v>
          </cell>
          <cell r="B106">
            <v>39622</v>
          </cell>
          <cell r="C106" t="str">
            <v>Past</v>
          </cell>
          <cell r="D106">
            <v>49.99</v>
          </cell>
          <cell r="E106" t="e">
            <v>#N/A</v>
          </cell>
          <cell r="F106" t="e">
            <v>#N/A</v>
          </cell>
          <cell r="G106" t="e">
            <v>#N/A</v>
          </cell>
          <cell r="H106" t="e">
            <v>#N/A</v>
          </cell>
          <cell r="I106" t="e">
            <v>#N/A</v>
          </cell>
          <cell r="J106" t="e">
            <v>#N/A</v>
          </cell>
          <cell r="K106" t="e">
            <v>#N/A</v>
          </cell>
          <cell r="L106" t="e">
            <v>#N/A</v>
          </cell>
          <cell r="M106" t="e">
            <v>#N/A</v>
          </cell>
          <cell r="N106" t="e">
            <v>#N/A</v>
          </cell>
          <cell r="O106" t="e">
            <v>#N/A</v>
          </cell>
          <cell r="P106">
            <v>49.99</v>
          </cell>
          <cell r="Q106">
            <v>1.574284</v>
          </cell>
          <cell r="R106" t="e">
            <v>#N/A</v>
          </cell>
          <cell r="AI106" t="str">
            <v>TWD New Taiwan Dollar</v>
          </cell>
          <cell r="AJ106" t="str">
            <v>NT$</v>
          </cell>
          <cell r="AK106" t="str">
            <v>TWD</v>
          </cell>
          <cell r="AL106" t="str">
            <v>TWD</v>
          </cell>
          <cell r="AM106">
            <v>0</v>
          </cell>
          <cell r="AN106">
            <v>2</v>
          </cell>
        </row>
        <row r="107">
          <cell r="A107">
            <v>39623</v>
          </cell>
          <cell r="B107">
            <v>39623</v>
          </cell>
          <cell r="C107" t="str">
            <v>Past</v>
          </cell>
          <cell r="D107">
            <v>49.36</v>
          </cell>
          <cell r="E107" t="e">
            <v>#N/A</v>
          </cell>
          <cell r="F107" t="e">
            <v>#N/A</v>
          </cell>
          <cell r="G107" t="e">
            <v>#N/A</v>
          </cell>
          <cell r="H107" t="e">
            <v>#N/A</v>
          </cell>
          <cell r="I107" t="e">
            <v>#N/A</v>
          </cell>
          <cell r="J107" t="e">
            <v>#N/A</v>
          </cell>
          <cell r="K107" t="e">
            <v>#N/A</v>
          </cell>
          <cell r="L107" t="e">
            <v>#N/A</v>
          </cell>
          <cell r="M107" t="e">
            <v>#N/A</v>
          </cell>
          <cell r="N107" t="e">
            <v>#N/A</v>
          </cell>
          <cell r="O107" t="e">
            <v>#N/A</v>
          </cell>
          <cell r="P107">
            <v>49.36</v>
          </cell>
          <cell r="Q107">
            <v>2.4846179999999998</v>
          </cell>
          <cell r="R107" t="e">
            <v>#N/A</v>
          </cell>
          <cell r="AI107" t="str">
            <v>UAH Ukrainian Hryvnia</v>
          </cell>
          <cell r="AJ107" t="str">
            <v>UAH</v>
          </cell>
          <cell r="AK107" t="str">
            <v>UAH</v>
          </cell>
          <cell r="AL107" t="str">
            <v>UAH</v>
          </cell>
          <cell r="AM107">
            <v>0</v>
          </cell>
          <cell r="AN107">
            <v>2</v>
          </cell>
        </row>
        <row r="108">
          <cell r="A108">
            <v>39624</v>
          </cell>
          <cell r="B108">
            <v>39624</v>
          </cell>
          <cell r="C108" t="str">
            <v>Past</v>
          </cell>
          <cell r="D108">
            <v>48.02</v>
          </cell>
          <cell r="E108" t="e">
            <v>#N/A</v>
          </cell>
          <cell r="F108" t="e">
            <v>#N/A</v>
          </cell>
          <cell r="G108" t="e">
            <v>#N/A</v>
          </cell>
          <cell r="H108" t="e">
            <v>#N/A</v>
          </cell>
          <cell r="I108" t="e">
            <v>#N/A</v>
          </cell>
          <cell r="J108" t="e">
            <v>#N/A</v>
          </cell>
          <cell r="K108" t="e">
            <v>#N/A</v>
          </cell>
          <cell r="L108" t="e">
            <v>#N/A</v>
          </cell>
          <cell r="M108" t="e">
            <v>#N/A</v>
          </cell>
          <cell r="N108" t="e">
            <v>#N/A</v>
          </cell>
          <cell r="O108" t="e">
            <v>#N/A</v>
          </cell>
          <cell r="P108">
            <v>48.02</v>
          </cell>
          <cell r="Q108">
            <v>4.6275040000000001</v>
          </cell>
          <cell r="R108" t="e">
            <v>#N/A</v>
          </cell>
          <cell r="AI108" t="str">
            <v>USD American Dollar</v>
          </cell>
          <cell r="AJ108" t="str">
            <v>$</v>
          </cell>
          <cell r="AK108" t="str">
            <v>USD</v>
          </cell>
          <cell r="AL108" t="str">
            <v>USD</v>
          </cell>
          <cell r="AM108">
            <v>0</v>
          </cell>
          <cell r="AN108">
            <v>2</v>
          </cell>
        </row>
        <row r="109">
          <cell r="A109">
            <v>39625</v>
          </cell>
          <cell r="B109">
            <v>39625</v>
          </cell>
          <cell r="C109" t="str">
            <v>Past</v>
          </cell>
          <cell r="D109">
            <v>47.84</v>
          </cell>
          <cell r="E109" t="e">
            <v>#N/A</v>
          </cell>
          <cell r="F109" t="e">
            <v>#N/A</v>
          </cell>
          <cell r="G109" t="e">
            <v>#N/A</v>
          </cell>
          <cell r="H109" t="e">
            <v>#N/A</v>
          </cell>
          <cell r="I109" t="e">
            <v>#N/A</v>
          </cell>
          <cell r="J109" t="e">
            <v>#N/A</v>
          </cell>
          <cell r="K109" t="e">
            <v>#N/A</v>
          </cell>
          <cell r="L109" t="e">
            <v>#N/A</v>
          </cell>
          <cell r="M109" t="e">
            <v>#N/A</v>
          </cell>
          <cell r="N109" t="e">
            <v>#N/A</v>
          </cell>
          <cell r="O109" t="e">
            <v>#N/A</v>
          </cell>
          <cell r="P109">
            <v>47.84</v>
          </cell>
          <cell r="Q109">
            <v>2.9123200000000002</v>
          </cell>
          <cell r="R109" t="e">
            <v>#N/A</v>
          </cell>
          <cell r="AI109" t="str">
            <v>VEB Venezuelan Bolivar</v>
          </cell>
          <cell r="AJ109" t="str">
            <v>VEB</v>
          </cell>
          <cell r="AK109" t="str">
            <v>VEB</v>
          </cell>
          <cell r="AL109" t="str">
            <v>VEB</v>
          </cell>
          <cell r="AM109">
            <v>0</v>
          </cell>
          <cell r="AN109">
            <v>2</v>
          </cell>
        </row>
        <row r="110">
          <cell r="A110">
            <v>39626</v>
          </cell>
          <cell r="B110">
            <v>39626</v>
          </cell>
          <cell r="C110" t="str">
            <v>Past</v>
          </cell>
          <cell r="D110">
            <v>47.81</v>
          </cell>
          <cell r="E110" t="e">
            <v>#N/A</v>
          </cell>
          <cell r="F110" t="e">
            <v>#N/A</v>
          </cell>
          <cell r="G110" t="e">
            <v>#N/A</v>
          </cell>
          <cell r="H110" t="e">
            <v>#N/A</v>
          </cell>
          <cell r="I110" t="e">
            <v>#N/A</v>
          </cell>
          <cell r="J110" t="e">
            <v>#N/A</v>
          </cell>
          <cell r="K110" t="e">
            <v>#N/A</v>
          </cell>
          <cell r="L110" t="e">
            <v>#N/A</v>
          </cell>
          <cell r="M110" t="e">
            <v>#N/A</v>
          </cell>
          <cell r="N110" t="e">
            <v>#N/A</v>
          </cell>
          <cell r="O110" t="e">
            <v>#N/A</v>
          </cell>
          <cell r="P110">
            <v>47.81</v>
          </cell>
          <cell r="Q110">
            <v>2.4799000000000002</v>
          </cell>
          <cell r="R110" t="e">
            <v>#N/A</v>
          </cell>
          <cell r="AI110" t="str">
            <v>ZAc South African Cent</v>
          </cell>
          <cell r="AJ110" t="str">
            <v>ZAc</v>
          </cell>
          <cell r="AK110" t="str">
            <v>ZAc</v>
          </cell>
          <cell r="AL110" t="str">
            <v>ZAc</v>
          </cell>
          <cell r="AM110">
            <v>0</v>
          </cell>
          <cell r="AN110">
            <v>0</v>
          </cell>
        </row>
        <row r="111">
          <cell r="A111">
            <v>39629</v>
          </cell>
          <cell r="B111">
            <v>39629</v>
          </cell>
          <cell r="C111" t="str">
            <v>Past</v>
          </cell>
          <cell r="D111">
            <v>47.96</v>
          </cell>
          <cell r="E111" t="e">
            <v>#N/A</v>
          </cell>
          <cell r="F111" t="e">
            <v>#N/A</v>
          </cell>
          <cell r="G111" t="e">
            <v>#N/A</v>
          </cell>
          <cell r="H111" t="e">
            <v>#N/A</v>
          </cell>
          <cell r="I111" t="e">
            <v>#N/A</v>
          </cell>
          <cell r="J111" t="e">
            <v>#N/A</v>
          </cell>
          <cell r="K111" t="e">
            <v>#N/A</v>
          </cell>
          <cell r="L111" t="e">
            <v>#N/A</v>
          </cell>
          <cell r="M111" t="e">
            <v>#N/A</v>
          </cell>
          <cell r="N111" t="e">
            <v>#N/A</v>
          </cell>
          <cell r="O111" t="e">
            <v>#N/A</v>
          </cell>
          <cell r="P111">
            <v>47.96</v>
          </cell>
          <cell r="Q111">
            <v>3.0451069999999998</v>
          </cell>
          <cell r="R111" t="e">
            <v>#N/A</v>
          </cell>
          <cell r="AI111" t="str">
            <v>ZAR South African rand</v>
          </cell>
          <cell r="AJ111" t="str">
            <v>ZAR</v>
          </cell>
          <cell r="AK111" t="str">
            <v>ZAR</v>
          </cell>
          <cell r="AL111" t="str">
            <v>ZAR</v>
          </cell>
          <cell r="AM111">
            <v>0</v>
          </cell>
          <cell r="AN111">
            <v>2</v>
          </cell>
        </row>
        <row r="112">
          <cell r="A112">
            <v>39630</v>
          </cell>
          <cell r="B112">
            <v>39630</v>
          </cell>
          <cell r="C112" t="str">
            <v>Past</v>
          </cell>
          <cell r="D112">
            <v>49.5</v>
          </cell>
          <cell r="E112" t="e">
            <v>#N/A</v>
          </cell>
          <cell r="F112" t="e">
            <v>#N/A</v>
          </cell>
          <cell r="G112" t="e">
            <v>#N/A</v>
          </cell>
          <cell r="H112" t="e">
            <v>#N/A</v>
          </cell>
          <cell r="I112" t="e">
            <v>#N/A</v>
          </cell>
          <cell r="J112" t="e">
            <v>#N/A</v>
          </cell>
          <cell r="K112" t="e">
            <v>#N/A</v>
          </cell>
          <cell r="L112" t="e">
            <v>#N/A</v>
          </cell>
          <cell r="M112" t="e">
            <v>#N/A</v>
          </cell>
          <cell r="N112" t="e">
            <v>#N/A</v>
          </cell>
          <cell r="O112" t="e">
            <v>#N/A</v>
          </cell>
          <cell r="P112">
            <v>49.5</v>
          </cell>
          <cell r="Q112">
            <v>3.9493739999999997</v>
          </cell>
          <cell r="R112" t="e">
            <v>#N/A</v>
          </cell>
          <cell r="AI112" t="str">
            <v xml:space="preserve">ZMK Zambian Kwacha </v>
          </cell>
          <cell r="AJ112" t="str">
            <v>ZMK</v>
          </cell>
          <cell r="AK112" t="str">
            <v>ZMK</v>
          </cell>
          <cell r="AL112" t="str">
            <v>ZMK</v>
          </cell>
          <cell r="AM112">
            <v>0</v>
          </cell>
          <cell r="AN112">
            <v>2</v>
          </cell>
        </row>
        <row r="113">
          <cell r="A113">
            <v>39631</v>
          </cell>
          <cell r="B113">
            <v>39631</v>
          </cell>
          <cell r="C113" t="str">
            <v>Past</v>
          </cell>
          <cell r="D113">
            <v>47.85</v>
          </cell>
          <cell r="E113" t="e">
            <v>#N/A</v>
          </cell>
          <cell r="F113" t="e">
            <v>#N/A</v>
          </cell>
          <cell r="G113" t="e">
            <v>#N/A</v>
          </cell>
          <cell r="H113" t="e">
            <v>#N/A</v>
          </cell>
          <cell r="I113" t="e">
            <v>#N/A</v>
          </cell>
          <cell r="J113" t="e">
            <v>#N/A</v>
          </cell>
          <cell r="K113" t="e">
            <v>#N/A</v>
          </cell>
          <cell r="L113" t="e">
            <v>#N/A</v>
          </cell>
          <cell r="M113" t="e">
            <v>#N/A</v>
          </cell>
          <cell r="N113" t="e">
            <v>#N/A</v>
          </cell>
          <cell r="O113" t="e">
            <v>#N/A</v>
          </cell>
          <cell r="P113">
            <v>47.85</v>
          </cell>
          <cell r="Q113">
            <v>2.5491539999999997</v>
          </cell>
          <cell r="R113" t="e">
            <v>#N/A</v>
          </cell>
          <cell r="AI113" t="str">
            <v>ZAR South African rand</v>
          </cell>
          <cell r="AJ113" t="str">
            <v>ZAR</v>
          </cell>
          <cell r="AK113" t="str">
            <v>ZAR</v>
          </cell>
          <cell r="AL113" t="str">
            <v>ZAR</v>
          </cell>
          <cell r="AM113">
            <v>0</v>
          </cell>
          <cell r="AN113">
            <v>2</v>
          </cell>
        </row>
        <row r="114">
          <cell r="A114">
            <v>39632</v>
          </cell>
          <cell r="B114">
            <v>39632</v>
          </cell>
          <cell r="C114" t="str">
            <v>Past</v>
          </cell>
          <cell r="D114">
            <v>48.64</v>
          </cell>
          <cell r="E114" t="e">
            <v>#N/A</v>
          </cell>
          <cell r="F114" t="e">
            <v>#N/A</v>
          </cell>
          <cell r="G114" t="e">
            <v>#N/A</v>
          </cell>
          <cell r="H114" t="e">
            <v>#N/A</v>
          </cell>
          <cell r="I114" t="e">
            <v>#N/A</v>
          </cell>
          <cell r="J114" t="e">
            <v>#N/A</v>
          </cell>
          <cell r="K114" t="e">
            <v>#N/A</v>
          </cell>
          <cell r="L114" t="e">
            <v>#N/A</v>
          </cell>
          <cell r="M114" t="e">
            <v>#N/A</v>
          </cell>
          <cell r="N114" t="e">
            <v>#N/A</v>
          </cell>
          <cell r="O114" t="e">
            <v>#N/A</v>
          </cell>
          <cell r="P114">
            <v>48.64</v>
          </cell>
          <cell r="Q114">
            <v>0.98191299999999992</v>
          </cell>
          <cell r="R114" t="e">
            <v>#N/A</v>
          </cell>
          <cell r="AI114" t="str">
            <v xml:space="preserve">ZMK Zambian Kwacha </v>
          </cell>
          <cell r="AJ114" t="str">
            <v>ZMK</v>
          </cell>
          <cell r="AK114" t="str">
            <v>ZMK</v>
          </cell>
          <cell r="AL114" t="str">
            <v>ZMK</v>
          </cell>
          <cell r="AM114">
            <v>0</v>
          </cell>
          <cell r="AN114">
            <v>2</v>
          </cell>
        </row>
        <row r="115">
          <cell r="A115">
            <v>39636</v>
          </cell>
          <cell r="B115">
            <v>39636</v>
          </cell>
          <cell r="C115" t="str">
            <v>Past</v>
          </cell>
          <cell r="D115">
            <v>48.16</v>
          </cell>
          <cell r="E115" t="e">
            <v>#N/A</v>
          </cell>
          <cell r="F115" t="e">
            <v>#N/A</v>
          </cell>
          <cell r="G115" t="e">
            <v>#N/A</v>
          </cell>
          <cell r="H115" t="e">
            <v>#N/A</v>
          </cell>
          <cell r="I115" t="e">
            <v>#N/A</v>
          </cell>
          <cell r="J115" t="e">
            <v>#N/A</v>
          </cell>
          <cell r="K115" t="e">
            <v>#N/A</v>
          </cell>
          <cell r="L115" t="e">
            <v>#N/A</v>
          </cell>
          <cell r="M115" t="e">
            <v>#N/A</v>
          </cell>
          <cell r="N115" t="e">
            <v>#N/A</v>
          </cell>
          <cell r="O115" t="e">
            <v>#N/A</v>
          </cell>
          <cell r="P115">
            <v>48.16</v>
          </cell>
          <cell r="Q115">
            <v>2.0897869999999998</v>
          </cell>
          <cell r="R115" t="e">
            <v>#N/A</v>
          </cell>
        </row>
        <row r="116">
          <cell r="A116">
            <v>39637</v>
          </cell>
          <cell r="B116">
            <v>39637</v>
          </cell>
          <cell r="C116" t="str">
            <v>Past</v>
          </cell>
          <cell r="D116">
            <v>51.27</v>
          </cell>
          <cell r="E116" t="e">
            <v>#N/A</v>
          </cell>
          <cell r="F116" t="e">
            <v>#N/A</v>
          </cell>
          <cell r="G116" t="e">
            <v>#N/A</v>
          </cell>
          <cell r="H116" t="e">
            <v>#N/A</v>
          </cell>
          <cell r="I116" t="e">
            <v>#N/A</v>
          </cell>
          <cell r="J116" t="e">
            <v>#N/A</v>
          </cell>
          <cell r="K116" t="e">
            <v>#N/A</v>
          </cell>
          <cell r="L116" t="e">
            <v>#N/A</v>
          </cell>
          <cell r="M116" t="e">
            <v>#N/A</v>
          </cell>
          <cell r="N116" t="e">
            <v>#N/A</v>
          </cell>
          <cell r="O116" t="e">
            <v>#N/A</v>
          </cell>
          <cell r="P116">
            <v>51.27</v>
          </cell>
          <cell r="Q116">
            <v>3.429897</v>
          </cell>
          <cell r="R116" t="e">
            <v>#N/A</v>
          </cell>
        </row>
        <row r="117">
          <cell r="A117">
            <v>39638</v>
          </cell>
          <cell r="B117">
            <v>39638</v>
          </cell>
          <cell r="C117" t="str">
            <v>Past</v>
          </cell>
          <cell r="D117">
            <v>51</v>
          </cell>
          <cell r="E117" t="e">
            <v>#N/A</v>
          </cell>
          <cell r="F117" t="e">
            <v>#N/A</v>
          </cell>
          <cell r="G117" t="e">
            <v>#N/A</v>
          </cell>
          <cell r="H117" t="e">
            <v>#N/A</v>
          </cell>
          <cell r="I117" t="e">
            <v>#N/A</v>
          </cell>
          <cell r="J117" t="e">
            <v>#N/A</v>
          </cell>
          <cell r="K117" t="e">
            <v>#N/A</v>
          </cell>
          <cell r="L117" t="e">
            <v>#N/A</v>
          </cell>
          <cell r="M117" t="e">
            <v>#N/A</v>
          </cell>
          <cell r="N117" t="e">
            <v>#N/A</v>
          </cell>
          <cell r="O117" t="e">
            <v>#N/A</v>
          </cell>
          <cell r="P117">
            <v>51</v>
          </cell>
          <cell r="Q117">
            <v>2.7236000000000002</v>
          </cell>
          <cell r="R117" t="e">
            <v>#N/A</v>
          </cell>
        </row>
        <row r="118">
          <cell r="A118">
            <v>39639</v>
          </cell>
          <cell r="B118">
            <v>39639</v>
          </cell>
          <cell r="C118" t="str">
            <v>Past</v>
          </cell>
          <cell r="D118">
            <v>51.46</v>
          </cell>
          <cell r="E118" t="e">
            <v>#N/A</v>
          </cell>
          <cell r="F118" t="e">
            <v>#N/A</v>
          </cell>
          <cell r="G118" t="e">
            <v>#N/A</v>
          </cell>
          <cell r="H118" t="e">
            <v>#N/A</v>
          </cell>
          <cell r="I118" t="e">
            <v>#N/A</v>
          </cell>
          <cell r="J118" t="e">
            <v>#N/A</v>
          </cell>
          <cell r="K118" t="e">
            <v>#N/A</v>
          </cell>
          <cell r="L118" t="e">
            <v>#N/A</v>
          </cell>
          <cell r="M118" t="e">
            <v>#N/A</v>
          </cell>
          <cell r="N118" t="e">
            <v>#N/A</v>
          </cell>
          <cell r="O118" t="e">
            <v>#N/A</v>
          </cell>
          <cell r="P118">
            <v>51.46</v>
          </cell>
          <cell r="Q118">
            <v>2.698531</v>
          </cell>
          <cell r="R118" t="e">
            <v>#N/A</v>
          </cell>
        </row>
        <row r="119">
          <cell r="A119">
            <v>39640</v>
          </cell>
          <cell r="B119">
            <v>39640</v>
          </cell>
          <cell r="C119" t="str">
            <v>Past</v>
          </cell>
          <cell r="D119">
            <v>47.16</v>
          </cell>
          <cell r="E119" t="e">
            <v>#N/A</v>
          </cell>
          <cell r="F119" t="e">
            <v>#N/A</v>
          </cell>
          <cell r="G119" t="e">
            <v>#N/A</v>
          </cell>
          <cell r="H119" t="e">
            <v>#N/A</v>
          </cell>
          <cell r="I119" t="e">
            <v>#N/A</v>
          </cell>
          <cell r="J119" t="e">
            <v>#N/A</v>
          </cell>
          <cell r="K119" t="e">
            <v>#N/A</v>
          </cell>
          <cell r="L119" t="e">
            <v>#N/A</v>
          </cell>
          <cell r="M119" t="e">
            <v>#N/A</v>
          </cell>
          <cell r="N119" t="e">
            <v>#N/A</v>
          </cell>
          <cell r="O119" t="e">
            <v>#N/A</v>
          </cell>
          <cell r="P119">
            <v>47.16</v>
          </cell>
          <cell r="Q119">
            <v>5.2577379999999998</v>
          </cell>
          <cell r="R119" t="e">
            <v>#N/A</v>
          </cell>
        </row>
        <row r="120">
          <cell r="A120">
            <v>39643</v>
          </cell>
          <cell r="B120">
            <v>39643</v>
          </cell>
          <cell r="C120" t="str">
            <v>Past</v>
          </cell>
          <cell r="D120">
            <v>47.23</v>
          </cell>
          <cell r="E120" t="e">
            <v>#N/A</v>
          </cell>
          <cell r="F120" t="e">
            <v>#N/A</v>
          </cell>
          <cell r="G120" t="e">
            <v>#N/A</v>
          </cell>
          <cell r="H120" t="e">
            <v>#N/A</v>
          </cell>
          <cell r="I120" t="e">
            <v>#N/A</v>
          </cell>
          <cell r="J120" t="e">
            <v>#N/A</v>
          </cell>
          <cell r="K120" t="e">
            <v>#N/A</v>
          </cell>
          <cell r="L120" t="e">
            <v>#N/A</v>
          </cell>
          <cell r="M120" t="e">
            <v>#N/A</v>
          </cell>
          <cell r="N120" t="e">
            <v>#N/A</v>
          </cell>
          <cell r="O120" t="e">
            <v>#N/A</v>
          </cell>
          <cell r="P120">
            <v>47.23</v>
          </cell>
          <cell r="Q120">
            <v>3.9552329999999998</v>
          </cell>
          <cell r="R120" t="e">
            <v>#N/A</v>
          </cell>
        </row>
        <row r="121">
          <cell r="A121">
            <v>39644</v>
          </cell>
          <cell r="B121">
            <v>39644</v>
          </cell>
          <cell r="C121" t="str">
            <v>Past</v>
          </cell>
          <cell r="D121">
            <v>45.47</v>
          </cell>
          <cell r="E121" t="e">
            <v>#N/A</v>
          </cell>
          <cell r="F121" t="e">
            <v>#N/A</v>
          </cell>
          <cell r="G121" t="e">
            <v>#N/A</v>
          </cell>
          <cell r="H121" t="e">
            <v>#N/A</v>
          </cell>
          <cell r="I121" t="e">
            <v>#N/A</v>
          </cell>
          <cell r="J121" t="e">
            <v>#N/A</v>
          </cell>
          <cell r="K121" t="e">
            <v>#N/A</v>
          </cell>
          <cell r="L121" t="e">
            <v>#N/A</v>
          </cell>
          <cell r="M121" t="e">
            <v>#N/A</v>
          </cell>
          <cell r="N121" t="e">
            <v>#N/A</v>
          </cell>
          <cell r="O121" t="e">
            <v>#N/A</v>
          </cell>
          <cell r="P121">
            <v>45.47</v>
          </cell>
          <cell r="Q121">
            <v>5.0841729999999998</v>
          </cell>
          <cell r="R121" t="e">
            <v>#N/A</v>
          </cell>
        </row>
        <row r="122">
          <cell r="A122">
            <v>39645</v>
          </cell>
          <cell r="B122">
            <v>39645</v>
          </cell>
          <cell r="C122" t="str">
            <v>Past</v>
          </cell>
          <cell r="D122">
            <v>47.27</v>
          </cell>
          <cell r="E122" t="e">
            <v>#N/A</v>
          </cell>
          <cell r="F122" t="e">
            <v>#N/A</v>
          </cell>
          <cell r="G122" t="e">
            <v>#N/A</v>
          </cell>
          <cell r="H122" t="e">
            <v>#N/A</v>
          </cell>
          <cell r="I122" t="e">
            <v>#N/A</v>
          </cell>
          <cell r="J122" t="e">
            <v>#N/A</v>
          </cell>
          <cell r="K122" t="e">
            <v>#N/A</v>
          </cell>
          <cell r="L122" t="e">
            <v>#N/A</v>
          </cell>
          <cell r="M122" t="e">
            <v>#N/A</v>
          </cell>
          <cell r="N122" t="e">
            <v>#N/A</v>
          </cell>
          <cell r="O122" t="e">
            <v>#N/A</v>
          </cell>
          <cell r="P122">
            <v>47.27</v>
          </cell>
          <cell r="Q122">
            <v>3.9761059999999997</v>
          </cell>
          <cell r="R122" t="e">
            <v>#N/A</v>
          </cell>
        </row>
        <row r="123">
          <cell r="A123">
            <v>39646</v>
          </cell>
          <cell r="B123">
            <v>39646</v>
          </cell>
          <cell r="C123" t="str">
            <v>Past</v>
          </cell>
          <cell r="D123">
            <v>46.64</v>
          </cell>
          <cell r="E123" t="e">
            <v>#N/A</v>
          </cell>
          <cell r="F123" t="e">
            <v>#N/A</v>
          </cell>
          <cell r="G123" t="e">
            <v>#N/A</v>
          </cell>
          <cell r="H123" t="e">
            <v>#N/A</v>
          </cell>
          <cell r="I123" t="e">
            <v>#N/A</v>
          </cell>
          <cell r="J123" t="e">
            <v>#N/A</v>
          </cell>
          <cell r="K123" t="e">
            <v>#N/A</v>
          </cell>
          <cell r="L123" t="e">
            <v>#N/A</v>
          </cell>
          <cell r="M123" t="e">
            <v>#N/A</v>
          </cell>
          <cell r="N123" t="e">
            <v>#N/A</v>
          </cell>
          <cell r="O123" t="e">
            <v>#N/A</v>
          </cell>
          <cell r="P123">
            <v>46.64</v>
          </cell>
          <cell r="Q123">
            <v>2.7639489999999998</v>
          </cell>
          <cell r="R123" t="e">
            <v>#N/A</v>
          </cell>
        </row>
        <row r="124">
          <cell r="A124">
            <v>39647</v>
          </cell>
          <cell r="B124">
            <v>39647</v>
          </cell>
          <cell r="C124" t="str">
            <v>Past</v>
          </cell>
          <cell r="D124">
            <v>46.79</v>
          </cell>
          <cell r="E124" t="e">
            <v>#N/A</v>
          </cell>
          <cell r="F124" t="e">
            <v>#N/A</v>
          </cell>
          <cell r="G124" t="e">
            <v>#N/A</v>
          </cell>
          <cell r="H124" t="e">
            <v>#N/A</v>
          </cell>
          <cell r="I124" t="e">
            <v>#N/A</v>
          </cell>
          <cell r="J124" t="e">
            <v>#N/A</v>
          </cell>
          <cell r="K124" t="e">
            <v>#N/A</v>
          </cell>
          <cell r="L124" t="e">
            <v>#N/A</v>
          </cell>
          <cell r="M124" t="e">
            <v>#N/A</v>
          </cell>
          <cell r="N124" t="e">
            <v>#N/A</v>
          </cell>
          <cell r="O124" t="e">
            <v>#N/A</v>
          </cell>
          <cell r="P124">
            <v>46.79</v>
          </cell>
          <cell r="Q124">
            <v>2.0581389999999997</v>
          </cell>
          <cell r="R124" t="e">
            <v>#N/A</v>
          </cell>
        </row>
        <row r="125">
          <cell r="A125">
            <v>39650</v>
          </cell>
          <cell r="B125">
            <v>39650</v>
          </cell>
          <cell r="C125" t="str">
            <v>Past</v>
          </cell>
          <cell r="D125">
            <v>46.45</v>
          </cell>
          <cell r="E125" t="e">
            <v>#N/A</v>
          </cell>
          <cell r="F125" t="e">
            <v>#N/A</v>
          </cell>
          <cell r="G125" t="e">
            <v>#N/A</v>
          </cell>
          <cell r="H125" t="e">
            <v>#N/A</v>
          </cell>
          <cell r="I125" t="e">
            <v>#N/A</v>
          </cell>
          <cell r="J125" t="e">
            <v>#N/A</v>
          </cell>
          <cell r="K125" t="e">
            <v>#N/A</v>
          </cell>
          <cell r="L125" t="e">
            <v>#N/A</v>
          </cell>
          <cell r="M125" t="e">
            <v>#N/A</v>
          </cell>
          <cell r="N125" t="e">
            <v>#N/A</v>
          </cell>
          <cell r="O125" t="e">
            <v>#N/A</v>
          </cell>
          <cell r="P125">
            <v>46.45</v>
          </cell>
          <cell r="Q125">
            <v>2.311048</v>
          </cell>
          <cell r="R125" t="e">
            <v>#N/A</v>
          </cell>
        </row>
        <row r="126">
          <cell r="A126">
            <v>39651</v>
          </cell>
          <cell r="B126">
            <v>39651</v>
          </cell>
          <cell r="C126" t="str">
            <v>Past</v>
          </cell>
          <cell r="D126">
            <v>48.23</v>
          </cell>
          <cell r="E126" t="e">
            <v>#N/A</v>
          </cell>
          <cell r="F126" t="e">
            <v>#N/A</v>
          </cell>
          <cell r="G126" t="e">
            <v>#N/A</v>
          </cell>
          <cell r="H126" t="e">
            <v>#N/A</v>
          </cell>
          <cell r="I126" t="e">
            <v>#N/A</v>
          </cell>
          <cell r="J126" t="e">
            <v>#N/A</v>
          </cell>
          <cell r="K126" t="e">
            <v>#N/A</v>
          </cell>
          <cell r="L126" t="e">
            <v>#N/A</v>
          </cell>
          <cell r="M126" t="e">
            <v>#N/A</v>
          </cell>
          <cell r="N126" t="e">
            <v>#N/A</v>
          </cell>
          <cell r="O126" t="e">
            <v>#N/A</v>
          </cell>
          <cell r="P126">
            <v>48.23</v>
          </cell>
          <cell r="Q126">
            <v>2.0023939999999998</v>
          </cell>
          <cell r="R126" t="e">
            <v>#N/A</v>
          </cell>
        </row>
        <row r="127">
          <cell r="A127">
            <v>39652</v>
          </cell>
          <cell r="B127">
            <v>39652</v>
          </cell>
          <cell r="C127" t="str">
            <v>Past</v>
          </cell>
          <cell r="D127">
            <v>49.17</v>
          </cell>
          <cell r="E127" t="e">
            <v>#N/A</v>
          </cell>
          <cell r="F127" t="e">
            <v>#N/A</v>
          </cell>
          <cell r="G127" t="e">
            <v>#N/A</v>
          </cell>
          <cell r="H127" t="e">
            <v>#N/A</v>
          </cell>
          <cell r="I127" t="e">
            <v>#N/A</v>
          </cell>
          <cell r="J127" t="e">
            <v>#N/A</v>
          </cell>
          <cell r="K127" t="e">
            <v>#N/A</v>
          </cell>
          <cell r="L127" t="e">
            <v>#N/A</v>
          </cell>
          <cell r="M127" t="e">
            <v>#N/A</v>
          </cell>
          <cell r="N127" t="e">
            <v>#N/A</v>
          </cell>
          <cell r="O127" t="e">
            <v>#N/A</v>
          </cell>
          <cell r="P127">
            <v>49.17</v>
          </cell>
          <cell r="Q127">
            <v>2.2585109999999999</v>
          </cell>
          <cell r="R127" t="e">
            <v>#N/A</v>
          </cell>
        </row>
        <row r="128">
          <cell r="A128">
            <v>39653</v>
          </cell>
          <cell r="B128">
            <v>39653</v>
          </cell>
          <cell r="C128" t="str">
            <v>Past</v>
          </cell>
          <cell r="D128">
            <v>47.71</v>
          </cell>
          <cell r="E128" t="e">
            <v>#N/A</v>
          </cell>
          <cell r="F128" t="e">
            <v>#N/A</v>
          </cell>
          <cell r="G128" t="e">
            <v>#N/A</v>
          </cell>
          <cell r="H128" t="e">
            <v>#N/A</v>
          </cell>
          <cell r="I128" t="e">
            <v>#N/A</v>
          </cell>
          <cell r="J128" t="e">
            <v>#N/A</v>
          </cell>
          <cell r="K128" t="e">
            <v>#N/A</v>
          </cell>
          <cell r="L128" t="e">
            <v>#N/A</v>
          </cell>
          <cell r="M128" t="e">
            <v>#N/A</v>
          </cell>
          <cell r="N128" t="e">
            <v>#N/A</v>
          </cell>
          <cell r="O128" t="e">
            <v>#N/A</v>
          </cell>
          <cell r="P128">
            <v>47.71</v>
          </cell>
          <cell r="Q128">
            <v>1.3194789999999998</v>
          </cell>
          <cell r="R128" t="e">
            <v>#N/A</v>
          </cell>
        </row>
        <row r="129">
          <cell r="A129">
            <v>39654</v>
          </cell>
          <cell r="B129">
            <v>39654</v>
          </cell>
          <cell r="C129" t="str">
            <v>Past</v>
          </cell>
          <cell r="D129">
            <v>48.25</v>
          </cell>
          <cell r="E129" t="e">
            <v>#N/A</v>
          </cell>
          <cell r="F129" t="e">
            <v>#N/A</v>
          </cell>
          <cell r="G129" t="e">
            <v>#N/A</v>
          </cell>
          <cell r="H129" t="e">
            <v>#N/A</v>
          </cell>
          <cell r="I129" t="e">
            <v>#N/A</v>
          </cell>
          <cell r="J129" t="e">
            <v>#N/A</v>
          </cell>
          <cell r="K129" t="e">
            <v>#N/A</v>
          </cell>
          <cell r="L129" t="e">
            <v>#N/A</v>
          </cell>
          <cell r="M129" t="e">
            <v>#N/A</v>
          </cell>
          <cell r="N129" t="e">
            <v>#N/A</v>
          </cell>
          <cell r="O129" t="e">
            <v>#N/A</v>
          </cell>
          <cell r="P129">
            <v>48.25</v>
          </cell>
          <cell r="Q129">
            <v>0.98369200000000001</v>
          </cell>
          <cell r="R129" t="e">
            <v>#N/A</v>
          </cell>
        </row>
        <row r="130">
          <cell r="A130">
            <v>39657</v>
          </cell>
          <cell r="B130">
            <v>39657</v>
          </cell>
          <cell r="C130" t="str">
            <v>Past</v>
          </cell>
          <cell r="D130">
            <v>47.44</v>
          </cell>
          <cell r="E130" t="e">
            <v>#N/A</v>
          </cell>
          <cell r="F130" t="e">
            <v>#N/A</v>
          </cell>
          <cell r="G130" t="e">
            <v>#N/A</v>
          </cell>
          <cell r="H130" t="e">
            <v>#N/A</v>
          </cell>
          <cell r="I130" t="e">
            <v>#N/A</v>
          </cell>
          <cell r="J130" t="e">
            <v>#N/A</v>
          </cell>
          <cell r="K130" t="e">
            <v>#N/A</v>
          </cell>
          <cell r="L130" t="e">
            <v>#N/A</v>
          </cell>
          <cell r="M130" t="e">
            <v>#N/A</v>
          </cell>
          <cell r="N130" t="e">
            <v>#N/A</v>
          </cell>
          <cell r="O130" t="e">
            <v>#N/A</v>
          </cell>
          <cell r="P130">
            <v>47.44</v>
          </cell>
          <cell r="Q130">
            <v>0.94626399999999999</v>
          </cell>
          <cell r="R130" t="e">
            <v>#N/A</v>
          </cell>
        </row>
        <row r="131">
          <cell r="A131">
            <v>39658</v>
          </cell>
          <cell r="B131">
            <v>39658</v>
          </cell>
          <cell r="C131" t="str">
            <v>Past</v>
          </cell>
          <cell r="D131">
            <v>48.64</v>
          </cell>
          <cell r="E131" t="e">
            <v>#N/A</v>
          </cell>
          <cell r="F131" t="e">
            <v>#N/A</v>
          </cell>
          <cell r="G131" t="e">
            <v>#N/A</v>
          </cell>
          <cell r="H131" t="e">
            <v>#N/A</v>
          </cell>
          <cell r="I131" t="e">
            <v>#N/A</v>
          </cell>
          <cell r="J131" t="e">
            <v>#N/A</v>
          </cell>
          <cell r="K131" t="e">
            <v>#N/A</v>
          </cell>
          <cell r="L131" t="e">
            <v>#N/A</v>
          </cell>
          <cell r="M131" t="e">
            <v>#N/A</v>
          </cell>
          <cell r="N131" t="e">
            <v>#N/A</v>
          </cell>
          <cell r="O131" t="e">
            <v>#N/A</v>
          </cell>
          <cell r="P131">
            <v>48.64</v>
          </cell>
          <cell r="Q131">
            <v>0.927037</v>
          </cell>
          <cell r="R131" t="e">
            <v>#N/A</v>
          </cell>
        </row>
        <row r="132">
          <cell r="A132">
            <v>39659</v>
          </cell>
          <cell r="B132">
            <v>39659</v>
          </cell>
          <cell r="C132" t="str">
            <v>Past</v>
          </cell>
          <cell r="D132">
            <v>49.2</v>
          </cell>
          <cell r="E132" t="e">
            <v>#N/A</v>
          </cell>
          <cell r="F132" t="e">
            <v>#N/A</v>
          </cell>
          <cell r="G132" t="e">
            <v>#N/A</v>
          </cell>
          <cell r="H132" t="e">
            <v>#N/A</v>
          </cell>
          <cell r="I132" t="e">
            <v>#N/A</v>
          </cell>
          <cell r="J132" t="e">
            <v>#N/A</v>
          </cell>
          <cell r="K132" t="e">
            <v>#N/A</v>
          </cell>
          <cell r="L132" t="e">
            <v>#N/A</v>
          </cell>
          <cell r="M132" t="e">
            <v>#N/A</v>
          </cell>
          <cell r="N132" t="e">
            <v>#N/A</v>
          </cell>
          <cell r="O132" t="e">
            <v>#N/A</v>
          </cell>
          <cell r="P132">
            <v>49.2</v>
          </cell>
          <cell r="Q132">
            <v>1.4878049999999998</v>
          </cell>
          <cell r="R132" t="e">
            <v>#N/A</v>
          </cell>
        </row>
        <row r="133">
          <cell r="A133">
            <v>39660</v>
          </cell>
          <cell r="B133">
            <v>39660</v>
          </cell>
          <cell r="C133" t="str">
            <v>Past</v>
          </cell>
          <cell r="D133">
            <v>49.69</v>
          </cell>
          <cell r="E133" t="e">
            <v>#N/A</v>
          </cell>
          <cell r="F133" t="e">
            <v>#N/A</v>
          </cell>
          <cell r="G133" t="e">
            <v>#N/A</v>
          </cell>
          <cell r="H133" t="e">
            <v>#N/A</v>
          </cell>
          <cell r="I133" t="e">
            <v>#N/A</v>
          </cell>
          <cell r="J133" t="e">
            <v>#N/A</v>
          </cell>
          <cell r="K133" t="e">
            <v>#N/A</v>
          </cell>
          <cell r="L133" t="e">
            <v>#N/A</v>
          </cell>
          <cell r="M133" t="e">
            <v>#N/A</v>
          </cell>
          <cell r="N133" t="e">
            <v>#N/A</v>
          </cell>
          <cell r="O133" t="e">
            <v>#N/A</v>
          </cell>
          <cell r="P133">
            <v>49.69</v>
          </cell>
          <cell r="Q133">
            <v>2.684456</v>
          </cell>
          <cell r="R133" t="e">
            <v>#N/A</v>
          </cell>
        </row>
        <row r="134">
          <cell r="A134">
            <v>39661</v>
          </cell>
          <cell r="B134">
            <v>39661</v>
          </cell>
          <cell r="C134" t="str">
            <v>Past</v>
          </cell>
          <cell r="D134">
            <v>49.74</v>
          </cell>
          <cell r="E134" t="e">
            <v>#N/A</v>
          </cell>
          <cell r="F134" t="e">
            <v>#N/A</v>
          </cell>
          <cell r="G134" t="e">
            <v>#N/A</v>
          </cell>
          <cell r="H134" t="e">
            <v>#N/A</v>
          </cell>
          <cell r="I134" t="e">
            <v>#N/A</v>
          </cell>
          <cell r="J134" t="e">
            <v>#N/A</v>
          </cell>
          <cell r="K134" t="e">
            <v>#N/A</v>
          </cell>
          <cell r="L134" t="e">
            <v>#N/A</v>
          </cell>
          <cell r="M134" t="e">
            <v>#N/A</v>
          </cell>
          <cell r="N134" t="e">
            <v>#N/A</v>
          </cell>
          <cell r="O134" t="e">
            <v>#N/A</v>
          </cell>
          <cell r="P134">
            <v>49.74</v>
          </cell>
          <cell r="Q134">
            <v>1.6727589999999999</v>
          </cell>
          <cell r="R134" t="e">
            <v>#N/A</v>
          </cell>
        </row>
        <row r="135">
          <cell r="A135">
            <v>39664</v>
          </cell>
          <cell r="B135">
            <v>39664</v>
          </cell>
          <cell r="C135" t="str">
            <v>Past</v>
          </cell>
          <cell r="D135">
            <v>49.73</v>
          </cell>
          <cell r="E135" t="e">
            <v>#N/A</v>
          </cell>
          <cell r="F135" t="e">
            <v>#N/A</v>
          </cell>
          <cell r="G135" t="e">
            <v>#N/A</v>
          </cell>
          <cell r="H135" t="e">
            <v>#N/A</v>
          </cell>
          <cell r="I135" t="e">
            <v>#N/A</v>
          </cell>
          <cell r="J135" t="e">
            <v>#N/A</v>
          </cell>
          <cell r="K135" t="e">
            <v>#N/A</v>
          </cell>
          <cell r="L135" t="e">
            <v>#N/A</v>
          </cell>
          <cell r="M135" t="e">
            <v>#N/A</v>
          </cell>
          <cell r="N135" t="e">
            <v>#N/A</v>
          </cell>
          <cell r="O135" t="e">
            <v>#N/A</v>
          </cell>
          <cell r="P135">
            <v>49.73</v>
          </cell>
          <cell r="Q135">
            <v>1.086246</v>
          </cell>
          <cell r="R135" t="e">
            <v>#N/A</v>
          </cell>
        </row>
        <row r="136">
          <cell r="A136">
            <v>39665</v>
          </cell>
          <cell r="B136">
            <v>39665</v>
          </cell>
          <cell r="C136" t="str">
            <v>Past</v>
          </cell>
          <cell r="D136">
            <v>51.17</v>
          </cell>
          <cell r="E136" t="e">
            <v>#N/A</v>
          </cell>
          <cell r="F136" t="e">
            <v>#N/A</v>
          </cell>
          <cell r="G136" t="e">
            <v>#N/A</v>
          </cell>
          <cell r="H136" t="e">
            <v>#N/A</v>
          </cell>
          <cell r="I136" t="e">
            <v>#N/A</v>
          </cell>
          <cell r="J136" t="e">
            <v>#N/A</v>
          </cell>
          <cell r="K136" t="e">
            <v>#N/A</v>
          </cell>
          <cell r="L136" t="e">
            <v>#N/A</v>
          </cell>
          <cell r="M136" t="e">
            <v>#N/A</v>
          </cell>
          <cell r="N136" t="e">
            <v>#N/A</v>
          </cell>
          <cell r="O136" t="e">
            <v>#N/A</v>
          </cell>
          <cell r="P136">
            <v>51.17</v>
          </cell>
          <cell r="Q136">
            <v>1.2260529999999998</v>
          </cell>
          <cell r="R136" t="e">
            <v>#N/A</v>
          </cell>
        </row>
        <row r="137">
          <cell r="A137">
            <v>39666</v>
          </cell>
          <cell r="B137">
            <v>39666</v>
          </cell>
          <cell r="C137" t="str">
            <v>Past</v>
          </cell>
          <cell r="D137">
            <v>51.25</v>
          </cell>
          <cell r="E137" t="e">
            <v>#N/A</v>
          </cell>
          <cell r="F137" t="e">
            <v>#N/A</v>
          </cell>
          <cell r="G137" t="e">
            <v>#N/A</v>
          </cell>
          <cell r="H137" t="e">
            <v>#N/A</v>
          </cell>
          <cell r="I137" t="e">
            <v>#N/A</v>
          </cell>
          <cell r="J137" t="e">
            <v>#N/A</v>
          </cell>
          <cell r="K137" t="e">
            <v>#N/A</v>
          </cell>
          <cell r="L137" t="e">
            <v>#N/A</v>
          </cell>
          <cell r="M137" t="e">
            <v>#N/A</v>
          </cell>
          <cell r="N137" t="e">
            <v>#N/A</v>
          </cell>
          <cell r="O137" t="e">
            <v>#N/A</v>
          </cell>
          <cell r="P137">
            <v>51.25</v>
          </cell>
          <cell r="Q137">
            <v>0.80292399999999997</v>
          </cell>
          <cell r="R137" t="e">
            <v>#N/A</v>
          </cell>
        </row>
        <row r="138">
          <cell r="A138">
            <v>39667</v>
          </cell>
          <cell r="B138">
            <v>39667</v>
          </cell>
          <cell r="C138" t="str">
            <v>Past</v>
          </cell>
          <cell r="D138">
            <v>50</v>
          </cell>
          <cell r="E138" t="e">
            <v>#N/A</v>
          </cell>
          <cell r="F138" t="e">
            <v>#N/A</v>
          </cell>
          <cell r="G138" t="e">
            <v>#N/A</v>
          </cell>
          <cell r="H138" t="e">
            <v>#N/A</v>
          </cell>
          <cell r="I138" t="e">
            <v>#N/A</v>
          </cell>
          <cell r="J138" t="e">
            <v>#N/A</v>
          </cell>
          <cell r="K138" t="e">
            <v>#N/A</v>
          </cell>
          <cell r="L138" t="e">
            <v>#N/A</v>
          </cell>
          <cell r="M138" t="e">
            <v>#N/A</v>
          </cell>
          <cell r="N138" t="e">
            <v>#N/A</v>
          </cell>
          <cell r="O138" t="e">
            <v>#N/A</v>
          </cell>
          <cell r="P138">
            <v>50</v>
          </cell>
          <cell r="Q138">
            <v>1.1969349999999999</v>
          </cell>
          <cell r="R138" t="e">
            <v>#N/A</v>
          </cell>
        </row>
        <row r="139">
          <cell r="A139">
            <v>39668</v>
          </cell>
          <cell r="B139">
            <v>39668</v>
          </cell>
          <cell r="C139" t="str">
            <v>Past</v>
          </cell>
          <cell r="D139">
            <v>52.7</v>
          </cell>
          <cell r="E139" t="e">
            <v>#N/A</v>
          </cell>
          <cell r="F139" t="e">
            <v>#N/A</v>
          </cell>
          <cell r="G139" t="e">
            <v>#N/A</v>
          </cell>
          <cell r="H139" t="e">
            <v>#N/A</v>
          </cell>
          <cell r="I139" t="e">
            <v>#N/A</v>
          </cell>
          <cell r="J139" t="e">
            <v>#N/A</v>
          </cell>
          <cell r="K139" t="e">
            <v>#N/A</v>
          </cell>
          <cell r="L139" t="e">
            <v>#N/A</v>
          </cell>
          <cell r="M139" t="e">
            <v>#N/A</v>
          </cell>
          <cell r="N139" t="e">
            <v>#N/A</v>
          </cell>
          <cell r="O139" t="e">
            <v>#N/A</v>
          </cell>
          <cell r="P139">
            <v>52.7</v>
          </cell>
          <cell r="Q139">
            <v>1.334784</v>
          </cell>
          <cell r="R139" t="e">
            <v>#N/A</v>
          </cell>
        </row>
        <row r="140">
          <cell r="A140">
            <v>39671</v>
          </cell>
          <cell r="B140">
            <v>39671</v>
          </cell>
          <cell r="C140" t="str">
            <v>Past</v>
          </cell>
          <cell r="D140">
            <v>53.2</v>
          </cell>
          <cell r="E140" t="e">
            <v>#N/A</v>
          </cell>
          <cell r="F140" t="e">
            <v>#N/A</v>
          </cell>
          <cell r="G140" t="e">
            <v>#N/A</v>
          </cell>
          <cell r="H140" t="e">
            <v>#N/A</v>
          </cell>
          <cell r="I140" t="e">
            <v>#N/A</v>
          </cell>
          <cell r="J140" t="e">
            <v>#N/A</v>
          </cell>
          <cell r="K140" t="e">
            <v>#N/A</v>
          </cell>
          <cell r="L140" t="e">
            <v>#N/A</v>
          </cell>
          <cell r="M140" t="e">
            <v>#N/A</v>
          </cell>
          <cell r="N140" t="e">
            <v>#N/A</v>
          </cell>
          <cell r="O140" t="e">
            <v>#N/A</v>
          </cell>
          <cell r="P140">
            <v>53.2</v>
          </cell>
          <cell r="Q140">
            <v>1.3110219999999999</v>
          </cell>
          <cell r="R140" t="e">
            <v>#N/A</v>
          </cell>
        </row>
        <row r="141">
          <cell r="A141">
            <v>39672</v>
          </cell>
          <cell r="B141">
            <v>39672</v>
          </cell>
          <cell r="C141" t="str">
            <v>Past</v>
          </cell>
          <cell r="D141">
            <v>53.21</v>
          </cell>
          <cell r="E141" t="e">
            <v>#N/A</v>
          </cell>
          <cell r="F141" t="e">
            <v>#N/A</v>
          </cell>
          <cell r="G141" t="e">
            <v>#N/A</v>
          </cell>
          <cell r="H141" t="e">
            <v>#N/A</v>
          </cell>
          <cell r="I141" t="e">
            <v>#N/A</v>
          </cell>
          <cell r="J141" t="e">
            <v>#N/A</v>
          </cell>
          <cell r="K141" t="e">
            <v>#N/A</v>
          </cell>
          <cell r="L141" t="e">
            <v>#N/A</v>
          </cell>
          <cell r="M141" t="e">
            <v>#N/A</v>
          </cell>
          <cell r="N141" t="e">
            <v>#N/A</v>
          </cell>
          <cell r="O141" t="e">
            <v>#N/A</v>
          </cell>
          <cell r="P141">
            <v>53.21</v>
          </cell>
          <cell r="Q141">
            <v>0.76755499999999999</v>
          </cell>
          <cell r="R141" t="e">
            <v>#N/A</v>
          </cell>
        </row>
        <row r="142">
          <cell r="A142">
            <v>39673</v>
          </cell>
          <cell r="B142">
            <v>39673</v>
          </cell>
          <cell r="C142" t="str">
            <v>Past</v>
          </cell>
          <cell r="D142">
            <v>52.84</v>
          </cell>
          <cell r="E142" t="e">
            <v>#N/A</v>
          </cell>
          <cell r="F142" t="e">
            <v>#N/A</v>
          </cell>
          <cell r="G142" t="e">
            <v>#N/A</v>
          </cell>
          <cell r="H142" t="e">
            <v>#N/A</v>
          </cell>
          <cell r="I142" t="e">
            <v>#N/A</v>
          </cell>
          <cell r="J142" t="e">
            <v>#N/A</v>
          </cell>
          <cell r="K142" t="e">
            <v>#N/A</v>
          </cell>
          <cell r="L142" t="e">
            <v>#N/A</v>
          </cell>
          <cell r="M142" t="e">
            <v>#N/A</v>
          </cell>
          <cell r="N142" t="e">
            <v>#N/A</v>
          </cell>
          <cell r="O142" t="e">
            <v>#N/A</v>
          </cell>
          <cell r="P142">
            <v>52.84</v>
          </cell>
          <cell r="Q142">
            <v>0.92146499999999998</v>
          </cell>
          <cell r="R142" t="e">
            <v>#N/A</v>
          </cell>
        </row>
        <row r="143">
          <cell r="A143">
            <v>39674</v>
          </cell>
          <cell r="B143">
            <v>39674</v>
          </cell>
          <cell r="C143" t="str">
            <v>Past</v>
          </cell>
          <cell r="D143">
            <v>53.17</v>
          </cell>
          <cell r="E143" t="e">
            <v>#N/A</v>
          </cell>
          <cell r="F143" t="e">
            <v>#N/A</v>
          </cell>
          <cell r="G143" t="e">
            <v>#N/A</v>
          </cell>
          <cell r="H143" t="e">
            <v>#N/A</v>
          </cell>
          <cell r="I143" t="e">
            <v>#N/A</v>
          </cell>
          <cell r="J143" t="e">
            <v>#N/A</v>
          </cell>
          <cell r="K143" t="e">
            <v>#N/A</v>
          </cell>
          <cell r="L143" t="e">
            <v>#N/A</v>
          </cell>
          <cell r="M143" t="e">
            <v>#N/A</v>
          </cell>
          <cell r="N143" t="e">
            <v>#N/A</v>
          </cell>
          <cell r="O143" t="e">
            <v>#N/A</v>
          </cell>
          <cell r="P143">
            <v>53.17</v>
          </cell>
          <cell r="Q143">
            <v>0.62597399999999992</v>
          </cell>
          <cell r="R143" t="e">
            <v>#N/A</v>
          </cell>
        </row>
        <row r="144">
          <cell r="A144">
            <v>39675</v>
          </cell>
          <cell r="B144">
            <v>39675</v>
          </cell>
          <cell r="C144" t="str">
            <v>Past</v>
          </cell>
          <cell r="D144">
            <v>53.68</v>
          </cell>
          <cell r="E144" t="e">
            <v>#N/A</v>
          </cell>
          <cell r="F144" t="e">
            <v>#N/A</v>
          </cell>
          <cell r="G144" t="e">
            <v>#N/A</v>
          </cell>
          <cell r="H144" t="e">
            <v>#N/A</v>
          </cell>
          <cell r="I144" t="e">
            <v>#N/A</v>
          </cell>
          <cell r="J144" t="e">
            <v>#N/A</v>
          </cell>
          <cell r="K144" t="e">
            <v>#N/A</v>
          </cell>
          <cell r="L144" t="e">
            <v>#N/A</v>
          </cell>
          <cell r="M144" t="e">
            <v>#N/A</v>
          </cell>
          <cell r="N144" t="e">
            <v>#N/A</v>
          </cell>
          <cell r="O144" t="e">
            <v>#N/A</v>
          </cell>
          <cell r="P144">
            <v>53.68</v>
          </cell>
          <cell r="Q144">
            <v>0.78139499999999995</v>
          </cell>
          <cell r="R144" t="e">
            <v>#N/A</v>
          </cell>
        </row>
        <row r="145">
          <cell r="A145">
            <v>39678</v>
          </cell>
          <cell r="B145">
            <v>39678</v>
          </cell>
          <cell r="C145" t="str">
            <v>Past</v>
          </cell>
          <cell r="D145">
            <v>53.21</v>
          </cell>
          <cell r="E145" t="e">
            <v>#N/A</v>
          </cell>
          <cell r="F145" t="e">
            <v>#N/A</v>
          </cell>
          <cell r="G145" t="e">
            <v>#N/A</v>
          </cell>
          <cell r="H145" t="e">
            <v>#N/A</v>
          </cell>
          <cell r="I145" t="e">
            <v>#N/A</v>
          </cell>
          <cell r="J145" t="e">
            <v>#N/A</v>
          </cell>
          <cell r="K145" t="e">
            <v>#N/A</v>
          </cell>
          <cell r="L145" t="e">
            <v>#N/A</v>
          </cell>
          <cell r="M145" t="e">
            <v>#N/A</v>
          </cell>
          <cell r="N145" t="e">
            <v>#N/A</v>
          </cell>
          <cell r="O145" t="e">
            <v>#N/A</v>
          </cell>
          <cell r="P145">
            <v>53.21</v>
          </cell>
          <cell r="Q145">
            <v>1.0726069999999999</v>
          </cell>
          <cell r="R145" t="e">
            <v>#N/A</v>
          </cell>
        </row>
        <row r="146">
          <cell r="A146">
            <v>39679</v>
          </cell>
          <cell r="B146">
            <v>39679</v>
          </cell>
          <cell r="C146" t="str">
            <v>Past</v>
          </cell>
          <cell r="D146">
            <v>52</v>
          </cell>
          <cell r="E146" t="e">
            <v>#N/A</v>
          </cell>
          <cell r="F146" t="e">
            <v>#N/A</v>
          </cell>
          <cell r="G146" t="e">
            <v>#N/A</v>
          </cell>
          <cell r="H146" t="e">
            <v>#N/A</v>
          </cell>
          <cell r="I146" t="e">
            <v>#N/A</v>
          </cell>
          <cell r="J146" t="e">
            <v>#N/A</v>
          </cell>
          <cell r="K146" t="e">
            <v>#N/A</v>
          </cell>
          <cell r="L146" t="e">
            <v>#N/A</v>
          </cell>
          <cell r="M146" t="e">
            <v>#N/A</v>
          </cell>
          <cell r="N146" t="e">
            <v>#N/A</v>
          </cell>
          <cell r="O146" t="e">
            <v>#N/A</v>
          </cell>
          <cell r="P146">
            <v>52</v>
          </cell>
          <cell r="Q146">
            <v>1.4836469999999999</v>
          </cell>
          <cell r="R146" t="e">
            <v>#N/A</v>
          </cell>
        </row>
        <row r="147">
          <cell r="A147">
            <v>39680</v>
          </cell>
          <cell r="B147">
            <v>39680</v>
          </cell>
          <cell r="C147" t="str">
            <v>Past</v>
          </cell>
          <cell r="D147">
            <v>51.35</v>
          </cell>
          <cell r="E147" t="e">
            <v>#N/A</v>
          </cell>
          <cell r="F147" t="e">
            <v>#N/A</v>
          </cell>
          <cell r="G147" t="e">
            <v>#N/A</v>
          </cell>
          <cell r="H147" t="e">
            <v>#N/A</v>
          </cell>
          <cell r="I147" t="e">
            <v>#N/A</v>
          </cell>
          <cell r="J147" t="e">
            <v>#N/A</v>
          </cell>
          <cell r="K147" t="e">
            <v>#N/A</v>
          </cell>
          <cell r="L147" t="e">
            <v>#N/A</v>
          </cell>
          <cell r="M147" t="e">
            <v>#N/A</v>
          </cell>
          <cell r="N147" t="e">
            <v>#N/A</v>
          </cell>
          <cell r="O147" t="e">
            <v>#N/A</v>
          </cell>
          <cell r="P147">
            <v>51.35</v>
          </cell>
          <cell r="Q147">
            <v>2.1084510000000001</v>
          </cell>
          <cell r="R147" t="e">
            <v>#N/A</v>
          </cell>
        </row>
        <row r="148">
          <cell r="A148">
            <v>39681</v>
          </cell>
          <cell r="B148">
            <v>39681</v>
          </cell>
          <cell r="C148" t="str">
            <v>Past</v>
          </cell>
          <cell r="D148">
            <v>50.77</v>
          </cell>
          <cell r="E148" t="e">
            <v>#N/A</v>
          </cell>
          <cell r="F148" t="e">
            <v>#N/A</v>
          </cell>
          <cell r="G148" t="e">
            <v>#N/A</v>
          </cell>
          <cell r="H148" t="e">
            <v>#N/A</v>
          </cell>
          <cell r="I148" t="e">
            <v>#N/A</v>
          </cell>
          <cell r="J148" t="e">
            <v>#N/A</v>
          </cell>
          <cell r="K148" t="e">
            <v>#N/A</v>
          </cell>
          <cell r="L148" t="e">
            <v>#N/A</v>
          </cell>
          <cell r="M148" t="e">
            <v>#N/A</v>
          </cell>
          <cell r="N148" t="e">
            <v>#N/A</v>
          </cell>
          <cell r="O148" t="e">
            <v>#N/A</v>
          </cell>
          <cell r="P148">
            <v>50.77</v>
          </cell>
          <cell r="Q148">
            <v>1.1655229999999999</v>
          </cell>
          <cell r="R148" t="e">
            <v>#N/A</v>
          </cell>
        </row>
        <row r="149">
          <cell r="A149">
            <v>39682</v>
          </cell>
          <cell r="B149">
            <v>39682</v>
          </cell>
          <cell r="C149" t="str">
            <v>Past</v>
          </cell>
          <cell r="D149">
            <v>52.28</v>
          </cell>
          <cell r="E149" t="e">
            <v>#N/A</v>
          </cell>
          <cell r="F149" t="e">
            <v>#N/A</v>
          </cell>
          <cell r="G149" t="e">
            <v>#N/A</v>
          </cell>
          <cell r="H149" t="e">
            <v>#N/A</v>
          </cell>
          <cell r="I149" t="e">
            <v>#N/A</v>
          </cell>
          <cell r="J149" t="e">
            <v>#N/A</v>
          </cell>
          <cell r="K149" t="e">
            <v>#N/A</v>
          </cell>
          <cell r="L149" t="e">
            <v>#N/A</v>
          </cell>
          <cell r="M149" t="e">
            <v>#N/A</v>
          </cell>
          <cell r="N149" t="e">
            <v>#N/A</v>
          </cell>
          <cell r="O149" t="e">
            <v>#N/A</v>
          </cell>
          <cell r="P149">
            <v>52.28</v>
          </cell>
          <cell r="Q149">
            <v>0.84543199999999996</v>
          </cell>
          <cell r="R149" t="e">
            <v>#N/A</v>
          </cell>
        </row>
        <row r="150">
          <cell r="A150">
            <v>39685</v>
          </cell>
          <cell r="B150">
            <v>39685</v>
          </cell>
          <cell r="C150" t="str">
            <v>Past</v>
          </cell>
          <cell r="D150">
            <v>51.25</v>
          </cell>
          <cell r="E150" t="e">
            <v>#N/A</v>
          </cell>
          <cell r="F150" t="e">
            <v>#N/A</v>
          </cell>
          <cell r="G150" t="e">
            <v>#N/A</v>
          </cell>
          <cell r="H150" t="e">
            <v>#N/A</v>
          </cell>
          <cell r="I150" t="e">
            <v>#N/A</v>
          </cell>
          <cell r="J150" t="e">
            <v>#N/A</v>
          </cell>
          <cell r="K150" t="e">
            <v>#N/A</v>
          </cell>
          <cell r="L150" t="e">
            <v>#N/A</v>
          </cell>
          <cell r="M150" t="e">
            <v>#N/A</v>
          </cell>
          <cell r="N150" t="e">
            <v>#N/A</v>
          </cell>
          <cell r="O150" t="e">
            <v>#N/A</v>
          </cell>
          <cell r="P150">
            <v>51.25</v>
          </cell>
          <cell r="Q150">
            <v>1.240548</v>
          </cell>
          <cell r="R150" t="e">
            <v>#N/A</v>
          </cell>
        </row>
        <row r="151">
          <cell r="A151">
            <v>39686</v>
          </cell>
          <cell r="B151">
            <v>39686</v>
          </cell>
          <cell r="C151" t="str">
            <v>Past</v>
          </cell>
          <cell r="D151">
            <v>51.81</v>
          </cell>
          <cell r="E151" t="e">
            <v>#N/A</v>
          </cell>
          <cell r="F151" t="e">
            <v>#N/A</v>
          </cell>
          <cell r="G151" t="e">
            <v>#N/A</v>
          </cell>
          <cell r="H151" t="e">
            <v>#N/A</v>
          </cell>
          <cell r="I151" t="e">
            <v>#N/A</v>
          </cell>
          <cell r="J151" t="e">
            <v>#N/A</v>
          </cell>
          <cell r="K151" t="e">
            <v>#N/A</v>
          </cell>
          <cell r="L151" t="e">
            <v>#N/A</v>
          </cell>
          <cell r="M151" t="e">
            <v>#N/A</v>
          </cell>
          <cell r="N151" t="e">
            <v>#N/A</v>
          </cell>
          <cell r="O151" t="e">
            <v>#N/A</v>
          </cell>
          <cell r="P151">
            <v>51.81</v>
          </cell>
          <cell r="Q151">
            <v>1.1626159999999999</v>
          </cell>
          <cell r="R151" t="e">
            <v>#N/A</v>
          </cell>
        </row>
        <row r="152">
          <cell r="A152">
            <v>39687</v>
          </cell>
          <cell r="B152">
            <v>39687</v>
          </cell>
          <cell r="C152" t="str">
            <v>Past</v>
          </cell>
          <cell r="D152">
            <v>51.97</v>
          </cell>
          <cell r="E152" t="e">
            <v>#N/A</v>
          </cell>
          <cell r="F152" t="e">
            <v>#N/A</v>
          </cell>
          <cell r="G152" t="e">
            <v>#N/A</v>
          </cell>
          <cell r="H152" t="e">
            <v>#N/A</v>
          </cell>
          <cell r="I152" t="e">
            <v>#N/A</v>
          </cell>
          <cell r="J152" t="e">
            <v>#N/A</v>
          </cell>
          <cell r="K152" t="e">
            <v>#N/A</v>
          </cell>
          <cell r="L152" t="e">
            <v>#N/A</v>
          </cell>
          <cell r="M152" t="e">
            <v>#N/A</v>
          </cell>
          <cell r="N152" t="e">
            <v>#N/A</v>
          </cell>
          <cell r="O152" t="e">
            <v>#N/A</v>
          </cell>
          <cell r="P152">
            <v>51.97</v>
          </cell>
          <cell r="Q152">
            <v>1.336713</v>
          </cell>
          <cell r="R152" t="e">
            <v>#N/A</v>
          </cell>
        </row>
        <row r="153">
          <cell r="A153">
            <v>39688</v>
          </cell>
          <cell r="B153">
            <v>39688</v>
          </cell>
          <cell r="C153" t="str">
            <v>Past</v>
          </cell>
          <cell r="D153">
            <v>53.22</v>
          </cell>
          <cell r="E153" t="e">
            <v>#N/A</v>
          </cell>
          <cell r="F153" t="e">
            <v>#N/A</v>
          </cell>
          <cell r="G153" t="e">
            <v>#N/A</v>
          </cell>
          <cell r="H153" t="e">
            <v>#N/A</v>
          </cell>
          <cell r="I153" t="e">
            <v>#N/A</v>
          </cell>
          <cell r="J153" t="e">
            <v>#N/A</v>
          </cell>
          <cell r="K153" t="e">
            <v>#N/A</v>
          </cell>
          <cell r="L153" t="e">
            <v>#N/A</v>
          </cell>
          <cell r="M153" t="e">
            <v>#N/A</v>
          </cell>
          <cell r="N153" t="e">
            <v>#N/A</v>
          </cell>
          <cell r="O153" t="e">
            <v>#N/A</v>
          </cell>
          <cell r="P153">
            <v>53.22</v>
          </cell>
          <cell r="Q153">
            <v>0.81744600000000001</v>
          </cell>
          <cell r="R153" t="e">
            <v>#N/A</v>
          </cell>
        </row>
        <row r="154">
          <cell r="A154">
            <v>39689</v>
          </cell>
          <cell r="B154">
            <v>39689</v>
          </cell>
          <cell r="C154" t="str">
            <v>Past</v>
          </cell>
          <cell r="D154">
            <v>52.59</v>
          </cell>
          <cell r="E154" t="e">
            <v>#N/A</v>
          </cell>
          <cell r="F154" t="e">
            <v>#N/A</v>
          </cell>
          <cell r="G154" t="e">
            <v>#N/A</v>
          </cell>
          <cell r="H154" t="e">
            <v>#N/A</v>
          </cell>
          <cell r="I154" t="e">
            <v>#N/A</v>
          </cell>
          <cell r="J154" t="e">
            <v>#N/A</v>
          </cell>
          <cell r="K154" t="e">
            <v>#N/A</v>
          </cell>
          <cell r="L154" t="e">
            <v>#N/A</v>
          </cell>
          <cell r="M154" t="e">
            <v>#N/A</v>
          </cell>
          <cell r="N154" t="e">
            <v>#N/A</v>
          </cell>
          <cell r="O154" t="e">
            <v>#N/A</v>
          </cell>
          <cell r="P154">
            <v>52.59</v>
          </cell>
          <cell r="Q154">
            <v>0.62557000000000007</v>
          </cell>
          <cell r="R154" t="e">
            <v>#N/A</v>
          </cell>
        </row>
        <row r="155">
          <cell r="A155">
            <v>39693</v>
          </cell>
          <cell r="B155">
            <v>39693</v>
          </cell>
          <cell r="C155" t="str">
            <v>Past</v>
          </cell>
          <cell r="D155">
            <v>52.94</v>
          </cell>
          <cell r="E155" t="e">
            <v>#N/A</v>
          </cell>
          <cell r="F155" t="e">
            <v>#N/A</v>
          </cell>
          <cell r="G155" t="e">
            <v>#N/A</v>
          </cell>
          <cell r="H155" t="e">
            <v>#N/A</v>
          </cell>
          <cell r="I155" t="e">
            <v>#N/A</v>
          </cell>
          <cell r="J155" t="e">
            <v>#N/A</v>
          </cell>
          <cell r="K155" t="e">
            <v>#N/A</v>
          </cell>
          <cell r="L155" t="e">
            <v>#N/A</v>
          </cell>
          <cell r="M155" t="e">
            <v>#N/A</v>
          </cell>
          <cell r="N155" t="e">
            <v>#N/A</v>
          </cell>
          <cell r="O155" t="e">
            <v>#N/A</v>
          </cell>
          <cell r="P155">
            <v>52.94</v>
          </cell>
          <cell r="Q155">
            <v>0.746313</v>
          </cell>
          <cell r="R155" t="e">
            <v>#N/A</v>
          </cell>
        </row>
        <row r="156">
          <cell r="A156">
            <v>39694</v>
          </cell>
          <cell r="B156">
            <v>39694</v>
          </cell>
          <cell r="C156" t="str">
            <v>Past</v>
          </cell>
          <cell r="D156">
            <v>52.88</v>
          </cell>
          <cell r="E156" t="e">
            <v>#N/A</v>
          </cell>
          <cell r="F156" t="e">
            <v>#N/A</v>
          </cell>
          <cell r="G156" t="e">
            <v>#N/A</v>
          </cell>
          <cell r="H156" t="e">
            <v>#N/A</v>
          </cell>
          <cell r="I156" t="e">
            <v>#N/A</v>
          </cell>
          <cell r="J156" t="e">
            <v>#N/A</v>
          </cell>
          <cell r="K156" t="e">
            <v>#N/A</v>
          </cell>
          <cell r="L156" t="e">
            <v>#N/A</v>
          </cell>
          <cell r="M156" t="e">
            <v>#N/A</v>
          </cell>
          <cell r="N156" t="e">
            <v>#N/A</v>
          </cell>
          <cell r="O156" t="e">
            <v>#N/A</v>
          </cell>
          <cell r="P156">
            <v>52.88</v>
          </cell>
          <cell r="Q156">
            <v>0.64024499999999995</v>
          </cell>
          <cell r="R156" t="e">
            <v>#N/A</v>
          </cell>
        </row>
        <row r="157">
          <cell r="A157">
            <v>39695</v>
          </cell>
          <cell r="B157">
            <v>39695</v>
          </cell>
          <cell r="C157" t="str">
            <v>Past</v>
          </cell>
          <cell r="D157">
            <v>51.73</v>
          </cell>
          <cell r="E157" t="e">
            <v>#N/A</v>
          </cell>
          <cell r="F157" t="e">
            <v>#N/A</v>
          </cell>
          <cell r="G157" t="e">
            <v>#N/A</v>
          </cell>
          <cell r="H157" t="e">
            <v>#N/A</v>
          </cell>
          <cell r="I157" t="e">
            <v>#N/A</v>
          </cell>
          <cell r="J157" t="e">
            <v>#N/A</v>
          </cell>
          <cell r="K157" t="e">
            <v>#N/A</v>
          </cell>
          <cell r="L157" t="e">
            <v>#N/A</v>
          </cell>
          <cell r="M157" t="e">
            <v>#N/A</v>
          </cell>
          <cell r="N157" t="e">
            <v>#N/A</v>
          </cell>
          <cell r="O157" t="e">
            <v>#N/A</v>
          </cell>
          <cell r="P157">
            <v>51.73</v>
          </cell>
          <cell r="Q157">
            <v>1.5427729999999999</v>
          </cell>
          <cell r="R157" t="e">
            <v>#N/A</v>
          </cell>
        </row>
        <row r="158">
          <cell r="A158">
            <v>39696</v>
          </cell>
          <cell r="B158">
            <v>39696</v>
          </cell>
          <cell r="C158" t="str">
            <v>Past</v>
          </cell>
          <cell r="D158">
            <v>51.75</v>
          </cell>
          <cell r="E158" t="e">
            <v>#N/A</v>
          </cell>
          <cell r="F158" t="e">
            <v>#N/A</v>
          </cell>
          <cell r="G158" t="e">
            <v>#N/A</v>
          </cell>
          <cell r="H158" t="e">
            <v>#N/A</v>
          </cell>
          <cell r="I158" t="e">
            <v>#N/A</v>
          </cell>
          <cell r="J158" t="e">
            <v>#N/A</v>
          </cell>
          <cell r="K158" t="e">
            <v>#N/A</v>
          </cell>
          <cell r="L158" t="e">
            <v>#N/A</v>
          </cell>
          <cell r="M158" t="e">
            <v>#N/A</v>
          </cell>
          <cell r="N158" t="e">
            <v>#N/A</v>
          </cell>
          <cell r="O158" t="e">
            <v>#N/A</v>
          </cell>
          <cell r="P158">
            <v>51.75</v>
          </cell>
          <cell r="Q158">
            <v>0.92921399999999998</v>
          </cell>
          <cell r="R158" t="e">
            <v>#N/A</v>
          </cell>
        </row>
        <row r="159">
          <cell r="A159">
            <v>39699</v>
          </cell>
          <cell r="B159">
            <v>39699</v>
          </cell>
          <cell r="C159" t="str">
            <v>Past</v>
          </cell>
          <cell r="D159">
            <v>52.24</v>
          </cell>
          <cell r="E159" t="e">
            <v>#N/A</v>
          </cell>
          <cell r="F159" t="e">
            <v>#N/A</v>
          </cell>
          <cell r="G159" t="e">
            <v>#N/A</v>
          </cell>
          <cell r="H159" t="e">
            <v>#N/A</v>
          </cell>
          <cell r="I159" t="e">
            <v>#N/A</v>
          </cell>
          <cell r="J159" t="e">
            <v>#N/A</v>
          </cell>
          <cell r="K159" t="e">
            <v>#N/A</v>
          </cell>
          <cell r="L159" t="e">
            <v>#N/A</v>
          </cell>
          <cell r="M159" t="e">
            <v>#N/A</v>
          </cell>
          <cell r="N159" t="e">
            <v>#N/A</v>
          </cell>
          <cell r="O159" t="e">
            <v>#N/A</v>
          </cell>
          <cell r="P159">
            <v>52.24</v>
          </cell>
          <cell r="Q159">
            <v>1.8556509999999999</v>
          </cell>
          <cell r="R159" t="e">
            <v>#N/A</v>
          </cell>
        </row>
        <row r="160">
          <cell r="A160">
            <v>39700</v>
          </cell>
          <cell r="B160">
            <v>39700</v>
          </cell>
          <cell r="C160" t="str">
            <v>Past</v>
          </cell>
          <cell r="D160">
            <v>51.56</v>
          </cell>
          <cell r="E160" t="e">
            <v>#N/A</v>
          </cell>
          <cell r="F160" t="e">
            <v>#N/A</v>
          </cell>
          <cell r="G160" t="e">
            <v>#N/A</v>
          </cell>
          <cell r="H160" t="e">
            <v>#N/A</v>
          </cell>
          <cell r="I160" t="e">
            <v>#N/A</v>
          </cell>
          <cell r="J160" t="e">
            <v>#N/A</v>
          </cell>
          <cell r="K160" t="e">
            <v>#N/A</v>
          </cell>
          <cell r="L160" t="e">
            <v>#N/A</v>
          </cell>
          <cell r="M160" t="e">
            <v>#N/A</v>
          </cell>
          <cell r="N160" t="e">
            <v>#N/A</v>
          </cell>
          <cell r="O160" t="e">
            <v>#N/A</v>
          </cell>
          <cell r="P160">
            <v>51.56</v>
          </cell>
          <cell r="Q160">
            <v>1.6794939999999998</v>
          </cell>
          <cell r="R160" t="e">
            <v>#N/A</v>
          </cell>
        </row>
        <row r="161">
          <cell r="A161">
            <v>39701</v>
          </cell>
          <cell r="B161">
            <v>39701</v>
          </cell>
          <cell r="C161" t="str">
            <v>Past</v>
          </cell>
          <cell r="D161">
            <v>49.7</v>
          </cell>
          <cell r="E161" t="e">
            <v>#N/A</v>
          </cell>
          <cell r="F161" t="e">
            <v>#N/A</v>
          </cell>
          <cell r="G161" t="e">
            <v>#N/A</v>
          </cell>
          <cell r="H161" t="e">
            <v>#N/A</v>
          </cell>
          <cell r="I161" t="e">
            <v>#N/A</v>
          </cell>
          <cell r="J161" t="e">
            <v>#N/A</v>
          </cell>
          <cell r="K161" t="e">
            <v>#N/A</v>
          </cell>
          <cell r="L161" t="e">
            <v>#N/A</v>
          </cell>
          <cell r="M161" t="e">
            <v>#N/A</v>
          </cell>
          <cell r="N161" t="e">
            <v>#N/A</v>
          </cell>
          <cell r="O161" t="e">
            <v>#N/A</v>
          </cell>
          <cell r="P161">
            <v>49.7</v>
          </cell>
          <cell r="Q161">
            <v>2.219163</v>
          </cell>
          <cell r="R161" t="e">
            <v>#N/A</v>
          </cell>
        </row>
        <row r="162">
          <cell r="A162">
            <v>39702</v>
          </cell>
          <cell r="B162">
            <v>39702</v>
          </cell>
          <cell r="C162" t="str">
            <v>Past</v>
          </cell>
          <cell r="D162">
            <v>51.85</v>
          </cell>
          <cell r="E162" t="e">
            <v>#N/A</v>
          </cell>
          <cell r="F162" t="e">
            <v>#N/A</v>
          </cell>
          <cell r="G162" t="e">
            <v>#N/A</v>
          </cell>
          <cell r="H162" t="e">
            <v>#N/A</v>
          </cell>
          <cell r="I162" t="e">
            <v>#N/A</v>
          </cell>
          <cell r="J162" t="e">
            <v>#N/A</v>
          </cell>
          <cell r="K162" t="e">
            <v>#N/A</v>
          </cell>
          <cell r="L162" t="e">
            <v>#N/A</v>
          </cell>
          <cell r="M162" t="e">
            <v>#N/A</v>
          </cell>
          <cell r="N162" t="e">
            <v>#N/A</v>
          </cell>
          <cell r="O162" t="e">
            <v>#N/A</v>
          </cell>
          <cell r="P162">
            <v>51.85</v>
          </cell>
          <cell r="Q162">
            <v>1.993026</v>
          </cell>
          <cell r="R162" t="e">
            <v>#N/A</v>
          </cell>
        </row>
        <row r="163">
          <cell r="A163">
            <v>39703</v>
          </cell>
          <cell r="B163">
            <v>39703</v>
          </cell>
          <cell r="C163" t="str">
            <v>Past</v>
          </cell>
          <cell r="D163">
            <v>53.02</v>
          </cell>
          <cell r="E163" t="e">
            <v>#N/A</v>
          </cell>
          <cell r="F163" t="e">
            <v>#N/A</v>
          </cell>
          <cell r="G163" t="e">
            <v>#N/A</v>
          </cell>
          <cell r="H163" t="e">
            <v>#N/A</v>
          </cell>
          <cell r="I163" t="e">
            <v>#N/A</v>
          </cell>
          <cell r="J163" t="e">
            <v>#N/A</v>
          </cell>
          <cell r="K163" t="e">
            <v>#N/A</v>
          </cell>
          <cell r="L163" t="e">
            <v>#N/A</v>
          </cell>
          <cell r="M163" t="e">
            <v>#N/A</v>
          </cell>
          <cell r="N163" t="e">
            <v>#N/A</v>
          </cell>
          <cell r="O163" t="e">
            <v>#N/A</v>
          </cell>
          <cell r="P163">
            <v>53.02</v>
          </cell>
          <cell r="Q163">
            <v>1.5557289999999999</v>
          </cell>
          <cell r="R163" t="e">
            <v>#N/A</v>
          </cell>
        </row>
        <row r="164">
          <cell r="A164">
            <v>39706</v>
          </cell>
          <cell r="B164">
            <v>39706</v>
          </cell>
          <cell r="C164" t="str">
            <v>Past</v>
          </cell>
          <cell r="D164">
            <v>51.88</v>
          </cell>
          <cell r="E164" t="e">
            <v>#N/A</v>
          </cell>
          <cell r="F164" t="e">
            <v>#N/A</v>
          </cell>
          <cell r="G164" t="e">
            <v>#N/A</v>
          </cell>
          <cell r="H164" t="e">
            <v>#N/A</v>
          </cell>
          <cell r="I164" t="e">
            <v>#N/A</v>
          </cell>
          <cell r="J164" t="e">
            <v>#N/A</v>
          </cell>
          <cell r="K164" t="e">
            <v>#N/A</v>
          </cell>
          <cell r="L164" t="e">
            <v>#N/A</v>
          </cell>
          <cell r="M164" t="e">
            <v>#N/A</v>
          </cell>
          <cell r="N164" t="e">
            <v>#N/A</v>
          </cell>
          <cell r="O164" t="e">
            <v>#N/A</v>
          </cell>
          <cell r="P164">
            <v>51.88</v>
          </cell>
          <cell r="Q164">
            <v>1.45784</v>
          </cell>
          <cell r="R164" t="e">
            <v>#N/A</v>
          </cell>
        </row>
        <row r="165">
          <cell r="A165">
            <v>39707</v>
          </cell>
          <cell r="B165">
            <v>39707</v>
          </cell>
          <cell r="C165" t="str">
            <v>Past</v>
          </cell>
          <cell r="D165">
            <v>51.16</v>
          </cell>
          <cell r="E165" t="e">
            <v>#N/A</v>
          </cell>
          <cell r="F165" t="e">
            <v>#N/A</v>
          </cell>
          <cell r="G165" t="e">
            <v>#N/A</v>
          </cell>
          <cell r="H165" t="e">
            <v>#N/A</v>
          </cell>
          <cell r="I165" t="e">
            <v>#N/A</v>
          </cell>
          <cell r="J165" t="e">
            <v>#N/A</v>
          </cell>
          <cell r="K165" t="e">
            <v>#N/A</v>
          </cell>
          <cell r="L165" t="e">
            <v>#N/A</v>
          </cell>
          <cell r="M165" t="e">
            <v>#N/A</v>
          </cell>
          <cell r="N165" t="e">
            <v>#N/A</v>
          </cell>
          <cell r="O165" t="e">
            <v>#N/A</v>
          </cell>
          <cell r="P165">
            <v>51.16</v>
          </cell>
          <cell r="Q165">
            <v>2.3069700000000002</v>
          </cell>
          <cell r="R165" t="e">
            <v>#N/A</v>
          </cell>
        </row>
        <row r="166">
          <cell r="A166">
            <v>39708</v>
          </cell>
          <cell r="B166">
            <v>39708</v>
          </cell>
          <cell r="C166" t="str">
            <v>Past</v>
          </cell>
          <cell r="D166">
            <v>48.4</v>
          </cell>
          <cell r="E166" t="e">
            <v>#N/A</v>
          </cell>
          <cell r="F166" t="e">
            <v>#N/A</v>
          </cell>
          <cell r="G166" t="e">
            <v>#N/A</v>
          </cell>
          <cell r="H166" t="e">
            <v>#N/A</v>
          </cell>
          <cell r="I166" t="e">
            <v>#N/A</v>
          </cell>
          <cell r="J166" t="e">
            <v>#N/A</v>
          </cell>
          <cell r="K166" t="e">
            <v>#N/A</v>
          </cell>
          <cell r="L166" t="e">
            <v>#N/A</v>
          </cell>
          <cell r="M166" t="e">
            <v>#N/A</v>
          </cell>
          <cell r="N166" t="e">
            <v>#N/A</v>
          </cell>
          <cell r="O166" t="e">
            <v>#N/A</v>
          </cell>
          <cell r="P166">
            <v>48.4</v>
          </cell>
          <cell r="Q166">
            <v>2.4181319999999999</v>
          </cell>
          <cell r="R166" t="e">
            <v>#N/A</v>
          </cell>
        </row>
        <row r="167">
          <cell r="A167">
            <v>39709</v>
          </cell>
          <cell r="B167">
            <v>39709</v>
          </cell>
          <cell r="C167" t="str">
            <v>Past</v>
          </cell>
          <cell r="D167">
            <v>49.14</v>
          </cell>
          <cell r="E167" t="e">
            <v>#N/A</v>
          </cell>
          <cell r="F167" t="e">
            <v>#N/A</v>
          </cell>
          <cell r="G167" t="e">
            <v>#N/A</v>
          </cell>
          <cell r="H167" t="e">
            <v>#N/A</v>
          </cell>
          <cell r="I167" t="e">
            <v>#N/A</v>
          </cell>
          <cell r="J167" t="e">
            <v>#N/A</v>
          </cell>
          <cell r="K167" t="e">
            <v>#N/A</v>
          </cell>
          <cell r="L167" t="e">
            <v>#N/A</v>
          </cell>
          <cell r="M167" t="e">
            <v>#N/A</v>
          </cell>
          <cell r="N167" t="e">
            <v>#N/A</v>
          </cell>
          <cell r="O167" t="e">
            <v>#N/A</v>
          </cell>
          <cell r="P167">
            <v>49.14</v>
          </cell>
          <cell r="Q167">
            <v>2.2509950000000001</v>
          </cell>
          <cell r="R167" t="e">
            <v>#N/A</v>
          </cell>
        </row>
        <row r="168">
          <cell r="A168">
            <v>39710</v>
          </cell>
          <cell r="B168">
            <v>39710</v>
          </cell>
          <cell r="C168" t="str">
            <v>Past</v>
          </cell>
          <cell r="D168">
            <v>50.1</v>
          </cell>
          <cell r="E168" t="e">
            <v>#N/A</v>
          </cell>
          <cell r="F168" t="e">
            <v>#N/A</v>
          </cell>
          <cell r="G168" t="e">
            <v>#N/A</v>
          </cell>
          <cell r="H168" t="e">
            <v>#N/A</v>
          </cell>
          <cell r="I168" t="e">
            <v>#N/A</v>
          </cell>
          <cell r="J168" t="e">
            <v>#N/A</v>
          </cell>
          <cell r="K168" t="e">
            <v>#N/A</v>
          </cell>
          <cell r="L168" t="e">
            <v>#N/A</v>
          </cell>
          <cell r="M168" t="e">
            <v>#N/A</v>
          </cell>
          <cell r="N168" t="e">
            <v>#N/A</v>
          </cell>
          <cell r="O168" t="e">
            <v>#N/A</v>
          </cell>
          <cell r="P168">
            <v>50.1</v>
          </cell>
          <cell r="Q168">
            <v>1.7598429999999998</v>
          </cell>
          <cell r="R168" t="e">
            <v>#N/A</v>
          </cell>
        </row>
        <row r="169">
          <cell r="A169">
            <v>39713</v>
          </cell>
          <cell r="B169">
            <v>39713</v>
          </cell>
          <cell r="C169" t="str">
            <v>Past</v>
          </cell>
          <cell r="D169">
            <v>48.59</v>
          </cell>
          <cell r="E169" t="e">
            <v>#N/A</v>
          </cell>
          <cell r="F169" t="e">
            <v>#N/A</v>
          </cell>
          <cell r="G169" t="e">
            <v>#N/A</v>
          </cell>
          <cell r="H169" t="e">
            <v>#N/A</v>
          </cell>
          <cell r="I169" t="e">
            <v>#N/A</v>
          </cell>
          <cell r="J169" t="e">
            <v>#N/A</v>
          </cell>
          <cell r="K169" t="e">
            <v>#N/A</v>
          </cell>
          <cell r="L169" t="e">
            <v>#N/A</v>
          </cell>
          <cell r="M169" t="e">
            <v>#N/A</v>
          </cell>
          <cell r="N169" t="e">
            <v>#N/A</v>
          </cell>
          <cell r="O169" t="e">
            <v>#N/A</v>
          </cell>
          <cell r="P169">
            <v>48.59</v>
          </cell>
          <cell r="Q169">
            <v>0.980792</v>
          </cell>
          <cell r="R169" t="e">
            <v>#N/A</v>
          </cell>
        </row>
        <row r="170">
          <cell r="A170">
            <v>39714</v>
          </cell>
          <cell r="B170">
            <v>39714</v>
          </cell>
          <cell r="C170" t="str">
            <v>Past</v>
          </cell>
          <cell r="D170">
            <v>47.49</v>
          </cell>
          <cell r="E170" t="e">
            <v>#N/A</v>
          </cell>
          <cell r="F170" t="e">
            <v>#N/A</v>
          </cell>
          <cell r="G170" t="e">
            <v>#N/A</v>
          </cell>
          <cell r="H170" t="e">
            <v>#N/A</v>
          </cell>
          <cell r="I170" t="e">
            <v>#N/A</v>
          </cell>
          <cell r="J170" t="e">
            <v>#N/A</v>
          </cell>
          <cell r="K170" t="e">
            <v>#N/A</v>
          </cell>
          <cell r="L170" t="e">
            <v>#N/A</v>
          </cell>
          <cell r="M170" t="e">
            <v>#N/A</v>
          </cell>
          <cell r="N170" t="e">
            <v>#N/A</v>
          </cell>
          <cell r="O170" t="e">
            <v>#N/A</v>
          </cell>
          <cell r="P170">
            <v>47.49</v>
          </cell>
          <cell r="Q170">
            <v>0.62404499999999996</v>
          </cell>
          <cell r="R170" t="e">
            <v>#N/A</v>
          </cell>
        </row>
        <row r="171">
          <cell r="A171">
            <v>39715</v>
          </cell>
          <cell r="B171">
            <v>39715</v>
          </cell>
          <cell r="C171" t="str">
            <v>Past</v>
          </cell>
          <cell r="D171">
            <v>46.67</v>
          </cell>
          <cell r="E171" t="e">
            <v>#N/A</v>
          </cell>
          <cell r="F171" t="e">
            <v>#N/A</v>
          </cell>
          <cell r="G171" t="e">
            <v>#N/A</v>
          </cell>
          <cell r="H171" t="e">
            <v>#N/A</v>
          </cell>
          <cell r="I171" t="e">
            <v>#N/A</v>
          </cell>
          <cell r="J171" t="e">
            <v>#N/A</v>
          </cell>
          <cell r="K171" t="e">
            <v>#N/A</v>
          </cell>
          <cell r="L171" t="e">
            <v>#N/A</v>
          </cell>
          <cell r="M171" t="e">
            <v>#N/A</v>
          </cell>
          <cell r="N171" t="e">
            <v>#N/A</v>
          </cell>
          <cell r="O171" t="e">
            <v>#N/A</v>
          </cell>
          <cell r="P171">
            <v>46.67</v>
          </cell>
          <cell r="Q171">
            <v>1.2227000000000001</v>
          </cell>
          <cell r="R171" t="e">
            <v>#N/A</v>
          </cell>
        </row>
        <row r="172">
          <cell r="A172">
            <v>39716</v>
          </cell>
          <cell r="B172">
            <v>39716</v>
          </cell>
          <cell r="C172" t="str">
            <v>Past</v>
          </cell>
          <cell r="D172">
            <v>46.96</v>
          </cell>
          <cell r="E172" t="e">
            <v>#N/A</v>
          </cell>
          <cell r="F172" t="e">
            <v>#N/A</v>
          </cell>
          <cell r="G172" t="e">
            <v>#N/A</v>
          </cell>
          <cell r="H172" t="e">
            <v>#N/A</v>
          </cell>
          <cell r="I172" t="e">
            <v>#N/A</v>
          </cell>
          <cell r="J172" t="e">
            <v>#N/A</v>
          </cell>
          <cell r="K172" t="e">
            <v>#N/A</v>
          </cell>
          <cell r="L172" t="e">
            <v>#N/A</v>
          </cell>
          <cell r="M172" t="e">
            <v>#N/A</v>
          </cell>
          <cell r="N172" t="e">
            <v>#N/A</v>
          </cell>
          <cell r="O172" t="e">
            <v>#N/A</v>
          </cell>
          <cell r="P172">
            <v>46.96</v>
          </cell>
          <cell r="Q172">
            <v>1.0320590000000001</v>
          </cell>
          <cell r="R172" t="e">
            <v>#N/A</v>
          </cell>
        </row>
        <row r="173">
          <cell r="A173">
            <v>39717</v>
          </cell>
          <cell r="B173">
            <v>39717</v>
          </cell>
          <cell r="C173" t="str">
            <v>Past</v>
          </cell>
          <cell r="D173">
            <v>47.65</v>
          </cell>
          <cell r="E173" t="e">
            <v>#N/A</v>
          </cell>
          <cell r="F173" t="e">
            <v>#N/A</v>
          </cell>
          <cell r="G173" t="e">
            <v>#N/A</v>
          </cell>
          <cell r="H173" t="e">
            <v>#N/A</v>
          </cell>
          <cell r="I173" t="e">
            <v>#N/A</v>
          </cell>
          <cell r="J173" t="e">
            <v>#N/A</v>
          </cell>
          <cell r="K173" t="e">
            <v>#N/A</v>
          </cell>
          <cell r="L173" t="e">
            <v>#N/A</v>
          </cell>
          <cell r="M173" t="e">
            <v>#N/A</v>
          </cell>
          <cell r="N173" t="e">
            <v>#N/A</v>
          </cell>
          <cell r="O173" t="e">
            <v>#N/A</v>
          </cell>
          <cell r="P173">
            <v>47.65</v>
          </cell>
          <cell r="Q173">
            <v>1.1378000000000001</v>
          </cell>
          <cell r="R173" t="e">
            <v>#N/A</v>
          </cell>
        </row>
        <row r="174">
          <cell r="A174">
            <v>39720</v>
          </cell>
          <cell r="B174">
            <v>39720</v>
          </cell>
          <cell r="C174" t="str">
            <v>Past</v>
          </cell>
          <cell r="D174">
            <v>46.55</v>
          </cell>
          <cell r="E174" t="e">
            <v>#N/A</v>
          </cell>
          <cell r="F174" t="e">
            <v>#N/A</v>
          </cell>
          <cell r="G174" t="e">
            <v>#N/A</v>
          </cell>
          <cell r="H174" t="e">
            <v>#N/A</v>
          </cell>
          <cell r="I174" t="e">
            <v>#N/A</v>
          </cell>
          <cell r="J174" t="e">
            <v>#N/A</v>
          </cell>
          <cell r="K174" t="e">
            <v>#N/A</v>
          </cell>
          <cell r="L174" t="e">
            <v>#N/A</v>
          </cell>
          <cell r="M174" t="e">
            <v>#N/A</v>
          </cell>
          <cell r="N174" t="e">
            <v>#N/A</v>
          </cell>
          <cell r="O174" t="e">
            <v>#N/A</v>
          </cell>
          <cell r="P174">
            <v>46.55</v>
          </cell>
          <cell r="Q174">
            <v>2.34409</v>
          </cell>
          <cell r="R174" t="e">
            <v>#N/A</v>
          </cell>
        </row>
        <row r="175">
          <cell r="A175">
            <v>39721</v>
          </cell>
          <cell r="B175">
            <v>39721</v>
          </cell>
          <cell r="C175" t="str">
            <v>Past</v>
          </cell>
          <cell r="D175">
            <v>48.09</v>
          </cell>
          <cell r="E175" t="e">
            <v>#N/A</v>
          </cell>
          <cell r="F175" t="e">
            <v>#N/A</v>
          </cell>
          <cell r="G175" t="e">
            <v>#N/A</v>
          </cell>
          <cell r="H175" t="e">
            <v>#N/A</v>
          </cell>
          <cell r="I175" t="e">
            <v>#N/A</v>
          </cell>
          <cell r="J175" t="e">
            <v>#N/A</v>
          </cell>
          <cell r="K175" t="e">
            <v>#N/A</v>
          </cell>
          <cell r="L175" t="e">
            <v>#N/A</v>
          </cell>
          <cell r="M175" t="e">
            <v>#N/A</v>
          </cell>
          <cell r="N175" t="e">
            <v>#N/A</v>
          </cell>
          <cell r="O175" t="e">
            <v>#N/A</v>
          </cell>
          <cell r="P175">
            <v>48.09</v>
          </cell>
          <cell r="Q175">
            <v>1.6793589999999998</v>
          </cell>
          <cell r="R175" t="e">
            <v>#N/A</v>
          </cell>
        </row>
        <row r="176">
          <cell r="A176">
            <v>39722</v>
          </cell>
          <cell r="B176">
            <v>39722</v>
          </cell>
          <cell r="C176" t="str">
            <v>Past</v>
          </cell>
          <cell r="D176">
            <v>47.38</v>
          </cell>
          <cell r="E176" t="e">
            <v>#N/A</v>
          </cell>
          <cell r="F176" t="e">
            <v>#N/A</v>
          </cell>
          <cell r="G176" t="e">
            <v>#N/A</v>
          </cell>
          <cell r="H176" t="e">
            <v>#N/A</v>
          </cell>
          <cell r="I176" t="e">
            <v>#N/A</v>
          </cell>
          <cell r="J176" t="e">
            <v>#N/A</v>
          </cell>
          <cell r="K176" t="e">
            <v>#N/A</v>
          </cell>
          <cell r="L176" t="e">
            <v>#N/A</v>
          </cell>
          <cell r="M176" t="e">
            <v>#N/A</v>
          </cell>
          <cell r="N176" t="e">
            <v>#N/A</v>
          </cell>
          <cell r="O176" t="e">
            <v>#N/A</v>
          </cell>
          <cell r="P176">
            <v>47.38</v>
          </cell>
          <cell r="Q176">
            <v>1.4053179999999998</v>
          </cell>
          <cell r="R176" t="e">
            <v>#N/A</v>
          </cell>
        </row>
        <row r="177">
          <cell r="A177">
            <v>39723</v>
          </cell>
          <cell r="B177">
            <v>39723</v>
          </cell>
          <cell r="C177" t="str">
            <v>Past</v>
          </cell>
          <cell r="D177">
            <v>44.69</v>
          </cell>
          <cell r="E177" t="e">
            <v>#N/A</v>
          </cell>
          <cell r="F177" t="e">
            <v>#N/A</v>
          </cell>
          <cell r="G177" t="e">
            <v>#N/A</v>
          </cell>
          <cell r="H177" t="e">
            <v>#N/A</v>
          </cell>
          <cell r="I177" t="e">
            <v>#N/A</v>
          </cell>
          <cell r="J177" t="e">
            <v>#N/A</v>
          </cell>
          <cell r="K177" t="e">
            <v>#N/A</v>
          </cell>
          <cell r="L177" t="e">
            <v>#N/A</v>
          </cell>
          <cell r="M177" t="e">
            <v>#N/A</v>
          </cell>
          <cell r="N177" t="e">
            <v>#N/A</v>
          </cell>
          <cell r="O177" t="e">
            <v>#N/A</v>
          </cell>
          <cell r="P177">
            <v>44.69</v>
          </cell>
          <cell r="Q177">
            <v>1.511835</v>
          </cell>
          <cell r="R177" t="e">
            <v>#N/A</v>
          </cell>
        </row>
        <row r="178">
          <cell r="A178">
            <v>39724</v>
          </cell>
          <cell r="B178">
            <v>39724</v>
          </cell>
          <cell r="C178" t="str">
            <v>Past</v>
          </cell>
          <cell r="D178">
            <v>43.46</v>
          </cell>
          <cell r="E178" t="e">
            <v>#N/A</v>
          </cell>
          <cell r="F178" t="e">
            <v>#N/A</v>
          </cell>
          <cell r="G178" t="e">
            <v>#N/A</v>
          </cell>
          <cell r="H178" t="e">
            <v>#N/A</v>
          </cell>
          <cell r="I178" t="e">
            <v>#N/A</v>
          </cell>
          <cell r="J178" t="e">
            <v>#N/A</v>
          </cell>
          <cell r="K178" t="e">
            <v>#N/A</v>
          </cell>
          <cell r="L178" t="e">
            <v>#N/A</v>
          </cell>
          <cell r="M178" t="e">
            <v>#N/A</v>
          </cell>
          <cell r="N178" t="e">
            <v>#N/A</v>
          </cell>
          <cell r="O178" t="e">
            <v>#N/A</v>
          </cell>
          <cell r="P178">
            <v>43.46</v>
          </cell>
          <cell r="Q178">
            <v>1.5277289999999999</v>
          </cell>
          <cell r="R178" t="e">
            <v>#N/A</v>
          </cell>
        </row>
        <row r="179">
          <cell r="A179">
            <v>39727</v>
          </cell>
          <cell r="B179">
            <v>39727</v>
          </cell>
          <cell r="C179" t="str">
            <v>Past</v>
          </cell>
          <cell r="D179">
            <v>42</v>
          </cell>
          <cell r="E179" t="e">
            <v>#N/A</v>
          </cell>
          <cell r="F179" t="e">
            <v>#N/A</v>
          </cell>
          <cell r="G179" t="e">
            <v>#N/A</v>
          </cell>
          <cell r="H179" t="e">
            <v>#N/A</v>
          </cell>
          <cell r="I179" t="e">
            <v>#N/A</v>
          </cell>
          <cell r="J179" t="e">
            <v>#N/A</v>
          </cell>
          <cell r="K179" t="e">
            <v>#N/A</v>
          </cell>
          <cell r="L179" t="e">
            <v>#N/A</v>
          </cell>
          <cell r="M179" t="e">
            <v>#N/A</v>
          </cell>
          <cell r="N179" t="e">
            <v>#N/A</v>
          </cell>
          <cell r="O179" t="e">
            <v>#N/A</v>
          </cell>
          <cell r="P179">
            <v>42</v>
          </cell>
          <cell r="Q179">
            <v>1.765822</v>
          </cell>
          <cell r="R179" t="e">
            <v>#N/A</v>
          </cell>
        </row>
        <row r="180">
          <cell r="A180">
            <v>39728</v>
          </cell>
          <cell r="B180">
            <v>39728</v>
          </cell>
          <cell r="C180" t="str">
            <v>Past</v>
          </cell>
          <cell r="D180">
            <v>41</v>
          </cell>
          <cell r="E180" t="e">
            <v>#N/A</v>
          </cell>
          <cell r="F180" t="e">
            <v>#N/A</v>
          </cell>
          <cell r="G180" t="e">
            <v>#N/A</v>
          </cell>
          <cell r="H180" t="e">
            <v>#N/A</v>
          </cell>
          <cell r="I180" t="e">
            <v>#N/A</v>
          </cell>
          <cell r="J180" t="e">
            <v>#N/A</v>
          </cell>
          <cell r="K180" t="e">
            <v>#N/A</v>
          </cell>
          <cell r="L180" t="e">
            <v>#N/A</v>
          </cell>
          <cell r="M180" t="e">
            <v>#N/A</v>
          </cell>
          <cell r="N180" t="e">
            <v>#N/A</v>
          </cell>
          <cell r="O180" t="e">
            <v>#N/A</v>
          </cell>
          <cell r="P180">
            <v>41</v>
          </cell>
          <cell r="Q180">
            <v>1.6303779999999999</v>
          </cell>
          <cell r="R180" t="e">
            <v>#N/A</v>
          </cell>
        </row>
        <row r="181">
          <cell r="A181">
            <v>39729</v>
          </cell>
          <cell r="B181">
            <v>39729</v>
          </cell>
          <cell r="C181" t="str">
            <v>Past</v>
          </cell>
          <cell r="D181">
            <v>40.380000000000003</v>
          </cell>
          <cell r="E181" t="e">
            <v>#N/A</v>
          </cell>
          <cell r="F181" t="e">
            <v>#N/A</v>
          </cell>
          <cell r="G181" t="e">
            <v>#N/A</v>
          </cell>
          <cell r="H181" t="e">
            <v>#N/A</v>
          </cell>
          <cell r="I181" t="e">
            <v>#N/A</v>
          </cell>
          <cell r="J181" t="e">
            <v>#N/A</v>
          </cell>
          <cell r="K181" t="e">
            <v>#N/A</v>
          </cell>
          <cell r="L181" t="e">
            <v>#N/A</v>
          </cell>
          <cell r="M181" t="e">
            <v>#N/A</v>
          </cell>
          <cell r="N181" t="e">
            <v>#N/A</v>
          </cell>
          <cell r="O181" t="e">
            <v>#N/A</v>
          </cell>
          <cell r="P181">
            <v>40.380000000000003</v>
          </cell>
          <cell r="Q181">
            <v>1.881213</v>
          </cell>
          <cell r="R181" t="e">
            <v>#N/A</v>
          </cell>
        </row>
        <row r="182">
          <cell r="A182">
            <v>39730</v>
          </cell>
          <cell r="B182">
            <v>39730</v>
          </cell>
          <cell r="C182" t="str">
            <v>Past</v>
          </cell>
          <cell r="D182">
            <v>37.65</v>
          </cell>
          <cell r="E182" t="e">
            <v>#N/A</v>
          </cell>
          <cell r="F182" t="e">
            <v>#N/A</v>
          </cell>
          <cell r="G182" t="e">
            <v>#N/A</v>
          </cell>
          <cell r="H182" t="e">
            <v>#N/A</v>
          </cell>
          <cell r="I182" t="e">
            <v>#N/A</v>
          </cell>
          <cell r="J182" t="e">
            <v>#N/A</v>
          </cell>
          <cell r="K182" t="e">
            <v>#N/A</v>
          </cell>
          <cell r="L182" t="e">
            <v>#N/A</v>
          </cell>
          <cell r="M182" t="e">
            <v>#N/A</v>
          </cell>
          <cell r="N182" t="e">
            <v>#N/A</v>
          </cell>
          <cell r="O182" t="e">
            <v>#N/A</v>
          </cell>
          <cell r="P182">
            <v>37.65</v>
          </cell>
          <cell r="Q182">
            <v>1.7524679999999999</v>
          </cell>
          <cell r="R182" t="e">
            <v>#N/A</v>
          </cell>
        </row>
        <row r="183">
          <cell r="A183">
            <v>39731</v>
          </cell>
          <cell r="B183">
            <v>39731</v>
          </cell>
          <cell r="C183" t="str">
            <v>Past</v>
          </cell>
          <cell r="D183">
            <v>36.229999999999997</v>
          </cell>
          <cell r="E183" t="e">
            <v>#N/A</v>
          </cell>
          <cell r="F183" t="e">
            <v>#N/A</v>
          </cell>
          <cell r="G183" t="e">
            <v>#N/A</v>
          </cell>
          <cell r="H183" t="e">
            <v>#N/A</v>
          </cell>
          <cell r="I183" t="e">
            <v>#N/A</v>
          </cell>
          <cell r="J183" t="e">
            <v>#N/A</v>
          </cell>
          <cell r="K183" t="e">
            <v>#N/A</v>
          </cell>
          <cell r="L183" t="e">
            <v>#N/A</v>
          </cell>
          <cell r="M183" t="e">
            <v>#N/A</v>
          </cell>
          <cell r="N183" t="e">
            <v>#N/A</v>
          </cell>
          <cell r="O183" t="e">
            <v>#N/A</v>
          </cell>
          <cell r="P183">
            <v>36.229999999999997</v>
          </cell>
          <cell r="Q183">
            <v>2.4158139999999997</v>
          </cell>
          <cell r="R183" t="e">
            <v>#N/A</v>
          </cell>
        </row>
        <row r="184">
          <cell r="A184">
            <v>39734</v>
          </cell>
          <cell r="B184">
            <v>39734</v>
          </cell>
          <cell r="C184" t="str">
            <v>Past</v>
          </cell>
          <cell r="D184">
            <v>39.33</v>
          </cell>
          <cell r="E184" t="e">
            <v>#N/A</v>
          </cell>
          <cell r="F184" t="e">
            <v>#N/A</v>
          </cell>
          <cell r="G184" t="e">
            <v>#N/A</v>
          </cell>
          <cell r="H184" t="e">
            <v>#N/A</v>
          </cell>
          <cell r="I184" t="e">
            <v>#N/A</v>
          </cell>
          <cell r="J184" t="e">
            <v>#N/A</v>
          </cell>
          <cell r="K184" t="e">
            <v>#N/A</v>
          </cell>
          <cell r="L184" t="e">
            <v>#N/A</v>
          </cell>
          <cell r="M184" t="e">
            <v>#N/A</v>
          </cell>
          <cell r="N184" t="e">
            <v>#N/A</v>
          </cell>
          <cell r="O184" t="e">
            <v>#N/A</v>
          </cell>
          <cell r="P184">
            <v>39.33</v>
          </cell>
          <cell r="Q184">
            <v>2.5123959999999999</v>
          </cell>
          <cell r="R184" t="e">
            <v>#N/A</v>
          </cell>
        </row>
        <row r="185">
          <cell r="A185">
            <v>39735</v>
          </cell>
          <cell r="B185">
            <v>39735</v>
          </cell>
          <cell r="C185" t="str">
            <v>Past</v>
          </cell>
          <cell r="D185">
            <v>38.54</v>
          </cell>
          <cell r="E185" t="e">
            <v>#N/A</v>
          </cell>
          <cell r="F185" t="e">
            <v>#N/A</v>
          </cell>
          <cell r="G185" t="e">
            <v>#N/A</v>
          </cell>
          <cell r="H185" t="e">
            <v>#N/A</v>
          </cell>
          <cell r="I185" t="e">
            <v>#N/A</v>
          </cell>
          <cell r="J185" t="e">
            <v>#N/A</v>
          </cell>
          <cell r="K185" t="e">
            <v>#N/A</v>
          </cell>
          <cell r="L185" t="e">
            <v>#N/A</v>
          </cell>
          <cell r="M185" t="e">
            <v>#N/A</v>
          </cell>
          <cell r="N185" t="e">
            <v>#N/A</v>
          </cell>
          <cell r="O185" t="e">
            <v>#N/A</v>
          </cell>
          <cell r="P185">
            <v>38.54</v>
          </cell>
          <cell r="Q185">
            <v>1.695813</v>
          </cell>
          <cell r="R185" t="e">
            <v>#N/A</v>
          </cell>
        </row>
        <row r="186">
          <cell r="A186">
            <v>39736</v>
          </cell>
          <cell r="B186">
            <v>39736</v>
          </cell>
          <cell r="C186" t="str">
            <v>Past</v>
          </cell>
          <cell r="D186">
            <v>35.130000000000003</v>
          </cell>
          <cell r="E186" t="e">
            <v>#N/A</v>
          </cell>
          <cell r="F186" t="e">
            <v>#N/A</v>
          </cell>
          <cell r="G186" t="e">
            <v>#N/A</v>
          </cell>
          <cell r="H186" t="e">
            <v>#N/A</v>
          </cell>
          <cell r="I186" t="e">
            <v>#N/A</v>
          </cell>
          <cell r="J186" t="e">
            <v>#N/A</v>
          </cell>
          <cell r="K186" t="e">
            <v>#N/A</v>
          </cell>
          <cell r="L186" t="e">
            <v>#N/A</v>
          </cell>
          <cell r="M186" t="e">
            <v>#N/A</v>
          </cell>
          <cell r="N186" t="e">
            <v>#N/A</v>
          </cell>
          <cell r="O186" t="e">
            <v>#N/A</v>
          </cell>
          <cell r="P186">
            <v>35.130000000000003</v>
          </cell>
          <cell r="Q186">
            <v>1.4248689999999999</v>
          </cell>
          <cell r="R186" t="e">
            <v>#N/A</v>
          </cell>
        </row>
        <row r="187">
          <cell r="A187">
            <v>39737</v>
          </cell>
          <cell r="B187">
            <v>39737</v>
          </cell>
          <cell r="C187" t="str">
            <v>Past</v>
          </cell>
          <cell r="D187">
            <v>37.380000000000003</v>
          </cell>
          <cell r="E187" t="e">
            <v>#N/A</v>
          </cell>
          <cell r="F187" t="e">
            <v>#N/A</v>
          </cell>
          <cell r="G187" t="e">
            <v>#N/A</v>
          </cell>
          <cell r="H187" t="e">
            <v>#N/A</v>
          </cell>
          <cell r="I187" t="e">
            <v>#N/A</v>
          </cell>
          <cell r="J187" t="e">
            <v>#N/A</v>
          </cell>
          <cell r="K187" t="e">
            <v>#N/A</v>
          </cell>
          <cell r="L187" t="e">
            <v>#N/A</v>
          </cell>
          <cell r="M187" t="e">
            <v>#N/A</v>
          </cell>
          <cell r="N187" t="e">
            <v>#N/A</v>
          </cell>
          <cell r="O187" t="e">
            <v>#N/A</v>
          </cell>
          <cell r="P187">
            <v>37.380000000000003</v>
          </cell>
          <cell r="Q187">
            <v>2.2855159999999999</v>
          </cell>
          <cell r="R187" t="e">
            <v>#N/A</v>
          </cell>
        </row>
        <row r="188">
          <cell r="A188">
            <v>39738</v>
          </cell>
          <cell r="B188">
            <v>39738</v>
          </cell>
          <cell r="C188" t="str">
            <v>Past</v>
          </cell>
          <cell r="D188">
            <v>35.53</v>
          </cell>
          <cell r="E188" t="e">
            <v>#N/A</v>
          </cell>
          <cell r="F188" t="e">
            <v>#N/A</v>
          </cell>
          <cell r="G188" t="e">
            <v>#N/A</v>
          </cell>
          <cell r="H188" t="e">
            <v>#N/A</v>
          </cell>
          <cell r="I188" t="e">
            <v>#N/A</v>
          </cell>
          <cell r="J188" t="e">
            <v>#N/A</v>
          </cell>
          <cell r="K188" t="e">
            <v>#N/A</v>
          </cell>
          <cell r="L188" t="e">
            <v>#N/A</v>
          </cell>
          <cell r="M188" t="e">
            <v>#N/A</v>
          </cell>
          <cell r="N188" t="e">
            <v>#N/A</v>
          </cell>
          <cell r="O188" t="e">
            <v>#N/A</v>
          </cell>
          <cell r="P188">
            <v>35.53</v>
          </cell>
          <cell r="Q188">
            <v>1.8588439999999999</v>
          </cell>
          <cell r="R188" t="e">
            <v>#N/A</v>
          </cell>
        </row>
        <row r="189">
          <cell r="A189">
            <v>39741</v>
          </cell>
          <cell r="B189">
            <v>39741</v>
          </cell>
          <cell r="C189" t="str">
            <v>Past</v>
          </cell>
          <cell r="D189">
            <v>37.19</v>
          </cell>
          <cell r="E189" t="e">
            <v>#N/A</v>
          </cell>
          <cell r="F189" t="e">
            <v>#N/A</v>
          </cell>
          <cell r="G189" t="e">
            <v>#N/A</v>
          </cell>
          <cell r="H189" t="e">
            <v>#N/A</v>
          </cell>
          <cell r="I189" t="e">
            <v>#N/A</v>
          </cell>
          <cell r="J189" t="e">
            <v>#N/A</v>
          </cell>
          <cell r="K189" t="e">
            <v>#N/A</v>
          </cell>
          <cell r="L189" t="e">
            <v>#N/A</v>
          </cell>
          <cell r="M189" t="e">
            <v>#N/A</v>
          </cell>
          <cell r="N189" t="e">
            <v>#N/A</v>
          </cell>
          <cell r="O189" t="e">
            <v>#N/A</v>
          </cell>
          <cell r="P189">
            <v>37.19</v>
          </cell>
          <cell r="Q189">
            <v>1.213749</v>
          </cell>
          <cell r="R189" t="e">
            <v>#N/A</v>
          </cell>
        </row>
        <row r="190">
          <cell r="A190">
            <v>39742</v>
          </cell>
          <cell r="B190">
            <v>39742</v>
          </cell>
          <cell r="C190" t="str">
            <v>Past</v>
          </cell>
          <cell r="D190">
            <v>35.68</v>
          </cell>
          <cell r="E190" t="e">
            <v>#N/A</v>
          </cell>
          <cell r="F190" t="e">
            <v>#N/A</v>
          </cell>
          <cell r="G190" t="e">
            <v>#N/A</v>
          </cell>
          <cell r="H190" t="e">
            <v>#N/A</v>
          </cell>
          <cell r="I190" t="e">
            <v>#N/A</v>
          </cell>
          <cell r="J190" t="e">
            <v>#N/A</v>
          </cell>
          <cell r="K190" t="e">
            <v>#N/A</v>
          </cell>
          <cell r="L190" t="e">
            <v>#N/A</v>
          </cell>
          <cell r="M190" t="e">
            <v>#N/A</v>
          </cell>
          <cell r="N190" t="e">
            <v>#N/A</v>
          </cell>
          <cell r="O190" t="e">
            <v>#N/A</v>
          </cell>
          <cell r="P190">
            <v>35.68</v>
          </cell>
          <cell r="Q190">
            <v>1.675327</v>
          </cell>
          <cell r="R190" t="e">
            <v>#N/A</v>
          </cell>
        </row>
        <row r="191">
          <cell r="A191">
            <v>39743</v>
          </cell>
          <cell r="B191">
            <v>39743</v>
          </cell>
          <cell r="C191" t="str">
            <v>Past</v>
          </cell>
          <cell r="D191">
            <v>34.159999999999997</v>
          </cell>
          <cell r="E191" t="e">
            <v>#N/A</v>
          </cell>
          <cell r="F191" t="e">
            <v>#N/A</v>
          </cell>
          <cell r="G191" t="e">
            <v>#N/A</v>
          </cell>
          <cell r="H191" t="e">
            <v>#N/A</v>
          </cell>
          <cell r="I191" t="e">
            <v>#N/A</v>
          </cell>
          <cell r="J191" t="e">
            <v>#N/A</v>
          </cell>
          <cell r="K191" t="e">
            <v>#N/A</v>
          </cell>
          <cell r="L191" t="e">
            <v>#N/A</v>
          </cell>
          <cell r="M191" t="e">
            <v>#N/A</v>
          </cell>
          <cell r="N191" t="e">
            <v>#N/A</v>
          </cell>
          <cell r="O191" t="e">
            <v>#N/A</v>
          </cell>
          <cell r="P191">
            <v>34.159999999999997</v>
          </cell>
          <cell r="Q191">
            <v>1.662995</v>
          </cell>
          <cell r="R191" t="e">
            <v>#N/A</v>
          </cell>
        </row>
        <row r="192">
          <cell r="A192">
            <v>39744</v>
          </cell>
          <cell r="B192">
            <v>39744</v>
          </cell>
          <cell r="C192" t="str">
            <v>Past</v>
          </cell>
          <cell r="D192">
            <v>34.53</v>
          </cell>
          <cell r="E192" t="e">
            <v>#N/A</v>
          </cell>
          <cell r="F192" t="e">
            <v>#N/A</v>
          </cell>
          <cell r="G192" t="e">
            <v>#N/A</v>
          </cell>
          <cell r="H192" t="e">
            <v>#N/A</v>
          </cell>
          <cell r="I192" t="e">
            <v>#N/A</v>
          </cell>
          <cell r="J192" t="e">
            <v>#N/A</v>
          </cell>
          <cell r="K192" t="e">
            <v>#N/A</v>
          </cell>
          <cell r="L192" t="e">
            <v>#N/A</v>
          </cell>
          <cell r="M192" t="e">
            <v>#N/A</v>
          </cell>
          <cell r="N192" t="e">
            <v>#N/A</v>
          </cell>
          <cell r="O192" t="e">
            <v>#N/A</v>
          </cell>
          <cell r="P192">
            <v>34.53</v>
          </cell>
          <cell r="Q192">
            <v>2.4999100000000003</v>
          </cell>
          <cell r="R192" t="e">
            <v>#N/A</v>
          </cell>
        </row>
        <row r="193">
          <cell r="A193">
            <v>39745</v>
          </cell>
          <cell r="B193">
            <v>39745</v>
          </cell>
          <cell r="C193" t="str">
            <v>Past</v>
          </cell>
          <cell r="D193">
            <v>33.54</v>
          </cell>
          <cell r="E193" t="e">
            <v>#N/A</v>
          </cell>
          <cell r="F193" t="e">
            <v>#N/A</v>
          </cell>
          <cell r="G193" t="e">
            <v>#N/A</v>
          </cell>
          <cell r="H193" t="e">
            <v>#N/A</v>
          </cell>
          <cell r="I193" t="e">
            <v>#N/A</v>
          </cell>
          <cell r="J193" t="e">
            <v>#N/A</v>
          </cell>
          <cell r="K193" t="e">
            <v>#N/A</v>
          </cell>
          <cell r="L193" t="e">
            <v>#N/A</v>
          </cell>
          <cell r="M193" t="e">
            <v>#N/A</v>
          </cell>
          <cell r="N193" t="e">
            <v>#N/A</v>
          </cell>
          <cell r="O193" t="e">
            <v>#N/A</v>
          </cell>
          <cell r="P193">
            <v>33.54</v>
          </cell>
          <cell r="Q193">
            <v>1.7542069999999998</v>
          </cell>
          <cell r="R193" t="e">
            <v>#N/A</v>
          </cell>
        </row>
        <row r="194">
          <cell r="A194">
            <v>39748</v>
          </cell>
          <cell r="B194">
            <v>39748</v>
          </cell>
          <cell r="C194" t="str">
            <v>Past</v>
          </cell>
          <cell r="D194">
            <v>31.59</v>
          </cell>
          <cell r="E194" t="e">
            <v>#N/A</v>
          </cell>
          <cell r="F194" t="e">
            <v>#N/A</v>
          </cell>
          <cell r="G194" t="e">
            <v>#N/A</v>
          </cell>
          <cell r="H194" t="e">
            <v>#N/A</v>
          </cell>
          <cell r="I194" t="e">
            <v>#N/A</v>
          </cell>
          <cell r="J194" t="e">
            <v>#N/A</v>
          </cell>
          <cell r="K194" t="e">
            <v>#N/A</v>
          </cell>
          <cell r="L194" t="e">
            <v>#N/A</v>
          </cell>
          <cell r="M194" t="e">
            <v>#N/A</v>
          </cell>
          <cell r="N194" t="e">
            <v>#N/A</v>
          </cell>
          <cell r="O194" t="e">
            <v>#N/A</v>
          </cell>
          <cell r="P194">
            <v>31.59</v>
          </cell>
          <cell r="Q194">
            <v>1.6595419999999999</v>
          </cell>
          <cell r="R194" t="e">
            <v>#N/A</v>
          </cell>
        </row>
        <row r="195">
          <cell r="A195">
            <v>39749</v>
          </cell>
          <cell r="B195">
            <v>39749</v>
          </cell>
          <cell r="C195" t="str">
            <v>Past</v>
          </cell>
          <cell r="D195">
            <v>35.54</v>
          </cell>
          <cell r="E195" t="e">
            <v>#N/A</v>
          </cell>
          <cell r="F195" t="e">
            <v>#N/A</v>
          </cell>
          <cell r="G195" t="e">
            <v>#N/A</v>
          </cell>
          <cell r="H195" t="e">
            <v>#N/A</v>
          </cell>
          <cell r="I195" t="e">
            <v>#N/A</v>
          </cell>
          <cell r="J195" t="e">
            <v>#N/A</v>
          </cell>
          <cell r="K195" t="e">
            <v>#N/A</v>
          </cell>
          <cell r="L195" t="e">
            <v>#N/A</v>
          </cell>
          <cell r="M195" t="e">
            <v>#N/A</v>
          </cell>
          <cell r="N195" t="e">
            <v>#N/A</v>
          </cell>
          <cell r="O195" t="e">
            <v>#N/A</v>
          </cell>
          <cell r="P195">
            <v>35.54</v>
          </cell>
          <cell r="Q195">
            <v>1.9081379999999999</v>
          </cell>
          <cell r="R195" t="e">
            <v>#N/A</v>
          </cell>
        </row>
        <row r="196">
          <cell r="A196">
            <v>39750</v>
          </cell>
          <cell r="B196">
            <v>39750</v>
          </cell>
          <cell r="C196" t="str">
            <v>Past</v>
          </cell>
          <cell r="D196">
            <v>35.42</v>
          </cell>
          <cell r="E196" t="e">
            <v>#N/A</v>
          </cell>
          <cell r="F196" t="e">
            <v>#N/A</v>
          </cell>
          <cell r="G196" t="e">
            <v>#N/A</v>
          </cell>
          <cell r="H196" t="e">
            <v>#N/A</v>
          </cell>
          <cell r="I196" t="e">
            <v>#N/A</v>
          </cell>
          <cell r="J196" t="e">
            <v>#N/A</v>
          </cell>
          <cell r="K196" t="e">
            <v>#N/A</v>
          </cell>
          <cell r="L196" t="e">
            <v>#N/A</v>
          </cell>
          <cell r="M196" t="e">
            <v>#N/A</v>
          </cell>
          <cell r="N196" t="e">
            <v>#N/A</v>
          </cell>
          <cell r="O196" t="e">
            <v>#N/A</v>
          </cell>
          <cell r="P196">
            <v>35.42</v>
          </cell>
          <cell r="Q196">
            <v>1.819475</v>
          </cell>
          <cell r="R196" t="e">
            <v>#N/A</v>
          </cell>
        </row>
        <row r="197">
          <cell r="A197">
            <v>39751</v>
          </cell>
          <cell r="B197">
            <v>39751</v>
          </cell>
          <cell r="C197" t="str">
            <v>Past</v>
          </cell>
          <cell r="D197">
            <v>36.07</v>
          </cell>
          <cell r="E197" t="e">
            <v>#N/A</v>
          </cell>
          <cell r="F197" t="e">
            <v>#N/A</v>
          </cell>
          <cell r="G197" t="e">
            <v>#N/A</v>
          </cell>
          <cell r="H197" t="e">
            <v>#N/A</v>
          </cell>
          <cell r="I197" t="e">
            <v>#N/A</v>
          </cell>
          <cell r="J197" t="e">
            <v>#N/A</v>
          </cell>
          <cell r="K197" t="e">
            <v>#N/A</v>
          </cell>
          <cell r="L197" t="e">
            <v>#N/A</v>
          </cell>
          <cell r="M197" t="e">
            <v>#N/A</v>
          </cell>
          <cell r="N197" t="e">
            <v>#N/A</v>
          </cell>
          <cell r="O197" t="e">
            <v>#N/A</v>
          </cell>
          <cell r="P197">
            <v>36.07</v>
          </cell>
          <cell r="Q197">
            <v>1.863904</v>
          </cell>
          <cell r="R197" t="e">
            <v>#N/A</v>
          </cell>
        </row>
        <row r="198">
          <cell r="A198">
            <v>39752</v>
          </cell>
          <cell r="B198">
            <v>39752</v>
          </cell>
          <cell r="C198" t="str">
            <v>Past</v>
          </cell>
          <cell r="D198">
            <v>37.130000000000003</v>
          </cell>
          <cell r="E198" t="e">
            <v>#N/A</v>
          </cell>
          <cell r="F198" t="e">
            <v>#N/A</v>
          </cell>
          <cell r="G198" t="e">
            <v>#N/A</v>
          </cell>
          <cell r="H198" t="e">
            <v>#N/A</v>
          </cell>
          <cell r="I198" t="e">
            <v>#N/A</v>
          </cell>
          <cell r="J198" t="e">
            <v>#N/A</v>
          </cell>
          <cell r="K198" t="e">
            <v>#N/A</v>
          </cell>
          <cell r="L198" t="e">
            <v>#N/A</v>
          </cell>
          <cell r="M198" t="e">
            <v>#N/A</v>
          </cell>
          <cell r="N198" t="e">
            <v>#N/A</v>
          </cell>
          <cell r="O198" t="e">
            <v>#N/A</v>
          </cell>
          <cell r="P198">
            <v>37.130000000000003</v>
          </cell>
          <cell r="Q198">
            <v>1.4296949999999999</v>
          </cell>
          <cell r="R198" t="e">
            <v>#N/A</v>
          </cell>
        </row>
        <row r="199">
          <cell r="A199">
            <v>39755</v>
          </cell>
          <cell r="B199">
            <v>39755</v>
          </cell>
          <cell r="C199" t="str">
            <v>Past</v>
          </cell>
          <cell r="D199">
            <v>37.83</v>
          </cell>
          <cell r="E199" t="e">
            <v>#N/A</v>
          </cell>
          <cell r="F199" t="e">
            <v>#N/A</v>
          </cell>
          <cell r="G199" t="e">
            <v>#N/A</v>
          </cell>
          <cell r="H199" t="e">
            <v>#N/A</v>
          </cell>
          <cell r="I199" t="e">
            <v>#N/A</v>
          </cell>
          <cell r="J199" t="e">
            <v>#N/A</v>
          </cell>
          <cell r="K199" t="e">
            <v>#N/A</v>
          </cell>
          <cell r="L199" t="e">
            <v>#N/A</v>
          </cell>
          <cell r="M199" t="e">
            <v>#N/A</v>
          </cell>
          <cell r="N199" t="e">
            <v>#N/A</v>
          </cell>
          <cell r="O199" t="e">
            <v>#N/A</v>
          </cell>
          <cell r="P199">
            <v>37.83</v>
          </cell>
          <cell r="Q199">
            <v>1.6037669999999999</v>
          </cell>
          <cell r="R199" t="e">
            <v>#N/A</v>
          </cell>
        </row>
        <row r="200">
          <cell r="A200">
            <v>39756</v>
          </cell>
          <cell r="B200">
            <v>39756</v>
          </cell>
          <cell r="C200" t="str">
            <v>Past</v>
          </cell>
          <cell r="D200">
            <v>38.729999999999997</v>
          </cell>
          <cell r="E200" t="e">
            <v>#N/A</v>
          </cell>
          <cell r="F200" t="e">
            <v>#N/A</v>
          </cell>
          <cell r="G200" t="e">
            <v>#N/A</v>
          </cell>
          <cell r="H200" t="e">
            <v>#N/A</v>
          </cell>
          <cell r="I200" t="e">
            <v>#N/A</v>
          </cell>
          <cell r="J200" t="e">
            <v>#N/A</v>
          </cell>
          <cell r="K200" t="e">
            <v>#N/A</v>
          </cell>
          <cell r="L200" t="e">
            <v>#N/A</v>
          </cell>
          <cell r="M200" t="e">
            <v>#N/A</v>
          </cell>
          <cell r="N200" t="e">
            <v>#N/A</v>
          </cell>
          <cell r="O200" t="e">
            <v>#N/A</v>
          </cell>
          <cell r="P200">
            <v>38.729999999999997</v>
          </cell>
          <cell r="Q200">
            <v>1.6916800000000001</v>
          </cell>
          <cell r="R200" t="e">
            <v>#N/A</v>
          </cell>
        </row>
        <row r="201">
          <cell r="A201">
            <v>39757</v>
          </cell>
          <cell r="B201">
            <v>39757</v>
          </cell>
          <cell r="C201" t="str">
            <v>Past</v>
          </cell>
          <cell r="D201">
            <v>36.36</v>
          </cell>
          <cell r="E201" t="e">
            <v>#N/A</v>
          </cell>
          <cell r="F201" t="e">
            <v>#N/A</v>
          </cell>
          <cell r="G201" t="e">
            <v>#N/A</v>
          </cell>
          <cell r="H201" t="e">
            <v>#N/A</v>
          </cell>
          <cell r="I201" t="e">
            <v>#N/A</v>
          </cell>
          <cell r="J201" t="e">
            <v>#N/A</v>
          </cell>
          <cell r="K201" t="e">
            <v>#N/A</v>
          </cell>
          <cell r="L201" t="e">
            <v>#N/A</v>
          </cell>
          <cell r="M201" t="e">
            <v>#N/A</v>
          </cell>
          <cell r="N201" t="e">
            <v>#N/A</v>
          </cell>
          <cell r="O201" t="e">
            <v>#N/A</v>
          </cell>
          <cell r="P201">
            <v>36.36</v>
          </cell>
          <cell r="Q201">
            <v>1.1687969999999999</v>
          </cell>
          <cell r="R201" t="e">
            <v>#N/A</v>
          </cell>
        </row>
        <row r="202">
          <cell r="A202">
            <v>39758</v>
          </cell>
          <cell r="B202">
            <v>39758</v>
          </cell>
          <cell r="C202" t="str">
            <v>Past</v>
          </cell>
          <cell r="D202">
            <v>33.92</v>
          </cell>
          <cell r="E202" t="e">
            <v>#N/A</v>
          </cell>
          <cell r="F202" t="e">
            <v>#N/A</v>
          </cell>
          <cell r="G202" t="e">
            <v>#N/A</v>
          </cell>
          <cell r="H202" t="e">
            <v>#N/A</v>
          </cell>
          <cell r="I202" t="e">
            <v>#N/A</v>
          </cell>
          <cell r="J202" t="e">
            <v>#N/A</v>
          </cell>
          <cell r="K202" t="e">
            <v>#N/A</v>
          </cell>
          <cell r="L202" t="e">
            <v>#N/A</v>
          </cell>
          <cell r="M202" t="e">
            <v>#N/A</v>
          </cell>
          <cell r="N202" t="e">
            <v>#N/A</v>
          </cell>
          <cell r="O202" t="e">
            <v>#N/A</v>
          </cell>
          <cell r="P202">
            <v>33.92</v>
          </cell>
          <cell r="Q202">
            <v>1.369513</v>
          </cell>
          <cell r="R202" t="e">
            <v>#N/A</v>
          </cell>
        </row>
        <row r="203">
          <cell r="A203">
            <v>39759</v>
          </cell>
          <cell r="B203">
            <v>39759</v>
          </cell>
          <cell r="C203" t="str">
            <v>Past</v>
          </cell>
          <cell r="D203">
            <v>35.090000000000003</v>
          </cell>
          <cell r="E203" t="e">
            <v>#N/A</v>
          </cell>
          <cell r="F203" t="e">
            <v>#N/A</v>
          </cell>
          <cell r="G203" t="e">
            <v>#N/A</v>
          </cell>
          <cell r="H203" t="e">
            <v>#N/A</v>
          </cell>
          <cell r="I203" t="e">
            <v>#N/A</v>
          </cell>
          <cell r="J203" t="e">
            <v>#N/A</v>
          </cell>
          <cell r="K203" t="e">
            <v>#N/A</v>
          </cell>
          <cell r="L203" t="e">
            <v>#N/A</v>
          </cell>
          <cell r="M203" t="e">
            <v>#N/A</v>
          </cell>
          <cell r="N203" t="e">
            <v>#N/A</v>
          </cell>
          <cell r="O203" t="e">
            <v>#N/A</v>
          </cell>
          <cell r="P203">
            <v>35.090000000000003</v>
          </cell>
          <cell r="Q203">
            <v>0.88411099999999998</v>
          </cell>
          <cell r="R203" t="e">
            <v>#N/A</v>
          </cell>
        </row>
        <row r="204">
          <cell r="A204">
            <v>39762</v>
          </cell>
          <cell r="B204">
            <v>39762</v>
          </cell>
          <cell r="C204" t="str">
            <v>Past</v>
          </cell>
          <cell r="D204">
            <v>34.71</v>
          </cell>
          <cell r="E204" t="e">
            <v>#N/A</v>
          </cell>
          <cell r="F204" t="e">
            <v>#N/A</v>
          </cell>
          <cell r="G204" t="e">
            <v>#N/A</v>
          </cell>
          <cell r="H204" t="e">
            <v>#N/A</v>
          </cell>
          <cell r="I204" t="e">
            <v>#N/A</v>
          </cell>
          <cell r="J204" t="e">
            <v>#N/A</v>
          </cell>
          <cell r="K204" t="e">
            <v>#N/A</v>
          </cell>
          <cell r="L204" t="e">
            <v>#N/A</v>
          </cell>
          <cell r="M204" t="e">
            <v>#N/A</v>
          </cell>
          <cell r="N204" t="e">
            <v>#N/A</v>
          </cell>
          <cell r="O204" t="e">
            <v>#N/A</v>
          </cell>
          <cell r="P204">
            <v>34.71</v>
          </cell>
          <cell r="Q204">
            <v>0.85900899999999991</v>
          </cell>
          <cell r="R204" t="e">
            <v>#N/A</v>
          </cell>
        </row>
        <row r="205">
          <cell r="A205">
            <v>39763</v>
          </cell>
          <cell r="B205">
            <v>39763</v>
          </cell>
          <cell r="C205" t="str">
            <v>Past</v>
          </cell>
          <cell r="D205">
            <v>33.549999999999997</v>
          </cell>
          <cell r="E205" t="e">
            <v>#N/A</v>
          </cell>
          <cell r="F205" t="e">
            <v>#N/A</v>
          </cell>
          <cell r="G205" t="e">
            <v>#N/A</v>
          </cell>
          <cell r="H205" t="e">
            <v>#N/A</v>
          </cell>
          <cell r="I205" t="e">
            <v>#N/A</v>
          </cell>
          <cell r="J205" t="e">
            <v>#N/A</v>
          </cell>
          <cell r="K205" t="e">
            <v>#N/A</v>
          </cell>
          <cell r="L205" t="e">
            <v>#N/A</v>
          </cell>
          <cell r="M205" t="e">
            <v>#N/A</v>
          </cell>
          <cell r="N205" t="e">
            <v>#N/A</v>
          </cell>
          <cell r="O205" t="e">
            <v>#N/A</v>
          </cell>
          <cell r="P205">
            <v>33.549999999999997</v>
          </cell>
          <cell r="Q205">
            <v>0.76389099999999999</v>
          </cell>
          <cell r="R205" t="e">
            <v>#N/A</v>
          </cell>
        </row>
        <row r="206">
          <cell r="A206">
            <v>39764</v>
          </cell>
          <cell r="B206">
            <v>39764</v>
          </cell>
          <cell r="C206" t="str">
            <v>Past</v>
          </cell>
          <cell r="D206">
            <v>32.090000000000003</v>
          </cell>
          <cell r="E206" t="e">
            <v>#N/A</v>
          </cell>
          <cell r="F206" t="e">
            <v>#N/A</v>
          </cell>
          <cell r="G206" t="e">
            <v>#N/A</v>
          </cell>
          <cell r="H206" t="e">
            <v>#N/A</v>
          </cell>
          <cell r="I206" t="e">
            <v>#N/A</v>
          </cell>
          <cell r="J206" t="e">
            <v>#N/A</v>
          </cell>
          <cell r="K206" t="e">
            <v>#N/A</v>
          </cell>
          <cell r="L206" t="e">
            <v>#N/A</v>
          </cell>
          <cell r="M206" t="e">
            <v>#N/A</v>
          </cell>
          <cell r="N206" t="e">
            <v>#N/A</v>
          </cell>
          <cell r="O206" t="e">
            <v>#N/A</v>
          </cell>
          <cell r="P206">
            <v>32.090000000000003</v>
          </cell>
          <cell r="Q206">
            <v>1.303518</v>
          </cell>
          <cell r="R206" t="e">
            <v>#N/A</v>
          </cell>
        </row>
        <row r="207">
          <cell r="A207">
            <v>39765</v>
          </cell>
          <cell r="B207">
            <v>39765</v>
          </cell>
          <cell r="C207" t="str">
            <v>Past</v>
          </cell>
          <cell r="D207">
            <v>34.17</v>
          </cell>
          <cell r="E207" t="e">
            <v>#N/A</v>
          </cell>
          <cell r="F207" t="e">
            <v>#N/A</v>
          </cell>
          <cell r="G207" t="e">
            <v>#N/A</v>
          </cell>
          <cell r="H207" t="e">
            <v>#N/A</v>
          </cell>
          <cell r="I207" t="e">
            <v>#N/A</v>
          </cell>
          <cell r="J207" t="e">
            <v>#N/A</v>
          </cell>
          <cell r="K207" t="e">
            <v>#N/A</v>
          </cell>
          <cell r="L207" t="e">
            <v>#N/A</v>
          </cell>
          <cell r="M207" t="e">
            <v>#N/A</v>
          </cell>
          <cell r="N207" t="e">
            <v>#N/A</v>
          </cell>
          <cell r="O207" t="e">
            <v>#N/A</v>
          </cell>
          <cell r="P207">
            <v>34.17</v>
          </cell>
          <cell r="Q207">
            <v>1.3944500000000002</v>
          </cell>
          <cell r="R207" t="e">
            <v>#N/A</v>
          </cell>
        </row>
        <row r="208">
          <cell r="A208">
            <v>39766</v>
          </cell>
          <cell r="B208">
            <v>39766</v>
          </cell>
          <cell r="C208" t="str">
            <v>Past</v>
          </cell>
          <cell r="D208">
            <v>33.07</v>
          </cell>
          <cell r="E208" t="e">
            <v>#N/A</v>
          </cell>
          <cell r="F208" t="e">
            <v>#N/A</v>
          </cell>
          <cell r="G208" t="e">
            <v>#N/A</v>
          </cell>
          <cell r="H208" t="e">
            <v>#N/A</v>
          </cell>
          <cell r="I208" t="e">
            <v>#N/A</v>
          </cell>
          <cell r="J208" t="e">
            <v>#N/A</v>
          </cell>
          <cell r="K208" t="e">
            <v>#N/A</v>
          </cell>
          <cell r="L208" t="e">
            <v>#N/A</v>
          </cell>
          <cell r="M208" t="e">
            <v>#N/A</v>
          </cell>
          <cell r="N208" t="e">
            <v>#N/A</v>
          </cell>
          <cell r="O208" t="e">
            <v>#N/A</v>
          </cell>
          <cell r="P208">
            <v>33.07</v>
          </cell>
          <cell r="Q208">
            <v>1.0746549999999999</v>
          </cell>
          <cell r="R208" t="e">
            <v>#N/A</v>
          </cell>
        </row>
        <row r="209">
          <cell r="A209">
            <v>39769</v>
          </cell>
          <cell r="B209">
            <v>39769</v>
          </cell>
          <cell r="C209" t="str">
            <v>Past</v>
          </cell>
          <cell r="D209">
            <v>31.52</v>
          </cell>
          <cell r="E209" t="e">
            <v>#N/A</v>
          </cell>
          <cell r="F209" t="e">
            <v>#N/A</v>
          </cell>
          <cell r="G209" t="e">
            <v>#N/A</v>
          </cell>
          <cell r="H209" t="e">
            <v>#N/A</v>
          </cell>
          <cell r="I209" t="e">
            <v>#N/A</v>
          </cell>
          <cell r="J209" t="e">
            <v>#N/A</v>
          </cell>
          <cell r="K209" t="e">
            <v>#N/A</v>
          </cell>
          <cell r="L209" t="e">
            <v>#N/A</v>
          </cell>
          <cell r="M209" t="e">
            <v>#N/A</v>
          </cell>
          <cell r="N209" t="e">
            <v>#N/A</v>
          </cell>
          <cell r="O209" t="e">
            <v>#N/A</v>
          </cell>
          <cell r="P209">
            <v>31.52</v>
          </cell>
          <cell r="Q209">
            <v>1.4629829999999999</v>
          </cell>
          <cell r="R209" t="e">
            <v>#N/A</v>
          </cell>
        </row>
        <row r="210">
          <cell r="A210">
            <v>39770</v>
          </cell>
          <cell r="B210">
            <v>39770</v>
          </cell>
          <cell r="C210" t="str">
            <v>Past</v>
          </cell>
          <cell r="D210">
            <v>31.31</v>
          </cell>
          <cell r="E210" t="e">
            <v>#N/A</v>
          </cell>
          <cell r="F210" t="e">
            <v>#N/A</v>
          </cell>
          <cell r="G210" t="e">
            <v>#N/A</v>
          </cell>
          <cell r="H210" t="e">
            <v>#N/A</v>
          </cell>
          <cell r="I210" t="e">
            <v>#N/A</v>
          </cell>
          <cell r="J210" t="e">
            <v>#N/A</v>
          </cell>
          <cell r="K210" t="e">
            <v>#N/A</v>
          </cell>
          <cell r="L210" t="e">
            <v>#N/A</v>
          </cell>
          <cell r="M210" t="e">
            <v>#N/A</v>
          </cell>
          <cell r="N210" t="e">
            <v>#N/A</v>
          </cell>
          <cell r="O210" t="e">
            <v>#N/A</v>
          </cell>
          <cell r="P210">
            <v>31.31</v>
          </cell>
          <cell r="Q210">
            <v>1.3405800000000001</v>
          </cell>
          <cell r="R210" t="e">
            <v>#N/A</v>
          </cell>
        </row>
        <row r="211">
          <cell r="A211">
            <v>39771</v>
          </cell>
          <cell r="B211">
            <v>39771</v>
          </cell>
          <cell r="C211" t="str">
            <v>Past</v>
          </cell>
          <cell r="D211">
            <v>29.32</v>
          </cell>
          <cell r="E211" t="e">
            <v>#N/A</v>
          </cell>
          <cell r="F211" t="e">
            <v>#N/A</v>
          </cell>
          <cell r="G211" t="e">
            <v>#N/A</v>
          </cell>
          <cell r="H211" t="e">
            <v>#N/A</v>
          </cell>
          <cell r="I211" t="e">
            <v>#N/A</v>
          </cell>
          <cell r="J211" t="e">
            <v>#N/A</v>
          </cell>
          <cell r="K211" t="e">
            <v>#N/A</v>
          </cell>
          <cell r="L211" t="e">
            <v>#N/A</v>
          </cell>
          <cell r="M211" t="e">
            <v>#N/A</v>
          </cell>
          <cell r="N211" t="e">
            <v>#N/A</v>
          </cell>
          <cell r="O211" t="e">
            <v>#N/A</v>
          </cell>
          <cell r="P211">
            <v>29.32</v>
          </cell>
          <cell r="Q211">
            <v>1.274114</v>
          </cell>
          <cell r="R211" t="e">
            <v>#N/A</v>
          </cell>
        </row>
        <row r="212">
          <cell r="A212">
            <v>39772</v>
          </cell>
          <cell r="B212">
            <v>39772</v>
          </cell>
          <cell r="C212" t="str">
            <v>Past</v>
          </cell>
          <cell r="D212">
            <v>28.32</v>
          </cell>
          <cell r="E212" t="e">
            <v>#N/A</v>
          </cell>
          <cell r="F212" t="e">
            <v>#N/A</v>
          </cell>
          <cell r="G212" t="e">
            <v>#N/A</v>
          </cell>
          <cell r="H212" t="e">
            <v>#N/A</v>
          </cell>
          <cell r="I212" t="e">
            <v>#N/A</v>
          </cell>
          <cell r="J212" t="e">
            <v>#N/A</v>
          </cell>
          <cell r="K212" t="e">
            <v>#N/A</v>
          </cell>
          <cell r="L212" t="e">
            <v>#N/A</v>
          </cell>
          <cell r="M212" t="e">
            <v>#N/A</v>
          </cell>
          <cell r="N212" t="e">
            <v>#N/A</v>
          </cell>
          <cell r="O212" t="e">
            <v>#N/A</v>
          </cell>
          <cell r="P212">
            <v>28.32</v>
          </cell>
          <cell r="Q212">
            <v>1.9435449999999999</v>
          </cell>
          <cell r="R212" t="e">
            <v>#N/A</v>
          </cell>
        </row>
        <row r="213">
          <cell r="A213">
            <v>39773</v>
          </cell>
          <cell r="B213">
            <v>39773</v>
          </cell>
          <cell r="C213" t="str">
            <v>Past</v>
          </cell>
          <cell r="D213">
            <v>30.39</v>
          </cell>
          <cell r="E213" t="e">
            <v>#N/A</v>
          </cell>
          <cell r="F213" t="e">
            <v>#N/A</v>
          </cell>
          <cell r="G213" t="e">
            <v>#N/A</v>
          </cell>
          <cell r="H213" t="e">
            <v>#N/A</v>
          </cell>
          <cell r="I213" t="e">
            <v>#N/A</v>
          </cell>
          <cell r="J213" t="e">
            <v>#N/A</v>
          </cell>
          <cell r="K213" t="e">
            <v>#N/A</v>
          </cell>
          <cell r="L213" t="e">
            <v>#N/A</v>
          </cell>
          <cell r="M213" t="e">
            <v>#N/A</v>
          </cell>
          <cell r="N213" t="e">
            <v>#N/A</v>
          </cell>
          <cell r="O213" t="e">
            <v>#N/A</v>
          </cell>
          <cell r="P213">
            <v>30.39</v>
          </cell>
          <cell r="Q213">
            <v>1.4824329999999999</v>
          </cell>
          <cell r="R213" t="e">
            <v>#N/A</v>
          </cell>
        </row>
        <row r="214">
          <cell r="A214">
            <v>39776</v>
          </cell>
          <cell r="B214">
            <v>39776</v>
          </cell>
          <cell r="C214" t="str">
            <v>Past</v>
          </cell>
          <cell r="D214">
            <v>31.84</v>
          </cell>
          <cell r="E214" t="e">
            <v>#N/A</v>
          </cell>
          <cell r="F214" t="e">
            <v>#N/A</v>
          </cell>
          <cell r="G214" t="e">
            <v>#N/A</v>
          </cell>
          <cell r="H214" t="e">
            <v>#N/A</v>
          </cell>
          <cell r="I214" t="e">
            <v>#N/A</v>
          </cell>
          <cell r="J214" t="e">
            <v>#N/A</v>
          </cell>
          <cell r="K214" t="e">
            <v>#N/A</v>
          </cell>
          <cell r="L214" t="e">
            <v>#N/A</v>
          </cell>
          <cell r="M214" t="e">
            <v>#N/A</v>
          </cell>
          <cell r="N214" t="e">
            <v>#N/A</v>
          </cell>
          <cell r="O214" t="e">
            <v>#N/A</v>
          </cell>
          <cell r="P214">
            <v>31.84</v>
          </cell>
          <cell r="Q214">
            <v>1.4808139999999999</v>
          </cell>
          <cell r="R214" t="e">
            <v>#N/A</v>
          </cell>
        </row>
        <row r="215">
          <cell r="A215">
            <v>39777</v>
          </cell>
          <cell r="B215">
            <v>39777</v>
          </cell>
          <cell r="C215" t="str">
            <v>Past</v>
          </cell>
          <cell r="D215">
            <v>31.97</v>
          </cell>
          <cell r="E215" t="e">
            <v>#N/A</v>
          </cell>
          <cell r="F215" t="e">
            <v>#N/A</v>
          </cell>
          <cell r="G215" t="e">
            <v>#N/A</v>
          </cell>
          <cell r="H215" t="e">
            <v>#N/A</v>
          </cell>
          <cell r="I215" t="e">
            <v>#N/A</v>
          </cell>
          <cell r="J215" t="e">
            <v>#N/A</v>
          </cell>
          <cell r="K215" t="e">
            <v>#N/A</v>
          </cell>
          <cell r="L215" t="e">
            <v>#N/A</v>
          </cell>
          <cell r="M215" t="e">
            <v>#N/A</v>
          </cell>
          <cell r="N215" t="e">
            <v>#N/A</v>
          </cell>
          <cell r="O215" t="e">
            <v>#N/A</v>
          </cell>
          <cell r="P215">
            <v>31.97</v>
          </cell>
          <cell r="Q215">
            <v>1.2708930000000001</v>
          </cell>
          <cell r="R215" t="e">
            <v>#N/A</v>
          </cell>
        </row>
        <row r="216">
          <cell r="A216">
            <v>39778</v>
          </cell>
          <cell r="B216">
            <v>39778</v>
          </cell>
          <cell r="C216" t="str">
            <v>Past</v>
          </cell>
          <cell r="D216">
            <v>33.14</v>
          </cell>
          <cell r="E216" t="e">
            <v>#N/A</v>
          </cell>
          <cell r="F216" t="e">
            <v>#N/A</v>
          </cell>
          <cell r="G216" t="e">
            <v>#N/A</v>
          </cell>
          <cell r="H216" t="e">
            <v>#N/A</v>
          </cell>
          <cell r="I216" t="e">
            <v>#N/A</v>
          </cell>
          <cell r="J216" t="e">
            <v>#N/A</v>
          </cell>
          <cell r="K216" t="e">
            <v>#N/A</v>
          </cell>
          <cell r="L216" t="e">
            <v>#N/A</v>
          </cell>
          <cell r="M216" t="e">
            <v>#N/A</v>
          </cell>
          <cell r="N216" t="e">
            <v>#N/A</v>
          </cell>
          <cell r="O216" t="e">
            <v>#N/A</v>
          </cell>
          <cell r="P216">
            <v>33.14</v>
          </cell>
          <cell r="Q216">
            <v>1.2845769999999999</v>
          </cell>
          <cell r="R216" t="e">
            <v>#N/A</v>
          </cell>
        </row>
        <row r="217">
          <cell r="A217">
            <v>39780</v>
          </cell>
          <cell r="B217">
            <v>39780</v>
          </cell>
          <cell r="C217" t="str">
            <v>Past</v>
          </cell>
          <cell r="D217">
            <v>34.08</v>
          </cell>
          <cell r="E217" t="e">
            <v>#N/A</v>
          </cell>
          <cell r="F217" t="e">
            <v>#N/A</v>
          </cell>
          <cell r="G217" t="e">
            <v>#N/A</v>
          </cell>
          <cell r="H217" t="e">
            <v>#N/A</v>
          </cell>
          <cell r="I217" t="e">
            <v>#N/A</v>
          </cell>
          <cell r="J217" t="e">
            <v>#N/A</v>
          </cell>
          <cell r="K217" t="e">
            <v>#N/A</v>
          </cell>
          <cell r="L217" t="e">
            <v>#N/A</v>
          </cell>
          <cell r="M217" t="e">
            <v>#N/A</v>
          </cell>
          <cell r="N217" t="e">
            <v>#N/A</v>
          </cell>
          <cell r="O217" t="e">
            <v>#N/A</v>
          </cell>
          <cell r="P217">
            <v>34.08</v>
          </cell>
          <cell r="Q217">
            <v>0.46989499999999995</v>
          </cell>
          <cell r="R217" t="e">
            <v>#N/A</v>
          </cell>
        </row>
        <row r="218">
          <cell r="A218">
            <v>39783</v>
          </cell>
          <cell r="B218">
            <v>39783</v>
          </cell>
          <cell r="C218" t="str">
            <v>Past</v>
          </cell>
          <cell r="D218">
            <v>31.63</v>
          </cell>
          <cell r="E218" t="e">
            <v>#N/A</v>
          </cell>
          <cell r="F218" t="e">
            <v>#N/A</v>
          </cell>
          <cell r="G218" t="e">
            <v>#N/A</v>
          </cell>
          <cell r="H218" t="e">
            <v>#N/A</v>
          </cell>
          <cell r="I218" t="e">
            <v>#N/A</v>
          </cell>
          <cell r="J218" t="e">
            <v>#N/A</v>
          </cell>
          <cell r="K218" t="e">
            <v>#N/A</v>
          </cell>
          <cell r="L218" t="e">
            <v>#N/A</v>
          </cell>
          <cell r="M218" t="e">
            <v>#N/A</v>
          </cell>
          <cell r="N218" t="e">
            <v>#N/A</v>
          </cell>
          <cell r="O218" t="e">
            <v>#N/A</v>
          </cell>
          <cell r="P218">
            <v>31.63</v>
          </cell>
          <cell r="Q218">
            <v>1.3593700000000002</v>
          </cell>
          <cell r="R218" t="e">
            <v>#N/A</v>
          </cell>
        </row>
        <row r="219">
          <cell r="A219">
            <v>39784</v>
          </cell>
          <cell r="B219">
            <v>39784</v>
          </cell>
          <cell r="C219" t="str">
            <v>Past</v>
          </cell>
          <cell r="D219">
            <v>32.75</v>
          </cell>
          <cell r="E219" t="e">
            <v>#N/A</v>
          </cell>
          <cell r="F219" t="e">
            <v>#N/A</v>
          </cell>
          <cell r="G219" t="e">
            <v>#N/A</v>
          </cell>
          <cell r="H219" t="e">
            <v>#N/A</v>
          </cell>
          <cell r="I219" t="e">
            <v>#N/A</v>
          </cell>
          <cell r="J219" t="e">
            <v>#N/A</v>
          </cell>
          <cell r="K219" t="e">
            <v>#N/A</v>
          </cell>
          <cell r="L219" t="e">
            <v>#N/A</v>
          </cell>
          <cell r="M219" t="e">
            <v>#N/A</v>
          </cell>
          <cell r="N219" t="e">
            <v>#N/A</v>
          </cell>
          <cell r="O219" t="e">
            <v>#N/A</v>
          </cell>
          <cell r="P219">
            <v>32.75</v>
          </cell>
          <cell r="Q219">
            <v>0.95006000000000013</v>
          </cell>
          <cell r="R219" t="e">
            <v>#N/A</v>
          </cell>
        </row>
        <row r="220">
          <cell r="A220">
            <v>39785</v>
          </cell>
          <cell r="B220">
            <v>39785</v>
          </cell>
          <cell r="C220" t="str">
            <v>Past</v>
          </cell>
          <cell r="D220">
            <v>33.380000000000003</v>
          </cell>
          <cell r="E220" t="e">
            <v>#N/A</v>
          </cell>
          <cell r="F220" t="e">
            <v>#N/A</v>
          </cell>
          <cell r="G220" t="e">
            <v>#N/A</v>
          </cell>
          <cell r="H220" t="e">
            <v>#N/A</v>
          </cell>
          <cell r="I220" t="e">
            <v>#N/A</v>
          </cell>
          <cell r="J220" t="e">
            <v>#N/A</v>
          </cell>
          <cell r="K220" t="e">
            <v>#N/A</v>
          </cell>
          <cell r="L220" t="e">
            <v>#N/A</v>
          </cell>
          <cell r="M220" t="e">
            <v>#N/A</v>
          </cell>
          <cell r="N220" t="e">
            <v>#N/A</v>
          </cell>
          <cell r="O220" t="e">
            <v>#N/A</v>
          </cell>
          <cell r="P220">
            <v>33.380000000000003</v>
          </cell>
          <cell r="Q220">
            <v>1.253403</v>
          </cell>
          <cell r="R220" t="e">
            <v>#N/A</v>
          </cell>
        </row>
        <row r="221">
          <cell r="A221">
            <v>39786</v>
          </cell>
          <cell r="B221">
            <v>39786</v>
          </cell>
          <cell r="C221" t="str">
            <v>Past</v>
          </cell>
          <cell r="D221">
            <v>32.08</v>
          </cell>
          <cell r="E221" t="e">
            <v>#N/A</v>
          </cell>
          <cell r="F221" t="e">
            <v>#N/A</v>
          </cell>
          <cell r="G221" t="e">
            <v>#N/A</v>
          </cell>
          <cell r="H221" t="e">
            <v>#N/A</v>
          </cell>
          <cell r="I221" t="e">
            <v>#N/A</v>
          </cell>
          <cell r="J221" t="e">
            <v>#N/A</v>
          </cell>
          <cell r="K221" t="e">
            <v>#N/A</v>
          </cell>
          <cell r="L221" t="e">
            <v>#N/A</v>
          </cell>
          <cell r="M221" t="e">
            <v>#N/A</v>
          </cell>
          <cell r="N221" t="e">
            <v>#N/A</v>
          </cell>
          <cell r="O221" t="e">
            <v>#N/A</v>
          </cell>
          <cell r="P221">
            <v>32.08</v>
          </cell>
          <cell r="Q221">
            <v>0.97640000000000005</v>
          </cell>
          <cell r="R221" t="e">
            <v>#N/A</v>
          </cell>
        </row>
        <row r="222">
          <cell r="A222">
            <v>39787</v>
          </cell>
          <cell r="B222">
            <v>39787</v>
          </cell>
          <cell r="C222" t="str">
            <v>Past</v>
          </cell>
          <cell r="D222">
            <v>33.1</v>
          </cell>
          <cell r="E222" t="e">
            <v>#N/A</v>
          </cell>
          <cell r="F222" t="e">
            <v>#N/A</v>
          </cell>
          <cell r="G222" t="e">
            <v>#N/A</v>
          </cell>
          <cell r="H222" t="e">
            <v>#N/A</v>
          </cell>
          <cell r="I222" t="e">
            <v>#N/A</v>
          </cell>
          <cell r="J222" t="e">
            <v>#N/A</v>
          </cell>
          <cell r="K222" t="e">
            <v>#N/A</v>
          </cell>
          <cell r="L222" t="e">
            <v>#N/A</v>
          </cell>
          <cell r="M222" t="e">
            <v>#N/A</v>
          </cell>
          <cell r="N222" t="e">
            <v>#N/A</v>
          </cell>
          <cell r="O222" t="e">
            <v>#N/A</v>
          </cell>
          <cell r="P222">
            <v>33.1</v>
          </cell>
          <cell r="Q222">
            <v>1.317288</v>
          </cell>
          <cell r="R222" t="e">
            <v>#N/A</v>
          </cell>
        </row>
        <row r="223">
          <cell r="A223">
            <v>39790</v>
          </cell>
          <cell r="B223">
            <v>39790</v>
          </cell>
          <cell r="C223" t="str">
            <v>Past</v>
          </cell>
          <cell r="D223">
            <v>34.880000000000003</v>
          </cell>
          <cell r="E223" t="e">
            <v>#N/A</v>
          </cell>
          <cell r="F223" t="e">
            <v>#N/A</v>
          </cell>
          <cell r="G223" t="e">
            <v>#N/A</v>
          </cell>
          <cell r="H223" t="e">
            <v>#N/A</v>
          </cell>
          <cell r="I223" t="e">
            <v>#N/A</v>
          </cell>
          <cell r="J223" t="e">
            <v>#N/A</v>
          </cell>
          <cell r="K223" t="e">
            <v>#N/A</v>
          </cell>
          <cell r="L223" t="e">
            <v>#N/A</v>
          </cell>
          <cell r="M223" t="e">
            <v>#N/A</v>
          </cell>
          <cell r="N223" t="e">
            <v>#N/A</v>
          </cell>
          <cell r="O223" t="e">
            <v>#N/A</v>
          </cell>
          <cell r="P223">
            <v>34.880000000000003</v>
          </cell>
          <cell r="Q223">
            <v>1.147405</v>
          </cell>
          <cell r="R223" t="e">
            <v>#N/A</v>
          </cell>
        </row>
        <row r="224">
          <cell r="A224">
            <v>39791</v>
          </cell>
          <cell r="B224">
            <v>39791</v>
          </cell>
          <cell r="C224" t="str">
            <v>Past</v>
          </cell>
          <cell r="D224">
            <v>34.68</v>
          </cell>
          <cell r="E224" t="e">
            <v>#N/A</v>
          </cell>
          <cell r="F224" t="e">
            <v>#N/A</v>
          </cell>
          <cell r="G224" t="e">
            <v>#N/A</v>
          </cell>
          <cell r="H224" t="e">
            <v>#N/A</v>
          </cell>
          <cell r="I224" t="e">
            <v>#N/A</v>
          </cell>
          <cell r="J224" t="e">
            <v>#N/A</v>
          </cell>
          <cell r="K224" t="e">
            <v>#N/A</v>
          </cell>
          <cell r="L224" t="e">
            <v>#N/A</v>
          </cell>
          <cell r="M224" t="e">
            <v>#N/A</v>
          </cell>
          <cell r="N224" t="e">
            <v>#N/A</v>
          </cell>
          <cell r="O224" t="e">
            <v>#N/A</v>
          </cell>
          <cell r="P224">
            <v>34.68</v>
          </cell>
          <cell r="Q224">
            <v>1.1801200000000001</v>
          </cell>
          <cell r="R224" t="e">
            <v>#N/A</v>
          </cell>
        </row>
        <row r="225">
          <cell r="A225">
            <v>39792</v>
          </cell>
          <cell r="B225">
            <v>39792</v>
          </cell>
          <cell r="C225" t="str">
            <v>Past</v>
          </cell>
          <cell r="D225">
            <v>34.93</v>
          </cell>
          <cell r="E225" t="e">
            <v>#N/A</v>
          </cell>
          <cell r="F225" t="e">
            <v>#N/A</v>
          </cell>
          <cell r="G225" t="e">
            <v>#N/A</v>
          </cell>
          <cell r="H225" t="e">
            <v>#N/A</v>
          </cell>
          <cell r="I225" t="e">
            <v>#N/A</v>
          </cell>
          <cell r="J225" t="e">
            <v>#N/A</v>
          </cell>
          <cell r="K225" t="e">
            <v>#N/A</v>
          </cell>
          <cell r="L225" t="e">
            <v>#N/A</v>
          </cell>
          <cell r="M225" t="e">
            <v>#N/A</v>
          </cell>
          <cell r="N225" t="e">
            <v>#N/A</v>
          </cell>
          <cell r="O225" t="e">
            <v>#N/A</v>
          </cell>
          <cell r="P225">
            <v>34.93</v>
          </cell>
          <cell r="Q225">
            <v>1.1749559999999999</v>
          </cell>
          <cell r="R225" t="e">
            <v>#N/A</v>
          </cell>
        </row>
        <row r="226">
          <cell r="A226">
            <v>39793</v>
          </cell>
          <cell r="B226">
            <v>39793</v>
          </cell>
          <cell r="C226" t="str">
            <v>Past</v>
          </cell>
          <cell r="D226">
            <v>34.72</v>
          </cell>
          <cell r="E226" t="e">
            <v>#N/A</v>
          </cell>
          <cell r="F226" t="e">
            <v>#N/A</v>
          </cell>
          <cell r="G226" t="e">
            <v>#N/A</v>
          </cell>
          <cell r="H226" t="e">
            <v>#N/A</v>
          </cell>
          <cell r="I226" t="e">
            <v>#N/A</v>
          </cell>
          <cell r="J226" t="e">
            <v>#N/A</v>
          </cell>
          <cell r="K226" t="e">
            <v>#N/A</v>
          </cell>
          <cell r="L226" t="e">
            <v>#N/A</v>
          </cell>
          <cell r="M226" t="e">
            <v>#N/A</v>
          </cell>
          <cell r="N226" t="e">
            <v>#N/A</v>
          </cell>
          <cell r="O226" t="e">
            <v>#N/A</v>
          </cell>
          <cell r="P226">
            <v>34.72</v>
          </cell>
          <cell r="Q226">
            <v>1.2353000000000001</v>
          </cell>
          <cell r="R226" t="e">
            <v>#N/A</v>
          </cell>
        </row>
        <row r="227">
          <cell r="A227">
            <v>39794</v>
          </cell>
          <cell r="B227">
            <v>39794</v>
          </cell>
          <cell r="C227" t="str">
            <v>Past</v>
          </cell>
          <cell r="D227">
            <v>35.29</v>
          </cell>
          <cell r="E227" t="e">
            <v>#N/A</v>
          </cell>
          <cell r="F227" t="e">
            <v>#N/A</v>
          </cell>
          <cell r="G227" t="e">
            <v>#N/A</v>
          </cell>
          <cell r="H227" t="e">
            <v>#N/A</v>
          </cell>
          <cell r="I227" t="e">
            <v>#N/A</v>
          </cell>
          <cell r="J227" t="e">
            <v>#N/A</v>
          </cell>
          <cell r="K227" t="e">
            <v>#N/A</v>
          </cell>
          <cell r="L227" t="e">
            <v>#N/A</v>
          </cell>
          <cell r="M227" t="e">
            <v>#N/A</v>
          </cell>
          <cell r="N227" t="e">
            <v>#N/A</v>
          </cell>
          <cell r="O227" t="e">
            <v>#N/A</v>
          </cell>
          <cell r="P227">
            <v>35.29</v>
          </cell>
          <cell r="Q227">
            <v>1.355864</v>
          </cell>
          <cell r="R227" t="e">
            <v>#N/A</v>
          </cell>
        </row>
        <row r="228">
          <cell r="A228">
            <v>39797</v>
          </cell>
          <cell r="B228">
            <v>39797</v>
          </cell>
          <cell r="C228" t="str">
            <v>Past</v>
          </cell>
          <cell r="D228">
            <v>35.049999999999997</v>
          </cell>
          <cell r="E228" t="e">
            <v>#N/A</v>
          </cell>
          <cell r="F228" t="e">
            <v>#N/A</v>
          </cell>
          <cell r="G228" t="e">
            <v>#N/A</v>
          </cell>
          <cell r="H228" t="e">
            <v>#N/A</v>
          </cell>
          <cell r="I228" t="e">
            <v>#N/A</v>
          </cell>
          <cell r="J228" t="e">
            <v>#N/A</v>
          </cell>
          <cell r="K228" t="e">
            <v>#N/A</v>
          </cell>
          <cell r="L228" t="e">
            <v>#N/A</v>
          </cell>
          <cell r="M228" t="e">
            <v>#N/A</v>
          </cell>
          <cell r="N228" t="e">
            <v>#N/A</v>
          </cell>
          <cell r="O228" t="e">
            <v>#N/A</v>
          </cell>
          <cell r="P228">
            <v>35.049999999999997</v>
          </cell>
          <cell r="Q228">
            <v>1.3373739999999998</v>
          </cell>
          <cell r="R228" t="e">
            <v>#N/A</v>
          </cell>
        </row>
        <row r="229">
          <cell r="A229">
            <v>39798</v>
          </cell>
          <cell r="B229">
            <v>39798</v>
          </cell>
          <cell r="C229" t="str">
            <v>Past</v>
          </cell>
          <cell r="D229">
            <v>37.82</v>
          </cell>
          <cell r="E229" t="e">
            <v>#N/A</v>
          </cell>
          <cell r="F229" t="e">
            <v>#N/A</v>
          </cell>
          <cell r="G229" t="e">
            <v>#N/A</v>
          </cell>
          <cell r="H229" t="e">
            <v>#N/A</v>
          </cell>
          <cell r="I229" t="e">
            <v>#N/A</v>
          </cell>
          <cell r="J229" t="e">
            <v>#N/A</v>
          </cell>
          <cell r="K229" t="e">
            <v>#N/A</v>
          </cell>
          <cell r="L229" t="e">
            <v>#N/A</v>
          </cell>
          <cell r="M229" t="e">
            <v>#N/A</v>
          </cell>
          <cell r="N229" t="e">
            <v>#N/A</v>
          </cell>
          <cell r="O229" t="e">
            <v>#N/A</v>
          </cell>
          <cell r="P229">
            <v>37.82</v>
          </cell>
          <cell r="Q229">
            <v>1.332317</v>
          </cell>
          <cell r="R229" t="e">
            <v>#N/A</v>
          </cell>
        </row>
        <row r="230">
          <cell r="A230">
            <v>39799</v>
          </cell>
          <cell r="B230">
            <v>39799</v>
          </cell>
          <cell r="C230" t="str">
            <v>Past</v>
          </cell>
          <cell r="D230">
            <v>37.57</v>
          </cell>
          <cell r="E230" t="e">
            <v>#N/A</v>
          </cell>
          <cell r="F230" t="e">
            <v>#N/A</v>
          </cell>
          <cell r="G230" t="e">
            <v>#N/A</v>
          </cell>
          <cell r="H230" t="e">
            <v>#N/A</v>
          </cell>
          <cell r="I230" t="e">
            <v>#N/A</v>
          </cell>
          <cell r="J230" t="e">
            <v>#N/A</v>
          </cell>
          <cell r="K230" t="e">
            <v>#N/A</v>
          </cell>
          <cell r="L230" t="e">
            <v>#N/A</v>
          </cell>
          <cell r="M230" t="e">
            <v>#N/A</v>
          </cell>
          <cell r="N230" t="e">
            <v>#N/A</v>
          </cell>
          <cell r="O230" t="e">
            <v>#N/A</v>
          </cell>
          <cell r="P230">
            <v>37.57</v>
          </cell>
          <cell r="Q230">
            <v>1.201721</v>
          </cell>
          <cell r="R230" t="e">
            <v>#N/A</v>
          </cell>
        </row>
        <row r="231">
          <cell r="A231">
            <v>39800</v>
          </cell>
          <cell r="B231">
            <v>39800</v>
          </cell>
          <cell r="C231" t="str">
            <v>Past</v>
          </cell>
          <cell r="D231">
            <v>36.96</v>
          </cell>
          <cell r="E231" t="e">
            <v>#N/A</v>
          </cell>
          <cell r="F231" t="e">
            <v>#N/A</v>
          </cell>
          <cell r="G231" t="e">
            <v>#N/A</v>
          </cell>
          <cell r="H231" t="e">
            <v>#N/A</v>
          </cell>
          <cell r="I231" t="e">
            <v>#N/A</v>
          </cell>
          <cell r="J231" t="e">
            <v>#N/A</v>
          </cell>
          <cell r="K231" t="e">
            <v>#N/A</v>
          </cell>
          <cell r="L231" t="e">
            <v>#N/A</v>
          </cell>
          <cell r="M231" t="e">
            <v>#N/A</v>
          </cell>
          <cell r="N231" t="e">
            <v>#N/A</v>
          </cell>
          <cell r="O231" t="e">
            <v>#N/A</v>
          </cell>
          <cell r="P231">
            <v>36.96</v>
          </cell>
          <cell r="Q231">
            <v>1.2798</v>
          </cell>
          <cell r="R231" t="e">
            <v>#N/A</v>
          </cell>
        </row>
        <row r="232">
          <cell r="A232">
            <v>39801</v>
          </cell>
          <cell r="B232">
            <v>39801</v>
          </cell>
          <cell r="C232" t="str">
            <v>Past</v>
          </cell>
          <cell r="D232">
            <v>37.69</v>
          </cell>
          <cell r="E232" t="e">
            <v>#N/A</v>
          </cell>
          <cell r="F232" t="e">
            <v>#N/A</v>
          </cell>
          <cell r="G232" t="e">
            <v>#N/A</v>
          </cell>
          <cell r="H232" t="e">
            <v>#N/A</v>
          </cell>
          <cell r="I232" t="e">
            <v>#N/A</v>
          </cell>
          <cell r="J232" t="e">
            <v>#N/A</v>
          </cell>
          <cell r="K232" t="e">
            <v>#N/A</v>
          </cell>
          <cell r="L232" t="e">
            <v>#N/A</v>
          </cell>
          <cell r="M232" t="e">
            <v>#N/A</v>
          </cell>
          <cell r="N232" t="e">
            <v>#N/A</v>
          </cell>
          <cell r="O232" t="e">
            <v>#N/A</v>
          </cell>
          <cell r="P232">
            <v>37.69</v>
          </cell>
          <cell r="Q232">
            <v>1.6420359999999998</v>
          </cell>
          <cell r="R232" t="e">
            <v>#N/A</v>
          </cell>
        </row>
        <row r="233">
          <cell r="A233">
            <v>39804</v>
          </cell>
          <cell r="B233">
            <v>39804</v>
          </cell>
          <cell r="C233" t="str">
            <v>Past</v>
          </cell>
          <cell r="D233">
            <v>36.96</v>
          </cell>
          <cell r="E233" t="e">
            <v>#N/A</v>
          </cell>
          <cell r="F233" t="e">
            <v>#N/A</v>
          </cell>
          <cell r="G233" t="e">
            <v>#N/A</v>
          </cell>
          <cell r="H233" t="e">
            <v>#N/A</v>
          </cell>
          <cell r="I233" t="e">
            <v>#N/A</v>
          </cell>
          <cell r="J233" t="e">
            <v>#N/A</v>
          </cell>
          <cell r="K233" t="e">
            <v>#N/A</v>
          </cell>
          <cell r="L233" t="e">
            <v>#N/A</v>
          </cell>
          <cell r="M233" t="e">
            <v>#N/A</v>
          </cell>
          <cell r="N233" t="e">
            <v>#N/A</v>
          </cell>
          <cell r="O233" t="e">
            <v>#N/A</v>
          </cell>
          <cell r="P233">
            <v>36.96</v>
          </cell>
          <cell r="Q233">
            <v>0.83622599999999991</v>
          </cell>
          <cell r="R233" t="e">
            <v>#N/A</v>
          </cell>
        </row>
        <row r="234">
          <cell r="A234">
            <v>39805</v>
          </cell>
          <cell r="B234">
            <v>39805</v>
          </cell>
          <cell r="C234" t="str">
            <v>Past</v>
          </cell>
          <cell r="D234">
            <v>36.24</v>
          </cell>
          <cell r="E234" t="e">
            <v>#N/A</v>
          </cell>
          <cell r="F234" t="e">
            <v>#N/A</v>
          </cell>
          <cell r="G234" t="e">
            <v>#N/A</v>
          </cell>
          <cell r="H234" t="e">
            <v>#N/A</v>
          </cell>
          <cell r="I234" t="e">
            <v>#N/A</v>
          </cell>
          <cell r="J234" t="e">
            <v>#N/A</v>
          </cell>
          <cell r="K234" t="e">
            <v>#N/A</v>
          </cell>
          <cell r="L234" t="e">
            <v>#N/A</v>
          </cell>
          <cell r="M234" t="e">
            <v>#N/A</v>
          </cell>
          <cell r="N234" t="e">
            <v>#N/A</v>
          </cell>
          <cell r="O234" t="e">
            <v>#N/A</v>
          </cell>
          <cell r="P234">
            <v>36.24</v>
          </cell>
          <cell r="Q234">
            <v>0.86388000000000009</v>
          </cell>
          <cell r="R234" t="e">
            <v>#N/A</v>
          </cell>
        </row>
        <row r="235">
          <cell r="A235">
            <v>39806</v>
          </cell>
          <cell r="B235">
            <v>39806</v>
          </cell>
          <cell r="C235" t="str">
            <v>Past</v>
          </cell>
          <cell r="D235">
            <v>36.06</v>
          </cell>
          <cell r="E235" t="e">
            <v>#N/A</v>
          </cell>
          <cell r="F235" t="e">
            <v>#N/A</v>
          </cell>
          <cell r="G235" t="e">
            <v>#N/A</v>
          </cell>
          <cell r="H235" t="e">
            <v>#N/A</v>
          </cell>
          <cell r="I235" t="e">
            <v>#N/A</v>
          </cell>
          <cell r="J235" t="e">
            <v>#N/A</v>
          </cell>
          <cell r="K235" t="e">
            <v>#N/A</v>
          </cell>
          <cell r="L235" t="e">
            <v>#N/A</v>
          </cell>
          <cell r="M235" t="e">
            <v>#N/A</v>
          </cell>
          <cell r="N235" t="e">
            <v>#N/A</v>
          </cell>
          <cell r="O235" t="e">
            <v>#N/A</v>
          </cell>
          <cell r="P235">
            <v>36.06</v>
          </cell>
          <cell r="Q235">
            <v>0.53962500000000002</v>
          </cell>
          <cell r="R235" t="e">
            <v>#N/A</v>
          </cell>
        </row>
        <row r="236">
          <cell r="A236">
            <v>39808</v>
          </cell>
          <cell r="B236">
            <v>39808</v>
          </cell>
          <cell r="C236" t="str">
            <v>Past</v>
          </cell>
          <cell r="D236">
            <v>36.74</v>
          </cell>
          <cell r="E236" t="e">
            <v>#N/A</v>
          </cell>
          <cell r="F236" t="e">
            <v>#N/A</v>
          </cell>
          <cell r="G236" t="e">
            <v>#N/A</v>
          </cell>
          <cell r="H236" t="e">
            <v>#N/A</v>
          </cell>
          <cell r="I236" t="e">
            <v>#N/A</v>
          </cell>
          <cell r="J236" t="e">
            <v>#N/A</v>
          </cell>
          <cell r="K236" t="e">
            <v>#N/A</v>
          </cell>
          <cell r="L236" t="e">
            <v>#N/A</v>
          </cell>
          <cell r="M236" t="e">
            <v>#N/A</v>
          </cell>
          <cell r="N236" t="e">
            <v>#N/A</v>
          </cell>
          <cell r="O236" t="e">
            <v>#N/A</v>
          </cell>
          <cell r="P236">
            <v>36.74</v>
          </cell>
          <cell r="Q236">
            <v>0.32439799999999996</v>
          </cell>
          <cell r="R236" t="e">
            <v>#N/A</v>
          </cell>
        </row>
        <row r="237">
          <cell r="A237">
            <v>39811</v>
          </cell>
          <cell r="B237">
            <v>39811</v>
          </cell>
          <cell r="C237" t="str">
            <v>Past</v>
          </cell>
          <cell r="D237">
            <v>36.729999999999997</v>
          </cell>
          <cell r="E237" t="e">
            <v>#N/A</v>
          </cell>
          <cell r="F237" t="e">
            <v>#N/A</v>
          </cell>
          <cell r="G237" t="e">
            <v>#N/A</v>
          </cell>
          <cell r="H237" t="e">
            <v>#N/A</v>
          </cell>
          <cell r="I237" t="e">
            <v>#N/A</v>
          </cell>
          <cell r="J237" t="e">
            <v>#N/A</v>
          </cell>
          <cell r="K237" t="e">
            <v>#N/A</v>
          </cell>
          <cell r="L237" t="e">
            <v>#N/A</v>
          </cell>
          <cell r="M237" t="e">
            <v>#N/A</v>
          </cell>
          <cell r="N237" t="e">
            <v>#N/A</v>
          </cell>
          <cell r="O237" t="e">
            <v>#N/A</v>
          </cell>
          <cell r="P237">
            <v>36.729999999999997</v>
          </cell>
          <cell r="Q237">
            <v>0.91232000000000002</v>
          </cell>
          <cell r="R237" t="e">
            <v>#N/A</v>
          </cell>
        </row>
        <row r="238">
          <cell r="A238">
            <v>39812</v>
          </cell>
          <cell r="B238">
            <v>39812</v>
          </cell>
          <cell r="C238" t="str">
            <v>Past</v>
          </cell>
          <cell r="D238">
            <v>38.049999999999997</v>
          </cell>
          <cell r="E238" t="e">
            <v>#N/A</v>
          </cell>
          <cell r="F238" t="e">
            <v>#N/A</v>
          </cell>
          <cell r="G238" t="e">
            <v>#N/A</v>
          </cell>
          <cell r="H238" t="e">
            <v>#N/A</v>
          </cell>
          <cell r="I238" t="e">
            <v>#N/A</v>
          </cell>
          <cell r="J238" t="e">
            <v>#N/A</v>
          </cell>
          <cell r="K238" t="e">
            <v>#N/A</v>
          </cell>
          <cell r="L238" t="e">
            <v>#N/A</v>
          </cell>
          <cell r="M238" t="e">
            <v>#N/A</v>
          </cell>
          <cell r="N238" t="e">
            <v>#N/A</v>
          </cell>
          <cell r="O238" t="e">
            <v>#N/A</v>
          </cell>
          <cell r="P238">
            <v>38.049999999999997</v>
          </cell>
          <cell r="Q238">
            <v>0.75536099999999995</v>
          </cell>
          <cell r="R238" t="e">
            <v>#N/A</v>
          </cell>
        </row>
        <row r="239">
          <cell r="A239">
            <v>39813</v>
          </cell>
          <cell r="B239">
            <v>39813</v>
          </cell>
          <cell r="C239" t="str">
            <v>Past</v>
          </cell>
          <cell r="D239">
            <v>39.090000000000003</v>
          </cell>
          <cell r="E239" t="e">
            <v>#N/A</v>
          </cell>
          <cell r="F239" t="e">
            <v>#N/A</v>
          </cell>
          <cell r="G239" t="e">
            <v>#N/A</v>
          </cell>
          <cell r="H239" t="e">
            <v>#N/A</v>
          </cell>
          <cell r="I239" t="e">
            <v>#N/A</v>
          </cell>
          <cell r="J239" t="e">
            <v>#N/A</v>
          </cell>
          <cell r="K239" t="e">
            <v>#N/A</v>
          </cell>
          <cell r="L239" t="e">
            <v>#N/A</v>
          </cell>
          <cell r="M239" t="e">
            <v>#N/A</v>
          </cell>
          <cell r="N239" t="e">
            <v>#N/A</v>
          </cell>
          <cell r="O239" t="e">
            <v>#N/A</v>
          </cell>
          <cell r="P239">
            <v>39.090000000000003</v>
          </cell>
          <cell r="Q239">
            <v>0.75335699999999994</v>
          </cell>
          <cell r="R239" t="e">
            <v>#N/A</v>
          </cell>
        </row>
        <row r="240">
          <cell r="A240">
            <v>39815</v>
          </cell>
          <cell r="B240">
            <v>39815</v>
          </cell>
          <cell r="C240" t="str">
            <v>Past</v>
          </cell>
          <cell r="D240">
            <v>40.799999999999997</v>
          </cell>
          <cell r="E240" t="e">
            <v>#N/A</v>
          </cell>
          <cell r="F240" t="e">
            <v>#N/A</v>
          </cell>
          <cell r="G240" t="e">
            <v>#N/A</v>
          </cell>
          <cell r="H240" t="e">
            <v>#N/A</v>
          </cell>
          <cell r="I240" t="e">
            <v>#N/A</v>
          </cell>
          <cell r="J240" t="e">
            <v>#N/A</v>
          </cell>
          <cell r="K240" t="e">
            <v>#N/A</v>
          </cell>
          <cell r="L240" t="e">
            <v>#N/A</v>
          </cell>
          <cell r="M240" t="e">
            <v>#N/A</v>
          </cell>
          <cell r="N240" t="e">
            <v>#N/A</v>
          </cell>
          <cell r="O240" t="e">
            <v>#N/A</v>
          </cell>
          <cell r="P240">
            <v>40.799999999999997</v>
          </cell>
          <cell r="Q240">
            <v>0.66568799999999995</v>
          </cell>
          <cell r="R240" t="e">
            <v>#N/A</v>
          </cell>
        </row>
        <row r="241">
          <cell r="A241">
            <v>39818</v>
          </cell>
          <cell r="B241">
            <v>39818</v>
          </cell>
          <cell r="C241" t="str">
            <v>Past</v>
          </cell>
          <cell r="D241">
            <v>41.09</v>
          </cell>
          <cell r="E241" t="e">
            <v>#N/A</v>
          </cell>
          <cell r="F241" t="e">
            <v>#N/A</v>
          </cell>
          <cell r="G241" t="e">
            <v>#N/A</v>
          </cell>
          <cell r="H241" t="e">
            <v>#N/A</v>
          </cell>
          <cell r="I241" t="e">
            <v>#N/A</v>
          </cell>
          <cell r="J241" t="e">
            <v>#N/A</v>
          </cell>
          <cell r="K241" t="e">
            <v>#N/A</v>
          </cell>
          <cell r="L241" t="e">
            <v>#N/A</v>
          </cell>
          <cell r="M241" t="e">
            <v>#N/A</v>
          </cell>
          <cell r="N241" t="e">
            <v>#N/A</v>
          </cell>
          <cell r="O241" t="e">
            <v>#N/A</v>
          </cell>
          <cell r="P241">
            <v>41.09</v>
          </cell>
          <cell r="Q241">
            <v>0.81101199999999996</v>
          </cell>
          <cell r="R241" t="e">
            <v>#N/A</v>
          </cell>
        </row>
        <row r="242">
          <cell r="A242">
            <v>39819</v>
          </cell>
          <cell r="B242">
            <v>39819</v>
          </cell>
          <cell r="C242" t="str">
            <v>Past</v>
          </cell>
          <cell r="D242">
            <v>41.95</v>
          </cell>
          <cell r="E242" t="e">
            <v>#N/A</v>
          </cell>
          <cell r="F242" t="e">
            <v>#N/A</v>
          </cell>
          <cell r="G242" t="e">
            <v>#N/A</v>
          </cell>
          <cell r="H242" t="e">
            <v>#N/A</v>
          </cell>
          <cell r="I242" t="e">
            <v>#N/A</v>
          </cell>
          <cell r="J242" t="e">
            <v>#N/A</v>
          </cell>
          <cell r="K242" t="e">
            <v>#N/A</v>
          </cell>
          <cell r="L242" t="e">
            <v>#N/A</v>
          </cell>
          <cell r="M242" t="e">
            <v>#N/A</v>
          </cell>
          <cell r="N242" t="e">
            <v>#N/A</v>
          </cell>
          <cell r="O242" t="e">
            <v>#N/A</v>
          </cell>
          <cell r="P242">
            <v>41.95</v>
          </cell>
          <cell r="Q242">
            <v>1.853437</v>
          </cell>
          <cell r="R242" t="e">
            <v>#N/A</v>
          </cell>
        </row>
        <row r="243">
          <cell r="A243">
            <v>39820</v>
          </cell>
          <cell r="B243">
            <v>39820</v>
          </cell>
          <cell r="C243" t="str">
            <v>Past</v>
          </cell>
          <cell r="D243">
            <v>40.299999999999997</v>
          </cell>
          <cell r="E243" t="e">
            <v>#N/A</v>
          </cell>
          <cell r="F243" t="e">
            <v>#N/A</v>
          </cell>
          <cell r="G243" t="e">
            <v>#N/A</v>
          </cell>
          <cell r="H243" t="e">
            <v>#N/A</v>
          </cell>
          <cell r="I243" t="e">
            <v>#N/A</v>
          </cell>
          <cell r="J243" t="e">
            <v>#N/A</v>
          </cell>
          <cell r="K243" t="e">
            <v>#N/A</v>
          </cell>
          <cell r="L243" t="e">
            <v>#N/A</v>
          </cell>
          <cell r="M243" t="e">
            <v>#N/A</v>
          </cell>
          <cell r="N243" t="e">
            <v>#N/A</v>
          </cell>
          <cell r="O243" t="e">
            <v>#N/A</v>
          </cell>
          <cell r="P243">
            <v>40.299999999999997</v>
          </cell>
          <cell r="Q243">
            <v>1.354182</v>
          </cell>
          <cell r="R243" t="e">
            <v>#N/A</v>
          </cell>
        </row>
        <row r="244">
          <cell r="A244">
            <v>39821</v>
          </cell>
          <cell r="B244">
            <v>39821</v>
          </cell>
          <cell r="C244" t="str">
            <v>Past</v>
          </cell>
          <cell r="D244">
            <v>39.5</v>
          </cell>
          <cell r="E244" t="e">
            <v>#N/A</v>
          </cell>
          <cell r="F244" t="e">
            <v>#N/A</v>
          </cell>
          <cell r="G244" t="e">
            <v>#N/A</v>
          </cell>
          <cell r="H244" t="e">
            <v>#N/A</v>
          </cell>
          <cell r="I244" t="e">
            <v>#N/A</v>
          </cell>
          <cell r="J244" t="e">
            <v>#N/A</v>
          </cell>
          <cell r="K244" t="e">
            <v>#N/A</v>
          </cell>
          <cell r="L244" t="e">
            <v>#N/A</v>
          </cell>
          <cell r="M244" t="e">
            <v>#N/A</v>
          </cell>
          <cell r="N244" t="e">
            <v>#N/A</v>
          </cell>
          <cell r="O244" t="e">
            <v>#N/A</v>
          </cell>
          <cell r="P244">
            <v>39.5</v>
          </cell>
          <cell r="Q244">
            <v>2.0060720000000001</v>
          </cell>
          <cell r="R244" t="e">
            <v>#N/A</v>
          </cell>
        </row>
        <row r="245">
          <cell r="A245">
            <v>39822</v>
          </cell>
          <cell r="B245">
            <v>39822</v>
          </cell>
          <cell r="C245" t="str">
            <v>Past</v>
          </cell>
          <cell r="D245">
            <v>39.04</v>
          </cell>
          <cell r="E245" t="e">
            <v>#N/A</v>
          </cell>
          <cell r="F245" t="e">
            <v>#N/A</v>
          </cell>
          <cell r="G245" t="e">
            <v>#N/A</v>
          </cell>
          <cell r="H245" t="e">
            <v>#N/A</v>
          </cell>
          <cell r="I245" t="e">
            <v>#N/A</v>
          </cell>
          <cell r="J245" t="e">
            <v>#N/A</v>
          </cell>
          <cell r="K245" t="e">
            <v>#N/A</v>
          </cell>
          <cell r="L245" t="e">
            <v>#N/A</v>
          </cell>
          <cell r="M245" t="e">
            <v>#N/A</v>
          </cell>
          <cell r="N245" t="e">
            <v>#N/A</v>
          </cell>
          <cell r="O245" t="e">
            <v>#N/A</v>
          </cell>
          <cell r="P245">
            <v>39.04</v>
          </cell>
          <cell r="Q245">
            <v>2.2234569999999998</v>
          </cell>
          <cell r="R245" t="e">
            <v>#N/A</v>
          </cell>
        </row>
        <row r="246">
          <cell r="A246">
            <v>39825</v>
          </cell>
          <cell r="B246">
            <v>39825</v>
          </cell>
          <cell r="C246" t="str">
            <v>Past</v>
          </cell>
          <cell r="D246">
            <v>38.83</v>
          </cell>
          <cell r="E246" t="e">
            <v>#N/A</v>
          </cell>
          <cell r="F246" t="e">
            <v>#N/A</v>
          </cell>
          <cell r="G246" t="e">
            <v>#N/A</v>
          </cell>
          <cell r="H246" t="e">
            <v>#N/A</v>
          </cell>
          <cell r="I246" t="e">
            <v>#N/A</v>
          </cell>
          <cell r="J246" t="e">
            <v>#N/A</v>
          </cell>
          <cell r="K246" t="e">
            <v>#N/A</v>
          </cell>
          <cell r="L246" t="e">
            <v>#N/A</v>
          </cell>
          <cell r="M246" t="e">
            <v>#N/A</v>
          </cell>
          <cell r="N246" t="e">
            <v>#N/A</v>
          </cell>
          <cell r="O246" t="e">
            <v>#N/A</v>
          </cell>
          <cell r="P246">
            <v>38.83</v>
          </cell>
          <cell r="Q246">
            <v>0.98887899999999995</v>
          </cell>
          <cell r="R246" t="e">
            <v>#N/A</v>
          </cell>
        </row>
        <row r="247">
          <cell r="A247">
            <v>39826</v>
          </cell>
          <cell r="B247">
            <v>39826</v>
          </cell>
          <cell r="C247" t="str">
            <v>Past</v>
          </cell>
          <cell r="D247">
            <v>36.99</v>
          </cell>
          <cell r="E247" t="e">
            <v>#N/A</v>
          </cell>
          <cell r="F247" t="e">
            <v>#N/A</v>
          </cell>
          <cell r="G247" t="e">
            <v>#N/A</v>
          </cell>
          <cell r="H247" t="e">
            <v>#N/A</v>
          </cell>
          <cell r="I247" t="e">
            <v>#N/A</v>
          </cell>
          <cell r="J247" t="e">
            <v>#N/A</v>
          </cell>
          <cell r="K247" t="e">
            <v>#N/A</v>
          </cell>
          <cell r="L247" t="e">
            <v>#N/A</v>
          </cell>
          <cell r="M247" t="e">
            <v>#N/A</v>
          </cell>
          <cell r="N247" t="e">
            <v>#N/A</v>
          </cell>
          <cell r="O247" t="e">
            <v>#N/A</v>
          </cell>
          <cell r="P247">
            <v>36.99</v>
          </cell>
          <cell r="Q247">
            <v>1.9892259999999999</v>
          </cell>
          <cell r="R247" t="e">
            <v>#N/A</v>
          </cell>
        </row>
        <row r="248">
          <cell r="A248">
            <v>39827</v>
          </cell>
          <cell r="B248">
            <v>39827</v>
          </cell>
          <cell r="C248" t="str">
            <v>Past</v>
          </cell>
          <cell r="D248">
            <v>36.200000000000003</v>
          </cell>
          <cell r="E248" t="e">
            <v>#N/A</v>
          </cell>
          <cell r="F248" t="e">
            <v>#N/A</v>
          </cell>
          <cell r="G248" t="e">
            <v>#N/A</v>
          </cell>
          <cell r="H248" t="e">
            <v>#N/A</v>
          </cell>
          <cell r="I248" t="e">
            <v>#N/A</v>
          </cell>
          <cell r="J248" t="e">
            <v>#N/A</v>
          </cell>
          <cell r="K248" t="e">
            <v>#N/A</v>
          </cell>
          <cell r="L248" t="e">
            <v>#N/A</v>
          </cell>
          <cell r="M248" t="e">
            <v>#N/A</v>
          </cell>
          <cell r="N248" t="e">
            <v>#N/A</v>
          </cell>
          <cell r="O248" t="e">
            <v>#N/A</v>
          </cell>
          <cell r="P248">
            <v>36.200000000000003</v>
          </cell>
          <cell r="Q248">
            <v>1.216024</v>
          </cell>
          <cell r="R248" t="e">
            <v>#N/A</v>
          </cell>
        </row>
        <row r="249">
          <cell r="A249">
            <v>39828</v>
          </cell>
          <cell r="B249">
            <v>39828</v>
          </cell>
          <cell r="C249" t="str">
            <v>Past</v>
          </cell>
          <cell r="D249">
            <v>36.5</v>
          </cell>
          <cell r="E249" t="e">
            <v>#N/A</v>
          </cell>
          <cell r="F249" t="e">
            <v>#N/A</v>
          </cell>
          <cell r="G249" t="e">
            <v>#N/A</v>
          </cell>
          <cell r="H249" t="e">
            <v>#N/A</v>
          </cell>
          <cell r="I249" t="e">
            <v>#N/A</v>
          </cell>
          <cell r="J249" t="e">
            <v>#N/A</v>
          </cell>
          <cell r="K249" t="e">
            <v>#N/A</v>
          </cell>
          <cell r="L249" t="e">
            <v>#N/A</v>
          </cell>
          <cell r="M249" t="e">
            <v>#N/A</v>
          </cell>
          <cell r="N249" t="e">
            <v>#N/A</v>
          </cell>
          <cell r="O249" t="e">
            <v>#N/A</v>
          </cell>
          <cell r="P249">
            <v>36.5</v>
          </cell>
          <cell r="Q249">
            <v>1.0569109999999999</v>
          </cell>
          <cell r="R249" t="e">
            <v>#N/A</v>
          </cell>
        </row>
        <row r="250">
          <cell r="A250">
            <v>39829</v>
          </cell>
          <cell r="B250">
            <v>39829</v>
          </cell>
          <cell r="C250" t="str">
            <v>Past</v>
          </cell>
          <cell r="D250">
            <v>37.26</v>
          </cell>
          <cell r="E250" t="e">
            <v>#N/A</v>
          </cell>
          <cell r="F250" t="e">
            <v>#N/A</v>
          </cell>
          <cell r="G250" t="e">
            <v>#N/A</v>
          </cell>
          <cell r="H250" t="e">
            <v>#N/A</v>
          </cell>
          <cell r="I250" t="e">
            <v>#N/A</v>
          </cell>
          <cell r="J250" t="e">
            <v>#N/A</v>
          </cell>
          <cell r="K250" t="e">
            <v>#N/A</v>
          </cell>
          <cell r="L250" t="e">
            <v>#N/A</v>
          </cell>
          <cell r="M250" t="e">
            <v>#N/A</v>
          </cell>
          <cell r="N250" t="e">
            <v>#N/A</v>
          </cell>
          <cell r="O250" t="e">
            <v>#N/A</v>
          </cell>
          <cell r="P250">
            <v>37.26</v>
          </cell>
          <cell r="Q250">
            <v>1.5374949999999998</v>
          </cell>
          <cell r="R250" t="e">
            <v>#N/A</v>
          </cell>
        </row>
        <row r="251">
          <cell r="A251">
            <v>39833</v>
          </cell>
          <cell r="B251">
            <v>39833</v>
          </cell>
          <cell r="C251" t="str">
            <v>Past</v>
          </cell>
          <cell r="D251">
            <v>35.630000000000003</v>
          </cell>
          <cell r="E251" t="e">
            <v>#N/A</v>
          </cell>
          <cell r="F251" t="e">
            <v>#N/A</v>
          </cell>
          <cell r="G251" t="e">
            <v>#N/A</v>
          </cell>
          <cell r="H251" t="e">
            <v>#N/A</v>
          </cell>
          <cell r="I251" t="e">
            <v>#N/A</v>
          </cell>
          <cell r="J251" t="e">
            <v>#N/A</v>
          </cell>
          <cell r="K251" t="e">
            <v>#N/A</v>
          </cell>
          <cell r="L251" t="e">
            <v>#N/A</v>
          </cell>
          <cell r="M251" t="e">
            <v>#N/A</v>
          </cell>
          <cell r="N251" t="e">
            <v>#N/A</v>
          </cell>
          <cell r="O251" t="e">
            <v>#N/A</v>
          </cell>
          <cell r="P251">
            <v>35.630000000000003</v>
          </cell>
          <cell r="Q251">
            <v>1.29857</v>
          </cell>
          <cell r="R251" t="e">
            <v>#N/A</v>
          </cell>
        </row>
        <row r="252">
          <cell r="A252">
            <v>39834</v>
          </cell>
          <cell r="B252">
            <v>39834</v>
          </cell>
          <cell r="C252" t="str">
            <v>Past</v>
          </cell>
          <cell r="D252">
            <v>36.9</v>
          </cell>
          <cell r="E252" t="e">
            <v>#N/A</v>
          </cell>
          <cell r="F252" t="e">
            <v>#N/A</v>
          </cell>
          <cell r="G252" t="e">
            <v>#N/A</v>
          </cell>
          <cell r="H252" t="e">
            <v>#N/A</v>
          </cell>
          <cell r="I252" t="e">
            <v>#N/A</v>
          </cell>
          <cell r="J252" t="e">
            <v>#N/A</v>
          </cell>
          <cell r="K252" t="e">
            <v>#N/A</v>
          </cell>
          <cell r="L252" t="e">
            <v>#N/A</v>
          </cell>
          <cell r="M252" t="e">
            <v>#N/A</v>
          </cell>
          <cell r="N252" t="e">
            <v>#N/A</v>
          </cell>
          <cell r="O252" t="e">
            <v>#N/A</v>
          </cell>
          <cell r="P252">
            <v>36.9</v>
          </cell>
          <cell r="Q252">
            <v>1.132055</v>
          </cell>
          <cell r="R252" t="e">
            <v>#N/A</v>
          </cell>
        </row>
        <row r="253">
          <cell r="A253">
            <v>39835</v>
          </cell>
          <cell r="B253">
            <v>39835</v>
          </cell>
          <cell r="C253" t="str">
            <v>Past</v>
          </cell>
          <cell r="D253">
            <v>36.85</v>
          </cell>
          <cell r="E253" t="e">
            <v>#N/A</v>
          </cell>
          <cell r="F253" t="e">
            <v>#N/A</v>
          </cell>
          <cell r="G253" t="e">
            <v>#N/A</v>
          </cell>
          <cell r="H253" t="e">
            <v>#N/A</v>
          </cell>
          <cell r="I253" t="e">
            <v>#N/A</v>
          </cell>
          <cell r="J253" t="e">
            <v>#N/A</v>
          </cell>
          <cell r="K253" t="e">
            <v>#N/A</v>
          </cell>
          <cell r="L253" t="e">
            <v>#N/A</v>
          </cell>
          <cell r="M253" t="e">
            <v>#N/A</v>
          </cell>
          <cell r="N253" t="e">
            <v>#N/A</v>
          </cell>
          <cell r="O253" t="e">
            <v>#N/A</v>
          </cell>
          <cell r="P253">
            <v>36.85</v>
          </cell>
          <cell r="Q253">
            <v>0.86424699999999999</v>
          </cell>
          <cell r="R253" t="e">
            <v>#N/A</v>
          </cell>
        </row>
        <row r="254">
          <cell r="A254">
            <v>39836</v>
          </cell>
          <cell r="B254">
            <v>39836</v>
          </cell>
          <cell r="C254" t="str">
            <v>Past</v>
          </cell>
          <cell r="D254">
            <v>36.89</v>
          </cell>
          <cell r="E254" t="e">
            <v>#N/A</v>
          </cell>
          <cell r="F254" t="e">
            <v>#N/A</v>
          </cell>
          <cell r="G254" t="e">
            <v>#N/A</v>
          </cell>
          <cell r="H254" t="e">
            <v>#N/A</v>
          </cell>
          <cell r="I254" t="e">
            <v>#N/A</v>
          </cell>
          <cell r="J254" t="e">
            <v>#N/A</v>
          </cell>
          <cell r="K254" t="e">
            <v>#N/A</v>
          </cell>
          <cell r="L254" t="e">
            <v>#N/A</v>
          </cell>
          <cell r="M254" t="e">
            <v>#N/A</v>
          </cell>
          <cell r="N254" t="e">
            <v>#N/A</v>
          </cell>
          <cell r="O254" t="e">
            <v>#N/A</v>
          </cell>
          <cell r="P254">
            <v>36.89</v>
          </cell>
          <cell r="Q254">
            <v>1.010864</v>
          </cell>
          <cell r="R254" t="e">
            <v>#N/A</v>
          </cell>
        </row>
        <row r="255">
          <cell r="A255">
            <v>39839</v>
          </cell>
          <cell r="B255">
            <v>39839</v>
          </cell>
          <cell r="C255" t="str">
            <v>Past</v>
          </cell>
          <cell r="D255">
            <v>37.65</v>
          </cell>
          <cell r="E255" t="e">
            <v>#N/A</v>
          </cell>
          <cell r="F255" t="e">
            <v>#N/A</v>
          </cell>
          <cell r="G255" t="e">
            <v>#N/A</v>
          </cell>
          <cell r="H255" t="e">
            <v>#N/A</v>
          </cell>
          <cell r="I255" t="e">
            <v>#N/A</v>
          </cell>
          <cell r="J255" t="e">
            <v>#N/A</v>
          </cell>
          <cell r="K255" t="e">
            <v>#N/A</v>
          </cell>
          <cell r="L255" t="e">
            <v>#N/A</v>
          </cell>
          <cell r="M255" t="e">
            <v>#N/A</v>
          </cell>
          <cell r="N255" t="e">
            <v>#N/A</v>
          </cell>
          <cell r="O255" t="e">
            <v>#N/A</v>
          </cell>
          <cell r="P255">
            <v>37.65</v>
          </cell>
          <cell r="Q255">
            <v>1.089332</v>
          </cell>
          <cell r="R255" t="e">
            <v>#N/A</v>
          </cell>
        </row>
        <row r="256">
          <cell r="A256">
            <v>39840</v>
          </cell>
          <cell r="B256">
            <v>39840</v>
          </cell>
          <cell r="C256" t="str">
            <v>Past</v>
          </cell>
          <cell r="D256">
            <v>38.19</v>
          </cell>
          <cell r="E256" t="e">
            <v>#N/A</v>
          </cell>
          <cell r="F256" t="e">
            <v>#N/A</v>
          </cell>
          <cell r="G256" t="e">
            <v>#N/A</v>
          </cell>
          <cell r="H256" t="e">
            <v>#N/A</v>
          </cell>
          <cell r="I256" t="e">
            <v>#N/A</v>
          </cell>
          <cell r="J256" t="e">
            <v>#N/A</v>
          </cell>
          <cell r="K256" t="e">
            <v>#N/A</v>
          </cell>
          <cell r="L256" t="e">
            <v>#N/A</v>
          </cell>
          <cell r="M256" t="e">
            <v>#N/A</v>
          </cell>
          <cell r="N256" t="e">
            <v>#N/A</v>
          </cell>
          <cell r="O256" t="e">
            <v>#N/A</v>
          </cell>
          <cell r="P256">
            <v>38.19</v>
          </cell>
          <cell r="Q256">
            <v>1.320057</v>
          </cell>
          <cell r="R256" t="e">
            <v>#N/A</v>
          </cell>
        </row>
        <row r="257">
          <cell r="A257">
            <v>39841</v>
          </cell>
          <cell r="B257">
            <v>39841</v>
          </cell>
          <cell r="C257" t="str">
            <v>Past</v>
          </cell>
          <cell r="D257">
            <v>39.79</v>
          </cell>
          <cell r="E257" t="e">
            <v>#N/A</v>
          </cell>
          <cell r="F257" t="e">
            <v>#N/A</v>
          </cell>
          <cell r="G257" t="e">
            <v>#N/A</v>
          </cell>
          <cell r="H257" t="e">
            <v>#N/A</v>
          </cell>
          <cell r="I257" t="e">
            <v>#N/A</v>
          </cell>
          <cell r="J257" t="e">
            <v>#N/A</v>
          </cell>
          <cell r="K257" t="e">
            <v>#N/A</v>
          </cell>
          <cell r="L257" t="e">
            <v>#N/A</v>
          </cell>
          <cell r="M257" t="e">
            <v>#N/A</v>
          </cell>
          <cell r="N257" t="e">
            <v>#N/A</v>
          </cell>
          <cell r="O257" t="e">
            <v>#N/A</v>
          </cell>
          <cell r="P257">
            <v>39.79</v>
          </cell>
          <cell r="Q257">
            <v>1.7482139999999999</v>
          </cell>
          <cell r="R257" t="e">
            <v>#N/A</v>
          </cell>
        </row>
        <row r="258">
          <cell r="A258">
            <v>39842</v>
          </cell>
          <cell r="B258">
            <v>39842</v>
          </cell>
          <cell r="C258" t="str">
            <v>Past</v>
          </cell>
          <cell r="D258">
            <v>37.700000000000003</v>
          </cell>
          <cell r="E258" t="e">
            <v>#N/A</v>
          </cell>
          <cell r="F258" t="e">
            <v>#N/A</v>
          </cell>
          <cell r="G258" t="e">
            <v>#N/A</v>
          </cell>
          <cell r="H258" t="e">
            <v>#N/A</v>
          </cell>
          <cell r="I258" t="e">
            <v>#N/A</v>
          </cell>
          <cell r="J258" t="e">
            <v>#N/A</v>
          </cell>
          <cell r="K258" t="e">
            <v>#N/A</v>
          </cell>
          <cell r="L258" t="e">
            <v>#N/A</v>
          </cell>
          <cell r="M258" t="e">
            <v>#N/A</v>
          </cell>
          <cell r="N258" t="e">
            <v>#N/A</v>
          </cell>
          <cell r="O258" t="e">
            <v>#N/A</v>
          </cell>
          <cell r="P258">
            <v>37.700000000000003</v>
          </cell>
          <cell r="Q258">
            <v>1.058079</v>
          </cell>
          <cell r="R258" t="e">
            <v>#N/A</v>
          </cell>
        </row>
        <row r="259">
          <cell r="A259">
            <v>39843</v>
          </cell>
          <cell r="B259">
            <v>39843</v>
          </cell>
          <cell r="C259" t="str">
            <v>Past</v>
          </cell>
          <cell r="D259">
            <v>37.68</v>
          </cell>
          <cell r="E259" t="e">
            <v>#N/A</v>
          </cell>
          <cell r="F259" t="e">
            <v>#N/A</v>
          </cell>
          <cell r="G259" t="e">
            <v>#N/A</v>
          </cell>
          <cell r="H259" t="e">
            <v>#N/A</v>
          </cell>
          <cell r="I259" t="e">
            <v>#N/A</v>
          </cell>
          <cell r="J259" t="e">
            <v>#N/A</v>
          </cell>
          <cell r="K259" t="e">
            <v>#N/A</v>
          </cell>
          <cell r="L259" t="e">
            <v>#N/A</v>
          </cell>
          <cell r="M259" t="e">
            <v>#N/A</v>
          </cell>
          <cell r="N259" t="e">
            <v>#N/A</v>
          </cell>
          <cell r="O259" t="e">
            <v>#N/A</v>
          </cell>
          <cell r="P259">
            <v>37.68</v>
          </cell>
          <cell r="Q259">
            <v>1.8226500000000001</v>
          </cell>
          <cell r="R259" t="e">
            <v>#N/A</v>
          </cell>
        </row>
        <row r="260">
          <cell r="A260">
            <v>39846</v>
          </cell>
          <cell r="B260">
            <v>39846</v>
          </cell>
          <cell r="C260" t="str">
            <v>Past</v>
          </cell>
          <cell r="D260">
            <v>35.17</v>
          </cell>
          <cell r="E260" t="e">
            <v>#N/A</v>
          </cell>
          <cell r="F260" t="e">
            <v>#N/A</v>
          </cell>
          <cell r="G260" t="e">
            <v>#N/A</v>
          </cell>
          <cell r="H260" t="e">
            <v>#N/A</v>
          </cell>
          <cell r="I260" t="e">
            <v>#N/A</v>
          </cell>
          <cell r="J260" t="e">
            <v>#N/A</v>
          </cell>
          <cell r="K260" t="e">
            <v>#N/A</v>
          </cell>
          <cell r="L260" t="e">
            <v>#N/A</v>
          </cell>
          <cell r="M260" t="e">
            <v>#N/A</v>
          </cell>
          <cell r="N260" t="e">
            <v>#N/A</v>
          </cell>
          <cell r="O260" t="e">
            <v>#N/A</v>
          </cell>
          <cell r="P260">
            <v>35.17</v>
          </cell>
          <cell r="Q260">
            <v>3.0471219999999999</v>
          </cell>
          <cell r="R260" t="e">
            <v>#N/A</v>
          </cell>
        </row>
        <row r="261">
          <cell r="A261">
            <v>39847</v>
          </cell>
          <cell r="B261">
            <v>39847</v>
          </cell>
          <cell r="C261" t="str">
            <v>Past</v>
          </cell>
          <cell r="D261">
            <v>38.94</v>
          </cell>
          <cell r="E261" t="e">
            <v>#N/A</v>
          </cell>
          <cell r="F261" t="e">
            <v>#N/A</v>
          </cell>
          <cell r="G261" t="e">
            <v>#N/A</v>
          </cell>
          <cell r="H261" t="e">
            <v>#N/A</v>
          </cell>
          <cell r="I261" t="e">
            <v>#N/A</v>
          </cell>
          <cell r="J261" t="e">
            <v>#N/A</v>
          </cell>
          <cell r="K261" t="e">
            <v>#N/A</v>
          </cell>
          <cell r="L261" t="e">
            <v>#N/A</v>
          </cell>
          <cell r="M261" t="e">
            <v>#N/A</v>
          </cell>
          <cell r="N261" t="e">
            <v>#N/A</v>
          </cell>
          <cell r="O261" t="e">
            <v>#N/A</v>
          </cell>
          <cell r="P261">
            <v>38.94</v>
          </cell>
          <cell r="Q261">
            <v>3.9511779999999996</v>
          </cell>
          <cell r="R261" t="e">
            <v>#N/A</v>
          </cell>
        </row>
        <row r="262">
          <cell r="A262">
            <v>39848</v>
          </cell>
          <cell r="B262">
            <v>39848</v>
          </cell>
          <cell r="C262" t="str">
            <v>Past</v>
          </cell>
          <cell r="D262">
            <v>37.64</v>
          </cell>
          <cell r="E262" t="e">
            <v>#N/A</v>
          </cell>
          <cell r="F262" t="e">
            <v>#N/A</v>
          </cell>
          <cell r="G262" t="e">
            <v>#N/A</v>
          </cell>
          <cell r="H262" t="e">
            <v>#N/A</v>
          </cell>
          <cell r="I262" t="e">
            <v>#N/A</v>
          </cell>
          <cell r="J262" t="e">
            <v>#N/A</v>
          </cell>
          <cell r="K262" t="e">
            <v>#N/A</v>
          </cell>
          <cell r="L262" t="e">
            <v>#N/A</v>
          </cell>
          <cell r="M262" t="e">
            <v>#N/A</v>
          </cell>
          <cell r="N262" t="e">
            <v>#N/A</v>
          </cell>
          <cell r="O262" t="e">
            <v>#N/A</v>
          </cell>
          <cell r="P262">
            <v>37.64</v>
          </cell>
          <cell r="Q262">
            <v>2.8779859999999999</v>
          </cell>
          <cell r="R262" t="e">
            <v>#N/A</v>
          </cell>
        </row>
        <row r="263">
          <cell r="A263">
            <v>39849</v>
          </cell>
          <cell r="B263">
            <v>39849</v>
          </cell>
          <cell r="C263" t="str">
            <v>Past</v>
          </cell>
          <cell r="D263">
            <v>38.11</v>
          </cell>
          <cell r="E263" t="e">
            <v>#N/A</v>
          </cell>
          <cell r="F263" t="e">
            <v>#N/A</v>
          </cell>
          <cell r="G263" t="e">
            <v>#N/A</v>
          </cell>
          <cell r="H263" t="e">
            <v>#N/A</v>
          </cell>
          <cell r="I263" t="e">
            <v>#N/A</v>
          </cell>
          <cell r="J263" t="e">
            <v>#N/A</v>
          </cell>
          <cell r="K263" t="e">
            <v>#N/A</v>
          </cell>
          <cell r="L263" t="e">
            <v>#N/A</v>
          </cell>
          <cell r="M263" t="e">
            <v>#N/A</v>
          </cell>
          <cell r="N263" t="e">
            <v>#N/A</v>
          </cell>
          <cell r="O263" t="e">
            <v>#N/A</v>
          </cell>
          <cell r="P263">
            <v>38.11</v>
          </cell>
          <cell r="Q263">
            <v>2.970567</v>
          </cell>
          <cell r="R263" t="e">
            <v>#N/A</v>
          </cell>
        </row>
        <row r="264">
          <cell r="A264">
            <v>39850</v>
          </cell>
          <cell r="B264">
            <v>39850</v>
          </cell>
          <cell r="C264" t="str">
            <v>Past</v>
          </cell>
          <cell r="D264">
            <v>38.9</v>
          </cell>
          <cell r="E264" t="e">
            <v>#N/A</v>
          </cell>
          <cell r="F264" t="e">
            <v>#N/A</v>
          </cell>
          <cell r="G264" t="e">
            <v>#N/A</v>
          </cell>
          <cell r="H264" t="e">
            <v>#N/A</v>
          </cell>
          <cell r="I264" t="e">
            <v>#N/A</v>
          </cell>
          <cell r="J264" t="e">
            <v>#N/A</v>
          </cell>
          <cell r="K264" t="e">
            <v>#N/A</v>
          </cell>
          <cell r="L264" t="e">
            <v>#N/A</v>
          </cell>
          <cell r="M264" t="e">
            <v>#N/A</v>
          </cell>
          <cell r="N264" t="e">
            <v>#N/A</v>
          </cell>
          <cell r="O264" t="e">
            <v>#N/A</v>
          </cell>
          <cell r="P264">
            <v>38.9</v>
          </cell>
          <cell r="Q264">
            <v>1.719133</v>
          </cell>
          <cell r="R264" t="e">
            <v>#N/A</v>
          </cell>
        </row>
        <row r="265">
          <cell r="A265">
            <v>39853</v>
          </cell>
          <cell r="B265">
            <v>39853</v>
          </cell>
          <cell r="C265" t="str">
            <v>Past</v>
          </cell>
          <cell r="D265">
            <v>38.99</v>
          </cell>
          <cell r="E265" t="e">
            <v>#N/A</v>
          </cell>
          <cell r="F265" t="e">
            <v>#N/A</v>
          </cell>
          <cell r="G265" t="e">
            <v>#N/A</v>
          </cell>
          <cell r="H265" t="e">
            <v>#N/A</v>
          </cell>
          <cell r="I265" t="e">
            <v>#N/A</v>
          </cell>
          <cell r="J265" t="e">
            <v>#N/A</v>
          </cell>
          <cell r="K265" t="e">
            <v>#N/A</v>
          </cell>
          <cell r="L265" t="e">
            <v>#N/A</v>
          </cell>
          <cell r="M265" t="e">
            <v>#N/A</v>
          </cell>
          <cell r="N265" t="e">
            <v>#N/A</v>
          </cell>
          <cell r="O265" t="e">
            <v>#N/A</v>
          </cell>
          <cell r="P265">
            <v>38.99</v>
          </cell>
          <cell r="Q265">
            <v>1.5008379999999999</v>
          </cell>
          <cell r="R265" t="e">
            <v>#N/A</v>
          </cell>
        </row>
        <row r="266">
          <cell r="A266">
            <v>39854</v>
          </cell>
          <cell r="B266">
            <v>39854</v>
          </cell>
          <cell r="C266" t="str">
            <v>Past</v>
          </cell>
          <cell r="D266">
            <v>37.090000000000003</v>
          </cell>
          <cell r="E266" t="e">
            <v>#N/A</v>
          </cell>
          <cell r="F266" t="e">
            <v>#N/A</v>
          </cell>
          <cell r="G266" t="e">
            <v>#N/A</v>
          </cell>
          <cell r="H266" t="e">
            <v>#N/A</v>
          </cell>
          <cell r="I266" t="e">
            <v>#N/A</v>
          </cell>
          <cell r="J266" t="e">
            <v>#N/A</v>
          </cell>
          <cell r="K266" t="e">
            <v>#N/A</v>
          </cell>
          <cell r="L266" t="e">
            <v>#N/A</v>
          </cell>
          <cell r="M266" t="e">
            <v>#N/A</v>
          </cell>
          <cell r="N266" t="e">
            <v>#N/A</v>
          </cell>
          <cell r="O266" t="e">
            <v>#N/A</v>
          </cell>
          <cell r="P266">
            <v>37.090000000000003</v>
          </cell>
          <cell r="Q266">
            <v>1.4959879999999999</v>
          </cell>
          <cell r="R266" t="e">
            <v>#N/A</v>
          </cell>
        </row>
        <row r="267">
          <cell r="A267">
            <v>39855</v>
          </cell>
          <cell r="B267">
            <v>39855</v>
          </cell>
          <cell r="C267" t="str">
            <v>Past</v>
          </cell>
          <cell r="D267">
            <v>36.770000000000003</v>
          </cell>
          <cell r="E267" t="e">
            <v>#N/A</v>
          </cell>
          <cell r="F267" t="e">
            <v>#N/A</v>
          </cell>
          <cell r="G267" t="e">
            <v>#N/A</v>
          </cell>
          <cell r="H267" t="e">
            <v>#N/A</v>
          </cell>
          <cell r="I267" t="e">
            <v>#N/A</v>
          </cell>
          <cell r="J267" t="e">
            <v>#N/A</v>
          </cell>
          <cell r="K267" t="e">
            <v>#N/A</v>
          </cell>
          <cell r="L267" t="e">
            <v>#N/A</v>
          </cell>
          <cell r="M267" t="e">
            <v>#N/A</v>
          </cell>
          <cell r="N267" t="e">
            <v>#N/A</v>
          </cell>
          <cell r="O267" t="e">
            <v>#N/A</v>
          </cell>
          <cell r="P267">
            <v>36.770000000000003</v>
          </cell>
          <cell r="Q267">
            <v>1.2877729999999998</v>
          </cell>
          <cell r="R267" t="e">
            <v>#N/A</v>
          </cell>
        </row>
        <row r="268">
          <cell r="A268">
            <v>39856</v>
          </cell>
          <cell r="B268">
            <v>39856</v>
          </cell>
          <cell r="C268" t="str">
            <v>Past</v>
          </cell>
          <cell r="D268">
            <v>36.39</v>
          </cell>
          <cell r="E268" t="e">
            <v>#N/A</v>
          </cell>
          <cell r="F268" t="e">
            <v>#N/A</v>
          </cell>
          <cell r="G268" t="e">
            <v>#N/A</v>
          </cell>
          <cell r="H268" t="e">
            <v>#N/A</v>
          </cell>
          <cell r="I268" t="e">
            <v>#N/A</v>
          </cell>
          <cell r="J268" t="e">
            <v>#N/A</v>
          </cell>
          <cell r="K268" t="e">
            <v>#N/A</v>
          </cell>
          <cell r="L268" t="e">
            <v>#N/A</v>
          </cell>
          <cell r="M268" t="e">
            <v>#N/A</v>
          </cell>
          <cell r="N268" t="e">
            <v>#N/A</v>
          </cell>
          <cell r="O268" t="e">
            <v>#N/A</v>
          </cell>
          <cell r="P268">
            <v>36.39</v>
          </cell>
          <cell r="Q268">
            <v>1.3419000000000001</v>
          </cell>
          <cell r="R268" t="e">
            <v>#N/A</v>
          </cell>
        </row>
        <row r="269">
          <cell r="A269">
            <v>39857</v>
          </cell>
          <cell r="B269">
            <v>39857</v>
          </cell>
          <cell r="C269" t="str">
            <v>Past</v>
          </cell>
          <cell r="D269">
            <v>37.159999999999997</v>
          </cell>
          <cell r="E269" t="e">
            <v>#N/A</v>
          </cell>
          <cell r="F269" t="e">
            <v>#N/A</v>
          </cell>
          <cell r="G269" t="e">
            <v>#N/A</v>
          </cell>
          <cell r="H269" t="e">
            <v>#N/A</v>
          </cell>
          <cell r="I269" t="e">
            <v>#N/A</v>
          </cell>
          <cell r="J269" t="e">
            <v>#N/A</v>
          </cell>
          <cell r="K269" t="e">
            <v>#N/A</v>
          </cell>
          <cell r="L269" t="e">
            <v>#N/A</v>
          </cell>
          <cell r="M269" t="e">
            <v>#N/A</v>
          </cell>
          <cell r="N269" t="e">
            <v>#N/A</v>
          </cell>
          <cell r="O269" t="e">
            <v>#N/A</v>
          </cell>
          <cell r="P269">
            <v>37.159999999999997</v>
          </cell>
          <cell r="Q269">
            <v>1.2079569999999999</v>
          </cell>
          <cell r="R269" t="e">
            <v>#N/A</v>
          </cell>
        </row>
        <row r="270">
          <cell r="A270">
            <v>39861</v>
          </cell>
          <cell r="B270">
            <v>39861</v>
          </cell>
          <cell r="C270" t="str">
            <v>Past</v>
          </cell>
          <cell r="D270">
            <v>35.68</v>
          </cell>
          <cell r="E270" t="e">
            <v>#N/A</v>
          </cell>
          <cell r="F270" t="e">
            <v>#N/A</v>
          </cell>
          <cell r="G270" t="e">
            <v>#N/A</v>
          </cell>
          <cell r="H270" t="e">
            <v>#N/A</v>
          </cell>
          <cell r="I270" t="e">
            <v>#N/A</v>
          </cell>
          <cell r="J270" t="e">
            <v>#N/A</v>
          </cell>
          <cell r="K270" t="e">
            <v>#N/A</v>
          </cell>
          <cell r="L270" t="e">
            <v>#N/A</v>
          </cell>
          <cell r="M270" t="e">
            <v>#N/A</v>
          </cell>
          <cell r="N270" t="e">
            <v>#N/A</v>
          </cell>
          <cell r="O270" t="e">
            <v>#N/A</v>
          </cell>
          <cell r="P270">
            <v>35.68</v>
          </cell>
          <cell r="Q270">
            <v>1.8728529999999999</v>
          </cell>
          <cell r="R270" t="e">
            <v>#N/A</v>
          </cell>
        </row>
        <row r="271">
          <cell r="A271">
            <v>39862</v>
          </cell>
          <cell r="B271">
            <v>39862</v>
          </cell>
          <cell r="C271" t="str">
            <v>Past</v>
          </cell>
          <cell r="D271">
            <v>35.82</v>
          </cell>
          <cell r="E271" t="e">
            <v>#N/A</v>
          </cell>
          <cell r="F271" t="e">
            <v>#N/A</v>
          </cell>
          <cell r="G271" t="e">
            <v>#N/A</v>
          </cell>
          <cell r="H271" t="e">
            <v>#N/A</v>
          </cell>
          <cell r="I271" t="e">
            <v>#N/A</v>
          </cell>
          <cell r="J271" t="e">
            <v>#N/A</v>
          </cell>
          <cell r="K271" t="e">
            <v>#N/A</v>
          </cell>
          <cell r="L271" t="e">
            <v>#N/A</v>
          </cell>
          <cell r="M271" t="e">
            <v>#N/A</v>
          </cell>
          <cell r="N271" t="e">
            <v>#N/A</v>
          </cell>
          <cell r="O271" t="e">
            <v>#N/A</v>
          </cell>
          <cell r="P271">
            <v>35.82</v>
          </cell>
          <cell r="Q271">
            <v>1.7947139999999999</v>
          </cell>
          <cell r="R271" t="e">
            <v>#N/A</v>
          </cell>
        </row>
        <row r="272">
          <cell r="A272">
            <v>39863</v>
          </cell>
          <cell r="B272">
            <v>39863</v>
          </cell>
          <cell r="C272" t="str">
            <v>Past</v>
          </cell>
          <cell r="D272">
            <v>35.83</v>
          </cell>
          <cell r="E272" t="e">
            <v>#N/A</v>
          </cell>
          <cell r="F272" t="e">
            <v>#N/A</v>
          </cell>
          <cell r="G272" t="e">
            <v>#N/A</v>
          </cell>
          <cell r="H272" t="e">
            <v>#N/A</v>
          </cell>
          <cell r="I272" t="e">
            <v>#N/A</v>
          </cell>
          <cell r="J272" t="e">
            <v>#N/A</v>
          </cell>
          <cell r="K272" t="e">
            <v>#N/A</v>
          </cell>
          <cell r="L272" t="e">
            <v>#N/A</v>
          </cell>
          <cell r="M272" t="e">
            <v>#N/A</v>
          </cell>
          <cell r="N272" t="e">
            <v>#N/A</v>
          </cell>
          <cell r="O272" t="e">
            <v>#N/A</v>
          </cell>
          <cell r="P272">
            <v>35.83</v>
          </cell>
          <cell r="Q272">
            <v>1.442469</v>
          </cell>
          <cell r="R272" t="e">
            <v>#N/A</v>
          </cell>
        </row>
        <row r="273">
          <cell r="A273">
            <v>39864</v>
          </cell>
          <cell r="B273">
            <v>39864</v>
          </cell>
          <cell r="C273" t="str">
            <v>Past</v>
          </cell>
          <cell r="D273">
            <v>35.049999999999997</v>
          </cell>
          <cell r="E273" t="e">
            <v>#N/A</v>
          </cell>
          <cell r="F273" t="e">
            <v>#N/A</v>
          </cell>
          <cell r="G273" t="e">
            <v>#N/A</v>
          </cell>
          <cell r="H273" t="e">
            <v>#N/A</v>
          </cell>
          <cell r="I273" t="e">
            <v>#N/A</v>
          </cell>
          <cell r="J273" t="e">
            <v>#N/A</v>
          </cell>
          <cell r="K273" t="e">
            <v>#N/A</v>
          </cell>
          <cell r="L273" t="e">
            <v>#N/A</v>
          </cell>
          <cell r="M273" t="e">
            <v>#N/A</v>
          </cell>
          <cell r="N273" t="e">
            <v>#N/A</v>
          </cell>
          <cell r="O273" t="e">
            <v>#N/A</v>
          </cell>
          <cell r="P273">
            <v>35.049999999999997</v>
          </cell>
          <cell r="Q273">
            <v>2.6777120000000001</v>
          </cell>
          <cell r="R273" t="e">
            <v>#N/A</v>
          </cell>
        </row>
        <row r="274">
          <cell r="A274">
            <v>39867</v>
          </cell>
          <cell r="B274">
            <v>39867</v>
          </cell>
          <cell r="C274" t="str">
            <v>Past</v>
          </cell>
          <cell r="D274">
            <v>33.880000000000003</v>
          </cell>
          <cell r="E274" t="e">
            <v>#N/A</v>
          </cell>
          <cell r="F274" t="e">
            <v>#N/A</v>
          </cell>
          <cell r="G274" t="e">
            <v>#N/A</v>
          </cell>
          <cell r="H274" t="e">
            <v>#N/A</v>
          </cell>
          <cell r="I274" t="e">
            <v>#N/A</v>
          </cell>
          <cell r="J274" t="e">
            <v>#N/A</v>
          </cell>
          <cell r="K274" t="e">
            <v>#N/A</v>
          </cell>
          <cell r="L274" t="e">
            <v>#N/A</v>
          </cell>
          <cell r="M274" t="e">
            <v>#N/A</v>
          </cell>
          <cell r="N274" t="e">
            <v>#N/A</v>
          </cell>
          <cell r="O274" t="e">
            <v>#N/A</v>
          </cell>
          <cell r="P274">
            <v>33.880000000000003</v>
          </cell>
          <cell r="Q274">
            <v>2.025531</v>
          </cell>
          <cell r="R274" t="e">
            <v>#N/A</v>
          </cell>
        </row>
        <row r="275">
          <cell r="A275">
            <v>39868</v>
          </cell>
          <cell r="B275">
            <v>39868</v>
          </cell>
          <cell r="C275" t="str">
            <v>Past</v>
          </cell>
          <cell r="D275">
            <v>34.549999999999997</v>
          </cell>
          <cell r="E275" t="e">
            <v>#N/A</v>
          </cell>
          <cell r="F275" t="e">
            <v>#N/A</v>
          </cell>
          <cell r="G275" t="e">
            <v>#N/A</v>
          </cell>
          <cell r="H275" t="e">
            <v>#N/A</v>
          </cell>
          <cell r="I275" t="e">
            <v>#N/A</v>
          </cell>
          <cell r="J275" t="e">
            <v>#N/A</v>
          </cell>
          <cell r="K275" t="e">
            <v>#N/A</v>
          </cell>
          <cell r="L275" t="e">
            <v>#N/A</v>
          </cell>
          <cell r="M275" t="e">
            <v>#N/A</v>
          </cell>
          <cell r="N275" t="e">
            <v>#N/A</v>
          </cell>
          <cell r="O275" t="e">
            <v>#N/A</v>
          </cell>
          <cell r="P275">
            <v>34.549999999999997</v>
          </cell>
          <cell r="Q275">
            <v>1.599594</v>
          </cell>
          <cell r="R275" t="e">
            <v>#N/A</v>
          </cell>
        </row>
        <row r="276">
          <cell r="A276">
            <v>39869</v>
          </cell>
          <cell r="B276">
            <v>39869</v>
          </cell>
          <cell r="C276" t="str">
            <v>Past</v>
          </cell>
          <cell r="D276">
            <v>33.18</v>
          </cell>
          <cell r="E276" t="e">
            <v>#N/A</v>
          </cell>
          <cell r="F276" t="e">
            <v>#N/A</v>
          </cell>
          <cell r="G276" t="e">
            <v>#N/A</v>
          </cell>
          <cell r="H276" t="e">
            <v>#N/A</v>
          </cell>
          <cell r="I276" t="e">
            <v>#N/A</v>
          </cell>
          <cell r="J276" t="e">
            <v>#N/A</v>
          </cell>
          <cell r="K276" t="e">
            <v>#N/A</v>
          </cell>
          <cell r="L276" t="e">
            <v>#N/A</v>
          </cell>
          <cell r="M276" t="e">
            <v>#N/A</v>
          </cell>
          <cell r="N276" t="e">
            <v>#N/A</v>
          </cell>
          <cell r="O276" t="e">
            <v>#N/A</v>
          </cell>
          <cell r="P276">
            <v>33.18</v>
          </cell>
          <cell r="Q276">
            <v>1.4807700000000001</v>
          </cell>
          <cell r="R276" t="e">
            <v>#N/A</v>
          </cell>
        </row>
        <row r="277">
          <cell r="A277">
            <v>39870</v>
          </cell>
          <cell r="B277">
            <v>39870</v>
          </cell>
          <cell r="C277" t="str">
            <v>Past</v>
          </cell>
          <cell r="D277">
            <v>32.229999999999997</v>
          </cell>
          <cell r="E277" t="e">
            <v>#N/A</v>
          </cell>
          <cell r="F277" t="e">
            <v>#N/A</v>
          </cell>
          <cell r="G277" t="e">
            <v>#N/A</v>
          </cell>
          <cell r="H277" t="e">
            <v>#N/A</v>
          </cell>
          <cell r="I277" t="e">
            <v>#N/A</v>
          </cell>
          <cell r="J277" t="e">
            <v>#N/A</v>
          </cell>
          <cell r="K277" t="e">
            <v>#N/A</v>
          </cell>
          <cell r="L277" t="e">
            <v>#N/A</v>
          </cell>
          <cell r="M277" t="e">
            <v>#N/A</v>
          </cell>
          <cell r="N277" t="e">
            <v>#N/A</v>
          </cell>
          <cell r="O277" t="e">
            <v>#N/A</v>
          </cell>
          <cell r="P277">
            <v>32.229999999999997</v>
          </cell>
          <cell r="Q277">
            <v>1.687538</v>
          </cell>
          <cell r="R277" t="e">
            <v>#N/A</v>
          </cell>
        </row>
        <row r="278">
          <cell r="A278">
            <v>39871</v>
          </cell>
          <cell r="B278">
            <v>39871</v>
          </cell>
          <cell r="C278" t="str">
            <v>Past</v>
          </cell>
          <cell r="D278">
            <v>31.2</v>
          </cell>
          <cell r="E278" t="e">
            <v>#N/A</v>
          </cell>
          <cell r="F278" t="e">
            <v>#N/A</v>
          </cell>
          <cell r="G278" t="e">
            <v>#N/A</v>
          </cell>
          <cell r="H278" t="e">
            <v>#N/A</v>
          </cell>
          <cell r="I278" t="e">
            <v>#N/A</v>
          </cell>
          <cell r="J278" t="e">
            <v>#N/A</v>
          </cell>
          <cell r="K278" t="e">
            <v>#N/A</v>
          </cell>
          <cell r="L278" t="e">
            <v>#N/A</v>
          </cell>
          <cell r="M278" t="e">
            <v>#N/A</v>
          </cell>
          <cell r="N278" t="e">
            <v>#N/A</v>
          </cell>
          <cell r="O278" t="e">
            <v>#N/A</v>
          </cell>
          <cell r="P278">
            <v>31.2</v>
          </cell>
          <cell r="Q278">
            <v>1.685773</v>
          </cell>
          <cell r="R278" t="e">
            <v>#N/A</v>
          </cell>
        </row>
        <row r="279">
          <cell r="A279">
            <v>39874</v>
          </cell>
          <cell r="B279">
            <v>39874</v>
          </cell>
          <cell r="C279" t="str">
            <v>Past</v>
          </cell>
          <cell r="D279">
            <v>29.01</v>
          </cell>
          <cell r="E279" t="e">
            <v>#N/A</v>
          </cell>
          <cell r="F279" t="e">
            <v>#N/A</v>
          </cell>
          <cell r="G279" t="e">
            <v>#N/A</v>
          </cell>
          <cell r="H279" t="e">
            <v>#N/A</v>
          </cell>
          <cell r="I279" t="e">
            <v>#N/A</v>
          </cell>
          <cell r="J279" t="e">
            <v>#N/A</v>
          </cell>
          <cell r="K279" t="e">
            <v>#N/A</v>
          </cell>
          <cell r="L279" t="e">
            <v>#N/A</v>
          </cell>
          <cell r="M279" t="e">
            <v>#N/A</v>
          </cell>
          <cell r="N279" t="e">
            <v>#N/A</v>
          </cell>
          <cell r="O279" t="e">
            <v>#N/A</v>
          </cell>
          <cell r="P279">
            <v>29.01</v>
          </cell>
          <cell r="Q279">
            <v>2.231986</v>
          </cell>
          <cell r="R279" t="e">
            <v>#N/A</v>
          </cell>
        </row>
        <row r="280">
          <cell r="A280">
            <v>39875</v>
          </cell>
          <cell r="B280">
            <v>39875</v>
          </cell>
          <cell r="C280" t="str">
            <v>Past</v>
          </cell>
          <cell r="D280">
            <v>28.76</v>
          </cell>
          <cell r="E280" t="e">
            <v>#N/A</v>
          </cell>
          <cell r="F280" t="e">
            <v>#N/A</v>
          </cell>
          <cell r="G280" t="e">
            <v>#N/A</v>
          </cell>
          <cell r="H280" t="e">
            <v>#N/A</v>
          </cell>
          <cell r="I280" t="e">
            <v>#N/A</v>
          </cell>
          <cell r="J280" t="e">
            <v>#N/A</v>
          </cell>
          <cell r="K280" t="e">
            <v>#N/A</v>
          </cell>
          <cell r="L280" t="e">
            <v>#N/A</v>
          </cell>
          <cell r="M280" t="e">
            <v>#N/A</v>
          </cell>
          <cell r="N280" t="e">
            <v>#N/A</v>
          </cell>
          <cell r="O280" t="e">
            <v>#N/A</v>
          </cell>
          <cell r="P280">
            <v>28.76</v>
          </cell>
          <cell r="Q280">
            <v>2.2519549999999997</v>
          </cell>
          <cell r="R280" t="e">
            <v>#N/A</v>
          </cell>
        </row>
        <row r="281">
          <cell r="A281">
            <v>39876</v>
          </cell>
          <cell r="B281">
            <v>39876</v>
          </cell>
          <cell r="C281" t="str">
            <v>Past</v>
          </cell>
          <cell r="D281">
            <v>29.63</v>
          </cell>
          <cell r="E281" t="e">
            <v>#N/A</v>
          </cell>
          <cell r="F281" t="e">
            <v>#N/A</v>
          </cell>
          <cell r="G281" t="e">
            <v>#N/A</v>
          </cell>
          <cell r="H281" t="e">
            <v>#N/A</v>
          </cell>
          <cell r="I281" t="e">
            <v>#N/A</v>
          </cell>
          <cell r="J281" t="e">
            <v>#N/A</v>
          </cell>
          <cell r="K281" t="e">
            <v>#N/A</v>
          </cell>
          <cell r="L281" t="e">
            <v>#N/A</v>
          </cell>
          <cell r="M281" t="e">
            <v>#N/A</v>
          </cell>
          <cell r="N281" t="e">
            <v>#N/A</v>
          </cell>
          <cell r="O281" t="e">
            <v>#N/A</v>
          </cell>
          <cell r="P281">
            <v>29.63</v>
          </cell>
          <cell r="Q281">
            <v>1.6556869999999999</v>
          </cell>
          <cell r="R281" t="e">
            <v>#N/A</v>
          </cell>
        </row>
        <row r="282">
          <cell r="A282">
            <v>39877</v>
          </cell>
          <cell r="B282">
            <v>39877</v>
          </cell>
          <cell r="C282" t="str">
            <v>Past</v>
          </cell>
          <cell r="D282">
            <v>27.97</v>
          </cell>
          <cell r="E282" t="e">
            <v>#N/A</v>
          </cell>
          <cell r="F282" t="e">
            <v>#N/A</v>
          </cell>
          <cell r="G282" t="e">
            <v>#N/A</v>
          </cell>
          <cell r="H282" t="e">
            <v>#N/A</v>
          </cell>
          <cell r="I282" t="e">
            <v>#N/A</v>
          </cell>
          <cell r="J282" t="e">
            <v>#N/A</v>
          </cell>
          <cell r="K282" t="e">
            <v>#N/A</v>
          </cell>
          <cell r="L282" t="e">
            <v>#N/A</v>
          </cell>
          <cell r="M282" t="e">
            <v>#N/A</v>
          </cell>
          <cell r="N282" t="e">
            <v>#N/A</v>
          </cell>
          <cell r="O282" t="e">
            <v>#N/A</v>
          </cell>
          <cell r="P282">
            <v>27.97</v>
          </cell>
          <cell r="Q282">
            <v>1.9948900000000003</v>
          </cell>
          <cell r="R282" t="e">
            <v>#N/A</v>
          </cell>
        </row>
        <row r="283">
          <cell r="A283">
            <v>39878</v>
          </cell>
          <cell r="B283">
            <v>39878</v>
          </cell>
          <cell r="C283" t="str">
            <v>Past</v>
          </cell>
          <cell r="D283">
            <v>28.35</v>
          </cell>
          <cell r="E283" t="e">
            <v>#N/A</v>
          </cell>
          <cell r="F283" t="e">
            <v>#N/A</v>
          </cell>
          <cell r="G283" t="e">
            <v>#N/A</v>
          </cell>
          <cell r="H283" t="e">
            <v>#N/A</v>
          </cell>
          <cell r="I283" t="e">
            <v>#N/A</v>
          </cell>
          <cell r="J283" t="e">
            <v>#N/A</v>
          </cell>
          <cell r="K283" t="e">
            <v>#N/A</v>
          </cell>
          <cell r="L283" t="e">
            <v>#N/A</v>
          </cell>
          <cell r="M283" t="e">
            <v>#N/A</v>
          </cell>
          <cell r="N283" t="e">
            <v>#N/A</v>
          </cell>
          <cell r="O283" t="e">
            <v>#N/A</v>
          </cell>
          <cell r="P283">
            <v>28.35</v>
          </cell>
          <cell r="Q283">
            <v>2.2119</v>
          </cell>
          <cell r="R283" t="e">
            <v>#N/A</v>
          </cell>
        </row>
        <row r="284">
          <cell r="A284">
            <v>39881</v>
          </cell>
          <cell r="B284">
            <v>39881</v>
          </cell>
          <cell r="C284" t="str">
            <v>Past</v>
          </cell>
          <cell r="D284">
            <v>27.85</v>
          </cell>
          <cell r="E284" t="e">
            <v>#N/A</v>
          </cell>
          <cell r="F284" t="e">
            <v>#N/A</v>
          </cell>
          <cell r="G284" t="e">
            <v>#N/A</v>
          </cell>
          <cell r="H284" t="e">
            <v>#N/A</v>
          </cell>
          <cell r="I284" t="e">
            <v>#N/A</v>
          </cell>
          <cell r="J284" t="e">
            <v>#N/A</v>
          </cell>
          <cell r="K284" t="e">
            <v>#N/A</v>
          </cell>
          <cell r="L284" t="e">
            <v>#N/A</v>
          </cell>
          <cell r="M284" t="e">
            <v>#N/A</v>
          </cell>
          <cell r="N284" t="e">
            <v>#N/A</v>
          </cell>
          <cell r="O284" t="e">
            <v>#N/A</v>
          </cell>
          <cell r="P284">
            <v>27.85</v>
          </cell>
          <cell r="Q284">
            <v>1.2486159999999999</v>
          </cell>
          <cell r="R284" t="e">
            <v>#N/A</v>
          </cell>
        </row>
        <row r="285">
          <cell r="A285">
            <v>39882</v>
          </cell>
          <cell r="B285">
            <v>39882</v>
          </cell>
          <cell r="C285" t="str">
            <v>Past</v>
          </cell>
          <cell r="D285">
            <v>29.83</v>
          </cell>
          <cell r="E285" t="e">
            <v>#N/A</v>
          </cell>
          <cell r="F285" t="e">
            <v>#N/A</v>
          </cell>
          <cell r="G285" t="e">
            <v>#N/A</v>
          </cell>
          <cell r="H285" t="e">
            <v>#N/A</v>
          </cell>
          <cell r="I285" t="e">
            <v>#N/A</v>
          </cell>
          <cell r="J285" t="e">
            <v>#N/A</v>
          </cell>
          <cell r="K285" t="e">
            <v>#N/A</v>
          </cell>
          <cell r="L285" t="e">
            <v>#N/A</v>
          </cell>
          <cell r="M285" t="e">
            <v>#N/A</v>
          </cell>
          <cell r="N285" t="e">
            <v>#N/A</v>
          </cell>
          <cell r="O285" t="e">
            <v>#N/A</v>
          </cell>
          <cell r="P285">
            <v>29.83</v>
          </cell>
          <cell r="Q285">
            <v>2.1134109999999997</v>
          </cell>
          <cell r="R285" t="e">
            <v>#N/A</v>
          </cell>
        </row>
        <row r="286">
          <cell r="A286">
            <v>39883</v>
          </cell>
          <cell r="B286">
            <v>39883</v>
          </cell>
          <cell r="C286" t="str">
            <v>Past</v>
          </cell>
          <cell r="D286">
            <v>30.2</v>
          </cell>
          <cell r="E286" t="e">
            <v>#N/A</v>
          </cell>
          <cell r="F286" t="e">
            <v>#N/A</v>
          </cell>
          <cell r="G286" t="e">
            <v>#N/A</v>
          </cell>
          <cell r="H286" t="e">
            <v>#N/A</v>
          </cell>
          <cell r="I286" t="e">
            <v>#N/A</v>
          </cell>
          <cell r="J286" t="e">
            <v>#N/A</v>
          </cell>
          <cell r="K286" t="e">
            <v>#N/A</v>
          </cell>
          <cell r="L286" t="e">
            <v>#N/A</v>
          </cell>
          <cell r="M286" t="e">
            <v>#N/A</v>
          </cell>
          <cell r="N286" t="e">
            <v>#N/A</v>
          </cell>
          <cell r="O286" t="e">
            <v>#N/A</v>
          </cell>
          <cell r="P286">
            <v>30.2</v>
          </cell>
          <cell r="Q286">
            <v>1.464324</v>
          </cell>
          <cell r="R286" t="e">
            <v>#N/A</v>
          </cell>
        </row>
        <row r="287">
          <cell r="A287">
            <v>39884</v>
          </cell>
          <cell r="B287">
            <v>39884</v>
          </cell>
          <cell r="C287" t="str">
            <v>Past</v>
          </cell>
          <cell r="D287">
            <v>30.72</v>
          </cell>
          <cell r="E287" t="e">
            <v>#N/A</v>
          </cell>
          <cell r="F287" t="e">
            <v>#N/A</v>
          </cell>
          <cell r="G287" t="e">
            <v>#N/A</v>
          </cell>
          <cell r="H287" t="e">
            <v>#N/A</v>
          </cell>
          <cell r="I287" t="e">
            <v>#N/A</v>
          </cell>
          <cell r="J287" t="e">
            <v>#N/A</v>
          </cell>
          <cell r="K287" t="e">
            <v>#N/A</v>
          </cell>
          <cell r="L287" t="e">
            <v>#N/A</v>
          </cell>
          <cell r="M287" t="e">
            <v>#N/A</v>
          </cell>
          <cell r="N287" t="e">
            <v>#N/A</v>
          </cell>
          <cell r="O287" t="e">
            <v>#N/A</v>
          </cell>
          <cell r="P287">
            <v>30.72</v>
          </cell>
          <cell r="Q287">
            <v>1.5964179999999999</v>
          </cell>
          <cell r="R287" t="e">
            <v>#N/A</v>
          </cell>
        </row>
        <row r="288">
          <cell r="A288">
            <v>39885</v>
          </cell>
          <cell r="B288">
            <v>39885</v>
          </cell>
          <cell r="C288" t="str">
            <v>Past</v>
          </cell>
          <cell r="D288">
            <v>30.39</v>
          </cell>
          <cell r="E288" t="e">
            <v>#N/A</v>
          </cell>
          <cell r="F288" t="e">
            <v>#N/A</v>
          </cell>
          <cell r="G288" t="e">
            <v>#N/A</v>
          </cell>
          <cell r="H288" t="e">
            <v>#N/A</v>
          </cell>
          <cell r="I288" t="e">
            <v>#N/A</v>
          </cell>
          <cell r="J288" t="e">
            <v>#N/A</v>
          </cell>
          <cell r="K288" t="e">
            <v>#N/A</v>
          </cell>
          <cell r="L288" t="e">
            <v>#N/A</v>
          </cell>
          <cell r="M288" t="e">
            <v>#N/A</v>
          </cell>
          <cell r="N288" t="e">
            <v>#N/A</v>
          </cell>
          <cell r="O288" t="e">
            <v>#N/A</v>
          </cell>
          <cell r="P288">
            <v>30.39</v>
          </cell>
          <cell r="Q288">
            <v>1.23434</v>
          </cell>
          <cell r="R288" t="e">
            <v>#N/A</v>
          </cell>
        </row>
        <row r="289">
          <cell r="A289">
            <v>39888</v>
          </cell>
          <cell r="B289">
            <v>39888</v>
          </cell>
          <cell r="C289" t="str">
            <v>Past</v>
          </cell>
          <cell r="D289">
            <v>31.06</v>
          </cell>
          <cell r="E289" t="e">
            <v>#N/A</v>
          </cell>
          <cell r="F289" t="e">
            <v>#N/A</v>
          </cell>
          <cell r="G289" t="e">
            <v>#N/A</v>
          </cell>
          <cell r="H289" t="e">
            <v>#N/A</v>
          </cell>
          <cell r="I289" t="e">
            <v>#N/A</v>
          </cell>
          <cell r="J289" t="e">
            <v>#N/A</v>
          </cell>
          <cell r="K289" t="e">
            <v>#N/A</v>
          </cell>
          <cell r="L289" t="e">
            <v>#N/A</v>
          </cell>
          <cell r="M289" t="e">
            <v>#N/A</v>
          </cell>
          <cell r="N289" t="e">
            <v>#N/A</v>
          </cell>
          <cell r="O289" t="e">
            <v>#N/A</v>
          </cell>
          <cell r="P289">
            <v>31.06</v>
          </cell>
          <cell r="Q289">
            <v>2.469805</v>
          </cell>
          <cell r="R289" t="e">
            <v>#N/A</v>
          </cell>
        </row>
        <row r="290">
          <cell r="A290">
            <v>39889</v>
          </cell>
          <cell r="B290">
            <v>39889</v>
          </cell>
          <cell r="C290" t="str">
            <v>Past</v>
          </cell>
          <cell r="D290">
            <v>31.79</v>
          </cell>
          <cell r="E290" t="e">
            <v>#N/A</v>
          </cell>
          <cell r="F290" t="e">
            <v>#N/A</v>
          </cell>
          <cell r="G290" t="e">
            <v>#N/A</v>
          </cell>
          <cell r="H290" t="e">
            <v>#N/A</v>
          </cell>
          <cell r="I290" t="e">
            <v>#N/A</v>
          </cell>
          <cell r="J290" t="e">
            <v>#N/A</v>
          </cell>
          <cell r="K290" t="e">
            <v>#N/A</v>
          </cell>
          <cell r="L290" t="e">
            <v>#N/A</v>
          </cell>
          <cell r="M290" t="e">
            <v>#N/A</v>
          </cell>
          <cell r="N290" t="e">
            <v>#N/A</v>
          </cell>
          <cell r="O290" t="e">
            <v>#N/A</v>
          </cell>
          <cell r="P290">
            <v>31.79</v>
          </cell>
          <cell r="Q290">
            <v>1.6148359999999999</v>
          </cell>
          <cell r="R290" t="e">
            <v>#N/A</v>
          </cell>
        </row>
        <row r="291">
          <cell r="A291">
            <v>39890</v>
          </cell>
          <cell r="B291">
            <v>39890</v>
          </cell>
          <cell r="C291" t="str">
            <v>Past</v>
          </cell>
          <cell r="D291">
            <v>32.72</v>
          </cell>
          <cell r="E291" t="e">
            <v>#N/A</v>
          </cell>
          <cell r="F291" t="e">
            <v>#N/A</v>
          </cell>
          <cell r="G291" t="e">
            <v>#N/A</v>
          </cell>
          <cell r="H291" t="e">
            <v>#N/A</v>
          </cell>
          <cell r="I291" t="e">
            <v>#N/A</v>
          </cell>
          <cell r="J291" t="e">
            <v>#N/A</v>
          </cell>
          <cell r="K291" t="e">
            <v>#N/A</v>
          </cell>
          <cell r="L291" t="e">
            <v>#N/A</v>
          </cell>
          <cell r="M291" t="e">
            <v>#N/A</v>
          </cell>
          <cell r="N291" t="e">
            <v>#N/A</v>
          </cell>
          <cell r="O291" t="e">
            <v>#N/A</v>
          </cell>
          <cell r="P291">
            <v>32.72</v>
          </cell>
          <cell r="Q291">
            <v>1.9616849999999999</v>
          </cell>
          <cell r="R291" t="e">
            <v>#N/A</v>
          </cell>
        </row>
        <row r="292">
          <cell r="A292">
            <v>39891</v>
          </cell>
          <cell r="B292">
            <v>39891</v>
          </cell>
          <cell r="C292" t="str">
            <v>Past</v>
          </cell>
          <cell r="D292">
            <v>31.96</v>
          </cell>
          <cell r="E292" t="e">
            <v>#N/A</v>
          </cell>
          <cell r="F292" t="e">
            <v>#N/A</v>
          </cell>
          <cell r="G292" t="e">
            <v>#N/A</v>
          </cell>
          <cell r="H292" t="e">
            <v>#N/A</v>
          </cell>
          <cell r="I292" t="e">
            <v>#N/A</v>
          </cell>
          <cell r="J292" t="e">
            <v>#N/A</v>
          </cell>
          <cell r="K292" t="e">
            <v>#N/A</v>
          </cell>
          <cell r="L292" t="e">
            <v>#N/A</v>
          </cell>
          <cell r="M292" t="e">
            <v>#N/A</v>
          </cell>
          <cell r="N292" t="e">
            <v>#N/A</v>
          </cell>
          <cell r="O292" t="e">
            <v>#N/A</v>
          </cell>
          <cell r="P292">
            <v>31.96</v>
          </cell>
          <cell r="Q292">
            <v>1.6182200000000002</v>
          </cell>
          <cell r="R292" t="e">
            <v>#N/A</v>
          </cell>
        </row>
        <row r="293">
          <cell r="A293">
            <v>39892</v>
          </cell>
          <cell r="B293">
            <v>39892</v>
          </cell>
          <cell r="C293" t="str">
            <v>Past</v>
          </cell>
          <cell r="D293">
            <v>31.41</v>
          </cell>
          <cell r="E293" t="e">
            <v>#N/A</v>
          </cell>
          <cell r="F293" t="e">
            <v>#N/A</v>
          </cell>
          <cell r="G293" t="e">
            <v>#N/A</v>
          </cell>
          <cell r="H293" t="e">
            <v>#N/A</v>
          </cell>
          <cell r="I293" t="e">
            <v>#N/A</v>
          </cell>
          <cell r="J293" t="e">
            <v>#N/A</v>
          </cell>
          <cell r="K293" t="e">
            <v>#N/A</v>
          </cell>
          <cell r="L293" t="e">
            <v>#N/A</v>
          </cell>
          <cell r="M293" t="e">
            <v>#N/A</v>
          </cell>
          <cell r="N293" t="e">
            <v>#N/A</v>
          </cell>
          <cell r="O293" t="e">
            <v>#N/A</v>
          </cell>
          <cell r="P293">
            <v>31.41</v>
          </cell>
          <cell r="Q293">
            <v>2.0985969999999998</v>
          </cell>
          <cell r="R293" t="e">
            <v>#N/A</v>
          </cell>
        </row>
        <row r="294">
          <cell r="A294">
            <v>39895</v>
          </cell>
          <cell r="B294">
            <v>39895</v>
          </cell>
          <cell r="C294" t="str">
            <v>Past</v>
          </cell>
          <cell r="D294">
            <v>33.28</v>
          </cell>
          <cell r="E294" t="e">
            <v>#N/A</v>
          </cell>
          <cell r="F294" t="e">
            <v>#N/A</v>
          </cell>
          <cell r="G294" t="e">
            <v>#N/A</v>
          </cell>
          <cell r="H294" t="e">
            <v>#N/A</v>
          </cell>
          <cell r="I294" t="e">
            <v>#N/A</v>
          </cell>
          <cell r="J294" t="e">
            <v>#N/A</v>
          </cell>
          <cell r="K294" t="e">
            <v>#N/A</v>
          </cell>
          <cell r="L294" t="e">
            <v>#N/A</v>
          </cell>
          <cell r="M294" t="e">
            <v>#N/A</v>
          </cell>
          <cell r="N294" t="e">
            <v>#N/A</v>
          </cell>
          <cell r="O294" t="e">
            <v>#N/A</v>
          </cell>
          <cell r="P294">
            <v>33.28</v>
          </cell>
          <cell r="Q294">
            <v>1.4488939999999999</v>
          </cell>
          <cell r="R294" t="e">
            <v>#N/A</v>
          </cell>
        </row>
        <row r="295">
          <cell r="A295">
            <v>39896</v>
          </cell>
          <cell r="B295">
            <v>39896</v>
          </cell>
          <cell r="C295" t="str">
            <v>Past</v>
          </cell>
          <cell r="D295">
            <v>33.119999999999997</v>
          </cell>
          <cell r="E295" t="e">
            <v>#N/A</v>
          </cell>
          <cell r="F295" t="e">
            <v>#N/A</v>
          </cell>
          <cell r="G295" t="e">
            <v>#N/A</v>
          </cell>
          <cell r="H295" t="e">
            <v>#N/A</v>
          </cell>
          <cell r="I295" t="e">
            <v>#N/A</v>
          </cell>
          <cell r="J295" t="e">
            <v>#N/A</v>
          </cell>
          <cell r="K295" t="e">
            <v>#N/A</v>
          </cell>
          <cell r="L295" t="e">
            <v>#N/A</v>
          </cell>
          <cell r="M295" t="e">
            <v>#N/A</v>
          </cell>
          <cell r="N295" t="e">
            <v>#N/A</v>
          </cell>
          <cell r="O295" t="e">
            <v>#N/A</v>
          </cell>
          <cell r="P295">
            <v>33.119999999999997</v>
          </cell>
          <cell r="Q295">
            <v>1.1372449999999998</v>
          </cell>
          <cell r="R295" t="e">
            <v>#N/A</v>
          </cell>
        </row>
        <row r="296">
          <cell r="A296">
            <v>39897</v>
          </cell>
          <cell r="B296">
            <v>39897</v>
          </cell>
          <cell r="C296" t="str">
            <v>Past</v>
          </cell>
          <cell r="D296">
            <v>33.69</v>
          </cell>
          <cell r="E296" t="e">
            <v>#N/A</v>
          </cell>
          <cell r="F296" t="e">
            <v>#N/A</v>
          </cell>
          <cell r="G296" t="e">
            <v>#N/A</v>
          </cell>
          <cell r="H296" t="e">
            <v>#N/A</v>
          </cell>
          <cell r="I296" t="e">
            <v>#N/A</v>
          </cell>
          <cell r="J296" t="e">
            <v>#N/A</v>
          </cell>
          <cell r="K296" t="e">
            <v>#N/A</v>
          </cell>
          <cell r="L296" t="e">
            <v>#N/A</v>
          </cell>
          <cell r="M296" t="e">
            <v>#N/A</v>
          </cell>
          <cell r="N296" t="e">
            <v>#N/A</v>
          </cell>
          <cell r="O296" t="e">
            <v>#N/A</v>
          </cell>
          <cell r="P296">
            <v>33.69</v>
          </cell>
          <cell r="Q296">
            <v>1.103453</v>
          </cell>
          <cell r="R296" t="e">
            <v>#N/A</v>
          </cell>
        </row>
        <row r="297">
          <cell r="A297">
            <v>39898</v>
          </cell>
          <cell r="B297">
            <v>39898</v>
          </cell>
          <cell r="C297" t="str">
            <v>Past</v>
          </cell>
          <cell r="D297">
            <v>35.049999999999997</v>
          </cell>
          <cell r="E297" t="e">
            <v>#N/A</v>
          </cell>
          <cell r="F297" t="e">
            <v>#N/A</v>
          </cell>
          <cell r="G297" t="e">
            <v>#N/A</v>
          </cell>
          <cell r="H297" t="e">
            <v>#N/A</v>
          </cell>
          <cell r="I297" t="e">
            <v>#N/A</v>
          </cell>
          <cell r="J297" t="e">
            <v>#N/A</v>
          </cell>
          <cell r="K297" t="e">
            <v>#N/A</v>
          </cell>
          <cell r="L297" t="e">
            <v>#N/A</v>
          </cell>
          <cell r="M297" t="e">
            <v>#N/A</v>
          </cell>
          <cell r="N297" t="e">
            <v>#N/A</v>
          </cell>
          <cell r="O297" t="e">
            <v>#N/A</v>
          </cell>
          <cell r="P297">
            <v>35.049999999999997</v>
          </cell>
          <cell r="Q297">
            <v>1.1910049999999999</v>
          </cell>
          <cell r="R297" t="e">
            <v>#N/A</v>
          </cell>
        </row>
        <row r="298">
          <cell r="A298">
            <v>39899</v>
          </cell>
          <cell r="B298">
            <v>39899</v>
          </cell>
          <cell r="C298" t="str">
            <v>Past</v>
          </cell>
          <cell r="D298">
            <v>33.96</v>
          </cell>
          <cell r="E298" t="e">
            <v>#N/A</v>
          </cell>
          <cell r="F298" t="e">
            <v>#N/A</v>
          </cell>
          <cell r="G298" t="e">
            <v>#N/A</v>
          </cell>
          <cell r="H298" t="e">
            <v>#N/A</v>
          </cell>
          <cell r="I298" t="e">
            <v>#N/A</v>
          </cell>
          <cell r="J298" t="e">
            <v>#N/A</v>
          </cell>
          <cell r="K298" t="e">
            <v>#N/A</v>
          </cell>
          <cell r="L298" t="e">
            <v>#N/A</v>
          </cell>
          <cell r="M298" t="e">
            <v>#N/A</v>
          </cell>
          <cell r="N298" t="e">
            <v>#N/A</v>
          </cell>
          <cell r="O298" t="e">
            <v>#N/A</v>
          </cell>
          <cell r="P298">
            <v>33.96</v>
          </cell>
          <cell r="Q298">
            <v>1.0635029999999999</v>
          </cell>
          <cell r="R298" t="e">
            <v>#N/A</v>
          </cell>
        </row>
        <row r="299">
          <cell r="A299">
            <v>39902</v>
          </cell>
          <cell r="B299">
            <v>39902</v>
          </cell>
          <cell r="C299" t="str">
            <v>Past</v>
          </cell>
          <cell r="D299">
            <v>32.409999999999997</v>
          </cell>
          <cell r="E299" t="e">
            <v>#N/A</v>
          </cell>
          <cell r="F299" t="e">
            <v>#N/A</v>
          </cell>
          <cell r="G299" t="e">
            <v>#N/A</v>
          </cell>
          <cell r="H299" t="e">
            <v>#N/A</v>
          </cell>
          <cell r="I299" t="e">
            <v>#N/A</v>
          </cell>
          <cell r="J299" t="e">
            <v>#N/A</v>
          </cell>
          <cell r="K299" t="e">
            <v>#N/A</v>
          </cell>
          <cell r="L299" t="e">
            <v>#N/A</v>
          </cell>
          <cell r="M299" t="e">
            <v>#N/A</v>
          </cell>
          <cell r="N299" t="e">
            <v>#N/A</v>
          </cell>
          <cell r="O299" t="e">
            <v>#N/A</v>
          </cell>
          <cell r="P299">
            <v>32.409999999999997</v>
          </cell>
          <cell r="Q299">
            <v>1.3020419999999999</v>
          </cell>
          <cell r="R299" t="e">
            <v>#N/A</v>
          </cell>
        </row>
        <row r="300">
          <cell r="A300">
            <v>39903</v>
          </cell>
          <cell r="B300">
            <v>39903</v>
          </cell>
          <cell r="C300" t="str">
            <v>Past</v>
          </cell>
          <cell r="D300">
            <v>32.64</v>
          </cell>
          <cell r="E300" t="e">
            <v>#N/A</v>
          </cell>
          <cell r="F300" t="e">
            <v>#N/A</v>
          </cell>
          <cell r="G300" t="e">
            <v>#N/A</v>
          </cell>
          <cell r="H300" t="e">
            <v>#N/A</v>
          </cell>
          <cell r="I300" t="e">
            <v>#N/A</v>
          </cell>
          <cell r="J300" t="e">
            <v>#N/A</v>
          </cell>
          <cell r="K300" t="e">
            <v>#N/A</v>
          </cell>
          <cell r="L300" t="e">
            <v>#N/A</v>
          </cell>
          <cell r="M300" t="e">
            <v>#N/A</v>
          </cell>
          <cell r="N300" t="e">
            <v>#N/A</v>
          </cell>
          <cell r="O300" t="e">
            <v>#N/A</v>
          </cell>
          <cell r="P300">
            <v>32.64</v>
          </cell>
          <cell r="Q300">
            <v>1.0424640000000001</v>
          </cell>
          <cell r="R300" t="e">
            <v>#N/A</v>
          </cell>
        </row>
        <row r="301">
          <cell r="A301">
            <v>39904</v>
          </cell>
          <cell r="B301">
            <v>39904</v>
          </cell>
          <cell r="C301" t="str">
            <v>Past</v>
          </cell>
          <cell r="D301">
            <v>33.049999999999997</v>
          </cell>
          <cell r="E301" t="e">
            <v>#N/A</v>
          </cell>
          <cell r="F301" t="e">
            <v>#N/A</v>
          </cell>
          <cell r="G301" t="e">
            <v>#N/A</v>
          </cell>
          <cell r="H301" t="e">
            <v>#N/A</v>
          </cell>
          <cell r="I301" t="e">
            <v>#N/A</v>
          </cell>
          <cell r="J301" t="e">
            <v>#N/A</v>
          </cell>
          <cell r="K301" t="e">
            <v>#N/A</v>
          </cell>
          <cell r="L301" t="e">
            <v>#N/A</v>
          </cell>
          <cell r="M301" t="e">
            <v>#N/A</v>
          </cell>
          <cell r="N301" t="e">
            <v>#N/A</v>
          </cell>
          <cell r="O301" t="e">
            <v>#N/A</v>
          </cell>
          <cell r="P301">
            <v>33.049999999999997</v>
          </cell>
          <cell r="Q301">
            <v>0.68434799999999996</v>
          </cell>
          <cell r="R301" t="e">
            <v>#N/A</v>
          </cell>
        </row>
        <row r="302">
          <cell r="A302">
            <v>39905</v>
          </cell>
          <cell r="B302">
            <v>39905</v>
          </cell>
          <cell r="C302" t="str">
            <v>Past</v>
          </cell>
          <cell r="D302">
            <v>34.46</v>
          </cell>
          <cell r="E302" t="e">
            <v>#N/A</v>
          </cell>
          <cell r="F302" t="e">
            <v>#N/A</v>
          </cell>
          <cell r="G302" t="e">
            <v>#N/A</v>
          </cell>
          <cell r="H302" t="e">
            <v>#N/A</v>
          </cell>
          <cell r="I302" t="e">
            <v>#N/A</v>
          </cell>
          <cell r="J302" t="e">
            <v>#N/A</v>
          </cell>
          <cell r="K302" t="e">
            <v>#N/A</v>
          </cell>
          <cell r="L302" t="e">
            <v>#N/A</v>
          </cell>
          <cell r="M302" t="e">
            <v>#N/A</v>
          </cell>
          <cell r="N302" t="e">
            <v>#N/A</v>
          </cell>
          <cell r="O302" t="e">
            <v>#N/A</v>
          </cell>
          <cell r="P302">
            <v>34.46</v>
          </cell>
          <cell r="Q302">
            <v>1.1556789999999999</v>
          </cell>
          <cell r="R302" t="e">
            <v>#N/A</v>
          </cell>
        </row>
        <row r="303">
          <cell r="A303">
            <v>39906</v>
          </cell>
          <cell r="B303">
            <v>39906</v>
          </cell>
          <cell r="C303" t="str">
            <v>Past</v>
          </cell>
          <cell r="D303">
            <v>33.630000000000003</v>
          </cell>
          <cell r="E303" t="e">
            <v>#N/A</v>
          </cell>
          <cell r="F303" t="e">
            <v>#N/A</v>
          </cell>
          <cell r="G303" t="e">
            <v>#N/A</v>
          </cell>
          <cell r="H303" t="e">
            <v>#N/A</v>
          </cell>
          <cell r="I303" t="e">
            <v>#N/A</v>
          </cell>
          <cell r="J303" t="e">
            <v>#N/A</v>
          </cell>
          <cell r="K303" t="e">
            <v>#N/A</v>
          </cell>
          <cell r="L303" t="e">
            <v>#N/A</v>
          </cell>
          <cell r="M303" t="e">
            <v>#N/A</v>
          </cell>
          <cell r="N303" t="e">
            <v>#N/A</v>
          </cell>
          <cell r="O303" t="e">
            <v>#N/A</v>
          </cell>
          <cell r="P303">
            <v>33.630000000000003</v>
          </cell>
          <cell r="Q303">
            <v>1.321304</v>
          </cell>
          <cell r="R303" t="e">
            <v>#N/A</v>
          </cell>
        </row>
        <row r="304">
          <cell r="A304">
            <v>39909</v>
          </cell>
          <cell r="B304">
            <v>39909</v>
          </cell>
          <cell r="C304" t="str">
            <v>Past</v>
          </cell>
          <cell r="D304">
            <v>34.14</v>
          </cell>
          <cell r="E304" t="e">
            <v>#N/A</v>
          </cell>
          <cell r="F304" t="e">
            <v>#N/A</v>
          </cell>
          <cell r="G304" t="e">
            <v>#N/A</v>
          </cell>
          <cell r="H304" t="e">
            <v>#N/A</v>
          </cell>
          <cell r="I304" t="e">
            <v>#N/A</v>
          </cell>
          <cell r="J304" t="e">
            <v>#N/A</v>
          </cell>
          <cell r="K304" t="e">
            <v>#N/A</v>
          </cell>
          <cell r="L304" t="e">
            <v>#N/A</v>
          </cell>
          <cell r="M304" t="e">
            <v>#N/A</v>
          </cell>
          <cell r="N304" t="e">
            <v>#N/A</v>
          </cell>
          <cell r="O304" t="e">
            <v>#N/A</v>
          </cell>
          <cell r="P304">
            <v>34.14</v>
          </cell>
          <cell r="Q304">
            <v>1.3123769999999999</v>
          </cell>
          <cell r="R304" t="e">
            <v>#N/A</v>
          </cell>
        </row>
        <row r="305">
          <cell r="A305">
            <v>39910</v>
          </cell>
          <cell r="B305">
            <v>39910</v>
          </cell>
          <cell r="C305" t="str">
            <v>Past</v>
          </cell>
          <cell r="D305">
            <v>33.39</v>
          </cell>
          <cell r="E305" t="e">
            <v>#N/A</v>
          </cell>
          <cell r="F305" t="e">
            <v>#N/A</v>
          </cell>
          <cell r="G305" t="e">
            <v>#N/A</v>
          </cell>
          <cell r="H305" t="e">
            <v>#N/A</v>
          </cell>
          <cell r="I305" t="e">
            <v>#N/A</v>
          </cell>
          <cell r="J305" t="e">
            <v>#N/A</v>
          </cell>
          <cell r="K305" t="e">
            <v>#N/A</v>
          </cell>
          <cell r="L305" t="e">
            <v>#N/A</v>
          </cell>
          <cell r="M305" t="e">
            <v>#N/A</v>
          </cell>
          <cell r="N305" t="e">
            <v>#N/A</v>
          </cell>
          <cell r="O305" t="e">
            <v>#N/A</v>
          </cell>
          <cell r="P305">
            <v>33.39</v>
          </cell>
          <cell r="Q305">
            <v>1.3610609999999999</v>
          </cell>
          <cell r="R305" t="e">
            <v>#N/A</v>
          </cell>
        </row>
        <row r="306">
          <cell r="A306">
            <v>39911</v>
          </cell>
          <cell r="B306">
            <v>39911</v>
          </cell>
          <cell r="C306" t="str">
            <v>Past</v>
          </cell>
          <cell r="D306">
            <v>33.72</v>
          </cell>
          <cell r="E306" t="e">
            <v>#N/A</v>
          </cell>
          <cell r="F306" t="e">
            <v>#N/A</v>
          </cell>
          <cell r="G306" t="e">
            <v>#N/A</v>
          </cell>
          <cell r="H306" t="e">
            <v>#N/A</v>
          </cell>
          <cell r="I306" t="e">
            <v>#N/A</v>
          </cell>
          <cell r="J306" t="e">
            <v>#N/A</v>
          </cell>
          <cell r="K306" t="e">
            <v>#N/A</v>
          </cell>
          <cell r="L306" t="e">
            <v>#N/A</v>
          </cell>
          <cell r="M306" t="e">
            <v>#N/A</v>
          </cell>
          <cell r="N306" t="e">
            <v>#N/A</v>
          </cell>
          <cell r="O306" t="e">
            <v>#N/A</v>
          </cell>
          <cell r="P306">
            <v>33.72</v>
          </cell>
          <cell r="Q306">
            <v>0.8842000000000001</v>
          </cell>
          <cell r="R306" t="e">
            <v>#N/A</v>
          </cell>
        </row>
        <row r="307">
          <cell r="A307">
            <v>39912</v>
          </cell>
          <cell r="B307">
            <v>39912</v>
          </cell>
          <cell r="C307" t="str">
            <v>Past</v>
          </cell>
          <cell r="D307">
            <v>35.159999999999997</v>
          </cell>
          <cell r="E307" t="e">
            <v>#N/A</v>
          </cell>
          <cell r="F307" t="e">
            <v>#N/A</v>
          </cell>
          <cell r="G307" t="e">
            <v>#N/A</v>
          </cell>
          <cell r="H307" t="e">
            <v>#N/A</v>
          </cell>
          <cell r="I307" t="e">
            <v>#N/A</v>
          </cell>
          <cell r="J307" t="e">
            <v>#N/A</v>
          </cell>
          <cell r="K307" t="e">
            <v>#N/A</v>
          </cell>
          <cell r="L307" t="e">
            <v>#N/A</v>
          </cell>
          <cell r="M307" t="e">
            <v>#N/A</v>
          </cell>
          <cell r="N307" t="e">
            <v>#N/A</v>
          </cell>
          <cell r="O307" t="e">
            <v>#N/A</v>
          </cell>
          <cell r="P307">
            <v>35.159999999999997</v>
          </cell>
          <cell r="Q307">
            <v>1.1407659999999999</v>
          </cell>
          <cell r="R307" t="e">
            <v>#N/A</v>
          </cell>
        </row>
        <row r="308">
          <cell r="A308">
            <v>39916</v>
          </cell>
          <cell r="B308">
            <v>39916</v>
          </cell>
          <cell r="C308" t="str">
            <v>Past</v>
          </cell>
          <cell r="D308">
            <v>34.15</v>
          </cell>
          <cell r="E308" t="e">
            <v>#N/A</v>
          </cell>
          <cell r="F308" t="e">
            <v>#N/A</v>
          </cell>
          <cell r="G308" t="e">
            <v>#N/A</v>
          </cell>
          <cell r="H308" t="e">
            <v>#N/A</v>
          </cell>
          <cell r="I308" t="e">
            <v>#N/A</v>
          </cell>
          <cell r="J308" t="e">
            <v>#N/A</v>
          </cell>
          <cell r="K308" t="e">
            <v>#N/A</v>
          </cell>
          <cell r="L308" t="e">
            <v>#N/A</v>
          </cell>
          <cell r="M308" t="e">
            <v>#N/A</v>
          </cell>
          <cell r="N308" t="e">
            <v>#N/A</v>
          </cell>
          <cell r="O308" t="e">
            <v>#N/A</v>
          </cell>
          <cell r="P308">
            <v>34.15</v>
          </cell>
          <cell r="Q308">
            <v>1.8393459999999999</v>
          </cell>
          <cell r="R308" t="e">
            <v>#N/A</v>
          </cell>
        </row>
        <row r="309">
          <cell r="A309">
            <v>39917</v>
          </cell>
          <cell r="B309">
            <v>39917</v>
          </cell>
          <cell r="C309" t="str">
            <v>Past</v>
          </cell>
          <cell r="D309">
            <v>34</v>
          </cell>
          <cell r="E309" t="e">
            <v>#N/A</v>
          </cell>
          <cell r="F309" t="e">
            <v>#N/A</v>
          </cell>
          <cell r="G309" t="e">
            <v>#N/A</v>
          </cell>
          <cell r="H309" t="e">
            <v>#N/A</v>
          </cell>
          <cell r="I309" t="e">
            <v>#N/A</v>
          </cell>
          <cell r="J309" t="e">
            <v>#N/A</v>
          </cell>
          <cell r="K309" t="e">
            <v>#N/A</v>
          </cell>
          <cell r="L309" t="e">
            <v>#N/A</v>
          </cell>
          <cell r="M309" t="e">
            <v>#N/A</v>
          </cell>
          <cell r="N309" t="e">
            <v>#N/A</v>
          </cell>
          <cell r="O309" t="e">
            <v>#N/A</v>
          </cell>
          <cell r="P309">
            <v>34</v>
          </cell>
          <cell r="Q309">
            <v>1.405413</v>
          </cell>
          <cell r="R309" t="e">
            <v>#N/A</v>
          </cell>
        </row>
        <row r="310">
          <cell r="A310">
            <v>39918</v>
          </cell>
          <cell r="B310">
            <v>39918</v>
          </cell>
          <cell r="C310" t="str">
            <v>Past</v>
          </cell>
          <cell r="D310">
            <v>34.26</v>
          </cell>
          <cell r="E310" t="e">
            <v>#N/A</v>
          </cell>
          <cell r="F310" t="e">
            <v>#N/A</v>
          </cell>
          <cell r="G310" t="e">
            <v>#N/A</v>
          </cell>
          <cell r="H310" t="e">
            <v>#N/A</v>
          </cell>
          <cell r="I310" t="e">
            <v>#N/A</v>
          </cell>
          <cell r="J310" t="e">
            <v>#N/A</v>
          </cell>
          <cell r="K310" t="e">
            <v>#N/A</v>
          </cell>
          <cell r="L310" t="e">
            <v>#N/A</v>
          </cell>
          <cell r="M310" t="e">
            <v>#N/A</v>
          </cell>
          <cell r="N310" t="e">
            <v>#N/A</v>
          </cell>
          <cell r="O310" t="e">
            <v>#N/A</v>
          </cell>
          <cell r="P310">
            <v>34.26</v>
          </cell>
          <cell r="Q310">
            <v>1.5141179999999999</v>
          </cell>
          <cell r="R310" t="e">
            <v>#N/A</v>
          </cell>
        </row>
        <row r="311">
          <cell r="A311">
            <v>39919</v>
          </cell>
          <cell r="B311">
            <v>39919</v>
          </cell>
          <cell r="C311" t="str">
            <v>Past</v>
          </cell>
          <cell r="D311">
            <v>35.76</v>
          </cell>
          <cell r="E311" t="e">
            <v>#N/A</v>
          </cell>
          <cell r="F311" t="e">
            <v>#N/A</v>
          </cell>
          <cell r="G311" t="e">
            <v>#N/A</v>
          </cell>
          <cell r="H311" t="e">
            <v>#N/A</v>
          </cell>
          <cell r="I311" t="e">
            <v>#N/A</v>
          </cell>
          <cell r="J311" t="e">
            <v>#N/A</v>
          </cell>
          <cell r="K311" t="e">
            <v>#N/A</v>
          </cell>
          <cell r="L311" t="e">
            <v>#N/A</v>
          </cell>
          <cell r="M311" t="e">
            <v>#N/A</v>
          </cell>
          <cell r="N311" t="e">
            <v>#N/A</v>
          </cell>
          <cell r="O311" t="e">
            <v>#N/A</v>
          </cell>
          <cell r="P311">
            <v>35.76</v>
          </cell>
          <cell r="Q311">
            <v>1.5302479999999998</v>
          </cell>
          <cell r="R311" t="e">
            <v>#N/A</v>
          </cell>
        </row>
        <row r="312">
          <cell r="A312">
            <v>39920</v>
          </cell>
          <cell r="B312">
            <v>39920</v>
          </cell>
          <cell r="C312" t="str">
            <v>Past</v>
          </cell>
          <cell r="D312">
            <v>36.44</v>
          </cell>
          <cell r="E312" t="e">
            <v>#N/A</v>
          </cell>
          <cell r="F312" t="e">
            <v>#N/A</v>
          </cell>
          <cell r="G312" t="e">
            <v>#N/A</v>
          </cell>
          <cell r="H312" t="e">
            <v>#N/A</v>
          </cell>
          <cell r="I312" t="e">
            <v>#N/A</v>
          </cell>
          <cell r="J312" t="e">
            <v>#N/A</v>
          </cell>
          <cell r="K312" t="e">
            <v>#N/A</v>
          </cell>
          <cell r="L312" t="e">
            <v>#N/A</v>
          </cell>
          <cell r="M312" t="e">
            <v>#N/A</v>
          </cell>
          <cell r="N312" t="e">
            <v>#N/A</v>
          </cell>
          <cell r="O312" t="e">
            <v>#N/A</v>
          </cell>
          <cell r="P312">
            <v>36.44</v>
          </cell>
          <cell r="Q312">
            <v>2.4616400000000001</v>
          </cell>
          <cell r="R312" t="e">
            <v>#N/A</v>
          </cell>
        </row>
        <row r="313">
          <cell r="A313">
            <v>39923</v>
          </cell>
          <cell r="B313">
            <v>39923</v>
          </cell>
          <cell r="C313" t="str">
            <v>Past</v>
          </cell>
          <cell r="D313">
            <v>35.549999999999997</v>
          </cell>
          <cell r="E313" t="e">
            <v>#N/A</v>
          </cell>
          <cell r="F313" t="e">
            <v>#N/A</v>
          </cell>
          <cell r="G313" t="e">
            <v>#N/A</v>
          </cell>
          <cell r="H313" t="e">
            <v>#N/A</v>
          </cell>
          <cell r="I313" t="e">
            <v>#N/A</v>
          </cell>
          <cell r="J313" t="e">
            <v>#N/A</v>
          </cell>
          <cell r="K313" t="e">
            <v>#N/A</v>
          </cell>
          <cell r="L313" t="e">
            <v>#N/A</v>
          </cell>
          <cell r="M313" t="e">
            <v>#N/A</v>
          </cell>
          <cell r="N313" t="e">
            <v>#N/A</v>
          </cell>
          <cell r="O313" t="e">
            <v>#N/A</v>
          </cell>
          <cell r="P313">
            <v>35.549999999999997</v>
          </cell>
          <cell r="Q313">
            <v>1.6513719999999998</v>
          </cell>
          <cell r="R313" t="e">
            <v>#N/A</v>
          </cell>
        </row>
        <row r="314">
          <cell r="A314">
            <v>39924</v>
          </cell>
          <cell r="B314">
            <v>39924</v>
          </cell>
          <cell r="C314" t="str">
            <v>Past</v>
          </cell>
          <cell r="D314">
            <v>36.11</v>
          </cell>
          <cell r="E314" t="e">
            <v>#N/A</v>
          </cell>
          <cell r="F314" t="e">
            <v>#N/A</v>
          </cell>
          <cell r="G314" t="e">
            <v>#N/A</v>
          </cell>
          <cell r="H314" t="e">
            <v>#N/A</v>
          </cell>
          <cell r="I314" t="e">
            <v>#N/A</v>
          </cell>
          <cell r="J314" t="e">
            <v>#N/A</v>
          </cell>
          <cell r="K314" t="e">
            <v>#N/A</v>
          </cell>
          <cell r="L314" t="e">
            <v>#N/A</v>
          </cell>
          <cell r="M314" t="e">
            <v>#N/A</v>
          </cell>
          <cell r="N314" t="e">
            <v>#N/A</v>
          </cell>
          <cell r="O314" t="e">
            <v>#N/A</v>
          </cell>
          <cell r="P314">
            <v>36.11</v>
          </cell>
          <cell r="Q314">
            <v>1.690744</v>
          </cell>
          <cell r="R314" t="e">
            <v>#N/A</v>
          </cell>
        </row>
        <row r="315">
          <cell r="A315">
            <v>39925</v>
          </cell>
          <cell r="B315">
            <v>39925</v>
          </cell>
          <cell r="C315" t="str">
            <v>Past</v>
          </cell>
          <cell r="D315">
            <v>36.200000000000003</v>
          </cell>
          <cell r="E315" t="e">
            <v>#N/A</v>
          </cell>
          <cell r="F315" t="e">
            <v>#N/A</v>
          </cell>
          <cell r="G315" t="e">
            <v>#N/A</v>
          </cell>
          <cell r="H315" t="e">
            <v>#N/A</v>
          </cell>
          <cell r="I315" t="e">
            <v>#N/A</v>
          </cell>
          <cell r="J315" t="e">
            <v>#N/A</v>
          </cell>
          <cell r="K315" t="e">
            <v>#N/A</v>
          </cell>
          <cell r="L315" t="e">
            <v>#N/A</v>
          </cell>
          <cell r="M315" t="e">
            <v>#N/A</v>
          </cell>
          <cell r="N315" t="e">
            <v>#N/A</v>
          </cell>
          <cell r="O315" t="e">
            <v>#N/A</v>
          </cell>
          <cell r="P315">
            <v>36.200000000000003</v>
          </cell>
          <cell r="Q315">
            <v>2.058144</v>
          </cell>
          <cell r="R315" t="e">
            <v>#N/A</v>
          </cell>
        </row>
        <row r="316">
          <cell r="A316">
            <v>39926</v>
          </cell>
          <cell r="B316">
            <v>39926</v>
          </cell>
          <cell r="C316" t="str">
            <v>Past</v>
          </cell>
          <cell r="D316">
            <v>36.69</v>
          </cell>
          <cell r="E316" t="e">
            <v>#N/A</v>
          </cell>
          <cell r="F316" t="e">
            <v>#N/A</v>
          </cell>
          <cell r="G316" t="e">
            <v>#N/A</v>
          </cell>
          <cell r="H316" t="e">
            <v>#N/A</v>
          </cell>
          <cell r="I316" t="e">
            <v>#N/A</v>
          </cell>
          <cell r="J316" t="e">
            <v>#N/A</v>
          </cell>
          <cell r="K316" t="e">
            <v>#N/A</v>
          </cell>
          <cell r="L316" t="e">
            <v>#N/A</v>
          </cell>
          <cell r="M316" t="e">
            <v>#N/A</v>
          </cell>
          <cell r="N316" t="e">
            <v>#N/A</v>
          </cell>
          <cell r="O316" t="e">
            <v>#N/A</v>
          </cell>
          <cell r="P316">
            <v>36.69</v>
          </cell>
          <cell r="Q316">
            <v>2.1060140000000001</v>
          </cell>
          <cell r="R316" t="e">
            <v>#N/A</v>
          </cell>
        </row>
        <row r="317">
          <cell r="A317">
            <v>39927</v>
          </cell>
          <cell r="B317">
            <v>39927</v>
          </cell>
          <cell r="C317" t="str">
            <v>Past</v>
          </cell>
          <cell r="D317">
            <v>36.54</v>
          </cell>
          <cell r="E317" t="e">
            <v>#N/A</v>
          </cell>
          <cell r="F317" t="e">
            <v>#N/A</v>
          </cell>
          <cell r="G317" t="e">
            <v>#N/A</v>
          </cell>
          <cell r="H317" t="e">
            <v>#N/A</v>
          </cell>
          <cell r="I317" t="e">
            <v>#N/A</v>
          </cell>
          <cell r="J317" t="e">
            <v>#N/A</v>
          </cell>
          <cell r="K317" t="e">
            <v>#N/A</v>
          </cell>
          <cell r="L317" t="e">
            <v>#N/A</v>
          </cell>
          <cell r="M317" t="e">
            <v>#N/A</v>
          </cell>
          <cell r="N317" t="e">
            <v>#N/A</v>
          </cell>
          <cell r="O317" t="e">
            <v>#N/A</v>
          </cell>
          <cell r="P317">
            <v>36.54</v>
          </cell>
          <cell r="Q317">
            <v>2.521862</v>
          </cell>
          <cell r="R317" t="e">
            <v>#N/A</v>
          </cell>
        </row>
        <row r="318">
          <cell r="A318">
            <v>39930</v>
          </cell>
          <cell r="B318">
            <v>39930</v>
          </cell>
          <cell r="C318" t="str">
            <v>Past</v>
          </cell>
          <cell r="D318">
            <v>37.26</v>
          </cell>
          <cell r="E318" t="e">
            <v>#N/A</v>
          </cell>
          <cell r="F318" t="e">
            <v>#N/A</v>
          </cell>
          <cell r="G318" t="e">
            <v>#N/A</v>
          </cell>
          <cell r="H318" t="e">
            <v>#N/A</v>
          </cell>
          <cell r="I318" t="e">
            <v>#N/A</v>
          </cell>
          <cell r="J318" t="e">
            <v>#N/A</v>
          </cell>
          <cell r="K318" t="e">
            <v>#N/A</v>
          </cell>
          <cell r="L318" t="e">
            <v>#N/A</v>
          </cell>
          <cell r="M318" t="e">
            <v>#N/A</v>
          </cell>
          <cell r="N318" t="e">
            <v>#N/A</v>
          </cell>
          <cell r="O318" t="e">
            <v>#N/A</v>
          </cell>
          <cell r="P318">
            <v>37.26</v>
          </cell>
          <cell r="Q318">
            <v>1.7961969999999998</v>
          </cell>
          <cell r="R318" t="e">
            <v>#N/A</v>
          </cell>
        </row>
        <row r="319">
          <cell r="A319">
            <v>39931</v>
          </cell>
          <cell r="B319">
            <v>39931</v>
          </cell>
          <cell r="C319" t="str">
            <v>Past</v>
          </cell>
          <cell r="D319">
            <v>37.299999999999997</v>
          </cell>
          <cell r="E319" t="e">
            <v>#N/A</v>
          </cell>
          <cell r="F319" t="e">
            <v>#N/A</v>
          </cell>
          <cell r="G319" t="e">
            <v>#N/A</v>
          </cell>
          <cell r="H319" t="e">
            <v>#N/A</v>
          </cell>
          <cell r="I319" t="e">
            <v>#N/A</v>
          </cell>
          <cell r="J319" t="e">
            <v>#N/A</v>
          </cell>
          <cell r="K319" t="e">
            <v>#N/A</v>
          </cell>
          <cell r="L319" t="e">
            <v>#N/A</v>
          </cell>
          <cell r="M319" t="e">
            <v>#N/A</v>
          </cell>
          <cell r="N319" t="e">
            <v>#N/A</v>
          </cell>
          <cell r="O319" t="e">
            <v>#N/A</v>
          </cell>
          <cell r="P319">
            <v>37.299999999999997</v>
          </cell>
          <cell r="Q319">
            <v>2.2748569999999999</v>
          </cell>
          <cell r="R319" t="e">
            <v>#N/A</v>
          </cell>
        </row>
        <row r="320">
          <cell r="A320">
            <v>39932</v>
          </cell>
          <cell r="B320">
            <v>39932</v>
          </cell>
          <cell r="C320" t="str">
            <v>Past</v>
          </cell>
          <cell r="D320">
            <v>38.880000000000003</v>
          </cell>
          <cell r="E320" t="e">
            <v>#N/A</v>
          </cell>
          <cell r="F320" t="e">
            <v>#N/A</v>
          </cell>
          <cell r="G320" t="e">
            <v>#N/A</v>
          </cell>
          <cell r="H320" t="e">
            <v>#N/A</v>
          </cell>
          <cell r="I320" t="e">
            <v>#N/A</v>
          </cell>
          <cell r="J320" t="e">
            <v>#N/A</v>
          </cell>
          <cell r="K320" t="e">
            <v>#N/A</v>
          </cell>
          <cell r="L320" t="e">
            <v>#N/A</v>
          </cell>
          <cell r="M320" t="e">
            <v>#N/A</v>
          </cell>
          <cell r="N320" t="e">
            <v>#N/A</v>
          </cell>
          <cell r="O320" t="e">
            <v>#N/A</v>
          </cell>
          <cell r="P320">
            <v>38.880000000000003</v>
          </cell>
          <cell r="Q320">
            <v>1.2563600000000001</v>
          </cell>
          <cell r="R320" t="e">
            <v>#N/A</v>
          </cell>
        </row>
        <row r="321">
          <cell r="A321">
            <v>39933</v>
          </cell>
          <cell r="B321">
            <v>39933</v>
          </cell>
          <cell r="C321" t="str">
            <v>Past</v>
          </cell>
          <cell r="D321">
            <v>38.35</v>
          </cell>
          <cell r="E321" t="e">
            <v>#N/A</v>
          </cell>
          <cell r="F321" t="e">
            <v>#N/A</v>
          </cell>
          <cell r="G321" t="e">
            <v>#N/A</v>
          </cell>
          <cell r="H321" t="e">
            <v>#N/A</v>
          </cell>
          <cell r="I321" t="e">
            <v>#N/A</v>
          </cell>
          <cell r="J321" t="e">
            <v>#N/A</v>
          </cell>
          <cell r="K321" t="e">
            <v>#N/A</v>
          </cell>
          <cell r="L321" t="e">
            <v>#N/A</v>
          </cell>
          <cell r="M321" t="e">
            <v>#N/A</v>
          </cell>
          <cell r="N321" t="e">
            <v>#N/A</v>
          </cell>
          <cell r="O321" t="e">
            <v>#N/A</v>
          </cell>
          <cell r="P321">
            <v>38.35</v>
          </cell>
          <cell r="Q321">
            <v>1.4778179999999999</v>
          </cell>
          <cell r="R321" t="e">
            <v>#N/A</v>
          </cell>
        </row>
        <row r="322">
          <cell r="A322">
            <v>39934</v>
          </cell>
          <cell r="B322">
            <v>39934</v>
          </cell>
          <cell r="C322" t="str">
            <v>Past</v>
          </cell>
          <cell r="D322">
            <v>38.33</v>
          </cell>
          <cell r="E322" t="e">
            <v>#N/A</v>
          </cell>
          <cell r="F322" t="e">
            <v>#N/A</v>
          </cell>
          <cell r="G322" t="e">
            <v>#N/A</v>
          </cell>
          <cell r="H322" t="e">
            <v>#N/A</v>
          </cell>
          <cell r="I322" t="e">
            <v>#N/A</v>
          </cell>
          <cell r="J322" t="e">
            <v>#N/A</v>
          </cell>
          <cell r="K322" t="e">
            <v>#N/A</v>
          </cell>
          <cell r="L322" t="e">
            <v>#N/A</v>
          </cell>
          <cell r="M322" t="e">
            <v>#N/A</v>
          </cell>
          <cell r="N322" t="e">
            <v>#N/A</v>
          </cell>
          <cell r="O322" t="e">
            <v>#N/A</v>
          </cell>
          <cell r="P322">
            <v>38.33</v>
          </cell>
          <cell r="Q322">
            <v>1.0110779999999999</v>
          </cell>
          <cell r="R322" t="e">
            <v>#N/A</v>
          </cell>
        </row>
        <row r="323">
          <cell r="A323">
            <v>39937</v>
          </cell>
          <cell r="B323">
            <v>39937</v>
          </cell>
          <cell r="C323" t="str">
            <v>Past</v>
          </cell>
          <cell r="D323">
            <v>38.26</v>
          </cell>
          <cell r="E323" t="e">
            <v>#N/A</v>
          </cell>
          <cell r="F323" t="e">
            <v>#N/A</v>
          </cell>
          <cell r="G323" t="e">
            <v>#N/A</v>
          </cell>
          <cell r="H323" t="e">
            <v>#N/A</v>
          </cell>
          <cell r="I323" t="e">
            <v>#N/A</v>
          </cell>
          <cell r="J323" t="e">
            <v>#N/A</v>
          </cell>
          <cell r="K323" t="e">
            <v>#N/A</v>
          </cell>
          <cell r="L323" t="e">
            <v>#N/A</v>
          </cell>
          <cell r="M323" t="e">
            <v>#N/A</v>
          </cell>
          <cell r="N323" t="e">
            <v>#N/A</v>
          </cell>
          <cell r="O323" t="e">
            <v>#N/A</v>
          </cell>
          <cell r="P323">
            <v>38.26</v>
          </cell>
          <cell r="Q323">
            <v>1.5605389999999999</v>
          </cell>
          <cell r="R323" t="e">
            <v>#N/A</v>
          </cell>
        </row>
        <row r="324">
          <cell r="A324">
            <v>39938</v>
          </cell>
          <cell r="B324">
            <v>39938</v>
          </cell>
          <cell r="C324" t="str">
            <v>Past</v>
          </cell>
          <cell r="D324">
            <v>38.619999999999997</v>
          </cell>
          <cell r="E324" t="e">
            <v>#N/A</v>
          </cell>
          <cell r="F324" t="e">
            <v>#N/A</v>
          </cell>
          <cell r="G324" t="e">
            <v>#N/A</v>
          </cell>
          <cell r="H324" t="e">
            <v>#N/A</v>
          </cell>
          <cell r="I324" t="e">
            <v>#N/A</v>
          </cell>
          <cell r="J324" t="e">
            <v>#N/A</v>
          </cell>
          <cell r="K324" t="e">
            <v>#N/A</v>
          </cell>
          <cell r="L324" t="e">
            <v>#N/A</v>
          </cell>
          <cell r="M324" t="e">
            <v>#N/A</v>
          </cell>
          <cell r="N324" t="e">
            <v>#N/A</v>
          </cell>
          <cell r="O324" t="e">
            <v>#N/A</v>
          </cell>
          <cell r="P324">
            <v>38.619999999999997</v>
          </cell>
          <cell r="Q324">
            <v>1.1764219999999999</v>
          </cell>
          <cell r="R324" t="e">
            <v>#N/A</v>
          </cell>
        </row>
        <row r="325">
          <cell r="A325">
            <v>39939</v>
          </cell>
          <cell r="B325">
            <v>39939</v>
          </cell>
          <cell r="C325" t="str">
            <v>Past</v>
          </cell>
          <cell r="D325">
            <v>38.78</v>
          </cell>
          <cell r="E325" t="e">
            <v>#N/A</v>
          </cell>
          <cell r="F325" t="e">
            <v>#N/A</v>
          </cell>
          <cell r="G325" t="e">
            <v>#N/A</v>
          </cell>
          <cell r="H325" t="e">
            <v>#N/A</v>
          </cell>
          <cell r="I325" t="e">
            <v>#N/A</v>
          </cell>
          <cell r="J325" t="e">
            <v>#N/A</v>
          </cell>
          <cell r="K325" t="e">
            <v>#N/A</v>
          </cell>
          <cell r="L325" t="e">
            <v>#N/A</v>
          </cell>
          <cell r="M325" t="e">
            <v>#N/A</v>
          </cell>
          <cell r="N325" t="e">
            <v>#N/A</v>
          </cell>
          <cell r="O325" t="e">
            <v>#N/A</v>
          </cell>
          <cell r="P325">
            <v>38.78</v>
          </cell>
          <cell r="Q325">
            <v>1.124679</v>
          </cell>
          <cell r="R325" t="e">
            <v>#N/A</v>
          </cell>
        </row>
        <row r="326">
          <cell r="A326">
            <v>39940</v>
          </cell>
          <cell r="B326">
            <v>39940</v>
          </cell>
          <cell r="C326" t="str">
            <v>Past</v>
          </cell>
          <cell r="D326">
            <v>37.950000000000003</v>
          </cell>
          <cell r="E326" t="e">
            <v>#N/A</v>
          </cell>
          <cell r="F326" t="e">
            <v>#N/A</v>
          </cell>
          <cell r="G326" t="e">
            <v>#N/A</v>
          </cell>
          <cell r="H326" t="e">
            <v>#N/A</v>
          </cell>
          <cell r="I326" t="e">
            <v>#N/A</v>
          </cell>
          <cell r="J326" t="e">
            <v>#N/A</v>
          </cell>
          <cell r="K326" t="e">
            <v>#N/A</v>
          </cell>
          <cell r="L326" t="e">
            <v>#N/A</v>
          </cell>
          <cell r="M326" t="e">
            <v>#N/A</v>
          </cell>
          <cell r="N326" t="e">
            <v>#N/A</v>
          </cell>
          <cell r="O326" t="e">
            <v>#N/A</v>
          </cell>
          <cell r="P326">
            <v>37.950000000000003</v>
          </cell>
          <cell r="Q326">
            <v>1.402852</v>
          </cell>
          <cell r="R326" t="e">
            <v>#N/A</v>
          </cell>
        </row>
        <row r="327">
          <cell r="A327">
            <v>39941</v>
          </cell>
          <cell r="B327">
            <v>39941</v>
          </cell>
          <cell r="C327" t="str">
            <v>Past</v>
          </cell>
          <cell r="D327">
            <v>39.93</v>
          </cell>
          <cell r="E327" t="e">
            <v>#N/A</v>
          </cell>
          <cell r="F327" t="e">
            <v>#N/A</v>
          </cell>
          <cell r="G327" t="e">
            <v>#N/A</v>
          </cell>
          <cell r="H327" t="e">
            <v>#N/A</v>
          </cell>
          <cell r="I327" t="e">
            <v>#N/A</v>
          </cell>
          <cell r="J327" t="e">
            <v>#N/A</v>
          </cell>
          <cell r="K327" t="e">
            <v>#N/A</v>
          </cell>
          <cell r="L327" t="e">
            <v>#N/A</v>
          </cell>
          <cell r="M327" t="e">
            <v>#N/A</v>
          </cell>
          <cell r="N327" t="e">
            <v>#N/A</v>
          </cell>
          <cell r="O327" t="e">
            <v>#N/A</v>
          </cell>
          <cell r="P327">
            <v>39.93</v>
          </cell>
          <cell r="Q327">
            <v>1.6159059999999998</v>
          </cell>
          <cell r="R327" t="e">
            <v>#N/A</v>
          </cell>
        </row>
        <row r="328">
          <cell r="A328">
            <v>39944</v>
          </cell>
          <cell r="B328">
            <v>39944</v>
          </cell>
          <cell r="C328" t="str">
            <v>Past</v>
          </cell>
          <cell r="D328">
            <v>38.9</v>
          </cell>
          <cell r="E328" t="e">
            <v>#N/A</v>
          </cell>
          <cell r="F328" t="e">
            <v>#N/A</v>
          </cell>
          <cell r="G328" t="e">
            <v>#N/A</v>
          </cell>
          <cell r="H328" t="e">
            <v>#N/A</v>
          </cell>
          <cell r="I328" t="e">
            <v>#N/A</v>
          </cell>
          <cell r="J328" t="e">
            <v>#N/A</v>
          </cell>
          <cell r="K328" t="e">
            <v>#N/A</v>
          </cell>
          <cell r="L328" t="e">
            <v>#N/A</v>
          </cell>
          <cell r="M328" t="e">
            <v>#N/A</v>
          </cell>
          <cell r="N328" t="e">
            <v>#N/A</v>
          </cell>
          <cell r="O328" t="e">
            <v>#N/A</v>
          </cell>
          <cell r="P328">
            <v>38.9</v>
          </cell>
          <cell r="Q328">
            <v>0.92390399999999995</v>
          </cell>
          <cell r="R328" t="e">
            <v>#N/A</v>
          </cell>
        </row>
        <row r="329">
          <cell r="A329">
            <v>39945</v>
          </cell>
          <cell r="B329">
            <v>39945</v>
          </cell>
          <cell r="C329" t="str">
            <v>Past</v>
          </cell>
          <cell r="D329">
            <v>38.630000000000003</v>
          </cell>
          <cell r="E329" t="e">
            <v>#N/A</v>
          </cell>
          <cell r="F329" t="e">
            <v>#N/A</v>
          </cell>
          <cell r="G329" t="e">
            <v>#N/A</v>
          </cell>
          <cell r="H329" t="e">
            <v>#N/A</v>
          </cell>
          <cell r="I329" t="e">
            <v>#N/A</v>
          </cell>
          <cell r="J329" t="e">
            <v>#N/A</v>
          </cell>
          <cell r="K329" t="e">
            <v>#N/A</v>
          </cell>
          <cell r="L329" t="e">
            <v>#N/A</v>
          </cell>
          <cell r="M329" t="e">
            <v>#N/A</v>
          </cell>
          <cell r="N329" t="e">
            <v>#N/A</v>
          </cell>
          <cell r="O329" t="e">
            <v>#N/A</v>
          </cell>
          <cell r="P329">
            <v>38.630000000000003</v>
          </cell>
          <cell r="Q329">
            <v>0.8756600000000001</v>
          </cell>
          <cell r="R329" t="e">
            <v>#N/A</v>
          </cell>
        </row>
        <row r="330">
          <cell r="A330">
            <v>39946</v>
          </cell>
          <cell r="B330">
            <v>39946</v>
          </cell>
          <cell r="C330" t="str">
            <v>Past</v>
          </cell>
          <cell r="D330">
            <v>37.590000000000003</v>
          </cell>
          <cell r="E330" t="e">
            <v>#N/A</v>
          </cell>
          <cell r="F330" t="e">
            <v>#N/A</v>
          </cell>
          <cell r="G330" t="e">
            <v>#N/A</v>
          </cell>
          <cell r="H330" t="e">
            <v>#N/A</v>
          </cell>
          <cell r="I330" t="e">
            <v>#N/A</v>
          </cell>
          <cell r="J330" t="e">
            <v>#N/A</v>
          </cell>
          <cell r="K330" t="e">
            <v>#N/A</v>
          </cell>
          <cell r="L330" t="e">
            <v>#N/A</v>
          </cell>
          <cell r="M330" t="e">
            <v>#N/A</v>
          </cell>
          <cell r="N330" t="e">
            <v>#N/A</v>
          </cell>
          <cell r="O330" t="e">
            <v>#N/A</v>
          </cell>
          <cell r="P330">
            <v>37.590000000000003</v>
          </cell>
          <cell r="Q330">
            <v>0.73119000000000001</v>
          </cell>
          <cell r="R330" t="e">
            <v>#N/A</v>
          </cell>
        </row>
        <row r="331">
          <cell r="A331">
            <v>39947</v>
          </cell>
          <cell r="B331">
            <v>39947</v>
          </cell>
          <cell r="C331" t="str">
            <v>Past</v>
          </cell>
          <cell r="D331">
            <v>37.58</v>
          </cell>
          <cell r="E331" t="e">
            <v>#N/A</v>
          </cell>
          <cell r="F331" t="e">
            <v>#N/A</v>
          </cell>
          <cell r="G331" t="e">
            <v>#N/A</v>
          </cell>
          <cell r="H331" t="e">
            <v>#N/A</v>
          </cell>
          <cell r="I331" t="e">
            <v>#N/A</v>
          </cell>
          <cell r="J331" t="e">
            <v>#N/A</v>
          </cell>
          <cell r="K331" t="e">
            <v>#N/A</v>
          </cell>
          <cell r="L331" t="e">
            <v>#N/A</v>
          </cell>
          <cell r="M331" t="e">
            <v>#N/A</v>
          </cell>
          <cell r="N331" t="e">
            <v>#N/A</v>
          </cell>
          <cell r="O331" t="e">
            <v>#N/A</v>
          </cell>
          <cell r="P331">
            <v>37.58</v>
          </cell>
          <cell r="Q331">
            <v>1.111156</v>
          </cell>
          <cell r="R331" t="e">
            <v>#N/A</v>
          </cell>
        </row>
        <row r="332">
          <cell r="A332">
            <v>39948</v>
          </cell>
          <cell r="B332">
            <v>39948</v>
          </cell>
          <cell r="C332" t="str">
            <v>Past</v>
          </cell>
          <cell r="D332">
            <v>38.22</v>
          </cell>
          <cell r="E332" t="e">
            <v>#N/A</v>
          </cell>
          <cell r="F332" t="e">
            <v>#N/A</v>
          </cell>
          <cell r="G332" t="e">
            <v>#N/A</v>
          </cell>
          <cell r="H332" t="e">
            <v>#N/A</v>
          </cell>
          <cell r="I332" t="e">
            <v>#N/A</v>
          </cell>
          <cell r="J332" t="e">
            <v>#N/A</v>
          </cell>
          <cell r="K332" t="e">
            <v>#N/A</v>
          </cell>
          <cell r="L332" t="e">
            <v>#N/A</v>
          </cell>
          <cell r="M332" t="e">
            <v>#N/A</v>
          </cell>
          <cell r="N332" t="e">
            <v>#N/A</v>
          </cell>
          <cell r="O332" t="e">
            <v>#N/A</v>
          </cell>
          <cell r="P332">
            <v>38.22</v>
          </cell>
          <cell r="Q332">
            <v>1.6577000000000002</v>
          </cell>
          <cell r="R332" t="e">
            <v>#N/A</v>
          </cell>
        </row>
        <row r="333">
          <cell r="A333">
            <v>39951</v>
          </cell>
          <cell r="B333">
            <v>39951</v>
          </cell>
          <cell r="C333" t="str">
            <v>Past</v>
          </cell>
          <cell r="D333">
            <v>40.1</v>
          </cell>
          <cell r="E333" t="e">
            <v>#N/A</v>
          </cell>
          <cell r="F333" t="e">
            <v>#N/A</v>
          </cell>
          <cell r="G333" t="e">
            <v>#N/A</v>
          </cell>
          <cell r="H333" t="e">
            <v>#N/A</v>
          </cell>
          <cell r="I333" t="e">
            <v>#N/A</v>
          </cell>
          <cell r="J333" t="e">
            <v>#N/A</v>
          </cell>
          <cell r="K333" t="e">
            <v>#N/A</v>
          </cell>
          <cell r="L333" t="e">
            <v>#N/A</v>
          </cell>
          <cell r="M333" t="e">
            <v>#N/A</v>
          </cell>
          <cell r="N333" t="e">
            <v>#N/A</v>
          </cell>
          <cell r="O333" t="e">
            <v>#N/A</v>
          </cell>
          <cell r="P333">
            <v>40.1</v>
          </cell>
          <cell r="Q333">
            <v>1.5387000000000002</v>
          </cell>
          <cell r="R333" t="e">
            <v>#N/A</v>
          </cell>
        </row>
        <row r="334">
          <cell r="A334">
            <v>39952</v>
          </cell>
          <cell r="B334">
            <v>39952</v>
          </cell>
          <cell r="C334" t="str">
            <v>Past</v>
          </cell>
          <cell r="D334">
            <v>40.83</v>
          </cell>
          <cell r="E334" t="e">
            <v>#N/A</v>
          </cell>
          <cell r="F334" t="e">
            <v>#N/A</v>
          </cell>
          <cell r="G334" t="e">
            <v>#N/A</v>
          </cell>
          <cell r="H334" t="e">
            <v>#N/A</v>
          </cell>
          <cell r="I334" t="e">
            <v>#N/A</v>
          </cell>
          <cell r="J334" t="e">
            <v>#N/A</v>
          </cell>
          <cell r="K334" t="e">
            <v>#N/A</v>
          </cell>
          <cell r="L334" t="e">
            <v>#N/A</v>
          </cell>
          <cell r="M334" t="e">
            <v>#N/A</v>
          </cell>
          <cell r="N334" t="e">
            <v>#N/A</v>
          </cell>
          <cell r="O334" t="e">
            <v>#N/A</v>
          </cell>
          <cell r="P334">
            <v>40.83</v>
          </cell>
          <cell r="Q334">
            <v>1.719884</v>
          </cell>
          <cell r="R334" t="e">
            <v>#N/A</v>
          </cell>
        </row>
        <row r="335">
          <cell r="A335">
            <v>39953</v>
          </cell>
          <cell r="B335">
            <v>39953</v>
          </cell>
          <cell r="C335" t="str">
            <v>Past</v>
          </cell>
          <cell r="D335">
            <v>40.79</v>
          </cell>
          <cell r="E335" t="e">
            <v>#N/A</v>
          </cell>
          <cell r="F335" t="e">
            <v>#N/A</v>
          </cell>
          <cell r="G335" t="e">
            <v>#N/A</v>
          </cell>
          <cell r="H335" t="e">
            <v>#N/A</v>
          </cell>
          <cell r="I335" t="e">
            <v>#N/A</v>
          </cell>
          <cell r="J335" t="e">
            <v>#N/A</v>
          </cell>
          <cell r="K335" t="e">
            <v>#N/A</v>
          </cell>
          <cell r="L335" t="e">
            <v>#N/A</v>
          </cell>
          <cell r="M335" t="e">
            <v>#N/A</v>
          </cell>
          <cell r="N335" t="e">
            <v>#N/A</v>
          </cell>
          <cell r="O335" t="e">
            <v>#N/A</v>
          </cell>
          <cell r="P335">
            <v>40.79</v>
          </cell>
          <cell r="Q335">
            <v>1.304443</v>
          </cell>
          <cell r="R335" t="e">
            <v>#N/A</v>
          </cell>
        </row>
        <row r="336">
          <cell r="A336">
            <v>39954</v>
          </cell>
          <cell r="B336">
            <v>39954</v>
          </cell>
          <cell r="C336" t="str">
            <v>Past</v>
          </cell>
          <cell r="D336">
            <v>39.78</v>
          </cell>
          <cell r="E336" t="e">
            <v>#N/A</v>
          </cell>
          <cell r="F336" t="e">
            <v>#N/A</v>
          </cell>
          <cell r="G336" t="e">
            <v>#N/A</v>
          </cell>
          <cell r="H336" t="e">
            <v>#N/A</v>
          </cell>
          <cell r="I336" t="e">
            <v>#N/A</v>
          </cell>
          <cell r="J336" t="e">
            <v>#N/A</v>
          </cell>
          <cell r="K336" t="e">
            <v>#N/A</v>
          </cell>
          <cell r="L336" t="e">
            <v>#N/A</v>
          </cell>
          <cell r="M336" t="e">
            <v>#N/A</v>
          </cell>
          <cell r="N336" t="e">
            <v>#N/A</v>
          </cell>
          <cell r="O336" t="e">
            <v>#N/A</v>
          </cell>
          <cell r="P336">
            <v>39.78</v>
          </cell>
          <cell r="Q336">
            <v>0.92161000000000004</v>
          </cell>
          <cell r="R336" t="e">
            <v>#N/A</v>
          </cell>
        </row>
        <row r="337">
          <cell r="A337">
            <v>39955</v>
          </cell>
          <cell r="B337">
            <v>39955</v>
          </cell>
          <cell r="C337" t="str">
            <v>Past</v>
          </cell>
          <cell r="D337">
            <v>40.42</v>
          </cell>
          <cell r="E337" t="e">
            <v>#N/A</v>
          </cell>
          <cell r="F337" t="e">
            <v>#N/A</v>
          </cell>
          <cell r="G337" t="e">
            <v>#N/A</v>
          </cell>
          <cell r="H337" t="e">
            <v>#N/A</v>
          </cell>
          <cell r="I337" t="e">
            <v>#N/A</v>
          </cell>
          <cell r="J337" t="e">
            <v>#N/A</v>
          </cell>
          <cell r="K337" t="e">
            <v>#N/A</v>
          </cell>
          <cell r="L337" t="e">
            <v>#N/A</v>
          </cell>
          <cell r="M337" t="e">
            <v>#N/A</v>
          </cell>
          <cell r="N337" t="e">
            <v>#N/A</v>
          </cell>
          <cell r="O337" t="e">
            <v>#N/A</v>
          </cell>
          <cell r="P337">
            <v>40.42</v>
          </cell>
          <cell r="Q337">
            <v>1.098255</v>
          </cell>
          <cell r="R337" t="e">
            <v>#N/A</v>
          </cell>
        </row>
        <row r="338">
          <cell r="A338">
            <v>39959</v>
          </cell>
          <cell r="B338">
            <v>39959</v>
          </cell>
          <cell r="C338" t="str">
            <v>Past</v>
          </cell>
          <cell r="D338">
            <v>41.57</v>
          </cell>
          <cell r="E338" t="e">
            <v>#N/A</v>
          </cell>
          <cell r="F338" t="e">
            <v>#N/A</v>
          </cell>
          <cell r="G338" t="e">
            <v>#N/A</v>
          </cell>
          <cell r="H338" t="e">
            <v>#N/A</v>
          </cell>
          <cell r="I338" t="e">
            <v>#N/A</v>
          </cell>
          <cell r="J338" t="e">
            <v>#N/A</v>
          </cell>
          <cell r="K338" t="e">
            <v>#N/A</v>
          </cell>
          <cell r="L338" t="e">
            <v>#N/A</v>
          </cell>
          <cell r="M338" t="e">
            <v>#N/A</v>
          </cell>
          <cell r="N338" t="e">
            <v>#N/A</v>
          </cell>
          <cell r="O338" t="e">
            <v>#N/A</v>
          </cell>
          <cell r="P338">
            <v>41.57</v>
          </cell>
          <cell r="Q338">
            <v>0.89943799999999996</v>
          </cell>
          <cell r="R338" t="e">
            <v>#N/A</v>
          </cell>
        </row>
        <row r="339">
          <cell r="A339">
            <v>39960</v>
          </cell>
          <cell r="B339">
            <v>39960</v>
          </cell>
          <cell r="C339" t="str">
            <v>Past</v>
          </cell>
          <cell r="D339">
            <v>41.36</v>
          </cell>
          <cell r="E339" t="e">
            <v>#N/A</v>
          </cell>
          <cell r="F339" t="e">
            <v>#N/A</v>
          </cell>
          <cell r="G339" t="e">
            <v>#N/A</v>
          </cell>
          <cell r="H339" t="e">
            <v>#N/A</v>
          </cell>
          <cell r="I339" t="e">
            <v>#N/A</v>
          </cell>
          <cell r="J339" t="e">
            <v>#N/A</v>
          </cell>
          <cell r="K339" t="e">
            <v>#N/A</v>
          </cell>
          <cell r="L339" t="e">
            <v>#N/A</v>
          </cell>
          <cell r="M339" t="e">
            <v>#N/A</v>
          </cell>
          <cell r="N339" t="e">
            <v>#N/A</v>
          </cell>
          <cell r="O339" t="e">
            <v>#N/A</v>
          </cell>
          <cell r="P339">
            <v>41.36</v>
          </cell>
          <cell r="Q339">
            <v>1.173627</v>
          </cell>
          <cell r="R339" t="e">
            <v>#N/A</v>
          </cell>
        </row>
        <row r="340">
          <cell r="A340">
            <v>39961</v>
          </cell>
          <cell r="B340">
            <v>39961</v>
          </cell>
          <cell r="C340" t="str">
            <v>Past</v>
          </cell>
          <cell r="D340">
            <v>42.33</v>
          </cell>
          <cell r="E340" t="e">
            <v>#N/A</v>
          </cell>
          <cell r="F340" t="e">
            <v>#N/A</v>
          </cell>
          <cell r="G340" t="e">
            <v>#N/A</v>
          </cell>
          <cell r="H340" t="e">
            <v>#N/A</v>
          </cell>
          <cell r="I340" t="e">
            <v>#N/A</v>
          </cell>
          <cell r="J340" t="e">
            <v>#N/A</v>
          </cell>
          <cell r="K340" t="e">
            <v>#N/A</v>
          </cell>
          <cell r="L340" t="e">
            <v>#N/A</v>
          </cell>
          <cell r="M340" t="e">
            <v>#N/A</v>
          </cell>
          <cell r="N340" t="e">
            <v>#N/A</v>
          </cell>
          <cell r="O340" t="e">
            <v>#N/A</v>
          </cell>
          <cell r="P340">
            <v>42.33</v>
          </cell>
          <cell r="Q340">
            <v>1.292362</v>
          </cell>
          <cell r="R340" t="e">
            <v>#N/A</v>
          </cell>
        </row>
        <row r="341">
          <cell r="A341">
            <v>39962</v>
          </cell>
          <cell r="B341">
            <v>39962</v>
          </cell>
          <cell r="C341" t="str">
            <v>Past</v>
          </cell>
          <cell r="D341">
            <v>42.42</v>
          </cell>
          <cell r="E341" t="e">
            <v>#N/A</v>
          </cell>
          <cell r="F341" t="e">
            <v>#N/A</v>
          </cell>
          <cell r="G341" t="e">
            <v>#N/A</v>
          </cell>
          <cell r="H341" t="e">
            <v>#N/A</v>
          </cell>
          <cell r="I341" t="e">
            <v>#N/A</v>
          </cell>
          <cell r="J341" t="e">
            <v>#N/A</v>
          </cell>
          <cell r="K341" t="e">
            <v>#N/A</v>
          </cell>
          <cell r="L341" t="e">
            <v>#N/A</v>
          </cell>
          <cell r="M341" t="e">
            <v>#N/A</v>
          </cell>
          <cell r="N341" t="e">
            <v>#N/A</v>
          </cell>
          <cell r="O341" t="e">
            <v>#N/A</v>
          </cell>
          <cell r="P341">
            <v>42.42</v>
          </cell>
          <cell r="Q341">
            <v>1.1732819999999999</v>
          </cell>
          <cell r="R341" t="e">
            <v>#N/A</v>
          </cell>
        </row>
        <row r="342">
          <cell r="A342">
            <v>39965</v>
          </cell>
          <cell r="B342">
            <v>39965</v>
          </cell>
          <cell r="C342" t="str">
            <v>Past</v>
          </cell>
          <cell r="D342">
            <v>44.98</v>
          </cell>
          <cell r="E342" t="e">
            <v>#N/A</v>
          </cell>
          <cell r="F342" t="e">
            <v>#N/A</v>
          </cell>
          <cell r="G342" t="e">
            <v>#N/A</v>
          </cell>
          <cell r="H342" t="e">
            <v>#N/A</v>
          </cell>
          <cell r="I342" t="e">
            <v>#N/A</v>
          </cell>
          <cell r="J342" t="e">
            <v>#N/A</v>
          </cell>
          <cell r="K342" t="e">
            <v>#N/A</v>
          </cell>
          <cell r="L342" t="e">
            <v>#N/A</v>
          </cell>
          <cell r="M342" t="e">
            <v>#N/A</v>
          </cell>
          <cell r="N342" t="e">
            <v>#N/A</v>
          </cell>
          <cell r="O342" t="e">
            <v>#N/A</v>
          </cell>
          <cell r="P342">
            <v>44.98</v>
          </cell>
          <cell r="Q342">
            <v>1.5959100000000002</v>
          </cell>
          <cell r="R342" t="e">
            <v>#N/A</v>
          </cell>
        </row>
        <row r="343">
          <cell r="A343">
            <v>39966</v>
          </cell>
          <cell r="B343">
            <v>39966</v>
          </cell>
          <cell r="C343" t="str">
            <v>Past</v>
          </cell>
          <cell r="D343">
            <v>46.28</v>
          </cell>
          <cell r="E343" t="e">
            <v>#N/A</v>
          </cell>
          <cell r="F343" t="e">
            <v>#N/A</v>
          </cell>
          <cell r="G343" t="e">
            <v>#N/A</v>
          </cell>
          <cell r="H343" t="e">
            <v>#N/A</v>
          </cell>
          <cell r="I343" t="e">
            <v>#N/A</v>
          </cell>
          <cell r="J343" t="e">
            <v>#N/A</v>
          </cell>
          <cell r="K343" t="e">
            <v>#N/A</v>
          </cell>
          <cell r="L343" t="e">
            <v>#N/A</v>
          </cell>
          <cell r="M343" t="e">
            <v>#N/A</v>
          </cell>
          <cell r="N343" t="e">
            <v>#N/A</v>
          </cell>
          <cell r="O343" t="e">
            <v>#N/A</v>
          </cell>
          <cell r="P343">
            <v>46.28</v>
          </cell>
          <cell r="Q343">
            <v>1.9716179999999999</v>
          </cell>
          <cell r="R343" t="e">
            <v>#N/A</v>
          </cell>
        </row>
        <row r="344">
          <cell r="A344">
            <v>39967</v>
          </cell>
          <cell r="B344">
            <v>39967</v>
          </cell>
          <cell r="C344" t="str">
            <v>Past</v>
          </cell>
          <cell r="D344">
            <v>45.55</v>
          </cell>
          <cell r="E344" t="e">
            <v>#N/A</v>
          </cell>
          <cell r="F344" t="e">
            <v>#N/A</v>
          </cell>
          <cell r="G344" t="e">
            <v>#N/A</v>
          </cell>
          <cell r="H344" t="e">
            <v>#N/A</v>
          </cell>
          <cell r="I344" t="e">
            <v>#N/A</v>
          </cell>
          <cell r="J344" t="e">
            <v>#N/A</v>
          </cell>
          <cell r="K344" t="e">
            <v>#N/A</v>
          </cell>
          <cell r="L344" t="e">
            <v>#N/A</v>
          </cell>
          <cell r="M344" t="e">
            <v>#N/A</v>
          </cell>
          <cell r="N344" t="e">
            <v>#N/A</v>
          </cell>
          <cell r="O344" t="e">
            <v>#N/A</v>
          </cell>
          <cell r="P344">
            <v>45.55</v>
          </cell>
          <cell r="Q344">
            <v>1.652676</v>
          </cell>
          <cell r="R344" t="e">
            <v>#N/A</v>
          </cell>
        </row>
        <row r="345">
          <cell r="A345">
            <v>39968</v>
          </cell>
          <cell r="B345">
            <v>39968</v>
          </cell>
          <cell r="C345" t="str">
            <v>Past</v>
          </cell>
          <cell r="D345">
            <v>47.69</v>
          </cell>
          <cell r="E345" t="e">
            <v>#N/A</v>
          </cell>
          <cell r="F345" t="e">
            <v>#N/A</v>
          </cell>
          <cell r="G345" t="e">
            <v>#N/A</v>
          </cell>
          <cell r="H345" t="e">
            <v>#N/A</v>
          </cell>
          <cell r="I345" t="e">
            <v>#N/A</v>
          </cell>
          <cell r="J345" t="e">
            <v>#N/A</v>
          </cell>
          <cell r="K345" t="e">
            <v>#N/A</v>
          </cell>
          <cell r="L345" t="e">
            <v>#N/A</v>
          </cell>
          <cell r="M345" t="e">
            <v>#N/A</v>
          </cell>
          <cell r="N345" t="e">
            <v>#N/A</v>
          </cell>
          <cell r="O345" t="e">
            <v>#N/A</v>
          </cell>
          <cell r="P345">
            <v>47.69</v>
          </cell>
          <cell r="Q345">
            <v>2.692161</v>
          </cell>
          <cell r="R345" t="e">
            <v>#N/A</v>
          </cell>
        </row>
        <row r="346">
          <cell r="A346">
            <v>39969</v>
          </cell>
          <cell r="B346">
            <v>39969</v>
          </cell>
          <cell r="C346" t="str">
            <v>Past</v>
          </cell>
          <cell r="D346">
            <v>48.08</v>
          </cell>
          <cell r="E346" t="e">
            <v>#N/A</v>
          </cell>
          <cell r="F346" t="e">
            <v>#N/A</v>
          </cell>
          <cell r="G346" t="e">
            <v>#N/A</v>
          </cell>
          <cell r="H346" t="e">
            <v>#N/A</v>
          </cell>
          <cell r="I346" t="e">
            <v>#N/A</v>
          </cell>
          <cell r="J346" t="e">
            <v>#N/A</v>
          </cell>
          <cell r="K346" t="e">
            <v>#N/A</v>
          </cell>
          <cell r="L346" t="e">
            <v>#N/A</v>
          </cell>
          <cell r="M346" t="e">
            <v>#N/A</v>
          </cell>
          <cell r="N346" t="e">
            <v>#N/A</v>
          </cell>
          <cell r="O346" t="e">
            <v>#N/A</v>
          </cell>
          <cell r="P346">
            <v>48.08</v>
          </cell>
          <cell r="Q346">
            <v>1.7954300000000001</v>
          </cell>
          <cell r="R346" t="e">
            <v>#N/A</v>
          </cell>
        </row>
        <row r="347">
          <cell r="A347">
            <v>39972</v>
          </cell>
          <cell r="B347">
            <v>39972</v>
          </cell>
          <cell r="C347" t="str">
            <v>Past</v>
          </cell>
          <cell r="D347">
            <v>46.45</v>
          </cell>
          <cell r="E347" t="e">
            <v>#N/A</v>
          </cell>
          <cell r="F347" t="e">
            <v>#N/A</v>
          </cell>
          <cell r="G347" t="e">
            <v>#N/A</v>
          </cell>
          <cell r="H347" t="e">
            <v>#N/A</v>
          </cell>
          <cell r="I347" t="e">
            <v>#N/A</v>
          </cell>
          <cell r="J347" t="e">
            <v>#N/A</v>
          </cell>
          <cell r="K347" t="e">
            <v>#N/A</v>
          </cell>
          <cell r="L347" t="e">
            <v>#N/A</v>
          </cell>
          <cell r="M347" t="e">
            <v>#N/A</v>
          </cell>
          <cell r="N347" t="e">
            <v>#N/A</v>
          </cell>
          <cell r="O347" t="e">
            <v>#N/A</v>
          </cell>
          <cell r="P347">
            <v>46.45</v>
          </cell>
          <cell r="Q347">
            <v>2.6454109999999997</v>
          </cell>
          <cell r="R347" t="e">
            <v>#N/A</v>
          </cell>
        </row>
        <row r="348">
          <cell r="A348">
            <v>39973</v>
          </cell>
          <cell r="B348">
            <v>39973</v>
          </cell>
          <cell r="C348" t="str">
            <v>Past</v>
          </cell>
          <cell r="D348">
            <v>45.94</v>
          </cell>
          <cell r="E348" t="e">
            <v>#N/A</v>
          </cell>
          <cell r="F348" t="e">
            <v>#N/A</v>
          </cell>
          <cell r="G348" t="e">
            <v>#N/A</v>
          </cell>
          <cell r="H348" t="e">
            <v>#N/A</v>
          </cell>
          <cell r="I348" t="e">
            <v>#N/A</v>
          </cell>
          <cell r="J348" t="e">
            <v>#N/A</v>
          </cell>
          <cell r="K348" t="e">
            <v>#N/A</v>
          </cell>
          <cell r="L348" t="e">
            <v>#N/A</v>
          </cell>
          <cell r="M348" t="e">
            <v>#N/A</v>
          </cell>
          <cell r="N348" t="e">
            <v>#N/A</v>
          </cell>
          <cell r="O348" t="e">
            <v>#N/A</v>
          </cell>
          <cell r="P348">
            <v>45.94</v>
          </cell>
          <cell r="Q348">
            <v>1.8177559999999999</v>
          </cell>
          <cell r="R348" t="e">
            <v>#N/A</v>
          </cell>
        </row>
        <row r="349">
          <cell r="A349">
            <v>39974</v>
          </cell>
          <cell r="B349">
            <v>39974</v>
          </cell>
          <cell r="C349" t="str">
            <v>Past</v>
          </cell>
          <cell r="D349">
            <v>45.56</v>
          </cell>
          <cell r="E349" t="e">
            <v>#N/A</v>
          </cell>
          <cell r="F349" t="e">
            <v>#N/A</v>
          </cell>
          <cell r="G349" t="e">
            <v>#N/A</v>
          </cell>
          <cell r="H349" t="e">
            <v>#N/A</v>
          </cell>
          <cell r="I349" t="e">
            <v>#N/A</v>
          </cell>
          <cell r="J349" t="e">
            <v>#N/A</v>
          </cell>
          <cell r="K349" t="e">
            <v>#N/A</v>
          </cell>
          <cell r="L349" t="e">
            <v>#N/A</v>
          </cell>
          <cell r="M349" t="e">
            <v>#N/A</v>
          </cell>
          <cell r="N349" t="e">
            <v>#N/A</v>
          </cell>
          <cell r="O349" t="e">
            <v>#N/A</v>
          </cell>
          <cell r="P349">
            <v>45.56</v>
          </cell>
          <cell r="Q349">
            <v>1.5304300000000002</v>
          </cell>
          <cell r="R349" t="e">
            <v>#N/A</v>
          </cell>
        </row>
        <row r="350">
          <cell r="A350">
            <v>39975</v>
          </cell>
          <cell r="B350">
            <v>39975</v>
          </cell>
          <cell r="C350" t="str">
            <v>Past</v>
          </cell>
          <cell r="D350">
            <v>44.67</v>
          </cell>
          <cell r="E350" t="e">
            <v>#N/A</v>
          </cell>
          <cell r="F350" t="e">
            <v>#N/A</v>
          </cell>
          <cell r="G350" t="e">
            <v>#N/A</v>
          </cell>
          <cell r="H350" t="e">
            <v>#N/A</v>
          </cell>
          <cell r="I350" t="e">
            <v>#N/A</v>
          </cell>
          <cell r="J350" t="e">
            <v>#N/A</v>
          </cell>
          <cell r="K350" t="e">
            <v>#N/A</v>
          </cell>
          <cell r="L350" t="e">
            <v>#N/A</v>
          </cell>
          <cell r="M350" t="e">
            <v>#N/A</v>
          </cell>
          <cell r="N350" t="e">
            <v>#N/A</v>
          </cell>
          <cell r="O350" t="e">
            <v>#N/A</v>
          </cell>
          <cell r="P350">
            <v>44.67</v>
          </cell>
          <cell r="Q350">
            <v>1.7533529999999999</v>
          </cell>
          <cell r="R350" t="e">
            <v>#N/A</v>
          </cell>
        </row>
        <row r="351">
          <cell r="A351">
            <v>39976</v>
          </cell>
          <cell r="B351">
            <v>39976</v>
          </cell>
          <cell r="C351" t="str">
            <v>Past</v>
          </cell>
          <cell r="D351">
            <v>45.3</v>
          </cell>
          <cell r="E351" t="e">
            <v>#N/A</v>
          </cell>
          <cell r="F351" t="e">
            <v>#N/A</v>
          </cell>
          <cell r="G351" t="e">
            <v>#N/A</v>
          </cell>
          <cell r="H351" t="e">
            <v>#N/A</v>
          </cell>
          <cell r="I351" t="e">
            <v>#N/A</v>
          </cell>
          <cell r="J351" t="e">
            <v>#N/A</v>
          </cell>
          <cell r="K351" t="e">
            <v>#N/A</v>
          </cell>
          <cell r="L351" t="e">
            <v>#N/A</v>
          </cell>
          <cell r="M351" t="e">
            <v>#N/A</v>
          </cell>
          <cell r="N351" t="e">
            <v>#N/A</v>
          </cell>
          <cell r="O351" t="e">
            <v>#N/A</v>
          </cell>
          <cell r="P351">
            <v>45.3</v>
          </cell>
          <cell r="Q351">
            <v>1.3559779999999999</v>
          </cell>
          <cell r="R351" t="e">
            <v>#N/A</v>
          </cell>
        </row>
        <row r="352">
          <cell r="A352">
            <v>39979</v>
          </cell>
          <cell r="B352">
            <v>39979</v>
          </cell>
          <cell r="C352" t="str">
            <v>Past</v>
          </cell>
          <cell r="D352">
            <v>44.01</v>
          </cell>
          <cell r="E352" t="e">
            <v>#N/A</v>
          </cell>
          <cell r="F352" t="e">
            <v>#N/A</v>
          </cell>
          <cell r="G352" t="e">
            <v>#N/A</v>
          </cell>
          <cell r="H352" t="e">
            <v>#N/A</v>
          </cell>
          <cell r="I352" t="e">
            <v>#N/A</v>
          </cell>
          <cell r="J352" t="e">
            <v>#N/A</v>
          </cell>
          <cell r="K352" t="e">
            <v>#N/A</v>
          </cell>
          <cell r="L352" t="e">
            <v>#N/A</v>
          </cell>
          <cell r="M352" t="e">
            <v>#N/A</v>
          </cell>
          <cell r="N352" t="e">
            <v>#N/A</v>
          </cell>
          <cell r="O352" t="e">
            <v>#N/A</v>
          </cell>
          <cell r="P352">
            <v>44.01</v>
          </cell>
          <cell r="Q352">
            <v>1.2862959999999999</v>
          </cell>
          <cell r="R352" t="e">
            <v>#N/A</v>
          </cell>
        </row>
        <row r="353">
          <cell r="A353">
            <v>39980</v>
          </cell>
          <cell r="B353">
            <v>39980</v>
          </cell>
          <cell r="C353" t="str">
            <v>Past</v>
          </cell>
          <cell r="D353">
            <v>43.51</v>
          </cell>
          <cell r="E353" t="e">
            <v>#N/A</v>
          </cell>
          <cell r="F353" t="e">
            <v>#N/A</v>
          </cell>
          <cell r="G353" t="e">
            <v>#N/A</v>
          </cell>
          <cell r="H353" t="e">
            <v>#N/A</v>
          </cell>
          <cell r="I353" t="e">
            <v>#N/A</v>
          </cell>
          <cell r="J353" t="e">
            <v>#N/A</v>
          </cell>
          <cell r="K353" t="e">
            <v>#N/A</v>
          </cell>
          <cell r="L353" t="e">
            <v>#N/A</v>
          </cell>
          <cell r="M353" t="e">
            <v>#N/A</v>
          </cell>
          <cell r="N353" t="e">
            <v>#N/A</v>
          </cell>
          <cell r="O353" t="e">
            <v>#N/A</v>
          </cell>
          <cell r="P353">
            <v>43.51</v>
          </cell>
          <cell r="Q353">
            <v>1.0004150000000001</v>
          </cell>
          <cell r="R353" t="e">
            <v>#N/A</v>
          </cell>
        </row>
        <row r="354">
          <cell r="A354">
            <v>39981</v>
          </cell>
          <cell r="B354">
            <v>39981</v>
          </cell>
          <cell r="C354" t="str">
            <v>Past</v>
          </cell>
          <cell r="D354">
            <v>43.74</v>
          </cell>
          <cell r="E354" t="e">
            <v>#N/A</v>
          </cell>
          <cell r="F354" t="e">
            <v>#N/A</v>
          </cell>
          <cell r="G354" t="e">
            <v>#N/A</v>
          </cell>
          <cell r="H354" t="e">
            <v>#N/A</v>
          </cell>
          <cell r="I354" t="e">
            <v>#N/A</v>
          </cell>
          <cell r="J354" t="e">
            <v>#N/A</v>
          </cell>
          <cell r="K354" t="e">
            <v>#N/A</v>
          </cell>
          <cell r="L354" t="e">
            <v>#N/A</v>
          </cell>
          <cell r="M354" t="e">
            <v>#N/A</v>
          </cell>
          <cell r="N354" t="e">
            <v>#N/A</v>
          </cell>
          <cell r="O354" t="e">
            <v>#N/A</v>
          </cell>
          <cell r="P354">
            <v>43.74</v>
          </cell>
          <cell r="Q354">
            <v>0.87782299999999991</v>
          </cell>
          <cell r="R354" t="e">
            <v>#N/A</v>
          </cell>
        </row>
        <row r="355">
          <cell r="A355">
            <v>39982</v>
          </cell>
          <cell r="B355">
            <v>39982</v>
          </cell>
          <cell r="C355" t="str">
            <v>Past</v>
          </cell>
          <cell r="D355">
            <v>43.79</v>
          </cell>
          <cell r="E355" t="e">
            <v>#N/A</v>
          </cell>
          <cell r="F355" t="e">
            <v>#N/A</v>
          </cell>
          <cell r="G355" t="e">
            <v>#N/A</v>
          </cell>
          <cell r="H355" t="e">
            <v>#N/A</v>
          </cell>
          <cell r="I355" t="e">
            <v>#N/A</v>
          </cell>
          <cell r="J355" t="e">
            <v>#N/A</v>
          </cell>
          <cell r="K355" t="e">
            <v>#N/A</v>
          </cell>
          <cell r="L355" t="e">
            <v>#N/A</v>
          </cell>
          <cell r="M355" t="e">
            <v>#N/A</v>
          </cell>
          <cell r="N355" t="e">
            <v>#N/A</v>
          </cell>
          <cell r="O355" t="e">
            <v>#N/A</v>
          </cell>
          <cell r="P355">
            <v>43.79</v>
          </cell>
          <cell r="Q355">
            <v>1.0064279999999999</v>
          </cell>
          <cell r="R355" t="e">
            <v>#N/A</v>
          </cell>
        </row>
        <row r="356">
          <cell r="A356">
            <v>39983</v>
          </cell>
          <cell r="B356">
            <v>39983</v>
          </cell>
          <cell r="C356" t="str">
            <v>Past</v>
          </cell>
          <cell r="D356">
            <v>43.69</v>
          </cell>
          <cell r="E356" t="e">
            <v>#N/A</v>
          </cell>
          <cell r="F356" t="e">
            <v>#N/A</v>
          </cell>
          <cell r="G356" t="e">
            <v>#N/A</v>
          </cell>
          <cell r="H356" t="e">
            <v>#N/A</v>
          </cell>
          <cell r="I356" t="e">
            <v>#N/A</v>
          </cell>
          <cell r="J356" t="e">
            <v>#N/A</v>
          </cell>
          <cell r="K356" t="e">
            <v>#N/A</v>
          </cell>
          <cell r="L356" t="e">
            <v>#N/A</v>
          </cell>
          <cell r="M356" t="e">
            <v>#N/A</v>
          </cell>
          <cell r="N356" t="e">
            <v>#N/A</v>
          </cell>
          <cell r="O356" t="e">
            <v>#N/A</v>
          </cell>
          <cell r="P356">
            <v>43.69</v>
          </cell>
          <cell r="Q356">
            <v>1.3082579999999999</v>
          </cell>
          <cell r="R356" t="e">
            <v>#N/A</v>
          </cell>
        </row>
        <row r="357">
          <cell r="A357">
            <v>39986</v>
          </cell>
          <cell r="B357">
            <v>39986</v>
          </cell>
          <cell r="C357" t="str">
            <v>Past</v>
          </cell>
          <cell r="D357">
            <v>42.43</v>
          </cell>
          <cell r="E357" t="e">
            <v>#N/A</v>
          </cell>
          <cell r="F357" t="e">
            <v>#N/A</v>
          </cell>
          <cell r="G357" t="e">
            <v>#N/A</v>
          </cell>
          <cell r="H357" t="e">
            <v>#N/A</v>
          </cell>
          <cell r="I357" t="e">
            <v>#N/A</v>
          </cell>
          <cell r="J357" t="e">
            <v>#N/A</v>
          </cell>
          <cell r="K357" t="e">
            <v>#N/A</v>
          </cell>
          <cell r="L357" t="e">
            <v>#N/A</v>
          </cell>
          <cell r="M357" t="e">
            <v>#N/A</v>
          </cell>
          <cell r="N357" t="e">
            <v>#N/A</v>
          </cell>
          <cell r="O357" t="e">
            <v>#N/A</v>
          </cell>
          <cell r="P357">
            <v>42.43</v>
          </cell>
          <cell r="Q357">
            <v>1.622252</v>
          </cell>
          <cell r="R357" t="e">
            <v>#N/A</v>
          </cell>
        </row>
        <row r="358">
          <cell r="A358">
            <v>39987</v>
          </cell>
          <cell r="B358">
            <v>39987</v>
          </cell>
          <cell r="C358" t="str">
            <v>Past</v>
          </cell>
          <cell r="D358">
            <v>41.91</v>
          </cell>
          <cell r="E358" t="e">
            <v>#N/A</v>
          </cell>
          <cell r="F358" t="e">
            <v>#N/A</v>
          </cell>
          <cell r="G358" t="e">
            <v>#N/A</v>
          </cell>
          <cell r="H358" t="e">
            <v>#N/A</v>
          </cell>
          <cell r="I358" t="e">
            <v>#N/A</v>
          </cell>
          <cell r="J358" t="e">
            <v>#N/A</v>
          </cell>
          <cell r="K358" t="e">
            <v>#N/A</v>
          </cell>
          <cell r="L358" t="e">
            <v>#N/A</v>
          </cell>
          <cell r="M358" t="e">
            <v>#N/A</v>
          </cell>
          <cell r="N358" t="e">
            <v>#N/A</v>
          </cell>
          <cell r="O358" t="e">
            <v>#N/A</v>
          </cell>
          <cell r="P358">
            <v>41.91</v>
          </cell>
          <cell r="Q358">
            <v>1.3651789999999999</v>
          </cell>
          <cell r="R358" t="e">
            <v>#N/A</v>
          </cell>
        </row>
        <row r="359">
          <cell r="A359">
            <v>39988</v>
          </cell>
          <cell r="B359">
            <v>39988</v>
          </cell>
          <cell r="C359" t="str">
            <v>Past</v>
          </cell>
          <cell r="D359">
            <v>41.6</v>
          </cell>
          <cell r="E359" t="e">
            <v>#N/A</v>
          </cell>
          <cell r="F359" t="e">
            <v>#N/A</v>
          </cell>
          <cell r="G359" t="e">
            <v>#N/A</v>
          </cell>
          <cell r="H359" t="e">
            <v>#N/A</v>
          </cell>
          <cell r="I359" t="e">
            <v>#N/A</v>
          </cell>
          <cell r="J359" t="e">
            <v>#N/A</v>
          </cell>
          <cell r="K359" t="e">
            <v>#N/A</v>
          </cell>
          <cell r="L359" t="e">
            <v>#N/A</v>
          </cell>
          <cell r="M359" t="e">
            <v>#N/A</v>
          </cell>
          <cell r="N359" t="e">
            <v>#N/A</v>
          </cell>
          <cell r="O359" t="e">
            <v>#N/A</v>
          </cell>
          <cell r="P359">
            <v>41.6</v>
          </cell>
          <cell r="Q359">
            <v>1.0306999999999999</v>
          </cell>
          <cell r="R359" t="e">
            <v>#N/A</v>
          </cell>
        </row>
        <row r="360">
          <cell r="A360">
            <v>39989</v>
          </cell>
          <cell r="B360">
            <v>39989</v>
          </cell>
          <cell r="C360" t="str">
            <v>Past</v>
          </cell>
          <cell r="D360">
            <v>42.18</v>
          </cell>
          <cell r="E360" t="e">
            <v>#N/A</v>
          </cell>
          <cell r="F360" t="e">
            <v>#N/A</v>
          </cell>
          <cell r="G360" t="e">
            <v>#N/A</v>
          </cell>
          <cell r="H360" t="e">
            <v>#N/A</v>
          </cell>
          <cell r="I360" t="e">
            <v>#N/A</v>
          </cell>
          <cell r="J360" t="e">
            <v>#N/A</v>
          </cell>
          <cell r="K360" t="e">
            <v>#N/A</v>
          </cell>
          <cell r="L360" t="e">
            <v>#N/A</v>
          </cell>
          <cell r="M360" t="e">
            <v>#N/A</v>
          </cell>
          <cell r="N360" t="e">
            <v>#N/A</v>
          </cell>
          <cell r="O360" t="e">
            <v>#N/A</v>
          </cell>
          <cell r="P360">
            <v>42.18</v>
          </cell>
          <cell r="Q360">
            <v>1.2519279999999999</v>
          </cell>
          <cell r="R360" t="e">
            <v>#N/A</v>
          </cell>
        </row>
        <row r="361">
          <cell r="A361">
            <v>39990</v>
          </cell>
          <cell r="B361">
            <v>39990</v>
          </cell>
          <cell r="C361" t="str">
            <v>Past</v>
          </cell>
          <cell r="D361">
            <v>41.55</v>
          </cell>
          <cell r="E361" t="e">
            <v>#N/A</v>
          </cell>
          <cell r="F361" t="e">
            <v>#N/A</v>
          </cell>
          <cell r="G361" t="e">
            <v>#N/A</v>
          </cell>
          <cell r="H361" t="e">
            <v>#N/A</v>
          </cell>
          <cell r="I361" t="e">
            <v>#N/A</v>
          </cell>
          <cell r="J361" t="e">
            <v>#N/A</v>
          </cell>
          <cell r="K361" t="e">
            <v>#N/A</v>
          </cell>
          <cell r="L361" t="e">
            <v>#N/A</v>
          </cell>
          <cell r="M361" t="e">
            <v>#N/A</v>
          </cell>
          <cell r="N361" t="e">
            <v>#N/A</v>
          </cell>
          <cell r="O361" t="e">
            <v>#N/A</v>
          </cell>
          <cell r="P361">
            <v>41.55</v>
          </cell>
          <cell r="Q361">
            <v>0.99302599999999996</v>
          </cell>
          <cell r="R361" t="e">
            <v>#N/A</v>
          </cell>
        </row>
        <row r="362">
          <cell r="A362">
            <v>39993</v>
          </cell>
          <cell r="B362">
            <v>39993</v>
          </cell>
          <cell r="C362" t="str">
            <v>Past</v>
          </cell>
          <cell r="D362">
            <v>42.2</v>
          </cell>
          <cell r="E362" t="e">
            <v>#N/A</v>
          </cell>
          <cell r="F362" t="e">
            <v>#N/A</v>
          </cell>
          <cell r="G362" t="e">
            <v>#N/A</v>
          </cell>
          <cell r="H362" t="e">
            <v>#N/A</v>
          </cell>
          <cell r="I362" t="e">
            <v>#N/A</v>
          </cell>
          <cell r="J362" t="e">
            <v>#N/A</v>
          </cell>
          <cell r="K362" t="e">
            <v>#N/A</v>
          </cell>
          <cell r="L362" t="e">
            <v>#N/A</v>
          </cell>
          <cell r="M362" t="e">
            <v>#N/A</v>
          </cell>
          <cell r="N362" t="e">
            <v>#N/A</v>
          </cell>
          <cell r="O362" t="e">
            <v>#N/A</v>
          </cell>
          <cell r="P362">
            <v>42.2</v>
          </cell>
          <cell r="Q362">
            <v>0.83581899999999998</v>
          </cell>
          <cell r="R362" t="e">
            <v>#N/A</v>
          </cell>
        </row>
        <row r="363">
          <cell r="A363">
            <v>39994</v>
          </cell>
          <cell r="B363">
            <v>39994</v>
          </cell>
          <cell r="C363" t="str">
            <v>Past</v>
          </cell>
          <cell r="D363">
            <v>41.73</v>
          </cell>
          <cell r="E363" t="e">
            <v>#N/A</v>
          </cell>
          <cell r="F363" t="e">
            <v>#N/A</v>
          </cell>
          <cell r="G363" t="e">
            <v>#N/A</v>
          </cell>
          <cell r="H363" t="e">
            <v>#N/A</v>
          </cell>
          <cell r="I363" t="e">
            <v>#N/A</v>
          </cell>
          <cell r="J363" t="e">
            <v>#N/A</v>
          </cell>
          <cell r="K363" t="e">
            <v>#N/A</v>
          </cell>
          <cell r="L363" t="e">
            <v>#N/A</v>
          </cell>
          <cell r="M363" t="e">
            <v>#N/A</v>
          </cell>
          <cell r="N363" t="e">
            <v>#N/A</v>
          </cell>
          <cell r="O363" t="e">
            <v>#N/A</v>
          </cell>
          <cell r="P363">
            <v>41.73</v>
          </cell>
          <cell r="Q363">
            <v>0.82126599999999994</v>
          </cell>
          <cell r="R363" t="e">
            <v>#N/A</v>
          </cell>
        </row>
        <row r="364">
          <cell r="A364">
            <v>39995</v>
          </cell>
          <cell r="B364">
            <v>39995</v>
          </cell>
          <cell r="C364" t="str">
            <v>Past</v>
          </cell>
          <cell r="D364">
            <v>42.05</v>
          </cell>
          <cell r="E364" t="e">
            <v>#N/A</v>
          </cell>
          <cell r="F364" t="e">
            <v>#N/A</v>
          </cell>
          <cell r="G364" t="e">
            <v>#N/A</v>
          </cell>
          <cell r="H364" t="e">
            <v>#N/A</v>
          </cell>
          <cell r="I364" t="e">
            <v>#N/A</v>
          </cell>
          <cell r="J364" t="e">
            <v>#N/A</v>
          </cell>
          <cell r="K364" t="e">
            <v>#N/A</v>
          </cell>
          <cell r="L364" t="e">
            <v>#N/A</v>
          </cell>
          <cell r="M364" t="e">
            <v>#N/A</v>
          </cell>
          <cell r="N364" t="e">
            <v>#N/A</v>
          </cell>
          <cell r="O364" t="e">
            <v>#N/A</v>
          </cell>
          <cell r="P364">
            <v>42.05</v>
          </cell>
          <cell r="Q364">
            <v>0.84606599999999998</v>
          </cell>
          <cell r="R364" t="e">
            <v>#N/A</v>
          </cell>
        </row>
        <row r="365">
          <cell r="A365">
            <v>39996</v>
          </cell>
          <cell r="B365">
            <v>39996</v>
          </cell>
          <cell r="C365" t="str">
            <v>Past</v>
          </cell>
          <cell r="D365">
            <v>40.200000000000003</v>
          </cell>
          <cell r="E365" t="e">
            <v>#N/A</v>
          </cell>
          <cell r="F365" t="e">
            <v>#N/A</v>
          </cell>
          <cell r="G365" t="e">
            <v>#N/A</v>
          </cell>
          <cell r="H365" t="e">
            <v>#N/A</v>
          </cell>
          <cell r="I365" t="e">
            <v>#N/A</v>
          </cell>
          <cell r="J365" t="e">
            <v>#N/A</v>
          </cell>
          <cell r="K365" t="e">
            <v>#N/A</v>
          </cell>
          <cell r="L365" t="e">
            <v>#N/A</v>
          </cell>
          <cell r="M365" t="e">
            <v>#N/A</v>
          </cell>
          <cell r="N365" t="e">
            <v>#N/A</v>
          </cell>
          <cell r="O365" t="e">
            <v>#N/A</v>
          </cell>
          <cell r="P365">
            <v>40.200000000000003</v>
          </cell>
          <cell r="Q365">
            <v>1.123769</v>
          </cell>
          <cell r="R365" t="e">
            <v>#N/A</v>
          </cell>
        </row>
        <row r="366">
          <cell r="A366">
            <v>40000</v>
          </cell>
          <cell r="B366">
            <v>40000</v>
          </cell>
          <cell r="C366" t="str">
            <v>Past</v>
          </cell>
          <cell r="D366">
            <v>40.33</v>
          </cell>
          <cell r="E366" t="e">
            <v>#N/A</v>
          </cell>
          <cell r="F366" t="e">
            <v>#N/A</v>
          </cell>
          <cell r="G366" t="e">
            <v>#N/A</v>
          </cell>
          <cell r="H366" t="e">
            <v>#N/A</v>
          </cell>
          <cell r="I366" t="e">
            <v>#N/A</v>
          </cell>
          <cell r="J366" t="e">
            <v>#N/A</v>
          </cell>
          <cell r="K366" t="e">
            <v>#N/A</v>
          </cell>
          <cell r="L366" t="e">
            <v>#N/A</v>
          </cell>
          <cell r="M366" t="e">
            <v>#N/A</v>
          </cell>
          <cell r="N366" t="e">
            <v>#N/A</v>
          </cell>
          <cell r="O366" t="e">
            <v>#N/A</v>
          </cell>
          <cell r="P366">
            <v>40.33</v>
          </cell>
          <cell r="Q366">
            <v>0.94517299999999993</v>
          </cell>
          <cell r="R366" t="e">
            <v>#N/A</v>
          </cell>
        </row>
        <row r="367">
          <cell r="A367">
            <v>40001</v>
          </cell>
          <cell r="B367">
            <v>40001</v>
          </cell>
          <cell r="C367" t="str">
            <v>Past</v>
          </cell>
          <cell r="D367">
            <v>38.42</v>
          </cell>
          <cell r="E367" t="e">
            <v>#N/A</v>
          </cell>
          <cell r="F367" t="e">
            <v>#N/A</v>
          </cell>
          <cell r="G367" t="e">
            <v>#N/A</v>
          </cell>
          <cell r="H367" t="e">
            <v>#N/A</v>
          </cell>
          <cell r="I367" t="e">
            <v>#N/A</v>
          </cell>
          <cell r="J367" t="e">
            <v>#N/A</v>
          </cell>
          <cell r="K367" t="e">
            <v>#N/A</v>
          </cell>
          <cell r="L367" t="e">
            <v>#N/A</v>
          </cell>
          <cell r="M367" t="e">
            <v>#N/A</v>
          </cell>
          <cell r="N367" t="e">
            <v>#N/A</v>
          </cell>
          <cell r="O367" t="e">
            <v>#N/A</v>
          </cell>
          <cell r="P367">
            <v>38.42</v>
          </cell>
          <cell r="Q367">
            <v>2.7292100000000001</v>
          </cell>
          <cell r="R367" t="e">
            <v>#N/A</v>
          </cell>
        </row>
        <row r="368">
          <cell r="A368">
            <v>40002</v>
          </cell>
          <cell r="B368">
            <v>40002</v>
          </cell>
          <cell r="C368" t="str">
            <v>Past</v>
          </cell>
          <cell r="D368">
            <v>39.090000000000003</v>
          </cell>
          <cell r="E368" t="e">
            <v>#N/A</v>
          </cell>
          <cell r="F368" t="e">
            <v>#N/A</v>
          </cell>
          <cell r="G368" t="e">
            <v>#N/A</v>
          </cell>
          <cell r="H368" t="e">
            <v>#N/A</v>
          </cell>
          <cell r="I368" t="e">
            <v>#N/A</v>
          </cell>
          <cell r="J368" t="e">
            <v>#N/A</v>
          </cell>
          <cell r="K368" t="e">
            <v>#N/A</v>
          </cell>
          <cell r="L368" t="e">
            <v>#N/A</v>
          </cell>
          <cell r="M368" t="e">
            <v>#N/A</v>
          </cell>
          <cell r="N368" t="e">
            <v>#N/A</v>
          </cell>
          <cell r="O368" t="e">
            <v>#N/A</v>
          </cell>
          <cell r="P368">
            <v>39.090000000000003</v>
          </cell>
          <cell r="Q368">
            <v>1.366736</v>
          </cell>
          <cell r="R368" t="e">
            <v>#N/A</v>
          </cell>
        </row>
        <row r="369">
          <cell r="A369">
            <v>40003</v>
          </cell>
          <cell r="B369">
            <v>40003</v>
          </cell>
          <cell r="C369" t="str">
            <v>Past</v>
          </cell>
          <cell r="D369">
            <v>38.81</v>
          </cell>
          <cell r="E369" t="e">
            <v>#N/A</v>
          </cell>
          <cell r="F369" t="e">
            <v>#N/A</v>
          </cell>
          <cell r="G369" t="e">
            <v>#N/A</v>
          </cell>
          <cell r="H369" t="e">
            <v>#N/A</v>
          </cell>
          <cell r="I369" t="e">
            <v>#N/A</v>
          </cell>
          <cell r="J369" t="e">
            <v>#N/A</v>
          </cell>
          <cell r="K369" t="e">
            <v>#N/A</v>
          </cell>
          <cell r="L369" t="e">
            <v>#N/A</v>
          </cell>
          <cell r="M369" t="e">
            <v>#N/A</v>
          </cell>
          <cell r="N369" t="e">
            <v>#N/A</v>
          </cell>
          <cell r="O369" t="e">
            <v>#N/A</v>
          </cell>
          <cell r="P369">
            <v>38.81</v>
          </cell>
          <cell r="Q369">
            <v>0.72730699999999993</v>
          </cell>
          <cell r="R369" t="e">
            <v>#N/A</v>
          </cell>
        </row>
        <row r="370">
          <cell r="A370">
            <v>40004</v>
          </cell>
          <cell r="B370">
            <v>40004</v>
          </cell>
          <cell r="C370" t="str">
            <v>Past</v>
          </cell>
          <cell r="D370">
            <v>38.81</v>
          </cell>
          <cell r="E370" t="e">
            <v>#N/A</v>
          </cell>
          <cell r="F370" t="e">
            <v>#N/A</v>
          </cell>
          <cell r="G370" t="e">
            <v>#N/A</v>
          </cell>
          <cell r="H370" t="e">
            <v>#N/A</v>
          </cell>
          <cell r="I370" t="e">
            <v>#N/A</v>
          </cell>
          <cell r="J370" t="e">
            <v>#N/A</v>
          </cell>
          <cell r="K370" t="e">
            <v>#N/A</v>
          </cell>
          <cell r="L370" t="e">
            <v>#N/A</v>
          </cell>
          <cell r="M370" t="e">
            <v>#N/A</v>
          </cell>
          <cell r="N370" t="e">
            <v>#N/A</v>
          </cell>
          <cell r="O370" t="e">
            <v>#N/A</v>
          </cell>
          <cell r="P370">
            <v>38.81</v>
          </cell>
          <cell r="Q370">
            <v>0.78500199999999998</v>
          </cell>
          <cell r="R370" t="e">
            <v>#N/A</v>
          </cell>
        </row>
        <row r="371">
          <cell r="A371">
            <v>40007</v>
          </cell>
          <cell r="B371">
            <v>40007</v>
          </cell>
          <cell r="C371" t="str">
            <v>Past</v>
          </cell>
          <cell r="D371">
            <v>39.97</v>
          </cell>
          <cell r="E371" t="e">
            <v>#N/A</v>
          </cell>
          <cell r="F371" t="e">
            <v>#N/A</v>
          </cell>
          <cell r="G371" t="e">
            <v>#N/A</v>
          </cell>
          <cell r="H371" t="e">
            <v>#N/A</v>
          </cell>
          <cell r="I371" t="e">
            <v>#N/A</v>
          </cell>
          <cell r="J371" t="e">
            <v>#N/A</v>
          </cell>
          <cell r="K371" t="e">
            <v>#N/A</v>
          </cell>
          <cell r="L371" t="e">
            <v>#N/A</v>
          </cell>
          <cell r="M371" t="e">
            <v>#N/A</v>
          </cell>
          <cell r="N371" t="e">
            <v>#N/A</v>
          </cell>
          <cell r="O371" t="e">
            <v>#N/A</v>
          </cell>
          <cell r="P371">
            <v>39.97</v>
          </cell>
          <cell r="Q371">
            <v>0.86119299999999999</v>
          </cell>
          <cell r="R371" t="e">
            <v>#N/A</v>
          </cell>
        </row>
        <row r="372">
          <cell r="A372">
            <v>40008</v>
          </cell>
          <cell r="B372">
            <v>40008</v>
          </cell>
          <cell r="C372" t="str">
            <v>Past</v>
          </cell>
          <cell r="D372">
            <v>40.68</v>
          </cell>
          <cell r="E372" t="e">
            <v>#N/A</v>
          </cell>
          <cell r="F372" t="e">
            <v>#N/A</v>
          </cell>
          <cell r="G372" t="e">
            <v>#N/A</v>
          </cell>
          <cell r="H372" t="e">
            <v>#N/A</v>
          </cell>
          <cell r="I372" t="e">
            <v>#N/A</v>
          </cell>
          <cell r="J372" t="e">
            <v>#N/A</v>
          </cell>
          <cell r="K372" t="e">
            <v>#N/A</v>
          </cell>
          <cell r="L372" t="e">
            <v>#N/A</v>
          </cell>
          <cell r="M372" t="e">
            <v>#N/A</v>
          </cell>
          <cell r="N372" t="e">
            <v>#N/A</v>
          </cell>
          <cell r="O372" t="e">
            <v>#N/A</v>
          </cell>
          <cell r="P372">
            <v>40.68</v>
          </cell>
          <cell r="Q372">
            <v>1.0273759999999998</v>
          </cell>
          <cell r="R372" t="e">
            <v>#N/A</v>
          </cell>
        </row>
        <row r="373">
          <cell r="A373">
            <v>40009</v>
          </cell>
          <cell r="B373">
            <v>40009</v>
          </cell>
          <cell r="C373" t="str">
            <v>Past</v>
          </cell>
          <cell r="D373">
            <v>41.13</v>
          </cell>
          <cell r="E373" t="e">
            <v>#N/A</v>
          </cell>
          <cell r="F373" t="e">
            <v>#N/A</v>
          </cell>
          <cell r="G373" t="e">
            <v>#N/A</v>
          </cell>
          <cell r="H373" t="e">
            <v>#N/A</v>
          </cell>
          <cell r="I373" t="e">
            <v>#N/A</v>
          </cell>
          <cell r="J373" t="e">
            <v>#N/A</v>
          </cell>
          <cell r="K373" t="e">
            <v>#N/A</v>
          </cell>
          <cell r="L373" t="e">
            <v>#N/A</v>
          </cell>
          <cell r="M373" t="e">
            <v>#N/A</v>
          </cell>
          <cell r="N373" t="e">
            <v>#N/A</v>
          </cell>
          <cell r="O373" t="e">
            <v>#N/A</v>
          </cell>
          <cell r="P373">
            <v>41.13</v>
          </cell>
          <cell r="Q373">
            <v>1.0150400000000002</v>
          </cell>
          <cell r="R373" t="e">
            <v>#N/A</v>
          </cell>
        </row>
        <row r="374">
          <cell r="A374">
            <v>40010</v>
          </cell>
          <cell r="B374">
            <v>40010</v>
          </cell>
          <cell r="C374" t="str">
            <v>Past</v>
          </cell>
          <cell r="D374">
            <v>41.31</v>
          </cell>
          <cell r="E374" t="e">
            <v>#N/A</v>
          </cell>
          <cell r="F374" t="e">
            <v>#N/A</v>
          </cell>
          <cell r="G374" t="e">
            <v>#N/A</v>
          </cell>
          <cell r="H374" t="e">
            <v>#N/A</v>
          </cell>
          <cell r="I374" t="e">
            <v>#N/A</v>
          </cell>
          <cell r="J374" t="e">
            <v>#N/A</v>
          </cell>
          <cell r="K374" t="e">
            <v>#N/A</v>
          </cell>
          <cell r="L374" t="e">
            <v>#N/A</v>
          </cell>
          <cell r="M374" t="e">
            <v>#N/A</v>
          </cell>
          <cell r="N374" t="e">
            <v>#N/A</v>
          </cell>
          <cell r="O374" t="e">
            <v>#N/A</v>
          </cell>
          <cell r="P374">
            <v>41.31</v>
          </cell>
          <cell r="Q374">
            <v>1.206189</v>
          </cell>
          <cell r="R374" t="e">
            <v>#N/A</v>
          </cell>
        </row>
        <row r="375">
          <cell r="A375">
            <v>40011</v>
          </cell>
          <cell r="B375">
            <v>40011</v>
          </cell>
          <cell r="C375" t="str">
            <v>Past</v>
          </cell>
          <cell r="D375">
            <v>40.94</v>
          </cell>
          <cell r="E375" t="e">
            <v>#N/A</v>
          </cell>
          <cell r="F375" t="e">
            <v>#N/A</v>
          </cell>
          <cell r="G375" t="e">
            <v>#N/A</v>
          </cell>
          <cell r="H375" t="e">
            <v>#N/A</v>
          </cell>
          <cell r="I375" t="e">
            <v>#N/A</v>
          </cell>
          <cell r="J375" t="e">
            <v>#N/A</v>
          </cell>
          <cell r="K375" t="e">
            <v>#N/A</v>
          </cell>
          <cell r="L375" t="e">
            <v>#N/A</v>
          </cell>
          <cell r="M375" t="e">
            <v>#N/A</v>
          </cell>
          <cell r="N375" t="e">
            <v>#N/A</v>
          </cell>
          <cell r="O375" t="e">
            <v>#N/A</v>
          </cell>
          <cell r="P375">
            <v>40.94</v>
          </cell>
          <cell r="Q375">
            <v>1.6902139999999999</v>
          </cell>
          <cell r="R375" t="e">
            <v>#N/A</v>
          </cell>
        </row>
        <row r="376">
          <cell r="A376">
            <v>40014</v>
          </cell>
          <cell r="B376">
            <v>40014</v>
          </cell>
          <cell r="C376" t="str">
            <v>Past</v>
          </cell>
          <cell r="D376">
            <v>41.41</v>
          </cell>
          <cell r="E376" t="e">
            <v>#N/A</v>
          </cell>
          <cell r="F376" t="e">
            <v>#N/A</v>
          </cell>
          <cell r="G376" t="e">
            <v>#N/A</v>
          </cell>
          <cell r="H376" t="e">
            <v>#N/A</v>
          </cell>
          <cell r="I376" t="e">
            <v>#N/A</v>
          </cell>
          <cell r="J376" t="e">
            <v>#N/A</v>
          </cell>
          <cell r="K376" t="e">
            <v>#N/A</v>
          </cell>
          <cell r="L376" t="e">
            <v>#N/A</v>
          </cell>
          <cell r="M376" t="e">
            <v>#N/A</v>
          </cell>
          <cell r="N376" t="e">
            <v>#N/A</v>
          </cell>
          <cell r="O376" t="e">
            <v>#N/A</v>
          </cell>
          <cell r="P376">
            <v>41.41</v>
          </cell>
          <cell r="Q376">
            <v>1.037147</v>
          </cell>
          <cell r="R376" t="e">
            <v>#N/A</v>
          </cell>
        </row>
        <row r="377">
          <cell r="A377">
            <v>40015</v>
          </cell>
          <cell r="B377">
            <v>40015</v>
          </cell>
          <cell r="C377" t="str">
            <v>Past</v>
          </cell>
          <cell r="D377">
            <v>41.91</v>
          </cell>
          <cell r="E377" t="e">
            <v>#N/A</v>
          </cell>
          <cell r="F377" t="e">
            <v>#N/A</v>
          </cell>
          <cell r="G377" t="e">
            <v>#N/A</v>
          </cell>
          <cell r="H377" t="e">
            <v>#N/A</v>
          </cell>
          <cell r="I377" t="e">
            <v>#N/A</v>
          </cell>
          <cell r="J377" t="e">
            <v>#N/A</v>
          </cell>
          <cell r="K377" t="e">
            <v>#N/A</v>
          </cell>
          <cell r="L377" t="e">
            <v>#N/A</v>
          </cell>
          <cell r="M377" t="e">
            <v>#N/A</v>
          </cell>
          <cell r="N377" t="e">
            <v>#N/A</v>
          </cell>
          <cell r="O377" t="e">
            <v>#N/A</v>
          </cell>
          <cell r="P377">
            <v>41.91</v>
          </cell>
          <cell r="Q377">
            <v>0.808396</v>
          </cell>
          <cell r="R377" t="e">
            <v>#N/A</v>
          </cell>
        </row>
        <row r="378">
          <cell r="A378">
            <v>40016</v>
          </cell>
          <cell r="B378">
            <v>40016</v>
          </cell>
          <cell r="C378" t="str">
            <v>Past</v>
          </cell>
          <cell r="D378">
            <v>41.87</v>
          </cell>
          <cell r="E378" t="e">
            <v>#N/A</v>
          </cell>
          <cell r="F378" t="e">
            <v>#N/A</v>
          </cell>
          <cell r="G378" t="e">
            <v>#N/A</v>
          </cell>
          <cell r="H378" t="e">
            <v>#N/A</v>
          </cell>
          <cell r="I378" t="e">
            <v>#N/A</v>
          </cell>
          <cell r="J378" t="e">
            <v>#N/A</v>
          </cell>
          <cell r="K378" t="e">
            <v>#N/A</v>
          </cell>
          <cell r="L378" t="e">
            <v>#N/A</v>
          </cell>
          <cell r="M378" t="e">
            <v>#N/A</v>
          </cell>
          <cell r="N378" t="e">
            <v>#N/A</v>
          </cell>
          <cell r="O378" t="e">
            <v>#N/A</v>
          </cell>
          <cell r="P378">
            <v>41.87</v>
          </cell>
          <cell r="Q378">
            <v>0.72513000000000005</v>
          </cell>
          <cell r="R378" t="e">
            <v>#N/A</v>
          </cell>
        </row>
        <row r="379">
          <cell r="A379">
            <v>40017</v>
          </cell>
          <cell r="B379">
            <v>40017</v>
          </cell>
          <cell r="C379" t="str">
            <v>Past</v>
          </cell>
          <cell r="D379">
            <v>41.85</v>
          </cell>
          <cell r="E379" t="e">
            <v>#N/A</v>
          </cell>
          <cell r="F379" t="e">
            <v>#N/A</v>
          </cell>
          <cell r="G379" t="e">
            <v>#N/A</v>
          </cell>
          <cell r="H379" t="e">
            <v>#N/A</v>
          </cell>
          <cell r="I379" t="e">
            <v>#N/A</v>
          </cell>
          <cell r="J379" t="e">
            <v>#N/A</v>
          </cell>
          <cell r="K379" t="e">
            <v>#N/A</v>
          </cell>
          <cell r="L379" t="e">
            <v>#N/A</v>
          </cell>
          <cell r="M379" t="e">
            <v>#N/A</v>
          </cell>
          <cell r="N379" t="e">
            <v>#N/A</v>
          </cell>
          <cell r="O379" t="e">
            <v>#N/A</v>
          </cell>
          <cell r="P379">
            <v>41.85</v>
          </cell>
          <cell r="Q379">
            <v>1.383923</v>
          </cell>
          <cell r="R379" t="e">
            <v>#N/A</v>
          </cell>
        </row>
        <row r="380">
          <cell r="A380">
            <v>40018</v>
          </cell>
          <cell r="B380">
            <v>40018</v>
          </cell>
          <cell r="C380" t="str">
            <v>Past</v>
          </cell>
          <cell r="D380">
            <v>40.74</v>
          </cell>
          <cell r="E380" t="e">
            <v>#N/A</v>
          </cell>
          <cell r="F380" t="e">
            <v>#N/A</v>
          </cell>
          <cell r="G380" t="e">
            <v>#N/A</v>
          </cell>
          <cell r="H380" t="e">
            <v>#N/A</v>
          </cell>
          <cell r="I380" t="e">
            <v>#N/A</v>
          </cell>
          <cell r="J380" t="e">
            <v>#N/A</v>
          </cell>
          <cell r="K380" t="e">
            <v>#N/A</v>
          </cell>
          <cell r="L380" t="e">
            <v>#N/A</v>
          </cell>
          <cell r="M380" t="e">
            <v>#N/A</v>
          </cell>
          <cell r="N380" t="e">
            <v>#N/A</v>
          </cell>
          <cell r="O380" t="e">
            <v>#N/A</v>
          </cell>
          <cell r="P380">
            <v>40.74</v>
          </cell>
          <cell r="Q380">
            <v>2.0377860000000001</v>
          </cell>
          <cell r="R380" t="e">
            <v>#N/A</v>
          </cell>
        </row>
        <row r="381">
          <cell r="A381">
            <v>40021</v>
          </cell>
          <cell r="B381">
            <v>40021</v>
          </cell>
          <cell r="C381" t="str">
            <v>Past</v>
          </cell>
          <cell r="D381">
            <v>39.590000000000003</v>
          </cell>
          <cell r="E381" t="e">
            <v>#N/A</v>
          </cell>
          <cell r="F381" t="e">
            <v>#N/A</v>
          </cell>
          <cell r="G381" t="e">
            <v>#N/A</v>
          </cell>
          <cell r="H381" t="e">
            <v>#N/A</v>
          </cell>
          <cell r="I381" t="e">
            <v>#N/A</v>
          </cell>
          <cell r="J381" t="e">
            <v>#N/A</v>
          </cell>
          <cell r="K381" t="e">
            <v>#N/A</v>
          </cell>
          <cell r="L381" t="e">
            <v>#N/A</v>
          </cell>
          <cell r="M381" t="e">
            <v>#N/A</v>
          </cell>
          <cell r="N381" t="e">
            <v>#N/A</v>
          </cell>
          <cell r="O381" t="e">
            <v>#N/A</v>
          </cell>
          <cell r="P381">
            <v>39.590000000000003</v>
          </cell>
          <cell r="Q381">
            <v>3.343461</v>
          </cell>
          <cell r="R381" t="e">
            <v>#N/A</v>
          </cell>
        </row>
        <row r="382">
          <cell r="A382">
            <v>40022</v>
          </cell>
          <cell r="B382">
            <v>40022</v>
          </cell>
          <cell r="C382" t="str">
            <v>Past</v>
          </cell>
          <cell r="D382">
            <v>39.61</v>
          </cell>
          <cell r="E382" t="e">
            <v>#N/A</v>
          </cell>
          <cell r="F382" t="e">
            <v>#N/A</v>
          </cell>
          <cell r="G382" t="e">
            <v>#N/A</v>
          </cell>
          <cell r="H382" t="e">
            <v>#N/A</v>
          </cell>
          <cell r="I382" t="e">
            <v>#N/A</v>
          </cell>
          <cell r="J382" t="e">
            <v>#N/A</v>
          </cell>
          <cell r="K382" t="e">
            <v>#N/A</v>
          </cell>
          <cell r="L382" t="e">
            <v>#N/A</v>
          </cell>
          <cell r="M382" t="e">
            <v>#N/A</v>
          </cell>
          <cell r="N382" t="e">
            <v>#N/A</v>
          </cell>
          <cell r="O382" t="e">
            <v>#N/A</v>
          </cell>
          <cell r="P382">
            <v>39.61</v>
          </cell>
          <cell r="Q382">
            <v>2.416506</v>
          </cell>
          <cell r="R382" t="e">
            <v>#N/A</v>
          </cell>
        </row>
        <row r="383">
          <cell r="A383">
            <v>40023</v>
          </cell>
          <cell r="B383">
            <v>40023</v>
          </cell>
          <cell r="C383" t="str">
            <v>Past</v>
          </cell>
          <cell r="D383">
            <v>40.26</v>
          </cell>
          <cell r="E383" t="e">
            <v>#N/A</v>
          </cell>
          <cell r="F383" t="e">
            <v>#N/A</v>
          </cell>
          <cell r="G383" t="e">
            <v>#N/A</v>
          </cell>
          <cell r="H383" t="e">
            <v>#N/A</v>
          </cell>
          <cell r="I383" t="e">
            <v>#N/A</v>
          </cell>
          <cell r="J383" t="e">
            <v>#N/A</v>
          </cell>
          <cell r="K383" t="e">
            <v>#N/A</v>
          </cell>
          <cell r="L383" t="e">
            <v>#N/A</v>
          </cell>
          <cell r="M383" t="e">
            <v>#N/A</v>
          </cell>
          <cell r="N383" t="e">
            <v>#N/A</v>
          </cell>
          <cell r="O383" t="e">
            <v>#N/A</v>
          </cell>
          <cell r="P383">
            <v>40.26</v>
          </cell>
          <cell r="Q383">
            <v>2.0140000000000002</v>
          </cell>
          <cell r="R383" t="e">
            <v>#N/A</v>
          </cell>
        </row>
        <row r="384">
          <cell r="A384">
            <v>40024</v>
          </cell>
          <cell r="B384">
            <v>40024</v>
          </cell>
          <cell r="C384" t="str">
            <v>Past</v>
          </cell>
          <cell r="D384">
            <v>42.52</v>
          </cell>
          <cell r="E384" t="e">
            <v>#N/A</v>
          </cell>
          <cell r="F384" t="e">
            <v>#N/A</v>
          </cell>
          <cell r="G384" t="e">
            <v>#N/A</v>
          </cell>
          <cell r="H384" t="e">
            <v>#N/A</v>
          </cell>
          <cell r="I384" t="e">
            <v>#N/A</v>
          </cell>
          <cell r="J384" t="e">
            <v>#N/A</v>
          </cell>
          <cell r="K384" t="e">
            <v>#N/A</v>
          </cell>
          <cell r="L384" t="e">
            <v>#N/A</v>
          </cell>
          <cell r="M384" t="e">
            <v>#N/A</v>
          </cell>
          <cell r="N384" t="e">
            <v>#N/A</v>
          </cell>
          <cell r="O384" t="e">
            <v>#N/A</v>
          </cell>
          <cell r="P384">
            <v>42.52</v>
          </cell>
          <cell r="Q384">
            <v>2.125607</v>
          </cell>
          <cell r="R384" t="e">
            <v>#N/A</v>
          </cell>
        </row>
        <row r="385">
          <cell r="A385">
            <v>40025</v>
          </cell>
          <cell r="B385">
            <v>40025</v>
          </cell>
          <cell r="C385" t="str">
            <v>Past</v>
          </cell>
          <cell r="D385">
            <v>42.2</v>
          </cell>
          <cell r="E385" t="e">
            <v>#N/A</v>
          </cell>
          <cell r="F385" t="e">
            <v>#N/A</v>
          </cell>
          <cell r="G385" t="e">
            <v>#N/A</v>
          </cell>
          <cell r="H385" t="e">
            <v>#N/A</v>
          </cell>
          <cell r="I385" t="e">
            <v>#N/A</v>
          </cell>
          <cell r="J385" t="e">
            <v>#N/A</v>
          </cell>
          <cell r="K385" t="e">
            <v>#N/A</v>
          </cell>
          <cell r="L385" t="e">
            <v>#N/A</v>
          </cell>
          <cell r="M385" t="e">
            <v>#N/A</v>
          </cell>
          <cell r="N385" t="e">
            <v>#N/A</v>
          </cell>
          <cell r="O385" t="e">
            <v>#N/A</v>
          </cell>
          <cell r="P385">
            <v>42.2</v>
          </cell>
          <cell r="Q385">
            <v>1.4255369999999998</v>
          </cell>
          <cell r="R385" t="e">
            <v>#N/A</v>
          </cell>
        </row>
        <row r="386">
          <cell r="A386">
            <v>40028</v>
          </cell>
          <cell r="B386">
            <v>40028</v>
          </cell>
          <cell r="C386" t="str">
            <v>Past</v>
          </cell>
          <cell r="D386">
            <v>43.29</v>
          </cell>
          <cell r="E386" t="e">
            <v>#N/A</v>
          </cell>
          <cell r="F386" t="e">
            <v>#N/A</v>
          </cell>
          <cell r="G386" t="e">
            <v>#N/A</v>
          </cell>
          <cell r="H386" t="e">
            <v>#N/A</v>
          </cell>
          <cell r="I386" t="e">
            <v>#N/A</v>
          </cell>
          <cell r="J386" t="e">
            <v>#N/A</v>
          </cell>
          <cell r="K386" t="e">
            <v>#N/A</v>
          </cell>
          <cell r="L386" t="e">
            <v>#N/A</v>
          </cell>
          <cell r="M386" t="e">
            <v>#N/A</v>
          </cell>
          <cell r="N386" t="e">
            <v>#N/A</v>
          </cell>
          <cell r="O386" t="e">
            <v>#N/A</v>
          </cell>
          <cell r="P386">
            <v>43.29</v>
          </cell>
          <cell r="Q386">
            <v>1.339715</v>
          </cell>
          <cell r="R386" t="e">
            <v>#N/A</v>
          </cell>
        </row>
        <row r="387">
          <cell r="A387">
            <v>40029</v>
          </cell>
          <cell r="B387">
            <v>40029</v>
          </cell>
          <cell r="C387" t="str">
            <v>Past</v>
          </cell>
          <cell r="D387">
            <v>43.77</v>
          </cell>
          <cell r="E387" t="e">
            <v>#N/A</v>
          </cell>
          <cell r="F387" t="e">
            <v>#N/A</v>
          </cell>
          <cell r="G387" t="e">
            <v>#N/A</v>
          </cell>
          <cell r="H387" t="e">
            <v>#N/A</v>
          </cell>
          <cell r="I387" t="e">
            <v>#N/A</v>
          </cell>
          <cell r="J387" t="e">
            <v>#N/A</v>
          </cell>
          <cell r="K387" t="e">
            <v>#N/A</v>
          </cell>
          <cell r="L387" t="e">
            <v>#N/A</v>
          </cell>
          <cell r="M387" t="e">
            <v>#N/A</v>
          </cell>
          <cell r="N387" t="e">
            <v>#N/A</v>
          </cell>
          <cell r="O387" t="e">
            <v>#N/A</v>
          </cell>
          <cell r="P387">
            <v>43.77</v>
          </cell>
          <cell r="Q387">
            <v>1.4680709999999999</v>
          </cell>
          <cell r="R387" t="e">
            <v>#N/A</v>
          </cell>
        </row>
        <row r="388">
          <cell r="A388">
            <v>40030</v>
          </cell>
          <cell r="B388">
            <v>40030</v>
          </cell>
          <cell r="C388" t="str">
            <v>Past</v>
          </cell>
          <cell r="D388">
            <v>43.65</v>
          </cell>
          <cell r="E388" t="e">
            <v>#N/A</v>
          </cell>
          <cell r="F388" t="e">
            <v>#N/A</v>
          </cell>
          <cell r="G388" t="e">
            <v>#N/A</v>
          </cell>
          <cell r="H388" t="e">
            <v>#N/A</v>
          </cell>
          <cell r="I388" t="e">
            <v>#N/A</v>
          </cell>
          <cell r="J388" t="e">
            <v>#N/A</v>
          </cell>
          <cell r="K388" t="e">
            <v>#N/A</v>
          </cell>
          <cell r="L388" t="e">
            <v>#N/A</v>
          </cell>
          <cell r="M388" t="e">
            <v>#N/A</v>
          </cell>
          <cell r="N388" t="e">
            <v>#N/A</v>
          </cell>
          <cell r="O388" t="e">
            <v>#N/A</v>
          </cell>
          <cell r="P388">
            <v>43.65</v>
          </cell>
          <cell r="Q388">
            <v>0.83979300000000001</v>
          </cell>
          <cell r="R388" t="e">
            <v>#N/A</v>
          </cell>
        </row>
        <row r="389">
          <cell r="A389">
            <v>40031</v>
          </cell>
          <cell r="B389">
            <v>40031</v>
          </cell>
          <cell r="C389" t="str">
            <v>Past</v>
          </cell>
          <cell r="D389">
            <v>44.09</v>
          </cell>
          <cell r="E389" t="e">
            <v>#N/A</v>
          </cell>
          <cell r="F389" t="e">
            <v>#N/A</v>
          </cell>
          <cell r="G389" t="e">
            <v>#N/A</v>
          </cell>
          <cell r="H389" t="e">
            <v>#N/A</v>
          </cell>
          <cell r="I389" t="e">
            <v>#N/A</v>
          </cell>
          <cell r="J389" t="e">
            <v>#N/A</v>
          </cell>
          <cell r="K389" t="e">
            <v>#N/A</v>
          </cell>
          <cell r="L389" t="e">
            <v>#N/A</v>
          </cell>
          <cell r="M389" t="e">
            <v>#N/A</v>
          </cell>
          <cell r="N389" t="e">
            <v>#N/A</v>
          </cell>
          <cell r="O389" t="e">
            <v>#N/A</v>
          </cell>
          <cell r="P389">
            <v>44.09</v>
          </cell>
          <cell r="Q389">
            <v>1.4793509999999999</v>
          </cell>
          <cell r="R389" t="e">
            <v>#N/A</v>
          </cell>
        </row>
        <row r="390">
          <cell r="A390">
            <v>40032</v>
          </cell>
          <cell r="B390">
            <v>40032</v>
          </cell>
          <cell r="C390" t="str">
            <v>Past</v>
          </cell>
          <cell r="D390">
            <v>45.23</v>
          </cell>
          <cell r="E390" t="e">
            <v>#N/A</v>
          </cell>
          <cell r="F390" t="e">
            <v>#N/A</v>
          </cell>
          <cell r="G390" t="e">
            <v>#N/A</v>
          </cell>
          <cell r="H390" t="e">
            <v>#N/A</v>
          </cell>
          <cell r="I390" t="e">
            <v>#N/A</v>
          </cell>
          <cell r="J390" t="e">
            <v>#N/A</v>
          </cell>
          <cell r="K390" t="e">
            <v>#N/A</v>
          </cell>
          <cell r="L390" t="e">
            <v>#N/A</v>
          </cell>
          <cell r="M390" t="e">
            <v>#N/A</v>
          </cell>
          <cell r="N390" t="e">
            <v>#N/A</v>
          </cell>
          <cell r="O390" t="e">
            <v>#N/A</v>
          </cell>
          <cell r="P390">
            <v>45.23</v>
          </cell>
          <cell r="Q390">
            <v>0.87159599999999993</v>
          </cell>
          <cell r="R390" t="e">
            <v>#N/A</v>
          </cell>
        </row>
        <row r="391">
          <cell r="A391">
            <v>40035</v>
          </cell>
          <cell r="B391">
            <v>40035</v>
          </cell>
          <cell r="C391" t="str">
            <v>Past</v>
          </cell>
          <cell r="D391">
            <v>44.55</v>
          </cell>
          <cell r="E391" t="e">
            <v>#N/A</v>
          </cell>
          <cell r="F391" t="e">
            <v>#N/A</v>
          </cell>
          <cell r="G391" t="e">
            <v>#N/A</v>
          </cell>
          <cell r="H391" t="e">
            <v>#N/A</v>
          </cell>
          <cell r="I391" t="e">
            <v>#N/A</v>
          </cell>
          <cell r="J391" t="e">
            <v>#N/A</v>
          </cell>
          <cell r="K391" t="e">
            <v>#N/A</v>
          </cell>
          <cell r="L391" t="e">
            <v>#N/A</v>
          </cell>
          <cell r="M391" t="e">
            <v>#N/A</v>
          </cell>
          <cell r="N391" t="e">
            <v>#N/A</v>
          </cell>
          <cell r="O391" t="e">
            <v>#N/A</v>
          </cell>
          <cell r="P391">
            <v>44.55</v>
          </cell>
          <cell r="Q391">
            <v>0.62007000000000001</v>
          </cell>
          <cell r="R391" t="e">
            <v>#N/A</v>
          </cell>
        </row>
        <row r="392">
          <cell r="A392">
            <v>40036</v>
          </cell>
          <cell r="B392">
            <v>40036</v>
          </cell>
          <cell r="C392" t="str">
            <v>Past</v>
          </cell>
          <cell r="D392">
            <v>43.89</v>
          </cell>
          <cell r="E392" t="e">
            <v>#N/A</v>
          </cell>
          <cell r="F392" t="e">
            <v>#N/A</v>
          </cell>
          <cell r="G392" t="e">
            <v>#N/A</v>
          </cell>
          <cell r="H392" t="e">
            <v>#N/A</v>
          </cell>
          <cell r="I392" t="e">
            <v>#N/A</v>
          </cell>
          <cell r="J392" t="e">
            <v>#N/A</v>
          </cell>
          <cell r="K392" t="e">
            <v>#N/A</v>
          </cell>
          <cell r="L392" t="e">
            <v>#N/A</v>
          </cell>
          <cell r="M392" t="e">
            <v>#N/A</v>
          </cell>
          <cell r="N392" t="e">
            <v>#N/A</v>
          </cell>
          <cell r="O392" t="e">
            <v>#N/A</v>
          </cell>
          <cell r="P392">
            <v>43.89</v>
          </cell>
          <cell r="Q392">
            <v>0.93275199999999991</v>
          </cell>
          <cell r="R392" t="e">
            <v>#N/A</v>
          </cell>
        </row>
        <row r="393">
          <cell r="A393">
            <v>40037</v>
          </cell>
          <cell r="B393">
            <v>40037</v>
          </cell>
          <cell r="C393" t="str">
            <v>Past</v>
          </cell>
          <cell r="D393">
            <v>45.32</v>
          </cell>
          <cell r="E393" t="e">
            <v>#N/A</v>
          </cell>
          <cell r="F393" t="e">
            <v>#N/A</v>
          </cell>
          <cell r="G393" t="e">
            <v>#N/A</v>
          </cell>
          <cell r="H393" t="e">
            <v>#N/A</v>
          </cell>
          <cell r="I393" t="e">
            <v>#N/A</v>
          </cell>
          <cell r="J393" t="e">
            <v>#N/A</v>
          </cell>
          <cell r="K393" t="e">
            <v>#N/A</v>
          </cell>
          <cell r="L393" t="e">
            <v>#N/A</v>
          </cell>
          <cell r="M393" t="e">
            <v>#N/A</v>
          </cell>
          <cell r="N393" t="e">
            <v>#N/A</v>
          </cell>
          <cell r="O393" t="e">
            <v>#N/A</v>
          </cell>
          <cell r="P393">
            <v>45.32</v>
          </cell>
          <cell r="Q393">
            <v>0.89216699999999993</v>
          </cell>
          <cell r="R393" t="e">
            <v>#N/A</v>
          </cell>
        </row>
        <row r="394">
          <cell r="A394">
            <v>40038</v>
          </cell>
          <cell r="B394">
            <v>40038</v>
          </cell>
          <cell r="C394" t="str">
            <v>Past</v>
          </cell>
          <cell r="D394">
            <v>44.24</v>
          </cell>
          <cell r="E394" t="e">
            <v>#N/A</v>
          </cell>
          <cell r="F394" t="e">
            <v>#N/A</v>
          </cell>
          <cell r="G394" t="e">
            <v>#N/A</v>
          </cell>
          <cell r="H394" t="e">
            <v>#N/A</v>
          </cell>
          <cell r="I394" t="e">
            <v>#N/A</v>
          </cell>
          <cell r="J394" t="e">
            <v>#N/A</v>
          </cell>
          <cell r="K394" t="e">
            <v>#N/A</v>
          </cell>
          <cell r="L394" t="e">
            <v>#N/A</v>
          </cell>
          <cell r="M394" t="e">
            <v>#N/A</v>
          </cell>
          <cell r="N394" t="e">
            <v>#N/A</v>
          </cell>
          <cell r="O394" t="e">
            <v>#N/A</v>
          </cell>
          <cell r="P394">
            <v>44.24</v>
          </cell>
          <cell r="Q394">
            <v>1.1771879999999999</v>
          </cell>
          <cell r="R394" t="e">
            <v>#N/A</v>
          </cell>
        </row>
        <row r="395">
          <cell r="A395">
            <v>40039</v>
          </cell>
          <cell r="B395">
            <v>40039</v>
          </cell>
          <cell r="C395" t="str">
            <v>Past</v>
          </cell>
          <cell r="D395">
            <v>43.76</v>
          </cell>
          <cell r="E395" t="e">
            <v>#N/A</v>
          </cell>
          <cell r="F395" t="e">
            <v>#N/A</v>
          </cell>
          <cell r="G395" t="e">
            <v>#N/A</v>
          </cell>
          <cell r="H395" t="e">
            <v>#N/A</v>
          </cell>
          <cell r="I395" t="e">
            <v>#N/A</v>
          </cell>
          <cell r="J395" t="e">
            <v>#N/A</v>
          </cell>
          <cell r="K395" t="e">
            <v>#N/A</v>
          </cell>
          <cell r="L395" t="e">
            <v>#N/A</v>
          </cell>
          <cell r="M395" t="e">
            <v>#N/A</v>
          </cell>
          <cell r="N395" t="e">
            <v>#N/A</v>
          </cell>
          <cell r="O395" t="e">
            <v>#N/A</v>
          </cell>
          <cell r="P395">
            <v>43.76</v>
          </cell>
          <cell r="Q395">
            <v>1.6624969999999999</v>
          </cell>
          <cell r="R395" t="e">
            <v>#N/A</v>
          </cell>
        </row>
        <row r="396">
          <cell r="A396">
            <v>40042</v>
          </cell>
          <cell r="B396">
            <v>40042</v>
          </cell>
          <cell r="C396" t="str">
            <v>Past</v>
          </cell>
          <cell r="D396">
            <v>42.69</v>
          </cell>
          <cell r="E396" t="e">
            <v>#N/A</v>
          </cell>
          <cell r="F396" t="e">
            <v>#N/A</v>
          </cell>
          <cell r="G396" t="e">
            <v>#N/A</v>
          </cell>
          <cell r="H396" t="e">
            <v>#N/A</v>
          </cell>
          <cell r="I396" t="e">
            <v>#N/A</v>
          </cell>
          <cell r="J396" t="e">
            <v>#N/A</v>
          </cell>
          <cell r="K396" t="e">
            <v>#N/A</v>
          </cell>
          <cell r="L396" t="e">
            <v>#N/A</v>
          </cell>
          <cell r="M396" t="e">
            <v>#N/A</v>
          </cell>
          <cell r="N396" t="e">
            <v>#N/A</v>
          </cell>
          <cell r="O396" t="e">
            <v>#N/A</v>
          </cell>
          <cell r="P396">
            <v>42.69</v>
          </cell>
          <cell r="Q396">
            <v>0.94399000000000011</v>
          </cell>
          <cell r="R396" t="e">
            <v>#N/A</v>
          </cell>
        </row>
        <row r="397">
          <cell r="A397">
            <v>40043</v>
          </cell>
          <cell r="B397">
            <v>40043</v>
          </cell>
          <cell r="C397" t="str">
            <v>Past</v>
          </cell>
          <cell r="D397">
            <v>42.98</v>
          </cell>
          <cell r="E397" t="e">
            <v>#N/A</v>
          </cell>
          <cell r="F397" t="e">
            <v>#N/A</v>
          </cell>
          <cell r="G397" t="e">
            <v>#N/A</v>
          </cell>
          <cell r="H397" t="e">
            <v>#N/A</v>
          </cell>
          <cell r="I397" t="e">
            <v>#N/A</v>
          </cell>
          <cell r="J397" t="e">
            <v>#N/A</v>
          </cell>
          <cell r="K397" t="e">
            <v>#N/A</v>
          </cell>
          <cell r="L397" t="e">
            <v>#N/A</v>
          </cell>
          <cell r="M397" t="e">
            <v>#N/A</v>
          </cell>
          <cell r="N397" t="e">
            <v>#N/A</v>
          </cell>
          <cell r="O397" t="e">
            <v>#N/A</v>
          </cell>
          <cell r="P397">
            <v>42.98</v>
          </cell>
          <cell r="Q397">
            <v>0.75176799999999999</v>
          </cell>
          <cell r="R397" t="e">
            <v>#N/A</v>
          </cell>
        </row>
        <row r="398">
          <cell r="A398">
            <v>40044</v>
          </cell>
          <cell r="B398">
            <v>40044</v>
          </cell>
          <cell r="C398" t="str">
            <v>Past</v>
          </cell>
          <cell r="D398">
            <v>42.6</v>
          </cell>
          <cell r="E398" t="e">
            <v>#N/A</v>
          </cell>
          <cell r="F398" t="e">
            <v>#N/A</v>
          </cell>
          <cell r="G398" t="e">
            <v>#N/A</v>
          </cell>
          <cell r="H398" t="e">
            <v>#N/A</v>
          </cell>
          <cell r="I398" t="e">
            <v>#N/A</v>
          </cell>
          <cell r="J398" t="e">
            <v>#N/A</v>
          </cell>
          <cell r="K398" t="e">
            <v>#N/A</v>
          </cell>
          <cell r="L398" t="e">
            <v>#N/A</v>
          </cell>
          <cell r="M398" t="e">
            <v>#N/A</v>
          </cell>
          <cell r="N398" t="e">
            <v>#N/A</v>
          </cell>
          <cell r="O398" t="e">
            <v>#N/A</v>
          </cell>
          <cell r="P398">
            <v>42.6</v>
          </cell>
          <cell r="Q398">
            <v>1.1943000000000001</v>
          </cell>
          <cell r="R398" t="e">
            <v>#N/A</v>
          </cell>
        </row>
        <row r="399">
          <cell r="A399">
            <v>40045</v>
          </cell>
          <cell r="B399">
            <v>40045</v>
          </cell>
          <cell r="C399" t="str">
            <v>Past</v>
          </cell>
          <cell r="D399">
            <v>43.21</v>
          </cell>
          <cell r="E399" t="e">
            <v>#N/A</v>
          </cell>
          <cell r="F399" t="e">
            <v>#N/A</v>
          </cell>
          <cell r="G399" t="e">
            <v>#N/A</v>
          </cell>
          <cell r="H399" t="e">
            <v>#N/A</v>
          </cell>
          <cell r="I399" t="e">
            <v>#N/A</v>
          </cell>
          <cell r="J399" t="e">
            <v>#N/A</v>
          </cell>
          <cell r="K399" t="e">
            <v>#N/A</v>
          </cell>
          <cell r="L399" t="e">
            <v>#N/A</v>
          </cell>
          <cell r="M399" t="e">
            <v>#N/A</v>
          </cell>
          <cell r="N399" t="e">
            <v>#N/A</v>
          </cell>
          <cell r="O399" t="e">
            <v>#N/A</v>
          </cell>
          <cell r="P399">
            <v>43.21</v>
          </cell>
          <cell r="Q399">
            <v>1.0741369999999999</v>
          </cell>
          <cell r="R399" t="e">
            <v>#N/A</v>
          </cell>
        </row>
        <row r="400">
          <cell r="A400">
            <v>40046</v>
          </cell>
          <cell r="B400">
            <v>40046</v>
          </cell>
          <cell r="C400" t="str">
            <v>Past</v>
          </cell>
          <cell r="D400">
            <v>44.4</v>
          </cell>
          <cell r="E400" t="e">
            <v>#N/A</v>
          </cell>
          <cell r="F400" t="e">
            <v>#N/A</v>
          </cell>
          <cell r="G400" t="e">
            <v>#N/A</v>
          </cell>
          <cell r="H400" t="e">
            <v>#N/A</v>
          </cell>
          <cell r="I400" t="e">
            <v>#N/A</v>
          </cell>
          <cell r="J400" t="e">
            <v>#N/A</v>
          </cell>
          <cell r="K400" t="e">
            <v>#N/A</v>
          </cell>
          <cell r="L400" t="e">
            <v>#N/A</v>
          </cell>
          <cell r="M400" t="e">
            <v>#N/A</v>
          </cell>
          <cell r="N400" t="e">
            <v>#N/A</v>
          </cell>
          <cell r="O400" t="e">
            <v>#N/A</v>
          </cell>
          <cell r="P400">
            <v>44.4</v>
          </cell>
          <cell r="Q400">
            <v>0.76256099999999993</v>
          </cell>
          <cell r="R400" t="e">
            <v>#N/A</v>
          </cell>
        </row>
        <row r="401">
          <cell r="A401">
            <v>40049</v>
          </cell>
          <cell r="B401">
            <v>40049</v>
          </cell>
          <cell r="C401" t="str">
            <v>Past</v>
          </cell>
          <cell r="D401">
            <v>44.76</v>
          </cell>
          <cell r="E401" t="e">
            <v>#N/A</v>
          </cell>
          <cell r="F401" t="e">
            <v>#N/A</v>
          </cell>
          <cell r="G401" t="e">
            <v>#N/A</v>
          </cell>
          <cell r="H401" t="e">
            <v>#N/A</v>
          </cell>
          <cell r="I401" t="e">
            <v>#N/A</v>
          </cell>
          <cell r="J401" t="e">
            <v>#N/A</v>
          </cell>
          <cell r="K401" t="e">
            <v>#N/A</v>
          </cell>
          <cell r="L401" t="e">
            <v>#N/A</v>
          </cell>
          <cell r="M401" t="e">
            <v>#N/A</v>
          </cell>
          <cell r="N401" t="e">
            <v>#N/A</v>
          </cell>
          <cell r="O401" t="e">
            <v>#N/A</v>
          </cell>
          <cell r="P401">
            <v>44.76</v>
          </cell>
          <cell r="Q401">
            <v>1.1344159999999999</v>
          </cell>
          <cell r="R401" t="e">
            <v>#N/A</v>
          </cell>
        </row>
        <row r="402">
          <cell r="A402">
            <v>40050</v>
          </cell>
          <cell r="B402">
            <v>40050</v>
          </cell>
          <cell r="C402" t="str">
            <v>Past</v>
          </cell>
          <cell r="D402">
            <v>45.06</v>
          </cell>
          <cell r="E402" t="e">
            <v>#N/A</v>
          </cell>
          <cell r="F402" t="e">
            <v>#N/A</v>
          </cell>
          <cell r="G402" t="e">
            <v>#N/A</v>
          </cell>
          <cell r="H402" t="e">
            <v>#N/A</v>
          </cell>
          <cell r="I402" t="e">
            <v>#N/A</v>
          </cell>
          <cell r="J402" t="e">
            <v>#N/A</v>
          </cell>
          <cell r="K402" t="e">
            <v>#N/A</v>
          </cell>
          <cell r="L402" t="e">
            <v>#N/A</v>
          </cell>
          <cell r="M402" t="e">
            <v>#N/A</v>
          </cell>
          <cell r="N402" t="e">
            <v>#N/A</v>
          </cell>
          <cell r="O402" t="e">
            <v>#N/A</v>
          </cell>
          <cell r="P402">
            <v>45.06</v>
          </cell>
          <cell r="Q402">
            <v>1.2374669999999999</v>
          </cell>
          <cell r="R402" t="e">
            <v>#N/A</v>
          </cell>
        </row>
        <row r="403">
          <cell r="A403">
            <v>40051</v>
          </cell>
          <cell r="B403">
            <v>40051</v>
          </cell>
          <cell r="C403" t="str">
            <v>Past</v>
          </cell>
          <cell r="D403">
            <v>44.99</v>
          </cell>
          <cell r="E403" t="e">
            <v>#N/A</v>
          </cell>
          <cell r="F403" t="e">
            <v>#N/A</v>
          </cell>
          <cell r="G403" t="e">
            <v>#N/A</v>
          </cell>
          <cell r="H403" t="e">
            <v>#N/A</v>
          </cell>
          <cell r="I403" t="e">
            <v>#N/A</v>
          </cell>
          <cell r="J403" t="e">
            <v>#N/A</v>
          </cell>
          <cell r="K403" t="e">
            <v>#N/A</v>
          </cell>
          <cell r="L403" t="e">
            <v>#N/A</v>
          </cell>
          <cell r="M403" t="e">
            <v>#N/A</v>
          </cell>
          <cell r="N403" t="e">
            <v>#N/A</v>
          </cell>
          <cell r="O403" t="e">
            <v>#N/A</v>
          </cell>
          <cell r="P403">
            <v>44.99</v>
          </cell>
          <cell r="Q403">
            <v>0.85366599999999992</v>
          </cell>
          <cell r="R403" t="e">
            <v>#N/A</v>
          </cell>
        </row>
        <row r="404">
          <cell r="A404">
            <v>40052</v>
          </cell>
          <cell r="B404">
            <v>40052</v>
          </cell>
          <cell r="C404" t="str">
            <v>Past</v>
          </cell>
          <cell r="D404">
            <v>46.53</v>
          </cell>
          <cell r="E404" t="e">
            <v>#N/A</v>
          </cell>
          <cell r="F404" t="e">
            <v>#N/A</v>
          </cell>
          <cell r="G404" t="e">
            <v>#N/A</v>
          </cell>
          <cell r="H404" t="e">
            <v>#N/A</v>
          </cell>
          <cell r="I404" t="e">
            <v>#N/A</v>
          </cell>
          <cell r="J404" t="e">
            <v>#N/A</v>
          </cell>
          <cell r="K404" t="e">
            <v>#N/A</v>
          </cell>
          <cell r="L404" t="e">
            <v>#N/A</v>
          </cell>
          <cell r="M404" t="e">
            <v>#N/A</v>
          </cell>
          <cell r="N404" t="e">
            <v>#N/A</v>
          </cell>
          <cell r="O404" t="e">
            <v>#N/A</v>
          </cell>
          <cell r="P404">
            <v>46.53</v>
          </cell>
          <cell r="Q404">
            <v>1.4525800000000002</v>
          </cell>
          <cell r="R404" t="e">
            <v>#N/A</v>
          </cell>
        </row>
        <row r="405">
          <cell r="A405">
            <v>40053</v>
          </cell>
          <cell r="B405">
            <v>40053</v>
          </cell>
          <cell r="C405" t="str">
            <v>Past</v>
          </cell>
          <cell r="D405">
            <v>46.3</v>
          </cell>
          <cell r="E405" t="e">
            <v>#N/A</v>
          </cell>
          <cell r="F405" t="e">
            <v>#N/A</v>
          </cell>
          <cell r="G405" t="e">
            <v>#N/A</v>
          </cell>
          <cell r="H405" t="e">
            <v>#N/A</v>
          </cell>
          <cell r="I405" t="e">
            <v>#N/A</v>
          </cell>
          <cell r="J405" t="e">
            <v>#N/A</v>
          </cell>
          <cell r="K405" t="e">
            <v>#N/A</v>
          </cell>
          <cell r="L405" t="e">
            <v>#N/A</v>
          </cell>
          <cell r="M405" t="e">
            <v>#N/A</v>
          </cell>
          <cell r="N405" t="e">
            <v>#N/A</v>
          </cell>
          <cell r="O405" t="e">
            <v>#N/A</v>
          </cell>
          <cell r="P405">
            <v>46.3</v>
          </cell>
          <cell r="Q405">
            <v>0.83061200000000002</v>
          </cell>
          <cell r="R405" t="e">
            <v>#N/A</v>
          </cell>
        </row>
        <row r="406">
          <cell r="A406">
            <v>40056</v>
          </cell>
          <cell r="B406">
            <v>40056</v>
          </cell>
          <cell r="C406" t="str">
            <v>Past</v>
          </cell>
          <cell r="D406">
            <v>46.04</v>
          </cell>
          <cell r="E406" t="e">
            <v>#N/A</v>
          </cell>
          <cell r="F406" t="e">
            <v>#N/A</v>
          </cell>
          <cell r="G406" t="e">
            <v>#N/A</v>
          </cell>
          <cell r="H406" t="e">
            <v>#N/A</v>
          </cell>
          <cell r="I406" t="e">
            <v>#N/A</v>
          </cell>
          <cell r="J406" t="e">
            <v>#N/A</v>
          </cell>
          <cell r="K406" t="e">
            <v>#N/A</v>
          </cell>
          <cell r="L406" t="e">
            <v>#N/A</v>
          </cell>
          <cell r="M406" t="e">
            <v>#N/A</v>
          </cell>
          <cell r="N406" t="e">
            <v>#N/A</v>
          </cell>
          <cell r="O406" t="e">
            <v>#N/A</v>
          </cell>
          <cell r="P406">
            <v>46.04</v>
          </cell>
          <cell r="Q406">
            <v>0.78754399999999991</v>
          </cell>
          <cell r="R406" t="e">
            <v>#N/A</v>
          </cell>
        </row>
        <row r="407">
          <cell r="A407">
            <v>40057</v>
          </cell>
          <cell r="B407">
            <v>40057</v>
          </cell>
          <cell r="C407" t="str">
            <v>Past</v>
          </cell>
          <cell r="D407">
            <v>45.7</v>
          </cell>
          <cell r="E407" t="e">
            <v>#N/A</v>
          </cell>
          <cell r="F407" t="e">
            <v>#N/A</v>
          </cell>
          <cell r="G407" t="e">
            <v>#N/A</v>
          </cell>
          <cell r="H407" t="e">
            <v>#N/A</v>
          </cell>
          <cell r="I407" t="e">
            <v>#N/A</v>
          </cell>
          <cell r="J407" t="e">
            <v>#N/A</v>
          </cell>
          <cell r="K407" t="e">
            <v>#N/A</v>
          </cell>
          <cell r="L407" t="e">
            <v>#N/A</v>
          </cell>
          <cell r="M407" t="e">
            <v>#N/A</v>
          </cell>
          <cell r="N407" t="e">
            <v>#N/A</v>
          </cell>
          <cell r="O407" t="e">
            <v>#N/A</v>
          </cell>
          <cell r="P407">
            <v>45.7</v>
          </cell>
          <cell r="Q407">
            <v>1.3501859999999999</v>
          </cell>
          <cell r="R407" t="e">
            <v>#N/A</v>
          </cell>
        </row>
        <row r="408">
          <cell r="A408">
            <v>40058</v>
          </cell>
          <cell r="B408">
            <v>40058</v>
          </cell>
          <cell r="C408" t="str">
            <v>Past</v>
          </cell>
          <cell r="D408">
            <v>45.46</v>
          </cell>
          <cell r="E408" t="e">
            <v>#N/A</v>
          </cell>
          <cell r="F408" t="e">
            <v>#N/A</v>
          </cell>
          <cell r="G408" t="e">
            <v>#N/A</v>
          </cell>
          <cell r="H408" t="e">
            <v>#N/A</v>
          </cell>
          <cell r="I408" t="e">
            <v>#N/A</v>
          </cell>
          <cell r="J408" t="e">
            <v>#N/A</v>
          </cell>
          <cell r="K408" t="e">
            <v>#N/A</v>
          </cell>
          <cell r="L408" t="e">
            <v>#N/A</v>
          </cell>
          <cell r="M408" t="e">
            <v>#N/A</v>
          </cell>
          <cell r="N408" t="e">
            <v>#N/A</v>
          </cell>
          <cell r="O408" t="e">
            <v>#N/A</v>
          </cell>
          <cell r="P408">
            <v>45.46</v>
          </cell>
          <cell r="Q408">
            <v>1.899551</v>
          </cell>
          <cell r="R408" t="e">
            <v>#N/A</v>
          </cell>
        </row>
        <row r="409">
          <cell r="A409">
            <v>40059</v>
          </cell>
          <cell r="B409">
            <v>40059</v>
          </cell>
          <cell r="C409" t="str">
            <v>Past</v>
          </cell>
          <cell r="D409">
            <v>45.21</v>
          </cell>
          <cell r="E409" t="e">
            <v>#N/A</v>
          </cell>
          <cell r="F409" t="e">
            <v>#N/A</v>
          </cell>
          <cell r="G409" t="e">
            <v>#N/A</v>
          </cell>
          <cell r="H409" t="e">
            <v>#N/A</v>
          </cell>
          <cell r="I409" t="e">
            <v>#N/A</v>
          </cell>
          <cell r="J409" t="e">
            <v>#N/A</v>
          </cell>
          <cell r="K409" t="e">
            <v>#N/A</v>
          </cell>
          <cell r="L409" t="e">
            <v>#N/A</v>
          </cell>
          <cell r="M409" t="e">
            <v>#N/A</v>
          </cell>
          <cell r="N409" t="e">
            <v>#N/A</v>
          </cell>
          <cell r="O409" t="e">
            <v>#N/A</v>
          </cell>
          <cell r="P409">
            <v>45.21</v>
          </cell>
          <cell r="Q409">
            <v>1.3078259999999999</v>
          </cell>
          <cell r="R409" t="e">
            <v>#N/A</v>
          </cell>
        </row>
        <row r="410">
          <cell r="A410">
            <v>40060</v>
          </cell>
          <cell r="B410">
            <v>40060</v>
          </cell>
          <cell r="C410" t="str">
            <v>Past</v>
          </cell>
          <cell r="D410">
            <v>46.25</v>
          </cell>
          <cell r="E410" t="e">
            <v>#N/A</v>
          </cell>
          <cell r="F410" t="e">
            <v>#N/A</v>
          </cell>
          <cell r="G410" t="e">
            <v>#N/A</v>
          </cell>
          <cell r="H410" t="e">
            <v>#N/A</v>
          </cell>
          <cell r="I410" t="e">
            <v>#N/A</v>
          </cell>
          <cell r="J410" t="e">
            <v>#N/A</v>
          </cell>
          <cell r="K410" t="e">
            <v>#N/A</v>
          </cell>
          <cell r="L410" t="e">
            <v>#N/A</v>
          </cell>
          <cell r="M410" t="e">
            <v>#N/A</v>
          </cell>
          <cell r="N410" t="e">
            <v>#N/A</v>
          </cell>
          <cell r="O410" t="e">
            <v>#N/A</v>
          </cell>
          <cell r="P410">
            <v>46.25</v>
          </cell>
          <cell r="Q410">
            <v>1.049628</v>
          </cell>
          <cell r="R410" t="e">
            <v>#N/A</v>
          </cell>
        </row>
        <row r="411">
          <cell r="A411">
            <v>40064</v>
          </cell>
          <cell r="B411">
            <v>40064</v>
          </cell>
          <cell r="C411" t="str">
            <v>Past</v>
          </cell>
          <cell r="D411">
            <v>46.98</v>
          </cell>
          <cell r="E411" t="e">
            <v>#N/A</v>
          </cell>
          <cell r="F411" t="e">
            <v>#N/A</v>
          </cell>
          <cell r="G411" t="e">
            <v>#N/A</v>
          </cell>
          <cell r="H411" t="e">
            <v>#N/A</v>
          </cell>
          <cell r="I411" t="e">
            <v>#N/A</v>
          </cell>
          <cell r="J411" t="e">
            <v>#N/A</v>
          </cell>
          <cell r="K411" t="e">
            <v>#N/A</v>
          </cell>
          <cell r="L411" t="e">
            <v>#N/A</v>
          </cell>
          <cell r="M411" t="e">
            <v>#N/A</v>
          </cell>
          <cell r="N411" t="e">
            <v>#N/A</v>
          </cell>
          <cell r="O411" t="e">
            <v>#N/A</v>
          </cell>
          <cell r="P411">
            <v>46.98</v>
          </cell>
          <cell r="Q411">
            <v>1.187295</v>
          </cell>
          <cell r="R411" t="e">
            <v>#N/A</v>
          </cell>
        </row>
        <row r="412">
          <cell r="A412">
            <v>40065</v>
          </cell>
          <cell r="B412">
            <v>40065</v>
          </cell>
          <cell r="C412" t="str">
            <v>Past</v>
          </cell>
          <cell r="D412">
            <v>47.3</v>
          </cell>
          <cell r="E412" t="e">
            <v>#N/A</v>
          </cell>
          <cell r="F412" t="e">
            <v>#N/A</v>
          </cell>
          <cell r="G412" t="e">
            <v>#N/A</v>
          </cell>
          <cell r="H412" t="e">
            <v>#N/A</v>
          </cell>
          <cell r="I412" t="e">
            <v>#N/A</v>
          </cell>
          <cell r="J412" t="e">
            <v>#N/A</v>
          </cell>
          <cell r="K412" t="e">
            <v>#N/A</v>
          </cell>
          <cell r="L412" t="e">
            <v>#N/A</v>
          </cell>
          <cell r="M412" t="e">
            <v>#N/A</v>
          </cell>
          <cell r="N412" t="e">
            <v>#N/A</v>
          </cell>
          <cell r="O412" t="e">
            <v>#N/A</v>
          </cell>
          <cell r="P412">
            <v>47.3</v>
          </cell>
          <cell r="Q412">
            <v>0.80767199999999995</v>
          </cell>
          <cell r="R412" t="e">
            <v>#N/A</v>
          </cell>
        </row>
        <row r="413">
          <cell r="A413">
            <v>40066</v>
          </cell>
          <cell r="B413">
            <v>40066</v>
          </cell>
          <cell r="C413" t="str">
            <v>Past</v>
          </cell>
          <cell r="D413">
            <v>48</v>
          </cell>
          <cell r="E413" t="e">
            <v>#N/A</v>
          </cell>
          <cell r="F413" t="e">
            <v>#N/A</v>
          </cell>
          <cell r="G413" t="e">
            <v>#N/A</v>
          </cell>
          <cell r="H413" t="e">
            <v>#N/A</v>
          </cell>
          <cell r="I413" t="e">
            <v>#N/A</v>
          </cell>
          <cell r="J413" t="e">
            <v>#N/A</v>
          </cell>
          <cell r="K413" t="e">
            <v>#N/A</v>
          </cell>
          <cell r="L413" t="e">
            <v>#N/A</v>
          </cell>
          <cell r="M413" t="e">
            <v>#N/A</v>
          </cell>
          <cell r="N413" t="e">
            <v>#N/A</v>
          </cell>
          <cell r="O413" t="e">
            <v>#N/A</v>
          </cell>
          <cell r="P413">
            <v>48</v>
          </cell>
          <cell r="Q413">
            <v>1.0735440000000001</v>
          </cell>
          <cell r="R413" t="e">
            <v>#N/A</v>
          </cell>
        </row>
        <row r="414">
          <cell r="A414">
            <v>40067</v>
          </cell>
          <cell r="B414">
            <v>40067</v>
          </cell>
          <cell r="C414" t="str">
            <v>Past</v>
          </cell>
          <cell r="D414">
            <v>48.57</v>
          </cell>
          <cell r="E414" t="e">
            <v>#N/A</v>
          </cell>
          <cell r="F414" t="e">
            <v>#N/A</v>
          </cell>
          <cell r="G414" t="e">
            <v>#N/A</v>
          </cell>
          <cell r="H414" t="e">
            <v>#N/A</v>
          </cell>
          <cell r="I414" t="e">
            <v>#N/A</v>
          </cell>
          <cell r="J414" t="e">
            <v>#N/A</v>
          </cell>
          <cell r="K414" t="e">
            <v>#N/A</v>
          </cell>
          <cell r="L414" t="e">
            <v>#N/A</v>
          </cell>
          <cell r="M414" t="e">
            <v>#N/A</v>
          </cell>
          <cell r="N414" t="e">
            <v>#N/A</v>
          </cell>
          <cell r="O414" t="e">
            <v>#N/A</v>
          </cell>
          <cell r="P414">
            <v>48.57</v>
          </cell>
          <cell r="Q414">
            <v>1.183524</v>
          </cell>
          <cell r="R414" t="e">
            <v>#N/A</v>
          </cell>
        </row>
        <row r="415">
          <cell r="A415">
            <v>40070</v>
          </cell>
          <cell r="B415">
            <v>40070</v>
          </cell>
          <cell r="C415" t="str">
            <v>Past</v>
          </cell>
          <cell r="D415">
            <v>48.52</v>
          </cell>
          <cell r="E415" t="e">
            <v>#N/A</v>
          </cell>
          <cell r="F415" t="e">
            <v>#N/A</v>
          </cell>
          <cell r="G415" t="e">
            <v>#N/A</v>
          </cell>
          <cell r="H415" t="e">
            <v>#N/A</v>
          </cell>
          <cell r="I415" t="e">
            <v>#N/A</v>
          </cell>
          <cell r="J415" t="e">
            <v>#N/A</v>
          </cell>
          <cell r="K415" t="e">
            <v>#N/A</v>
          </cell>
          <cell r="L415" t="e">
            <v>#N/A</v>
          </cell>
          <cell r="M415" t="e">
            <v>#N/A</v>
          </cell>
          <cell r="N415" t="e">
            <v>#N/A</v>
          </cell>
          <cell r="O415" t="e">
            <v>#N/A</v>
          </cell>
          <cell r="P415">
            <v>48.52</v>
          </cell>
          <cell r="Q415">
            <v>1.076317</v>
          </cell>
          <cell r="R415" t="e">
            <v>#N/A</v>
          </cell>
        </row>
        <row r="416">
          <cell r="A416">
            <v>40071</v>
          </cell>
          <cell r="B416">
            <v>40071</v>
          </cell>
          <cell r="C416" t="str">
            <v>Past</v>
          </cell>
          <cell r="D416">
            <v>48.62</v>
          </cell>
          <cell r="E416" t="e">
            <v>#N/A</v>
          </cell>
          <cell r="F416" t="e">
            <v>#N/A</v>
          </cell>
          <cell r="G416" t="e">
            <v>#N/A</v>
          </cell>
          <cell r="H416" t="e">
            <v>#N/A</v>
          </cell>
          <cell r="I416" t="e">
            <v>#N/A</v>
          </cell>
          <cell r="J416" t="e">
            <v>#N/A</v>
          </cell>
          <cell r="K416" t="e">
            <v>#N/A</v>
          </cell>
          <cell r="L416" t="e">
            <v>#N/A</v>
          </cell>
          <cell r="M416" t="e">
            <v>#N/A</v>
          </cell>
          <cell r="N416" t="e">
            <v>#N/A</v>
          </cell>
          <cell r="O416" t="e">
            <v>#N/A</v>
          </cell>
          <cell r="P416">
            <v>48.62</v>
          </cell>
          <cell r="Q416">
            <v>1.2912509999999999</v>
          </cell>
          <cell r="R416" t="e">
            <v>#N/A</v>
          </cell>
        </row>
        <row r="417">
          <cell r="A417">
            <v>40072</v>
          </cell>
          <cell r="B417">
            <v>40072</v>
          </cell>
          <cell r="C417" t="str">
            <v>Past</v>
          </cell>
          <cell r="D417">
            <v>48.74</v>
          </cell>
          <cell r="E417" t="e">
            <v>#N/A</v>
          </cell>
          <cell r="F417" t="e">
            <v>#N/A</v>
          </cell>
          <cell r="G417" t="e">
            <v>#N/A</v>
          </cell>
          <cell r="H417" t="e">
            <v>#N/A</v>
          </cell>
          <cell r="I417" t="e">
            <v>#N/A</v>
          </cell>
          <cell r="J417" t="e">
            <v>#N/A</v>
          </cell>
          <cell r="K417" t="e">
            <v>#N/A</v>
          </cell>
          <cell r="L417" t="e">
            <v>#N/A</v>
          </cell>
          <cell r="M417" t="e">
            <v>#N/A</v>
          </cell>
          <cell r="N417" t="e">
            <v>#N/A</v>
          </cell>
          <cell r="O417" t="e">
            <v>#N/A</v>
          </cell>
          <cell r="P417">
            <v>48.74</v>
          </cell>
          <cell r="Q417">
            <v>1.2986169999999999</v>
          </cell>
          <cell r="R417" t="e">
            <v>#N/A</v>
          </cell>
        </row>
        <row r="418">
          <cell r="A418">
            <v>40073</v>
          </cell>
          <cell r="B418">
            <v>40073</v>
          </cell>
          <cell r="C418" t="str">
            <v>Past</v>
          </cell>
          <cell r="D418">
            <v>50.58</v>
          </cell>
          <cell r="E418" t="e">
            <v>#N/A</v>
          </cell>
          <cell r="F418" t="e">
            <v>#N/A</v>
          </cell>
          <cell r="G418" t="e">
            <v>#N/A</v>
          </cell>
          <cell r="H418" t="e">
            <v>#N/A</v>
          </cell>
          <cell r="I418" t="e">
            <v>#N/A</v>
          </cell>
          <cell r="J418" t="e">
            <v>#N/A</v>
          </cell>
          <cell r="K418" t="e">
            <v>#N/A</v>
          </cell>
          <cell r="L418" t="e">
            <v>#N/A</v>
          </cell>
          <cell r="M418" t="e">
            <v>#N/A</v>
          </cell>
          <cell r="N418" t="e">
            <v>#N/A</v>
          </cell>
          <cell r="O418" t="e">
            <v>#N/A</v>
          </cell>
          <cell r="P418">
            <v>50.58</v>
          </cell>
          <cell r="Q418">
            <v>2.638166</v>
          </cell>
          <cell r="R418" t="e">
            <v>#N/A</v>
          </cell>
        </row>
        <row r="419">
          <cell r="A419">
            <v>40074</v>
          </cell>
          <cell r="B419">
            <v>40074</v>
          </cell>
          <cell r="C419" t="str">
            <v>Past</v>
          </cell>
          <cell r="D419">
            <v>51.1</v>
          </cell>
          <cell r="E419" t="e">
            <v>#N/A</v>
          </cell>
          <cell r="F419" t="e">
            <v>#N/A</v>
          </cell>
          <cell r="G419" t="e">
            <v>#N/A</v>
          </cell>
          <cell r="H419" t="e">
            <v>#N/A</v>
          </cell>
          <cell r="I419" t="e">
            <v>#N/A</v>
          </cell>
          <cell r="J419" t="e">
            <v>#N/A</v>
          </cell>
          <cell r="K419" t="e">
            <v>#N/A</v>
          </cell>
          <cell r="L419" t="e">
            <v>#N/A</v>
          </cell>
          <cell r="M419" t="e">
            <v>#N/A</v>
          </cell>
          <cell r="N419" t="e">
            <v>#N/A</v>
          </cell>
          <cell r="O419" t="e">
            <v>#N/A</v>
          </cell>
          <cell r="P419">
            <v>51.1</v>
          </cell>
          <cell r="Q419">
            <v>1.7797829999999999</v>
          </cell>
          <cell r="R419" t="e">
            <v>#N/A</v>
          </cell>
        </row>
        <row r="420">
          <cell r="A420">
            <v>40077</v>
          </cell>
          <cell r="B420">
            <v>40077</v>
          </cell>
          <cell r="C420" t="str">
            <v>Past</v>
          </cell>
          <cell r="D420">
            <v>50.7</v>
          </cell>
          <cell r="E420" t="e">
            <v>#N/A</v>
          </cell>
          <cell r="F420" t="e">
            <v>#N/A</v>
          </cell>
          <cell r="G420" t="e">
            <v>#N/A</v>
          </cell>
          <cell r="H420" t="e">
            <v>#N/A</v>
          </cell>
          <cell r="I420" t="e">
            <v>#N/A</v>
          </cell>
          <cell r="J420" t="e">
            <v>#N/A</v>
          </cell>
          <cell r="K420" t="e">
            <v>#N/A</v>
          </cell>
          <cell r="L420" t="e">
            <v>#N/A</v>
          </cell>
          <cell r="M420" t="e">
            <v>#N/A</v>
          </cell>
          <cell r="N420" t="e">
            <v>#N/A</v>
          </cell>
          <cell r="O420" t="e">
            <v>#N/A</v>
          </cell>
          <cell r="P420">
            <v>50.7</v>
          </cell>
          <cell r="Q420">
            <v>0.85854699999999995</v>
          </cell>
          <cell r="R420" t="e">
            <v>#N/A</v>
          </cell>
        </row>
        <row r="421">
          <cell r="A421">
            <v>40078</v>
          </cell>
          <cell r="B421">
            <v>40078</v>
          </cell>
          <cell r="C421" t="str">
            <v>Past</v>
          </cell>
          <cell r="D421">
            <v>51.14</v>
          </cell>
          <cell r="E421" t="e">
            <v>#N/A</v>
          </cell>
          <cell r="F421" t="e">
            <v>#N/A</v>
          </cell>
          <cell r="G421" t="e">
            <v>#N/A</v>
          </cell>
          <cell r="H421" t="e">
            <v>#N/A</v>
          </cell>
          <cell r="I421" t="e">
            <v>#N/A</v>
          </cell>
          <cell r="J421" t="e">
            <v>#N/A</v>
          </cell>
          <cell r="K421" t="e">
            <v>#N/A</v>
          </cell>
          <cell r="L421" t="e">
            <v>#N/A</v>
          </cell>
          <cell r="M421" t="e">
            <v>#N/A</v>
          </cell>
          <cell r="N421" t="e">
            <v>#N/A</v>
          </cell>
          <cell r="O421" t="e">
            <v>#N/A</v>
          </cell>
          <cell r="P421">
            <v>51.14</v>
          </cell>
          <cell r="Q421">
            <v>0.74488599999999994</v>
          </cell>
          <cell r="R421" t="e">
            <v>#N/A</v>
          </cell>
        </row>
        <row r="422">
          <cell r="A422">
            <v>40079</v>
          </cell>
          <cell r="B422">
            <v>40079</v>
          </cell>
          <cell r="C422" t="str">
            <v>Past</v>
          </cell>
          <cell r="D422">
            <v>50.38</v>
          </cell>
          <cell r="E422" t="e">
            <v>#N/A</v>
          </cell>
          <cell r="F422" t="e">
            <v>#N/A</v>
          </cell>
          <cell r="G422" t="e">
            <v>#N/A</v>
          </cell>
          <cell r="H422" t="e">
            <v>#N/A</v>
          </cell>
          <cell r="I422" t="e">
            <v>#N/A</v>
          </cell>
          <cell r="J422" t="e">
            <v>#N/A</v>
          </cell>
          <cell r="K422" t="e">
            <v>#N/A</v>
          </cell>
          <cell r="L422" t="e">
            <v>#N/A</v>
          </cell>
          <cell r="M422" t="e">
            <v>#N/A</v>
          </cell>
          <cell r="N422" t="e">
            <v>#N/A</v>
          </cell>
          <cell r="O422" t="e">
            <v>#N/A</v>
          </cell>
          <cell r="P422">
            <v>50.38</v>
          </cell>
          <cell r="Q422">
            <v>0.68732499999999996</v>
          </cell>
          <cell r="R422" t="e">
            <v>#N/A</v>
          </cell>
        </row>
        <row r="423">
          <cell r="A423">
            <v>40080</v>
          </cell>
          <cell r="B423">
            <v>40080</v>
          </cell>
          <cell r="C423" t="str">
            <v>Past</v>
          </cell>
          <cell r="D423">
            <v>49.79</v>
          </cell>
          <cell r="E423" t="e">
            <v>#N/A</v>
          </cell>
          <cell r="F423" t="e">
            <v>#N/A</v>
          </cell>
          <cell r="G423" t="e">
            <v>#N/A</v>
          </cell>
          <cell r="H423" t="e">
            <v>#N/A</v>
          </cell>
          <cell r="I423" t="e">
            <v>#N/A</v>
          </cell>
          <cell r="J423" t="e">
            <v>#N/A</v>
          </cell>
          <cell r="K423" t="e">
            <v>#N/A</v>
          </cell>
          <cell r="L423" t="e">
            <v>#N/A</v>
          </cell>
          <cell r="M423" t="e">
            <v>#N/A</v>
          </cell>
          <cell r="N423" t="e">
            <v>#N/A</v>
          </cell>
          <cell r="O423" t="e">
            <v>#N/A</v>
          </cell>
          <cell r="P423">
            <v>49.79</v>
          </cell>
          <cell r="Q423">
            <v>0.85015000000000007</v>
          </cell>
          <cell r="R423" t="e">
            <v>#N/A</v>
          </cell>
        </row>
        <row r="424">
          <cell r="A424">
            <v>40081</v>
          </cell>
          <cell r="B424">
            <v>40081</v>
          </cell>
          <cell r="C424" t="str">
            <v>Past</v>
          </cell>
          <cell r="D424">
            <v>49.34</v>
          </cell>
          <cell r="E424" t="e">
            <v>#N/A</v>
          </cell>
          <cell r="F424" t="e">
            <v>#N/A</v>
          </cell>
          <cell r="G424" t="e">
            <v>#N/A</v>
          </cell>
          <cell r="H424" t="e">
            <v>#N/A</v>
          </cell>
          <cell r="I424" t="e">
            <v>#N/A</v>
          </cell>
          <cell r="J424" t="e">
            <v>#N/A</v>
          </cell>
          <cell r="K424" t="e">
            <v>#N/A</v>
          </cell>
          <cell r="L424" t="e">
            <v>#N/A</v>
          </cell>
          <cell r="M424" t="e">
            <v>#N/A</v>
          </cell>
          <cell r="N424" t="e">
            <v>#N/A</v>
          </cell>
          <cell r="O424" t="e">
            <v>#N/A</v>
          </cell>
          <cell r="P424">
            <v>49.34</v>
          </cell>
          <cell r="Q424">
            <v>1.657</v>
          </cell>
          <cell r="R424" t="e">
            <v>#N/A</v>
          </cell>
        </row>
        <row r="425">
          <cell r="A425">
            <v>40084</v>
          </cell>
          <cell r="B425">
            <v>40084</v>
          </cell>
          <cell r="C425" t="str">
            <v>Past</v>
          </cell>
          <cell r="D425">
            <v>50.46</v>
          </cell>
          <cell r="E425" t="e">
            <v>#N/A</v>
          </cell>
          <cell r="F425" t="e">
            <v>#N/A</v>
          </cell>
          <cell r="G425" t="e">
            <v>#N/A</v>
          </cell>
          <cell r="H425" t="e">
            <v>#N/A</v>
          </cell>
          <cell r="I425" t="e">
            <v>#N/A</v>
          </cell>
          <cell r="J425" t="e">
            <v>#N/A</v>
          </cell>
          <cell r="K425" t="e">
            <v>#N/A</v>
          </cell>
          <cell r="L425" t="e">
            <v>#N/A</v>
          </cell>
          <cell r="M425" t="e">
            <v>#N/A</v>
          </cell>
          <cell r="N425" t="e">
            <v>#N/A</v>
          </cell>
          <cell r="O425" t="e">
            <v>#N/A</v>
          </cell>
          <cell r="P425">
            <v>50.46</v>
          </cell>
          <cell r="Q425">
            <v>1.054549</v>
          </cell>
          <cell r="R425" t="e">
            <v>#N/A</v>
          </cell>
        </row>
        <row r="426">
          <cell r="A426">
            <v>40085</v>
          </cell>
          <cell r="B426">
            <v>40085</v>
          </cell>
          <cell r="C426" t="str">
            <v>Past</v>
          </cell>
          <cell r="D426">
            <v>50.63</v>
          </cell>
          <cell r="E426" t="e">
            <v>#N/A</v>
          </cell>
          <cell r="F426" t="e">
            <v>#N/A</v>
          </cell>
          <cell r="G426" t="e">
            <v>#N/A</v>
          </cell>
          <cell r="H426" t="e">
            <v>#N/A</v>
          </cell>
          <cell r="I426" t="e">
            <v>#N/A</v>
          </cell>
          <cell r="J426" t="e">
            <v>#N/A</v>
          </cell>
          <cell r="K426" t="e">
            <v>#N/A</v>
          </cell>
          <cell r="L426" t="e">
            <v>#N/A</v>
          </cell>
          <cell r="M426" t="e">
            <v>#N/A</v>
          </cell>
          <cell r="N426" t="e">
            <v>#N/A</v>
          </cell>
          <cell r="O426" t="e">
            <v>#N/A</v>
          </cell>
          <cell r="P426">
            <v>50.63</v>
          </cell>
          <cell r="Q426">
            <v>0.90181499999999992</v>
          </cell>
          <cell r="R426" t="e">
            <v>#N/A</v>
          </cell>
        </row>
        <row r="427">
          <cell r="A427">
            <v>40086</v>
          </cell>
          <cell r="B427">
            <v>40086</v>
          </cell>
          <cell r="C427" t="str">
            <v>Past</v>
          </cell>
          <cell r="D427">
            <v>50.8</v>
          </cell>
          <cell r="E427" t="e">
            <v>#N/A</v>
          </cell>
          <cell r="F427" t="e">
            <v>#N/A</v>
          </cell>
          <cell r="G427" t="e">
            <v>#N/A</v>
          </cell>
          <cell r="H427" t="e">
            <v>#N/A</v>
          </cell>
          <cell r="I427" t="e">
            <v>#N/A</v>
          </cell>
          <cell r="J427" t="e">
            <v>#N/A</v>
          </cell>
          <cell r="K427" t="e">
            <v>#N/A</v>
          </cell>
          <cell r="L427" t="e">
            <v>#N/A</v>
          </cell>
          <cell r="M427" t="e">
            <v>#N/A</v>
          </cell>
          <cell r="N427" t="e">
            <v>#N/A</v>
          </cell>
          <cell r="O427" t="e">
            <v>#N/A</v>
          </cell>
          <cell r="P427">
            <v>50.8</v>
          </cell>
          <cell r="Q427">
            <v>0.98253599999999996</v>
          </cell>
          <cell r="R427" t="e">
            <v>#N/A</v>
          </cell>
        </row>
        <row r="428">
          <cell r="A428">
            <v>40087</v>
          </cell>
          <cell r="B428">
            <v>40087</v>
          </cell>
          <cell r="C428" t="str">
            <v>Past</v>
          </cell>
          <cell r="D428">
            <v>49</v>
          </cell>
          <cell r="E428" t="e">
            <v>#N/A</v>
          </cell>
          <cell r="F428" t="e">
            <v>#N/A</v>
          </cell>
          <cell r="G428" t="e">
            <v>#N/A</v>
          </cell>
          <cell r="H428" t="e">
            <v>#N/A</v>
          </cell>
          <cell r="I428" t="e">
            <v>#N/A</v>
          </cell>
          <cell r="J428" t="e">
            <v>#N/A</v>
          </cell>
          <cell r="K428" t="e">
            <v>#N/A</v>
          </cell>
          <cell r="L428" t="e">
            <v>#N/A</v>
          </cell>
          <cell r="M428" t="e">
            <v>#N/A</v>
          </cell>
          <cell r="N428" t="e">
            <v>#N/A</v>
          </cell>
          <cell r="O428" t="e">
            <v>#N/A</v>
          </cell>
          <cell r="P428">
            <v>49</v>
          </cell>
          <cell r="Q428">
            <v>0.82640799999999992</v>
          </cell>
          <cell r="R428" t="e">
            <v>#N/A</v>
          </cell>
        </row>
        <row r="429">
          <cell r="A429">
            <v>40088</v>
          </cell>
          <cell r="B429">
            <v>40088</v>
          </cell>
          <cell r="C429" t="str">
            <v>Past</v>
          </cell>
          <cell r="D429">
            <v>48.15</v>
          </cell>
          <cell r="E429" t="e">
            <v>#N/A</v>
          </cell>
          <cell r="F429" t="e">
            <v>#N/A</v>
          </cell>
          <cell r="G429" t="e">
            <v>#N/A</v>
          </cell>
          <cell r="H429" t="e">
            <v>#N/A</v>
          </cell>
          <cell r="I429" t="e">
            <v>#N/A</v>
          </cell>
          <cell r="J429" t="e">
            <v>#N/A</v>
          </cell>
          <cell r="K429" t="e">
            <v>#N/A</v>
          </cell>
          <cell r="L429" t="e">
            <v>#N/A</v>
          </cell>
          <cell r="M429" t="e">
            <v>#N/A</v>
          </cell>
          <cell r="N429" t="e">
            <v>#N/A</v>
          </cell>
          <cell r="O429" t="e">
            <v>#N/A</v>
          </cell>
          <cell r="P429">
            <v>48.15</v>
          </cell>
          <cell r="Q429">
            <v>0.98199700000000001</v>
          </cell>
          <cell r="R429" t="e">
            <v>#N/A</v>
          </cell>
        </row>
        <row r="430">
          <cell r="A430">
            <v>40091</v>
          </cell>
          <cell r="B430">
            <v>40091</v>
          </cell>
          <cell r="C430" t="str">
            <v>Past</v>
          </cell>
          <cell r="D430">
            <v>48.81</v>
          </cell>
          <cell r="E430" t="e">
            <v>#N/A</v>
          </cell>
          <cell r="F430" t="e">
            <v>#N/A</v>
          </cell>
          <cell r="G430" t="e">
            <v>#N/A</v>
          </cell>
          <cell r="H430" t="e">
            <v>#N/A</v>
          </cell>
          <cell r="I430" t="e">
            <v>#N/A</v>
          </cell>
          <cell r="J430" t="e">
            <v>#N/A</v>
          </cell>
          <cell r="K430" t="e">
            <v>#N/A</v>
          </cell>
          <cell r="L430" t="e">
            <v>#N/A</v>
          </cell>
          <cell r="M430" t="e">
            <v>#N/A</v>
          </cell>
          <cell r="N430" t="e">
            <v>#N/A</v>
          </cell>
          <cell r="O430" t="e">
            <v>#N/A</v>
          </cell>
          <cell r="P430">
            <v>48.81</v>
          </cell>
          <cell r="Q430">
            <v>0.73605699999999996</v>
          </cell>
          <cell r="R430" t="e">
            <v>#N/A</v>
          </cell>
        </row>
        <row r="431">
          <cell r="A431">
            <v>40092</v>
          </cell>
          <cell r="B431">
            <v>40092</v>
          </cell>
          <cell r="C431" t="str">
            <v>Past</v>
          </cell>
          <cell r="D431">
            <v>49.99</v>
          </cell>
          <cell r="E431" t="e">
            <v>#N/A</v>
          </cell>
          <cell r="F431" t="e">
            <v>#N/A</v>
          </cell>
          <cell r="G431" t="e">
            <v>#N/A</v>
          </cell>
          <cell r="H431" t="e">
            <v>#N/A</v>
          </cell>
          <cell r="I431" t="e">
            <v>#N/A</v>
          </cell>
          <cell r="J431" t="e">
            <v>#N/A</v>
          </cell>
          <cell r="K431" t="e">
            <v>#N/A</v>
          </cell>
          <cell r="L431" t="e">
            <v>#N/A</v>
          </cell>
          <cell r="M431" t="e">
            <v>#N/A</v>
          </cell>
          <cell r="N431" t="e">
            <v>#N/A</v>
          </cell>
          <cell r="O431" t="e">
            <v>#N/A</v>
          </cell>
          <cell r="P431">
            <v>49.99</v>
          </cell>
          <cell r="Q431">
            <v>1.0131239999999999</v>
          </cell>
          <cell r="R431" t="e">
            <v>#N/A</v>
          </cell>
        </row>
        <row r="432">
          <cell r="A432">
            <v>40093</v>
          </cell>
          <cell r="B432">
            <v>40093</v>
          </cell>
          <cell r="C432" t="str">
            <v>Past</v>
          </cell>
          <cell r="D432">
            <v>49.9</v>
          </cell>
          <cell r="E432" t="e">
            <v>#N/A</v>
          </cell>
          <cell r="F432" t="e">
            <v>#N/A</v>
          </cell>
          <cell r="G432" t="e">
            <v>#N/A</v>
          </cell>
          <cell r="H432" t="e">
            <v>#N/A</v>
          </cell>
          <cell r="I432" t="e">
            <v>#N/A</v>
          </cell>
          <cell r="J432" t="e">
            <v>#N/A</v>
          </cell>
          <cell r="K432" t="e">
            <v>#N/A</v>
          </cell>
          <cell r="L432" t="e">
            <v>#N/A</v>
          </cell>
          <cell r="M432" t="e">
            <v>#N/A</v>
          </cell>
          <cell r="N432" t="e">
            <v>#N/A</v>
          </cell>
          <cell r="O432" t="e">
            <v>#N/A</v>
          </cell>
          <cell r="P432">
            <v>49.9</v>
          </cell>
          <cell r="Q432">
            <v>0.78963499999999998</v>
          </cell>
          <cell r="R432" t="e">
            <v>#N/A</v>
          </cell>
        </row>
        <row r="433">
          <cell r="A433">
            <v>40094</v>
          </cell>
          <cell r="B433">
            <v>40094</v>
          </cell>
          <cell r="C433" t="str">
            <v>Past</v>
          </cell>
          <cell r="D433">
            <v>50.5</v>
          </cell>
          <cell r="E433" t="e">
            <v>#N/A</v>
          </cell>
          <cell r="F433" t="e">
            <v>#N/A</v>
          </cell>
          <cell r="G433" t="e">
            <v>#N/A</v>
          </cell>
          <cell r="H433" t="e">
            <v>#N/A</v>
          </cell>
          <cell r="I433" t="e">
            <v>#N/A</v>
          </cell>
          <cell r="J433" t="e">
            <v>#N/A</v>
          </cell>
          <cell r="K433" t="e">
            <v>#N/A</v>
          </cell>
          <cell r="L433" t="e">
            <v>#N/A</v>
          </cell>
          <cell r="M433" t="e">
            <v>#N/A</v>
          </cell>
          <cell r="N433" t="e">
            <v>#N/A</v>
          </cell>
          <cell r="O433" t="e">
            <v>#N/A</v>
          </cell>
          <cell r="P433">
            <v>50.5</v>
          </cell>
          <cell r="Q433">
            <v>1.1762509999999999</v>
          </cell>
          <cell r="R433" t="e">
            <v>#N/A</v>
          </cell>
        </row>
        <row r="434">
          <cell r="A434">
            <v>40095</v>
          </cell>
          <cell r="B434">
            <v>40095</v>
          </cell>
          <cell r="C434" t="str">
            <v>Past</v>
          </cell>
          <cell r="D434">
            <v>50.99</v>
          </cell>
          <cell r="E434" t="e">
            <v>#N/A</v>
          </cell>
          <cell r="F434" t="e">
            <v>#N/A</v>
          </cell>
          <cell r="G434" t="e">
            <v>#N/A</v>
          </cell>
          <cell r="H434" t="e">
            <v>#N/A</v>
          </cell>
          <cell r="I434" t="e">
            <v>#N/A</v>
          </cell>
          <cell r="J434" t="e">
            <v>#N/A</v>
          </cell>
          <cell r="K434" t="e">
            <v>#N/A</v>
          </cell>
          <cell r="L434" t="e">
            <v>#N/A</v>
          </cell>
          <cell r="M434" t="e">
            <v>#N/A</v>
          </cell>
          <cell r="N434" t="e">
            <v>#N/A</v>
          </cell>
          <cell r="O434" t="e">
            <v>#N/A</v>
          </cell>
          <cell r="P434">
            <v>50.99</v>
          </cell>
          <cell r="Q434">
            <v>0.84274399999999994</v>
          </cell>
          <cell r="R434" t="e">
            <v>#N/A</v>
          </cell>
        </row>
        <row r="435">
          <cell r="A435">
            <v>40098</v>
          </cell>
          <cell r="B435">
            <v>40098</v>
          </cell>
          <cell r="C435" t="str">
            <v>Past</v>
          </cell>
          <cell r="D435">
            <v>51.22</v>
          </cell>
          <cell r="E435" t="e">
            <v>#N/A</v>
          </cell>
          <cell r="F435" t="e">
            <v>#N/A</v>
          </cell>
          <cell r="G435" t="e">
            <v>#N/A</v>
          </cell>
          <cell r="H435" t="e">
            <v>#N/A</v>
          </cell>
          <cell r="I435" t="e">
            <v>#N/A</v>
          </cell>
          <cell r="J435" t="e">
            <v>#N/A</v>
          </cell>
          <cell r="K435" t="e">
            <v>#N/A</v>
          </cell>
          <cell r="L435" t="e">
            <v>#N/A</v>
          </cell>
          <cell r="M435" t="e">
            <v>#N/A</v>
          </cell>
          <cell r="N435" t="e">
            <v>#N/A</v>
          </cell>
          <cell r="O435" t="e">
            <v>#N/A</v>
          </cell>
          <cell r="P435">
            <v>51.22</v>
          </cell>
          <cell r="Q435">
            <v>0.63445099999999999</v>
          </cell>
          <cell r="R435" t="e">
            <v>#N/A</v>
          </cell>
        </row>
        <row r="436">
          <cell r="A436">
            <v>40099</v>
          </cell>
          <cell r="B436">
            <v>40099</v>
          </cell>
          <cell r="C436" t="str">
            <v>Past</v>
          </cell>
          <cell r="D436">
            <v>51.26</v>
          </cell>
          <cell r="E436" t="e">
            <v>#N/A</v>
          </cell>
          <cell r="F436" t="e">
            <v>#N/A</v>
          </cell>
          <cell r="G436" t="e">
            <v>#N/A</v>
          </cell>
          <cell r="H436" t="e">
            <v>#N/A</v>
          </cell>
          <cell r="I436" t="e">
            <v>#N/A</v>
          </cell>
          <cell r="J436" t="e">
            <v>#N/A</v>
          </cell>
          <cell r="K436" t="e">
            <v>#N/A</v>
          </cell>
          <cell r="L436" t="e">
            <v>#N/A</v>
          </cell>
          <cell r="M436" t="e">
            <v>#N/A</v>
          </cell>
          <cell r="N436" t="e">
            <v>#N/A</v>
          </cell>
          <cell r="O436" t="e">
            <v>#N/A</v>
          </cell>
          <cell r="P436">
            <v>51.26</v>
          </cell>
          <cell r="Q436">
            <v>0.80652899999999994</v>
          </cell>
          <cell r="R436" t="e">
            <v>#N/A</v>
          </cell>
        </row>
        <row r="437">
          <cell r="A437">
            <v>40100</v>
          </cell>
          <cell r="B437">
            <v>40100</v>
          </cell>
          <cell r="C437" t="str">
            <v>Past</v>
          </cell>
          <cell r="D437">
            <v>52.28</v>
          </cell>
          <cell r="E437" t="e">
            <v>#N/A</v>
          </cell>
          <cell r="F437" t="e">
            <v>#N/A</v>
          </cell>
          <cell r="G437" t="e">
            <v>#N/A</v>
          </cell>
          <cell r="H437" t="e">
            <v>#N/A</v>
          </cell>
          <cell r="I437" t="e">
            <v>#N/A</v>
          </cell>
          <cell r="J437" t="e">
            <v>#N/A</v>
          </cell>
          <cell r="K437" t="e">
            <v>#N/A</v>
          </cell>
          <cell r="L437" t="e">
            <v>#N/A</v>
          </cell>
          <cell r="M437" t="e">
            <v>#N/A</v>
          </cell>
          <cell r="N437" t="e">
            <v>#N/A</v>
          </cell>
          <cell r="O437" t="e">
            <v>#N/A</v>
          </cell>
          <cell r="P437">
            <v>52.28</v>
          </cell>
          <cell r="Q437">
            <v>0.71342499999999998</v>
          </cell>
          <cell r="R437" t="e">
            <v>#N/A</v>
          </cell>
        </row>
        <row r="438">
          <cell r="A438">
            <v>40101</v>
          </cell>
          <cell r="B438">
            <v>40101</v>
          </cell>
          <cell r="C438" t="str">
            <v>Past</v>
          </cell>
          <cell r="D438">
            <v>52.05</v>
          </cell>
          <cell r="E438" t="e">
            <v>#N/A</v>
          </cell>
          <cell r="F438" t="e">
            <v>#N/A</v>
          </cell>
          <cell r="G438" t="e">
            <v>#N/A</v>
          </cell>
          <cell r="H438" t="e">
            <v>#N/A</v>
          </cell>
          <cell r="I438" t="e">
            <v>#N/A</v>
          </cell>
          <cell r="J438" t="e">
            <v>#N/A</v>
          </cell>
          <cell r="K438" t="e">
            <v>#N/A</v>
          </cell>
          <cell r="L438" t="e">
            <v>#N/A</v>
          </cell>
          <cell r="M438" t="e">
            <v>#N/A</v>
          </cell>
          <cell r="N438" t="e">
            <v>#N/A</v>
          </cell>
          <cell r="O438" t="e">
            <v>#N/A</v>
          </cell>
          <cell r="P438">
            <v>52.05</v>
          </cell>
          <cell r="Q438">
            <v>0.74092599999999997</v>
          </cell>
          <cell r="R438" t="e">
            <v>#N/A</v>
          </cell>
        </row>
        <row r="439">
          <cell r="A439">
            <v>40102</v>
          </cell>
          <cell r="B439">
            <v>40102</v>
          </cell>
          <cell r="C439" t="str">
            <v>Past</v>
          </cell>
          <cell r="D439">
            <v>52.22</v>
          </cell>
          <cell r="E439" t="e">
            <v>#N/A</v>
          </cell>
          <cell r="F439" t="e">
            <v>#N/A</v>
          </cell>
          <cell r="G439" t="e">
            <v>#N/A</v>
          </cell>
          <cell r="H439" t="e">
            <v>#N/A</v>
          </cell>
          <cell r="I439" t="e">
            <v>#N/A</v>
          </cell>
          <cell r="J439" t="e">
            <v>#N/A</v>
          </cell>
          <cell r="K439" t="e">
            <v>#N/A</v>
          </cell>
          <cell r="L439" t="e">
            <v>#N/A</v>
          </cell>
          <cell r="M439" t="e">
            <v>#N/A</v>
          </cell>
          <cell r="N439" t="e">
            <v>#N/A</v>
          </cell>
          <cell r="O439" t="e">
            <v>#N/A</v>
          </cell>
          <cell r="P439">
            <v>52.22</v>
          </cell>
          <cell r="Q439">
            <v>0.60876000000000008</v>
          </cell>
          <cell r="R439" t="e">
            <v>#N/A</v>
          </cell>
        </row>
        <row r="440">
          <cell r="A440">
            <v>40105</v>
          </cell>
          <cell r="B440">
            <v>40105</v>
          </cell>
          <cell r="C440" t="str">
            <v>Past</v>
          </cell>
          <cell r="D440">
            <v>52.87</v>
          </cell>
          <cell r="E440" t="e">
            <v>#N/A</v>
          </cell>
          <cell r="F440" t="e">
            <v>#N/A</v>
          </cell>
          <cell r="G440" t="e">
            <v>#N/A</v>
          </cell>
          <cell r="H440" t="e">
            <v>#N/A</v>
          </cell>
          <cell r="I440" t="e">
            <v>#N/A</v>
          </cell>
          <cell r="J440" t="e">
            <v>#N/A</v>
          </cell>
          <cell r="K440" t="e">
            <v>#N/A</v>
          </cell>
          <cell r="L440" t="e">
            <v>#N/A</v>
          </cell>
          <cell r="M440" t="e">
            <v>#N/A</v>
          </cell>
          <cell r="N440" t="e">
            <v>#N/A</v>
          </cell>
          <cell r="O440" t="e">
            <v>#N/A</v>
          </cell>
          <cell r="P440">
            <v>52.87</v>
          </cell>
          <cell r="Q440">
            <v>0.48363000000000006</v>
          </cell>
          <cell r="R440" t="e">
            <v>#N/A</v>
          </cell>
        </row>
        <row r="441">
          <cell r="A441">
            <v>40106</v>
          </cell>
          <cell r="B441">
            <v>40106</v>
          </cell>
          <cell r="C441" t="str">
            <v>Past</v>
          </cell>
          <cell r="D441">
            <v>51.52</v>
          </cell>
          <cell r="E441" t="e">
            <v>#N/A</v>
          </cell>
          <cell r="F441" t="e">
            <v>#N/A</v>
          </cell>
          <cell r="G441" t="e">
            <v>#N/A</v>
          </cell>
          <cell r="H441" t="e">
            <v>#N/A</v>
          </cell>
          <cell r="I441" t="e">
            <v>#N/A</v>
          </cell>
          <cell r="J441" t="e">
            <v>#N/A</v>
          </cell>
          <cell r="K441" t="e">
            <v>#N/A</v>
          </cell>
          <cell r="L441" t="e">
            <v>#N/A</v>
          </cell>
          <cell r="M441" t="e">
            <v>#N/A</v>
          </cell>
          <cell r="N441" t="e">
            <v>#N/A</v>
          </cell>
          <cell r="O441" t="e">
            <v>#N/A</v>
          </cell>
          <cell r="P441">
            <v>51.52</v>
          </cell>
          <cell r="Q441">
            <v>0.797709</v>
          </cell>
          <cell r="R441" t="e">
            <v>#N/A</v>
          </cell>
        </row>
        <row r="442">
          <cell r="A442">
            <v>40107</v>
          </cell>
          <cell r="B442">
            <v>40107</v>
          </cell>
          <cell r="C442" t="str">
            <v>Past</v>
          </cell>
          <cell r="D442">
            <v>51.33</v>
          </cell>
          <cell r="E442" t="e">
            <v>#N/A</v>
          </cell>
          <cell r="F442" t="e">
            <v>#N/A</v>
          </cell>
          <cell r="G442" t="e">
            <v>#N/A</v>
          </cell>
          <cell r="H442" t="e">
            <v>#N/A</v>
          </cell>
          <cell r="I442" t="e">
            <v>#N/A</v>
          </cell>
          <cell r="J442" t="e">
            <v>#N/A</v>
          </cell>
          <cell r="K442" t="e">
            <v>#N/A</v>
          </cell>
          <cell r="L442" t="e">
            <v>#N/A</v>
          </cell>
          <cell r="M442" t="e">
            <v>#N/A</v>
          </cell>
          <cell r="N442" t="e">
            <v>#N/A</v>
          </cell>
          <cell r="O442" t="e">
            <v>#N/A</v>
          </cell>
          <cell r="P442">
            <v>51.33</v>
          </cell>
          <cell r="Q442">
            <v>0.95174399999999992</v>
          </cell>
          <cell r="R442" t="e">
            <v>#N/A</v>
          </cell>
        </row>
        <row r="443">
          <cell r="A443">
            <v>40108</v>
          </cell>
          <cell r="B443">
            <v>40108</v>
          </cell>
          <cell r="C443" t="str">
            <v>Past</v>
          </cell>
          <cell r="D443">
            <v>52</v>
          </cell>
          <cell r="E443" t="e">
            <v>#N/A</v>
          </cell>
          <cell r="F443" t="e">
            <v>#N/A</v>
          </cell>
          <cell r="G443" t="e">
            <v>#N/A</v>
          </cell>
          <cell r="H443" t="e">
            <v>#N/A</v>
          </cell>
          <cell r="I443" t="e">
            <v>#N/A</v>
          </cell>
          <cell r="J443" t="e">
            <v>#N/A</v>
          </cell>
          <cell r="K443" t="e">
            <v>#N/A</v>
          </cell>
          <cell r="L443" t="e">
            <v>#N/A</v>
          </cell>
          <cell r="M443" t="e">
            <v>#N/A</v>
          </cell>
          <cell r="N443" t="e">
            <v>#N/A</v>
          </cell>
          <cell r="O443" t="e">
            <v>#N/A</v>
          </cell>
          <cell r="P443">
            <v>52</v>
          </cell>
          <cell r="Q443">
            <v>0.86326700000000001</v>
          </cell>
          <cell r="R443" t="e">
            <v>#N/A</v>
          </cell>
        </row>
        <row r="444">
          <cell r="A444">
            <v>40109</v>
          </cell>
          <cell r="B444">
            <v>40109</v>
          </cell>
          <cell r="C444" t="str">
            <v>Past</v>
          </cell>
          <cell r="D444">
            <v>51.54</v>
          </cell>
          <cell r="E444" t="e">
            <v>#N/A</v>
          </cell>
          <cell r="F444" t="e">
            <v>#N/A</v>
          </cell>
          <cell r="G444" t="e">
            <v>#N/A</v>
          </cell>
          <cell r="H444" t="e">
            <v>#N/A</v>
          </cell>
          <cell r="I444" t="e">
            <v>#N/A</v>
          </cell>
          <cell r="J444" t="e">
            <v>#N/A</v>
          </cell>
          <cell r="K444" t="e">
            <v>#N/A</v>
          </cell>
          <cell r="L444" t="e">
            <v>#N/A</v>
          </cell>
          <cell r="M444" t="e">
            <v>#N/A</v>
          </cell>
          <cell r="N444" t="e">
            <v>#N/A</v>
          </cell>
          <cell r="O444" t="e">
            <v>#N/A</v>
          </cell>
          <cell r="P444">
            <v>51.54</v>
          </cell>
          <cell r="Q444">
            <v>0.66813299999999998</v>
          </cell>
          <cell r="R444" t="e">
            <v>#N/A</v>
          </cell>
        </row>
        <row r="445">
          <cell r="A445">
            <v>40112</v>
          </cell>
          <cell r="B445">
            <v>40112</v>
          </cell>
          <cell r="C445" t="str">
            <v>Past</v>
          </cell>
          <cell r="D445">
            <v>51.06</v>
          </cell>
          <cell r="E445" t="e">
            <v>#N/A</v>
          </cell>
          <cell r="F445" t="e">
            <v>#N/A</v>
          </cell>
          <cell r="G445" t="e">
            <v>#N/A</v>
          </cell>
          <cell r="H445" t="e">
            <v>#N/A</v>
          </cell>
          <cell r="I445" t="e">
            <v>#N/A</v>
          </cell>
          <cell r="J445" t="e">
            <v>#N/A</v>
          </cell>
          <cell r="K445" t="e">
            <v>#N/A</v>
          </cell>
          <cell r="L445" t="e">
            <v>#N/A</v>
          </cell>
          <cell r="M445" t="e">
            <v>#N/A</v>
          </cell>
          <cell r="N445" t="e">
            <v>#N/A</v>
          </cell>
          <cell r="O445" t="e">
            <v>#N/A</v>
          </cell>
          <cell r="P445">
            <v>51.06</v>
          </cell>
          <cell r="Q445">
            <v>0.73483100000000001</v>
          </cell>
          <cell r="R445" t="e">
            <v>#N/A</v>
          </cell>
        </row>
        <row r="446">
          <cell r="A446">
            <v>40113</v>
          </cell>
          <cell r="B446">
            <v>40113</v>
          </cell>
          <cell r="C446" t="str">
            <v>Past</v>
          </cell>
          <cell r="D446">
            <v>50.94</v>
          </cell>
          <cell r="E446" t="e">
            <v>#N/A</v>
          </cell>
          <cell r="F446" t="e">
            <v>#N/A</v>
          </cell>
          <cell r="G446" t="e">
            <v>#N/A</v>
          </cell>
          <cell r="H446" t="e">
            <v>#N/A</v>
          </cell>
          <cell r="I446" t="e">
            <v>#N/A</v>
          </cell>
          <cell r="J446" t="e">
            <v>#N/A</v>
          </cell>
          <cell r="K446" t="e">
            <v>#N/A</v>
          </cell>
          <cell r="L446" t="e">
            <v>#N/A</v>
          </cell>
          <cell r="M446" t="e">
            <v>#N/A</v>
          </cell>
          <cell r="N446" t="e">
            <v>#N/A</v>
          </cell>
          <cell r="O446" t="e">
            <v>#N/A</v>
          </cell>
          <cell r="P446">
            <v>50.94</v>
          </cell>
          <cell r="Q446">
            <v>1.0331429999999999</v>
          </cell>
          <cell r="R446" t="e">
            <v>#N/A</v>
          </cell>
        </row>
        <row r="447">
          <cell r="A447">
            <v>40114</v>
          </cell>
          <cell r="B447">
            <v>40114</v>
          </cell>
          <cell r="C447" t="str">
            <v>Past</v>
          </cell>
          <cell r="D447">
            <v>50.24</v>
          </cell>
          <cell r="E447" t="e">
            <v>#N/A</v>
          </cell>
          <cell r="F447" t="e">
            <v>#N/A</v>
          </cell>
          <cell r="G447" t="e">
            <v>#N/A</v>
          </cell>
          <cell r="H447" t="e">
            <v>#N/A</v>
          </cell>
          <cell r="I447" t="e">
            <v>#N/A</v>
          </cell>
          <cell r="J447" t="e">
            <v>#N/A</v>
          </cell>
          <cell r="K447" t="e">
            <v>#N/A</v>
          </cell>
          <cell r="L447" t="e">
            <v>#N/A</v>
          </cell>
          <cell r="M447" t="e">
            <v>#N/A</v>
          </cell>
          <cell r="N447" t="e">
            <v>#N/A</v>
          </cell>
          <cell r="O447" t="e">
            <v>#N/A</v>
          </cell>
          <cell r="P447">
            <v>50.24</v>
          </cell>
          <cell r="Q447">
            <v>1.9372469999999999</v>
          </cell>
          <cell r="R447" t="e">
            <v>#N/A</v>
          </cell>
        </row>
        <row r="448">
          <cell r="A448">
            <v>40115</v>
          </cell>
          <cell r="B448">
            <v>40115</v>
          </cell>
          <cell r="C448" t="str">
            <v>Past</v>
          </cell>
          <cell r="D448">
            <v>51.56</v>
          </cell>
          <cell r="E448" t="e">
            <v>#N/A</v>
          </cell>
          <cell r="F448" t="e">
            <v>#N/A</v>
          </cell>
          <cell r="G448" t="e">
            <v>#N/A</v>
          </cell>
          <cell r="H448" t="e">
            <v>#N/A</v>
          </cell>
          <cell r="I448" t="e">
            <v>#N/A</v>
          </cell>
          <cell r="J448" t="e">
            <v>#N/A</v>
          </cell>
          <cell r="K448" t="e">
            <v>#N/A</v>
          </cell>
          <cell r="L448" t="e">
            <v>#N/A</v>
          </cell>
          <cell r="M448" t="e">
            <v>#N/A</v>
          </cell>
          <cell r="N448" t="e">
            <v>#N/A</v>
          </cell>
          <cell r="O448" t="e">
            <v>#N/A</v>
          </cell>
          <cell r="P448">
            <v>51.56</v>
          </cell>
          <cell r="Q448">
            <v>1.9594319999999998</v>
          </cell>
          <cell r="R448" t="e">
            <v>#N/A</v>
          </cell>
        </row>
        <row r="449">
          <cell r="A449">
            <v>40116</v>
          </cell>
          <cell r="B449">
            <v>40116</v>
          </cell>
          <cell r="C449" t="str">
            <v>Past</v>
          </cell>
          <cell r="D449">
            <v>50.38</v>
          </cell>
          <cell r="E449" t="e">
            <v>#N/A</v>
          </cell>
          <cell r="F449" t="e">
            <v>#N/A</v>
          </cell>
          <cell r="G449" t="e">
            <v>#N/A</v>
          </cell>
          <cell r="H449" t="e">
            <v>#N/A</v>
          </cell>
          <cell r="I449" t="e">
            <v>#N/A</v>
          </cell>
          <cell r="J449" t="e">
            <v>#N/A</v>
          </cell>
          <cell r="K449" t="e">
            <v>#N/A</v>
          </cell>
          <cell r="L449" t="e">
            <v>#N/A</v>
          </cell>
          <cell r="M449" t="e">
            <v>#N/A</v>
          </cell>
          <cell r="N449" t="e">
            <v>#N/A</v>
          </cell>
          <cell r="O449" t="e">
            <v>#N/A</v>
          </cell>
          <cell r="P449">
            <v>50.38</v>
          </cell>
          <cell r="Q449">
            <v>1.9160649999999999</v>
          </cell>
          <cell r="R449" t="e">
            <v>#N/A</v>
          </cell>
        </row>
        <row r="450">
          <cell r="A450">
            <v>40119</v>
          </cell>
          <cell r="B450">
            <v>40119</v>
          </cell>
          <cell r="C450" t="str">
            <v>Past</v>
          </cell>
          <cell r="D450">
            <v>50.78</v>
          </cell>
          <cell r="E450" t="e">
            <v>#N/A</v>
          </cell>
          <cell r="F450" t="e">
            <v>#N/A</v>
          </cell>
          <cell r="G450" t="e">
            <v>#N/A</v>
          </cell>
          <cell r="H450" t="e">
            <v>#N/A</v>
          </cell>
          <cell r="I450" t="e">
            <v>#N/A</v>
          </cell>
          <cell r="J450" t="e">
            <v>#N/A</v>
          </cell>
          <cell r="K450" t="e">
            <v>#N/A</v>
          </cell>
          <cell r="L450" t="e">
            <v>#N/A</v>
          </cell>
          <cell r="M450" t="e">
            <v>#N/A</v>
          </cell>
          <cell r="N450" t="e">
            <v>#N/A</v>
          </cell>
          <cell r="O450" t="e">
            <v>#N/A</v>
          </cell>
          <cell r="P450">
            <v>50.78</v>
          </cell>
          <cell r="Q450">
            <v>1.4602200000000001</v>
          </cell>
          <cell r="R450" t="e">
            <v>#N/A</v>
          </cell>
        </row>
        <row r="451">
          <cell r="A451">
            <v>40120</v>
          </cell>
          <cell r="B451">
            <v>40120</v>
          </cell>
          <cell r="C451" t="str">
            <v>Past</v>
          </cell>
          <cell r="D451">
            <v>49.24</v>
          </cell>
          <cell r="E451" t="e">
            <v>#N/A</v>
          </cell>
          <cell r="F451" t="e">
            <v>#N/A</v>
          </cell>
          <cell r="G451" t="e">
            <v>#N/A</v>
          </cell>
          <cell r="H451" t="e">
            <v>#N/A</v>
          </cell>
          <cell r="I451" t="e">
            <v>#N/A</v>
          </cell>
          <cell r="J451" t="e">
            <v>#N/A</v>
          </cell>
          <cell r="K451" t="e">
            <v>#N/A</v>
          </cell>
          <cell r="L451" t="e">
            <v>#N/A</v>
          </cell>
          <cell r="M451" t="e">
            <v>#N/A</v>
          </cell>
          <cell r="N451" t="e">
            <v>#N/A</v>
          </cell>
          <cell r="O451" t="e">
            <v>#N/A</v>
          </cell>
          <cell r="P451">
            <v>49.24</v>
          </cell>
          <cell r="Q451">
            <v>2.3001649999999998</v>
          </cell>
          <cell r="R451" t="e">
            <v>#N/A</v>
          </cell>
        </row>
        <row r="452">
          <cell r="A452">
            <v>40121</v>
          </cell>
          <cell r="B452">
            <v>40121</v>
          </cell>
          <cell r="C452" t="str">
            <v>Past</v>
          </cell>
          <cell r="D452">
            <v>49.63</v>
          </cell>
          <cell r="E452" t="e">
            <v>#N/A</v>
          </cell>
          <cell r="F452" t="e">
            <v>#N/A</v>
          </cell>
          <cell r="G452" t="e">
            <v>#N/A</v>
          </cell>
          <cell r="H452" t="e">
            <v>#N/A</v>
          </cell>
          <cell r="I452" t="e">
            <v>#N/A</v>
          </cell>
          <cell r="J452" t="e">
            <v>#N/A</v>
          </cell>
          <cell r="K452" t="e">
            <v>#N/A</v>
          </cell>
          <cell r="L452" t="e">
            <v>#N/A</v>
          </cell>
          <cell r="M452" t="e">
            <v>#N/A</v>
          </cell>
          <cell r="N452" t="e">
            <v>#N/A</v>
          </cell>
          <cell r="O452" t="e">
            <v>#N/A</v>
          </cell>
          <cell r="P452">
            <v>49.63</v>
          </cell>
          <cell r="Q452">
            <v>1.014732</v>
          </cell>
          <cell r="R452" t="e">
            <v>#N/A</v>
          </cell>
        </row>
        <row r="453">
          <cell r="A453">
            <v>40122</v>
          </cell>
          <cell r="B453">
            <v>40122</v>
          </cell>
          <cell r="C453" t="str">
            <v>Past</v>
          </cell>
          <cell r="D453">
            <v>51.83</v>
          </cell>
          <cell r="E453" t="e">
            <v>#N/A</v>
          </cell>
          <cell r="F453" t="e">
            <v>#N/A</v>
          </cell>
          <cell r="G453" t="e">
            <v>#N/A</v>
          </cell>
          <cell r="H453" t="e">
            <v>#N/A</v>
          </cell>
          <cell r="I453" t="e">
            <v>#N/A</v>
          </cell>
          <cell r="J453" t="e">
            <v>#N/A</v>
          </cell>
          <cell r="K453" t="e">
            <v>#N/A</v>
          </cell>
          <cell r="L453" t="e">
            <v>#N/A</v>
          </cell>
          <cell r="M453" t="e">
            <v>#N/A</v>
          </cell>
          <cell r="N453" t="e">
            <v>#N/A</v>
          </cell>
          <cell r="O453" t="e">
            <v>#N/A</v>
          </cell>
          <cell r="P453">
            <v>51.83</v>
          </cell>
          <cell r="Q453">
            <v>2.1875149999999999</v>
          </cell>
          <cell r="R453" t="e">
            <v>#N/A</v>
          </cell>
        </row>
        <row r="454">
          <cell r="A454">
            <v>40123</v>
          </cell>
          <cell r="B454">
            <v>40123</v>
          </cell>
          <cell r="C454" t="str">
            <v>Past</v>
          </cell>
          <cell r="D454">
            <v>51.51</v>
          </cell>
          <cell r="E454" t="e">
            <v>#N/A</v>
          </cell>
          <cell r="F454" t="e">
            <v>#N/A</v>
          </cell>
          <cell r="G454" t="e">
            <v>#N/A</v>
          </cell>
          <cell r="H454" t="e">
            <v>#N/A</v>
          </cell>
          <cell r="I454" t="e">
            <v>#N/A</v>
          </cell>
          <cell r="J454" t="e">
            <v>#N/A</v>
          </cell>
          <cell r="K454" t="e">
            <v>#N/A</v>
          </cell>
          <cell r="L454" t="e">
            <v>#N/A</v>
          </cell>
          <cell r="M454" t="e">
            <v>#N/A</v>
          </cell>
          <cell r="N454" t="e">
            <v>#N/A</v>
          </cell>
          <cell r="O454" t="e">
            <v>#N/A</v>
          </cell>
          <cell r="P454">
            <v>51.51</v>
          </cell>
          <cell r="Q454">
            <v>1.1632069999999999</v>
          </cell>
          <cell r="R454" t="e">
            <v>#N/A</v>
          </cell>
        </row>
        <row r="455">
          <cell r="A455">
            <v>40126</v>
          </cell>
          <cell r="B455">
            <v>40126</v>
          </cell>
          <cell r="C455" t="str">
            <v>Past</v>
          </cell>
          <cell r="D455">
            <v>52.85</v>
          </cell>
          <cell r="E455" t="e">
            <v>#N/A</v>
          </cell>
          <cell r="F455" t="e">
            <v>#N/A</v>
          </cell>
          <cell r="G455" t="e">
            <v>#N/A</v>
          </cell>
          <cell r="H455" t="e">
            <v>#N/A</v>
          </cell>
          <cell r="I455" t="e">
            <v>#N/A</v>
          </cell>
          <cell r="J455" t="e">
            <v>#N/A</v>
          </cell>
          <cell r="K455" t="e">
            <v>#N/A</v>
          </cell>
          <cell r="L455" t="e">
            <v>#N/A</v>
          </cell>
          <cell r="M455" t="e">
            <v>#N/A</v>
          </cell>
          <cell r="N455" t="e">
            <v>#N/A</v>
          </cell>
          <cell r="O455" t="e">
            <v>#N/A</v>
          </cell>
          <cell r="P455">
            <v>52.85</v>
          </cell>
          <cell r="Q455">
            <v>0.84079099999999996</v>
          </cell>
          <cell r="R455" t="e">
            <v>#N/A</v>
          </cell>
        </row>
        <row r="456">
          <cell r="A456">
            <v>40127</v>
          </cell>
          <cell r="B456">
            <v>40127</v>
          </cell>
          <cell r="C456" t="str">
            <v>Past</v>
          </cell>
          <cell r="D456">
            <v>52.21</v>
          </cell>
          <cell r="E456" t="e">
            <v>#N/A</v>
          </cell>
          <cell r="F456" t="e">
            <v>#N/A</v>
          </cell>
          <cell r="G456" t="e">
            <v>#N/A</v>
          </cell>
          <cell r="H456" t="e">
            <v>#N/A</v>
          </cell>
          <cell r="I456" t="e">
            <v>#N/A</v>
          </cell>
          <cell r="J456" t="e">
            <v>#N/A</v>
          </cell>
          <cell r="K456" t="e">
            <v>#N/A</v>
          </cell>
          <cell r="L456" t="e">
            <v>#N/A</v>
          </cell>
          <cell r="M456" t="e">
            <v>#N/A</v>
          </cell>
          <cell r="N456" t="e">
            <v>#N/A</v>
          </cell>
          <cell r="O456" t="e">
            <v>#N/A</v>
          </cell>
          <cell r="P456">
            <v>52.21</v>
          </cell>
          <cell r="Q456">
            <v>0.694272</v>
          </cell>
          <cell r="R456" t="e">
            <v>#N/A</v>
          </cell>
        </row>
        <row r="457">
          <cell r="A457">
            <v>40128</v>
          </cell>
          <cell r="B457">
            <v>40128</v>
          </cell>
          <cell r="C457" t="str">
            <v>Past</v>
          </cell>
          <cell r="D457">
            <v>52.6</v>
          </cell>
          <cell r="E457" t="e">
            <v>#N/A</v>
          </cell>
          <cell r="F457" t="e">
            <v>#N/A</v>
          </cell>
          <cell r="G457" t="e">
            <v>#N/A</v>
          </cell>
          <cell r="H457" t="e">
            <v>#N/A</v>
          </cell>
          <cell r="I457" t="e">
            <v>#N/A</v>
          </cell>
          <cell r="J457" t="e">
            <v>#N/A</v>
          </cell>
          <cell r="K457" t="e">
            <v>#N/A</v>
          </cell>
          <cell r="L457" t="e">
            <v>#N/A</v>
          </cell>
          <cell r="M457" t="e">
            <v>#N/A</v>
          </cell>
          <cell r="N457" t="e">
            <v>#N/A</v>
          </cell>
          <cell r="O457" t="e">
            <v>#N/A</v>
          </cell>
          <cell r="P457">
            <v>52.6</v>
          </cell>
          <cell r="Q457">
            <v>0.58015799999999995</v>
          </cell>
          <cell r="R457" t="e">
            <v>#N/A</v>
          </cell>
        </row>
        <row r="458">
          <cell r="A458">
            <v>40129</v>
          </cell>
          <cell r="B458">
            <v>40129</v>
          </cell>
          <cell r="C458" t="str">
            <v>Past</v>
          </cell>
          <cell r="D458">
            <v>52.09</v>
          </cell>
          <cell r="E458" t="e">
            <v>#N/A</v>
          </cell>
          <cell r="F458" t="e">
            <v>#N/A</v>
          </cell>
          <cell r="G458" t="e">
            <v>#N/A</v>
          </cell>
          <cell r="H458" t="e">
            <v>#N/A</v>
          </cell>
          <cell r="I458" t="e">
            <v>#N/A</v>
          </cell>
          <cell r="J458" t="e">
            <v>#N/A</v>
          </cell>
          <cell r="K458" t="e">
            <v>#N/A</v>
          </cell>
          <cell r="L458" t="e">
            <v>#N/A</v>
          </cell>
          <cell r="M458" t="e">
            <v>#N/A</v>
          </cell>
          <cell r="N458" t="e">
            <v>#N/A</v>
          </cell>
          <cell r="O458" t="e">
            <v>#N/A</v>
          </cell>
          <cell r="P458">
            <v>52.09</v>
          </cell>
          <cell r="Q458">
            <v>0.49426799999999999</v>
          </cell>
          <cell r="R458" t="e">
            <v>#N/A</v>
          </cell>
        </row>
        <row r="459">
          <cell r="A459">
            <v>40130</v>
          </cell>
          <cell r="B459">
            <v>40130</v>
          </cell>
          <cell r="C459" t="str">
            <v>Past</v>
          </cell>
          <cell r="D459">
            <v>52.92</v>
          </cell>
          <cell r="E459" t="e">
            <v>#N/A</v>
          </cell>
          <cell r="F459" t="e">
            <v>#N/A</v>
          </cell>
          <cell r="G459" t="e">
            <v>#N/A</v>
          </cell>
          <cell r="H459" t="e">
            <v>#N/A</v>
          </cell>
          <cell r="I459" t="e">
            <v>#N/A</v>
          </cell>
          <cell r="J459" t="e">
            <v>#N/A</v>
          </cell>
          <cell r="K459" t="e">
            <v>#N/A</v>
          </cell>
          <cell r="L459" t="e">
            <v>#N/A</v>
          </cell>
          <cell r="M459" t="e">
            <v>#N/A</v>
          </cell>
          <cell r="N459" t="e">
            <v>#N/A</v>
          </cell>
          <cell r="O459" t="e">
            <v>#N/A</v>
          </cell>
          <cell r="P459">
            <v>52.92</v>
          </cell>
          <cell r="Q459">
            <v>0.79573299999999991</v>
          </cell>
          <cell r="R459" t="e">
            <v>#N/A</v>
          </cell>
        </row>
        <row r="460">
          <cell r="A460">
            <v>40133</v>
          </cell>
          <cell r="B460">
            <v>40133</v>
          </cell>
          <cell r="C460" t="str">
            <v>Past</v>
          </cell>
          <cell r="D460">
            <v>53.72</v>
          </cell>
          <cell r="E460" t="e">
            <v>#N/A</v>
          </cell>
          <cell r="F460" t="e">
            <v>#N/A</v>
          </cell>
          <cell r="G460" t="e">
            <v>#N/A</v>
          </cell>
          <cell r="H460" t="e">
            <v>#N/A</v>
          </cell>
          <cell r="I460" t="e">
            <v>#N/A</v>
          </cell>
          <cell r="J460" t="e">
            <v>#N/A</v>
          </cell>
          <cell r="K460" t="e">
            <v>#N/A</v>
          </cell>
          <cell r="L460" t="e">
            <v>#N/A</v>
          </cell>
          <cell r="M460" t="e">
            <v>#N/A</v>
          </cell>
          <cell r="N460" t="e">
            <v>#N/A</v>
          </cell>
          <cell r="O460" t="e">
            <v>#N/A</v>
          </cell>
          <cell r="P460">
            <v>53.72</v>
          </cell>
          <cell r="Q460">
            <v>0.62946199999999997</v>
          </cell>
          <cell r="R460" t="e">
            <v>#N/A</v>
          </cell>
        </row>
        <row r="461">
          <cell r="A461">
            <v>40134</v>
          </cell>
          <cell r="B461">
            <v>40134</v>
          </cell>
          <cell r="C461" t="str">
            <v>Past</v>
          </cell>
          <cell r="D461">
            <v>53.75</v>
          </cell>
          <cell r="E461" t="e">
            <v>#N/A</v>
          </cell>
          <cell r="F461" t="e">
            <v>#N/A</v>
          </cell>
          <cell r="G461" t="e">
            <v>#N/A</v>
          </cell>
          <cell r="H461" t="e">
            <v>#N/A</v>
          </cell>
          <cell r="I461" t="e">
            <v>#N/A</v>
          </cell>
          <cell r="J461" t="e">
            <v>#N/A</v>
          </cell>
          <cell r="K461" t="e">
            <v>#N/A</v>
          </cell>
          <cell r="L461" t="e">
            <v>#N/A</v>
          </cell>
          <cell r="M461" t="e">
            <v>#N/A</v>
          </cell>
          <cell r="N461" t="e">
            <v>#N/A</v>
          </cell>
          <cell r="O461" t="e">
            <v>#N/A</v>
          </cell>
          <cell r="P461">
            <v>53.75</v>
          </cell>
          <cell r="Q461">
            <v>0.72533499999999995</v>
          </cell>
          <cell r="R461" t="e">
            <v>#N/A</v>
          </cell>
        </row>
        <row r="462">
          <cell r="A462">
            <v>40135</v>
          </cell>
          <cell r="B462">
            <v>40135</v>
          </cell>
          <cell r="C462" t="str">
            <v>Past</v>
          </cell>
          <cell r="D462">
            <v>53.34</v>
          </cell>
          <cell r="E462" t="e">
            <v>#N/A</v>
          </cell>
          <cell r="F462" t="e">
            <v>#N/A</v>
          </cell>
          <cell r="G462" t="e">
            <v>#N/A</v>
          </cell>
          <cell r="H462" t="e">
            <v>#N/A</v>
          </cell>
          <cell r="I462" t="e">
            <v>#N/A</v>
          </cell>
          <cell r="J462" t="e">
            <v>#N/A</v>
          </cell>
          <cell r="K462" t="e">
            <v>#N/A</v>
          </cell>
          <cell r="L462" t="e">
            <v>#N/A</v>
          </cell>
          <cell r="M462" t="e">
            <v>#N/A</v>
          </cell>
          <cell r="N462" t="e">
            <v>#N/A</v>
          </cell>
          <cell r="O462" t="e">
            <v>#N/A</v>
          </cell>
          <cell r="P462">
            <v>53.34</v>
          </cell>
          <cell r="Q462">
            <v>1.0979619999999999</v>
          </cell>
          <cell r="R462" t="e">
            <v>#N/A</v>
          </cell>
        </row>
        <row r="463">
          <cell r="A463">
            <v>40136</v>
          </cell>
          <cell r="B463">
            <v>40136</v>
          </cell>
          <cell r="C463" t="str">
            <v>Past</v>
          </cell>
          <cell r="D463">
            <v>52.34</v>
          </cell>
          <cell r="E463" t="e">
            <v>#N/A</v>
          </cell>
          <cell r="F463" t="e">
            <v>#N/A</v>
          </cell>
          <cell r="G463" t="e">
            <v>#N/A</v>
          </cell>
          <cell r="H463" t="e">
            <v>#N/A</v>
          </cell>
          <cell r="I463" t="e">
            <v>#N/A</v>
          </cell>
          <cell r="J463" t="e">
            <v>#N/A</v>
          </cell>
          <cell r="K463" t="e">
            <v>#N/A</v>
          </cell>
          <cell r="L463" t="e">
            <v>#N/A</v>
          </cell>
          <cell r="M463" t="e">
            <v>#N/A</v>
          </cell>
          <cell r="N463" t="e">
            <v>#N/A</v>
          </cell>
          <cell r="O463" t="e">
            <v>#N/A</v>
          </cell>
          <cell r="P463">
            <v>52.34</v>
          </cell>
          <cell r="Q463">
            <v>0.83560800000000002</v>
          </cell>
          <cell r="R463" t="e">
            <v>#N/A</v>
          </cell>
        </row>
        <row r="464">
          <cell r="A464">
            <v>40137</v>
          </cell>
          <cell r="B464">
            <v>40137</v>
          </cell>
          <cell r="C464" t="str">
            <v>Past</v>
          </cell>
          <cell r="D464">
            <v>53.08</v>
          </cell>
          <cell r="E464" t="e">
            <v>#N/A</v>
          </cell>
          <cell r="F464" t="e">
            <v>#N/A</v>
          </cell>
          <cell r="G464" t="e">
            <v>#N/A</v>
          </cell>
          <cell r="H464" t="e">
            <v>#N/A</v>
          </cell>
          <cell r="I464" t="e">
            <v>#N/A</v>
          </cell>
          <cell r="J464" t="e">
            <v>#N/A</v>
          </cell>
          <cell r="K464" t="e">
            <v>#N/A</v>
          </cell>
          <cell r="L464" t="e">
            <v>#N/A</v>
          </cell>
          <cell r="M464" t="e">
            <v>#N/A</v>
          </cell>
          <cell r="N464" t="e">
            <v>#N/A</v>
          </cell>
          <cell r="O464" t="e">
            <v>#N/A</v>
          </cell>
          <cell r="P464">
            <v>53.08</v>
          </cell>
          <cell r="Q464">
            <v>1.199255</v>
          </cell>
          <cell r="R464" t="e">
            <v>#N/A</v>
          </cell>
        </row>
        <row r="465">
          <cell r="A465">
            <v>40140</v>
          </cell>
          <cell r="B465">
            <v>40140</v>
          </cell>
          <cell r="C465" t="str">
            <v>Past</v>
          </cell>
          <cell r="D465">
            <v>54.13</v>
          </cell>
          <cell r="E465" t="e">
            <v>#N/A</v>
          </cell>
          <cell r="F465" t="e">
            <v>#N/A</v>
          </cell>
          <cell r="G465" t="e">
            <v>#N/A</v>
          </cell>
          <cell r="H465" t="e">
            <v>#N/A</v>
          </cell>
          <cell r="I465" t="e">
            <v>#N/A</v>
          </cell>
          <cell r="J465" t="e">
            <v>#N/A</v>
          </cell>
          <cell r="K465" t="e">
            <v>#N/A</v>
          </cell>
          <cell r="L465" t="e">
            <v>#N/A</v>
          </cell>
          <cell r="M465" t="e">
            <v>#N/A</v>
          </cell>
          <cell r="N465" t="e">
            <v>#N/A</v>
          </cell>
          <cell r="O465" t="e">
            <v>#N/A</v>
          </cell>
          <cell r="P465">
            <v>54.13</v>
          </cell>
          <cell r="Q465">
            <v>1.0304679999999999</v>
          </cell>
          <cell r="R465" t="e">
            <v>#N/A</v>
          </cell>
        </row>
        <row r="466">
          <cell r="A466">
            <v>40141</v>
          </cell>
          <cell r="B466">
            <v>40141</v>
          </cell>
          <cell r="C466" t="str">
            <v>Past</v>
          </cell>
          <cell r="D466">
            <v>54.01</v>
          </cell>
          <cell r="E466" t="e">
            <v>#N/A</v>
          </cell>
          <cell r="F466" t="e">
            <v>#N/A</v>
          </cell>
          <cell r="G466" t="e">
            <v>#N/A</v>
          </cell>
          <cell r="H466" t="e">
            <v>#N/A</v>
          </cell>
          <cell r="I466" t="e">
            <v>#N/A</v>
          </cell>
          <cell r="J466" t="e">
            <v>#N/A</v>
          </cell>
          <cell r="K466" t="e">
            <v>#N/A</v>
          </cell>
          <cell r="L466" t="e">
            <v>#N/A</v>
          </cell>
          <cell r="M466" t="e">
            <v>#N/A</v>
          </cell>
          <cell r="N466" t="e">
            <v>#N/A</v>
          </cell>
          <cell r="O466" t="e">
            <v>#N/A</v>
          </cell>
          <cell r="P466">
            <v>54.01</v>
          </cell>
          <cell r="Q466">
            <v>0.98047299999999993</v>
          </cell>
          <cell r="R466" t="e">
            <v>#N/A</v>
          </cell>
        </row>
        <row r="467">
          <cell r="A467">
            <v>40142</v>
          </cell>
          <cell r="B467">
            <v>40142</v>
          </cell>
          <cell r="C467" t="str">
            <v>Past</v>
          </cell>
          <cell r="D467">
            <v>54.5</v>
          </cell>
          <cell r="E467" t="e">
            <v>#N/A</v>
          </cell>
          <cell r="F467" t="e">
            <v>#N/A</v>
          </cell>
          <cell r="G467" t="e">
            <v>#N/A</v>
          </cell>
          <cell r="H467" t="e">
            <v>#N/A</v>
          </cell>
          <cell r="I467" t="e">
            <v>#N/A</v>
          </cell>
          <cell r="J467" t="e">
            <v>#N/A</v>
          </cell>
          <cell r="K467" t="e">
            <v>#N/A</v>
          </cell>
          <cell r="L467" t="e">
            <v>#N/A</v>
          </cell>
          <cell r="M467" t="e">
            <v>#N/A</v>
          </cell>
          <cell r="N467" t="e">
            <v>#N/A</v>
          </cell>
          <cell r="O467" t="e">
            <v>#N/A</v>
          </cell>
          <cell r="P467">
            <v>54.5</v>
          </cell>
          <cell r="Q467">
            <v>0.62567000000000006</v>
          </cell>
          <cell r="R467" t="e">
            <v>#N/A</v>
          </cell>
        </row>
        <row r="468">
          <cell r="A468">
            <v>40144</v>
          </cell>
          <cell r="B468">
            <v>40144</v>
          </cell>
          <cell r="C468" t="str">
            <v>Past</v>
          </cell>
          <cell r="D468">
            <v>53.7</v>
          </cell>
          <cell r="E468" t="e">
            <v>#N/A</v>
          </cell>
          <cell r="F468" t="e">
            <v>#N/A</v>
          </cell>
          <cell r="G468" t="e">
            <v>#N/A</v>
          </cell>
          <cell r="H468" t="e">
            <v>#N/A</v>
          </cell>
          <cell r="I468" t="e">
            <v>#N/A</v>
          </cell>
          <cell r="J468" t="e">
            <v>#N/A</v>
          </cell>
          <cell r="K468" t="e">
            <v>#N/A</v>
          </cell>
          <cell r="L468" t="e">
            <v>#N/A</v>
          </cell>
          <cell r="M468" t="e">
            <v>#N/A</v>
          </cell>
          <cell r="N468" t="e">
            <v>#N/A</v>
          </cell>
          <cell r="O468" t="e">
            <v>#N/A</v>
          </cell>
          <cell r="P468">
            <v>53.7</v>
          </cell>
          <cell r="Q468">
            <v>0.37877499999999997</v>
          </cell>
          <cell r="R468" t="e">
            <v>#N/A</v>
          </cell>
        </row>
        <row r="469">
          <cell r="A469">
            <v>40147</v>
          </cell>
          <cell r="B469">
            <v>40147</v>
          </cell>
          <cell r="C469" t="str">
            <v>Past</v>
          </cell>
          <cell r="D469">
            <v>53.46</v>
          </cell>
          <cell r="E469" t="e">
            <v>#N/A</v>
          </cell>
          <cell r="F469" t="e">
            <v>#N/A</v>
          </cell>
          <cell r="G469" t="e">
            <v>#N/A</v>
          </cell>
          <cell r="H469" t="e">
            <v>#N/A</v>
          </cell>
          <cell r="I469" t="e">
            <v>#N/A</v>
          </cell>
          <cell r="J469" t="e">
            <v>#N/A</v>
          </cell>
          <cell r="K469" t="e">
            <v>#N/A</v>
          </cell>
          <cell r="L469" t="e">
            <v>#N/A</v>
          </cell>
          <cell r="M469" t="e">
            <v>#N/A</v>
          </cell>
          <cell r="N469" t="e">
            <v>#N/A</v>
          </cell>
          <cell r="O469" t="e">
            <v>#N/A</v>
          </cell>
          <cell r="P469">
            <v>53.46</v>
          </cell>
          <cell r="Q469">
            <v>0.77588400000000002</v>
          </cell>
          <cell r="R469" t="e">
            <v>#N/A</v>
          </cell>
        </row>
        <row r="470">
          <cell r="A470">
            <v>40148</v>
          </cell>
          <cell r="B470">
            <v>40148</v>
          </cell>
          <cell r="C470" t="str">
            <v>Past</v>
          </cell>
          <cell r="D470">
            <v>54.43</v>
          </cell>
          <cell r="E470" t="e">
            <v>#N/A</v>
          </cell>
          <cell r="F470" t="e">
            <v>#N/A</v>
          </cell>
          <cell r="G470" t="e">
            <v>#N/A</v>
          </cell>
          <cell r="H470" t="e">
            <v>#N/A</v>
          </cell>
          <cell r="I470" t="e">
            <v>#N/A</v>
          </cell>
          <cell r="J470" t="e">
            <v>#N/A</v>
          </cell>
          <cell r="K470" t="e">
            <v>#N/A</v>
          </cell>
          <cell r="L470" t="e">
            <v>#N/A</v>
          </cell>
          <cell r="M470" t="e">
            <v>#N/A</v>
          </cell>
          <cell r="N470" t="e">
            <v>#N/A</v>
          </cell>
          <cell r="O470" t="e">
            <v>#N/A</v>
          </cell>
          <cell r="P470">
            <v>54.43</v>
          </cell>
          <cell r="Q470">
            <v>0.91150399999999998</v>
          </cell>
          <cell r="R470" t="e">
            <v>#N/A</v>
          </cell>
        </row>
        <row r="471">
          <cell r="A471">
            <v>40149</v>
          </cell>
          <cell r="B471">
            <v>40149</v>
          </cell>
          <cell r="C471" t="str">
            <v>Past</v>
          </cell>
          <cell r="D471">
            <v>54.92</v>
          </cell>
          <cell r="E471" t="e">
            <v>#N/A</v>
          </cell>
          <cell r="F471" t="e">
            <v>#N/A</v>
          </cell>
          <cell r="G471" t="e">
            <v>#N/A</v>
          </cell>
          <cell r="H471" t="e">
            <v>#N/A</v>
          </cell>
          <cell r="I471" t="e">
            <v>#N/A</v>
          </cell>
          <cell r="J471" t="e">
            <v>#N/A</v>
          </cell>
          <cell r="K471" t="e">
            <v>#N/A</v>
          </cell>
          <cell r="L471" t="e">
            <v>#N/A</v>
          </cell>
          <cell r="M471" t="e">
            <v>#N/A</v>
          </cell>
          <cell r="N471" t="e">
            <v>#N/A</v>
          </cell>
          <cell r="O471" t="e">
            <v>#N/A</v>
          </cell>
          <cell r="P471">
            <v>54.92</v>
          </cell>
          <cell r="Q471">
            <v>0.69361499999999998</v>
          </cell>
          <cell r="R471" t="e">
            <v>#N/A</v>
          </cell>
        </row>
        <row r="472">
          <cell r="A472">
            <v>40150</v>
          </cell>
          <cell r="B472">
            <v>40150</v>
          </cell>
          <cell r="C472" t="str">
            <v>Past</v>
          </cell>
          <cell r="D472">
            <v>54.8</v>
          </cell>
          <cell r="E472" t="e">
            <v>#N/A</v>
          </cell>
          <cell r="F472" t="e">
            <v>#N/A</v>
          </cell>
          <cell r="G472" t="e">
            <v>#N/A</v>
          </cell>
          <cell r="H472" t="e">
            <v>#N/A</v>
          </cell>
          <cell r="I472" t="e">
            <v>#N/A</v>
          </cell>
          <cell r="J472" t="e">
            <v>#N/A</v>
          </cell>
          <cell r="K472" t="e">
            <v>#N/A</v>
          </cell>
          <cell r="L472" t="e">
            <v>#N/A</v>
          </cell>
          <cell r="M472" t="e">
            <v>#N/A</v>
          </cell>
          <cell r="N472" t="e">
            <v>#N/A</v>
          </cell>
          <cell r="O472" t="e">
            <v>#N/A</v>
          </cell>
          <cell r="P472">
            <v>54.8</v>
          </cell>
          <cell r="Q472">
            <v>0.95516599999999996</v>
          </cell>
          <cell r="R472" t="e">
            <v>#N/A</v>
          </cell>
        </row>
        <row r="473">
          <cell r="A473">
            <v>40151</v>
          </cell>
          <cell r="B473">
            <v>40151</v>
          </cell>
          <cell r="C473" t="str">
            <v>Past</v>
          </cell>
          <cell r="D473">
            <v>54.7</v>
          </cell>
          <cell r="E473" t="e">
            <v>#N/A</v>
          </cell>
          <cell r="F473" t="e">
            <v>#N/A</v>
          </cell>
          <cell r="G473" t="e">
            <v>#N/A</v>
          </cell>
          <cell r="H473" t="e">
            <v>#N/A</v>
          </cell>
          <cell r="I473" t="e">
            <v>#N/A</v>
          </cell>
          <cell r="J473" t="e">
            <v>#N/A</v>
          </cell>
          <cell r="K473" t="e">
            <v>#N/A</v>
          </cell>
          <cell r="L473" t="e">
            <v>#N/A</v>
          </cell>
          <cell r="M473" t="e">
            <v>#N/A</v>
          </cell>
          <cell r="N473" t="e">
            <v>#N/A</v>
          </cell>
          <cell r="O473" t="e">
            <v>#N/A</v>
          </cell>
          <cell r="P473">
            <v>54.7</v>
          </cell>
          <cell r="Q473">
            <v>2.4204239999999997</v>
          </cell>
          <cell r="R473" t="e">
            <v>#N/A</v>
          </cell>
        </row>
        <row r="474">
          <cell r="A474">
            <v>40154</v>
          </cell>
          <cell r="B474">
            <v>40154</v>
          </cell>
          <cell r="C474" t="str">
            <v>Past</v>
          </cell>
          <cell r="D474">
            <v>55.87</v>
          </cell>
          <cell r="E474" t="e">
            <v>#N/A</v>
          </cell>
          <cell r="F474" t="e">
            <v>#N/A</v>
          </cell>
          <cell r="G474" t="e">
            <v>#N/A</v>
          </cell>
          <cell r="H474" t="e">
            <v>#N/A</v>
          </cell>
          <cell r="I474" t="e">
            <v>#N/A</v>
          </cell>
          <cell r="J474" t="e">
            <v>#N/A</v>
          </cell>
          <cell r="K474" t="e">
            <v>#N/A</v>
          </cell>
          <cell r="L474" t="e">
            <v>#N/A</v>
          </cell>
          <cell r="M474" t="e">
            <v>#N/A</v>
          </cell>
          <cell r="N474" t="e">
            <v>#N/A</v>
          </cell>
          <cell r="O474" t="e">
            <v>#N/A</v>
          </cell>
          <cell r="P474">
            <v>55.87</v>
          </cell>
          <cell r="Q474">
            <v>0.77695099999999995</v>
          </cell>
          <cell r="R474" t="e">
            <v>#N/A</v>
          </cell>
        </row>
        <row r="475">
          <cell r="A475">
            <v>40155</v>
          </cell>
          <cell r="B475">
            <v>40155</v>
          </cell>
          <cell r="C475" t="str">
            <v>Past</v>
          </cell>
          <cell r="D475">
            <v>55.62</v>
          </cell>
          <cell r="E475" t="e">
            <v>#N/A</v>
          </cell>
          <cell r="F475" t="e">
            <v>#N/A</v>
          </cell>
          <cell r="G475" t="e">
            <v>#N/A</v>
          </cell>
          <cell r="H475" t="e">
            <v>#N/A</v>
          </cell>
          <cell r="I475" t="e">
            <v>#N/A</v>
          </cell>
          <cell r="J475" t="e">
            <v>#N/A</v>
          </cell>
          <cell r="K475" t="e">
            <v>#N/A</v>
          </cell>
          <cell r="L475" t="e">
            <v>#N/A</v>
          </cell>
          <cell r="M475" t="e">
            <v>#N/A</v>
          </cell>
          <cell r="N475" t="e">
            <v>#N/A</v>
          </cell>
          <cell r="O475" t="e">
            <v>#N/A</v>
          </cell>
          <cell r="P475">
            <v>55.62</v>
          </cell>
          <cell r="Q475">
            <v>1.0417809999999998</v>
          </cell>
          <cell r="R475" t="e">
            <v>#N/A</v>
          </cell>
        </row>
        <row r="476">
          <cell r="A476">
            <v>40156</v>
          </cell>
          <cell r="B476">
            <v>40156</v>
          </cell>
          <cell r="C476" t="str">
            <v>Past</v>
          </cell>
          <cell r="D476">
            <v>55.37</v>
          </cell>
          <cell r="E476" t="e">
            <v>#N/A</v>
          </cell>
          <cell r="F476" t="e">
            <v>#N/A</v>
          </cell>
          <cell r="G476" t="e">
            <v>#N/A</v>
          </cell>
          <cell r="H476" t="e">
            <v>#N/A</v>
          </cell>
          <cell r="I476" t="e">
            <v>#N/A</v>
          </cell>
          <cell r="J476" t="e">
            <v>#N/A</v>
          </cell>
          <cell r="K476" t="e">
            <v>#N/A</v>
          </cell>
          <cell r="L476" t="e">
            <v>#N/A</v>
          </cell>
          <cell r="M476" t="e">
            <v>#N/A</v>
          </cell>
          <cell r="N476" t="e">
            <v>#N/A</v>
          </cell>
          <cell r="O476" t="e">
            <v>#N/A</v>
          </cell>
          <cell r="P476">
            <v>55.37</v>
          </cell>
          <cell r="Q476">
            <v>0.86890699999999998</v>
          </cell>
          <cell r="R476" t="e">
            <v>#N/A</v>
          </cell>
        </row>
        <row r="477">
          <cell r="A477">
            <v>40157</v>
          </cell>
          <cell r="B477">
            <v>40157</v>
          </cell>
          <cell r="C477" t="str">
            <v>Past</v>
          </cell>
          <cell r="D477">
            <v>55.44</v>
          </cell>
          <cell r="E477" t="e">
            <v>#N/A</v>
          </cell>
          <cell r="F477" t="e">
            <v>#N/A</v>
          </cell>
          <cell r="G477" t="e">
            <v>#N/A</v>
          </cell>
          <cell r="H477" t="e">
            <v>#N/A</v>
          </cell>
          <cell r="I477" t="e">
            <v>#N/A</v>
          </cell>
          <cell r="J477" t="e">
            <v>#N/A</v>
          </cell>
          <cell r="K477" t="e">
            <v>#N/A</v>
          </cell>
          <cell r="L477" t="e">
            <v>#N/A</v>
          </cell>
          <cell r="M477" t="e">
            <v>#N/A</v>
          </cell>
          <cell r="N477" t="e">
            <v>#N/A</v>
          </cell>
          <cell r="O477" t="e">
            <v>#N/A</v>
          </cell>
          <cell r="P477">
            <v>55.44</v>
          </cell>
          <cell r="Q477">
            <v>0.50804199999999999</v>
          </cell>
          <cell r="R477" t="e">
            <v>#N/A</v>
          </cell>
        </row>
        <row r="478">
          <cell r="A478">
            <v>40158</v>
          </cell>
          <cell r="B478">
            <v>40158</v>
          </cell>
          <cell r="C478" t="str">
            <v>Past</v>
          </cell>
          <cell r="D478">
            <v>55.79</v>
          </cell>
          <cell r="E478" t="e">
            <v>#N/A</v>
          </cell>
          <cell r="F478" t="e">
            <v>#N/A</v>
          </cell>
          <cell r="G478" t="e">
            <v>#N/A</v>
          </cell>
          <cell r="H478" t="e">
            <v>#N/A</v>
          </cell>
          <cell r="I478" t="e">
            <v>#N/A</v>
          </cell>
          <cell r="J478" t="e">
            <v>#N/A</v>
          </cell>
          <cell r="K478" t="e">
            <v>#N/A</v>
          </cell>
          <cell r="L478" t="e">
            <v>#N/A</v>
          </cell>
          <cell r="M478" t="e">
            <v>#N/A</v>
          </cell>
          <cell r="N478" t="e">
            <v>#N/A</v>
          </cell>
          <cell r="O478" t="e">
            <v>#N/A</v>
          </cell>
          <cell r="P478">
            <v>55.79</v>
          </cell>
          <cell r="Q478">
            <v>0.54949599999999998</v>
          </cell>
          <cell r="R478" t="e">
            <v>#N/A</v>
          </cell>
        </row>
        <row r="479">
          <cell r="A479">
            <v>40161</v>
          </cell>
          <cell r="B479">
            <v>40161</v>
          </cell>
          <cell r="C479" t="str">
            <v>Past</v>
          </cell>
          <cell r="D479">
            <v>56.3</v>
          </cell>
          <cell r="E479" t="e">
            <v>#N/A</v>
          </cell>
          <cell r="F479" t="e">
            <v>#N/A</v>
          </cell>
          <cell r="G479" t="e">
            <v>#N/A</v>
          </cell>
          <cell r="H479" t="e">
            <v>#N/A</v>
          </cell>
          <cell r="I479" t="e">
            <v>#N/A</v>
          </cell>
          <cell r="J479" t="e">
            <v>#N/A</v>
          </cell>
          <cell r="K479" t="e">
            <v>#N/A</v>
          </cell>
          <cell r="L479" t="e">
            <v>#N/A</v>
          </cell>
          <cell r="M479" t="e">
            <v>#N/A</v>
          </cell>
          <cell r="N479" t="e">
            <v>#N/A</v>
          </cell>
          <cell r="O479" t="e">
            <v>#N/A</v>
          </cell>
          <cell r="P479">
            <v>56.3</v>
          </cell>
          <cell r="Q479">
            <v>0.85882700000000001</v>
          </cell>
          <cell r="R479" t="e">
            <v>#N/A</v>
          </cell>
        </row>
        <row r="480">
          <cell r="A480">
            <v>40162</v>
          </cell>
          <cell r="B480">
            <v>40162</v>
          </cell>
          <cell r="C480" t="str">
            <v>Past</v>
          </cell>
          <cell r="D480">
            <v>56.63</v>
          </cell>
          <cell r="E480" t="e">
            <v>#N/A</v>
          </cell>
          <cell r="F480" t="e">
            <v>#N/A</v>
          </cell>
          <cell r="G480" t="e">
            <v>#N/A</v>
          </cell>
          <cell r="H480" t="e">
            <v>#N/A</v>
          </cell>
          <cell r="I480" t="e">
            <v>#N/A</v>
          </cell>
          <cell r="J480" t="e">
            <v>#N/A</v>
          </cell>
          <cell r="K480" t="e">
            <v>#N/A</v>
          </cell>
          <cell r="L480" t="e">
            <v>#N/A</v>
          </cell>
          <cell r="M480" t="e">
            <v>#N/A</v>
          </cell>
          <cell r="N480" t="e">
            <v>#N/A</v>
          </cell>
          <cell r="O480" t="e">
            <v>#N/A</v>
          </cell>
          <cell r="P480">
            <v>56.63</v>
          </cell>
          <cell r="Q480">
            <v>0.64062799999999998</v>
          </cell>
          <cell r="R480" t="e">
            <v>#N/A</v>
          </cell>
        </row>
        <row r="481">
          <cell r="A481">
            <v>40163</v>
          </cell>
          <cell r="B481">
            <v>40163</v>
          </cell>
          <cell r="C481" t="str">
            <v>Past</v>
          </cell>
          <cell r="D481">
            <v>56.26</v>
          </cell>
          <cell r="E481" t="e">
            <v>#N/A</v>
          </cell>
          <cell r="F481" t="e">
            <v>#N/A</v>
          </cell>
          <cell r="G481" t="e">
            <v>#N/A</v>
          </cell>
          <cell r="H481" t="e">
            <v>#N/A</v>
          </cell>
          <cell r="I481" t="e">
            <v>#N/A</v>
          </cell>
          <cell r="J481" t="e">
            <v>#N/A</v>
          </cell>
          <cell r="K481" t="e">
            <v>#N/A</v>
          </cell>
          <cell r="L481" t="e">
            <v>#N/A</v>
          </cell>
          <cell r="M481" t="e">
            <v>#N/A</v>
          </cell>
          <cell r="N481" t="e">
            <v>#N/A</v>
          </cell>
          <cell r="O481" t="e">
            <v>#N/A</v>
          </cell>
          <cell r="P481">
            <v>56.26</v>
          </cell>
          <cell r="Q481">
            <v>0.85518699999999992</v>
          </cell>
          <cell r="R481" t="e">
            <v>#N/A</v>
          </cell>
        </row>
        <row r="482">
          <cell r="A482">
            <v>40164</v>
          </cell>
          <cell r="B482">
            <v>40164</v>
          </cell>
          <cell r="C482" t="str">
            <v>Past</v>
          </cell>
          <cell r="D482">
            <v>55.9</v>
          </cell>
          <cell r="E482" t="e">
            <v>#N/A</v>
          </cell>
          <cell r="F482" t="e">
            <v>#N/A</v>
          </cell>
          <cell r="G482" t="e">
            <v>#N/A</v>
          </cell>
          <cell r="H482" t="e">
            <v>#N/A</v>
          </cell>
          <cell r="I482" t="e">
            <v>#N/A</v>
          </cell>
          <cell r="J482" t="e">
            <v>#N/A</v>
          </cell>
          <cell r="K482" t="e">
            <v>#N/A</v>
          </cell>
          <cell r="L482" t="e">
            <v>#N/A</v>
          </cell>
          <cell r="M482" t="e">
            <v>#N/A</v>
          </cell>
          <cell r="N482" t="e">
            <v>#N/A</v>
          </cell>
          <cell r="O482" t="e">
            <v>#N/A</v>
          </cell>
          <cell r="P482">
            <v>55.9</v>
          </cell>
          <cell r="Q482">
            <v>0.53759599999999996</v>
          </cell>
          <cell r="R482" t="e">
            <v>#N/A</v>
          </cell>
        </row>
        <row r="483">
          <cell r="A483">
            <v>40165</v>
          </cell>
          <cell r="B483">
            <v>40165</v>
          </cell>
          <cell r="C483" t="str">
            <v>Past</v>
          </cell>
          <cell r="D483">
            <v>55.99</v>
          </cell>
          <cell r="E483" t="e">
            <v>#N/A</v>
          </cell>
          <cell r="F483" t="e">
            <v>#N/A</v>
          </cell>
          <cell r="G483" t="e">
            <v>#N/A</v>
          </cell>
          <cell r="H483" t="e">
            <v>#N/A</v>
          </cell>
          <cell r="I483" t="e">
            <v>#N/A</v>
          </cell>
          <cell r="J483" t="e">
            <v>#N/A</v>
          </cell>
          <cell r="K483" t="e">
            <v>#N/A</v>
          </cell>
          <cell r="L483" t="e">
            <v>#N/A</v>
          </cell>
          <cell r="M483" t="e">
            <v>#N/A</v>
          </cell>
          <cell r="N483" t="e">
            <v>#N/A</v>
          </cell>
          <cell r="O483" t="e">
            <v>#N/A</v>
          </cell>
          <cell r="P483">
            <v>55.99</v>
          </cell>
          <cell r="Q483">
            <v>0.79616799999999999</v>
          </cell>
          <cell r="R483" t="e">
            <v>#N/A</v>
          </cell>
        </row>
        <row r="484">
          <cell r="A484">
            <v>40168</v>
          </cell>
          <cell r="B484">
            <v>40168</v>
          </cell>
          <cell r="C484" t="str">
            <v>Past</v>
          </cell>
          <cell r="D484">
            <v>55.77</v>
          </cell>
          <cell r="E484" t="e">
            <v>#N/A</v>
          </cell>
          <cell r="F484" t="e">
            <v>#N/A</v>
          </cell>
          <cell r="G484" t="e">
            <v>#N/A</v>
          </cell>
          <cell r="H484" t="e">
            <v>#N/A</v>
          </cell>
          <cell r="I484" t="e">
            <v>#N/A</v>
          </cell>
          <cell r="J484" t="e">
            <v>#N/A</v>
          </cell>
          <cell r="K484" t="e">
            <v>#N/A</v>
          </cell>
          <cell r="L484" t="e">
            <v>#N/A</v>
          </cell>
          <cell r="M484" t="e">
            <v>#N/A</v>
          </cell>
          <cell r="N484" t="e">
            <v>#N/A</v>
          </cell>
          <cell r="O484" t="e">
            <v>#N/A</v>
          </cell>
          <cell r="P484">
            <v>55.77</v>
          </cell>
          <cell r="Q484">
            <v>0.78675499999999998</v>
          </cell>
          <cell r="R484" t="e">
            <v>#N/A</v>
          </cell>
        </row>
        <row r="485">
          <cell r="A485">
            <v>40169</v>
          </cell>
          <cell r="B485">
            <v>40169</v>
          </cell>
          <cell r="C485" t="str">
            <v>Past</v>
          </cell>
          <cell r="D485">
            <v>56.15</v>
          </cell>
          <cell r="E485" t="e">
            <v>#N/A</v>
          </cell>
          <cell r="F485" t="e">
            <v>#N/A</v>
          </cell>
          <cell r="G485" t="e">
            <v>#N/A</v>
          </cell>
          <cell r="H485" t="e">
            <v>#N/A</v>
          </cell>
          <cell r="I485" t="e">
            <v>#N/A</v>
          </cell>
          <cell r="J485" t="e">
            <v>#N/A</v>
          </cell>
          <cell r="K485" t="e">
            <v>#N/A</v>
          </cell>
          <cell r="L485" t="e">
            <v>#N/A</v>
          </cell>
          <cell r="M485" t="e">
            <v>#N/A</v>
          </cell>
          <cell r="N485" t="e">
            <v>#N/A</v>
          </cell>
          <cell r="O485" t="e">
            <v>#N/A</v>
          </cell>
          <cell r="P485">
            <v>56.15</v>
          </cell>
          <cell r="Q485">
            <v>0.83048899999999992</v>
          </cell>
          <cell r="R485" t="e">
            <v>#N/A</v>
          </cell>
        </row>
        <row r="486">
          <cell r="A486">
            <v>40170</v>
          </cell>
          <cell r="B486">
            <v>40170</v>
          </cell>
          <cell r="C486" t="str">
            <v>Past</v>
          </cell>
          <cell r="D486">
            <v>55.57</v>
          </cell>
          <cell r="E486" t="e">
            <v>#N/A</v>
          </cell>
          <cell r="F486" t="e">
            <v>#N/A</v>
          </cell>
          <cell r="G486" t="e">
            <v>#N/A</v>
          </cell>
          <cell r="H486" t="e">
            <v>#N/A</v>
          </cell>
          <cell r="I486" t="e">
            <v>#N/A</v>
          </cell>
          <cell r="J486" t="e">
            <v>#N/A</v>
          </cell>
          <cell r="K486" t="e">
            <v>#N/A</v>
          </cell>
          <cell r="L486" t="e">
            <v>#N/A</v>
          </cell>
          <cell r="M486" t="e">
            <v>#N/A</v>
          </cell>
          <cell r="N486" t="e">
            <v>#N/A</v>
          </cell>
          <cell r="O486" t="e">
            <v>#N/A</v>
          </cell>
          <cell r="P486">
            <v>55.57</v>
          </cell>
          <cell r="Q486">
            <v>1.2710349999999999</v>
          </cell>
          <cell r="R486" t="e">
            <v>#N/A</v>
          </cell>
        </row>
        <row r="487">
          <cell r="A487">
            <v>40171</v>
          </cell>
          <cell r="B487">
            <v>40171</v>
          </cell>
          <cell r="C487" t="str">
            <v>Past</v>
          </cell>
          <cell r="D487">
            <v>55.73</v>
          </cell>
          <cell r="E487" t="e">
            <v>#N/A</v>
          </cell>
          <cell r="F487" t="e">
            <v>#N/A</v>
          </cell>
          <cell r="G487" t="e">
            <v>#N/A</v>
          </cell>
          <cell r="H487" t="e">
            <v>#N/A</v>
          </cell>
          <cell r="I487" t="e">
            <v>#N/A</v>
          </cell>
          <cell r="J487" t="e">
            <v>#N/A</v>
          </cell>
          <cell r="K487" t="e">
            <v>#N/A</v>
          </cell>
          <cell r="L487" t="e">
            <v>#N/A</v>
          </cell>
          <cell r="M487" t="e">
            <v>#N/A</v>
          </cell>
          <cell r="N487" t="e">
            <v>#N/A</v>
          </cell>
          <cell r="O487" t="e">
            <v>#N/A</v>
          </cell>
          <cell r="P487">
            <v>55.73</v>
          </cell>
          <cell r="Q487">
            <v>0.39665099999999998</v>
          </cell>
          <cell r="R487" t="e">
            <v>#N/A</v>
          </cell>
        </row>
        <row r="488">
          <cell r="A488">
            <v>40175</v>
          </cell>
          <cell r="B488">
            <v>40175</v>
          </cell>
          <cell r="C488" t="str">
            <v>Past</v>
          </cell>
          <cell r="D488">
            <v>55.99</v>
          </cell>
          <cell r="E488" t="e">
            <v>#N/A</v>
          </cell>
          <cell r="F488" t="e">
            <v>#N/A</v>
          </cell>
          <cell r="G488" t="e">
            <v>#N/A</v>
          </cell>
          <cell r="H488" t="e">
            <v>#N/A</v>
          </cell>
          <cell r="I488" t="e">
            <v>#N/A</v>
          </cell>
          <cell r="J488" t="e">
            <v>#N/A</v>
          </cell>
          <cell r="K488" t="e">
            <v>#N/A</v>
          </cell>
          <cell r="L488" t="e">
            <v>#N/A</v>
          </cell>
          <cell r="M488" t="e">
            <v>#N/A</v>
          </cell>
          <cell r="N488" t="e">
            <v>#N/A</v>
          </cell>
          <cell r="O488" t="e">
            <v>#N/A</v>
          </cell>
          <cell r="P488">
            <v>55.99</v>
          </cell>
          <cell r="Q488">
            <v>0.74642699999999995</v>
          </cell>
          <cell r="R488" t="e">
            <v>#N/A</v>
          </cell>
        </row>
        <row r="489">
          <cell r="A489">
            <v>40176</v>
          </cell>
          <cell r="B489">
            <v>40176</v>
          </cell>
          <cell r="C489" t="str">
            <v>Past</v>
          </cell>
          <cell r="D489">
            <v>56.16</v>
          </cell>
          <cell r="E489" t="e">
            <v>#N/A</v>
          </cell>
          <cell r="F489" t="e">
            <v>#N/A</v>
          </cell>
          <cell r="G489" t="e">
            <v>#N/A</v>
          </cell>
          <cell r="H489" t="e">
            <v>#N/A</v>
          </cell>
          <cell r="I489" t="e">
            <v>#N/A</v>
          </cell>
          <cell r="J489" t="e">
            <v>#N/A</v>
          </cell>
          <cell r="K489" t="e">
            <v>#N/A</v>
          </cell>
          <cell r="L489" t="e">
            <v>#N/A</v>
          </cell>
          <cell r="M489" t="e">
            <v>#N/A</v>
          </cell>
          <cell r="N489" t="e">
            <v>#N/A</v>
          </cell>
          <cell r="O489" t="e">
            <v>#N/A</v>
          </cell>
          <cell r="P489">
            <v>56.16</v>
          </cell>
          <cell r="Q489">
            <v>0.33045199999999997</v>
          </cell>
          <cell r="R489" t="e">
            <v>#N/A</v>
          </cell>
        </row>
        <row r="490">
          <cell r="A490">
            <v>40177</v>
          </cell>
          <cell r="B490">
            <v>40177</v>
          </cell>
          <cell r="C490" t="str">
            <v>Past</v>
          </cell>
          <cell r="D490">
            <v>56.24</v>
          </cell>
          <cell r="E490" t="e">
            <v>#N/A</v>
          </cell>
          <cell r="F490" t="e">
            <v>#N/A</v>
          </cell>
          <cell r="G490" t="e">
            <v>#N/A</v>
          </cell>
          <cell r="H490" t="e">
            <v>#N/A</v>
          </cell>
          <cell r="I490" t="e">
            <v>#N/A</v>
          </cell>
          <cell r="J490" t="e">
            <v>#N/A</v>
          </cell>
          <cell r="K490" t="e">
            <v>#N/A</v>
          </cell>
          <cell r="L490" t="e">
            <v>#N/A</v>
          </cell>
          <cell r="M490" t="e">
            <v>#N/A</v>
          </cell>
          <cell r="N490" t="e">
            <v>#N/A</v>
          </cell>
          <cell r="O490" t="e">
            <v>#N/A</v>
          </cell>
          <cell r="P490">
            <v>56.24</v>
          </cell>
          <cell r="Q490">
            <v>0.35655199999999998</v>
          </cell>
          <cell r="R490" t="e">
            <v>#N/A</v>
          </cell>
        </row>
        <row r="491">
          <cell r="A491">
            <v>40178</v>
          </cell>
          <cell r="B491">
            <v>40178</v>
          </cell>
          <cell r="C491" t="str">
            <v>Past</v>
          </cell>
          <cell r="D491">
            <v>55.36</v>
          </cell>
          <cell r="E491" t="e">
            <v>#N/A</v>
          </cell>
          <cell r="F491" t="e">
            <v>#N/A</v>
          </cell>
          <cell r="G491" t="e">
            <v>#N/A</v>
          </cell>
          <cell r="H491" t="e">
            <v>#N/A</v>
          </cell>
          <cell r="I491" t="e">
            <v>#N/A</v>
          </cell>
          <cell r="J491" t="e">
            <v>#N/A</v>
          </cell>
          <cell r="K491" t="e">
            <v>#N/A</v>
          </cell>
          <cell r="L491" t="e">
            <v>#N/A</v>
          </cell>
          <cell r="M491" t="e">
            <v>#N/A</v>
          </cell>
          <cell r="N491" t="e">
            <v>#N/A</v>
          </cell>
          <cell r="O491" t="e">
            <v>#N/A</v>
          </cell>
          <cell r="P491">
            <v>55.36</v>
          </cell>
          <cell r="Q491">
            <v>0.50804700000000003</v>
          </cell>
          <cell r="R491" t="e">
            <v>#N/A</v>
          </cell>
        </row>
        <row r="492">
          <cell r="A492">
            <v>40182</v>
          </cell>
          <cell r="B492">
            <v>40182</v>
          </cell>
          <cell r="C492" t="str">
            <v>Past</v>
          </cell>
          <cell r="D492">
            <v>56.35</v>
          </cell>
          <cell r="E492" t="e">
            <v>#N/A</v>
          </cell>
          <cell r="F492" t="e">
            <v>#N/A</v>
          </cell>
          <cell r="G492" t="e">
            <v>#N/A</v>
          </cell>
          <cell r="H492" t="e">
            <v>#N/A</v>
          </cell>
          <cell r="I492" t="e">
            <v>#N/A</v>
          </cell>
          <cell r="J492" t="e">
            <v>#N/A</v>
          </cell>
          <cell r="K492" t="e">
            <v>#N/A</v>
          </cell>
          <cell r="L492" t="e">
            <v>#N/A</v>
          </cell>
          <cell r="M492" t="e">
            <v>#N/A</v>
          </cell>
          <cell r="N492" t="e">
            <v>#N/A</v>
          </cell>
          <cell r="O492" t="e">
            <v>#N/A</v>
          </cell>
          <cell r="P492">
            <v>56.35</v>
          </cell>
          <cell r="Q492">
            <v>0.82801099999999994</v>
          </cell>
          <cell r="R492" t="e">
            <v>#N/A</v>
          </cell>
        </row>
        <row r="493">
          <cell r="A493">
            <v>40183</v>
          </cell>
          <cell r="B493">
            <v>40183</v>
          </cell>
          <cell r="C493" t="str">
            <v>Past</v>
          </cell>
          <cell r="D493">
            <v>56.36</v>
          </cell>
          <cell r="E493" t="e">
            <v>#N/A</v>
          </cell>
          <cell r="F493" t="e">
            <v>#N/A</v>
          </cell>
          <cell r="G493" t="e">
            <v>#N/A</v>
          </cell>
          <cell r="H493" t="e">
            <v>#N/A</v>
          </cell>
          <cell r="I493" t="e">
            <v>#N/A</v>
          </cell>
          <cell r="J493" t="e">
            <v>#N/A</v>
          </cell>
          <cell r="K493" t="e">
            <v>#N/A</v>
          </cell>
          <cell r="L493" t="e">
            <v>#N/A</v>
          </cell>
          <cell r="M493" t="e">
            <v>#N/A</v>
          </cell>
          <cell r="N493" t="e">
            <v>#N/A</v>
          </cell>
          <cell r="O493" t="e">
            <v>#N/A</v>
          </cell>
          <cell r="P493">
            <v>56.36</v>
          </cell>
          <cell r="Q493">
            <v>0.51512000000000002</v>
          </cell>
          <cell r="R493" t="e">
            <v>#N/A</v>
          </cell>
        </row>
        <row r="494">
          <cell r="A494">
            <v>40184</v>
          </cell>
          <cell r="B494">
            <v>40184</v>
          </cell>
          <cell r="C494" t="str">
            <v>Past</v>
          </cell>
          <cell r="D494">
            <v>56.42</v>
          </cell>
          <cell r="E494" t="e">
            <v>#N/A</v>
          </cell>
          <cell r="F494" t="e">
            <v>#N/A</v>
          </cell>
          <cell r="G494" t="e">
            <v>#N/A</v>
          </cell>
          <cell r="H494" t="e">
            <v>#N/A</v>
          </cell>
          <cell r="I494" t="e">
            <v>#N/A</v>
          </cell>
          <cell r="J494" t="e">
            <v>#N/A</v>
          </cell>
          <cell r="K494" t="e">
            <v>#N/A</v>
          </cell>
          <cell r="L494" t="e">
            <v>#N/A</v>
          </cell>
          <cell r="M494" t="e">
            <v>#N/A</v>
          </cell>
          <cell r="N494" t="e">
            <v>#N/A</v>
          </cell>
          <cell r="O494" t="e">
            <v>#N/A</v>
          </cell>
          <cell r="P494">
            <v>56.42</v>
          </cell>
          <cell r="Q494">
            <v>0.89539599999999997</v>
          </cell>
          <cell r="R494" t="e">
            <v>#N/A</v>
          </cell>
        </row>
        <row r="495">
          <cell r="A495">
            <v>40185</v>
          </cell>
          <cell r="B495">
            <v>40185</v>
          </cell>
          <cell r="C495" t="str">
            <v>Past</v>
          </cell>
          <cell r="D495">
            <v>56.83</v>
          </cell>
          <cell r="E495" t="e">
            <v>#N/A</v>
          </cell>
          <cell r="F495" t="e">
            <v>#N/A</v>
          </cell>
          <cell r="G495" t="e">
            <v>#N/A</v>
          </cell>
          <cell r="H495" t="e">
            <v>#N/A</v>
          </cell>
          <cell r="I495" t="e">
            <v>#N/A</v>
          </cell>
          <cell r="J495" t="e">
            <v>#N/A</v>
          </cell>
          <cell r="K495" t="e">
            <v>#N/A</v>
          </cell>
          <cell r="L495" t="e">
            <v>#N/A</v>
          </cell>
          <cell r="M495" t="e">
            <v>#N/A</v>
          </cell>
          <cell r="N495" t="e">
            <v>#N/A</v>
          </cell>
          <cell r="O495" t="e">
            <v>#N/A</v>
          </cell>
          <cell r="P495">
            <v>56.83</v>
          </cell>
          <cell r="Q495">
            <v>0.60548899999999994</v>
          </cell>
          <cell r="R495" t="e">
            <v>#N/A</v>
          </cell>
        </row>
        <row r="496">
          <cell r="A496">
            <v>40186</v>
          </cell>
          <cell r="B496">
            <v>40186</v>
          </cell>
          <cell r="C496" t="str">
            <v>Past</v>
          </cell>
          <cell r="D496">
            <v>57.39</v>
          </cell>
          <cell r="E496" t="e">
            <v>#N/A</v>
          </cell>
          <cell r="F496" t="e">
            <v>#N/A</v>
          </cell>
          <cell r="G496" t="e">
            <v>#N/A</v>
          </cell>
          <cell r="H496" t="e">
            <v>#N/A</v>
          </cell>
          <cell r="I496" t="e">
            <v>#N/A</v>
          </cell>
          <cell r="J496" t="e">
            <v>#N/A</v>
          </cell>
          <cell r="K496" t="e">
            <v>#N/A</v>
          </cell>
          <cell r="L496" t="e">
            <v>#N/A</v>
          </cell>
          <cell r="M496" t="e">
            <v>#N/A</v>
          </cell>
          <cell r="N496" t="e">
            <v>#N/A</v>
          </cell>
          <cell r="O496" t="e">
            <v>#N/A</v>
          </cell>
          <cell r="P496">
            <v>57.39</v>
          </cell>
          <cell r="Q496">
            <v>0.59313899999999997</v>
          </cell>
          <cell r="R496" t="e">
            <v>#N/A</v>
          </cell>
        </row>
        <row r="497">
          <cell r="A497">
            <v>40189</v>
          </cell>
          <cell r="B497">
            <v>40189</v>
          </cell>
          <cell r="C497" t="str">
            <v>Past</v>
          </cell>
          <cell r="D497">
            <v>57</v>
          </cell>
          <cell r="E497" t="e">
            <v>#N/A</v>
          </cell>
          <cell r="F497" t="e">
            <v>#N/A</v>
          </cell>
          <cell r="G497" t="e">
            <v>#N/A</v>
          </cell>
          <cell r="H497" t="e">
            <v>#N/A</v>
          </cell>
          <cell r="I497" t="e">
            <v>#N/A</v>
          </cell>
          <cell r="J497" t="e">
            <v>#N/A</v>
          </cell>
          <cell r="K497" t="e">
            <v>#N/A</v>
          </cell>
          <cell r="L497" t="e">
            <v>#N/A</v>
          </cell>
          <cell r="M497" t="e">
            <v>#N/A</v>
          </cell>
          <cell r="N497" t="e">
            <v>#N/A</v>
          </cell>
          <cell r="O497" t="e">
            <v>#N/A</v>
          </cell>
          <cell r="P497">
            <v>57</v>
          </cell>
          <cell r="Q497">
            <v>0.57861399999999996</v>
          </cell>
          <cell r="R497" t="e">
            <v>#N/A</v>
          </cell>
        </row>
        <row r="498">
          <cell r="A498">
            <v>40190</v>
          </cell>
          <cell r="B498">
            <v>40190</v>
          </cell>
          <cell r="C498" t="str">
            <v>Past</v>
          </cell>
          <cell r="D498">
            <v>56.56</v>
          </cell>
          <cell r="E498" t="e">
            <v>#N/A</v>
          </cell>
          <cell r="F498" t="e">
            <v>#N/A</v>
          </cell>
          <cell r="G498" t="e">
            <v>#N/A</v>
          </cell>
          <cell r="H498" t="e">
            <v>#N/A</v>
          </cell>
          <cell r="I498" t="e">
            <v>#N/A</v>
          </cell>
          <cell r="J498" t="e">
            <v>#N/A</v>
          </cell>
          <cell r="K498" t="e">
            <v>#N/A</v>
          </cell>
          <cell r="L498" t="e">
            <v>#N/A</v>
          </cell>
          <cell r="M498" t="e">
            <v>#N/A</v>
          </cell>
          <cell r="N498" t="e">
            <v>#N/A</v>
          </cell>
          <cell r="O498" t="e">
            <v>#N/A</v>
          </cell>
          <cell r="P498">
            <v>56.56</v>
          </cell>
          <cell r="Q498">
            <v>0.58831699999999998</v>
          </cell>
          <cell r="R498" t="e">
            <v>#N/A</v>
          </cell>
        </row>
        <row r="499">
          <cell r="A499">
            <v>40191</v>
          </cell>
          <cell r="B499">
            <v>40191</v>
          </cell>
          <cell r="C499" t="str">
            <v>Past</v>
          </cell>
          <cell r="D499">
            <v>56.8</v>
          </cell>
          <cell r="E499" t="e">
            <v>#N/A</v>
          </cell>
          <cell r="F499" t="e">
            <v>#N/A</v>
          </cell>
          <cell r="G499" t="e">
            <v>#N/A</v>
          </cell>
          <cell r="H499" t="e">
            <v>#N/A</v>
          </cell>
          <cell r="I499" t="e">
            <v>#N/A</v>
          </cell>
          <cell r="J499" t="e">
            <v>#N/A</v>
          </cell>
          <cell r="K499" t="e">
            <v>#N/A</v>
          </cell>
          <cell r="L499" t="e">
            <v>#N/A</v>
          </cell>
          <cell r="M499" t="e">
            <v>#N/A</v>
          </cell>
          <cell r="N499" t="e">
            <v>#N/A</v>
          </cell>
          <cell r="O499" t="e">
            <v>#N/A</v>
          </cell>
          <cell r="P499">
            <v>56.8</v>
          </cell>
          <cell r="Q499">
            <v>0.42825799999999997</v>
          </cell>
          <cell r="R499" t="e">
            <v>#N/A</v>
          </cell>
        </row>
        <row r="500">
          <cell r="A500">
            <v>40192</v>
          </cell>
          <cell r="B500">
            <v>40192</v>
          </cell>
          <cell r="C500" t="str">
            <v>Past</v>
          </cell>
          <cell r="D500">
            <v>57.07</v>
          </cell>
          <cell r="E500" t="e">
            <v>#N/A</v>
          </cell>
          <cell r="F500" t="e">
            <v>#N/A</v>
          </cell>
          <cell r="G500" t="e">
            <v>#N/A</v>
          </cell>
          <cell r="H500" t="e">
            <v>#N/A</v>
          </cell>
          <cell r="I500" t="e">
            <v>#N/A</v>
          </cell>
          <cell r="J500" t="e">
            <v>#N/A</v>
          </cell>
          <cell r="K500" t="e">
            <v>#N/A</v>
          </cell>
          <cell r="L500" t="e">
            <v>#N/A</v>
          </cell>
          <cell r="M500" t="e">
            <v>#N/A</v>
          </cell>
          <cell r="N500" t="e">
            <v>#N/A</v>
          </cell>
          <cell r="O500" t="e">
            <v>#N/A</v>
          </cell>
          <cell r="P500">
            <v>57.07</v>
          </cell>
          <cell r="Q500">
            <v>0.41117599999999999</v>
          </cell>
          <cell r="R500" t="e">
            <v>#N/A</v>
          </cell>
        </row>
        <row r="501">
          <cell r="A501">
            <v>40193</v>
          </cell>
          <cell r="B501">
            <v>40193</v>
          </cell>
          <cell r="C501" t="str">
            <v>Past</v>
          </cell>
          <cell r="D501">
            <v>56.7</v>
          </cell>
          <cell r="E501" t="e">
            <v>#N/A</v>
          </cell>
          <cell r="F501" t="e">
            <v>#N/A</v>
          </cell>
          <cell r="G501" t="e">
            <v>#N/A</v>
          </cell>
          <cell r="H501" t="e">
            <v>#N/A</v>
          </cell>
          <cell r="I501" t="e">
            <v>#N/A</v>
          </cell>
          <cell r="J501" t="e">
            <v>#N/A</v>
          </cell>
          <cell r="K501" t="e">
            <v>#N/A</v>
          </cell>
          <cell r="L501" t="e">
            <v>#N/A</v>
          </cell>
          <cell r="M501" t="e">
            <v>#N/A</v>
          </cell>
          <cell r="N501" t="e">
            <v>#N/A</v>
          </cell>
          <cell r="O501" t="e">
            <v>#N/A</v>
          </cell>
          <cell r="P501">
            <v>56.7</v>
          </cell>
          <cell r="Q501">
            <v>0.635907</v>
          </cell>
          <cell r="R501" t="e">
            <v>#N/A</v>
          </cell>
        </row>
        <row r="502">
          <cell r="A502">
            <v>40197</v>
          </cell>
          <cell r="B502">
            <v>40197</v>
          </cell>
          <cell r="C502" t="str">
            <v>Past</v>
          </cell>
          <cell r="D502">
            <v>56.78</v>
          </cell>
          <cell r="E502" t="e">
            <v>#N/A</v>
          </cell>
          <cell r="F502" t="e">
            <v>#N/A</v>
          </cell>
          <cell r="G502" t="e">
            <v>#N/A</v>
          </cell>
          <cell r="H502" t="e">
            <v>#N/A</v>
          </cell>
          <cell r="I502" t="e">
            <v>#N/A</v>
          </cell>
          <cell r="J502" t="e">
            <v>#N/A</v>
          </cell>
          <cell r="K502" t="e">
            <v>#N/A</v>
          </cell>
          <cell r="L502" t="e">
            <v>#N/A</v>
          </cell>
          <cell r="M502" t="e">
            <v>#N/A</v>
          </cell>
          <cell r="N502" t="e">
            <v>#N/A</v>
          </cell>
          <cell r="O502" t="e">
            <v>#N/A</v>
          </cell>
          <cell r="P502">
            <v>56.78</v>
          </cell>
          <cell r="Q502">
            <v>0.761459</v>
          </cell>
          <cell r="R502" t="e">
            <v>#N/A</v>
          </cell>
        </row>
        <row r="503">
          <cell r="A503">
            <v>40198</v>
          </cell>
          <cell r="B503">
            <v>40198</v>
          </cell>
          <cell r="C503" t="str">
            <v>Past</v>
          </cell>
          <cell r="D503">
            <v>56.04</v>
          </cell>
          <cell r="E503" t="e">
            <v>#N/A</v>
          </cell>
          <cell r="F503" t="e">
            <v>#N/A</v>
          </cell>
          <cell r="G503" t="e">
            <v>#N/A</v>
          </cell>
          <cell r="H503" t="e">
            <v>#N/A</v>
          </cell>
          <cell r="I503" t="e">
            <v>#N/A</v>
          </cell>
          <cell r="J503" t="e">
            <v>#N/A</v>
          </cell>
          <cell r="K503" t="e">
            <v>#N/A</v>
          </cell>
          <cell r="L503" t="e">
            <v>#N/A</v>
          </cell>
          <cell r="M503" t="e">
            <v>#N/A</v>
          </cell>
          <cell r="N503" t="e">
            <v>#N/A</v>
          </cell>
          <cell r="O503" t="e">
            <v>#N/A</v>
          </cell>
          <cell r="P503">
            <v>56.04</v>
          </cell>
          <cell r="Q503">
            <v>0.81456499999999998</v>
          </cell>
          <cell r="R503" t="e">
            <v>#N/A</v>
          </cell>
        </row>
        <row r="504">
          <cell r="A504">
            <v>40199</v>
          </cell>
          <cell r="B504">
            <v>40199</v>
          </cell>
          <cell r="C504" t="str">
            <v>Past</v>
          </cell>
          <cell r="D504">
            <v>54.47</v>
          </cell>
          <cell r="E504" t="e">
            <v>#N/A</v>
          </cell>
          <cell r="F504" t="e">
            <v>#N/A</v>
          </cell>
          <cell r="G504" t="e">
            <v>#N/A</v>
          </cell>
          <cell r="H504" t="e">
            <v>#N/A</v>
          </cell>
          <cell r="I504" t="e">
            <v>#N/A</v>
          </cell>
          <cell r="J504" t="e">
            <v>#N/A</v>
          </cell>
          <cell r="K504" t="e">
            <v>#N/A</v>
          </cell>
          <cell r="L504" t="e">
            <v>#N/A</v>
          </cell>
          <cell r="M504" t="e">
            <v>#N/A</v>
          </cell>
          <cell r="N504" t="e">
            <v>#N/A</v>
          </cell>
          <cell r="O504" t="e">
            <v>#N/A</v>
          </cell>
          <cell r="P504">
            <v>54.47</v>
          </cell>
          <cell r="Q504">
            <v>1.532249</v>
          </cell>
          <cell r="R504" t="e">
            <v>#N/A</v>
          </cell>
        </row>
        <row r="505">
          <cell r="A505">
            <v>40200</v>
          </cell>
          <cell r="B505">
            <v>40200</v>
          </cell>
          <cell r="C505" t="str">
            <v>Past</v>
          </cell>
          <cell r="D505">
            <v>53.68</v>
          </cell>
          <cell r="E505" t="e">
            <v>#N/A</v>
          </cell>
          <cell r="F505" t="e">
            <v>#N/A</v>
          </cell>
          <cell r="G505" t="e">
            <v>#N/A</v>
          </cell>
          <cell r="H505" t="e">
            <v>#N/A</v>
          </cell>
          <cell r="I505" t="e">
            <v>#N/A</v>
          </cell>
          <cell r="J505" t="e">
            <v>#N/A</v>
          </cell>
          <cell r="K505" t="e">
            <v>#N/A</v>
          </cell>
          <cell r="L505" t="e">
            <v>#N/A</v>
          </cell>
          <cell r="M505" t="e">
            <v>#N/A</v>
          </cell>
          <cell r="N505" t="e">
            <v>#N/A</v>
          </cell>
          <cell r="O505" t="e">
            <v>#N/A</v>
          </cell>
          <cell r="P505">
            <v>53.68</v>
          </cell>
          <cell r="Q505">
            <v>0.77065000000000006</v>
          </cell>
          <cell r="R505" t="e">
            <v>#N/A</v>
          </cell>
        </row>
        <row r="506">
          <cell r="A506">
            <v>40203</v>
          </cell>
          <cell r="B506">
            <v>40203</v>
          </cell>
          <cell r="C506" t="str">
            <v>Past</v>
          </cell>
          <cell r="D506">
            <v>53.51</v>
          </cell>
          <cell r="E506" t="e">
            <v>#N/A</v>
          </cell>
          <cell r="F506" t="e">
            <v>#N/A</v>
          </cell>
          <cell r="G506" t="e">
            <v>#N/A</v>
          </cell>
          <cell r="H506" t="e">
            <v>#N/A</v>
          </cell>
          <cell r="I506" t="e">
            <v>#N/A</v>
          </cell>
          <cell r="J506" t="e">
            <v>#N/A</v>
          </cell>
          <cell r="K506" t="e">
            <v>#N/A</v>
          </cell>
          <cell r="L506" t="e">
            <v>#N/A</v>
          </cell>
          <cell r="M506" t="e">
            <v>#N/A</v>
          </cell>
          <cell r="N506" t="e">
            <v>#N/A</v>
          </cell>
          <cell r="O506" t="e">
            <v>#N/A</v>
          </cell>
          <cell r="P506">
            <v>53.51</v>
          </cell>
          <cell r="Q506">
            <v>0.67970199999999992</v>
          </cell>
          <cell r="R506" t="e">
            <v>#N/A</v>
          </cell>
        </row>
        <row r="507">
          <cell r="A507">
            <v>40204</v>
          </cell>
          <cell r="B507">
            <v>40204</v>
          </cell>
          <cell r="C507" t="str">
            <v>Past</v>
          </cell>
          <cell r="D507">
            <v>53.16</v>
          </cell>
          <cell r="E507" t="e">
            <v>#N/A</v>
          </cell>
          <cell r="F507" t="e">
            <v>#N/A</v>
          </cell>
          <cell r="G507" t="e">
            <v>#N/A</v>
          </cell>
          <cell r="H507" t="e">
            <v>#N/A</v>
          </cell>
          <cell r="I507" t="e">
            <v>#N/A</v>
          </cell>
          <cell r="J507" t="e">
            <v>#N/A</v>
          </cell>
          <cell r="K507" t="e">
            <v>#N/A</v>
          </cell>
          <cell r="L507" t="e">
            <v>#N/A</v>
          </cell>
          <cell r="M507" t="e">
            <v>#N/A</v>
          </cell>
          <cell r="N507" t="e">
            <v>#N/A</v>
          </cell>
          <cell r="O507" t="e">
            <v>#N/A</v>
          </cell>
          <cell r="P507">
            <v>53.16</v>
          </cell>
          <cell r="Q507">
            <v>0.76214799999999994</v>
          </cell>
          <cell r="R507" t="e">
            <v>#N/A</v>
          </cell>
        </row>
        <row r="508">
          <cell r="A508">
            <v>40205</v>
          </cell>
          <cell r="B508">
            <v>40205</v>
          </cell>
          <cell r="C508" t="str">
            <v>Past</v>
          </cell>
          <cell r="D508">
            <v>53.64</v>
          </cell>
          <cell r="E508" t="e">
            <v>#N/A</v>
          </cell>
          <cell r="F508" t="e">
            <v>#N/A</v>
          </cell>
          <cell r="G508" t="e">
            <v>#N/A</v>
          </cell>
          <cell r="H508" t="e">
            <v>#N/A</v>
          </cell>
          <cell r="I508" t="e">
            <v>#N/A</v>
          </cell>
          <cell r="J508" t="e">
            <v>#N/A</v>
          </cell>
          <cell r="K508" t="e">
            <v>#N/A</v>
          </cell>
          <cell r="L508" t="e">
            <v>#N/A</v>
          </cell>
          <cell r="M508" t="e">
            <v>#N/A</v>
          </cell>
          <cell r="N508" t="e">
            <v>#N/A</v>
          </cell>
          <cell r="O508" t="e">
            <v>#N/A</v>
          </cell>
          <cell r="P508">
            <v>53.64</v>
          </cell>
          <cell r="Q508">
            <v>1.0098240000000001</v>
          </cell>
          <cell r="R508" t="e">
            <v>#N/A</v>
          </cell>
        </row>
        <row r="509">
          <cell r="A509">
            <v>40206</v>
          </cell>
          <cell r="B509">
            <v>40206</v>
          </cell>
          <cell r="C509" t="str">
            <v>Past</v>
          </cell>
          <cell r="D509">
            <v>53.3</v>
          </cell>
          <cell r="E509" t="e">
            <v>#N/A</v>
          </cell>
          <cell r="F509" t="e">
            <v>#N/A</v>
          </cell>
          <cell r="G509" t="e">
            <v>#N/A</v>
          </cell>
          <cell r="H509" t="e">
            <v>#N/A</v>
          </cell>
          <cell r="I509" t="e">
            <v>#N/A</v>
          </cell>
          <cell r="J509" t="e">
            <v>#N/A</v>
          </cell>
          <cell r="K509" t="e">
            <v>#N/A</v>
          </cell>
          <cell r="L509" t="e">
            <v>#N/A</v>
          </cell>
          <cell r="M509" t="e">
            <v>#N/A</v>
          </cell>
          <cell r="N509" t="e">
            <v>#N/A</v>
          </cell>
          <cell r="O509" t="e">
            <v>#N/A</v>
          </cell>
          <cell r="P509">
            <v>53.3</v>
          </cell>
          <cell r="Q509">
            <v>0.96841599999999994</v>
          </cell>
          <cell r="R509" t="e">
            <v>#N/A</v>
          </cell>
        </row>
        <row r="510">
          <cell r="A510">
            <v>40207</v>
          </cell>
          <cell r="B510">
            <v>40207</v>
          </cell>
          <cell r="C510" t="str">
            <v>Past</v>
          </cell>
          <cell r="D510">
            <v>53.19</v>
          </cell>
          <cell r="E510" t="e">
            <v>#N/A</v>
          </cell>
          <cell r="F510" t="e">
            <v>#N/A</v>
          </cell>
          <cell r="G510" t="e">
            <v>#N/A</v>
          </cell>
          <cell r="H510" t="e">
            <v>#N/A</v>
          </cell>
          <cell r="I510" t="e">
            <v>#N/A</v>
          </cell>
          <cell r="J510" t="e">
            <v>#N/A</v>
          </cell>
          <cell r="K510" t="e">
            <v>#N/A</v>
          </cell>
          <cell r="L510" t="e">
            <v>#N/A</v>
          </cell>
          <cell r="M510" t="e">
            <v>#N/A</v>
          </cell>
          <cell r="N510" t="e">
            <v>#N/A</v>
          </cell>
          <cell r="O510" t="e">
            <v>#N/A</v>
          </cell>
          <cell r="P510">
            <v>53.19</v>
          </cell>
          <cell r="Q510">
            <v>1.1838949999999999</v>
          </cell>
          <cell r="R510" t="e">
            <v>#N/A</v>
          </cell>
        </row>
        <row r="511">
          <cell r="A511">
            <v>40210</v>
          </cell>
          <cell r="B511">
            <v>40210</v>
          </cell>
          <cell r="C511" t="str">
            <v>Past</v>
          </cell>
          <cell r="D511">
            <v>54.04</v>
          </cell>
          <cell r="E511" t="e">
            <v>#N/A</v>
          </cell>
          <cell r="F511" t="e">
            <v>#N/A</v>
          </cell>
          <cell r="G511" t="e">
            <v>#N/A</v>
          </cell>
          <cell r="H511" t="e">
            <v>#N/A</v>
          </cell>
          <cell r="I511" t="e">
            <v>#N/A</v>
          </cell>
          <cell r="J511" t="e">
            <v>#N/A</v>
          </cell>
          <cell r="K511" t="e">
            <v>#N/A</v>
          </cell>
          <cell r="L511" t="e">
            <v>#N/A</v>
          </cell>
          <cell r="M511" t="e">
            <v>#N/A</v>
          </cell>
          <cell r="N511" t="e">
            <v>#N/A</v>
          </cell>
          <cell r="O511" t="e">
            <v>#N/A</v>
          </cell>
          <cell r="P511">
            <v>54.04</v>
          </cell>
          <cell r="Q511">
            <v>0.86742399999999997</v>
          </cell>
          <cell r="R511" t="e">
            <v>#N/A</v>
          </cell>
        </row>
        <row r="512">
          <cell r="A512">
            <v>40211</v>
          </cell>
          <cell r="B512">
            <v>40211</v>
          </cell>
          <cell r="C512" t="str">
            <v>Past</v>
          </cell>
          <cell r="D512">
            <v>54.88</v>
          </cell>
          <cell r="E512" t="e">
            <v>#N/A</v>
          </cell>
          <cell r="F512" t="e">
            <v>#N/A</v>
          </cell>
          <cell r="G512" t="e">
            <v>#N/A</v>
          </cell>
          <cell r="H512" t="e">
            <v>#N/A</v>
          </cell>
          <cell r="I512" t="e">
            <v>#N/A</v>
          </cell>
          <cell r="J512" t="e">
            <v>#N/A</v>
          </cell>
          <cell r="K512" t="e">
            <v>#N/A</v>
          </cell>
          <cell r="L512" t="e">
            <v>#N/A</v>
          </cell>
          <cell r="M512" t="e">
            <v>#N/A</v>
          </cell>
          <cell r="N512" t="e">
            <v>#N/A</v>
          </cell>
          <cell r="O512" t="e">
            <v>#N/A</v>
          </cell>
          <cell r="P512">
            <v>54.88</v>
          </cell>
          <cell r="Q512">
            <v>0.9135359999999999</v>
          </cell>
          <cell r="R512" t="e">
            <v>#N/A</v>
          </cell>
        </row>
        <row r="513">
          <cell r="A513">
            <v>40212</v>
          </cell>
          <cell r="B513">
            <v>40212</v>
          </cell>
          <cell r="C513" t="str">
            <v>Past</v>
          </cell>
          <cell r="D513">
            <v>54.75</v>
          </cell>
          <cell r="E513" t="e">
            <v>#N/A</v>
          </cell>
          <cell r="F513" t="e">
            <v>#N/A</v>
          </cell>
          <cell r="G513" t="e">
            <v>#N/A</v>
          </cell>
          <cell r="H513" t="e">
            <v>#N/A</v>
          </cell>
          <cell r="I513" t="e">
            <v>#N/A</v>
          </cell>
          <cell r="J513" t="e">
            <v>#N/A</v>
          </cell>
          <cell r="K513" t="e">
            <v>#N/A</v>
          </cell>
          <cell r="L513" t="e">
            <v>#N/A</v>
          </cell>
          <cell r="M513" t="e">
            <v>#N/A</v>
          </cell>
          <cell r="N513" t="e">
            <v>#N/A</v>
          </cell>
          <cell r="O513" t="e">
            <v>#N/A</v>
          </cell>
          <cell r="P513">
            <v>54.75</v>
          </cell>
          <cell r="Q513">
            <v>0.78450599999999993</v>
          </cell>
          <cell r="R513" t="e">
            <v>#N/A</v>
          </cell>
        </row>
        <row r="514">
          <cell r="A514">
            <v>40213</v>
          </cell>
          <cell r="B514">
            <v>40213</v>
          </cell>
          <cell r="C514" t="str">
            <v>Past</v>
          </cell>
          <cell r="D514">
            <v>53.11</v>
          </cell>
          <cell r="E514" t="e">
            <v>#N/A</v>
          </cell>
          <cell r="F514" t="e">
            <v>#N/A</v>
          </cell>
          <cell r="G514" t="e">
            <v>#N/A</v>
          </cell>
          <cell r="H514" t="e">
            <v>#N/A</v>
          </cell>
          <cell r="I514" t="e">
            <v>#N/A</v>
          </cell>
          <cell r="J514" t="e">
            <v>#N/A</v>
          </cell>
          <cell r="K514" t="e">
            <v>#N/A</v>
          </cell>
          <cell r="L514" t="e">
            <v>#N/A</v>
          </cell>
          <cell r="M514" t="e">
            <v>#N/A</v>
          </cell>
          <cell r="N514" t="e">
            <v>#N/A</v>
          </cell>
          <cell r="O514" t="e">
            <v>#N/A</v>
          </cell>
          <cell r="P514">
            <v>53.11</v>
          </cell>
          <cell r="Q514">
            <v>0.89056499999999994</v>
          </cell>
          <cell r="R514" t="e">
            <v>#N/A</v>
          </cell>
        </row>
        <row r="515">
          <cell r="A515">
            <v>40214</v>
          </cell>
          <cell r="B515">
            <v>40214</v>
          </cell>
          <cell r="C515" t="str">
            <v>Past</v>
          </cell>
          <cell r="D515">
            <v>52.91</v>
          </cell>
          <cell r="E515" t="e">
            <v>#N/A</v>
          </cell>
          <cell r="F515" t="e">
            <v>#N/A</v>
          </cell>
          <cell r="G515" t="e">
            <v>#N/A</v>
          </cell>
          <cell r="H515" t="e">
            <v>#N/A</v>
          </cell>
          <cell r="I515" t="e">
            <v>#N/A</v>
          </cell>
          <cell r="J515" t="e">
            <v>#N/A</v>
          </cell>
          <cell r="K515" t="e">
            <v>#N/A</v>
          </cell>
          <cell r="L515" t="e">
            <v>#N/A</v>
          </cell>
          <cell r="M515" t="e">
            <v>#N/A</v>
          </cell>
          <cell r="N515" t="e">
            <v>#N/A</v>
          </cell>
          <cell r="O515" t="e">
            <v>#N/A</v>
          </cell>
          <cell r="P515">
            <v>52.91</v>
          </cell>
          <cell r="Q515">
            <v>1.242391</v>
          </cell>
          <cell r="R515" t="e">
            <v>#N/A</v>
          </cell>
        </row>
        <row r="516">
          <cell r="A516">
            <v>40217</v>
          </cell>
          <cell r="B516">
            <v>40217</v>
          </cell>
          <cell r="C516" t="str">
            <v>Past</v>
          </cell>
          <cell r="D516">
            <v>52.23</v>
          </cell>
          <cell r="E516" t="e">
            <v>#N/A</v>
          </cell>
          <cell r="F516" t="e">
            <v>#N/A</v>
          </cell>
          <cell r="G516" t="e">
            <v>#N/A</v>
          </cell>
          <cell r="H516" t="e">
            <v>#N/A</v>
          </cell>
          <cell r="I516" t="e">
            <v>#N/A</v>
          </cell>
          <cell r="J516" t="e">
            <v>#N/A</v>
          </cell>
          <cell r="K516" t="e">
            <v>#N/A</v>
          </cell>
          <cell r="L516" t="e">
            <v>#N/A</v>
          </cell>
          <cell r="M516" t="e">
            <v>#N/A</v>
          </cell>
          <cell r="N516" t="e">
            <v>#N/A</v>
          </cell>
          <cell r="O516" t="e">
            <v>#N/A</v>
          </cell>
          <cell r="P516">
            <v>52.23</v>
          </cell>
          <cell r="Q516">
            <v>0.59411099999999994</v>
          </cell>
          <cell r="R516" t="e">
            <v>#N/A</v>
          </cell>
        </row>
        <row r="517">
          <cell r="A517">
            <v>40218</v>
          </cell>
          <cell r="B517">
            <v>40218</v>
          </cell>
          <cell r="C517" t="str">
            <v>Past</v>
          </cell>
          <cell r="D517">
            <v>53.3</v>
          </cell>
          <cell r="E517" t="e">
            <v>#N/A</v>
          </cell>
          <cell r="F517" t="e">
            <v>#N/A</v>
          </cell>
          <cell r="G517" t="e">
            <v>#N/A</v>
          </cell>
          <cell r="H517" t="e">
            <v>#N/A</v>
          </cell>
          <cell r="I517" t="e">
            <v>#N/A</v>
          </cell>
          <cell r="J517" t="e">
            <v>#N/A</v>
          </cell>
          <cell r="K517" t="e">
            <v>#N/A</v>
          </cell>
          <cell r="L517" t="e">
            <v>#N/A</v>
          </cell>
          <cell r="M517" t="e">
            <v>#N/A</v>
          </cell>
          <cell r="N517" t="e">
            <v>#N/A</v>
          </cell>
          <cell r="O517" t="e">
            <v>#N/A</v>
          </cell>
          <cell r="P517">
            <v>53.3</v>
          </cell>
          <cell r="Q517">
            <v>0.99115299999999995</v>
          </cell>
          <cell r="R517" t="e">
            <v>#N/A</v>
          </cell>
        </row>
        <row r="518">
          <cell r="A518">
            <v>40219</v>
          </cell>
          <cell r="B518">
            <v>40219</v>
          </cell>
          <cell r="C518" t="str">
            <v>Past</v>
          </cell>
          <cell r="D518">
            <v>52.9</v>
          </cell>
          <cell r="E518" t="e">
            <v>#N/A</v>
          </cell>
          <cell r="F518" t="e">
            <v>#N/A</v>
          </cell>
          <cell r="G518" t="e">
            <v>#N/A</v>
          </cell>
          <cell r="H518" t="e">
            <v>#N/A</v>
          </cell>
          <cell r="I518" t="e">
            <v>#N/A</v>
          </cell>
          <cell r="J518" t="e">
            <v>#N/A</v>
          </cell>
          <cell r="K518" t="e">
            <v>#N/A</v>
          </cell>
          <cell r="L518" t="e">
            <v>#N/A</v>
          </cell>
          <cell r="M518" t="e">
            <v>#N/A</v>
          </cell>
          <cell r="N518" t="e">
            <v>#N/A</v>
          </cell>
          <cell r="O518" t="e">
            <v>#N/A</v>
          </cell>
          <cell r="P518">
            <v>52.9</v>
          </cell>
          <cell r="Q518">
            <v>0.65382200000000001</v>
          </cell>
          <cell r="R518" t="e">
            <v>#N/A</v>
          </cell>
        </row>
        <row r="519">
          <cell r="A519">
            <v>40220</v>
          </cell>
          <cell r="B519">
            <v>40220</v>
          </cell>
          <cell r="C519" t="str">
            <v>Past</v>
          </cell>
          <cell r="D519">
            <v>53.55</v>
          </cell>
          <cell r="E519" t="e">
            <v>#N/A</v>
          </cell>
          <cell r="F519" t="e">
            <v>#N/A</v>
          </cell>
          <cell r="G519" t="e">
            <v>#N/A</v>
          </cell>
          <cell r="H519" t="e">
            <v>#N/A</v>
          </cell>
          <cell r="I519" t="e">
            <v>#N/A</v>
          </cell>
          <cell r="J519" t="e">
            <v>#N/A</v>
          </cell>
          <cell r="K519" t="e">
            <v>#N/A</v>
          </cell>
          <cell r="L519" t="e">
            <v>#N/A</v>
          </cell>
          <cell r="M519" t="e">
            <v>#N/A</v>
          </cell>
          <cell r="N519" t="e">
            <v>#N/A</v>
          </cell>
          <cell r="O519" t="e">
            <v>#N/A</v>
          </cell>
          <cell r="P519">
            <v>53.55</v>
          </cell>
          <cell r="Q519">
            <v>0.59959200000000001</v>
          </cell>
          <cell r="R519" t="e">
            <v>#N/A</v>
          </cell>
        </row>
        <row r="520">
          <cell r="A520">
            <v>40221</v>
          </cell>
          <cell r="B520">
            <v>40221</v>
          </cell>
          <cell r="C520" t="str">
            <v>Past</v>
          </cell>
          <cell r="D520">
            <v>53.06</v>
          </cell>
          <cell r="E520" t="e">
            <v>#N/A</v>
          </cell>
          <cell r="F520" t="e">
            <v>#N/A</v>
          </cell>
          <cell r="G520" t="e">
            <v>#N/A</v>
          </cell>
          <cell r="H520" t="e">
            <v>#N/A</v>
          </cell>
          <cell r="I520" t="e">
            <v>#N/A</v>
          </cell>
          <cell r="J520" t="e">
            <v>#N/A</v>
          </cell>
          <cell r="K520" t="e">
            <v>#N/A</v>
          </cell>
          <cell r="L520" t="e">
            <v>#N/A</v>
          </cell>
          <cell r="M520" t="e">
            <v>#N/A</v>
          </cell>
          <cell r="N520" t="e">
            <v>#N/A</v>
          </cell>
          <cell r="O520" t="e">
            <v>#N/A</v>
          </cell>
          <cell r="P520">
            <v>53.06</v>
          </cell>
          <cell r="Q520">
            <v>0.62485099999999993</v>
          </cell>
          <cell r="R520" t="e">
            <v>#N/A</v>
          </cell>
        </row>
        <row r="521">
          <cell r="A521">
            <v>40225</v>
          </cell>
          <cell r="B521">
            <v>40225</v>
          </cell>
          <cell r="C521" t="str">
            <v>Past</v>
          </cell>
          <cell r="D521">
            <v>54.13</v>
          </cell>
          <cell r="E521" t="e">
            <v>#N/A</v>
          </cell>
          <cell r="F521" t="e">
            <v>#N/A</v>
          </cell>
          <cell r="G521" t="e">
            <v>#N/A</v>
          </cell>
          <cell r="H521" t="e">
            <v>#N/A</v>
          </cell>
          <cell r="I521" t="e">
            <v>#N/A</v>
          </cell>
          <cell r="J521" t="e">
            <v>#N/A</v>
          </cell>
          <cell r="K521" t="e">
            <v>#N/A</v>
          </cell>
          <cell r="L521" t="e">
            <v>#N/A</v>
          </cell>
          <cell r="M521" t="e">
            <v>#N/A</v>
          </cell>
          <cell r="N521" t="e">
            <v>#N/A</v>
          </cell>
          <cell r="O521" t="e">
            <v>#N/A</v>
          </cell>
          <cell r="P521">
            <v>54.13</v>
          </cell>
          <cell r="Q521">
            <v>0.51459299999999997</v>
          </cell>
          <cell r="R521" t="e">
            <v>#N/A</v>
          </cell>
        </row>
        <row r="522">
          <cell r="A522">
            <v>40226</v>
          </cell>
          <cell r="B522">
            <v>40226</v>
          </cell>
          <cell r="C522" t="str">
            <v>Past</v>
          </cell>
          <cell r="D522">
            <v>54.29</v>
          </cell>
          <cell r="E522" t="e">
            <v>#N/A</v>
          </cell>
          <cell r="F522" t="e">
            <v>#N/A</v>
          </cell>
          <cell r="G522" t="e">
            <v>#N/A</v>
          </cell>
          <cell r="H522" t="e">
            <v>#N/A</v>
          </cell>
          <cell r="I522" t="e">
            <v>#N/A</v>
          </cell>
          <cell r="J522" t="e">
            <v>#N/A</v>
          </cell>
          <cell r="K522" t="e">
            <v>#N/A</v>
          </cell>
          <cell r="L522" t="e">
            <v>#N/A</v>
          </cell>
          <cell r="M522" t="e">
            <v>#N/A</v>
          </cell>
          <cell r="N522" t="e">
            <v>#N/A</v>
          </cell>
          <cell r="O522" t="e">
            <v>#N/A</v>
          </cell>
          <cell r="P522">
            <v>54.29</v>
          </cell>
          <cell r="Q522">
            <v>0.85985699999999998</v>
          </cell>
          <cell r="R522" t="e">
            <v>#N/A</v>
          </cell>
        </row>
        <row r="523">
          <cell r="A523">
            <v>40227</v>
          </cell>
          <cell r="B523">
            <v>40227</v>
          </cell>
          <cell r="C523" t="str">
            <v>Past</v>
          </cell>
          <cell r="D523">
            <v>55.24</v>
          </cell>
          <cell r="E523" t="e">
            <v>#N/A</v>
          </cell>
          <cell r="F523" t="e">
            <v>#N/A</v>
          </cell>
          <cell r="G523" t="e">
            <v>#N/A</v>
          </cell>
          <cell r="H523" t="e">
            <v>#N/A</v>
          </cell>
          <cell r="I523" t="e">
            <v>#N/A</v>
          </cell>
          <cell r="J523" t="e">
            <v>#N/A</v>
          </cell>
          <cell r="K523" t="e">
            <v>#N/A</v>
          </cell>
          <cell r="L523" t="e">
            <v>#N/A</v>
          </cell>
          <cell r="M523" t="e">
            <v>#N/A</v>
          </cell>
          <cell r="N523" t="e">
            <v>#N/A</v>
          </cell>
          <cell r="O523" t="e">
            <v>#N/A</v>
          </cell>
          <cell r="P523">
            <v>55.24</v>
          </cell>
          <cell r="Q523">
            <v>0.45469599999999999</v>
          </cell>
          <cell r="R523" t="e">
            <v>#N/A</v>
          </cell>
        </row>
        <row r="524">
          <cell r="A524">
            <v>40228</v>
          </cell>
          <cell r="B524">
            <v>40228</v>
          </cell>
          <cell r="C524" t="str">
            <v>Past</v>
          </cell>
          <cell r="D524">
            <v>55.47</v>
          </cell>
          <cell r="E524" t="e">
            <v>#N/A</v>
          </cell>
          <cell r="F524" t="e">
            <v>#N/A</v>
          </cell>
          <cell r="G524" t="e">
            <v>#N/A</v>
          </cell>
          <cell r="H524" t="e">
            <v>#N/A</v>
          </cell>
          <cell r="I524" t="e">
            <v>#N/A</v>
          </cell>
          <cell r="J524" t="e">
            <v>#N/A</v>
          </cell>
          <cell r="K524" t="e">
            <v>#N/A</v>
          </cell>
          <cell r="L524" t="e">
            <v>#N/A</v>
          </cell>
          <cell r="M524" t="e">
            <v>#N/A</v>
          </cell>
          <cell r="N524" t="e">
            <v>#N/A</v>
          </cell>
          <cell r="O524" t="e">
            <v>#N/A</v>
          </cell>
          <cell r="P524">
            <v>55.47</v>
          </cell>
          <cell r="Q524">
            <v>0.80460900000000002</v>
          </cell>
          <cell r="R524" t="e">
            <v>#N/A</v>
          </cell>
        </row>
        <row r="525">
          <cell r="A525">
            <v>40231</v>
          </cell>
          <cell r="B525">
            <v>40231</v>
          </cell>
          <cell r="C525" t="str">
            <v>Past</v>
          </cell>
          <cell r="D525">
            <v>55.01</v>
          </cell>
          <cell r="E525" t="e">
            <v>#N/A</v>
          </cell>
          <cell r="F525" t="e">
            <v>#N/A</v>
          </cell>
          <cell r="G525" t="e">
            <v>#N/A</v>
          </cell>
          <cell r="H525" t="e">
            <v>#N/A</v>
          </cell>
          <cell r="I525" t="e">
            <v>#N/A</v>
          </cell>
          <cell r="J525" t="e">
            <v>#N/A</v>
          </cell>
          <cell r="K525" t="e">
            <v>#N/A</v>
          </cell>
          <cell r="L525" t="e">
            <v>#N/A</v>
          </cell>
          <cell r="M525" t="e">
            <v>#N/A</v>
          </cell>
          <cell r="N525" t="e">
            <v>#N/A</v>
          </cell>
          <cell r="O525" t="e">
            <v>#N/A</v>
          </cell>
          <cell r="P525">
            <v>55.01</v>
          </cell>
          <cell r="Q525">
            <v>0.61067199999999999</v>
          </cell>
          <cell r="R525" t="e">
            <v>#N/A</v>
          </cell>
        </row>
        <row r="526">
          <cell r="A526">
            <v>40232</v>
          </cell>
          <cell r="B526">
            <v>40232</v>
          </cell>
          <cell r="C526" t="str">
            <v>Past</v>
          </cell>
          <cell r="D526">
            <v>54.31</v>
          </cell>
          <cell r="E526" t="e">
            <v>#N/A</v>
          </cell>
          <cell r="F526" t="e">
            <v>#N/A</v>
          </cell>
          <cell r="G526" t="e">
            <v>#N/A</v>
          </cell>
          <cell r="H526" t="e">
            <v>#N/A</v>
          </cell>
          <cell r="I526" t="e">
            <v>#N/A</v>
          </cell>
          <cell r="J526" t="e">
            <v>#N/A</v>
          </cell>
          <cell r="K526" t="e">
            <v>#N/A</v>
          </cell>
          <cell r="L526" t="e">
            <v>#N/A</v>
          </cell>
          <cell r="M526" t="e">
            <v>#N/A</v>
          </cell>
          <cell r="N526" t="e">
            <v>#N/A</v>
          </cell>
          <cell r="O526" t="e">
            <v>#N/A</v>
          </cell>
          <cell r="P526">
            <v>54.31</v>
          </cell>
          <cell r="Q526">
            <v>0.76574299999999995</v>
          </cell>
          <cell r="R526" t="e">
            <v>#N/A</v>
          </cell>
        </row>
        <row r="527">
          <cell r="A527">
            <v>40233</v>
          </cell>
          <cell r="B527">
            <v>40233</v>
          </cell>
          <cell r="C527" t="str">
            <v>Past</v>
          </cell>
          <cell r="D527">
            <v>54.93</v>
          </cell>
          <cell r="E527" t="e">
            <v>#N/A</v>
          </cell>
          <cell r="F527" t="e">
            <v>#N/A</v>
          </cell>
          <cell r="G527" t="e">
            <v>#N/A</v>
          </cell>
          <cell r="H527" t="e">
            <v>#N/A</v>
          </cell>
          <cell r="I527" t="e">
            <v>#N/A</v>
          </cell>
          <cell r="J527" t="e">
            <v>#N/A</v>
          </cell>
          <cell r="K527" t="e">
            <v>#N/A</v>
          </cell>
          <cell r="L527" t="e">
            <v>#N/A</v>
          </cell>
          <cell r="M527" t="e">
            <v>#N/A</v>
          </cell>
          <cell r="N527" t="e">
            <v>#N/A</v>
          </cell>
          <cell r="O527" t="e">
            <v>#N/A</v>
          </cell>
          <cell r="P527">
            <v>54.93</v>
          </cell>
          <cell r="Q527">
            <v>0.669493</v>
          </cell>
          <cell r="R527" t="e">
            <v>#N/A</v>
          </cell>
        </row>
        <row r="528">
          <cell r="A528">
            <v>40234</v>
          </cell>
          <cell r="B528">
            <v>40234</v>
          </cell>
          <cell r="C528" t="str">
            <v>Past</v>
          </cell>
          <cell r="D528">
            <v>54.86</v>
          </cell>
          <cell r="E528" t="e">
            <v>#N/A</v>
          </cell>
          <cell r="F528" t="e">
            <v>#N/A</v>
          </cell>
          <cell r="G528" t="e">
            <v>#N/A</v>
          </cell>
          <cell r="H528" t="e">
            <v>#N/A</v>
          </cell>
          <cell r="I528" t="e">
            <v>#N/A</v>
          </cell>
          <cell r="J528" t="e">
            <v>#N/A</v>
          </cell>
          <cell r="K528" t="e">
            <v>#N/A</v>
          </cell>
          <cell r="L528" t="e">
            <v>#N/A</v>
          </cell>
          <cell r="M528" t="e">
            <v>#N/A</v>
          </cell>
          <cell r="N528" t="e">
            <v>#N/A</v>
          </cell>
          <cell r="O528" t="e">
            <v>#N/A</v>
          </cell>
          <cell r="P528">
            <v>54.86</v>
          </cell>
          <cell r="Q528">
            <v>1.2883519999999999</v>
          </cell>
          <cell r="R528" t="e">
            <v>#N/A</v>
          </cell>
        </row>
        <row r="529">
          <cell r="A529">
            <v>40235</v>
          </cell>
          <cell r="B529">
            <v>40235</v>
          </cell>
          <cell r="C529" t="str">
            <v>Past</v>
          </cell>
          <cell r="D529">
            <v>56.28</v>
          </cell>
          <cell r="E529" t="e">
            <v>#N/A</v>
          </cell>
          <cell r="F529" t="e">
            <v>#N/A</v>
          </cell>
          <cell r="G529" t="e">
            <v>#N/A</v>
          </cell>
          <cell r="H529" t="e">
            <v>#N/A</v>
          </cell>
          <cell r="I529" t="e">
            <v>#N/A</v>
          </cell>
          <cell r="J529" t="e">
            <v>#N/A</v>
          </cell>
          <cell r="K529" t="e">
            <v>#N/A</v>
          </cell>
          <cell r="L529" t="e">
            <v>#N/A</v>
          </cell>
          <cell r="M529" t="e">
            <v>#N/A</v>
          </cell>
          <cell r="N529" t="e">
            <v>#N/A</v>
          </cell>
          <cell r="O529" t="e">
            <v>#N/A</v>
          </cell>
          <cell r="P529">
            <v>56.28</v>
          </cell>
          <cell r="Q529">
            <v>1.642218</v>
          </cell>
          <cell r="R529" t="e">
            <v>#N/A</v>
          </cell>
        </row>
        <row r="530">
          <cell r="A530">
            <v>40238</v>
          </cell>
          <cell r="B530">
            <v>40238</v>
          </cell>
          <cell r="C530" t="str">
            <v>Past</v>
          </cell>
          <cell r="D530">
            <v>58.39</v>
          </cell>
          <cell r="E530" t="e">
            <v>#N/A</v>
          </cell>
          <cell r="F530" t="e">
            <v>#N/A</v>
          </cell>
          <cell r="G530" t="e">
            <v>#N/A</v>
          </cell>
          <cell r="H530" t="e">
            <v>#N/A</v>
          </cell>
          <cell r="I530" t="e">
            <v>#N/A</v>
          </cell>
          <cell r="J530" t="e">
            <v>#N/A</v>
          </cell>
          <cell r="K530" t="e">
            <v>#N/A</v>
          </cell>
          <cell r="L530" t="e">
            <v>#N/A</v>
          </cell>
          <cell r="M530" t="e">
            <v>#N/A</v>
          </cell>
          <cell r="N530" t="e">
            <v>#N/A</v>
          </cell>
          <cell r="O530" t="e">
            <v>#N/A</v>
          </cell>
          <cell r="P530">
            <v>58.39</v>
          </cell>
          <cell r="Q530">
            <v>1.6441269999999999</v>
          </cell>
          <cell r="R530" t="e">
            <v>#N/A</v>
          </cell>
        </row>
        <row r="531">
          <cell r="A531">
            <v>40239</v>
          </cell>
          <cell r="B531">
            <v>40239</v>
          </cell>
          <cell r="C531" t="str">
            <v>Past</v>
          </cell>
          <cell r="D531">
            <v>58.75</v>
          </cell>
          <cell r="E531" t="e">
            <v>#N/A</v>
          </cell>
          <cell r="F531" t="e">
            <v>#N/A</v>
          </cell>
          <cell r="G531" t="e">
            <v>#N/A</v>
          </cell>
          <cell r="H531" t="e">
            <v>#N/A</v>
          </cell>
          <cell r="I531" t="e">
            <v>#N/A</v>
          </cell>
          <cell r="J531" t="e">
            <v>#N/A</v>
          </cell>
          <cell r="K531" t="e">
            <v>#N/A</v>
          </cell>
          <cell r="L531" t="e">
            <v>#N/A</v>
          </cell>
          <cell r="M531" t="e">
            <v>#N/A</v>
          </cell>
          <cell r="N531" t="e">
            <v>#N/A</v>
          </cell>
          <cell r="O531" t="e">
            <v>#N/A</v>
          </cell>
          <cell r="P531">
            <v>58.75</v>
          </cell>
          <cell r="Q531">
            <v>1.914488</v>
          </cell>
          <cell r="R531" t="e">
            <v>#N/A</v>
          </cell>
        </row>
        <row r="532">
          <cell r="A532">
            <v>40240</v>
          </cell>
          <cell r="B532">
            <v>40240</v>
          </cell>
          <cell r="C532" t="str">
            <v>Past</v>
          </cell>
          <cell r="D532">
            <v>58.98</v>
          </cell>
          <cell r="E532" t="e">
            <v>#N/A</v>
          </cell>
          <cell r="F532" t="e">
            <v>#N/A</v>
          </cell>
          <cell r="G532" t="e">
            <v>#N/A</v>
          </cell>
          <cell r="H532" t="e">
            <v>#N/A</v>
          </cell>
          <cell r="I532" t="e">
            <v>#N/A</v>
          </cell>
          <cell r="J532" t="e">
            <v>#N/A</v>
          </cell>
          <cell r="K532" t="e">
            <v>#N/A</v>
          </cell>
          <cell r="L532" t="e">
            <v>#N/A</v>
          </cell>
          <cell r="M532" t="e">
            <v>#N/A</v>
          </cell>
          <cell r="N532" t="e">
            <v>#N/A</v>
          </cell>
          <cell r="O532" t="e">
            <v>#N/A</v>
          </cell>
          <cell r="P532">
            <v>58.98</v>
          </cell>
          <cell r="Q532">
            <v>1.1650700000000001</v>
          </cell>
          <cell r="R532" t="e">
            <v>#N/A</v>
          </cell>
        </row>
        <row r="533">
          <cell r="A533">
            <v>40241</v>
          </cell>
          <cell r="B533">
            <v>40241</v>
          </cell>
          <cell r="C533" t="str">
            <v>Past</v>
          </cell>
          <cell r="D533">
            <v>59.73</v>
          </cell>
          <cell r="E533" t="e">
            <v>#N/A</v>
          </cell>
          <cell r="F533" t="e">
            <v>#N/A</v>
          </cell>
          <cell r="G533" t="e">
            <v>#N/A</v>
          </cell>
          <cell r="H533" t="e">
            <v>#N/A</v>
          </cell>
          <cell r="I533" t="e">
            <v>#N/A</v>
          </cell>
          <cell r="J533" t="e">
            <v>#N/A</v>
          </cell>
          <cell r="K533" t="e">
            <v>#N/A</v>
          </cell>
          <cell r="L533" t="e">
            <v>#N/A</v>
          </cell>
          <cell r="M533" t="e">
            <v>#N/A</v>
          </cell>
          <cell r="N533" t="e">
            <v>#N/A</v>
          </cell>
          <cell r="O533" t="e">
            <v>#N/A</v>
          </cell>
          <cell r="P533">
            <v>59.73</v>
          </cell>
          <cell r="Q533">
            <v>1.3729709999999999</v>
          </cell>
          <cell r="R533" t="e">
            <v>#N/A</v>
          </cell>
        </row>
        <row r="534">
          <cell r="A534">
            <v>40242</v>
          </cell>
          <cell r="B534">
            <v>40242</v>
          </cell>
          <cell r="C534" t="str">
            <v>Past</v>
          </cell>
          <cell r="D534">
            <v>60.04</v>
          </cell>
          <cell r="E534" t="e">
            <v>#N/A</v>
          </cell>
          <cell r="F534" t="e">
            <v>#N/A</v>
          </cell>
          <cell r="G534" t="e">
            <v>#N/A</v>
          </cell>
          <cell r="H534" t="e">
            <v>#N/A</v>
          </cell>
          <cell r="I534" t="e">
            <v>#N/A</v>
          </cell>
          <cell r="J534" t="e">
            <v>#N/A</v>
          </cell>
          <cell r="K534" t="e">
            <v>#N/A</v>
          </cell>
          <cell r="L534" t="e">
            <v>#N/A</v>
          </cell>
          <cell r="M534" t="e">
            <v>#N/A</v>
          </cell>
          <cell r="N534" t="e">
            <v>#N/A</v>
          </cell>
          <cell r="O534" t="e">
            <v>#N/A</v>
          </cell>
          <cell r="P534">
            <v>60.04</v>
          </cell>
          <cell r="Q534">
            <v>1.855043</v>
          </cell>
          <cell r="R534" t="e">
            <v>#N/A</v>
          </cell>
        </row>
        <row r="535">
          <cell r="A535">
            <v>40245</v>
          </cell>
          <cell r="B535">
            <v>40245</v>
          </cell>
          <cell r="C535" t="str">
            <v>Past</v>
          </cell>
          <cell r="D535">
            <v>59.49</v>
          </cell>
          <cell r="E535" t="e">
            <v>#N/A</v>
          </cell>
          <cell r="F535" t="e">
            <v>#N/A</v>
          </cell>
          <cell r="G535" t="e">
            <v>#N/A</v>
          </cell>
          <cell r="H535" t="e">
            <v>#N/A</v>
          </cell>
          <cell r="I535" t="e">
            <v>#N/A</v>
          </cell>
          <cell r="J535" t="e">
            <v>#N/A</v>
          </cell>
          <cell r="K535" t="e">
            <v>#N/A</v>
          </cell>
          <cell r="L535" t="e">
            <v>#N/A</v>
          </cell>
          <cell r="M535" t="e">
            <v>#N/A</v>
          </cell>
          <cell r="N535" t="e">
            <v>#N/A</v>
          </cell>
          <cell r="O535" t="e">
            <v>#N/A</v>
          </cell>
          <cell r="P535">
            <v>59.49</v>
          </cell>
          <cell r="Q535">
            <v>0.89217599999999997</v>
          </cell>
          <cell r="R535" t="e">
            <v>#N/A</v>
          </cell>
        </row>
        <row r="536">
          <cell r="A536">
            <v>40246</v>
          </cell>
          <cell r="B536">
            <v>40246</v>
          </cell>
          <cell r="C536" t="str">
            <v>Past</v>
          </cell>
          <cell r="D536">
            <v>60.6</v>
          </cell>
          <cell r="E536" t="e">
            <v>#N/A</v>
          </cell>
          <cell r="F536" t="e">
            <v>#N/A</v>
          </cell>
          <cell r="G536" t="e">
            <v>#N/A</v>
          </cell>
          <cell r="H536" t="e">
            <v>#N/A</v>
          </cell>
          <cell r="I536" t="e">
            <v>#N/A</v>
          </cell>
          <cell r="J536" t="e">
            <v>#N/A</v>
          </cell>
          <cell r="K536" t="e">
            <v>#N/A</v>
          </cell>
          <cell r="L536" t="e">
            <v>#N/A</v>
          </cell>
          <cell r="M536" t="e">
            <v>#N/A</v>
          </cell>
          <cell r="N536" t="e">
            <v>#N/A</v>
          </cell>
          <cell r="O536" t="e">
            <v>#N/A</v>
          </cell>
          <cell r="P536">
            <v>60.6</v>
          </cell>
          <cell r="Q536">
            <v>1.6383449999999999</v>
          </cell>
          <cell r="R536" t="e">
            <v>#N/A</v>
          </cell>
        </row>
        <row r="537">
          <cell r="A537">
            <v>40247</v>
          </cell>
          <cell r="B537">
            <v>40247</v>
          </cell>
          <cell r="C537" t="str">
            <v>Past</v>
          </cell>
          <cell r="D537">
            <v>60.9</v>
          </cell>
          <cell r="E537" t="e">
            <v>#N/A</v>
          </cell>
          <cell r="F537" t="e">
            <v>#N/A</v>
          </cell>
          <cell r="G537" t="e">
            <v>#N/A</v>
          </cell>
          <cell r="H537" t="e">
            <v>#N/A</v>
          </cell>
          <cell r="I537" t="e">
            <v>#N/A</v>
          </cell>
          <cell r="J537" t="e">
            <v>#N/A</v>
          </cell>
          <cell r="K537" t="e">
            <v>#N/A</v>
          </cell>
          <cell r="L537" t="e">
            <v>#N/A</v>
          </cell>
          <cell r="M537" t="e">
            <v>#N/A</v>
          </cell>
          <cell r="N537" t="e">
            <v>#N/A</v>
          </cell>
          <cell r="O537" t="e">
            <v>#N/A</v>
          </cell>
          <cell r="P537">
            <v>60.9</v>
          </cell>
          <cell r="Q537">
            <v>0.94089899999999993</v>
          </cell>
          <cell r="R537" t="e">
            <v>#N/A</v>
          </cell>
        </row>
        <row r="538">
          <cell r="A538">
            <v>40248</v>
          </cell>
          <cell r="B538">
            <v>40248</v>
          </cell>
          <cell r="C538" t="str">
            <v>Past</v>
          </cell>
          <cell r="D538">
            <v>61.21</v>
          </cell>
          <cell r="E538" t="e">
            <v>#N/A</v>
          </cell>
          <cell r="F538" t="e">
            <v>#N/A</v>
          </cell>
          <cell r="G538" t="e">
            <v>#N/A</v>
          </cell>
          <cell r="H538" t="e">
            <v>#N/A</v>
          </cell>
          <cell r="I538" t="e">
            <v>#N/A</v>
          </cell>
          <cell r="J538" t="e">
            <v>#N/A</v>
          </cell>
          <cell r="K538" t="e">
            <v>#N/A</v>
          </cell>
          <cell r="L538" t="e">
            <v>#N/A</v>
          </cell>
          <cell r="M538" t="e">
            <v>#N/A</v>
          </cell>
          <cell r="N538" t="e">
            <v>#N/A</v>
          </cell>
          <cell r="O538" t="e">
            <v>#N/A</v>
          </cell>
          <cell r="P538">
            <v>61.21</v>
          </cell>
          <cell r="Q538">
            <v>0.87798899999999991</v>
          </cell>
          <cell r="R538" t="e">
            <v>#N/A</v>
          </cell>
        </row>
        <row r="539">
          <cell r="A539">
            <v>40249</v>
          </cell>
          <cell r="B539">
            <v>40249</v>
          </cell>
          <cell r="C539" t="str">
            <v>Past</v>
          </cell>
          <cell r="D539">
            <v>60.93</v>
          </cell>
          <cell r="E539" t="e">
            <v>#N/A</v>
          </cell>
          <cell r="F539" t="e">
            <v>#N/A</v>
          </cell>
          <cell r="G539" t="e">
            <v>#N/A</v>
          </cell>
          <cell r="H539" t="e">
            <v>#N/A</v>
          </cell>
          <cell r="I539" t="e">
            <v>#N/A</v>
          </cell>
          <cell r="J539" t="e">
            <v>#N/A</v>
          </cell>
          <cell r="K539" t="e">
            <v>#N/A</v>
          </cell>
          <cell r="L539" t="e">
            <v>#N/A</v>
          </cell>
          <cell r="M539" t="e">
            <v>#N/A</v>
          </cell>
          <cell r="N539" t="e">
            <v>#N/A</v>
          </cell>
          <cell r="O539" t="e">
            <v>#N/A</v>
          </cell>
          <cell r="P539">
            <v>60.93</v>
          </cell>
          <cell r="Q539">
            <v>0.47650599999999999</v>
          </cell>
          <cell r="R539" t="e">
            <v>#N/A</v>
          </cell>
        </row>
        <row r="540">
          <cell r="A540">
            <v>40252</v>
          </cell>
          <cell r="B540">
            <v>40252</v>
          </cell>
          <cell r="C540" t="str">
            <v>Past</v>
          </cell>
          <cell r="D540">
            <v>60.3</v>
          </cell>
          <cell r="E540" t="e">
            <v>#N/A</v>
          </cell>
          <cell r="F540" t="e">
            <v>#N/A</v>
          </cell>
          <cell r="G540" t="e">
            <v>#N/A</v>
          </cell>
          <cell r="H540" t="e">
            <v>#N/A</v>
          </cell>
          <cell r="I540" t="e">
            <v>#N/A</v>
          </cell>
          <cell r="J540" t="e">
            <v>#N/A</v>
          </cell>
          <cell r="K540" t="e">
            <v>#N/A</v>
          </cell>
          <cell r="L540" t="e">
            <v>#N/A</v>
          </cell>
          <cell r="M540" t="e">
            <v>#N/A</v>
          </cell>
          <cell r="N540" t="e">
            <v>#N/A</v>
          </cell>
          <cell r="O540" t="e">
            <v>#N/A</v>
          </cell>
          <cell r="P540">
            <v>60.3</v>
          </cell>
          <cell r="Q540">
            <v>0.64055899999999999</v>
          </cell>
          <cell r="R540" t="e">
            <v>#N/A</v>
          </cell>
        </row>
        <row r="541">
          <cell r="A541">
            <v>40253</v>
          </cell>
          <cell r="B541">
            <v>40253</v>
          </cell>
          <cell r="C541" t="str">
            <v>Past</v>
          </cell>
          <cell r="D541">
            <v>60.52</v>
          </cell>
          <cell r="E541" t="e">
            <v>#N/A</v>
          </cell>
          <cell r="F541" t="e">
            <v>#N/A</v>
          </cell>
          <cell r="G541" t="e">
            <v>#N/A</v>
          </cell>
          <cell r="H541" t="e">
            <v>#N/A</v>
          </cell>
          <cell r="I541" t="e">
            <v>#N/A</v>
          </cell>
          <cell r="J541" t="e">
            <v>#N/A</v>
          </cell>
          <cell r="K541" t="e">
            <v>#N/A</v>
          </cell>
          <cell r="L541" t="e">
            <v>#N/A</v>
          </cell>
          <cell r="M541" t="e">
            <v>#N/A</v>
          </cell>
          <cell r="N541" t="e">
            <v>#N/A</v>
          </cell>
          <cell r="O541" t="e">
            <v>#N/A</v>
          </cell>
          <cell r="P541">
            <v>60.52</v>
          </cell>
          <cell r="Q541">
            <v>0.92755399999999999</v>
          </cell>
          <cell r="R541" t="e">
            <v>#N/A</v>
          </cell>
        </row>
        <row r="542">
          <cell r="A542">
            <v>40254</v>
          </cell>
          <cell r="B542">
            <v>40254</v>
          </cell>
          <cell r="C542" t="str">
            <v>Past</v>
          </cell>
          <cell r="D542">
            <v>60.69</v>
          </cell>
          <cell r="E542" t="e">
            <v>#N/A</v>
          </cell>
          <cell r="F542" t="e">
            <v>#N/A</v>
          </cell>
          <cell r="G542" t="e">
            <v>#N/A</v>
          </cell>
          <cell r="H542" t="e">
            <v>#N/A</v>
          </cell>
          <cell r="I542" t="e">
            <v>#N/A</v>
          </cell>
          <cell r="J542" t="e">
            <v>#N/A</v>
          </cell>
          <cell r="K542" t="e">
            <v>#N/A</v>
          </cell>
          <cell r="L542" t="e">
            <v>#N/A</v>
          </cell>
          <cell r="M542" t="e">
            <v>#N/A</v>
          </cell>
          <cell r="N542" t="e">
            <v>#N/A</v>
          </cell>
          <cell r="O542" t="e">
            <v>#N/A</v>
          </cell>
          <cell r="P542">
            <v>60.69</v>
          </cell>
          <cell r="Q542">
            <v>0.820052</v>
          </cell>
          <cell r="R542" t="e">
            <v>#N/A</v>
          </cell>
        </row>
        <row r="543">
          <cell r="A543">
            <v>40255</v>
          </cell>
          <cell r="B543">
            <v>40255</v>
          </cell>
          <cell r="C543" t="str">
            <v>Past</v>
          </cell>
          <cell r="D543">
            <v>61.16</v>
          </cell>
          <cell r="E543" t="e">
            <v>#N/A</v>
          </cell>
          <cell r="F543" t="e">
            <v>#N/A</v>
          </cell>
          <cell r="G543" t="e">
            <v>#N/A</v>
          </cell>
          <cell r="H543" t="e">
            <v>#N/A</v>
          </cell>
          <cell r="I543" t="e">
            <v>#N/A</v>
          </cell>
          <cell r="J543" t="e">
            <v>#N/A</v>
          </cell>
          <cell r="K543" t="e">
            <v>#N/A</v>
          </cell>
          <cell r="L543" t="e">
            <v>#N/A</v>
          </cell>
          <cell r="M543" t="e">
            <v>#N/A</v>
          </cell>
          <cell r="N543" t="e">
            <v>#N/A</v>
          </cell>
          <cell r="O543" t="e">
            <v>#N/A</v>
          </cell>
          <cell r="P543">
            <v>61.16</v>
          </cell>
          <cell r="Q543">
            <v>0.89903599999999995</v>
          </cell>
          <cell r="R543" t="e">
            <v>#N/A</v>
          </cell>
        </row>
        <row r="544">
          <cell r="A544">
            <v>40256</v>
          </cell>
          <cell r="B544">
            <v>40256</v>
          </cell>
          <cell r="C544" t="str">
            <v>Past</v>
          </cell>
          <cell r="D544">
            <v>62.97</v>
          </cell>
          <cell r="E544" t="e">
            <v>#N/A</v>
          </cell>
          <cell r="F544" t="e">
            <v>#N/A</v>
          </cell>
          <cell r="G544" t="e">
            <v>#N/A</v>
          </cell>
          <cell r="H544" t="e">
            <v>#N/A</v>
          </cell>
          <cell r="I544" t="e">
            <v>#N/A</v>
          </cell>
          <cell r="J544" t="e">
            <v>#N/A</v>
          </cell>
          <cell r="K544" t="e">
            <v>#N/A</v>
          </cell>
          <cell r="L544" t="e">
            <v>#N/A</v>
          </cell>
          <cell r="M544" t="e">
            <v>#N/A</v>
          </cell>
          <cell r="N544" t="e">
            <v>#N/A</v>
          </cell>
          <cell r="O544" t="e">
            <v>#N/A</v>
          </cell>
          <cell r="P544">
            <v>62.97</v>
          </cell>
          <cell r="Q544">
            <v>3.6285810000000001</v>
          </cell>
          <cell r="R544" t="e">
            <v>#N/A</v>
          </cell>
        </row>
        <row r="545">
          <cell r="A545">
            <v>40259</v>
          </cell>
          <cell r="B545">
            <v>40259</v>
          </cell>
          <cell r="C545" t="str">
            <v>Past</v>
          </cell>
          <cell r="D545">
            <v>62.59</v>
          </cell>
          <cell r="E545" t="e">
            <v>#N/A</v>
          </cell>
          <cell r="F545" t="e">
            <v>#N/A</v>
          </cell>
          <cell r="G545" t="e">
            <v>#N/A</v>
          </cell>
          <cell r="H545" t="e">
            <v>#N/A</v>
          </cell>
          <cell r="I545" t="e">
            <v>#N/A</v>
          </cell>
          <cell r="J545" t="e">
            <v>#N/A</v>
          </cell>
          <cell r="K545" t="e">
            <v>#N/A</v>
          </cell>
          <cell r="L545" t="e">
            <v>#N/A</v>
          </cell>
          <cell r="M545" t="e">
            <v>#N/A</v>
          </cell>
          <cell r="N545" t="e">
            <v>#N/A</v>
          </cell>
          <cell r="O545" t="e">
            <v>#N/A</v>
          </cell>
          <cell r="P545">
            <v>62.59</v>
          </cell>
          <cell r="Q545">
            <v>0.79755199999999993</v>
          </cell>
          <cell r="R545" t="e">
            <v>#N/A</v>
          </cell>
        </row>
        <row r="546">
          <cell r="A546">
            <v>40260</v>
          </cell>
          <cell r="B546">
            <v>40260</v>
          </cell>
          <cell r="C546" t="str">
            <v>Past</v>
          </cell>
          <cell r="D546">
            <v>62.85</v>
          </cell>
          <cell r="E546" t="e">
            <v>#N/A</v>
          </cell>
          <cell r="F546" t="e">
            <v>#N/A</v>
          </cell>
          <cell r="G546" t="e">
            <v>#N/A</v>
          </cell>
          <cell r="H546" t="e">
            <v>#N/A</v>
          </cell>
          <cell r="I546" t="e">
            <v>#N/A</v>
          </cell>
          <cell r="J546" t="e">
            <v>#N/A</v>
          </cell>
          <cell r="K546" t="e">
            <v>#N/A</v>
          </cell>
          <cell r="L546" t="e">
            <v>#N/A</v>
          </cell>
          <cell r="M546" t="e">
            <v>#N/A</v>
          </cell>
          <cell r="N546" t="e">
            <v>#N/A</v>
          </cell>
          <cell r="O546" t="e">
            <v>#N/A</v>
          </cell>
          <cell r="P546">
            <v>62.85</v>
          </cell>
          <cell r="Q546">
            <v>0.81594099999999992</v>
          </cell>
          <cell r="R546" t="e">
            <v>#N/A</v>
          </cell>
        </row>
        <row r="547">
          <cell r="A547">
            <v>40261</v>
          </cell>
          <cell r="B547">
            <v>40261</v>
          </cell>
          <cell r="C547" t="str">
            <v>Past</v>
          </cell>
          <cell r="D547">
            <v>62.54</v>
          </cell>
          <cell r="E547" t="e">
            <v>#N/A</v>
          </cell>
          <cell r="F547" t="e">
            <v>#N/A</v>
          </cell>
          <cell r="G547" t="e">
            <v>#N/A</v>
          </cell>
          <cell r="H547" t="e">
            <v>#N/A</v>
          </cell>
          <cell r="I547" t="e">
            <v>#N/A</v>
          </cell>
          <cell r="J547" t="e">
            <v>#N/A</v>
          </cell>
          <cell r="K547" t="e">
            <v>#N/A</v>
          </cell>
          <cell r="L547" t="e">
            <v>#N/A</v>
          </cell>
          <cell r="M547" t="e">
            <v>#N/A</v>
          </cell>
          <cell r="N547" t="e">
            <v>#N/A</v>
          </cell>
          <cell r="O547" t="e">
            <v>#N/A</v>
          </cell>
          <cell r="P547">
            <v>62.54</v>
          </cell>
          <cell r="Q547">
            <v>0.63059100000000001</v>
          </cell>
          <cell r="R547" t="e">
            <v>#N/A</v>
          </cell>
        </row>
        <row r="548">
          <cell r="A548">
            <v>40262</v>
          </cell>
          <cell r="B548">
            <v>40262</v>
          </cell>
          <cell r="C548" t="str">
            <v>Past</v>
          </cell>
          <cell r="D548">
            <v>62.67</v>
          </cell>
          <cell r="E548" t="e">
            <v>#N/A</v>
          </cell>
          <cell r="F548" t="e">
            <v>#N/A</v>
          </cell>
          <cell r="G548" t="e">
            <v>#N/A</v>
          </cell>
          <cell r="H548" t="e">
            <v>#N/A</v>
          </cell>
          <cell r="I548" t="e">
            <v>#N/A</v>
          </cell>
          <cell r="J548" t="e">
            <v>#N/A</v>
          </cell>
          <cell r="K548" t="e">
            <v>#N/A</v>
          </cell>
          <cell r="L548" t="e">
            <v>#N/A</v>
          </cell>
          <cell r="M548" t="e">
            <v>#N/A</v>
          </cell>
          <cell r="N548" t="e">
            <v>#N/A</v>
          </cell>
          <cell r="O548" t="e">
            <v>#N/A</v>
          </cell>
          <cell r="P548">
            <v>62.67</v>
          </cell>
          <cell r="Q548">
            <v>0.72600900000000002</v>
          </cell>
          <cell r="R548" t="e">
            <v>#N/A</v>
          </cell>
        </row>
        <row r="549">
          <cell r="A549">
            <v>40263</v>
          </cell>
          <cell r="B549">
            <v>40263</v>
          </cell>
          <cell r="C549" t="str">
            <v>Past</v>
          </cell>
          <cell r="D549">
            <v>62.98</v>
          </cell>
          <cell r="E549" t="e">
            <v>#N/A</v>
          </cell>
          <cell r="F549" t="e">
            <v>#N/A</v>
          </cell>
          <cell r="G549" t="e">
            <v>#N/A</v>
          </cell>
          <cell r="H549" t="e">
            <v>#N/A</v>
          </cell>
          <cell r="I549" t="e">
            <v>#N/A</v>
          </cell>
          <cell r="J549" t="e">
            <v>#N/A</v>
          </cell>
          <cell r="K549" t="e">
            <v>#N/A</v>
          </cell>
          <cell r="L549" t="e">
            <v>#N/A</v>
          </cell>
          <cell r="M549" t="e">
            <v>#N/A</v>
          </cell>
          <cell r="N549" t="e">
            <v>#N/A</v>
          </cell>
          <cell r="O549" t="e">
            <v>#N/A</v>
          </cell>
          <cell r="P549">
            <v>62.98</v>
          </cell>
          <cell r="Q549">
            <v>0.87897799999999993</v>
          </cell>
          <cell r="R549" t="e">
            <v>#N/A</v>
          </cell>
        </row>
        <row r="550">
          <cell r="A550">
            <v>40266</v>
          </cell>
          <cell r="B550">
            <v>40266</v>
          </cell>
          <cell r="C550" t="str">
            <v>Past</v>
          </cell>
          <cell r="D550">
            <v>63.4</v>
          </cell>
          <cell r="E550" t="e">
            <v>#N/A</v>
          </cell>
          <cell r="F550" t="e">
            <v>#N/A</v>
          </cell>
          <cell r="G550" t="e">
            <v>#N/A</v>
          </cell>
          <cell r="H550" t="e">
            <v>#N/A</v>
          </cell>
          <cell r="I550" t="e">
            <v>#N/A</v>
          </cell>
          <cell r="J550" t="e">
            <v>#N/A</v>
          </cell>
          <cell r="K550" t="e">
            <v>#N/A</v>
          </cell>
          <cell r="L550" t="e">
            <v>#N/A</v>
          </cell>
          <cell r="M550" t="e">
            <v>#N/A</v>
          </cell>
          <cell r="N550" t="e">
            <v>#N/A</v>
          </cell>
          <cell r="O550" t="e">
            <v>#N/A</v>
          </cell>
          <cell r="P550">
            <v>63.4</v>
          </cell>
          <cell r="Q550">
            <v>1.082724</v>
          </cell>
          <cell r="R550" t="e">
            <v>#N/A</v>
          </cell>
        </row>
        <row r="551">
          <cell r="A551">
            <v>40267</v>
          </cell>
          <cell r="B551">
            <v>40267</v>
          </cell>
          <cell r="C551" t="str">
            <v>Past</v>
          </cell>
          <cell r="D551">
            <v>63.13</v>
          </cell>
          <cell r="E551" t="e">
            <v>#N/A</v>
          </cell>
          <cell r="F551" t="e">
            <v>#N/A</v>
          </cell>
          <cell r="G551" t="e">
            <v>#N/A</v>
          </cell>
          <cell r="H551" t="e">
            <v>#N/A</v>
          </cell>
          <cell r="I551" t="e">
            <v>#N/A</v>
          </cell>
          <cell r="J551" t="e">
            <v>#N/A</v>
          </cell>
          <cell r="K551" t="e">
            <v>#N/A</v>
          </cell>
          <cell r="L551" t="e">
            <v>#N/A</v>
          </cell>
          <cell r="M551" t="e">
            <v>#N/A</v>
          </cell>
          <cell r="N551" t="e">
            <v>#N/A</v>
          </cell>
          <cell r="O551" t="e">
            <v>#N/A</v>
          </cell>
          <cell r="P551">
            <v>63.13</v>
          </cell>
          <cell r="Q551">
            <v>0.73755799999999994</v>
          </cell>
          <cell r="R551" t="e">
            <v>#N/A</v>
          </cell>
        </row>
        <row r="552">
          <cell r="A552">
            <v>40268</v>
          </cell>
          <cell r="B552">
            <v>40268</v>
          </cell>
          <cell r="C552" t="str">
            <v>Past</v>
          </cell>
          <cell r="D552">
            <v>62.59</v>
          </cell>
          <cell r="E552" t="e">
            <v>#N/A</v>
          </cell>
          <cell r="F552" t="e">
            <v>#N/A</v>
          </cell>
          <cell r="G552" t="e">
            <v>#N/A</v>
          </cell>
          <cell r="H552" t="e">
            <v>#N/A</v>
          </cell>
          <cell r="I552" t="e">
            <v>#N/A</v>
          </cell>
          <cell r="J552" t="e">
            <v>#N/A</v>
          </cell>
          <cell r="K552" t="e">
            <v>#N/A</v>
          </cell>
          <cell r="L552" t="e">
            <v>#N/A</v>
          </cell>
          <cell r="M552" t="e">
            <v>#N/A</v>
          </cell>
          <cell r="N552" t="e">
            <v>#N/A</v>
          </cell>
          <cell r="O552" t="e">
            <v>#N/A</v>
          </cell>
          <cell r="P552">
            <v>62.59</v>
          </cell>
          <cell r="Q552">
            <v>0.99620399999999998</v>
          </cell>
          <cell r="R552" t="e">
            <v>#N/A</v>
          </cell>
        </row>
        <row r="553">
          <cell r="A553">
            <v>40269</v>
          </cell>
          <cell r="B553">
            <v>40269</v>
          </cell>
          <cell r="C553" t="str">
            <v>Past</v>
          </cell>
          <cell r="D553">
            <v>62.87</v>
          </cell>
          <cell r="E553" t="e">
            <v>#N/A</v>
          </cell>
          <cell r="F553" t="e">
            <v>#N/A</v>
          </cell>
          <cell r="G553" t="e">
            <v>#N/A</v>
          </cell>
          <cell r="H553" t="e">
            <v>#N/A</v>
          </cell>
          <cell r="I553" t="e">
            <v>#N/A</v>
          </cell>
          <cell r="J553" t="e">
            <v>#N/A</v>
          </cell>
          <cell r="K553" t="e">
            <v>#N/A</v>
          </cell>
          <cell r="L553" t="e">
            <v>#N/A</v>
          </cell>
          <cell r="M553" t="e">
            <v>#N/A</v>
          </cell>
          <cell r="N553" t="e">
            <v>#N/A</v>
          </cell>
          <cell r="O553" t="e">
            <v>#N/A</v>
          </cell>
          <cell r="P553">
            <v>62.87</v>
          </cell>
          <cell r="Q553">
            <v>0.82861499999999999</v>
          </cell>
          <cell r="R553" t="e">
            <v>#N/A</v>
          </cell>
        </row>
        <row r="554">
          <cell r="A554">
            <v>40273</v>
          </cell>
          <cell r="B554">
            <v>40273</v>
          </cell>
          <cell r="C554" t="str">
            <v>Past</v>
          </cell>
          <cell r="D554">
            <v>62.76</v>
          </cell>
          <cell r="E554" t="e">
            <v>#N/A</v>
          </cell>
          <cell r="F554" t="e">
            <v>#N/A</v>
          </cell>
          <cell r="G554" t="e">
            <v>#N/A</v>
          </cell>
          <cell r="H554" t="e">
            <v>#N/A</v>
          </cell>
          <cell r="I554" t="e">
            <v>#N/A</v>
          </cell>
          <cell r="J554" t="e">
            <v>#N/A</v>
          </cell>
          <cell r="K554" t="e">
            <v>#N/A</v>
          </cell>
          <cell r="L554" t="e">
            <v>#N/A</v>
          </cell>
          <cell r="M554" t="e">
            <v>#N/A</v>
          </cell>
          <cell r="N554" t="e">
            <v>#N/A</v>
          </cell>
          <cell r="O554" t="e">
            <v>#N/A</v>
          </cell>
          <cell r="P554">
            <v>62.76</v>
          </cell>
          <cell r="Q554">
            <v>0.523926</v>
          </cell>
          <cell r="R554" t="e">
            <v>#N/A</v>
          </cell>
        </row>
        <row r="555">
          <cell r="A555">
            <v>40274</v>
          </cell>
          <cell r="B555">
            <v>40274</v>
          </cell>
          <cell r="C555" t="str">
            <v>Past</v>
          </cell>
          <cell r="D555">
            <v>63.04</v>
          </cell>
          <cell r="E555" t="e">
            <v>#N/A</v>
          </cell>
          <cell r="F555" t="e">
            <v>#N/A</v>
          </cell>
          <cell r="G555" t="e">
            <v>#N/A</v>
          </cell>
          <cell r="H555" t="e">
            <v>#N/A</v>
          </cell>
          <cell r="I555" t="e">
            <v>#N/A</v>
          </cell>
          <cell r="J555" t="e">
            <v>#N/A</v>
          </cell>
          <cell r="K555" t="e">
            <v>#N/A</v>
          </cell>
          <cell r="L555" t="e">
            <v>#N/A</v>
          </cell>
          <cell r="M555" t="e">
            <v>#N/A</v>
          </cell>
          <cell r="N555" t="e">
            <v>#N/A</v>
          </cell>
          <cell r="O555" t="e">
            <v>#N/A</v>
          </cell>
          <cell r="P555">
            <v>63.04</v>
          </cell>
          <cell r="Q555">
            <v>0.98579299999999992</v>
          </cell>
          <cell r="R555" t="e">
            <v>#N/A</v>
          </cell>
        </row>
        <row r="556">
          <cell r="A556">
            <v>40275</v>
          </cell>
          <cell r="B556">
            <v>40275</v>
          </cell>
          <cell r="C556" t="str">
            <v>Past</v>
          </cell>
          <cell r="D556">
            <v>62.48</v>
          </cell>
          <cell r="E556" t="e">
            <v>#N/A</v>
          </cell>
          <cell r="F556" t="e">
            <v>#N/A</v>
          </cell>
          <cell r="G556" t="e">
            <v>#N/A</v>
          </cell>
          <cell r="H556" t="e">
            <v>#N/A</v>
          </cell>
          <cell r="I556" t="e">
            <v>#N/A</v>
          </cell>
          <cell r="J556" t="e">
            <v>#N/A</v>
          </cell>
          <cell r="K556" t="e">
            <v>#N/A</v>
          </cell>
          <cell r="L556" t="e">
            <v>#N/A</v>
          </cell>
          <cell r="M556" t="e">
            <v>#N/A</v>
          </cell>
          <cell r="N556" t="e">
            <v>#N/A</v>
          </cell>
          <cell r="O556" t="e">
            <v>#N/A</v>
          </cell>
          <cell r="P556">
            <v>62.48</v>
          </cell>
          <cell r="Q556">
            <v>0.92876399999999992</v>
          </cell>
          <cell r="R556" t="e">
            <v>#N/A</v>
          </cell>
        </row>
        <row r="557">
          <cell r="A557">
            <v>40276</v>
          </cell>
          <cell r="B557">
            <v>40276</v>
          </cell>
          <cell r="C557" t="str">
            <v>Past</v>
          </cell>
          <cell r="D557">
            <v>62.99</v>
          </cell>
          <cell r="E557" t="e">
            <v>#N/A</v>
          </cell>
          <cell r="F557" t="e">
            <v>#N/A</v>
          </cell>
          <cell r="G557" t="e">
            <v>#N/A</v>
          </cell>
          <cell r="H557" t="e">
            <v>#N/A</v>
          </cell>
          <cell r="I557" t="e">
            <v>#N/A</v>
          </cell>
          <cell r="J557" t="e">
            <v>#N/A</v>
          </cell>
          <cell r="K557" t="e">
            <v>#N/A</v>
          </cell>
          <cell r="L557" t="e">
            <v>#N/A</v>
          </cell>
          <cell r="M557" t="e">
            <v>#N/A</v>
          </cell>
          <cell r="N557" t="e">
            <v>#N/A</v>
          </cell>
          <cell r="O557">
            <v>0</v>
          </cell>
          <cell r="P557">
            <v>62.99</v>
          </cell>
          <cell r="Q557">
            <v>0.56561899999999998</v>
          </cell>
          <cell r="R557" t="e">
            <v>#N/A</v>
          </cell>
        </row>
        <row r="558">
          <cell r="A558">
            <v>40277</v>
          </cell>
          <cell r="B558">
            <v>40277</v>
          </cell>
          <cell r="C558" t="str">
            <v>Current</v>
          </cell>
          <cell r="D558">
            <v>63.51</v>
          </cell>
          <cell r="E558">
            <v>63.51</v>
          </cell>
          <cell r="F558">
            <v>63.51</v>
          </cell>
          <cell r="G558">
            <v>63.51</v>
          </cell>
          <cell r="H558">
            <v>63.51</v>
          </cell>
          <cell r="I558">
            <v>63.51</v>
          </cell>
          <cell r="J558" t="e">
            <v>#N/A</v>
          </cell>
          <cell r="K558" t="e">
            <v>#N/A</v>
          </cell>
          <cell r="L558" t="e">
            <v>#N/A</v>
          </cell>
          <cell r="M558" t="e">
            <v>#N/A</v>
          </cell>
          <cell r="N558" t="e">
            <v>#N/A</v>
          </cell>
          <cell r="O558">
            <v>26.288689999999999</v>
          </cell>
          <cell r="P558">
            <v>63.51</v>
          </cell>
          <cell r="Q558">
            <v>0.52714799999999995</v>
          </cell>
          <cell r="R558" t="e">
            <v>#N/A</v>
          </cell>
        </row>
        <row r="559">
          <cell r="A559">
            <v>40280</v>
          </cell>
          <cell r="B559">
            <v>40280</v>
          </cell>
          <cell r="C559" t="str">
            <v>Future</v>
          </cell>
          <cell r="D559" t="e">
            <v>#N/A</v>
          </cell>
          <cell r="E559">
            <v>63.25996062992126</v>
          </cell>
          <cell r="F559">
            <v>63.614291338582674</v>
          </cell>
          <cell r="G559">
            <v>63.456811023622045</v>
          </cell>
          <cell r="H559">
            <v>63.456811023622045</v>
          </cell>
          <cell r="I559" t="e">
            <v>#N/A</v>
          </cell>
          <cell r="J559" t="e">
            <v>#N/A</v>
          </cell>
          <cell r="K559" t="e">
            <v>#N/A</v>
          </cell>
          <cell r="L559" t="e">
            <v>#N/A</v>
          </cell>
          <cell r="M559" t="e">
            <v>#N/A</v>
          </cell>
          <cell r="N559" t="e">
            <v>#N/A</v>
          </cell>
          <cell r="O559" t="e">
            <v>#N/A</v>
          </cell>
          <cell r="P559">
            <v>63.51</v>
          </cell>
          <cell r="Q559">
            <v>0.52714799999999995</v>
          </cell>
          <cell r="R559" t="e">
            <v>#N/A</v>
          </cell>
        </row>
        <row r="560">
          <cell r="A560">
            <v>40281</v>
          </cell>
          <cell r="B560">
            <v>40281</v>
          </cell>
          <cell r="C560" t="str">
            <v>Future</v>
          </cell>
          <cell r="D560" t="e">
            <v>#N/A</v>
          </cell>
          <cell r="E560">
            <v>63.009921259842521</v>
          </cell>
          <cell r="F560">
            <v>63.718582677165351</v>
          </cell>
          <cell r="G560">
            <v>63.403622047244092</v>
          </cell>
          <cell r="H560">
            <v>63.403622047244092</v>
          </cell>
          <cell r="I560" t="e">
            <v>#N/A</v>
          </cell>
          <cell r="J560" t="e">
            <v>#N/A</v>
          </cell>
          <cell r="K560" t="e">
            <v>#N/A</v>
          </cell>
          <cell r="L560" t="e">
            <v>#N/A</v>
          </cell>
          <cell r="M560" t="e">
            <v>#N/A</v>
          </cell>
          <cell r="N560" t="e">
            <v>#N/A</v>
          </cell>
          <cell r="O560" t="e">
            <v>#N/A</v>
          </cell>
          <cell r="P560">
            <v>63.51</v>
          </cell>
          <cell r="Q560" t="str">
            <v/>
          </cell>
          <cell r="R560" t="e">
            <v>#N/A</v>
          </cell>
        </row>
        <row r="561">
          <cell r="A561">
            <v>40282</v>
          </cell>
          <cell r="B561">
            <v>40282</v>
          </cell>
          <cell r="C561" t="str">
            <v>Future</v>
          </cell>
          <cell r="D561" t="e">
            <v>#N/A</v>
          </cell>
          <cell r="E561">
            <v>62.759881889763783</v>
          </cell>
          <cell r="F561">
            <v>63.822874015748027</v>
          </cell>
          <cell r="G561">
            <v>63.350433070866139</v>
          </cell>
          <cell r="H561">
            <v>63.350433070866139</v>
          </cell>
          <cell r="I561" t="e">
            <v>#N/A</v>
          </cell>
          <cell r="J561" t="e">
            <v>#N/A</v>
          </cell>
          <cell r="K561" t="e">
            <v>#N/A</v>
          </cell>
          <cell r="L561" t="e">
            <v>#N/A</v>
          </cell>
          <cell r="M561" t="e">
            <v>#N/A</v>
          </cell>
          <cell r="N561" t="e">
            <v>#N/A</v>
          </cell>
          <cell r="O561" t="e">
            <v>#N/A</v>
          </cell>
          <cell r="P561">
            <v>63.51</v>
          </cell>
          <cell r="Q561" t="str">
            <v/>
          </cell>
          <cell r="R561" t="e">
            <v>#N/A</v>
          </cell>
        </row>
        <row r="562">
          <cell r="A562">
            <v>40283</v>
          </cell>
          <cell r="B562">
            <v>40283</v>
          </cell>
          <cell r="C562" t="str">
            <v>Future</v>
          </cell>
          <cell r="D562" t="e">
            <v>#N/A</v>
          </cell>
          <cell r="E562">
            <v>62.509842519685044</v>
          </cell>
          <cell r="F562">
            <v>63.927165354330704</v>
          </cell>
          <cell r="G562">
            <v>63.297244094488185</v>
          </cell>
          <cell r="H562">
            <v>63.297244094488185</v>
          </cell>
          <cell r="I562" t="e">
            <v>#N/A</v>
          </cell>
          <cell r="J562" t="e">
            <v>#N/A</v>
          </cell>
          <cell r="K562" t="e">
            <v>#N/A</v>
          </cell>
          <cell r="L562" t="e">
            <v>#N/A</v>
          </cell>
          <cell r="M562" t="e">
            <v>#N/A</v>
          </cell>
          <cell r="N562" t="e">
            <v>#N/A</v>
          </cell>
          <cell r="O562" t="e">
            <v>#N/A</v>
          </cell>
          <cell r="P562">
            <v>63.51</v>
          </cell>
          <cell r="Q562" t="str">
            <v/>
          </cell>
          <cell r="R562" t="e">
            <v>#N/A</v>
          </cell>
        </row>
        <row r="563">
          <cell r="A563">
            <v>40284</v>
          </cell>
          <cell r="B563">
            <v>40284</v>
          </cell>
          <cell r="C563" t="str">
            <v>Future</v>
          </cell>
          <cell r="D563" t="e">
            <v>#N/A</v>
          </cell>
          <cell r="E563">
            <v>62.259803149606306</v>
          </cell>
          <cell r="F563">
            <v>64.03145669291338</v>
          </cell>
          <cell r="G563">
            <v>63.244055118110232</v>
          </cell>
          <cell r="H563">
            <v>63.244055118110232</v>
          </cell>
          <cell r="I563" t="e">
            <v>#N/A</v>
          </cell>
          <cell r="J563" t="e">
            <v>#N/A</v>
          </cell>
          <cell r="K563" t="e">
            <v>#N/A</v>
          </cell>
          <cell r="L563" t="e">
            <v>#N/A</v>
          </cell>
          <cell r="M563" t="e">
            <v>#N/A</v>
          </cell>
          <cell r="N563" t="e">
            <v>#N/A</v>
          </cell>
          <cell r="O563" t="e">
            <v>#N/A</v>
          </cell>
          <cell r="P563">
            <v>63.51</v>
          </cell>
          <cell r="Q563" t="str">
            <v/>
          </cell>
          <cell r="R563" t="e">
            <v>#N/A</v>
          </cell>
        </row>
        <row r="564">
          <cell r="A564">
            <v>40287</v>
          </cell>
          <cell r="B564">
            <v>40287</v>
          </cell>
          <cell r="C564" t="str">
            <v>Future</v>
          </cell>
          <cell r="D564" t="e">
            <v>#N/A</v>
          </cell>
          <cell r="E564">
            <v>62.009763779527567</v>
          </cell>
          <cell r="F564">
            <v>64.135748031496064</v>
          </cell>
          <cell r="G564">
            <v>63.190866141732279</v>
          </cell>
          <cell r="H564">
            <v>63.190866141732279</v>
          </cell>
          <cell r="I564" t="e">
            <v>#N/A</v>
          </cell>
          <cell r="J564" t="e">
            <v>#N/A</v>
          </cell>
          <cell r="K564" t="e">
            <v>#N/A</v>
          </cell>
          <cell r="L564" t="e">
            <v>#N/A</v>
          </cell>
          <cell r="M564" t="e">
            <v>#N/A</v>
          </cell>
          <cell r="N564" t="e">
            <v>#N/A</v>
          </cell>
          <cell r="O564" t="e">
            <v>#N/A</v>
          </cell>
          <cell r="P564">
            <v>63.51</v>
          </cell>
          <cell r="Q564" t="str">
            <v/>
          </cell>
          <cell r="R564" t="e">
            <v>#N/A</v>
          </cell>
        </row>
        <row r="565">
          <cell r="A565">
            <v>40288</v>
          </cell>
          <cell r="B565">
            <v>40288</v>
          </cell>
          <cell r="C565" t="str">
            <v>Future</v>
          </cell>
          <cell r="D565" t="e">
            <v>#N/A</v>
          </cell>
          <cell r="E565">
            <v>61.759724409448829</v>
          </cell>
          <cell r="F565">
            <v>64.240039370078748</v>
          </cell>
          <cell r="G565">
            <v>63.137677165354326</v>
          </cell>
          <cell r="H565">
            <v>63.137677165354326</v>
          </cell>
          <cell r="I565" t="e">
            <v>#N/A</v>
          </cell>
          <cell r="J565" t="e">
            <v>#N/A</v>
          </cell>
          <cell r="K565" t="e">
            <v>#N/A</v>
          </cell>
          <cell r="L565" t="e">
            <v>#N/A</v>
          </cell>
          <cell r="M565" t="e">
            <v>#N/A</v>
          </cell>
          <cell r="N565" t="e">
            <v>#N/A</v>
          </cell>
          <cell r="O565" t="e">
            <v>#N/A</v>
          </cell>
          <cell r="P565">
            <v>63.51</v>
          </cell>
          <cell r="Q565" t="str">
            <v/>
          </cell>
          <cell r="R565" t="e">
            <v>#N/A</v>
          </cell>
        </row>
        <row r="566">
          <cell r="A566">
            <v>40289</v>
          </cell>
          <cell r="B566">
            <v>40289</v>
          </cell>
          <cell r="C566" t="str">
            <v>Future</v>
          </cell>
          <cell r="D566" t="e">
            <v>#N/A</v>
          </cell>
          <cell r="E566">
            <v>61.50968503937009</v>
          </cell>
          <cell r="F566">
            <v>64.344330708661431</v>
          </cell>
          <cell r="G566">
            <v>63.084488188976373</v>
          </cell>
          <cell r="H566">
            <v>63.084488188976373</v>
          </cell>
          <cell r="I566" t="e">
            <v>#N/A</v>
          </cell>
          <cell r="J566" t="e">
            <v>#N/A</v>
          </cell>
          <cell r="K566" t="e">
            <v>#N/A</v>
          </cell>
          <cell r="L566" t="e">
            <v>#N/A</v>
          </cell>
          <cell r="M566" t="e">
            <v>#N/A</v>
          </cell>
          <cell r="N566" t="e">
            <v>#N/A</v>
          </cell>
          <cell r="O566" t="e">
            <v>#N/A</v>
          </cell>
          <cell r="P566">
            <v>63.51</v>
          </cell>
          <cell r="Q566" t="str">
            <v/>
          </cell>
          <cell r="R566" t="e">
            <v>#N/A</v>
          </cell>
        </row>
        <row r="567">
          <cell r="A567">
            <v>40290</v>
          </cell>
          <cell r="B567">
            <v>40290</v>
          </cell>
          <cell r="C567" t="str">
            <v>Future</v>
          </cell>
          <cell r="D567" t="e">
            <v>#N/A</v>
          </cell>
          <cell r="E567">
            <v>61.259645669291352</v>
          </cell>
          <cell r="F567">
            <v>64.448622047244115</v>
          </cell>
          <cell r="G567">
            <v>63.03129921259842</v>
          </cell>
          <cell r="H567">
            <v>63.03129921259842</v>
          </cell>
          <cell r="I567" t="e">
            <v>#N/A</v>
          </cell>
          <cell r="J567" t="e">
            <v>#N/A</v>
          </cell>
          <cell r="K567" t="e">
            <v>#N/A</v>
          </cell>
          <cell r="L567" t="e">
            <v>#N/A</v>
          </cell>
          <cell r="M567" t="e">
            <v>#N/A</v>
          </cell>
          <cell r="N567" t="e">
            <v>#N/A</v>
          </cell>
          <cell r="O567" t="e">
            <v>#N/A</v>
          </cell>
          <cell r="P567">
            <v>63.51</v>
          </cell>
          <cell r="Q567" t="str">
            <v/>
          </cell>
          <cell r="R567" t="e">
            <v>#N/A</v>
          </cell>
        </row>
        <row r="568">
          <cell r="A568">
            <v>40291</v>
          </cell>
          <cell r="B568">
            <v>40291</v>
          </cell>
          <cell r="C568" t="str">
            <v>Future</v>
          </cell>
          <cell r="D568" t="e">
            <v>#N/A</v>
          </cell>
          <cell r="E568">
            <v>61.009606299212614</v>
          </cell>
          <cell r="F568">
            <v>64.552913385826798</v>
          </cell>
          <cell r="G568">
            <v>62.978110236220466</v>
          </cell>
          <cell r="H568">
            <v>62.978110236220466</v>
          </cell>
          <cell r="I568" t="e">
            <v>#N/A</v>
          </cell>
          <cell r="J568" t="e">
            <v>#N/A</v>
          </cell>
          <cell r="K568" t="e">
            <v>#N/A</v>
          </cell>
          <cell r="L568" t="e">
            <v>#N/A</v>
          </cell>
          <cell r="M568" t="e">
            <v>#N/A</v>
          </cell>
          <cell r="N568" t="e">
            <v>#N/A</v>
          </cell>
          <cell r="O568" t="e">
            <v>#N/A</v>
          </cell>
          <cell r="P568">
            <v>63.51</v>
          </cell>
          <cell r="Q568" t="str">
            <v/>
          </cell>
          <cell r="R568" t="e">
            <v>#N/A</v>
          </cell>
        </row>
        <row r="569">
          <cell r="A569">
            <v>40294</v>
          </cell>
          <cell r="B569">
            <v>40294</v>
          </cell>
          <cell r="C569" t="str">
            <v>Future</v>
          </cell>
          <cell r="D569" t="e">
            <v>#N/A</v>
          </cell>
          <cell r="E569">
            <v>60.759566929133875</v>
          </cell>
          <cell r="F569">
            <v>64.657204724409482</v>
          </cell>
          <cell r="G569">
            <v>62.924921259842513</v>
          </cell>
          <cell r="H569">
            <v>62.924921259842513</v>
          </cell>
          <cell r="I569" t="e">
            <v>#N/A</v>
          </cell>
          <cell r="J569" t="e">
            <v>#N/A</v>
          </cell>
          <cell r="K569" t="e">
            <v>#N/A</v>
          </cell>
          <cell r="L569" t="e">
            <v>#N/A</v>
          </cell>
          <cell r="M569" t="e">
            <v>#N/A</v>
          </cell>
          <cell r="N569" t="e">
            <v>#N/A</v>
          </cell>
          <cell r="O569" t="e">
            <v>#N/A</v>
          </cell>
          <cell r="P569">
            <v>63.51</v>
          </cell>
          <cell r="Q569" t="str">
            <v/>
          </cell>
          <cell r="R569" t="e">
            <v>#N/A</v>
          </cell>
        </row>
        <row r="570">
          <cell r="A570">
            <v>40295</v>
          </cell>
          <cell r="B570">
            <v>40295</v>
          </cell>
          <cell r="C570" t="str">
            <v>Future</v>
          </cell>
          <cell r="D570" t="e">
            <v>#N/A</v>
          </cell>
          <cell r="E570">
            <v>60.509527559055137</v>
          </cell>
          <cell r="F570">
            <v>64.761496062992165</v>
          </cell>
          <cell r="G570">
            <v>62.87173228346456</v>
          </cell>
          <cell r="H570">
            <v>62.87173228346456</v>
          </cell>
          <cell r="I570" t="e">
            <v>#N/A</v>
          </cell>
          <cell r="J570" t="e">
            <v>#N/A</v>
          </cell>
          <cell r="K570" t="e">
            <v>#N/A</v>
          </cell>
          <cell r="L570" t="e">
            <v>#N/A</v>
          </cell>
          <cell r="M570" t="e">
            <v>#N/A</v>
          </cell>
          <cell r="N570" t="e">
            <v>#N/A</v>
          </cell>
          <cell r="O570" t="e">
            <v>#N/A</v>
          </cell>
          <cell r="P570">
            <v>63.51</v>
          </cell>
          <cell r="Q570" t="str">
            <v/>
          </cell>
          <cell r="R570" t="e">
            <v>#N/A</v>
          </cell>
        </row>
        <row r="571">
          <cell r="A571">
            <v>40296</v>
          </cell>
          <cell r="B571">
            <v>40296</v>
          </cell>
          <cell r="C571" t="str">
            <v>Future</v>
          </cell>
          <cell r="D571" t="e">
            <v>#N/A</v>
          </cell>
          <cell r="E571">
            <v>60.259488188976398</v>
          </cell>
          <cell r="F571">
            <v>64.865787401574849</v>
          </cell>
          <cell r="G571">
            <v>62.818543307086607</v>
          </cell>
          <cell r="H571">
            <v>62.818543307086607</v>
          </cell>
          <cell r="I571" t="e">
            <v>#N/A</v>
          </cell>
          <cell r="J571" t="e">
            <v>#N/A</v>
          </cell>
          <cell r="K571" t="e">
            <v>#N/A</v>
          </cell>
          <cell r="L571" t="e">
            <v>#N/A</v>
          </cell>
          <cell r="M571" t="e">
            <v>#N/A</v>
          </cell>
          <cell r="N571" t="e">
            <v>#N/A</v>
          </cell>
          <cell r="O571" t="e">
            <v>#N/A</v>
          </cell>
          <cell r="P571">
            <v>63.51</v>
          </cell>
          <cell r="Q571" t="str">
            <v/>
          </cell>
          <cell r="R571" t="e">
            <v>#N/A</v>
          </cell>
        </row>
        <row r="572">
          <cell r="A572">
            <v>40297</v>
          </cell>
          <cell r="B572">
            <v>40297</v>
          </cell>
          <cell r="C572" t="str">
            <v>Future</v>
          </cell>
          <cell r="D572" t="e">
            <v>#N/A</v>
          </cell>
          <cell r="E572">
            <v>60.00944881889766</v>
          </cell>
          <cell r="F572">
            <v>64.970078740157533</v>
          </cell>
          <cell r="G572">
            <v>62.765354330708654</v>
          </cell>
          <cell r="H572">
            <v>62.765354330708654</v>
          </cell>
          <cell r="I572" t="e">
            <v>#N/A</v>
          </cell>
          <cell r="J572" t="e">
            <v>#N/A</v>
          </cell>
          <cell r="K572" t="e">
            <v>#N/A</v>
          </cell>
          <cell r="L572" t="e">
            <v>#N/A</v>
          </cell>
          <cell r="M572" t="e">
            <v>#N/A</v>
          </cell>
          <cell r="N572" t="e">
            <v>#N/A</v>
          </cell>
          <cell r="O572" t="e">
            <v>#N/A</v>
          </cell>
          <cell r="P572">
            <v>63.51</v>
          </cell>
          <cell r="Q572" t="str">
            <v/>
          </cell>
          <cell r="R572" t="e">
            <v>#N/A</v>
          </cell>
        </row>
        <row r="573">
          <cell r="A573">
            <v>40298</v>
          </cell>
          <cell r="B573">
            <v>40298</v>
          </cell>
          <cell r="C573" t="str">
            <v>Future</v>
          </cell>
          <cell r="D573" t="e">
            <v>#N/A</v>
          </cell>
          <cell r="E573">
            <v>59.759409448818921</v>
          </cell>
          <cell r="F573">
            <v>65.074370078740216</v>
          </cell>
          <cell r="G573">
            <v>62.7121653543307</v>
          </cell>
          <cell r="H573">
            <v>62.7121653543307</v>
          </cell>
          <cell r="I573" t="e">
            <v>#N/A</v>
          </cell>
          <cell r="J573" t="e">
            <v>#N/A</v>
          </cell>
          <cell r="K573" t="e">
            <v>#N/A</v>
          </cell>
          <cell r="L573" t="e">
            <v>#N/A</v>
          </cell>
          <cell r="M573" t="e">
            <v>#N/A</v>
          </cell>
          <cell r="N573" t="e">
            <v>#N/A</v>
          </cell>
          <cell r="O573" t="e">
            <v>#N/A</v>
          </cell>
          <cell r="P573">
            <v>63.51</v>
          </cell>
          <cell r="Q573" t="str">
            <v/>
          </cell>
          <cell r="R573" t="e">
            <v>#N/A</v>
          </cell>
        </row>
        <row r="574">
          <cell r="A574">
            <v>40301</v>
          </cell>
          <cell r="B574">
            <v>40301</v>
          </cell>
          <cell r="C574" t="str">
            <v>Future</v>
          </cell>
          <cell r="D574" t="e">
            <v>#N/A</v>
          </cell>
          <cell r="E574">
            <v>59.509370078740183</v>
          </cell>
          <cell r="F574">
            <v>65.1786614173229</v>
          </cell>
          <cell r="G574">
            <v>62.658976377952747</v>
          </cell>
          <cell r="H574">
            <v>62.658976377952747</v>
          </cell>
          <cell r="I574" t="e">
            <v>#N/A</v>
          </cell>
          <cell r="J574" t="e">
            <v>#N/A</v>
          </cell>
          <cell r="K574" t="e">
            <v>#N/A</v>
          </cell>
          <cell r="L574" t="e">
            <v>#N/A</v>
          </cell>
          <cell r="M574" t="e">
            <v>#N/A</v>
          </cell>
          <cell r="N574" t="e">
            <v>#N/A</v>
          </cell>
          <cell r="O574" t="e">
            <v>#N/A</v>
          </cell>
          <cell r="P574">
            <v>63.51</v>
          </cell>
          <cell r="Q574" t="str">
            <v/>
          </cell>
          <cell r="R574" t="e">
            <v>#N/A</v>
          </cell>
        </row>
        <row r="575">
          <cell r="A575">
            <v>40302</v>
          </cell>
          <cell r="B575">
            <v>40302</v>
          </cell>
          <cell r="C575" t="str">
            <v>Future</v>
          </cell>
          <cell r="D575" t="e">
            <v>#N/A</v>
          </cell>
          <cell r="E575">
            <v>59.259330708661444</v>
          </cell>
          <cell r="F575">
            <v>65.282952755905583</v>
          </cell>
          <cell r="G575">
            <v>62.605787401574794</v>
          </cell>
          <cell r="H575">
            <v>62.605787401574794</v>
          </cell>
          <cell r="I575" t="e">
            <v>#N/A</v>
          </cell>
          <cell r="J575" t="e">
            <v>#N/A</v>
          </cell>
          <cell r="K575" t="e">
            <v>#N/A</v>
          </cell>
          <cell r="L575" t="e">
            <v>#N/A</v>
          </cell>
          <cell r="M575" t="e">
            <v>#N/A</v>
          </cell>
          <cell r="N575" t="e">
            <v>#N/A</v>
          </cell>
          <cell r="O575" t="e">
            <v>#N/A</v>
          </cell>
          <cell r="P575">
            <v>63.51</v>
          </cell>
          <cell r="Q575" t="str">
            <v/>
          </cell>
          <cell r="R575" t="e">
            <v>#N/A</v>
          </cell>
        </row>
        <row r="576">
          <cell r="A576">
            <v>40303</v>
          </cell>
          <cell r="B576">
            <v>40303</v>
          </cell>
          <cell r="C576" t="str">
            <v>Future</v>
          </cell>
          <cell r="D576" t="e">
            <v>#N/A</v>
          </cell>
          <cell r="E576">
            <v>59.009291338582706</v>
          </cell>
          <cell r="F576">
            <v>65.387244094488267</v>
          </cell>
          <cell r="G576">
            <v>62.552598425196841</v>
          </cell>
          <cell r="H576">
            <v>62.552598425196841</v>
          </cell>
          <cell r="I576" t="e">
            <v>#N/A</v>
          </cell>
          <cell r="J576" t="e">
            <v>#N/A</v>
          </cell>
          <cell r="K576" t="e">
            <v>#N/A</v>
          </cell>
          <cell r="L576" t="e">
            <v>#N/A</v>
          </cell>
          <cell r="M576" t="e">
            <v>#N/A</v>
          </cell>
          <cell r="N576" t="e">
            <v>#N/A</v>
          </cell>
          <cell r="O576" t="e">
            <v>#N/A</v>
          </cell>
          <cell r="P576">
            <v>63.51</v>
          </cell>
          <cell r="Q576" t="str">
            <v/>
          </cell>
          <cell r="R576" t="e">
            <v>#N/A</v>
          </cell>
        </row>
        <row r="577">
          <cell r="A577">
            <v>40304</v>
          </cell>
          <cell r="B577">
            <v>40304</v>
          </cell>
          <cell r="C577" t="str">
            <v>Future</v>
          </cell>
          <cell r="D577" t="e">
            <v>#N/A</v>
          </cell>
          <cell r="E577">
            <v>58.759251968503968</v>
          </cell>
          <cell r="F577">
            <v>65.49153543307095</v>
          </cell>
          <cell r="G577">
            <v>62.499409448818888</v>
          </cell>
          <cell r="H577">
            <v>62.499409448818888</v>
          </cell>
          <cell r="I577" t="e">
            <v>#N/A</v>
          </cell>
          <cell r="J577" t="e">
            <v>#N/A</v>
          </cell>
          <cell r="K577" t="e">
            <v>#N/A</v>
          </cell>
          <cell r="L577" t="e">
            <v>#N/A</v>
          </cell>
          <cell r="M577" t="e">
            <v>#N/A</v>
          </cell>
          <cell r="N577" t="e">
            <v>#N/A</v>
          </cell>
          <cell r="O577" t="e">
            <v>#N/A</v>
          </cell>
          <cell r="P577">
            <v>63.51</v>
          </cell>
          <cell r="Q577" t="str">
            <v/>
          </cell>
          <cell r="R577" t="e">
            <v>#N/A</v>
          </cell>
        </row>
        <row r="578">
          <cell r="A578">
            <v>40305</v>
          </cell>
          <cell r="B578">
            <v>40305</v>
          </cell>
          <cell r="C578" t="str">
            <v>Future</v>
          </cell>
          <cell r="D578" t="e">
            <v>#N/A</v>
          </cell>
          <cell r="E578">
            <v>58.509212598425229</v>
          </cell>
          <cell r="F578">
            <v>65.595826771653634</v>
          </cell>
          <cell r="G578">
            <v>62.446220472440935</v>
          </cell>
          <cell r="H578">
            <v>62.446220472440935</v>
          </cell>
          <cell r="I578" t="e">
            <v>#N/A</v>
          </cell>
          <cell r="J578" t="e">
            <v>#N/A</v>
          </cell>
          <cell r="K578" t="e">
            <v>#N/A</v>
          </cell>
          <cell r="L578" t="e">
            <v>#N/A</v>
          </cell>
          <cell r="M578" t="e">
            <v>#N/A</v>
          </cell>
          <cell r="N578" t="e">
            <v>#N/A</v>
          </cell>
          <cell r="O578" t="e">
            <v>#N/A</v>
          </cell>
          <cell r="P578">
            <v>63.51</v>
          </cell>
          <cell r="Q578" t="str">
            <v/>
          </cell>
          <cell r="R578" t="e">
            <v>#N/A</v>
          </cell>
        </row>
        <row r="579">
          <cell r="A579">
            <v>40308</v>
          </cell>
          <cell r="B579">
            <v>40308</v>
          </cell>
          <cell r="C579" t="str">
            <v>Future</v>
          </cell>
          <cell r="D579" t="e">
            <v>#N/A</v>
          </cell>
          <cell r="E579">
            <v>58.259173228346491</v>
          </cell>
          <cell r="F579">
            <v>65.700118110236318</v>
          </cell>
          <cell r="G579">
            <v>62.393031496062981</v>
          </cell>
          <cell r="H579">
            <v>62.393031496062981</v>
          </cell>
          <cell r="I579" t="e">
            <v>#N/A</v>
          </cell>
          <cell r="J579" t="e">
            <v>#N/A</v>
          </cell>
          <cell r="K579" t="e">
            <v>#N/A</v>
          </cell>
          <cell r="L579" t="e">
            <v>#N/A</v>
          </cell>
          <cell r="M579" t="e">
            <v>#N/A</v>
          </cell>
          <cell r="N579" t="e">
            <v>#N/A</v>
          </cell>
          <cell r="O579" t="e">
            <v>#N/A</v>
          </cell>
          <cell r="P579">
            <v>63.51</v>
          </cell>
          <cell r="Q579" t="str">
            <v/>
          </cell>
          <cell r="R579" t="e">
            <v>#N/A</v>
          </cell>
        </row>
        <row r="580">
          <cell r="A580">
            <v>40309</v>
          </cell>
          <cell r="B580">
            <v>40309</v>
          </cell>
          <cell r="C580" t="str">
            <v>Future</v>
          </cell>
          <cell r="D580" t="e">
            <v>#N/A</v>
          </cell>
          <cell r="E580">
            <v>58.009133858267752</v>
          </cell>
          <cell r="F580">
            <v>65.804409448819001</v>
          </cell>
          <cell r="G580">
            <v>62.339842519685028</v>
          </cell>
          <cell r="H580">
            <v>62.339842519685028</v>
          </cell>
          <cell r="I580" t="e">
            <v>#N/A</v>
          </cell>
          <cell r="J580" t="e">
            <v>#N/A</v>
          </cell>
          <cell r="K580" t="e">
            <v>#N/A</v>
          </cell>
          <cell r="L580" t="e">
            <v>#N/A</v>
          </cell>
          <cell r="M580" t="e">
            <v>#N/A</v>
          </cell>
          <cell r="N580" t="e">
            <v>#N/A</v>
          </cell>
          <cell r="O580" t="e">
            <v>#N/A</v>
          </cell>
          <cell r="P580">
            <v>63.51</v>
          </cell>
          <cell r="Q580" t="str">
            <v/>
          </cell>
          <cell r="R580" t="e">
            <v>#N/A</v>
          </cell>
        </row>
        <row r="581">
          <cell r="A581">
            <v>40310</v>
          </cell>
          <cell r="B581">
            <v>40310</v>
          </cell>
          <cell r="C581" t="str">
            <v>Future</v>
          </cell>
          <cell r="D581" t="e">
            <v>#N/A</v>
          </cell>
          <cell r="E581">
            <v>57.759094488189014</v>
          </cell>
          <cell r="F581">
            <v>65.908700787401685</v>
          </cell>
          <cell r="G581">
            <v>62.286653543307075</v>
          </cell>
          <cell r="H581">
            <v>62.286653543307075</v>
          </cell>
          <cell r="I581" t="e">
            <v>#N/A</v>
          </cell>
          <cell r="J581" t="e">
            <v>#N/A</v>
          </cell>
          <cell r="K581" t="e">
            <v>#N/A</v>
          </cell>
          <cell r="L581" t="e">
            <v>#N/A</v>
          </cell>
          <cell r="M581" t="e">
            <v>#N/A</v>
          </cell>
          <cell r="N581" t="e">
            <v>#N/A</v>
          </cell>
          <cell r="O581" t="e">
            <v>#N/A</v>
          </cell>
          <cell r="P581">
            <v>63.51</v>
          </cell>
          <cell r="Q581" t="str">
            <v/>
          </cell>
          <cell r="R581" t="e">
            <v>#N/A</v>
          </cell>
        </row>
        <row r="582">
          <cell r="A582">
            <v>40311</v>
          </cell>
          <cell r="B582">
            <v>40311</v>
          </cell>
          <cell r="C582" t="str">
            <v>Future</v>
          </cell>
          <cell r="D582" t="e">
            <v>#N/A</v>
          </cell>
          <cell r="E582">
            <v>57.509055118110275</v>
          </cell>
          <cell r="F582">
            <v>66.012992125984368</v>
          </cell>
          <cell r="G582">
            <v>62.233464566929122</v>
          </cell>
          <cell r="H582">
            <v>62.233464566929122</v>
          </cell>
          <cell r="I582" t="e">
            <v>#N/A</v>
          </cell>
          <cell r="J582" t="e">
            <v>#N/A</v>
          </cell>
          <cell r="K582" t="e">
            <v>#N/A</v>
          </cell>
          <cell r="L582" t="e">
            <v>#N/A</v>
          </cell>
          <cell r="M582" t="e">
            <v>#N/A</v>
          </cell>
          <cell r="N582" t="e">
            <v>#N/A</v>
          </cell>
          <cell r="O582" t="e">
            <v>#N/A</v>
          </cell>
          <cell r="P582">
            <v>63.51</v>
          </cell>
          <cell r="Q582" t="str">
            <v/>
          </cell>
          <cell r="R582" t="e">
            <v>#N/A</v>
          </cell>
        </row>
        <row r="583">
          <cell r="A583">
            <v>40312</v>
          </cell>
          <cell r="B583">
            <v>40312</v>
          </cell>
          <cell r="C583" t="str">
            <v>Future</v>
          </cell>
          <cell r="D583" t="e">
            <v>#N/A</v>
          </cell>
          <cell r="E583">
            <v>57.259015748031537</v>
          </cell>
          <cell r="F583">
            <v>66.117283464567052</v>
          </cell>
          <cell r="G583">
            <v>62.180275590551169</v>
          </cell>
          <cell r="H583">
            <v>62.180275590551169</v>
          </cell>
          <cell r="I583" t="e">
            <v>#N/A</v>
          </cell>
          <cell r="J583" t="e">
            <v>#N/A</v>
          </cell>
          <cell r="K583" t="e">
            <v>#N/A</v>
          </cell>
          <cell r="L583" t="e">
            <v>#N/A</v>
          </cell>
          <cell r="M583" t="e">
            <v>#N/A</v>
          </cell>
          <cell r="N583" t="e">
            <v>#N/A</v>
          </cell>
          <cell r="O583" t="e">
            <v>#N/A</v>
          </cell>
          <cell r="P583">
            <v>63.51</v>
          </cell>
          <cell r="Q583" t="str">
            <v/>
          </cell>
          <cell r="R583" t="e">
            <v>#N/A</v>
          </cell>
        </row>
        <row r="584">
          <cell r="A584">
            <v>40315</v>
          </cell>
          <cell r="B584">
            <v>40315</v>
          </cell>
          <cell r="C584" t="str">
            <v>Future</v>
          </cell>
          <cell r="D584" t="e">
            <v>#N/A</v>
          </cell>
          <cell r="E584">
            <v>57.008976377952798</v>
          </cell>
          <cell r="F584">
            <v>66.221574803149736</v>
          </cell>
          <cell r="G584">
            <v>62.127086614173216</v>
          </cell>
          <cell r="H584">
            <v>62.127086614173216</v>
          </cell>
          <cell r="I584" t="e">
            <v>#N/A</v>
          </cell>
          <cell r="J584" t="e">
            <v>#N/A</v>
          </cell>
          <cell r="K584" t="e">
            <v>#N/A</v>
          </cell>
          <cell r="L584" t="e">
            <v>#N/A</v>
          </cell>
          <cell r="M584" t="e">
            <v>#N/A</v>
          </cell>
          <cell r="N584" t="e">
            <v>#N/A</v>
          </cell>
          <cell r="O584" t="e">
            <v>#N/A</v>
          </cell>
          <cell r="P584">
            <v>63.51</v>
          </cell>
          <cell r="Q584" t="str">
            <v/>
          </cell>
          <cell r="R584" t="e">
            <v>#N/A</v>
          </cell>
        </row>
        <row r="585">
          <cell r="A585">
            <v>40316</v>
          </cell>
          <cell r="B585">
            <v>40316</v>
          </cell>
          <cell r="C585" t="str">
            <v>Future</v>
          </cell>
          <cell r="D585" t="e">
            <v>#N/A</v>
          </cell>
          <cell r="E585">
            <v>56.75893700787406</v>
          </cell>
          <cell r="F585">
            <v>66.325866141732419</v>
          </cell>
          <cell r="G585">
            <v>62.073897637795262</v>
          </cell>
          <cell r="H585">
            <v>62.073897637795262</v>
          </cell>
          <cell r="I585" t="e">
            <v>#N/A</v>
          </cell>
          <cell r="J585" t="e">
            <v>#N/A</v>
          </cell>
          <cell r="K585" t="e">
            <v>#N/A</v>
          </cell>
          <cell r="L585" t="e">
            <v>#N/A</v>
          </cell>
          <cell r="M585" t="e">
            <v>#N/A</v>
          </cell>
          <cell r="N585" t="e">
            <v>#N/A</v>
          </cell>
          <cell r="O585" t="e">
            <v>#N/A</v>
          </cell>
          <cell r="P585">
            <v>63.51</v>
          </cell>
          <cell r="Q585" t="str">
            <v/>
          </cell>
          <cell r="R585" t="e">
            <v>#N/A</v>
          </cell>
        </row>
        <row r="586">
          <cell r="A586">
            <v>40317</v>
          </cell>
          <cell r="B586">
            <v>40317</v>
          </cell>
          <cell r="C586" t="str">
            <v>Future</v>
          </cell>
          <cell r="D586" t="e">
            <v>#N/A</v>
          </cell>
          <cell r="E586">
            <v>56.508897637795322</v>
          </cell>
          <cell r="F586">
            <v>66.430157480315103</v>
          </cell>
          <cell r="G586">
            <v>62.020708661417309</v>
          </cell>
          <cell r="H586">
            <v>62.020708661417309</v>
          </cell>
          <cell r="I586" t="e">
            <v>#N/A</v>
          </cell>
          <cell r="J586" t="e">
            <v>#N/A</v>
          </cell>
          <cell r="K586" t="e">
            <v>#N/A</v>
          </cell>
          <cell r="L586" t="e">
            <v>#N/A</v>
          </cell>
          <cell r="M586" t="e">
            <v>#N/A</v>
          </cell>
          <cell r="N586" t="e">
            <v>#N/A</v>
          </cell>
          <cell r="O586" t="e">
            <v>#N/A</v>
          </cell>
          <cell r="P586">
            <v>63.51</v>
          </cell>
          <cell r="Q586" t="str">
            <v/>
          </cell>
          <cell r="R586" t="e">
            <v>#N/A</v>
          </cell>
        </row>
        <row r="587">
          <cell r="A587">
            <v>40318</v>
          </cell>
          <cell r="B587">
            <v>40318</v>
          </cell>
          <cell r="C587" t="str">
            <v>Future</v>
          </cell>
          <cell r="D587" t="e">
            <v>#N/A</v>
          </cell>
          <cell r="E587">
            <v>56.258858267716583</v>
          </cell>
          <cell r="F587">
            <v>66.534448818897786</v>
          </cell>
          <cell r="G587">
            <v>61.967519685039356</v>
          </cell>
          <cell r="H587">
            <v>61.967519685039356</v>
          </cell>
          <cell r="I587" t="e">
            <v>#N/A</v>
          </cell>
          <cell r="J587" t="e">
            <v>#N/A</v>
          </cell>
          <cell r="K587" t="e">
            <v>#N/A</v>
          </cell>
          <cell r="L587" t="e">
            <v>#N/A</v>
          </cell>
          <cell r="M587" t="e">
            <v>#N/A</v>
          </cell>
          <cell r="N587" t="e">
            <v>#N/A</v>
          </cell>
          <cell r="O587" t="e">
            <v>#N/A</v>
          </cell>
          <cell r="P587">
            <v>63.51</v>
          </cell>
          <cell r="Q587" t="str">
            <v/>
          </cell>
          <cell r="R587" t="e">
            <v>#N/A</v>
          </cell>
        </row>
        <row r="588">
          <cell r="A588">
            <v>40319</v>
          </cell>
          <cell r="B588">
            <v>40319</v>
          </cell>
          <cell r="C588" t="str">
            <v>Future</v>
          </cell>
          <cell r="D588" t="e">
            <v>#N/A</v>
          </cell>
          <cell r="E588">
            <v>56.008818897637845</v>
          </cell>
          <cell r="F588">
            <v>66.63874015748047</v>
          </cell>
          <cell r="G588">
            <v>61.914330708661403</v>
          </cell>
          <cell r="H588">
            <v>61.914330708661403</v>
          </cell>
          <cell r="I588" t="e">
            <v>#N/A</v>
          </cell>
          <cell r="J588" t="e">
            <v>#N/A</v>
          </cell>
          <cell r="K588" t="e">
            <v>#N/A</v>
          </cell>
          <cell r="L588" t="e">
            <v>#N/A</v>
          </cell>
          <cell r="M588" t="e">
            <v>#N/A</v>
          </cell>
          <cell r="N588" t="e">
            <v>#N/A</v>
          </cell>
          <cell r="O588" t="e">
            <v>#N/A</v>
          </cell>
          <cell r="P588">
            <v>63.51</v>
          </cell>
          <cell r="Q588" t="str">
            <v/>
          </cell>
          <cell r="R588" t="e">
            <v>#N/A</v>
          </cell>
        </row>
        <row r="589">
          <cell r="A589">
            <v>40322</v>
          </cell>
          <cell r="B589">
            <v>40322</v>
          </cell>
          <cell r="C589" t="str">
            <v>Future</v>
          </cell>
          <cell r="D589" t="e">
            <v>#N/A</v>
          </cell>
          <cell r="E589">
            <v>55.758779527559106</v>
          </cell>
          <cell r="F589">
            <v>66.743031496063153</v>
          </cell>
          <cell r="G589">
            <v>61.86114173228345</v>
          </cell>
          <cell r="H589">
            <v>61.86114173228345</v>
          </cell>
          <cell r="I589" t="e">
            <v>#N/A</v>
          </cell>
          <cell r="J589" t="e">
            <v>#N/A</v>
          </cell>
          <cell r="K589" t="e">
            <v>#N/A</v>
          </cell>
          <cell r="L589" t="e">
            <v>#N/A</v>
          </cell>
          <cell r="M589" t="e">
            <v>#N/A</v>
          </cell>
          <cell r="N589" t="e">
            <v>#N/A</v>
          </cell>
          <cell r="O589" t="e">
            <v>#N/A</v>
          </cell>
          <cell r="P589">
            <v>63.51</v>
          </cell>
          <cell r="Q589" t="str">
            <v/>
          </cell>
          <cell r="R589" t="e">
            <v>#N/A</v>
          </cell>
        </row>
        <row r="590">
          <cell r="A590">
            <v>40323</v>
          </cell>
          <cell r="B590">
            <v>40323</v>
          </cell>
          <cell r="C590" t="str">
            <v>Future</v>
          </cell>
          <cell r="D590" t="e">
            <v>#N/A</v>
          </cell>
          <cell r="E590">
            <v>55.508740157480368</v>
          </cell>
          <cell r="F590">
            <v>66.847322834645837</v>
          </cell>
          <cell r="G590">
            <v>61.807952755905497</v>
          </cell>
          <cell r="H590">
            <v>61.807952755905497</v>
          </cell>
          <cell r="I590" t="e">
            <v>#N/A</v>
          </cell>
          <cell r="J590" t="e">
            <v>#N/A</v>
          </cell>
          <cell r="K590" t="e">
            <v>#N/A</v>
          </cell>
          <cell r="L590" t="e">
            <v>#N/A</v>
          </cell>
          <cell r="M590" t="e">
            <v>#N/A</v>
          </cell>
          <cell r="N590" t="e">
            <v>#N/A</v>
          </cell>
          <cell r="O590" t="e">
            <v>#N/A</v>
          </cell>
          <cell r="P590">
            <v>63.51</v>
          </cell>
          <cell r="Q590" t="str">
            <v/>
          </cell>
          <cell r="R590" t="e">
            <v>#N/A</v>
          </cell>
        </row>
        <row r="591">
          <cell r="A591">
            <v>40324</v>
          </cell>
          <cell r="B591">
            <v>40324</v>
          </cell>
          <cell r="C591" t="str">
            <v>Future</v>
          </cell>
          <cell r="D591" t="e">
            <v>#N/A</v>
          </cell>
          <cell r="E591">
            <v>55.258700787401629</v>
          </cell>
          <cell r="F591">
            <v>66.951614173228521</v>
          </cell>
          <cell r="G591">
            <v>61.754763779527543</v>
          </cell>
          <cell r="H591">
            <v>61.754763779527543</v>
          </cell>
          <cell r="I591" t="e">
            <v>#N/A</v>
          </cell>
          <cell r="J591" t="e">
            <v>#N/A</v>
          </cell>
          <cell r="K591" t="e">
            <v>#N/A</v>
          </cell>
          <cell r="L591" t="e">
            <v>#N/A</v>
          </cell>
          <cell r="M591" t="e">
            <v>#N/A</v>
          </cell>
          <cell r="N591" t="e">
            <v>#N/A</v>
          </cell>
          <cell r="O591" t="e">
            <v>#N/A</v>
          </cell>
          <cell r="P591">
            <v>63.51</v>
          </cell>
          <cell r="Q591" t="str">
            <v/>
          </cell>
          <cell r="R591" t="e">
            <v>#N/A</v>
          </cell>
        </row>
        <row r="592">
          <cell r="A592">
            <v>40325</v>
          </cell>
          <cell r="B592">
            <v>40325</v>
          </cell>
          <cell r="C592" t="str">
            <v>Future</v>
          </cell>
          <cell r="D592" t="e">
            <v>#N/A</v>
          </cell>
          <cell r="E592">
            <v>55.008661417322891</v>
          </cell>
          <cell r="F592">
            <v>67.055905511811204</v>
          </cell>
          <cell r="G592">
            <v>61.70157480314959</v>
          </cell>
          <cell r="H592">
            <v>61.70157480314959</v>
          </cell>
          <cell r="I592" t="e">
            <v>#N/A</v>
          </cell>
          <cell r="J592" t="e">
            <v>#N/A</v>
          </cell>
          <cell r="K592" t="e">
            <v>#N/A</v>
          </cell>
          <cell r="L592" t="e">
            <v>#N/A</v>
          </cell>
          <cell r="M592" t="e">
            <v>#N/A</v>
          </cell>
          <cell r="N592" t="e">
            <v>#N/A</v>
          </cell>
          <cell r="O592" t="e">
            <v>#N/A</v>
          </cell>
          <cell r="P592">
            <v>63.51</v>
          </cell>
          <cell r="Q592" t="str">
            <v/>
          </cell>
          <cell r="R592" t="e">
            <v>#N/A</v>
          </cell>
        </row>
        <row r="593">
          <cell r="A593">
            <v>40326</v>
          </cell>
          <cell r="B593">
            <v>40326</v>
          </cell>
          <cell r="C593" t="str">
            <v>Future</v>
          </cell>
          <cell r="D593" t="e">
            <v>#N/A</v>
          </cell>
          <cell r="E593">
            <v>54.758622047244152</v>
          </cell>
          <cell r="F593">
            <v>67.160196850393888</v>
          </cell>
          <cell r="G593">
            <v>61.648385826771637</v>
          </cell>
          <cell r="H593">
            <v>61.648385826771637</v>
          </cell>
          <cell r="I593" t="e">
            <v>#N/A</v>
          </cell>
          <cell r="J593" t="e">
            <v>#N/A</v>
          </cell>
          <cell r="K593" t="e">
            <v>#N/A</v>
          </cell>
          <cell r="L593" t="e">
            <v>#N/A</v>
          </cell>
          <cell r="M593" t="e">
            <v>#N/A</v>
          </cell>
          <cell r="N593" t="e">
            <v>#N/A</v>
          </cell>
          <cell r="O593" t="e">
            <v>#N/A</v>
          </cell>
          <cell r="P593">
            <v>63.51</v>
          </cell>
          <cell r="Q593" t="str">
            <v/>
          </cell>
          <cell r="R593" t="e">
            <v>#N/A</v>
          </cell>
        </row>
        <row r="594">
          <cell r="A594">
            <v>40330</v>
          </cell>
          <cell r="B594">
            <v>40330</v>
          </cell>
          <cell r="C594" t="str">
            <v>Future</v>
          </cell>
          <cell r="D594" t="e">
            <v>#N/A</v>
          </cell>
          <cell r="E594">
            <v>54.508582677165414</v>
          </cell>
          <cell r="F594">
            <v>67.264488188976571</v>
          </cell>
          <cell r="G594">
            <v>61.595196850393684</v>
          </cell>
          <cell r="H594">
            <v>61.595196850393684</v>
          </cell>
          <cell r="I594" t="e">
            <v>#N/A</v>
          </cell>
          <cell r="J594" t="e">
            <v>#N/A</v>
          </cell>
          <cell r="K594" t="e">
            <v>#N/A</v>
          </cell>
          <cell r="L594" t="e">
            <v>#N/A</v>
          </cell>
          <cell r="M594" t="e">
            <v>#N/A</v>
          </cell>
          <cell r="N594" t="e">
            <v>#N/A</v>
          </cell>
          <cell r="O594" t="e">
            <v>#N/A</v>
          </cell>
          <cell r="P594">
            <v>63.51</v>
          </cell>
          <cell r="Q594" t="str">
            <v/>
          </cell>
          <cell r="R594" t="e">
            <v>#N/A</v>
          </cell>
        </row>
        <row r="595">
          <cell r="A595">
            <v>40331</v>
          </cell>
          <cell r="B595">
            <v>40331</v>
          </cell>
          <cell r="C595" t="str">
            <v>Future</v>
          </cell>
          <cell r="D595" t="e">
            <v>#N/A</v>
          </cell>
          <cell r="E595">
            <v>54.258543307086676</v>
          </cell>
          <cell r="F595">
            <v>67.368779527559255</v>
          </cell>
          <cell r="G595">
            <v>61.542007874015731</v>
          </cell>
          <cell r="H595">
            <v>61.542007874015731</v>
          </cell>
          <cell r="I595" t="e">
            <v>#N/A</v>
          </cell>
          <cell r="J595" t="e">
            <v>#N/A</v>
          </cell>
          <cell r="K595" t="e">
            <v>#N/A</v>
          </cell>
          <cell r="L595" t="e">
            <v>#N/A</v>
          </cell>
          <cell r="M595" t="e">
            <v>#N/A</v>
          </cell>
          <cell r="N595" t="e">
            <v>#N/A</v>
          </cell>
          <cell r="O595" t="e">
            <v>#N/A</v>
          </cell>
          <cell r="P595">
            <v>63.51</v>
          </cell>
          <cell r="Q595" t="str">
            <v/>
          </cell>
          <cell r="R595" t="e">
            <v>#N/A</v>
          </cell>
        </row>
        <row r="596">
          <cell r="A596">
            <v>40332</v>
          </cell>
          <cell r="B596">
            <v>40332</v>
          </cell>
          <cell r="C596" t="str">
            <v>Future</v>
          </cell>
          <cell r="D596" t="e">
            <v>#N/A</v>
          </cell>
          <cell r="E596">
            <v>54.008503937007937</v>
          </cell>
          <cell r="F596">
            <v>67.473070866141938</v>
          </cell>
          <cell r="G596">
            <v>61.488818897637778</v>
          </cell>
          <cell r="H596">
            <v>61.488818897637778</v>
          </cell>
          <cell r="I596" t="e">
            <v>#N/A</v>
          </cell>
          <cell r="J596" t="e">
            <v>#N/A</v>
          </cell>
          <cell r="K596" t="e">
            <v>#N/A</v>
          </cell>
          <cell r="L596" t="e">
            <v>#N/A</v>
          </cell>
          <cell r="M596" t="e">
            <v>#N/A</v>
          </cell>
          <cell r="N596" t="e">
            <v>#N/A</v>
          </cell>
          <cell r="O596" t="e">
            <v>#N/A</v>
          </cell>
          <cell r="P596">
            <v>63.51</v>
          </cell>
          <cell r="Q596" t="str">
            <v/>
          </cell>
          <cell r="R596" t="e">
            <v>#N/A</v>
          </cell>
        </row>
        <row r="597">
          <cell r="A597">
            <v>40333</v>
          </cell>
          <cell r="B597">
            <v>40333</v>
          </cell>
          <cell r="C597" t="str">
            <v>Future</v>
          </cell>
          <cell r="D597" t="e">
            <v>#N/A</v>
          </cell>
          <cell r="E597">
            <v>53.758464566929199</v>
          </cell>
          <cell r="F597">
            <v>67.577362204724622</v>
          </cell>
          <cell r="G597">
            <v>61.435629921259824</v>
          </cell>
          <cell r="H597">
            <v>61.435629921259824</v>
          </cell>
          <cell r="I597" t="e">
            <v>#N/A</v>
          </cell>
          <cell r="J597" t="e">
            <v>#N/A</v>
          </cell>
          <cell r="K597" t="e">
            <v>#N/A</v>
          </cell>
          <cell r="L597" t="e">
            <v>#N/A</v>
          </cell>
          <cell r="M597" t="e">
            <v>#N/A</v>
          </cell>
          <cell r="N597" t="e">
            <v>#N/A</v>
          </cell>
          <cell r="O597" t="e">
            <v>#N/A</v>
          </cell>
          <cell r="P597">
            <v>63.51</v>
          </cell>
          <cell r="Q597" t="str">
            <v/>
          </cell>
          <cell r="R597" t="e">
            <v>#N/A</v>
          </cell>
        </row>
        <row r="598">
          <cell r="A598">
            <v>40336</v>
          </cell>
          <cell r="B598">
            <v>40336</v>
          </cell>
          <cell r="C598" t="str">
            <v>Future</v>
          </cell>
          <cell r="D598" t="e">
            <v>#N/A</v>
          </cell>
          <cell r="E598">
            <v>53.50842519685046</v>
          </cell>
          <cell r="F598">
            <v>67.681653543307306</v>
          </cell>
          <cell r="G598">
            <v>61.382440944881871</v>
          </cell>
          <cell r="H598">
            <v>61.382440944881871</v>
          </cell>
          <cell r="I598" t="e">
            <v>#N/A</v>
          </cell>
          <cell r="J598" t="e">
            <v>#N/A</v>
          </cell>
          <cell r="K598" t="e">
            <v>#N/A</v>
          </cell>
          <cell r="L598" t="e">
            <v>#N/A</v>
          </cell>
          <cell r="M598" t="e">
            <v>#N/A</v>
          </cell>
          <cell r="N598" t="e">
            <v>#N/A</v>
          </cell>
          <cell r="O598" t="e">
            <v>#N/A</v>
          </cell>
          <cell r="P598">
            <v>63.51</v>
          </cell>
          <cell r="Q598" t="str">
            <v/>
          </cell>
          <cell r="R598" t="e">
            <v>#N/A</v>
          </cell>
        </row>
        <row r="599">
          <cell r="A599">
            <v>40337</v>
          </cell>
          <cell r="B599">
            <v>40337</v>
          </cell>
          <cell r="C599" t="str">
            <v>Future</v>
          </cell>
          <cell r="D599" t="e">
            <v>#N/A</v>
          </cell>
          <cell r="E599">
            <v>53.258385826771722</v>
          </cell>
          <cell r="F599">
            <v>67.785944881889989</v>
          </cell>
          <cell r="G599">
            <v>61.329251968503918</v>
          </cell>
          <cell r="H599">
            <v>61.329251968503918</v>
          </cell>
          <cell r="I599" t="e">
            <v>#N/A</v>
          </cell>
          <cell r="J599" t="e">
            <v>#N/A</v>
          </cell>
          <cell r="K599" t="e">
            <v>#N/A</v>
          </cell>
          <cell r="L599" t="e">
            <v>#N/A</v>
          </cell>
          <cell r="M599" t="e">
            <v>#N/A</v>
          </cell>
          <cell r="N599" t="e">
            <v>#N/A</v>
          </cell>
          <cell r="O599" t="e">
            <v>#N/A</v>
          </cell>
          <cell r="P599">
            <v>63.51</v>
          </cell>
          <cell r="Q599" t="str">
            <v/>
          </cell>
          <cell r="R599" t="e">
            <v>#N/A</v>
          </cell>
        </row>
        <row r="600">
          <cell r="A600">
            <v>40338</v>
          </cell>
          <cell r="B600">
            <v>40338</v>
          </cell>
          <cell r="C600" t="str">
            <v>Future</v>
          </cell>
          <cell r="D600" t="e">
            <v>#N/A</v>
          </cell>
          <cell r="E600">
            <v>53.008346456692983</v>
          </cell>
          <cell r="F600">
            <v>67.890236220472673</v>
          </cell>
          <cell r="G600">
            <v>61.276062992125965</v>
          </cell>
          <cell r="H600">
            <v>61.276062992125965</v>
          </cell>
          <cell r="I600" t="e">
            <v>#N/A</v>
          </cell>
          <cell r="J600" t="e">
            <v>#N/A</v>
          </cell>
          <cell r="K600" t="e">
            <v>#N/A</v>
          </cell>
          <cell r="L600" t="e">
            <v>#N/A</v>
          </cell>
          <cell r="M600" t="e">
            <v>#N/A</v>
          </cell>
          <cell r="N600" t="e">
            <v>#N/A</v>
          </cell>
          <cell r="O600" t="e">
            <v>#N/A</v>
          </cell>
          <cell r="P600">
            <v>63.51</v>
          </cell>
          <cell r="Q600" t="str">
            <v/>
          </cell>
          <cell r="R600" t="e">
            <v>#N/A</v>
          </cell>
        </row>
        <row r="601">
          <cell r="A601">
            <v>40339</v>
          </cell>
          <cell r="B601">
            <v>40339</v>
          </cell>
          <cell r="C601" t="str">
            <v>Future</v>
          </cell>
          <cell r="D601" t="e">
            <v>#N/A</v>
          </cell>
          <cell r="E601">
            <v>52.758307086614245</v>
          </cell>
          <cell r="F601">
            <v>67.994527559055356</v>
          </cell>
          <cell r="G601">
            <v>61.222874015748012</v>
          </cell>
          <cell r="H601">
            <v>61.222874015748012</v>
          </cell>
          <cell r="I601" t="e">
            <v>#N/A</v>
          </cell>
          <cell r="J601" t="e">
            <v>#N/A</v>
          </cell>
          <cell r="K601" t="e">
            <v>#N/A</v>
          </cell>
          <cell r="L601" t="e">
            <v>#N/A</v>
          </cell>
          <cell r="M601" t="e">
            <v>#N/A</v>
          </cell>
          <cell r="N601" t="e">
            <v>#N/A</v>
          </cell>
          <cell r="O601" t="e">
            <v>#N/A</v>
          </cell>
          <cell r="P601">
            <v>63.51</v>
          </cell>
          <cell r="Q601" t="str">
            <v/>
          </cell>
          <cell r="R601" t="e">
            <v>#N/A</v>
          </cell>
        </row>
        <row r="602">
          <cell r="A602">
            <v>40340</v>
          </cell>
          <cell r="B602">
            <v>40340</v>
          </cell>
          <cell r="C602" t="str">
            <v>Future</v>
          </cell>
          <cell r="D602" t="e">
            <v>#N/A</v>
          </cell>
          <cell r="E602">
            <v>52.508267716535507</v>
          </cell>
          <cell r="F602">
            <v>68.09881889763804</v>
          </cell>
          <cell r="G602">
            <v>61.169685039370059</v>
          </cell>
          <cell r="H602">
            <v>61.169685039370059</v>
          </cell>
          <cell r="I602" t="e">
            <v>#N/A</v>
          </cell>
          <cell r="J602" t="e">
            <v>#N/A</v>
          </cell>
          <cell r="K602" t="e">
            <v>#N/A</v>
          </cell>
          <cell r="L602" t="e">
            <v>#N/A</v>
          </cell>
          <cell r="M602" t="e">
            <v>#N/A</v>
          </cell>
          <cell r="N602" t="e">
            <v>#N/A</v>
          </cell>
          <cell r="O602" t="e">
            <v>#N/A</v>
          </cell>
          <cell r="P602">
            <v>63.51</v>
          </cell>
          <cell r="Q602" t="str">
            <v/>
          </cell>
          <cell r="R602" t="e">
            <v>#N/A</v>
          </cell>
        </row>
        <row r="603">
          <cell r="A603">
            <v>40343</v>
          </cell>
          <cell r="B603">
            <v>40343</v>
          </cell>
          <cell r="C603" t="str">
            <v>Future</v>
          </cell>
          <cell r="D603" t="e">
            <v>#N/A</v>
          </cell>
          <cell r="E603">
            <v>52.258228346456768</v>
          </cell>
          <cell r="F603">
            <v>68.203110236220724</v>
          </cell>
          <cell r="G603">
            <v>61.116496062992105</v>
          </cell>
          <cell r="H603">
            <v>61.116496062992105</v>
          </cell>
          <cell r="I603" t="e">
            <v>#N/A</v>
          </cell>
          <cell r="J603" t="e">
            <v>#N/A</v>
          </cell>
          <cell r="K603" t="e">
            <v>#N/A</v>
          </cell>
          <cell r="L603" t="e">
            <v>#N/A</v>
          </cell>
          <cell r="M603" t="e">
            <v>#N/A</v>
          </cell>
          <cell r="N603" t="e">
            <v>#N/A</v>
          </cell>
          <cell r="O603" t="e">
            <v>#N/A</v>
          </cell>
          <cell r="P603">
            <v>63.51</v>
          </cell>
          <cell r="Q603" t="str">
            <v/>
          </cell>
          <cell r="R603" t="e">
            <v>#N/A</v>
          </cell>
        </row>
        <row r="604">
          <cell r="A604">
            <v>40344</v>
          </cell>
          <cell r="B604">
            <v>40344</v>
          </cell>
          <cell r="C604" t="str">
            <v>Future</v>
          </cell>
          <cell r="D604" t="e">
            <v>#N/A</v>
          </cell>
          <cell r="E604">
            <v>52.00818897637803</v>
          </cell>
          <cell r="F604">
            <v>68.307401574803407</v>
          </cell>
          <cell r="G604">
            <v>61.063307086614152</v>
          </cell>
          <cell r="H604">
            <v>61.063307086614152</v>
          </cell>
          <cell r="I604" t="e">
            <v>#N/A</v>
          </cell>
          <cell r="J604" t="e">
            <v>#N/A</v>
          </cell>
          <cell r="K604" t="e">
            <v>#N/A</v>
          </cell>
          <cell r="L604" t="e">
            <v>#N/A</v>
          </cell>
          <cell r="M604" t="e">
            <v>#N/A</v>
          </cell>
          <cell r="N604" t="e">
            <v>#N/A</v>
          </cell>
          <cell r="O604" t="e">
            <v>#N/A</v>
          </cell>
          <cell r="P604">
            <v>63.51</v>
          </cell>
          <cell r="Q604" t="str">
            <v/>
          </cell>
          <cell r="R604" t="e">
            <v>#N/A</v>
          </cell>
        </row>
        <row r="605">
          <cell r="A605">
            <v>40345</v>
          </cell>
          <cell r="B605">
            <v>40345</v>
          </cell>
          <cell r="C605" t="str">
            <v>Future</v>
          </cell>
          <cell r="D605" t="e">
            <v>#N/A</v>
          </cell>
          <cell r="E605">
            <v>51.758149606299291</v>
          </cell>
          <cell r="F605">
            <v>68.411692913386091</v>
          </cell>
          <cell r="G605">
            <v>61.010118110236199</v>
          </cell>
          <cell r="H605">
            <v>61.010118110236199</v>
          </cell>
          <cell r="I605" t="e">
            <v>#N/A</v>
          </cell>
          <cell r="J605" t="e">
            <v>#N/A</v>
          </cell>
          <cell r="K605" t="e">
            <v>#N/A</v>
          </cell>
          <cell r="L605" t="e">
            <v>#N/A</v>
          </cell>
          <cell r="M605" t="e">
            <v>#N/A</v>
          </cell>
          <cell r="N605" t="e">
            <v>#N/A</v>
          </cell>
          <cell r="O605" t="e">
            <v>#N/A</v>
          </cell>
          <cell r="P605">
            <v>63.51</v>
          </cell>
          <cell r="Q605" t="str">
            <v/>
          </cell>
          <cell r="R605" t="e">
            <v>#N/A</v>
          </cell>
        </row>
        <row r="606">
          <cell r="A606">
            <v>40346</v>
          </cell>
          <cell r="B606">
            <v>40346</v>
          </cell>
          <cell r="C606" t="str">
            <v>Future</v>
          </cell>
          <cell r="D606" t="e">
            <v>#N/A</v>
          </cell>
          <cell r="E606">
            <v>51.508110236220553</v>
          </cell>
          <cell r="F606">
            <v>68.515984251968774</v>
          </cell>
          <cell r="G606">
            <v>60.956929133858246</v>
          </cell>
          <cell r="H606">
            <v>60.956929133858246</v>
          </cell>
          <cell r="I606" t="e">
            <v>#N/A</v>
          </cell>
          <cell r="J606" t="e">
            <v>#N/A</v>
          </cell>
          <cell r="K606" t="e">
            <v>#N/A</v>
          </cell>
          <cell r="L606" t="e">
            <v>#N/A</v>
          </cell>
          <cell r="M606" t="e">
            <v>#N/A</v>
          </cell>
          <cell r="N606" t="e">
            <v>#N/A</v>
          </cell>
          <cell r="O606" t="e">
            <v>#N/A</v>
          </cell>
          <cell r="P606">
            <v>63.51</v>
          </cell>
          <cell r="Q606" t="str">
            <v/>
          </cell>
          <cell r="R606" t="e">
            <v>#N/A</v>
          </cell>
        </row>
        <row r="607">
          <cell r="A607">
            <v>40347</v>
          </cell>
          <cell r="B607">
            <v>40347</v>
          </cell>
          <cell r="C607" t="str">
            <v>Future</v>
          </cell>
          <cell r="D607" t="e">
            <v>#N/A</v>
          </cell>
          <cell r="E607">
            <v>51.258070866141814</v>
          </cell>
          <cell r="F607">
            <v>68.620275590551458</v>
          </cell>
          <cell r="G607">
            <v>60.903740157480293</v>
          </cell>
          <cell r="H607">
            <v>60.903740157480293</v>
          </cell>
          <cell r="I607" t="e">
            <v>#N/A</v>
          </cell>
          <cell r="J607" t="e">
            <v>#N/A</v>
          </cell>
          <cell r="K607" t="e">
            <v>#N/A</v>
          </cell>
          <cell r="L607" t="e">
            <v>#N/A</v>
          </cell>
          <cell r="M607" t="e">
            <v>#N/A</v>
          </cell>
          <cell r="N607" t="e">
            <v>#N/A</v>
          </cell>
          <cell r="O607" t="e">
            <v>#N/A</v>
          </cell>
          <cell r="P607">
            <v>63.51</v>
          </cell>
          <cell r="Q607" t="str">
            <v/>
          </cell>
          <cell r="R607" t="e">
            <v>#N/A</v>
          </cell>
        </row>
        <row r="608">
          <cell r="A608">
            <v>40350</v>
          </cell>
          <cell r="B608">
            <v>40350</v>
          </cell>
          <cell r="C608" t="str">
            <v>Future</v>
          </cell>
          <cell r="D608" t="e">
            <v>#N/A</v>
          </cell>
          <cell r="E608">
            <v>51.008031496063076</v>
          </cell>
          <cell r="F608">
            <v>68.724566929134141</v>
          </cell>
          <cell r="G608">
            <v>60.85055118110234</v>
          </cell>
          <cell r="H608">
            <v>60.85055118110234</v>
          </cell>
          <cell r="I608" t="e">
            <v>#N/A</v>
          </cell>
          <cell r="J608" t="e">
            <v>#N/A</v>
          </cell>
          <cell r="K608" t="e">
            <v>#N/A</v>
          </cell>
          <cell r="L608" t="e">
            <v>#N/A</v>
          </cell>
          <cell r="M608" t="e">
            <v>#N/A</v>
          </cell>
          <cell r="N608" t="e">
            <v>#N/A</v>
          </cell>
          <cell r="O608" t="e">
            <v>#N/A</v>
          </cell>
          <cell r="P608">
            <v>63.51</v>
          </cell>
          <cell r="Q608" t="str">
            <v/>
          </cell>
          <cell r="R608" t="e">
            <v>#N/A</v>
          </cell>
        </row>
        <row r="609">
          <cell r="A609">
            <v>40351</v>
          </cell>
          <cell r="B609">
            <v>40351</v>
          </cell>
          <cell r="C609" t="str">
            <v>Future</v>
          </cell>
          <cell r="D609" t="e">
            <v>#N/A</v>
          </cell>
          <cell r="E609">
            <v>50.757992125984337</v>
          </cell>
          <cell r="F609">
            <v>68.828858267716825</v>
          </cell>
          <cell r="G609">
            <v>60.797362204724386</v>
          </cell>
          <cell r="H609">
            <v>60.797362204724386</v>
          </cell>
          <cell r="I609" t="e">
            <v>#N/A</v>
          </cell>
          <cell r="J609" t="e">
            <v>#N/A</v>
          </cell>
          <cell r="K609" t="e">
            <v>#N/A</v>
          </cell>
          <cell r="L609" t="e">
            <v>#N/A</v>
          </cell>
          <cell r="M609" t="e">
            <v>#N/A</v>
          </cell>
          <cell r="N609" t="e">
            <v>#N/A</v>
          </cell>
          <cell r="O609" t="e">
            <v>#N/A</v>
          </cell>
          <cell r="P609">
            <v>63.51</v>
          </cell>
          <cell r="Q609" t="str">
            <v/>
          </cell>
          <cell r="R609" t="e">
            <v>#N/A</v>
          </cell>
        </row>
        <row r="610">
          <cell r="A610">
            <v>40352</v>
          </cell>
          <cell r="B610">
            <v>40352</v>
          </cell>
          <cell r="C610" t="str">
            <v>Future</v>
          </cell>
          <cell r="D610" t="e">
            <v>#N/A</v>
          </cell>
          <cell r="E610">
            <v>50.507952755905599</v>
          </cell>
          <cell r="F610">
            <v>68.933149606299509</v>
          </cell>
          <cell r="G610">
            <v>60.744173228346433</v>
          </cell>
          <cell r="H610">
            <v>60.744173228346433</v>
          </cell>
          <cell r="I610" t="e">
            <v>#N/A</v>
          </cell>
          <cell r="J610" t="e">
            <v>#N/A</v>
          </cell>
          <cell r="K610" t="e">
            <v>#N/A</v>
          </cell>
          <cell r="L610" t="e">
            <v>#N/A</v>
          </cell>
          <cell r="M610" t="e">
            <v>#N/A</v>
          </cell>
          <cell r="N610" t="e">
            <v>#N/A</v>
          </cell>
          <cell r="O610" t="e">
            <v>#N/A</v>
          </cell>
          <cell r="P610">
            <v>63.51</v>
          </cell>
          <cell r="Q610" t="str">
            <v/>
          </cell>
          <cell r="R610" t="e">
            <v>#N/A</v>
          </cell>
        </row>
        <row r="611">
          <cell r="A611">
            <v>40353</v>
          </cell>
          <cell r="B611">
            <v>40353</v>
          </cell>
          <cell r="C611" t="str">
            <v>Future</v>
          </cell>
          <cell r="D611" t="e">
            <v>#N/A</v>
          </cell>
          <cell r="E611">
            <v>50.257913385826861</v>
          </cell>
          <cell r="F611">
            <v>69.037440944882192</v>
          </cell>
          <cell r="G611">
            <v>60.69098425196848</v>
          </cell>
          <cell r="H611">
            <v>60.69098425196848</v>
          </cell>
          <cell r="I611" t="e">
            <v>#N/A</v>
          </cell>
          <cell r="J611" t="e">
            <v>#N/A</v>
          </cell>
          <cell r="K611" t="e">
            <v>#N/A</v>
          </cell>
          <cell r="L611" t="e">
            <v>#N/A</v>
          </cell>
          <cell r="M611" t="e">
            <v>#N/A</v>
          </cell>
          <cell r="N611" t="e">
            <v>#N/A</v>
          </cell>
          <cell r="O611" t="e">
            <v>#N/A</v>
          </cell>
          <cell r="P611">
            <v>63.51</v>
          </cell>
          <cell r="Q611" t="str">
            <v/>
          </cell>
          <cell r="R611" t="e">
            <v>#N/A</v>
          </cell>
        </row>
        <row r="612">
          <cell r="A612">
            <v>40354</v>
          </cell>
          <cell r="B612">
            <v>40354</v>
          </cell>
          <cell r="C612" t="str">
            <v>Future</v>
          </cell>
          <cell r="D612" t="e">
            <v>#N/A</v>
          </cell>
          <cell r="E612">
            <v>50.007874015748122</v>
          </cell>
          <cell r="F612">
            <v>69.141732283464876</v>
          </cell>
          <cell r="G612">
            <v>60.637795275590527</v>
          </cell>
          <cell r="H612">
            <v>60.637795275590527</v>
          </cell>
          <cell r="I612" t="e">
            <v>#N/A</v>
          </cell>
          <cell r="J612" t="e">
            <v>#N/A</v>
          </cell>
          <cell r="K612" t="e">
            <v>#N/A</v>
          </cell>
          <cell r="L612" t="e">
            <v>#N/A</v>
          </cell>
          <cell r="M612" t="e">
            <v>#N/A</v>
          </cell>
          <cell r="N612" t="e">
            <v>#N/A</v>
          </cell>
          <cell r="O612" t="e">
            <v>#N/A</v>
          </cell>
          <cell r="P612">
            <v>63.51</v>
          </cell>
          <cell r="Q612" t="str">
            <v/>
          </cell>
          <cell r="R612" t="e">
            <v>#N/A</v>
          </cell>
        </row>
        <row r="613">
          <cell r="A613">
            <v>40357</v>
          </cell>
          <cell r="B613">
            <v>40357</v>
          </cell>
          <cell r="C613" t="str">
            <v>Future</v>
          </cell>
          <cell r="D613" t="e">
            <v>#N/A</v>
          </cell>
          <cell r="E613">
            <v>49.757834645669384</v>
          </cell>
          <cell r="F613">
            <v>69.246023622047559</v>
          </cell>
          <cell r="G613">
            <v>60.584606299212574</v>
          </cell>
          <cell r="H613">
            <v>60.584606299212574</v>
          </cell>
          <cell r="I613" t="e">
            <v>#N/A</v>
          </cell>
          <cell r="J613" t="e">
            <v>#N/A</v>
          </cell>
          <cell r="K613" t="e">
            <v>#N/A</v>
          </cell>
          <cell r="L613" t="e">
            <v>#N/A</v>
          </cell>
          <cell r="M613" t="e">
            <v>#N/A</v>
          </cell>
          <cell r="N613" t="e">
            <v>#N/A</v>
          </cell>
          <cell r="O613" t="e">
            <v>#N/A</v>
          </cell>
          <cell r="P613">
            <v>63.51</v>
          </cell>
          <cell r="Q613" t="str">
            <v/>
          </cell>
          <cell r="R613" t="e">
            <v>#N/A</v>
          </cell>
        </row>
        <row r="614">
          <cell r="A614">
            <v>40358</v>
          </cell>
          <cell r="B614">
            <v>40358</v>
          </cell>
          <cell r="C614" t="str">
            <v>Future</v>
          </cell>
          <cell r="D614" t="e">
            <v>#N/A</v>
          </cell>
          <cell r="E614">
            <v>49.507795275590645</v>
          </cell>
          <cell r="F614">
            <v>69.350314960630243</v>
          </cell>
          <cell r="G614">
            <v>60.531417322834621</v>
          </cell>
          <cell r="H614">
            <v>60.531417322834621</v>
          </cell>
          <cell r="I614" t="e">
            <v>#N/A</v>
          </cell>
          <cell r="J614" t="e">
            <v>#N/A</v>
          </cell>
          <cell r="K614" t="e">
            <v>#N/A</v>
          </cell>
          <cell r="L614" t="e">
            <v>#N/A</v>
          </cell>
          <cell r="M614" t="e">
            <v>#N/A</v>
          </cell>
          <cell r="N614" t="e">
            <v>#N/A</v>
          </cell>
          <cell r="O614" t="e">
            <v>#N/A</v>
          </cell>
          <cell r="P614">
            <v>63.51</v>
          </cell>
          <cell r="Q614" t="str">
            <v/>
          </cell>
          <cell r="R614" t="e">
            <v>#N/A</v>
          </cell>
        </row>
        <row r="615">
          <cell r="A615">
            <v>40359</v>
          </cell>
          <cell r="B615">
            <v>40359</v>
          </cell>
          <cell r="C615" t="str">
            <v>Future</v>
          </cell>
          <cell r="D615" t="e">
            <v>#N/A</v>
          </cell>
          <cell r="E615">
            <v>49.257755905511907</v>
          </cell>
          <cell r="F615">
            <v>69.454606299212927</v>
          </cell>
          <cell r="G615">
            <v>60.478228346456667</v>
          </cell>
          <cell r="H615">
            <v>60.478228346456667</v>
          </cell>
          <cell r="I615" t="e">
            <v>#N/A</v>
          </cell>
          <cell r="J615" t="e">
            <v>#N/A</v>
          </cell>
          <cell r="K615" t="e">
            <v>#N/A</v>
          </cell>
          <cell r="L615" t="e">
            <v>#N/A</v>
          </cell>
          <cell r="M615" t="e">
            <v>#N/A</v>
          </cell>
          <cell r="N615" t="e">
            <v>#N/A</v>
          </cell>
          <cell r="O615" t="e">
            <v>#N/A</v>
          </cell>
          <cell r="P615">
            <v>63.51</v>
          </cell>
          <cell r="Q615" t="str">
            <v/>
          </cell>
          <cell r="R615" t="e">
            <v>#N/A</v>
          </cell>
        </row>
        <row r="616">
          <cell r="A616">
            <v>40360</v>
          </cell>
          <cell r="B616">
            <v>40360</v>
          </cell>
          <cell r="C616" t="str">
            <v>Future</v>
          </cell>
          <cell r="D616" t="e">
            <v>#N/A</v>
          </cell>
          <cell r="E616">
            <v>49.007716535433168</v>
          </cell>
          <cell r="F616">
            <v>69.55889763779561</v>
          </cell>
          <cell r="G616">
            <v>60.425039370078714</v>
          </cell>
          <cell r="H616">
            <v>60.425039370078714</v>
          </cell>
          <cell r="I616" t="e">
            <v>#N/A</v>
          </cell>
          <cell r="J616" t="e">
            <v>#N/A</v>
          </cell>
          <cell r="K616" t="e">
            <v>#N/A</v>
          </cell>
          <cell r="L616" t="e">
            <v>#N/A</v>
          </cell>
          <cell r="M616" t="e">
            <v>#N/A</v>
          </cell>
          <cell r="N616" t="e">
            <v>#N/A</v>
          </cell>
          <cell r="O616" t="e">
            <v>#N/A</v>
          </cell>
          <cell r="P616">
            <v>63.51</v>
          </cell>
          <cell r="Q616" t="str">
            <v/>
          </cell>
          <cell r="R616" t="e">
            <v>#N/A</v>
          </cell>
        </row>
        <row r="617">
          <cell r="A617">
            <v>40361</v>
          </cell>
          <cell r="B617">
            <v>40361</v>
          </cell>
          <cell r="C617" t="str">
            <v>Future</v>
          </cell>
          <cell r="D617" t="e">
            <v>#N/A</v>
          </cell>
          <cell r="E617">
            <v>48.75767716535443</v>
          </cell>
          <cell r="F617">
            <v>69.663188976378294</v>
          </cell>
          <cell r="G617">
            <v>60.371850393700761</v>
          </cell>
          <cell r="H617">
            <v>60.371850393700761</v>
          </cell>
          <cell r="I617" t="e">
            <v>#N/A</v>
          </cell>
          <cell r="J617" t="e">
            <v>#N/A</v>
          </cell>
          <cell r="K617" t="e">
            <v>#N/A</v>
          </cell>
          <cell r="L617" t="e">
            <v>#N/A</v>
          </cell>
          <cell r="M617" t="e">
            <v>#N/A</v>
          </cell>
          <cell r="N617" t="e">
            <v>#N/A</v>
          </cell>
          <cell r="O617" t="e">
            <v>#N/A</v>
          </cell>
          <cell r="P617">
            <v>63.51</v>
          </cell>
          <cell r="Q617" t="str">
            <v/>
          </cell>
          <cell r="R617" t="e">
            <v>#N/A</v>
          </cell>
        </row>
        <row r="618">
          <cell r="A618">
            <v>40365</v>
          </cell>
          <cell r="B618">
            <v>40365</v>
          </cell>
          <cell r="C618" t="str">
            <v>Future</v>
          </cell>
          <cell r="D618" t="e">
            <v>#N/A</v>
          </cell>
          <cell r="E618">
            <v>48.507637795275691</v>
          </cell>
          <cell r="F618">
            <v>69.767480314960977</v>
          </cell>
          <cell r="G618">
            <v>60.318661417322808</v>
          </cell>
          <cell r="H618">
            <v>60.318661417322808</v>
          </cell>
          <cell r="I618" t="e">
            <v>#N/A</v>
          </cell>
          <cell r="J618" t="e">
            <v>#N/A</v>
          </cell>
          <cell r="K618" t="e">
            <v>#N/A</v>
          </cell>
          <cell r="L618" t="e">
            <v>#N/A</v>
          </cell>
          <cell r="M618" t="e">
            <v>#N/A</v>
          </cell>
          <cell r="N618" t="e">
            <v>#N/A</v>
          </cell>
          <cell r="O618" t="e">
            <v>#N/A</v>
          </cell>
          <cell r="P618">
            <v>63.51</v>
          </cell>
          <cell r="Q618" t="str">
            <v/>
          </cell>
          <cell r="R618" t="e">
            <v>#N/A</v>
          </cell>
        </row>
        <row r="619">
          <cell r="A619">
            <v>40366</v>
          </cell>
          <cell r="B619">
            <v>40366</v>
          </cell>
          <cell r="C619" t="str">
            <v>Future</v>
          </cell>
          <cell r="D619" t="e">
            <v>#N/A</v>
          </cell>
          <cell r="E619">
            <v>48.257598425196953</v>
          </cell>
          <cell r="F619">
            <v>69.871771653543661</v>
          </cell>
          <cell r="G619">
            <v>60.265472440944855</v>
          </cell>
          <cell r="H619">
            <v>60.265472440944855</v>
          </cell>
          <cell r="I619" t="e">
            <v>#N/A</v>
          </cell>
          <cell r="J619" t="e">
            <v>#N/A</v>
          </cell>
          <cell r="K619" t="e">
            <v>#N/A</v>
          </cell>
          <cell r="L619" t="e">
            <v>#N/A</v>
          </cell>
          <cell r="M619" t="e">
            <v>#N/A</v>
          </cell>
          <cell r="N619" t="e">
            <v>#N/A</v>
          </cell>
          <cell r="O619" t="e">
            <v>#N/A</v>
          </cell>
          <cell r="P619">
            <v>63.51</v>
          </cell>
          <cell r="Q619" t="str">
            <v/>
          </cell>
          <cell r="R619" t="e">
            <v>#N/A</v>
          </cell>
        </row>
        <row r="620">
          <cell r="A620">
            <v>40367</v>
          </cell>
          <cell r="B620">
            <v>40367</v>
          </cell>
          <cell r="C620" t="str">
            <v>Future</v>
          </cell>
          <cell r="D620" t="e">
            <v>#N/A</v>
          </cell>
          <cell r="E620">
            <v>48.007559055118215</v>
          </cell>
          <cell r="F620">
            <v>69.976062992126344</v>
          </cell>
          <cell r="G620">
            <v>60.212283464566902</v>
          </cell>
          <cell r="H620">
            <v>60.212283464566902</v>
          </cell>
          <cell r="I620" t="e">
            <v>#N/A</v>
          </cell>
          <cell r="J620" t="e">
            <v>#N/A</v>
          </cell>
          <cell r="K620" t="e">
            <v>#N/A</v>
          </cell>
          <cell r="L620" t="e">
            <v>#N/A</v>
          </cell>
          <cell r="M620" t="e">
            <v>#N/A</v>
          </cell>
          <cell r="N620" t="e">
            <v>#N/A</v>
          </cell>
          <cell r="O620" t="e">
            <v>#N/A</v>
          </cell>
          <cell r="P620">
            <v>63.51</v>
          </cell>
          <cell r="Q620" t="str">
            <v/>
          </cell>
          <cell r="R620" t="e">
            <v>#N/A</v>
          </cell>
        </row>
        <row r="621">
          <cell r="A621">
            <v>40368</v>
          </cell>
          <cell r="B621">
            <v>40368</v>
          </cell>
          <cell r="C621" t="str">
            <v>Future</v>
          </cell>
          <cell r="D621" t="e">
            <v>#N/A</v>
          </cell>
          <cell r="E621">
            <v>47.757519685039476</v>
          </cell>
          <cell r="F621">
            <v>70.080354330709028</v>
          </cell>
          <cell r="G621">
            <v>60.159094488188948</v>
          </cell>
          <cell r="H621">
            <v>60.159094488188948</v>
          </cell>
          <cell r="I621" t="e">
            <v>#N/A</v>
          </cell>
          <cell r="J621" t="e">
            <v>#N/A</v>
          </cell>
          <cell r="K621" t="e">
            <v>#N/A</v>
          </cell>
          <cell r="L621" t="e">
            <v>#N/A</v>
          </cell>
          <cell r="M621" t="e">
            <v>#N/A</v>
          </cell>
          <cell r="N621" t="e">
            <v>#N/A</v>
          </cell>
          <cell r="O621" t="e">
            <v>#N/A</v>
          </cell>
          <cell r="P621">
            <v>63.51</v>
          </cell>
          <cell r="Q621" t="str">
            <v/>
          </cell>
          <cell r="R621" t="e">
            <v>#N/A</v>
          </cell>
        </row>
        <row r="622">
          <cell r="A622">
            <v>40371</v>
          </cell>
          <cell r="B622">
            <v>40371</v>
          </cell>
          <cell r="C622" t="str">
            <v>Future</v>
          </cell>
          <cell r="D622" t="e">
            <v>#N/A</v>
          </cell>
          <cell r="E622">
            <v>47.507480314960738</v>
          </cell>
          <cell r="F622">
            <v>70.184645669291712</v>
          </cell>
          <cell r="G622">
            <v>60.105905511810995</v>
          </cell>
          <cell r="H622">
            <v>60.105905511810995</v>
          </cell>
          <cell r="I622" t="e">
            <v>#N/A</v>
          </cell>
          <cell r="J622" t="e">
            <v>#N/A</v>
          </cell>
          <cell r="K622" t="e">
            <v>#N/A</v>
          </cell>
          <cell r="L622" t="e">
            <v>#N/A</v>
          </cell>
          <cell r="M622" t="e">
            <v>#N/A</v>
          </cell>
          <cell r="N622" t="e">
            <v>#N/A</v>
          </cell>
          <cell r="O622" t="e">
            <v>#N/A</v>
          </cell>
          <cell r="P622">
            <v>63.51</v>
          </cell>
          <cell r="Q622" t="str">
            <v/>
          </cell>
          <cell r="R622" t="e">
            <v>#N/A</v>
          </cell>
        </row>
        <row r="623">
          <cell r="A623">
            <v>40372</v>
          </cell>
          <cell r="B623">
            <v>40372</v>
          </cell>
          <cell r="C623" t="str">
            <v>Future</v>
          </cell>
          <cell r="D623" t="e">
            <v>#N/A</v>
          </cell>
          <cell r="E623">
            <v>47.257440944881999</v>
          </cell>
          <cell r="F623">
            <v>70.288937007874395</v>
          </cell>
          <cell r="G623">
            <v>60.052716535433042</v>
          </cell>
          <cell r="H623">
            <v>60.052716535433042</v>
          </cell>
          <cell r="I623" t="e">
            <v>#N/A</v>
          </cell>
          <cell r="J623" t="e">
            <v>#N/A</v>
          </cell>
          <cell r="K623" t="e">
            <v>#N/A</v>
          </cell>
          <cell r="L623" t="e">
            <v>#N/A</v>
          </cell>
          <cell r="M623" t="e">
            <v>#N/A</v>
          </cell>
          <cell r="N623" t="e">
            <v>#N/A</v>
          </cell>
          <cell r="O623" t="e">
            <v>#N/A</v>
          </cell>
          <cell r="P623">
            <v>63.51</v>
          </cell>
          <cell r="Q623" t="str">
            <v/>
          </cell>
          <cell r="R623" t="e">
            <v>#N/A</v>
          </cell>
        </row>
        <row r="624">
          <cell r="A624">
            <v>40373</v>
          </cell>
          <cell r="B624">
            <v>40373</v>
          </cell>
          <cell r="C624" t="str">
            <v>Future</v>
          </cell>
          <cell r="D624" t="e">
            <v>#N/A</v>
          </cell>
          <cell r="E624">
            <v>47.007401574803261</v>
          </cell>
          <cell r="F624">
            <v>70.393228346457079</v>
          </cell>
          <cell r="G624">
            <v>59.999527559055089</v>
          </cell>
          <cell r="H624">
            <v>59.999527559055089</v>
          </cell>
          <cell r="I624" t="e">
            <v>#N/A</v>
          </cell>
          <cell r="J624" t="e">
            <v>#N/A</v>
          </cell>
          <cell r="K624" t="e">
            <v>#N/A</v>
          </cell>
          <cell r="L624" t="e">
            <v>#N/A</v>
          </cell>
          <cell r="M624" t="e">
            <v>#N/A</v>
          </cell>
          <cell r="N624" t="e">
            <v>#N/A</v>
          </cell>
          <cell r="O624" t="e">
            <v>#N/A</v>
          </cell>
          <cell r="P624">
            <v>63.51</v>
          </cell>
          <cell r="Q624" t="str">
            <v/>
          </cell>
          <cell r="R624" t="e">
            <v>#N/A</v>
          </cell>
        </row>
        <row r="625">
          <cell r="A625">
            <v>40374</v>
          </cell>
          <cell r="B625">
            <v>40374</v>
          </cell>
          <cell r="C625" t="str">
            <v>Future</v>
          </cell>
          <cell r="D625" t="e">
            <v>#N/A</v>
          </cell>
          <cell r="E625">
            <v>46.757362204724522</v>
          </cell>
          <cell r="F625">
            <v>70.497519685039762</v>
          </cell>
          <cell r="G625">
            <v>59.946338582677136</v>
          </cell>
          <cell r="H625">
            <v>59.946338582677136</v>
          </cell>
          <cell r="I625" t="e">
            <v>#N/A</v>
          </cell>
          <cell r="J625" t="e">
            <v>#N/A</v>
          </cell>
          <cell r="K625" t="e">
            <v>#N/A</v>
          </cell>
          <cell r="L625" t="e">
            <v>#N/A</v>
          </cell>
          <cell r="M625" t="e">
            <v>#N/A</v>
          </cell>
          <cell r="N625" t="e">
            <v>#N/A</v>
          </cell>
          <cell r="O625" t="e">
            <v>#N/A</v>
          </cell>
          <cell r="P625">
            <v>63.51</v>
          </cell>
          <cell r="Q625" t="str">
            <v/>
          </cell>
          <cell r="R625" t="e">
            <v>#N/A</v>
          </cell>
        </row>
        <row r="626">
          <cell r="A626">
            <v>40375</v>
          </cell>
          <cell r="B626">
            <v>40375</v>
          </cell>
          <cell r="C626" t="str">
            <v>Future</v>
          </cell>
          <cell r="D626" t="e">
            <v>#N/A</v>
          </cell>
          <cell r="E626">
            <v>46.507322834645784</v>
          </cell>
          <cell r="F626">
            <v>70.601811023622446</v>
          </cell>
          <cell r="G626">
            <v>59.893149606299183</v>
          </cell>
          <cell r="H626">
            <v>59.893149606299183</v>
          </cell>
          <cell r="I626" t="e">
            <v>#N/A</v>
          </cell>
          <cell r="J626" t="e">
            <v>#N/A</v>
          </cell>
          <cell r="K626" t="e">
            <v>#N/A</v>
          </cell>
          <cell r="L626" t="e">
            <v>#N/A</v>
          </cell>
          <cell r="M626" t="e">
            <v>#N/A</v>
          </cell>
          <cell r="N626" t="e">
            <v>#N/A</v>
          </cell>
          <cell r="O626" t="e">
            <v>#N/A</v>
          </cell>
          <cell r="P626">
            <v>63.51</v>
          </cell>
          <cell r="Q626" t="str">
            <v/>
          </cell>
          <cell r="R626" t="e">
            <v>#N/A</v>
          </cell>
        </row>
        <row r="627">
          <cell r="A627">
            <v>40378</v>
          </cell>
          <cell r="B627">
            <v>40378</v>
          </cell>
          <cell r="C627" t="str">
            <v>Future</v>
          </cell>
          <cell r="D627" t="e">
            <v>#N/A</v>
          </cell>
          <cell r="E627">
            <v>46.257283464567045</v>
          </cell>
          <cell r="F627">
            <v>70.706102362205129</v>
          </cell>
          <cell r="G627">
            <v>59.839960629921229</v>
          </cell>
          <cell r="H627">
            <v>59.839960629921229</v>
          </cell>
          <cell r="I627" t="e">
            <v>#N/A</v>
          </cell>
          <cell r="J627" t="e">
            <v>#N/A</v>
          </cell>
          <cell r="K627" t="e">
            <v>#N/A</v>
          </cell>
          <cell r="L627" t="e">
            <v>#N/A</v>
          </cell>
          <cell r="M627" t="e">
            <v>#N/A</v>
          </cell>
          <cell r="N627" t="e">
            <v>#N/A</v>
          </cell>
          <cell r="O627" t="e">
            <v>#N/A</v>
          </cell>
          <cell r="P627">
            <v>63.51</v>
          </cell>
          <cell r="Q627" t="str">
            <v/>
          </cell>
          <cell r="R627" t="e">
            <v>#N/A</v>
          </cell>
        </row>
        <row r="628">
          <cell r="A628">
            <v>40379</v>
          </cell>
          <cell r="B628">
            <v>40379</v>
          </cell>
          <cell r="C628" t="str">
            <v>Future</v>
          </cell>
          <cell r="D628" t="e">
            <v>#N/A</v>
          </cell>
          <cell r="E628">
            <v>46.007244094488307</v>
          </cell>
          <cell r="F628">
            <v>70.810393700787813</v>
          </cell>
          <cell r="G628">
            <v>59.786771653543276</v>
          </cell>
          <cell r="H628">
            <v>59.786771653543276</v>
          </cell>
          <cell r="I628" t="e">
            <v>#N/A</v>
          </cell>
          <cell r="J628" t="e">
            <v>#N/A</v>
          </cell>
          <cell r="K628" t="e">
            <v>#N/A</v>
          </cell>
          <cell r="L628" t="e">
            <v>#N/A</v>
          </cell>
          <cell r="M628" t="e">
            <v>#N/A</v>
          </cell>
          <cell r="N628" t="e">
            <v>#N/A</v>
          </cell>
          <cell r="O628" t="e">
            <v>#N/A</v>
          </cell>
          <cell r="P628">
            <v>63.51</v>
          </cell>
          <cell r="Q628" t="str">
            <v/>
          </cell>
          <cell r="R628" t="e">
            <v>#N/A</v>
          </cell>
        </row>
        <row r="629">
          <cell r="A629">
            <v>40380</v>
          </cell>
          <cell r="B629">
            <v>40380</v>
          </cell>
          <cell r="C629" t="str">
            <v>Future</v>
          </cell>
          <cell r="D629" t="e">
            <v>#N/A</v>
          </cell>
          <cell r="E629">
            <v>45.757204724409569</v>
          </cell>
          <cell r="F629">
            <v>70.914685039370497</v>
          </cell>
          <cell r="G629">
            <v>59.733582677165323</v>
          </cell>
          <cell r="H629">
            <v>59.733582677165323</v>
          </cell>
          <cell r="I629" t="e">
            <v>#N/A</v>
          </cell>
          <cell r="J629" t="e">
            <v>#N/A</v>
          </cell>
          <cell r="K629" t="e">
            <v>#N/A</v>
          </cell>
          <cell r="L629" t="e">
            <v>#N/A</v>
          </cell>
          <cell r="M629" t="e">
            <v>#N/A</v>
          </cell>
          <cell r="N629" t="e">
            <v>#N/A</v>
          </cell>
          <cell r="O629" t="e">
            <v>#N/A</v>
          </cell>
          <cell r="P629">
            <v>63.51</v>
          </cell>
          <cell r="Q629" t="str">
            <v/>
          </cell>
          <cell r="R629" t="e">
            <v>#N/A</v>
          </cell>
        </row>
        <row r="630">
          <cell r="A630">
            <v>40381</v>
          </cell>
          <cell r="B630">
            <v>40381</v>
          </cell>
          <cell r="C630" t="str">
            <v>Future</v>
          </cell>
          <cell r="D630" t="e">
            <v>#N/A</v>
          </cell>
          <cell r="E630">
            <v>45.50716535433083</v>
          </cell>
          <cell r="F630">
            <v>71.01897637795318</v>
          </cell>
          <cell r="G630">
            <v>59.68039370078737</v>
          </cell>
          <cell r="H630">
            <v>59.68039370078737</v>
          </cell>
          <cell r="I630" t="e">
            <v>#N/A</v>
          </cell>
          <cell r="J630" t="e">
            <v>#N/A</v>
          </cell>
          <cell r="K630" t="e">
            <v>#N/A</v>
          </cell>
          <cell r="L630" t="e">
            <v>#N/A</v>
          </cell>
          <cell r="M630" t="e">
            <v>#N/A</v>
          </cell>
          <cell r="N630" t="e">
            <v>#N/A</v>
          </cell>
          <cell r="O630" t="e">
            <v>#N/A</v>
          </cell>
          <cell r="P630">
            <v>63.51</v>
          </cell>
          <cell r="Q630" t="str">
            <v/>
          </cell>
          <cell r="R630" t="e">
            <v>#N/A</v>
          </cell>
        </row>
        <row r="631">
          <cell r="A631">
            <v>40382</v>
          </cell>
          <cell r="B631">
            <v>40382</v>
          </cell>
          <cell r="C631" t="str">
            <v>Future</v>
          </cell>
          <cell r="D631" t="e">
            <v>#N/A</v>
          </cell>
          <cell r="E631">
            <v>45.257125984252092</v>
          </cell>
          <cell r="F631">
            <v>71.123267716535864</v>
          </cell>
          <cell r="G631">
            <v>59.627204724409417</v>
          </cell>
          <cell r="H631">
            <v>59.627204724409417</v>
          </cell>
          <cell r="I631" t="e">
            <v>#N/A</v>
          </cell>
          <cell r="J631" t="e">
            <v>#N/A</v>
          </cell>
          <cell r="K631" t="e">
            <v>#N/A</v>
          </cell>
          <cell r="L631" t="e">
            <v>#N/A</v>
          </cell>
          <cell r="M631" t="e">
            <v>#N/A</v>
          </cell>
          <cell r="N631" t="e">
            <v>#N/A</v>
          </cell>
          <cell r="O631" t="e">
            <v>#N/A</v>
          </cell>
          <cell r="P631">
            <v>63.51</v>
          </cell>
          <cell r="Q631" t="str">
            <v/>
          </cell>
          <cell r="R631" t="e">
            <v>#N/A</v>
          </cell>
        </row>
        <row r="632">
          <cell r="A632">
            <v>40385</v>
          </cell>
          <cell r="B632">
            <v>40385</v>
          </cell>
          <cell r="C632" t="str">
            <v>Future</v>
          </cell>
          <cell r="D632" t="e">
            <v>#N/A</v>
          </cell>
          <cell r="E632">
            <v>45.007086614173353</v>
          </cell>
          <cell r="F632">
            <v>71.227559055118547</v>
          </cell>
          <cell r="G632">
            <v>59.574015748031464</v>
          </cell>
          <cell r="H632">
            <v>59.574015748031464</v>
          </cell>
          <cell r="I632" t="e">
            <v>#N/A</v>
          </cell>
          <cell r="J632" t="e">
            <v>#N/A</v>
          </cell>
          <cell r="K632" t="e">
            <v>#N/A</v>
          </cell>
          <cell r="L632" t="e">
            <v>#N/A</v>
          </cell>
          <cell r="M632" t="e">
            <v>#N/A</v>
          </cell>
          <cell r="N632" t="e">
            <v>#N/A</v>
          </cell>
          <cell r="O632" t="e">
            <v>#N/A</v>
          </cell>
          <cell r="P632">
            <v>63.51</v>
          </cell>
          <cell r="Q632" t="str">
            <v/>
          </cell>
          <cell r="R632" t="e">
            <v>#N/A</v>
          </cell>
        </row>
        <row r="633">
          <cell r="A633">
            <v>40386</v>
          </cell>
          <cell r="B633">
            <v>40386</v>
          </cell>
          <cell r="C633" t="str">
            <v>Future</v>
          </cell>
          <cell r="D633" t="e">
            <v>#N/A</v>
          </cell>
          <cell r="E633">
            <v>44.757047244094615</v>
          </cell>
          <cell r="F633">
            <v>71.331850393701231</v>
          </cell>
          <cell r="G633">
            <v>59.52082677165351</v>
          </cell>
          <cell r="H633">
            <v>59.52082677165351</v>
          </cell>
          <cell r="I633" t="e">
            <v>#N/A</v>
          </cell>
          <cell r="J633" t="e">
            <v>#N/A</v>
          </cell>
          <cell r="K633" t="e">
            <v>#N/A</v>
          </cell>
          <cell r="L633" t="e">
            <v>#N/A</v>
          </cell>
          <cell r="M633" t="e">
            <v>#N/A</v>
          </cell>
          <cell r="N633" t="e">
            <v>#N/A</v>
          </cell>
          <cell r="O633" t="e">
            <v>#N/A</v>
          </cell>
          <cell r="P633">
            <v>63.51</v>
          </cell>
          <cell r="Q633" t="str">
            <v/>
          </cell>
          <cell r="R633" t="e">
            <v>#N/A</v>
          </cell>
        </row>
        <row r="634">
          <cell r="A634">
            <v>40387</v>
          </cell>
          <cell r="B634">
            <v>40387</v>
          </cell>
          <cell r="C634" t="str">
            <v>Future</v>
          </cell>
          <cell r="D634" t="e">
            <v>#N/A</v>
          </cell>
          <cell r="E634">
            <v>44.507007874015876</v>
          </cell>
          <cell r="F634">
            <v>71.436141732283915</v>
          </cell>
          <cell r="G634">
            <v>59.467637795275557</v>
          </cell>
          <cell r="H634">
            <v>59.467637795275557</v>
          </cell>
          <cell r="I634" t="e">
            <v>#N/A</v>
          </cell>
          <cell r="J634" t="e">
            <v>#N/A</v>
          </cell>
          <cell r="K634" t="e">
            <v>#N/A</v>
          </cell>
          <cell r="L634" t="e">
            <v>#N/A</v>
          </cell>
          <cell r="M634" t="e">
            <v>#N/A</v>
          </cell>
          <cell r="N634" t="e">
            <v>#N/A</v>
          </cell>
          <cell r="O634" t="e">
            <v>#N/A</v>
          </cell>
          <cell r="P634">
            <v>63.51</v>
          </cell>
          <cell r="Q634" t="str">
            <v/>
          </cell>
          <cell r="R634" t="e">
            <v>#N/A</v>
          </cell>
        </row>
        <row r="635">
          <cell r="A635">
            <v>40388</v>
          </cell>
          <cell r="B635">
            <v>40388</v>
          </cell>
          <cell r="C635" t="str">
            <v>Future</v>
          </cell>
          <cell r="D635" t="e">
            <v>#N/A</v>
          </cell>
          <cell r="E635">
            <v>44.256968503937138</v>
          </cell>
          <cell r="F635">
            <v>71.540433070866598</v>
          </cell>
          <cell r="G635">
            <v>59.414448818897604</v>
          </cell>
          <cell r="H635">
            <v>59.414448818897604</v>
          </cell>
          <cell r="I635" t="e">
            <v>#N/A</v>
          </cell>
          <cell r="J635" t="e">
            <v>#N/A</v>
          </cell>
          <cell r="K635" t="e">
            <v>#N/A</v>
          </cell>
          <cell r="L635" t="e">
            <v>#N/A</v>
          </cell>
          <cell r="M635" t="e">
            <v>#N/A</v>
          </cell>
          <cell r="N635" t="e">
            <v>#N/A</v>
          </cell>
          <cell r="O635" t="e">
            <v>#N/A</v>
          </cell>
          <cell r="P635">
            <v>63.51</v>
          </cell>
          <cell r="Q635" t="str">
            <v/>
          </cell>
          <cell r="R635" t="e">
            <v>#N/A</v>
          </cell>
        </row>
        <row r="636">
          <cell r="A636">
            <v>40389</v>
          </cell>
          <cell r="B636">
            <v>40389</v>
          </cell>
          <cell r="C636" t="str">
            <v>Future</v>
          </cell>
          <cell r="D636" t="e">
            <v>#N/A</v>
          </cell>
          <cell r="E636">
            <v>44.006929133858399</v>
          </cell>
          <cell r="F636">
            <v>71.644724409449282</v>
          </cell>
          <cell r="G636">
            <v>59.361259842519651</v>
          </cell>
          <cell r="H636">
            <v>59.361259842519651</v>
          </cell>
          <cell r="I636" t="e">
            <v>#N/A</v>
          </cell>
          <cell r="J636" t="e">
            <v>#N/A</v>
          </cell>
          <cell r="K636" t="e">
            <v>#N/A</v>
          </cell>
          <cell r="L636" t="e">
            <v>#N/A</v>
          </cell>
          <cell r="M636" t="e">
            <v>#N/A</v>
          </cell>
          <cell r="N636" t="e">
            <v>#N/A</v>
          </cell>
          <cell r="O636" t="e">
            <v>#N/A</v>
          </cell>
          <cell r="P636">
            <v>63.51</v>
          </cell>
          <cell r="Q636" t="str">
            <v/>
          </cell>
          <cell r="R636" t="e">
            <v>#N/A</v>
          </cell>
        </row>
        <row r="637">
          <cell r="A637">
            <v>40392</v>
          </cell>
          <cell r="B637">
            <v>40392</v>
          </cell>
          <cell r="C637" t="str">
            <v>Future</v>
          </cell>
          <cell r="D637" t="e">
            <v>#N/A</v>
          </cell>
          <cell r="E637">
            <v>43.756889763779661</v>
          </cell>
          <cell r="F637">
            <v>71.749015748031965</v>
          </cell>
          <cell r="G637">
            <v>59.308070866141698</v>
          </cell>
          <cell r="H637">
            <v>59.308070866141698</v>
          </cell>
          <cell r="I637" t="e">
            <v>#N/A</v>
          </cell>
          <cell r="J637" t="e">
            <v>#N/A</v>
          </cell>
          <cell r="K637" t="e">
            <v>#N/A</v>
          </cell>
          <cell r="L637" t="e">
            <v>#N/A</v>
          </cell>
          <cell r="M637" t="e">
            <v>#N/A</v>
          </cell>
          <cell r="N637" t="e">
            <v>#N/A</v>
          </cell>
          <cell r="O637" t="e">
            <v>#N/A</v>
          </cell>
          <cell r="P637">
            <v>63.51</v>
          </cell>
          <cell r="Q637" t="str">
            <v/>
          </cell>
          <cell r="R637" t="e">
            <v>#N/A</v>
          </cell>
        </row>
        <row r="638">
          <cell r="A638">
            <v>40393</v>
          </cell>
          <cell r="B638">
            <v>40393</v>
          </cell>
          <cell r="C638" t="str">
            <v>Future</v>
          </cell>
          <cell r="D638" t="e">
            <v>#N/A</v>
          </cell>
          <cell r="E638">
            <v>43.506850393700923</v>
          </cell>
          <cell r="F638">
            <v>71.853307086614649</v>
          </cell>
          <cell r="G638">
            <v>59.254881889763745</v>
          </cell>
          <cell r="H638">
            <v>59.254881889763745</v>
          </cell>
          <cell r="I638" t="e">
            <v>#N/A</v>
          </cell>
          <cell r="J638" t="e">
            <v>#N/A</v>
          </cell>
          <cell r="K638" t="e">
            <v>#N/A</v>
          </cell>
          <cell r="L638" t="e">
            <v>#N/A</v>
          </cell>
          <cell r="M638" t="e">
            <v>#N/A</v>
          </cell>
          <cell r="N638" t="e">
            <v>#N/A</v>
          </cell>
          <cell r="O638" t="e">
            <v>#N/A</v>
          </cell>
          <cell r="P638">
            <v>63.51</v>
          </cell>
          <cell r="Q638" t="str">
            <v/>
          </cell>
          <cell r="R638" t="e">
            <v>#N/A</v>
          </cell>
        </row>
        <row r="639">
          <cell r="A639">
            <v>40394</v>
          </cell>
          <cell r="B639">
            <v>40394</v>
          </cell>
          <cell r="C639" t="str">
            <v>Future</v>
          </cell>
          <cell r="D639" t="e">
            <v>#N/A</v>
          </cell>
          <cell r="E639">
            <v>43.256811023622184</v>
          </cell>
          <cell r="F639">
            <v>71.957598425197332</v>
          </cell>
          <cell r="G639">
            <v>59.201692913385791</v>
          </cell>
          <cell r="H639">
            <v>59.201692913385791</v>
          </cell>
          <cell r="I639" t="e">
            <v>#N/A</v>
          </cell>
          <cell r="J639" t="e">
            <v>#N/A</v>
          </cell>
          <cell r="K639" t="e">
            <v>#N/A</v>
          </cell>
          <cell r="L639" t="e">
            <v>#N/A</v>
          </cell>
          <cell r="M639" t="e">
            <v>#N/A</v>
          </cell>
          <cell r="N639" t="e">
            <v>#N/A</v>
          </cell>
          <cell r="O639" t="e">
            <v>#N/A</v>
          </cell>
          <cell r="P639">
            <v>63.51</v>
          </cell>
          <cell r="Q639" t="str">
            <v/>
          </cell>
          <cell r="R639" t="e">
            <v>#N/A</v>
          </cell>
        </row>
        <row r="640">
          <cell r="A640">
            <v>40395</v>
          </cell>
          <cell r="B640">
            <v>40395</v>
          </cell>
          <cell r="C640" t="str">
            <v>Future</v>
          </cell>
          <cell r="D640" t="e">
            <v>#N/A</v>
          </cell>
          <cell r="E640">
            <v>43.006771653543446</v>
          </cell>
          <cell r="F640">
            <v>72.061889763780016</v>
          </cell>
          <cell r="G640">
            <v>59.148503937007838</v>
          </cell>
          <cell r="H640">
            <v>59.148503937007838</v>
          </cell>
          <cell r="I640" t="e">
            <v>#N/A</v>
          </cell>
          <cell r="J640" t="e">
            <v>#N/A</v>
          </cell>
          <cell r="K640" t="e">
            <v>#N/A</v>
          </cell>
          <cell r="L640" t="e">
            <v>#N/A</v>
          </cell>
          <cell r="M640" t="e">
            <v>#N/A</v>
          </cell>
          <cell r="N640" t="e">
            <v>#N/A</v>
          </cell>
          <cell r="O640" t="e">
            <v>#N/A</v>
          </cell>
          <cell r="P640">
            <v>63.51</v>
          </cell>
          <cell r="Q640" t="str">
            <v/>
          </cell>
          <cell r="R640" t="e">
            <v>#N/A</v>
          </cell>
        </row>
        <row r="641">
          <cell r="A641">
            <v>40396</v>
          </cell>
          <cell r="B641">
            <v>40396</v>
          </cell>
          <cell r="C641" t="str">
            <v>Future</v>
          </cell>
          <cell r="D641" t="e">
            <v>#N/A</v>
          </cell>
          <cell r="E641">
            <v>42.756732283464707</v>
          </cell>
          <cell r="F641">
            <v>72.1661811023627</v>
          </cell>
          <cell r="G641">
            <v>59.095314960629885</v>
          </cell>
          <cell r="H641">
            <v>59.095314960629885</v>
          </cell>
          <cell r="I641" t="e">
            <v>#N/A</v>
          </cell>
          <cell r="J641" t="e">
            <v>#N/A</v>
          </cell>
          <cell r="K641" t="e">
            <v>#N/A</v>
          </cell>
          <cell r="L641" t="e">
            <v>#N/A</v>
          </cell>
          <cell r="M641" t="e">
            <v>#N/A</v>
          </cell>
          <cell r="N641" t="e">
            <v>#N/A</v>
          </cell>
          <cell r="O641" t="e">
            <v>#N/A</v>
          </cell>
          <cell r="P641">
            <v>63.51</v>
          </cell>
          <cell r="Q641" t="str">
            <v/>
          </cell>
          <cell r="R641" t="e">
            <v>#N/A</v>
          </cell>
        </row>
        <row r="642">
          <cell r="A642">
            <v>40399</v>
          </cell>
          <cell r="B642">
            <v>40399</v>
          </cell>
          <cell r="C642" t="str">
            <v>Future</v>
          </cell>
          <cell r="D642" t="e">
            <v>#N/A</v>
          </cell>
          <cell r="E642">
            <v>42.506692913385969</v>
          </cell>
          <cell r="F642">
            <v>72.270472440945383</v>
          </cell>
          <cell r="G642">
            <v>59.042125984251932</v>
          </cell>
          <cell r="H642">
            <v>59.042125984251932</v>
          </cell>
          <cell r="I642" t="e">
            <v>#N/A</v>
          </cell>
          <cell r="J642" t="e">
            <v>#N/A</v>
          </cell>
          <cell r="K642" t="e">
            <v>#N/A</v>
          </cell>
          <cell r="L642" t="e">
            <v>#N/A</v>
          </cell>
          <cell r="M642" t="e">
            <v>#N/A</v>
          </cell>
          <cell r="N642" t="e">
            <v>#N/A</v>
          </cell>
          <cell r="O642" t="e">
            <v>#N/A</v>
          </cell>
          <cell r="P642">
            <v>63.51</v>
          </cell>
          <cell r="Q642" t="str">
            <v/>
          </cell>
          <cell r="R642" t="e">
            <v>#N/A</v>
          </cell>
        </row>
        <row r="643">
          <cell r="A643">
            <v>40400</v>
          </cell>
          <cell r="B643">
            <v>40400</v>
          </cell>
          <cell r="C643" t="str">
            <v>Future</v>
          </cell>
          <cell r="D643" t="e">
            <v>#N/A</v>
          </cell>
          <cell r="E643">
            <v>42.25665354330723</v>
          </cell>
          <cell r="F643">
            <v>72.374763779528067</v>
          </cell>
          <cell r="G643">
            <v>58.988937007873979</v>
          </cell>
          <cell r="H643">
            <v>58.988937007873979</v>
          </cell>
          <cell r="I643" t="e">
            <v>#N/A</v>
          </cell>
          <cell r="J643" t="e">
            <v>#N/A</v>
          </cell>
          <cell r="K643" t="e">
            <v>#N/A</v>
          </cell>
          <cell r="L643" t="e">
            <v>#N/A</v>
          </cell>
          <cell r="M643" t="e">
            <v>#N/A</v>
          </cell>
          <cell r="N643" t="e">
            <v>#N/A</v>
          </cell>
          <cell r="O643" t="e">
            <v>#N/A</v>
          </cell>
          <cell r="P643">
            <v>63.51</v>
          </cell>
          <cell r="Q643" t="str">
            <v/>
          </cell>
          <cell r="R643" t="e">
            <v>#N/A</v>
          </cell>
        </row>
        <row r="644">
          <cell r="A644">
            <v>40401</v>
          </cell>
          <cell r="B644">
            <v>40401</v>
          </cell>
          <cell r="C644" t="str">
            <v>Future</v>
          </cell>
          <cell r="D644" t="e">
            <v>#N/A</v>
          </cell>
          <cell r="E644">
            <v>42.006614173228492</v>
          </cell>
          <cell r="F644">
            <v>72.47905511811075</v>
          </cell>
          <cell r="G644">
            <v>58.935748031496026</v>
          </cell>
          <cell r="H644">
            <v>58.935748031496026</v>
          </cell>
          <cell r="I644" t="e">
            <v>#N/A</v>
          </cell>
          <cell r="J644" t="e">
            <v>#N/A</v>
          </cell>
          <cell r="K644" t="e">
            <v>#N/A</v>
          </cell>
          <cell r="L644" t="e">
            <v>#N/A</v>
          </cell>
          <cell r="M644" t="e">
            <v>#N/A</v>
          </cell>
          <cell r="N644" t="e">
            <v>#N/A</v>
          </cell>
          <cell r="O644" t="e">
            <v>#N/A</v>
          </cell>
          <cell r="P644">
            <v>63.51</v>
          </cell>
          <cell r="Q644" t="str">
            <v/>
          </cell>
          <cell r="R644" t="e">
            <v>#N/A</v>
          </cell>
        </row>
        <row r="645">
          <cell r="A645">
            <v>40402</v>
          </cell>
          <cell r="B645">
            <v>40402</v>
          </cell>
          <cell r="C645" t="str">
            <v>Future</v>
          </cell>
          <cell r="D645" t="e">
            <v>#N/A</v>
          </cell>
          <cell r="E645">
            <v>41.756574803149753</v>
          </cell>
          <cell r="F645">
            <v>72.583346456693434</v>
          </cell>
          <cell r="G645">
            <v>58.882559055118072</v>
          </cell>
          <cell r="H645">
            <v>58.882559055118072</v>
          </cell>
          <cell r="I645" t="e">
            <v>#N/A</v>
          </cell>
          <cell r="J645" t="e">
            <v>#N/A</v>
          </cell>
          <cell r="K645" t="e">
            <v>#N/A</v>
          </cell>
          <cell r="L645" t="e">
            <v>#N/A</v>
          </cell>
          <cell r="M645" t="e">
            <v>#N/A</v>
          </cell>
          <cell r="N645" t="e">
            <v>#N/A</v>
          </cell>
          <cell r="O645" t="e">
            <v>#N/A</v>
          </cell>
          <cell r="P645">
            <v>63.51</v>
          </cell>
          <cell r="Q645" t="str">
            <v/>
          </cell>
          <cell r="R645" t="e">
            <v>#N/A</v>
          </cell>
        </row>
        <row r="646">
          <cell r="A646">
            <v>40403</v>
          </cell>
          <cell r="B646">
            <v>40403</v>
          </cell>
          <cell r="C646" t="str">
            <v>Future</v>
          </cell>
          <cell r="D646" t="e">
            <v>#N/A</v>
          </cell>
          <cell r="E646">
            <v>41.506535433071015</v>
          </cell>
          <cell r="F646">
            <v>72.687637795276117</v>
          </cell>
          <cell r="G646">
            <v>58.829370078740119</v>
          </cell>
          <cell r="H646">
            <v>58.829370078740119</v>
          </cell>
          <cell r="I646" t="e">
            <v>#N/A</v>
          </cell>
          <cell r="J646" t="e">
            <v>#N/A</v>
          </cell>
          <cell r="K646" t="e">
            <v>#N/A</v>
          </cell>
          <cell r="L646" t="e">
            <v>#N/A</v>
          </cell>
          <cell r="M646" t="e">
            <v>#N/A</v>
          </cell>
          <cell r="N646" t="e">
            <v>#N/A</v>
          </cell>
          <cell r="O646" t="e">
            <v>#N/A</v>
          </cell>
          <cell r="P646">
            <v>63.51</v>
          </cell>
          <cell r="Q646" t="str">
            <v/>
          </cell>
          <cell r="R646" t="e">
            <v>#N/A</v>
          </cell>
        </row>
        <row r="647">
          <cell r="A647">
            <v>40406</v>
          </cell>
          <cell r="B647">
            <v>40406</v>
          </cell>
          <cell r="C647" t="str">
            <v>Future</v>
          </cell>
          <cell r="D647" t="e">
            <v>#N/A</v>
          </cell>
          <cell r="E647">
            <v>41.256496062992277</v>
          </cell>
          <cell r="F647">
            <v>72.791929133858801</v>
          </cell>
          <cell r="G647">
            <v>58.776181102362166</v>
          </cell>
          <cell r="H647">
            <v>58.776181102362166</v>
          </cell>
          <cell r="I647" t="e">
            <v>#N/A</v>
          </cell>
          <cell r="J647" t="e">
            <v>#N/A</v>
          </cell>
          <cell r="K647" t="e">
            <v>#N/A</v>
          </cell>
          <cell r="L647" t="e">
            <v>#N/A</v>
          </cell>
          <cell r="M647" t="e">
            <v>#N/A</v>
          </cell>
          <cell r="N647" t="e">
            <v>#N/A</v>
          </cell>
          <cell r="O647" t="e">
            <v>#N/A</v>
          </cell>
          <cell r="P647">
            <v>63.51</v>
          </cell>
          <cell r="Q647" t="str">
            <v/>
          </cell>
          <cell r="R647" t="e">
            <v>#N/A</v>
          </cell>
        </row>
        <row r="648">
          <cell r="A648">
            <v>40407</v>
          </cell>
          <cell r="B648">
            <v>40407</v>
          </cell>
          <cell r="C648" t="str">
            <v>Future</v>
          </cell>
          <cell r="D648" t="e">
            <v>#N/A</v>
          </cell>
          <cell r="E648">
            <v>41.006456692913538</v>
          </cell>
          <cell r="F648">
            <v>72.896220472441485</v>
          </cell>
          <cell r="G648">
            <v>58.722992125984213</v>
          </cell>
          <cell r="H648">
            <v>58.722992125984213</v>
          </cell>
          <cell r="I648" t="e">
            <v>#N/A</v>
          </cell>
          <cell r="J648" t="e">
            <v>#N/A</v>
          </cell>
          <cell r="K648" t="e">
            <v>#N/A</v>
          </cell>
          <cell r="L648" t="e">
            <v>#N/A</v>
          </cell>
          <cell r="M648" t="e">
            <v>#N/A</v>
          </cell>
          <cell r="N648" t="e">
            <v>#N/A</v>
          </cell>
          <cell r="O648" t="e">
            <v>#N/A</v>
          </cell>
          <cell r="P648">
            <v>63.51</v>
          </cell>
          <cell r="Q648" t="str">
            <v/>
          </cell>
          <cell r="R648" t="e">
            <v>#N/A</v>
          </cell>
        </row>
        <row r="649">
          <cell r="A649">
            <v>40408</v>
          </cell>
          <cell r="B649">
            <v>40408</v>
          </cell>
          <cell r="C649" t="str">
            <v>Future</v>
          </cell>
          <cell r="D649" t="e">
            <v>#N/A</v>
          </cell>
          <cell r="E649">
            <v>40.7564173228348</v>
          </cell>
          <cell r="F649">
            <v>73.000511811024168</v>
          </cell>
          <cell r="G649">
            <v>58.66980314960626</v>
          </cell>
          <cell r="H649">
            <v>58.66980314960626</v>
          </cell>
          <cell r="I649" t="e">
            <v>#N/A</v>
          </cell>
          <cell r="J649" t="e">
            <v>#N/A</v>
          </cell>
          <cell r="K649" t="e">
            <v>#N/A</v>
          </cell>
          <cell r="L649" t="e">
            <v>#N/A</v>
          </cell>
          <cell r="M649" t="e">
            <v>#N/A</v>
          </cell>
          <cell r="N649" t="e">
            <v>#N/A</v>
          </cell>
          <cell r="O649" t="e">
            <v>#N/A</v>
          </cell>
          <cell r="P649">
            <v>63.51</v>
          </cell>
          <cell r="Q649" t="str">
            <v/>
          </cell>
          <cell r="R649" t="e">
            <v>#N/A</v>
          </cell>
        </row>
        <row r="650">
          <cell r="A650">
            <v>40409</v>
          </cell>
          <cell r="B650">
            <v>40409</v>
          </cell>
          <cell r="C650" t="str">
            <v>Future</v>
          </cell>
          <cell r="D650" t="e">
            <v>#N/A</v>
          </cell>
          <cell r="E650">
            <v>40.506377952756061</v>
          </cell>
          <cell r="F650">
            <v>73.104803149606852</v>
          </cell>
          <cell r="G650">
            <v>58.616614173228307</v>
          </cell>
          <cell r="H650">
            <v>58.616614173228307</v>
          </cell>
          <cell r="I650" t="e">
            <v>#N/A</v>
          </cell>
          <cell r="J650" t="e">
            <v>#N/A</v>
          </cell>
          <cell r="K650" t="e">
            <v>#N/A</v>
          </cell>
          <cell r="L650" t="e">
            <v>#N/A</v>
          </cell>
          <cell r="M650" t="e">
            <v>#N/A</v>
          </cell>
          <cell r="N650" t="e">
            <v>#N/A</v>
          </cell>
          <cell r="O650" t="e">
            <v>#N/A</v>
          </cell>
          <cell r="P650">
            <v>63.51</v>
          </cell>
          <cell r="Q650" t="str">
            <v/>
          </cell>
          <cell r="R650" t="e">
            <v>#N/A</v>
          </cell>
        </row>
        <row r="651">
          <cell r="A651">
            <v>40410</v>
          </cell>
          <cell r="B651">
            <v>40410</v>
          </cell>
          <cell r="C651" t="str">
            <v>Future</v>
          </cell>
          <cell r="D651" t="e">
            <v>#N/A</v>
          </cell>
          <cell r="E651">
            <v>40.256338582677323</v>
          </cell>
          <cell r="F651">
            <v>73.209094488189535</v>
          </cell>
          <cell r="G651">
            <v>58.563425196850353</v>
          </cell>
          <cell r="H651">
            <v>58.563425196850353</v>
          </cell>
          <cell r="I651" t="e">
            <v>#N/A</v>
          </cell>
          <cell r="J651" t="e">
            <v>#N/A</v>
          </cell>
          <cell r="K651" t="e">
            <v>#N/A</v>
          </cell>
          <cell r="L651" t="e">
            <v>#N/A</v>
          </cell>
          <cell r="M651" t="e">
            <v>#N/A</v>
          </cell>
          <cell r="N651" t="e">
            <v>#N/A</v>
          </cell>
          <cell r="O651" t="e">
            <v>#N/A</v>
          </cell>
          <cell r="P651">
            <v>63.51</v>
          </cell>
          <cell r="Q651" t="str">
            <v/>
          </cell>
          <cell r="R651" t="e">
            <v>#N/A</v>
          </cell>
        </row>
        <row r="652">
          <cell r="A652">
            <v>40413</v>
          </cell>
          <cell r="B652">
            <v>40413</v>
          </cell>
          <cell r="C652" t="str">
            <v>Future</v>
          </cell>
          <cell r="D652" t="e">
            <v>#N/A</v>
          </cell>
          <cell r="E652">
            <v>40.006299212598584</v>
          </cell>
          <cell r="F652">
            <v>73.313385826772219</v>
          </cell>
          <cell r="G652">
            <v>58.5102362204724</v>
          </cell>
          <cell r="H652">
            <v>58.5102362204724</v>
          </cell>
          <cell r="I652" t="e">
            <v>#N/A</v>
          </cell>
          <cell r="J652" t="e">
            <v>#N/A</v>
          </cell>
          <cell r="K652" t="e">
            <v>#N/A</v>
          </cell>
          <cell r="L652" t="e">
            <v>#N/A</v>
          </cell>
          <cell r="M652" t="e">
            <v>#N/A</v>
          </cell>
          <cell r="N652" t="e">
            <v>#N/A</v>
          </cell>
          <cell r="O652" t="e">
            <v>#N/A</v>
          </cell>
          <cell r="P652">
            <v>63.51</v>
          </cell>
          <cell r="Q652" t="str">
            <v/>
          </cell>
          <cell r="R652" t="e">
            <v>#N/A</v>
          </cell>
        </row>
        <row r="653">
          <cell r="A653">
            <v>40414</v>
          </cell>
          <cell r="B653">
            <v>40414</v>
          </cell>
          <cell r="C653" t="str">
            <v>Future</v>
          </cell>
          <cell r="D653" t="e">
            <v>#N/A</v>
          </cell>
          <cell r="E653">
            <v>39.756259842519846</v>
          </cell>
          <cell r="F653">
            <v>73.417677165354903</v>
          </cell>
          <cell r="G653">
            <v>58.457047244094447</v>
          </cell>
          <cell r="H653">
            <v>58.457047244094447</v>
          </cell>
          <cell r="I653" t="e">
            <v>#N/A</v>
          </cell>
          <cell r="J653" t="e">
            <v>#N/A</v>
          </cell>
          <cell r="K653" t="e">
            <v>#N/A</v>
          </cell>
          <cell r="L653" t="e">
            <v>#N/A</v>
          </cell>
          <cell r="M653" t="e">
            <v>#N/A</v>
          </cell>
          <cell r="N653" t="e">
            <v>#N/A</v>
          </cell>
          <cell r="O653" t="e">
            <v>#N/A</v>
          </cell>
          <cell r="P653">
            <v>63.51</v>
          </cell>
          <cell r="Q653" t="str">
            <v/>
          </cell>
          <cell r="R653" t="e">
            <v>#N/A</v>
          </cell>
        </row>
        <row r="654">
          <cell r="A654">
            <v>40415</v>
          </cell>
          <cell r="B654">
            <v>40415</v>
          </cell>
          <cell r="C654" t="str">
            <v>Future</v>
          </cell>
          <cell r="D654" t="e">
            <v>#N/A</v>
          </cell>
          <cell r="E654">
            <v>39.506220472441107</v>
          </cell>
          <cell r="F654">
            <v>73.521968503937586</v>
          </cell>
          <cell r="G654">
            <v>58.403858267716494</v>
          </cell>
          <cell r="H654">
            <v>58.403858267716494</v>
          </cell>
          <cell r="I654" t="e">
            <v>#N/A</v>
          </cell>
          <cell r="J654" t="e">
            <v>#N/A</v>
          </cell>
          <cell r="K654" t="e">
            <v>#N/A</v>
          </cell>
          <cell r="L654" t="e">
            <v>#N/A</v>
          </cell>
          <cell r="M654" t="e">
            <v>#N/A</v>
          </cell>
          <cell r="N654" t="e">
            <v>#N/A</v>
          </cell>
          <cell r="O654" t="e">
            <v>#N/A</v>
          </cell>
          <cell r="P654">
            <v>63.51</v>
          </cell>
          <cell r="Q654" t="str">
            <v/>
          </cell>
          <cell r="R654" t="e">
            <v>#N/A</v>
          </cell>
        </row>
        <row r="655">
          <cell r="A655">
            <v>40416</v>
          </cell>
          <cell r="B655">
            <v>40416</v>
          </cell>
          <cell r="C655" t="str">
            <v>Future</v>
          </cell>
          <cell r="D655" t="e">
            <v>#N/A</v>
          </cell>
          <cell r="E655">
            <v>39.256181102362369</v>
          </cell>
          <cell r="F655">
            <v>73.62625984252027</v>
          </cell>
          <cell r="G655">
            <v>58.350669291338541</v>
          </cell>
          <cell r="H655">
            <v>58.350669291338541</v>
          </cell>
          <cell r="I655" t="e">
            <v>#N/A</v>
          </cell>
          <cell r="J655" t="e">
            <v>#N/A</v>
          </cell>
          <cell r="K655" t="e">
            <v>#N/A</v>
          </cell>
          <cell r="L655" t="e">
            <v>#N/A</v>
          </cell>
          <cell r="M655" t="e">
            <v>#N/A</v>
          </cell>
          <cell r="N655" t="e">
            <v>#N/A</v>
          </cell>
          <cell r="O655" t="e">
            <v>#N/A</v>
          </cell>
          <cell r="P655">
            <v>63.51</v>
          </cell>
          <cell r="Q655" t="str">
            <v/>
          </cell>
          <cell r="R655" t="e">
            <v>#N/A</v>
          </cell>
        </row>
        <row r="656">
          <cell r="A656">
            <v>40417</v>
          </cell>
          <cell r="B656">
            <v>40417</v>
          </cell>
          <cell r="C656" t="str">
            <v>Future</v>
          </cell>
          <cell r="D656" t="e">
            <v>#N/A</v>
          </cell>
          <cell r="E656">
            <v>39.006141732283631</v>
          </cell>
          <cell r="F656">
            <v>73.730551181102953</v>
          </cell>
          <cell r="G656">
            <v>58.297480314960588</v>
          </cell>
          <cell r="H656">
            <v>58.297480314960588</v>
          </cell>
          <cell r="I656" t="e">
            <v>#N/A</v>
          </cell>
          <cell r="J656" t="e">
            <v>#N/A</v>
          </cell>
          <cell r="K656" t="e">
            <v>#N/A</v>
          </cell>
          <cell r="L656" t="e">
            <v>#N/A</v>
          </cell>
          <cell r="M656" t="e">
            <v>#N/A</v>
          </cell>
          <cell r="N656" t="e">
            <v>#N/A</v>
          </cell>
          <cell r="O656" t="e">
            <v>#N/A</v>
          </cell>
          <cell r="P656">
            <v>63.51</v>
          </cell>
          <cell r="Q656" t="str">
            <v/>
          </cell>
          <cell r="R656" t="e">
            <v>#N/A</v>
          </cell>
        </row>
        <row r="657">
          <cell r="A657">
            <v>40420</v>
          </cell>
          <cell r="B657">
            <v>40420</v>
          </cell>
          <cell r="C657" t="str">
            <v>Future</v>
          </cell>
          <cell r="D657" t="e">
            <v>#N/A</v>
          </cell>
          <cell r="E657">
            <v>38.756102362204892</v>
          </cell>
          <cell r="F657">
            <v>73.834842519685637</v>
          </cell>
          <cell r="G657">
            <v>58.244291338582634</v>
          </cell>
          <cell r="H657">
            <v>58.244291338582634</v>
          </cell>
          <cell r="I657" t="e">
            <v>#N/A</v>
          </cell>
          <cell r="J657" t="e">
            <v>#N/A</v>
          </cell>
          <cell r="K657" t="e">
            <v>#N/A</v>
          </cell>
          <cell r="L657" t="e">
            <v>#N/A</v>
          </cell>
          <cell r="M657" t="e">
            <v>#N/A</v>
          </cell>
          <cell r="N657" t="e">
            <v>#N/A</v>
          </cell>
          <cell r="O657" t="e">
            <v>#N/A</v>
          </cell>
          <cell r="P657">
            <v>63.51</v>
          </cell>
          <cell r="Q657" t="str">
            <v/>
          </cell>
          <cell r="R657" t="e">
            <v>#N/A</v>
          </cell>
        </row>
        <row r="658">
          <cell r="A658">
            <v>40421</v>
          </cell>
          <cell r="B658">
            <v>40421</v>
          </cell>
          <cell r="C658" t="str">
            <v>Future</v>
          </cell>
          <cell r="D658" t="e">
            <v>#N/A</v>
          </cell>
          <cell r="E658">
            <v>38.506062992126154</v>
          </cell>
          <cell r="F658">
            <v>73.93913385826832</v>
          </cell>
          <cell r="G658">
            <v>58.191102362204681</v>
          </cell>
          <cell r="H658">
            <v>58.191102362204681</v>
          </cell>
          <cell r="I658" t="e">
            <v>#N/A</v>
          </cell>
          <cell r="J658" t="e">
            <v>#N/A</v>
          </cell>
          <cell r="K658" t="e">
            <v>#N/A</v>
          </cell>
          <cell r="L658" t="e">
            <v>#N/A</v>
          </cell>
          <cell r="M658" t="e">
            <v>#N/A</v>
          </cell>
          <cell r="N658" t="e">
            <v>#N/A</v>
          </cell>
          <cell r="O658" t="e">
            <v>#N/A</v>
          </cell>
          <cell r="P658">
            <v>63.51</v>
          </cell>
          <cell r="Q658" t="str">
            <v/>
          </cell>
          <cell r="R658" t="e">
            <v>#N/A</v>
          </cell>
        </row>
        <row r="659">
          <cell r="A659">
            <v>40422</v>
          </cell>
          <cell r="B659">
            <v>40422</v>
          </cell>
          <cell r="C659" t="str">
            <v>Future</v>
          </cell>
          <cell r="D659" t="e">
            <v>#N/A</v>
          </cell>
          <cell r="E659">
            <v>38.256023622047415</v>
          </cell>
          <cell r="F659">
            <v>74.043425196851004</v>
          </cell>
          <cell r="G659">
            <v>58.137913385826728</v>
          </cell>
          <cell r="H659">
            <v>58.137913385826728</v>
          </cell>
          <cell r="I659" t="e">
            <v>#N/A</v>
          </cell>
          <cell r="J659" t="e">
            <v>#N/A</v>
          </cell>
          <cell r="K659" t="e">
            <v>#N/A</v>
          </cell>
          <cell r="L659" t="e">
            <v>#N/A</v>
          </cell>
          <cell r="M659" t="e">
            <v>#N/A</v>
          </cell>
          <cell r="N659" t="e">
            <v>#N/A</v>
          </cell>
          <cell r="O659" t="e">
            <v>#N/A</v>
          </cell>
          <cell r="P659">
            <v>63.51</v>
          </cell>
          <cell r="Q659" t="str">
            <v/>
          </cell>
          <cell r="R659" t="e">
            <v>#N/A</v>
          </cell>
        </row>
        <row r="660">
          <cell r="A660">
            <v>40423</v>
          </cell>
          <cell r="B660">
            <v>40423</v>
          </cell>
          <cell r="C660" t="str">
            <v>Future</v>
          </cell>
          <cell r="D660" t="e">
            <v>#N/A</v>
          </cell>
          <cell r="E660">
            <v>38.005984251968677</v>
          </cell>
          <cell r="F660">
            <v>74.147716535433688</v>
          </cell>
          <cell r="G660">
            <v>58.084724409448775</v>
          </cell>
          <cell r="H660">
            <v>58.084724409448775</v>
          </cell>
          <cell r="I660" t="e">
            <v>#N/A</v>
          </cell>
          <cell r="J660" t="e">
            <v>#N/A</v>
          </cell>
          <cell r="K660" t="e">
            <v>#N/A</v>
          </cell>
          <cell r="L660" t="e">
            <v>#N/A</v>
          </cell>
          <cell r="M660" t="e">
            <v>#N/A</v>
          </cell>
          <cell r="N660" t="e">
            <v>#N/A</v>
          </cell>
          <cell r="O660" t="e">
            <v>#N/A</v>
          </cell>
          <cell r="P660">
            <v>63.51</v>
          </cell>
          <cell r="Q660" t="str">
            <v/>
          </cell>
          <cell r="R660" t="e">
            <v>#N/A</v>
          </cell>
        </row>
        <row r="661">
          <cell r="A661">
            <v>40424</v>
          </cell>
          <cell r="B661">
            <v>40424</v>
          </cell>
          <cell r="C661" t="str">
            <v>Future</v>
          </cell>
          <cell r="D661" t="e">
            <v>#N/A</v>
          </cell>
          <cell r="E661">
            <v>37.755944881889938</v>
          </cell>
          <cell r="F661">
            <v>74.252007874016371</v>
          </cell>
          <cell r="G661">
            <v>58.031535433070822</v>
          </cell>
          <cell r="H661">
            <v>58.031535433070822</v>
          </cell>
          <cell r="I661" t="e">
            <v>#N/A</v>
          </cell>
          <cell r="J661" t="e">
            <v>#N/A</v>
          </cell>
          <cell r="K661" t="e">
            <v>#N/A</v>
          </cell>
          <cell r="L661" t="e">
            <v>#N/A</v>
          </cell>
          <cell r="M661" t="e">
            <v>#N/A</v>
          </cell>
          <cell r="N661" t="e">
            <v>#N/A</v>
          </cell>
          <cell r="O661" t="e">
            <v>#N/A</v>
          </cell>
          <cell r="P661">
            <v>63.51</v>
          </cell>
          <cell r="Q661" t="str">
            <v/>
          </cell>
          <cell r="R661" t="e">
            <v>#N/A</v>
          </cell>
        </row>
        <row r="662">
          <cell r="A662">
            <v>40428</v>
          </cell>
          <cell r="B662">
            <v>40428</v>
          </cell>
          <cell r="C662" t="str">
            <v>Future</v>
          </cell>
          <cell r="D662" t="e">
            <v>#N/A</v>
          </cell>
          <cell r="E662">
            <v>37.5059055118112</v>
          </cell>
          <cell r="F662">
            <v>74.356299212599055</v>
          </cell>
          <cell r="G662">
            <v>57.978346456692869</v>
          </cell>
          <cell r="H662">
            <v>57.978346456692869</v>
          </cell>
          <cell r="I662" t="e">
            <v>#N/A</v>
          </cell>
          <cell r="J662" t="e">
            <v>#N/A</v>
          </cell>
          <cell r="K662" t="e">
            <v>#N/A</v>
          </cell>
          <cell r="L662" t="e">
            <v>#N/A</v>
          </cell>
          <cell r="M662" t="e">
            <v>#N/A</v>
          </cell>
          <cell r="N662" t="e">
            <v>#N/A</v>
          </cell>
          <cell r="O662" t="e">
            <v>#N/A</v>
          </cell>
          <cell r="P662">
            <v>63.51</v>
          </cell>
          <cell r="Q662" t="str">
            <v/>
          </cell>
          <cell r="R662" t="e">
            <v>#N/A</v>
          </cell>
        </row>
        <row r="663">
          <cell r="A663">
            <v>40429</v>
          </cell>
          <cell r="B663">
            <v>40429</v>
          </cell>
          <cell r="C663" t="str">
            <v>Future</v>
          </cell>
          <cell r="D663" t="e">
            <v>#N/A</v>
          </cell>
          <cell r="E663">
            <v>37.255866141732461</v>
          </cell>
          <cell r="F663">
            <v>74.460590551181738</v>
          </cell>
          <cell r="G663">
            <v>57.925157480314915</v>
          </cell>
          <cell r="H663">
            <v>57.925157480314915</v>
          </cell>
          <cell r="I663" t="e">
            <v>#N/A</v>
          </cell>
          <cell r="J663" t="e">
            <v>#N/A</v>
          </cell>
          <cell r="K663" t="e">
            <v>#N/A</v>
          </cell>
          <cell r="L663" t="e">
            <v>#N/A</v>
          </cell>
          <cell r="M663" t="e">
            <v>#N/A</v>
          </cell>
          <cell r="N663" t="e">
            <v>#N/A</v>
          </cell>
          <cell r="O663" t="e">
            <v>#N/A</v>
          </cell>
          <cell r="P663">
            <v>63.51</v>
          </cell>
          <cell r="Q663" t="str">
            <v/>
          </cell>
          <cell r="R663" t="e">
            <v>#N/A</v>
          </cell>
        </row>
        <row r="664">
          <cell r="A664">
            <v>40430</v>
          </cell>
          <cell r="B664">
            <v>40430</v>
          </cell>
          <cell r="C664" t="str">
            <v>Future</v>
          </cell>
          <cell r="D664" t="e">
            <v>#N/A</v>
          </cell>
          <cell r="E664">
            <v>37.005826771653723</v>
          </cell>
          <cell r="F664">
            <v>74.564881889764422</v>
          </cell>
          <cell r="G664">
            <v>57.871968503936962</v>
          </cell>
          <cell r="H664">
            <v>57.871968503936962</v>
          </cell>
          <cell r="I664" t="e">
            <v>#N/A</v>
          </cell>
          <cell r="J664" t="e">
            <v>#N/A</v>
          </cell>
          <cell r="K664" t="e">
            <v>#N/A</v>
          </cell>
          <cell r="L664" t="e">
            <v>#N/A</v>
          </cell>
          <cell r="M664" t="e">
            <v>#N/A</v>
          </cell>
          <cell r="N664" t="e">
            <v>#N/A</v>
          </cell>
          <cell r="O664" t="e">
            <v>#N/A</v>
          </cell>
          <cell r="P664">
            <v>63.51</v>
          </cell>
          <cell r="Q664" t="str">
            <v/>
          </cell>
          <cell r="R664" t="e">
            <v>#N/A</v>
          </cell>
        </row>
        <row r="665">
          <cell r="A665">
            <v>40431</v>
          </cell>
          <cell r="B665">
            <v>40431</v>
          </cell>
          <cell r="C665" t="str">
            <v>Future</v>
          </cell>
          <cell r="D665" t="e">
            <v>#N/A</v>
          </cell>
          <cell r="E665">
            <v>36.755787401574985</v>
          </cell>
          <cell r="F665">
            <v>74.669173228347105</v>
          </cell>
          <cell r="G665">
            <v>57.818779527559009</v>
          </cell>
          <cell r="H665">
            <v>57.818779527559009</v>
          </cell>
          <cell r="I665" t="e">
            <v>#N/A</v>
          </cell>
          <cell r="J665" t="e">
            <v>#N/A</v>
          </cell>
          <cell r="K665" t="e">
            <v>#N/A</v>
          </cell>
          <cell r="L665" t="e">
            <v>#N/A</v>
          </cell>
          <cell r="M665" t="e">
            <v>#N/A</v>
          </cell>
          <cell r="N665" t="e">
            <v>#N/A</v>
          </cell>
          <cell r="O665" t="e">
            <v>#N/A</v>
          </cell>
          <cell r="P665">
            <v>63.51</v>
          </cell>
          <cell r="Q665" t="str">
            <v/>
          </cell>
          <cell r="R665" t="e">
            <v>#N/A</v>
          </cell>
        </row>
        <row r="666">
          <cell r="A666">
            <v>40434</v>
          </cell>
          <cell r="B666">
            <v>40434</v>
          </cell>
          <cell r="C666" t="str">
            <v>Future</v>
          </cell>
          <cell r="D666" t="e">
            <v>#N/A</v>
          </cell>
          <cell r="E666">
            <v>36.505748031496246</v>
          </cell>
          <cell r="F666">
            <v>74.773464566929789</v>
          </cell>
          <cell r="G666">
            <v>57.765590551181056</v>
          </cell>
          <cell r="H666">
            <v>57.765590551181056</v>
          </cell>
          <cell r="I666" t="e">
            <v>#N/A</v>
          </cell>
          <cell r="J666" t="e">
            <v>#N/A</v>
          </cell>
          <cell r="K666" t="e">
            <v>#N/A</v>
          </cell>
          <cell r="L666" t="e">
            <v>#N/A</v>
          </cell>
          <cell r="M666" t="e">
            <v>#N/A</v>
          </cell>
          <cell r="N666" t="e">
            <v>#N/A</v>
          </cell>
          <cell r="O666" t="e">
            <v>#N/A</v>
          </cell>
          <cell r="P666">
            <v>63.51</v>
          </cell>
          <cell r="Q666" t="str">
            <v/>
          </cell>
          <cell r="R666" t="e">
            <v>#N/A</v>
          </cell>
        </row>
        <row r="667">
          <cell r="A667">
            <v>40435</v>
          </cell>
          <cell r="B667">
            <v>40435</v>
          </cell>
          <cell r="C667" t="str">
            <v>Future</v>
          </cell>
          <cell r="D667" t="e">
            <v>#N/A</v>
          </cell>
          <cell r="E667">
            <v>36.255708661417508</v>
          </cell>
          <cell r="F667">
            <v>74.877755905512473</v>
          </cell>
          <cell r="G667">
            <v>57.712401574803103</v>
          </cell>
          <cell r="H667">
            <v>57.712401574803103</v>
          </cell>
          <cell r="I667" t="e">
            <v>#N/A</v>
          </cell>
          <cell r="J667" t="e">
            <v>#N/A</v>
          </cell>
          <cell r="K667" t="e">
            <v>#N/A</v>
          </cell>
          <cell r="L667" t="e">
            <v>#N/A</v>
          </cell>
          <cell r="M667" t="e">
            <v>#N/A</v>
          </cell>
          <cell r="N667" t="e">
            <v>#N/A</v>
          </cell>
          <cell r="O667" t="e">
            <v>#N/A</v>
          </cell>
          <cell r="P667">
            <v>63.51</v>
          </cell>
          <cell r="Q667" t="str">
            <v/>
          </cell>
          <cell r="R667" t="e">
            <v>#N/A</v>
          </cell>
        </row>
        <row r="668">
          <cell r="A668">
            <v>40436</v>
          </cell>
          <cell r="B668">
            <v>40436</v>
          </cell>
          <cell r="C668" t="str">
            <v>Future</v>
          </cell>
          <cell r="D668" t="e">
            <v>#N/A</v>
          </cell>
          <cell r="E668">
            <v>36.005669291338769</v>
          </cell>
          <cell r="F668">
            <v>74.982047244095156</v>
          </cell>
          <cell r="G668">
            <v>57.65921259842515</v>
          </cell>
          <cell r="H668">
            <v>57.65921259842515</v>
          </cell>
          <cell r="I668" t="e">
            <v>#N/A</v>
          </cell>
          <cell r="J668" t="e">
            <v>#N/A</v>
          </cell>
          <cell r="K668" t="e">
            <v>#N/A</v>
          </cell>
          <cell r="L668" t="e">
            <v>#N/A</v>
          </cell>
          <cell r="M668" t="e">
            <v>#N/A</v>
          </cell>
          <cell r="N668" t="e">
            <v>#N/A</v>
          </cell>
          <cell r="O668" t="e">
            <v>#N/A</v>
          </cell>
          <cell r="P668">
            <v>63.51</v>
          </cell>
          <cell r="Q668" t="str">
            <v/>
          </cell>
          <cell r="R668" t="e">
            <v>#N/A</v>
          </cell>
        </row>
        <row r="669">
          <cell r="A669">
            <v>40437</v>
          </cell>
          <cell r="B669">
            <v>40437</v>
          </cell>
          <cell r="C669" t="str">
            <v>Future</v>
          </cell>
          <cell r="D669" t="e">
            <v>#N/A</v>
          </cell>
          <cell r="E669">
            <v>35.755629921260031</v>
          </cell>
          <cell r="F669">
            <v>75.08633858267784</v>
          </cell>
          <cell r="G669">
            <v>57.606023622047196</v>
          </cell>
          <cell r="H669">
            <v>57.606023622047196</v>
          </cell>
          <cell r="I669" t="e">
            <v>#N/A</v>
          </cell>
          <cell r="J669" t="e">
            <v>#N/A</v>
          </cell>
          <cell r="K669" t="e">
            <v>#N/A</v>
          </cell>
          <cell r="L669" t="e">
            <v>#N/A</v>
          </cell>
          <cell r="M669" t="e">
            <v>#N/A</v>
          </cell>
          <cell r="N669" t="e">
            <v>#N/A</v>
          </cell>
          <cell r="O669" t="e">
            <v>#N/A</v>
          </cell>
          <cell r="P669">
            <v>63.51</v>
          </cell>
          <cell r="Q669" t="str">
            <v/>
          </cell>
          <cell r="R669" t="e">
            <v>#N/A</v>
          </cell>
        </row>
        <row r="670">
          <cell r="A670">
            <v>40438</v>
          </cell>
          <cell r="B670">
            <v>40438</v>
          </cell>
          <cell r="C670" t="str">
            <v>Future</v>
          </cell>
          <cell r="D670" t="e">
            <v>#N/A</v>
          </cell>
          <cell r="E670">
            <v>35.505590551181292</v>
          </cell>
          <cell r="F670">
            <v>75.190629921260523</v>
          </cell>
          <cell r="G670">
            <v>57.552834645669243</v>
          </cell>
          <cell r="H670">
            <v>57.552834645669243</v>
          </cell>
          <cell r="I670" t="e">
            <v>#N/A</v>
          </cell>
          <cell r="J670" t="e">
            <v>#N/A</v>
          </cell>
          <cell r="K670" t="e">
            <v>#N/A</v>
          </cell>
          <cell r="L670" t="e">
            <v>#N/A</v>
          </cell>
          <cell r="M670" t="e">
            <v>#N/A</v>
          </cell>
          <cell r="N670" t="e">
            <v>#N/A</v>
          </cell>
          <cell r="O670" t="e">
            <v>#N/A</v>
          </cell>
          <cell r="P670">
            <v>63.51</v>
          </cell>
          <cell r="Q670" t="str">
            <v/>
          </cell>
          <cell r="R670" t="e">
            <v>#N/A</v>
          </cell>
        </row>
        <row r="671">
          <cell r="A671">
            <v>40441</v>
          </cell>
          <cell r="B671">
            <v>40441</v>
          </cell>
          <cell r="C671" t="str">
            <v>Future</v>
          </cell>
          <cell r="D671" t="e">
            <v>#N/A</v>
          </cell>
          <cell r="E671">
            <v>35.255551181102554</v>
          </cell>
          <cell r="F671">
            <v>75.294921259843207</v>
          </cell>
          <cell r="G671">
            <v>57.49964566929129</v>
          </cell>
          <cell r="H671">
            <v>57.49964566929129</v>
          </cell>
          <cell r="I671" t="e">
            <v>#N/A</v>
          </cell>
          <cell r="J671" t="e">
            <v>#N/A</v>
          </cell>
          <cell r="K671" t="e">
            <v>#N/A</v>
          </cell>
          <cell r="L671" t="e">
            <v>#N/A</v>
          </cell>
          <cell r="M671" t="e">
            <v>#N/A</v>
          </cell>
          <cell r="N671" t="e">
            <v>#N/A</v>
          </cell>
          <cell r="O671" t="e">
            <v>#N/A</v>
          </cell>
          <cell r="P671">
            <v>63.51</v>
          </cell>
          <cell r="Q671" t="str">
            <v/>
          </cell>
          <cell r="R671" t="e">
            <v>#N/A</v>
          </cell>
        </row>
        <row r="672">
          <cell r="A672">
            <v>40442</v>
          </cell>
          <cell r="B672">
            <v>40442</v>
          </cell>
          <cell r="C672" t="str">
            <v>Future</v>
          </cell>
          <cell r="D672" t="e">
            <v>#N/A</v>
          </cell>
          <cell r="E672">
            <v>35.005511811023815</v>
          </cell>
          <cell r="F672">
            <v>75.399212598425891</v>
          </cell>
          <cell r="G672">
            <v>57.446456692913337</v>
          </cell>
          <cell r="H672">
            <v>57.446456692913337</v>
          </cell>
          <cell r="I672" t="e">
            <v>#N/A</v>
          </cell>
          <cell r="J672" t="e">
            <v>#N/A</v>
          </cell>
          <cell r="K672" t="e">
            <v>#N/A</v>
          </cell>
          <cell r="L672" t="e">
            <v>#N/A</v>
          </cell>
          <cell r="M672" t="e">
            <v>#N/A</v>
          </cell>
          <cell r="N672" t="e">
            <v>#N/A</v>
          </cell>
          <cell r="O672" t="e">
            <v>#N/A</v>
          </cell>
          <cell r="P672">
            <v>63.51</v>
          </cell>
          <cell r="Q672" t="str">
            <v/>
          </cell>
          <cell r="R672" t="e">
            <v>#N/A</v>
          </cell>
        </row>
        <row r="673">
          <cell r="A673">
            <v>40443</v>
          </cell>
          <cell r="B673">
            <v>40443</v>
          </cell>
          <cell r="C673" t="str">
            <v>Future</v>
          </cell>
          <cell r="D673" t="e">
            <v>#N/A</v>
          </cell>
          <cell r="E673">
            <v>34.755472440945077</v>
          </cell>
          <cell r="F673">
            <v>75.503503937008574</v>
          </cell>
          <cell r="G673">
            <v>57.393267716535384</v>
          </cell>
          <cell r="H673">
            <v>57.393267716535384</v>
          </cell>
          <cell r="I673" t="e">
            <v>#N/A</v>
          </cell>
          <cell r="J673" t="e">
            <v>#N/A</v>
          </cell>
          <cell r="K673" t="e">
            <v>#N/A</v>
          </cell>
          <cell r="L673" t="e">
            <v>#N/A</v>
          </cell>
          <cell r="M673" t="e">
            <v>#N/A</v>
          </cell>
          <cell r="N673" t="e">
            <v>#N/A</v>
          </cell>
          <cell r="O673" t="e">
            <v>#N/A</v>
          </cell>
          <cell r="P673">
            <v>63.51</v>
          </cell>
          <cell r="Q673" t="str">
            <v/>
          </cell>
          <cell r="R673" t="e">
            <v>#N/A</v>
          </cell>
        </row>
        <row r="674">
          <cell r="A674">
            <v>40444</v>
          </cell>
          <cell r="B674">
            <v>40444</v>
          </cell>
          <cell r="C674" t="str">
            <v>Future</v>
          </cell>
          <cell r="D674" t="e">
            <v>#N/A</v>
          </cell>
          <cell r="E674">
            <v>34.505433070866339</v>
          </cell>
          <cell r="F674">
            <v>75.607795275591258</v>
          </cell>
          <cell r="G674">
            <v>57.340078740157431</v>
          </cell>
          <cell r="H674">
            <v>57.340078740157431</v>
          </cell>
          <cell r="I674" t="e">
            <v>#N/A</v>
          </cell>
          <cell r="J674" t="e">
            <v>#N/A</v>
          </cell>
          <cell r="K674" t="e">
            <v>#N/A</v>
          </cell>
          <cell r="L674" t="e">
            <v>#N/A</v>
          </cell>
          <cell r="M674" t="e">
            <v>#N/A</v>
          </cell>
          <cell r="N674" t="e">
            <v>#N/A</v>
          </cell>
          <cell r="O674" t="e">
            <v>#N/A</v>
          </cell>
          <cell r="P674">
            <v>63.51</v>
          </cell>
          <cell r="Q674" t="str">
            <v/>
          </cell>
          <cell r="R674" t="e">
            <v>#N/A</v>
          </cell>
        </row>
        <row r="675">
          <cell r="A675">
            <v>40445</v>
          </cell>
          <cell r="B675">
            <v>40445</v>
          </cell>
          <cell r="C675" t="str">
            <v>Future</v>
          </cell>
          <cell r="D675" t="e">
            <v>#N/A</v>
          </cell>
          <cell r="E675">
            <v>34.2553937007876</v>
          </cell>
          <cell r="F675">
            <v>75.712086614173941</v>
          </cell>
          <cell r="G675">
            <v>57.286889763779477</v>
          </cell>
          <cell r="H675">
            <v>57.286889763779477</v>
          </cell>
          <cell r="I675" t="e">
            <v>#N/A</v>
          </cell>
          <cell r="J675" t="e">
            <v>#N/A</v>
          </cell>
          <cell r="K675" t="e">
            <v>#N/A</v>
          </cell>
          <cell r="L675" t="e">
            <v>#N/A</v>
          </cell>
          <cell r="M675" t="e">
            <v>#N/A</v>
          </cell>
          <cell r="N675" t="e">
            <v>#N/A</v>
          </cell>
          <cell r="O675" t="e">
            <v>#N/A</v>
          </cell>
          <cell r="P675">
            <v>63.51</v>
          </cell>
          <cell r="Q675" t="str">
            <v/>
          </cell>
          <cell r="R675" t="e">
            <v>#N/A</v>
          </cell>
        </row>
        <row r="676">
          <cell r="A676">
            <v>40448</v>
          </cell>
          <cell r="B676">
            <v>40448</v>
          </cell>
          <cell r="C676" t="str">
            <v>Future</v>
          </cell>
          <cell r="D676" t="e">
            <v>#N/A</v>
          </cell>
          <cell r="E676">
            <v>34.005354330708862</v>
          </cell>
          <cell r="F676">
            <v>75.816377952756625</v>
          </cell>
          <cell r="G676">
            <v>57.233700787401524</v>
          </cell>
          <cell r="H676">
            <v>57.233700787401524</v>
          </cell>
          <cell r="I676" t="e">
            <v>#N/A</v>
          </cell>
          <cell r="J676" t="e">
            <v>#N/A</v>
          </cell>
          <cell r="K676" t="e">
            <v>#N/A</v>
          </cell>
          <cell r="L676" t="e">
            <v>#N/A</v>
          </cell>
          <cell r="M676" t="e">
            <v>#N/A</v>
          </cell>
          <cell r="N676" t="e">
            <v>#N/A</v>
          </cell>
          <cell r="O676" t="e">
            <v>#N/A</v>
          </cell>
          <cell r="P676">
            <v>63.51</v>
          </cell>
          <cell r="Q676" t="str">
            <v/>
          </cell>
          <cell r="R676" t="e">
            <v>#N/A</v>
          </cell>
        </row>
        <row r="677">
          <cell r="A677">
            <v>40449</v>
          </cell>
          <cell r="B677">
            <v>40449</v>
          </cell>
          <cell r="C677" t="str">
            <v>Future</v>
          </cell>
          <cell r="D677" t="e">
            <v>#N/A</v>
          </cell>
          <cell r="E677">
            <v>33.755314960630123</v>
          </cell>
          <cell r="F677">
            <v>75.920669291339308</v>
          </cell>
          <cell r="G677">
            <v>57.180511811023571</v>
          </cell>
          <cell r="H677">
            <v>57.180511811023571</v>
          </cell>
          <cell r="I677" t="e">
            <v>#N/A</v>
          </cell>
          <cell r="J677" t="e">
            <v>#N/A</v>
          </cell>
          <cell r="K677" t="e">
            <v>#N/A</v>
          </cell>
          <cell r="L677" t="e">
            <v>#N/A</v>
          </cell>
          <cell r="M677" t="e">
            <v>#N/A</v>
          </cell>
          <cell r="N677" t="e">
            <v>#N/A</v>
          </cell>
          <cell r="O677" t="e">
            <v>#N/A</v>
          </cell>
          <cell r="P677">
            <v>63.51</v>
          </cell>
          <cell r="Q677" t="str">
            <v/>
          </cell>
          <cell r="R677" t="e">
            <v>#N/A</v>
          </cell>
        </row>
        <row r="678">
          <cell r="A678">
            <v>40450</v>
          </cell>
          <cell r="B678">
            <v>40450</v>
          </cell>
          <cell r="C678" t="str">
            <v>Future</v>
          </cell>
          <cell r="D678" t="e">
            <v>#N/A</v>
          </cell>
          <cell r="E678">
            <v>33.505275590551385</v>
          </cell>
          <cell r="F678">
            <v>76.024960629921992</v>
          </cell>
          <cell r="G678">
            <v>57.127322834645618</v>
          </cell>
          <cell r="H678">
            <v>57.127322834645618</v>
          </cell>
          <cell r="I678" t="e">
            <v>#N/A</v>
          </cell>
          <cell r="J678" t="e">
            <v>#N/A</v>
          </cell>
          <cell r="K678" t="e">
            <v>#N/A</v>
          </cell>
          <cell r="L678" t="e">
            <v>#N/A</v>
          </cell>
          <cell r="M678" t="e">
            <v>#N/A</v>
          </cell>
          <cell r="N678" t="e">
            <v>#N/A</v>
          </cell>
          <cell r="O678" t="e">
            <v>#N/A</v>
          </cell>
          <cell r="P678">
            <v>63.51</v>
          </cell>
          <cell r="Q678" t="str">
            <v/>
          </cell>
          <cell r="R678" t="e">
            <v>#N/A</v>
          </cell>
        </row>
        <row r="679">
          <cell r="A679">
            <v>40451</v>
          </cell>
          <cell r="B679">
            <v>40451</v>
          </cell>
          <cell r="C679" t="str">
            <v>Future</v>
          </cell>
          <cell r="D679" t="e">
            <v>#N/A</v>
          </cell>
          <cell r="E679">
            <v>33.255236220472646</v>
          </cell>
          <cell r="F679">
            <v>76.129251968504676</v>
          </cell>
          <cell r="G679">
            <v>57.074133858267665</v>
          </cell>
          <cell r="H679">
            <v>57.074133858267665</v>
          </cell>
          <cell r="I679" t="e">
            <v>#N/A</v>
          </cell>
          <cell r="J679" t="e">
            <v>#N/A</v>
          </cell>
          <cell r="K679" t="e">
            <v>#N/A</v>
          </cell>
          <cell r="L679" t="e">
            <v>#N/A</v>
          </cell>
          <cell r="M679" t="e">
            <v>#N/A</v>
          </cell>
          <cell r="N679" t="e">
            <v>#N/A</v>
          </cell>
          <cell r="O679" t="e">
            <v>#N/A</v>
          </cell>
          <cell r="P679">
            <v>63.51</v>
          </cell>
          <cell r="Q679" t="str">
            <v/>
          </cell>
          <cell r="R679" t="e">
            <v>#N/A</v>
          </cell>
        </row>
        <row r="680">
          <cell r="A680">
            <v>40452</v>
          </cell>
          <cell r="B680">
            <v>40452</v>
          </cell>
          <cell r="C680" t="str">
            <v>Future</v>
          </cell>
          <cell r="D680" t="e">
            <v>#N/A</v>
          </cell>
          <cell r="E680">
            <v>33.005196850393908</v>
          </cell>
          <cell r="F680">
            <v>76.233543307087359</v>
          </cell>
          <cell r="G680">
            <v>57.020944881889712</v>
          </cell>
          <cell r="H680">
            <v>57.020944881889712</v>
          </cell>
          <cell r="I680" t="e">
            <v>#N/A</v>
          </cell>
          <cell r="J680" t="e">
            <v>#N/A</v>
          </cell>
          <cell r="K680" t="e">
            <v>#N/A</v>
          </cell>
          <cell r="L680" t="e">
            <v>#N/A</v>
          </cell>
          <cell r="M680" t="e">
            <v>#N/A</v>
          </cell>
          <cell r="N680" t="e">
            <v>#N/A</v>
          </cell>
          <cell r="O680" t="e">
            <v>#N/A</v>
          </cell>
          <cell r="P680">
            <v>63.51</v>
          </cell>
          <cell r="Q680" t="str">
            <v/>
          </cell>
          <cell r="R680" t="e">
            <v>#N/A</v>
          </cell>
        </row>
        <row r="681">
          <cell r="A681">
            <v>40455</v>
          </cell>
          <cell r="B681">
            <v>40455</v>
          </cell>
          <cell r="C681" t="str">
            <v>Future</v>
          </cell>
          <cell r="D681" t="e">
            <v>#N/A</v>
          </cell>
          <cell r="E681">
            <v>32.755157480315169</v>
          </cell>
          <cell r="F681">
            <v>76.337834645670043</v>
          </cell>
          <cell r="G681">
            <v>56.967755905511758</v>
          </cell>
          <cell r="H681">
            <v>56.967755905511758</v>
          </cell>
          <cell r="I681" t="e">
            <v>#N/A</v>
          </cell>
          <cell r="J681" t="e">
            <v>#N/A</v>
          </cell>
          <cell r="K681" t="e">
            <v>#N/A</v>
          </cell>
          <cell r="L681" t="e">
            <v>#N/A</v>
          </cell>
          <cell r="M681" t="e">
            <v>#N/A</v>
          </cell>
          <cell r="N681" t="e">
            <v>#N/A</v>
          </cell>
          <cell r="O681" t="e">
            <v>#N/A</v>
          </cell>
          <cell r="P681">
            <v>63.51</v>
          </cell>
          <cell r="Q681" t="str">
            <v/>
          </cell>
          <cell r="R681" t="e">
            <v>#N/A</v>
          </cell>
        </row>
        <row r="682">
          <cell r="A682">
            <v>40456</v>
          </cell>
          <cell r="B682">
            <v>40456</v>
          </cell>
          <cell r="C682" t="str">
            <v>Future</v>
          </cell>
          <cell r="D682" t="e">
            <v>#N/A</v>
          </cell>
          <cell r="E682">
            <v>32.505118110236431</v>
          </cell>
          <cell r="F682">
            <v>76.442125984252726</v>
          </cell>
          <cell r="G682">
            <v>56.914566929133805</v>
          </cell>
          <cell r="H682">
            <v>56.914566929133805</v>
          </cell>
          <cell r="I682" t="e">
            <v>#N/A</v>
          </cell>
          <cell r="J682" t="e">
            <v>#N/A</v>
          </cell>
          <cell r="K682" t="e">
            <v>#N/A</v>
          </cell>
          <cell r="L682" t="e">
            <v>#N/A</v>
          </cell>
          <cell r="M682" t="e">
            <v>#N/A</v>
          </cell>
          <cell r="N682" t="e">
            <v>#N/A</v>
          </cell>
          <cell r="O682" t="e">
            <v>#N/A</v>
          </cell>
          <cell r="P682">
            <v>63.51</v>
          </cell>
          <cell r="Q682" t="str">
            <v/>
          </cell>
          <cell r="R682" t="e">
            <v>#N/A</v>
          </cell>
        </row>
        <row r="683">
          <cell r="A683">
            <v>40457</v>
          </cell>
          <cell r="B683">
            <v>40457</v>
          </cell>
          <cell r="C683" t="str">
            <v>Future</v>
          </cell>
          <cell r="D683" t="e">
            <v>#N/A</v>
          </cell>
          <cell r="E683">
            <v>32.255078740157693</v>
          </cell>
          <cell r="F683">
            <v>76.54641732283541</v>
          </cell>
          <cell r="G683">
            <v>56.861377952755852</v>
          </cell>
          <cell r="H683">
            <v>56.861377952755852</v>
          </cell>
          <cell r="I683" t="e">
            <v>#N/A</v>
          </cell>
          <cell r="J683" t="e">
            <v>#N/A</v>
          </cell>
          <cell r="K683" t="e">
            <v>#N/A</v>
          </cell>
          <cell r="L683" t="e">
            <v>#N/A</v>
          </cell>
          <cell r="M683" t="e">
            <v>#N/A</v>
          </cell>
          <cell r="N683" t="e">
            <v>#N/A</v>
          </cell>
          <cell r="O683" t="e">
            <v>#N/A</v>
          </cell>
          <cell r="P683">
            <v>63.51</v>
          </cell>
          <cell r="Q683" t="str">
            <v/>
          </cell>
          <cell r="R683" t="e">
            <v>#N/A</v>
          </cell>
        </row>
        <row r="684">
          <cell r="A684">
            <v>40458</v>
          </cell>
          <cell r="B684">
            <v>40458</v>
          </cell>
          <cell r="C684" t="str">
            <v>Future</v>
          </cell>
          <cell r="D684" t="e">
            <v>#N/A</v>
          </cell>
          <cell r="E684">
            <v>32.005039370078954</v>
          </cell>
          <cell r="F684">
            <v>76.650708661418093</v>
          </cell>
          <cell r="G684">
            <v>56.808188976377899</v>
          </cell>
          <cell r="H684">
            <v>56.808188976377899</v>
          </cell>
          <cell r="I684" t="e">
            <v>#N/A</v>
          </cell>
          <cell r="J684" t="e">
            <v>#N/A</v>
          </cell>
          <cell r="K684" t="e">
            <v>#N/A</v>
          </cell>
          <cell r="L684" t="e">
            <v>#N/A</v>
          </cell>
          <cell r="M684" t="e">
            <v>#N/A</v>
          </cell>
          <cell r="N684" t="e">
            <v>#N/A</v>
          </cell>
          <cell r="O684" t="e">
            <v>#N/A</v>
          </cell>
          <cell r="P684">
            <v>63.51</v>
          </cell>
          <cell r="Q684" t="str">
            <v/>
          </cell>
          <cell r="R684" t="e">
            <v>#N/A</v>
          </cell>
        </row>
        <row r="685">
          <cell r="A685">
            <v>40459</v>
          </cell>
          <cell r="B685">
            <v>40459</v>
          </cell>
          <cell r="C685" t="str">
            <v>Future</v>
          </cell>
          <cell r="D685" t="e">
            <v>#N/A</v>
          </cell>
          <cell r="E685">
            <v>31.755000000000216</v>
          </cell>
          <cell r="F685">
            <v>76.755000000000777</v>
          </cell>
          <cell r="G685">
            <v>56.754999999999946</v>
          </cell>
          <cell r="H685">
            <v>56.754999999999946</v>
          </cell>
          <cell r="I685" t="e">
            <v>#N/A</v>
          </cell>
          <cell r="J685" t="e">
            <v>#N/A</v>
          </cell>
          <cell r="K685" t="e">
            <v>#N/A</v>
          </cell>
          <cell r="L685" t="e">
            <v>#N/A</v>
          </cell>
          <cell r="M685" t="e">
            <v>#N/A</v>
          </cell>
          <cell r="N685" t="e">
            <v>#N/A</v>
          </cell>
          <cell r="O685" t="e">
            <v>#N/A</v>
          </cell>
          <cell r="P685">
            <v>63.51</v>
          </cell>
          <cell r="Q685" t="str">
            <v/>
          </cell>
          <cell r="R685" t="e">
            <v>#N/A</v>
          </cell>
        </row>
        <row r="686">
          <cell r="A686">
            <v>40462</v>
          </cell>
          <cell r="B686">
            <v>40462</v>
          </cell>
          <cell r="C686" t="str">
            <v>Future</v>
          </cell>
          <cell r="D686" t="e">
            <v>#N/A</v>
          </cell>
          <cell r="E686">
            <v>31.504960629921477</v>
          </cell>
          <cell r="F686">
            <v>76.859291338583461</v>
          </cell>
          <cell r="G686">
            <v>56.701811023621993</v>
          </cell>
          <cell r="H686">
            <v>56.701811023621993</v>
          </cell>
          <cell r="I686" t="e">
            <v>#N/A</v>
          </cell>
          <cell r="J686" t="e">
            <v>#N/A</v>
          </cell>
          <cell r="K686" t="e">
            <v>#N/A</v>
          </cell>
          <cell r="L686" t="e">
            <v>#N/A</v>
          </cell>
          <cell r="M686" t="e">
            <v>#N/A</v>
          </cell>
          <cell r="N686" t="e">
            <v>#N/A</v>
          </cell>
          <cell r="O686" t="e">
            <v>#N/A</v>
          </cell>
          <cell r="P686">
            <v>63.51</v>
          </cell>
          <cell r="Q686" t="str">
            <v/>
          </cell>
          <cell r="R686" t="e">
            <v>#N/A</v>
          </cell>
        </row>
        <row r="687">
          <cell r="A687">
            <v>40463</v>
          </cell>
          <cell r="B687">
            <v>40463</v>
          </cell>
          <cell r="C687" t="str">
            <v>Future</v>
          </cell>
          <cell r="D687" t="e">
            <v>#N/A</v>
          </cell>
          <cell r="E687">
            <v>31.254921259842739</v>
          </cell>
          <cell r="F687">
            <v>76.963582677166144</v>
          </cell>
          <cell r="G687">
            <v>56.648622047244039</v>
          </cell>
          <cell r="H687">
            <v>56.648622047244039</v>
          </cell>
          <cell r="I687" t="e">
            <v>#N/A</v>
          </cell>
          <cell r="J687" t="e">
            <v>#N/A</v>
          </cell>
          <cell r="K687" t="e">
            <v>#N/A</v>
          </cell>
          <cell r="L687" t="e">
            <v>#N/A</v>
          </cell>
          <cell r="M687" t="e">
            <v>#N/A</v>
          </cell>
          <cell r="N687" t="e">
            <v>#N/A</v>
          </cell>
          <cell r="O687" t="e">
            <v>#N/A</v>
          </cell>
          <cell r="P687">
            <v>63.51</v>
          </cell>
          <cell r="Q687" t="str">
            <v/>
          </cell>
          <cell r="R687" t="e">
            <v>#N/A</v>
          </cell>
        </row>
        <row r="688">
          <cell r="A688">
            <v>40464</v>
          </cell>
          <cell r="B688">
            <v>40464</v>
          </cell>
          <cell r="C688" t="str">
            <v>Future</v>
          </cell>
          <cell r="D688" t="e">
            <v>#N/A</v>
          </cell>
          <cell r="E688">
            <v>31.004881889764</v>
          </cell>
          <cell r="F688">
            <v>77.067874015748828</v>
          </cell>
          <cell r="G688">
            <v>56.595433070866086</v>
          </cell>
          <cell r="H688">
            <v>56.595433070866086</v>
          </cell>
          <cell r="I688" t="e">
            <v>#N/A</v>
          </cell>
          <cell r="J688" t="e">
            <v>#N/A</v>
          </cell>
          <cell r="K688" t="e">
            <v>#N/A</v>
          </cell>
          <cell r="L688" t="e">
            <v>#N/A</v>
          </cell>
          <cell r="M688" t="e">
            <v>#N/A</v>
          </cell>
          <cell r="N688" t="e">
            <v>#N/A</v>
          </cell>
          <cell r="O688" t="e">
            <v>#N/A</v>
          </cell>
          <cell r="P688">
            <v>63.51</v>
          </cell>
          <cell r="Q688" t="str">
            <v/>
          </cell>
          <cell r="R688" t="e">
            <v>#N/A</v>
          </cell>
        </row>
        <row r="689">
          <cell r="A689">
            <v>40465</v>
          </cell>
          <cell r="B689">
            <v>40465</v>
          </cell>
          <cell r="C689" t="str">
            <v>Future</v>
          </cell>
          <cell r="D689" t="e">
            <v>#N/A</v>
          </cell>
          <cell r="E689">
            <v>30.754842519685262</v>
          </cell>
          <cell r="F689">
            <v>77.172165354331511</v>
          </cell>
          <cell r="G689">
            <v>56.542244094488133</v>
          </cell>
          <cell r="H689">
            <v>56.542244094488133</v>
          </cell>
          <cell r="I689" t="e">
            <v>#N/A</v>
          </cell>
          <cell r="J689" t="e">
            <v>#N/A</v>
          </cell>
          <cell r="K689" t="e">
            <v>#N/A</v>
          </cell>
          <cell r="L689" t="e">
            <v>#N/A</v>
          </cell>
          <cell r="M689" t="e">
            <v>#N/A</v>
          </cell>
          <cell r="N689" t="e">
            <v>#N/A</v>
          </cell>
          <cell r="O689" t="e">
            <v>#N/A</v>
          </cell>
          <cell r="P689">
            <v>63.51</v>
          </cell>
          <cell r="Q689" t="str">
            <v/>
          </cell>
          <cell r="R689" t="e">
            <v>#N/A</v>
          </cell>
        </row>
        <row r="690">
          <cell r="A690">
            <v>40466</v>
          </cell>
          <cell r="B690">
            <v>40466</v>
          </cell>
          <cell r="C690" t="str">
            <v>Future</v>
          </cell>
          <cell r="D690" t="e">
            <v>#N/A</v>
          </cell>
          <cell r="E690">
            <v>30.504803149606524</v>
          </cell>
          <cell r="F690">
            <v>77.276456692914195</v>
          </cell>
          <cell r="G690">
            <v>56.48905511811018</v>
          </cell>
          <cell r="H690">
            <v>56.48905511811018</v>
          </cell>
          <cell r="I690" t="e">
            <v>#N/A</v>
          </cell>
          <cell r="J690" t="e">
            <v>#N/A</v>
          </cell>
          <cell r="K690" t="e">
            <v>#N/A</v>
          </cell>
          <cell r="L690" t="e">
            <v>#N/A</v>
          </cell>
          <cell r="M690" t="e">
            <v>#N/A</v>
          </cell>
          <cell r="N690" t="e">
            <v>#N/A</v>
          </cell>
          <cell r="O690" t="e">
            <v>#N/A</v>
          </cell>
          <cell r="P690">
            <v>63.51</v>
          </cell>
          <cell r="Q690" t="str">
            <v/>
          </cell>
          <cell r="R690" t="e">
            <v>#N/A</v>
          </cell>
        </row>
        <row r="691">
          <cell r="A691">
            <v>40469</v>
          </cell>
          <cell r="B691">
            <v>40469</v>
          </cell>
          <cell r="C691" t="str">
            <v>Future</v>
          </cell>
          <cell r="D691" t="e">
            <v>#N/A</v>
          </cell>
          <cell r="E691">
            <v>30.254763779527785</v>
          </cell>
          <cell r="F691">
            <v>77.380748031496879</v>
          </cell>
          <cell r="G691">
            <v>56.435866141732227</v>
          </cell>
          <cell r="H691">
            <v>56.435866141732227</v>
          </cell>
          <cell r="I691" t="e">
            <v>#N/A</v>
          </cell>
          <cell r="J691" t="e">
            <v>#N/A</v>
          </cell>
          <cell r="K691" t="e">
            <v>#N/A</v>
          </cell>
          <cell r="L691" t="e">
            <v>#N/A</v>
          </cell>
          <cell r="M691" t="e">
            <v>#N/A</v>
          </cell>
          <cell r="N691" t="e">
            <v>#N/A</v>
          </cell>
          <cell r="O691" t="e">
            <v>#N/A</v>
          </cell>
          <cell r="P691">
            <v>63.51</v>
          </cell>
          <cell r="Q691" t="str">
            <v/>
          </cell>
          <cell r="R691" t="e">
            <v>#N/A</v>
          </cell>
        </row>
        <row r="692">
          <cell r="A692">
            <v>40470</v>
          </cell>
          <cell r="B692">
            <v>40470</v>
          </cell>
          <cell r="C692" t="str">
            <v>Future</v>
          </cell>
          <cell r="D692" t="e">
            <v>#N/A</v>
          </cell>
          <cell r="E692">
            <v>30.004724409449047</v>
          </cell>
          <cell r="F692">
            <v>77.485039370079562</v>
          </cell>
          <cell r="G692">
            <v>56.382677165354274</v>
          </cell>
          <cell r="H692">
            <v>56.382677165354274</v>
          </cell>
          <cell r="I692" t="e">
            <v>#N/A</v>
          </cell>
          <cell r="J692" t="e">
            <v>#N/A</v>
          </cell>
          <cell r="K692" t="e">
            <v>#N/A</v>
          </cell>
          <cell r="L692" t="e">
            <v>#N/A</v>
          </cell>
          <cell r="M692" t="e">
            <v>#N/A</v>
          </cell>
          <cell r="N692" t="e">
            <v>#N/A</v>
          </cell>
          <cell r="O692" t="e">
            <v>#N/A</v>
          </cell>
          <cell r="P692">
            <v>63.51</v>
          </cell>
          <cell r="Q692" t="str">
            <v/>
          </cell>
          <cell r="R692" t="e">
            <v>#N/A</v>
          </cell>
        </row>
        <row r="693">
          <cell r="A693">
            <v>40471</v>
          </cell>
          <cell r="B693">
            <v>40471</v>
          </cell>
          <cell r="C693" t="str">
            <v>Future</v>
          </cell>
          <cell r="D693" t="e">
            <v>#N/A</v>
          </cell>
          <cell r="E693">
            <v>29.754685039370308</v>
          </cell>
          <cell r="F693">
            <v>77.589330708662246</v>
          </cell>
          <cell r="G693">
            <v>56.32948818897632</v>
          </cell>
          <cell r="H693">
            <v>56.32948818897632</v>
          </cell>
          <cell r="I693" t="e">
            <v>#N/A</v>
          </cell>
          <cell r="J693" t="e">
            <v>#N/A</v>
          </cell>
          <cell r="K693" t="e">
            <v>#N/A</v>
          </cell>
          <cell r="L693" t="e">
            <v>#N/A</v>
          </cell>
          <cell r="M693" t="e">
            <v>#N/A</v>
          </cell>
          <cell r="N693" t="e">
            <v>#N/A</v>
          </cell>
          <cell r="O693" t="e">
            <v>#N/A</v>
          </cell>
          <cell r="P693">
            <v>63.51</v>
          </cell>
          <cell r="Q693" t="str">
            <v/>
          </cell>
          <cell r="R693" t="e">
            <v>#N/A</v>
          </cell>
        </row>
        <row r="694">
          <cell r="A694">
            <v>40472</v>
          </cell>
          <cell r="B694">
            <v>40472</v>
          </cell>
          <cell r="C694" t="str">
            <v>Future</v>
          </cell>
          <cell r="D694" t="e">
            <v>#N/A</v>
          </cell>
          <cell r="E694">
            <v>29.50464566929157</v>
          </cell>
          <cell r="F694">
            <v>77.693622047244929</v>
          </cell>
          <cell r="G694">
            <v>56.276299212598367</v>
          </cell>
          <cell r="H694">
            <v>56.276299212598367</v>
          </cell>
          <cell r="I694" t="e">
            <v>#N/A</v>
          </cell>
          <cell r="J694" t="e">
            <v>#N/A</v>
          </cell>
          <cell r="K694" t="e">
            <v>#N/A</v>
          </cell>
          <cell r="L694" t="e">
            <v>#N/A</v>
          </cell>
          <cell r="M694" t="e">
            <v>#N/A</v>
          </cell>
          <cell r="N694" t="e">
            <v>#N/A</v>
          </cell>
          <cell r="O694" t="e">
            <v>#N/A</v>
          </cell>
          <cell r="P694">
            <v>63.51</v>
          </cell>
          <cell r="Q694" t="str">
            <v/>
          </cell>
          <cell r="R694" t="e">
            <v>#N/A</v>
          </cell>
        </row>
        <row r="695">
          <cell r="A695">
            <v>40473</v>
          </cell>
          <cell r="B695">
            <v>40473</v>
          </cell>
          <cell r="C695" t="str">
            <v>Future</v>
          </cell>
          <cell r="D695" t="e">
            <v>#N/A</v>
          </cell>
          <cell r="E695">
            <v>29.254606299212831</v>
          </cell>
          <cell r="F695">
            <v>77.797913385827613</v>
          </cell>
          <cell r="G695">
            <v>56.223110236220414</v>
          </cell>
          <cell r="H695">
            <v>56.223110236220414</v>
          </cell>
          <cell r="I695" t="e">
            <v>#N/A</v>
          </cell>
          <cell r="J695" t="e">
            <v>#N/A</v>
          </cell>
          <cell r="K695" t="e">
            <v>#N/A</v>
          </cell>
          <cell r="L695" t="e">
            <v>#N/A</v>
          </cell>
          <cell r="M695" t="e">
            <v>#N/A</v>
          </cell>
          <cell r="N695" t="e">
            <v>#N/A</v>
          </cell>
          <cell r="O695" t="e">
            <v>#N/A</v>
          </cell>
          <cell r="P695">
            <v>63.51</v>
          </cell>
          <cell r="Q695" t="str">
            <v/>
          </cell>
          <cell r="R695" t="e">
            <v>#N/A</v>
          </cell>
        </row>
        <row r="696">
          <cell r="A696">
            <v>40476</v>
          </cell>
          <cell r="B696">
            <v>40476</v>
          </cell>
          <cell r="C696" t="str">
            <v>Future</v>
          </cell>
          <cell r="D696" t="e">
            <v>#N/A</v>
          </cell>
          <cell r="E696">
            <v>29.004566929134093</v>
          </cell>
          <cell r="F696">
            <v>77.902204724410296</v>
          </cell>
          <cell r="G696">
            <v>56.169921259842461</v>
          </cell>
          <cell r="H696">
            <v>56.169921259842461</v>
          </cell>
          <cell r="I696" t="e">
            <v>#N/A</v>
          </cell>
          <cell r="J696" t="e">
            <v>#N/A</v>
          </cell>
          <cell r="K696" t="e">
            <v>#N/A</v>
          </cell>
          <cell r="L696" t="e">
            <v>#N/A</v>
          </cell>
          <cell r="M696" t="e">
            <v>#N/A</v>
          </cell>
          <cell r="N696" t="e">
            <v>#N/A</v>
          </cell>
          <cell r="O696" t="e">
            <v>#N/A</v>
          </cell>
          <cell r="P696">
            <v>63.51</v>
          </cell>
          <cell r="Q696" t="str">
            <v/>
          </cell>
          <cell r="R696" t="e">
            <v>#N/A</v>
          </cell>
        </row>
        <row r="697">
          <cell r="A697">
            <v>40477</v>
          </cell>
          <cell r="B697">
            <v>40477</v>
          </cell>
          <cell r="C697" t="str">
            <v>Future</v>
          </cell>
          <cell r="D697" t="e">
            <v>#N/A</v>
          </cell>
          <cell r="E697">
            <v>28.754527559055354</v>
          </cell>
          <cell r="F697">
            <v>78.00649606299298</v>
          </cell>
          <cell r="G697">
            <v>56.116732283464508</v>
          </cell>
          <cell r="H697">
            <v>56.116732283464508</v>
          </cell>
          <cell r="I697" t="e">
            <v>#N/A</v>
          </cell>
          <cell r="J697" t="e">
            <v>#N/A</v>
          </cell>
          <cell r="K697" t="e">
            <v>#N/A</v>
          </cell>
          <cell r="L697" t="e">
            <v>#N/A</v>
          </cell>
          <cell r="M697" t="e">
            <v>#N/A</v>
          </cell>
          <cell r="N697" t="e">
            <v>#N/A</v>
          </cell>
          <cell r="O697" t="e">
            <v>#N/A</v>
          </cell>
          <cell r="P697">
            <v>63.51</v>
          </cell>
          <cell r="Q697" t="str">
            <v/>
          </cell>
          <cell r="R697" t="e">
            <v>#N/A</v>
          </cell>
        </row>
        <row r="698">
          <cell r="A698">
            <v>40478</v>
          </cell>
          <cell r="B698">
            <v>40478</v>
          </cell>
          <cell r="C698" t="str">
            <v>Future</v>
          </cell>
          <cell r="D698" t="e">
            <v>#N/A</v>
          </cell>
          <cell r="E698">
            <v>28.504488188976616</v>
          </cell>
          <cell r="F698">
            <v>78.110787401575664</v>
          </cell>
          <cell r="G698">
            <v>56.063543307086555</v>
          </cell>
          <cell r="H698">
            <v>56.063543307086555</v>
          </cell>
          <cell r="I698" t="e">
            <v>#N/A</v>
          </cell>
          <cell r="J698" t="e">
            <v>#N/A</v>
          </cell>
          <cell r="K698" t="e">
            <v>#N/A</v>
          </cell>
          <cell r="L698" t="e">
            <v>#N/A</v>
          </cell>
          <cell r="M698" t="e">
            <v>#N/A</v>
          </cell>
          <cell r="N698" t="e">
            <v>#N/A</v>
          </cell>
          <cell r="O698" t="e">
            <v>#N/A</v>
          </cell>
          <cell r="P698">
            <v>63.51</v>
          </cell>
          <cell r="Q698" t="str">
            <v/>
          </cell>
          <cell r="R698" t="e">
            <v>#N/A</v>
          </cell>
        </row>
        <row r="699">
          <cell r="A699">
            <v>40479</v>
          </cell>
          <cell r="B699">
            <v>40479</v>
          </cell>
          <cell r="C699" t="str">
            <v>Future</v>
          </cell>
          <cell r="D699" t="e">
            <v>#N/A</v>
          </cell>
          <cell r="E699">
            <v>28.254448818897878</v>
          </cell>
          <cell r="F699">
            <v>78.215078740158347</v>
          </cell>
          <cell r="G699">
            <v>56.010354330708601</v>
          </cell>
          <cell r="H699">
            <v>56.010354330708601</v>
          </cell>
          <cell r="I699" t="e">
            <v>#N/A</v>
          </cell>
          <cell r="J699" t="e">
            <v>#N/A</v>
          </cell>
          <cell r="K699" t="e">
            <v>#N/A</v>
          </cell>
          <cell r="L699" t="e">
            <v>#N/A</v>
          </cell>
          <cell r="M699" t="e">
            <v>#N/A</v>
          </cell>
          <cell r="N699" t="e">
            <v>#N/A</v>
          </cell>
          <cell r="O699" t="e">
            <v>#N/A</v>
          </cell>
          <cell r="P699">
            <v>63.51</v>
          </cell>
          <cell r="Q699" t="str">
            <v/>
          </cell>
          <cell r="R699" t="e">
            <v>#N/A</v>
          </cell>
        </row>
        <row r="700">
          <cell r="A700">
            <v>40480</v>
          </cell>
          <cell r="B700">
            <v>40480</v>
          </cell>
          <cell r="C700" t="str">
            <v>Future</v>
          </cell>
          <cell r="D700" t="e">
            <v>#N/A</v>
          </cell>
          <cell r="E700">
            <v>28.004409448819139</v>
          </cell>
          <cell r="F700">
            <v>78.319370078741031</v>
          </cell>
          <cell r="G700">
            <v>55.957165354330648</v>
          </cell>
          <cell r="H700">
            <v>55.957165354330648</v>
          </cell>
          <cell r="I700" t="e">
            <v>#N/A</v>
          </cell>
          <cell r="J700" t="e">
            <v>#N/A</v>
          </cell>
          <cell r="K700" t="e">
            <v>#N/A</v>
          </cell>
          <cell r="L700" t="e">
            <v>#N/A</v>
          </cell>
          <cell r="M700" t="e">
            <v>#N/A</v>
          </cell>
          <cell r="N700" t="e">
            <v>#N/A</v>
          </cell>
          <cell r="O700" t="e">
            <v>#N/A</v>
          </cell>
          <cell r="P700">
            <v>63.51</v>
          </cell>
          <cell r="Q700" t="str">
            <v/>
          </cell>
          <cell r="R700" t="e">
            <v>#N/A</v>
          </cell>
        </row>
        <row r="701">
          <cell r="A701">
            <v>40483</v>
          </cell>
          <cell r="B701">
            <v>40483</v>
          </cell>
          <cell r="C701" t="str">
            <v>Future</v>
          </cell>
          <cell r="D701" t="e">
            <v>#N/A</v>
          </cell>
          <cell r="E701">
            <v>27.754370078740401</v>
          </cell>
          <cell r="F701">
            <v>78.423661417323714</v>
          </cell>
          <cell r="G701">
            <v>55.903976377952695</v>
          </cell>
          <cell r="H701">
            <v>55.903976377952695</v>
          </cell>
          <cell r="I701" t="e">
            <v>#N/A</v>
          </cell>
          <cell r="J701" t="e">
            <v>#N/A</v>
          </cell>
          <cell r="K701" t="e">
            <v>#N/A</v>
          </cell>
          <cell r="L701" t="e">
            <v>#N/A</v>
          </cell>
          <cell r="M701" t="e">
            <v>#N/A</v>
          </cell>
          <cell r="N701" t="e">
            <v>#N/A</v>
          </cell>
          <cell r="O701" t="e">
            <v>#N/A</v>
          </cell>
          <cell r="P701">
            <v>63.51</v>
          </cell>
          <cell r="Q701" t="str">
            <v/>
          </cell>
          <cell r="R701" t="e">
            <v>#N/A</v>
          </cell>
        </row>
        <row r="702">
          <cell r="A702">
            <v>40484</v>
          </cell>
          <cell r="B702">
            <v>40484</v>
          </cell>
          <cell r="C702" t="str">
            <v>Future</v>
          </cell>
          <cell r="D702" t="e">
            <v>#N/A</v>
          </cell>
          <cell r="E702">
            <v>27.504330708661662</v>
          </cell>
          <cell r="F702">
            <v>78.527952755906398</v>
          </cell>
          <cell r="G702">
            <v>55.850787401574742</v>
          </cell>
          <cell r="H702">
            <v>55.850787401574742</v>
          </cell>
          <cell r="I702" t="e">
            <v>#N/A</v>
          </cell>
          <cell r="J702" t="e">
            <v>#N/A</v>
          </cell>
          <cell r="K702" t="e">
            <v>#N/A</v>
          </cell>
          <cell r="L702" t="e">
            <v>#N/A</v>
          </cell>
          <cell r="M702" t="e">
            <v>#N/A</v>
          </cell>
          <cell r="N702" t="e">
            <v>#N/A</v>
          </cell>
          <cell r="O702" t="e">
            <v>#N/A</v>
          </cell>
          <cell r="P702">
            <v>63.51</v>
          </cell>
          <cell r="Q702" t="str">
            <v/>
          </cell>
          <cell r="R702" t="e">
            <v>#N/A</v>
          </cell>
        </row>
        <row r="703">
          <cell r="A703">
            <v>40485</v>
          </cell>
          <cell r="B703">
            <v>40485</v>
          </cell>
          <cell r="C703" t="str">
            <v>Future</v>
          </cell>
          <cell r="D703" t="e">
            <v>#N/A</v>
          </cell>
          <cell r="E703">
            <v>27.254291338582924</v>
          </cell>
          <cell r="F703">
            <v>78.632244094489081</v>
          </cell>
          <cell r="G703">
            <v>55.797598425196789</v>
          </cell>
          <cell r="H703">
            <v>55.797598425196789</v>
          </cell>
          <cell r="I703" t="e">
            <v>#N/A</v>
          </cell>
          <cell r="J703" t="e">
            <v>#N/A</v>
          </cell>
          <cell r="K703" t="e">
            <v>#N/A</v>
          </cell>
          <cell r="L703" t="e">
            <v>#N/A</v>
          </cell>
          <cell r="M703" t="e">
            <v>#N/A</v>
          </cell>
          <cell r="N703" t="e">
            <v>#N/A</v>
          </cell>
          <cell r="O703" t="e">
            <v>#N/A</v>
          </cell>
          <cell r="P703">
            <v>63.51</v>
          </cell>
          <cell r="Q703" t="str">
            <v/>
          </cell>
          <cell r="R703" t="e">
            <v>#N/A</v>
          </cell>
        </row>
        <row r="704">
          <cell r="A704">
            <v>40486</v>
          </cell>
          <cell r="B704">
            <v>40486</v>
          </cell>
          <cell r="C704" t="str">
            <v>Future</v>
          </cell>
          <cell r="D704" t="e">
            <v>#N/A</v>
          </cell>
          <cell r="E704">
            <v>27.004251968504185</v>
          </cell>
          <cell r="F704">
            <v>78.736535433071765</v>
          </cell>
          <cell r="G704">
            <v>55.744409448818836</v>
          </cell>
          <cell r="H704">
            <v>55.744409448818836</v>
          </cell>
          <cell r="I704" t="e">
            <v>#N/A</v>
          </cell>
          <cell r="J704" t="e">
            <v>#N/A</v>
          </cell>
          <cell r="K704" t="e">
            <v>#N/A</v>
          </cell>
          <cell r="L704" t="e">
            <v>#N/A</v>
          </cell>
          <cell r="M704" t="e">
            <v>#N/A</v>
          </cell>
          <cell r="N704" t="e">
            <v>#N/A</v>
          </cell>
          <cell r="O704" t="e">
            <v>#N/A</v>
          </cell>
          <cell r="P704">
            <v>63.51</v>
          </cell>
          <cell r="Q704" t="str">
            <v/>
          </cell>
          <cell r="R704" t="e">
            <v>#N/A</v>
          </cell>
        </row>
        <row r="705">
          <cell r="A705">
            <v>40487</v>
          </cell>
          <cell r="B705">
            <v>40487</v>
          </cell>
          <cell r="C705" t="str">
            <v>Future</v>
          </cell>
          <cell r="D705" t="e">
            <v>#N/A</v>
          </cell>
          <cell r="E705">
            <v>26.754212598425447</v>
          </cell>
          <cell r="F705">
            <v>78.840826771654449</v>
          </cell>
          <cell r="G705">
            <v>55.691220472440882</v>
          </cell>
          <cell r="H705">
            <v>55.691220472440882</v>
          </cell>
          <cell r="I705" t="e">
            <v>#N/A</v>
          </cell>
          <cell r="J705" t="e">
            <v>#N/A</v>
          </cell>
          <cell r="K705" t="e">
            <v>#N/A</v>
          </cell>
          <cell r="L705" t="e">
            <v>#N/A</v>
          </cell>
          <cell r="M705" t="e">
            <v>#N/A</v>
          </cell>
          <cell r="N705" t="e">
            <v>#N/A</v>
          </cell>
          <cell r="O705" t="e">
            <v>#N/A</v>
          </cell>
          <cell r="P705">
            <v>63.51</v>
          </cell>
          <cell r="Q705" t="str">
            <v/>
          </cell>
          <cell r="R705" t="e">
            <v>#N/A</v>
          </cell>
        </row>
        <row r="706">
          <cell r="A706">
            <v>40490</v>
          </cell>
          <cell r="B706">
            <v>40490</v>
          </cell>
          <cell r="C706" t="str">
            <v>Future</v>
          </cell>
          <cell r="D706" t="e">
            <v>#N/A</v>
          </cell>
          <cell r="E706">
            <v>26.504173228346708</v>
          </cell>
          <cell r="F706">
            <v>78.945118110237132</v>
          </cell>
          <cell r="G706">
            <v>55.638031496062929</v>
          </cell>
          <cell r="H706">
            <v>55.638031496062929</v>
          </cell>
          <cell r="I706" t="e">
            <v>#N/A</v>
          </cell>
          <cell r="J706" t="e">
            <v>#N/A</v>
          </cell>
          <cell r="K706" t="e">
            <v>#N/A</v>
          </cell>
          <cell r="L706" t="e">
            <v>#N/A</v>
          </cell>
          <cell r="M706" t="e">
            <v>#N/A</v>
          </cell>
          <cell r="N706" t="e">
            <v>#N/A</v>
          </cell>
          <cell r="O706" t="e">
            <v>#N/A</v>
          </cell>
          <cell r="P706">
            <v>63.51</v>
          </cell>
          <cell r="Q706" t="str">
            <v/>
          </cell>
          <cell r="R706" t="e">
            <v>#N/A</v>
          </cell>
        </row>
        <row r="707">
          <cell r="A707">
            <v>40491</v>
          </cell>
          <cell r="B707">
            <v>40491</v>
          </cell>
          <cell r="C707" t="str">
            <v>Future</v>
          </cell>
          <cell r="D707" t="e">
            <v>#N/A</v>
          </cell>
          <cell r="E707">
            <v>26.25413385826797</v>
          </cell>
          <cell r="F707">
            <v>79.049409448819816</v>
          </cell>
          <cell r="G707">
            <v>55.584842519684976</v>
          </cell>
          <cell r="H707">
            <v>55.584842519684976</v>
          </cell>
          <cell r="I707" t="e">
            <v>#N/A</v>
          </cell>
          <cell r="J707" t="e">
            <v>#N/A</v>
          </cell>
          <cell r="K707" t="e">
            <v>#N/A</v>
          </cell>
          <cell r="L707" t="e">
            <v>#N/A</v>
          </cell>
          <cell r="M707" t="e">
            <v>#N/A</v>
          </cell>
          <cell r="N707" t="e">
            <v>#N/A</v>
          </cell>
          <cell r="O707" t="e">
            <v>#N/A</v>
          </cell>
          <cell r="P707">
            <v>63.51</v>
          </cell>
          <cell r="Q707" t="str">
            <v/>
          </cell>
          <cell r="R707" t="e">
            <v>#N/A</v>
          </cell>
        </row>
        <row r="708">
          <cell r="A708">
            <v>40492</v>
          </cell>
          <cell r="B708">
            <v>40492</v>
          </cell>
          <cell r="C708" t="str">
            <v>Future</v>
          </cell>
          <cell r="D708" t="e">
            <v>#N/A</v>
          </cell>
          <cell r="E708">
            <v>26.004094488189232</v>
          </cell>
          <cell r="F708">
            <v>79.153700787402499</v>
          </cell>
          <cell r="G708">
            <v>55.531653543307023</v>
          </cell>
          <cell r="H708">
            <v>55.531653543307023</v>
          </cell>
          <cell r="I708" t="e">
            <v>#N/A</v>
          </cell>
          <cell r="J708" t="e">
            <v>#N/A</v>
          </cell>
          <cell r="K708" t="e">
            <v>#N/A</v>
          </cell>
          <cell r="L708" t="e">
            <v>#N/A</v>
          </cell>
          <cell r="M708" t="e">
            <v>#N/A</v>
          </cell>
          <cell r="N708" t="e">
            <v>#N/A</v>
          </cell>
          <cell r="O708" t="e">
            <v>#N/A</v>
          </cell>
          <cell r="P708">
            <v>63.51</v>
          </cell>
          <cell r="Q708" t="str">
            <v/>
          </cell>
          <cell r="R708" t="e">
            <v>#N/A</v>
          </cell>
        </row>
        <row r="709">
          <cell r="A709">
            <v>40493</v>
          </cell>
          <cell r="B709">
            <v>40493</v>
          </cell>
          <cell r="C709" t="str">
            <v>Future</v>
          </cell>
          <cell r="D709" t="e">
            <v>#N/A</v>
          </cell>
          <cell r="E709">
            <v>25.754055118110493</v>
          </cell>
          <cell r="F709">
            <v>79.257992125985183</v>
          </cell>
          <cell r="G709">
            <v>55.47846456692907</v>
          </cell>
          <cell r="H709">
            <v>55.47846456692907</v>
          </cell>
          <cell r="I709" t="e">
            <v>#N/A</v>
          </cell>
          <cell r="J709" t="e">
            <v>#N/A</v>
          </cell>
          <cell r="K709" t="e">
            <v>#N/A</v>
          </cell>
          <cell r="L709" t="e">
            <v>#N/A</v>
          </cell>
          <cell r="M709" t="e">
            <v>#N/A</v>
          </cell>
          <cell r="N709" t="e">
            <v>#N/A</v>
          </cell>
          <cell r="O709" t="e">
            <v>#N/A</v>
          </cell>
          <cell r="P709">
            <v>63.51</v>
          </cell>
          <cell r="Q709" t="str">
            <v/>
          </cell>
          <cell r="R709" t="e">
            <v>#N/A</v>
          </cell>
        </row>
        <row r="710">
          <cell r="A710">
            <v>40494</v>
          </cell>
          <cell r="B710">
            <v>40494</v>
          </cell>
          <cell r="C710" t="str">
            <v>Future</v>
          </cell>
          <cell r="D710" t="e">
            <v>#N/A</v>
          </cell>
          <cell r="E710">
            <v>25.504015748031755</v>
          </cell>
          <cell r="F710">
            <v>79.362283464567867</v>
          </cell>
          <cell r="G710">
            <v>55.425275590551117</v>
          </cell>
          <cell r="H710">
            <v>55.425275590551117</v>
          </cell>
          <cell r="I710" t="e">
            <v>#N/A</v>
          </cell>
          <cell r="J710" t="e">
            <v>#N/A</v>
          </cell>
          <cell r="K710" t="e">
            <v>#N/A</v>
          </cell>
          <cell r="L710" t="e">
            <v>#N/A</v>
          </cell>
          <cell r="M710" t="e">
            <v>#N/A</v>
          </cell>
          <cell r="N710" t="e">
            <v>#N/A</v>
          </cell>
          <cell r="O710" t="e">
            <v>#N/A</v>
          </cell>
          <cell r="P710">
            <v>63.51</v>
          </cell>
          <cell r="Q710" t="str">
            <v/>
          </cell>
          <cell r="R710" t="e">
            <v>#N/A</v>
          </cell>
        </row>
        <row r="711">
          <cell r="A711">
            <v>40497</v>
          </cell>
          <cell r="B711">
            <v>40497</v>
          </cell>
          <cell r="C711" t="str">
            <v>Future</v>
          </cell>
          <cell r="D711" t="e">
            <v>#N/A</v>
          </cell>
          <cell r="E711">
            <v>25.253976377953016</v>
          </cell>
          <cell r="F711">
            <v>79.46657480315055</v>
          </cell>
          <cell r="G711">
            <v>55.372086614173163</v>
          </cell>
          <cell r="H711">
            <v>55.372086614173163</v>
          </cell>
          <cell r="I711" t="e">
            <v>#N/A</v>
          </cell>
          <cell r="J711" t="e">
            <v>#N/A</v>
          </cell>
          <cell r="K711" t="e">
            <v>#N/A</v>
          </cell>
          <cell r="L711" t="e">
            <v>#N/A</v>
          </cell>
          <cell r="M711" t="e">
            <v>#N/A</v>
          </cell>
          <cell r="N711" t="e">
            <v>#N/A</v>
          </cell>
          <cell r="O711" t="e">
            <v>#N/A</v>
          </cell>
          <cell r="P711">
            <v>63.51</v>
          </cell>
          <cell r="Q711" t="str">
            <v/>
          </cell>
          <cell r="R711" t="e">
            <v>#N/A</v>
          </cell>
        </row>
        <row r="712">
          <cell r="A712">
            <v>40498</v>
          </cell>
          <cell r="B712">
            <v>40498</v>
          </cell>
          <cell r="C712" t="str">
            <v>Future</v>
          </cell>
          <cell r="D712" t="e">
            <v>#N/A</v>
          </cell>
          <cell r="E712">
            <v>25.003937007874278</v>
          </cell>
          <cell r="F712">
            <v>79.570866141733234</v>
          </cell>
          <cell r="G712">
            <v>55.31889763779521</v>
          </cell>
          <cell r="H712">
            <v>55.31889763779521</v>
          </cell>
          <cell r="I712" t="e">
            <v>#N/A</v>
          </cell>
          <cell r="J712" t="e">
            <v>#N/A</v>
          </cell>
          <cell r="K712" t="e">
            <v>#N/A</v>
          </cell>
          <cell r="L712" t="e">
            <v>#N/A</v>
          </cell>
          <cell r="M712" t="e">
            <v>#N/A</v>
          </cell>
          <cell r="N712" t="e">
            <v>#N/A</v>
          </cell>
          <cell r="O712" t="e">
            <v>#N/A</v>
          </cell>
          <cell r="P712">
            <v>63.51</v>
          </cell>
          <cell r="Q712" t="str">
            <v/>
          </cell>
          <cell r="R712" t="e">
            <v>#N/A</v>
          </cell>
        </row>
        <row r="713">
          <cell r="A713">
            <v>40499</v>
          </cell>
          <cell r="B713">
            <v>40499</v>
          </cell>
          <cell r="C713" t="str">
            <v>Future</v>
          </cell>
          <cell r="D713" t="e">
            <v>#N/A</v>
          </cell>
          <cell r="E713">
            <v>24.753897637795539</v>
          </cell>
          <cell r="F713">
            <v>79.675157480315917</v>
          </cell>
          <cell r="G713">
            <v>55.265708661417257</v>
          </cell>
          <cell r="H713">
            <v>55.265708661417257</v>
          </cell>
          <cell r="I713" t="e">
            <v>#N/A</v>
          </cell>
          <cell r="J713" t="e">
            <v>#N/A</v>
          </cell>
          <cell r="K713" t="e">
            <v>#N/A</v>
          </cell>
          <cell r="L713" t="e">
            <v>#N/A</v>
          </cell>
          <cell r="M713" t="e">
            <v>#N/A</v>
          </cell>
          <cell r="N713" t="e">
            <v>#N/A</v>
          </cell>
          <cell r="O713" t="e">
            <v>#N/A</v>
          </cell>
          <cell r="P713">
            <v>63.51</v>
          </cell>
          <cell r="Q713" t="str">
            <v/>
          </cell>
          <cell r="R713" t="e">
            <v>#N/A</v>
          </cell>
        </row>
        <row r="714">
          <cell r="A714">
            <v>40500</v>
          </cell>
          <cell r="B714">
            <v>40500</v>
          </cell>
          <cell r="C714" t="str">
            <v>Future</v>
          </cell>
          <cell r="D714" t="e">
            <v>#N/A</v>
          </cell>
          <cell r="E714">
            <v>24.503858267716801</v>
          </cell>
          <cell r="F714">
            <v>79.779448818898601</v>
          </cell>
          <cell r="G714">
            <v>55.212519685039304</v>
          </cell>
          <cell r="H714">
            <v>55.212519685039304</v>
          </cell>
          <cell r="I714" t="e">
            <v>#N/A</v>
          </cell>
          <cell r="J714" t="e">
            <v>#N/A</v>
          </cell>
          <cell r="K714" t="e">
            <v>#N/A</v>
          </cell>
          <cell r="L714" t="e">
            <v>#N/A</v>
          </cell>
          <cell r="M714" t="e">
            <v>#N/A</v>
          </cell>
          <cell r="N714" t="e">
            <v>#N/A</v>
          </cell>
          <cell r="O714" t="e">
            <v>#N/A</v>
          </cell>
          <cell r="P714">
            <v>63.51</v>
          </cell>
          <cell r="Q714" t="str">
            <v/>
          </cell>
          <cell r="R714" t="e">
            <v>#N/A</v>
          </cell>
        </row>
        <row r="715">
          <cell r="A715">
            <v>40501</v>
          </cell>
          <cell r="B715">
            <v>40501</v>
          </cell>
          <cell r="C715" t="str">
            <v>Future</v>
          </cell>
          <cell r="D715" t="e">
            <v>#N/A</v>
          </cell>
          <cell r="E715">
            <v>24.253818897638062</v>
          </cell>
          <cell r="F715">
            <v>79.883740157481284</v>
          </cell>
          <cell r="G715">
            <v>55.159330708661351</v>
          </cell>
          <cell r="H715">
            <v>55.159330708661351</v>
          </cell>
          <cell r="I715" t="e">
            <v>#N/A</v>
          </cell>
          <cell r="J715" t="e">
            <v>#N/A</v>
          </cell>
          <cell r="K715" t="e">
            <v>#N/A</v>
          </cell>
          <cell r="L715" t="e">
            <v>#N/A</v>
          </cell>
          <cell r="M715" t="e">
            <v>#N/A</v>
          </cell>
          <cell r="N715" t="e">
            <v>#N/A</v>
          </cell>
          <cell r="O715" t="e">
            <v>#N/A</v>
          </cell>
          <cell r="P715">
            <v>63.51</v>
          </cell>
          <cell r="Q715" t="str">
            <v/>
          </cell>
          <cell r="R715" t="e">
            <v>#N/A</v>
          </cell>
        </row>
        <row r="716">
          <cell r="A716">
            <v>40504</v>
          </cell>
          <cell r="B716">
            <v>40504</v>
          </cell>
          <cell r="C716" t="str">
            <v>Future</v>
          </cell>
          <cell r="D716" t="e">
            <v>#N/A</v>
          </cell>
          <cell r="E716">
            <v>24.003779527559324</v>
          </cell>
          <cell r="F716">
            <v>79.988031496063968</v>
          </cell>
          <cell r="G716">
            <v>55.106141732283398</v>
          </cell>
          <cell r="H716">
            <v>55.106141732283398</v>
          </cell>
          <cell r="I716" t="e">
            <v>#N/A</v>
          </cell>
          <cell r="J716" t="e">
            <v>#N/A</v>
          </cell>
          <cell r="K716" t="e">
            <v>#N/A</v>
          </cell>
          <cell r="L716" t="e">
            <v>#N/A</v>
          </cell>
          <cell r="M716" t="e">
            <v>#N/A</v>
          </cell>
          <cell r="N716" t="e">
            <v>#N/A</v>
          </cell>
          <cell r="O716" t="e">
            <v>#N/A</v>
          </cell>
          <cell r="P716">
            <v>63.51</v>
          </cell>
          <cell r="Q716" t="str">
            <v/>
          </cell>
          <cell r="R716" t="e">
            <v>#N/A</v>
          </cell>
        </row>
        <row r="717">
          <cell r="A717">
            <v>40505</v>
          </cell>
          <cell r="B717">
            <v>40505</v>
          </cell>
          <cell r="C717" t="str">
            <v>Future</v>
          </cell>
          <cell r="D717" t="e">
            <v>#N/A</v>
          </cell>
          <cell r="E717">
            <v>23.753740157480586</v>
          </cell>
          <cell r="F717">
            <v>80.092322834646652</v>
          </cell>
          <cell r="G717">
            <v>55.052952755905444</v>
          </cell>
          <cell r="H717">
            <v>55.052952755905444</v>
          </cell>
          <cell r="I717" t="e">
            <v>#N/A</v>
          </cell>
          <cell r="J717" t="e">
            <v>#N/A</v>
          </cell>
          <cell r="K717" t="e">
            <v>#N/A</v>
          </cell>
          <cell r="L717" t="e">
            <v>#N/A</v>
          </cell>
          <cell r="M717" t="e">
            <v>#N/A</v>
          </cell>
          <cell r="N717" t="e">
            <v>#N/A</v>
          </cell>
          <cell r="O717" t="e">
            <v>#N/A</v>
          </cell>
          <cell r="P717">
            <v>63.51</v>
          </cell>
          <cell r="Q717" t="str">
            <v/>
          </cell>
          <cell r="R717" t="e">
            <v>#N/A</v>
          </cell>
        </row>
        <row r="718">
          <cell r="A718">
            <v>40506</v>
          </cell>
          <cell r="B718">
            <v>40506</v>
          </cell>
          <cell r="C718" t="str">
            <v>Future</v>
          </cell>
          <cell r="D718" t="e">
            <v>#N/A</v>
          </cell>
          <cell r="E718">
            <v>23.503700787401847</v>
          </cell>
          <cell r="F718">
            <v>80.196614173229335</v>
          </cell>
          <cell r="G718">
            <v>54.999763779527491</v>
          </cell>
          <cell r="H718">
            <v>54.999763779527491</v>
          </cell>
          <cell r="I718" t="e">
            <v>#N/A</v>
          </cell>
          <cell r="J718" t="e">
            <v>#N/A</v>
          </cell>
          <cell r="K718" t="e">
            <v>#N/A</v>
          </cell>
          <cell r="L718" t="e">
            <v>#N/A</v>
          </cell>
          <cell r="M718" t="e">
            <v>#N/A</v>
          </cell>
          <cell r="N718" t="e">
            <v>#N/A</v>
          </cell>
          <cell r="O718" t="e">
            <v>#N/A</v>
          </cell>
          <cell r="P718">
            <v>63.51</v>
          </cell>
          <cell r="Q718" t="str">
            <v/>
          </cell>
          <cell r="R718" t="e">
            <v>#N/A</v>
          </cell>
        </row>
        <row r="719">
          <cell r="A719">
            <v>40508</v>
          </cell>
          <cell r="B719">
            <v>40508</v>
          </cell>
          <cell r="C719" t="str">
            <v>Future</v>
          </cell>
          <cell r="D719" t="e">
            <v>#N/A</v>
          </cell>
          <cell r="E719">
            <v>23.253661417323109</v>
          </cell>
          <cell r="F719">
            <v>80.300905511812019</v>
          </cell>
          <cell r="G719">
            <v>54.946574803149538</v>
          </cell>
          <cell r="H719">
            <v>54.946574803149538</v>
          </cell>
          <cell r="I719" t="e">
            <v>#N/A</v>
          </cell>
          <cell r="J719" t="e">
            <v>#N/A</v>
          </cell>
          <cell r="K719" t="e">
            <v>#N/A</v>
          </cell>
          <cell r="L719" t="e">
            <v>#N/A</v>
          </cell>
          <cell r="M719" t="e">
            <v>#N/A</v>
          </cell>
          <cell r="N719" t="e">
            <v>#N/A</v>
          </cell>
          <cell r="O719" t="e">
            <v>#N/A</v>
          </cell>
          <cell r="P719">
            <v>63.51</v>
          </cell>
          <cell r="Q719" t="str">
            <v/>
          </cell>
          <cell r="R719" t="e">
            <v>#N/A</v>
          </cell>
        </row>
        <row r="720">
          <cell r="A720">
            <v>40511</v>
          </cell>
          <cell r="B720">
            <v>40511</v>
          </cell>
          <cell r="C720" t="str">
            <v>Future</v>
          </cell>
          <cell r="D720" t="e">
            <v>#N/A</v>
          </cell>
          <cell r="E720">
            <v>23.00362204724437</v>
          </cell>
          <cell r="F720">
            <v>80.405196850394702</v>
          </cell>
          <cell r="G720">
            <v>54.893385826771585</v>
          </cell>
          <cell r="H720">
            <v>54.893385826771585</v>
          </cell>
          <cell r="I720" t="e">
            <v>#N/A</v>
          </cell>
          <cell r="J720" t="e">
            <v>#N/A</v>
          </cell>
          <cell r="K720" t="e">
            <v>#N/A</v>
          </cell>
          <cell r="L720" t="e">
            <v>#N/A</v>
          </cell>
          <cell r="M720" t="e">
            <v>#N/A</v>
          </cell>
          <cell r="N720" t="e">
            <v>#N/A</v>
          </cell>
          <cell r="O720" t="e">
            <v>#N/A</v>
          </cell>
          <cell r="P720">
            <v>63.51</v>
          </cell>
          <cell r="Q720" t="str">
            <v/>
          </cell>
          <cell r="R720" t="e">
            <v>#N/A</v>
          </cell>
        </row>
        <row r="721">
          <cell r="A721">
            <v>40512</v>
          </cell>
          <cell r="B721">
            <v>40512</v>
          </cell>
          <cell r="C721" t="str">
            <v>Future</v>
          </cell>
          <cell r="D721" t="e">
            <v>#N/A</v>
          </cell>
          <cell r="E721">
            <v>22.753582677165632</v>
          </cell>
          <cell r="F721">
            <v>80.509488188977386</v>
          </cell>
          <cell r="G721">
            <v>54.840196850393632</v>
          </cell>
          <cell r="H721">
            <v>54.840196850393632</v>
          </cell>
          <cell r="I721" t="e">
            <v>#N/A</v>
          </cell>
          <cell r="J721" t="e">
            <v>#N/A</v>
          </cell>
          <cell r="K721" t="e">
            <v>#N/A</v>
          </cell>
          <cell r="L721" t="e">
            <v>#N/A</v>
          </cell>
          <cell r="M721" t="e">
            <v>#N/A</v>
          </cell>
          <cell r="N721" t="e">
            <v>#N/A</v>
          </cell>
          <cell r="O721" t="e">
            <v>#N/A</v>
          </cell>
          <cell r="P721">
            <v>63.51</v>
          </cell>
          <cell r="Q721" t="str">
            <v/>
          </cell>
          <cell r="R721" t="e">
            <v>#N/A</v>
          </cell>
        </row>
        <row r="722">
          <cell r="A722">
            <v>40513</v>
          </cell>
          <cell r="B722">
            <v>40513</v>
          </cell>
          <cell r="C722" t="str">
            <v>Future</v>
          </cell>
          <cell r="D722" t="e">
            <v>#N/A</v>
          </cell>
          <cell r="E722">
            <v>22.503543307086893</v>
          </cell>
          <cell r="F722">
            <v>80.613779527560069</v>
          </cell>
          <cell r="G722">
            <v>54.787007874015679</v>
          </cell>
          <cell r="H722">
            <v>54.787007874015679</v>
          </cell>
          <cell r="I722" t="e">
            <v>#N/A</v>
          </cell>
          <cell r="J722" t="e">
            <v>#N/A</v>
          </cell>
          <cell r="K722" t="e">
            <v>#N/A</v>
          </cell>
          <cell r="L722" t="e">
            <v>#N/A</v>
          </cell>
          <cell r="M722" t="e">
            <v>#N/A</v>
          </cell>
          <cell r="N722" t="e">
            <v>#N/A</v>
          </cell>
          <cell r="O722" t="e">
            <v>#N/A</v>
          </cell>
          <cell r="P722">
            <v>63.51</v>
          </cell>
          <cell r="Q722" t="str">
            <v/>
          </cell>
          <cell r="R722" t="e">
            <v>#N/A</v>
          </cell>
        </row>
        <row r="723">
          <cell r="A723">
            <v>40514</v>
          </cell>
          <cell r="B723">
            <v>40514</v>
          </cell>
          <cell r="C723" t="str">
            <v>Future</v>
          </cell>
          <cell r="D723" t="e">
            <v>#N/A</v>
          </cell>
          <cell r="E723">
            <v>22.253503937008155</v>
          </cell>
          <cell r="F723">
            <v>80.718070866142753</v>
          </cell>
          <cell r="G723">
            <v>54.733818897637725</v>
          </cell>
          <cell r="H723">
            <v>54.733818897637725</v>
          </cell>
          <cell r="I723" t="e">
            <v>#N/A</v>
          </cell>
          <cell r="J723" t="e">
            <v>#N/A</v>
          </cell>
          <cell r="K723" t="e">
            <v>#N/A</v>
          </cell>
          <cell r="L723" t="e">
            <v>#N/A</v>
          </cell>
          <cell r="M723" t="e">
            <v>#N/A</v>
          </cell>
          <cell r="N723" t="e">
            <v>#N/A</v>
          </cell>
          <cell r="O723" t="e">
            <v>#N/A</v>
          </cell>
          <cell r="P723">
            <v>63.51</v>
          </cell>
          <cell r="Q723" t="str">
            <v/>
          </cell>
          <cell r="R723" t="e">
            <v>#N/A</v>
          </cell>
        </row>
        <row r="724">
          <cell r="A724">
            <v>40515</v>
          </cell>
          <cell r="B724">
            <v>40515</v>
          </cell>
          <cell r="C724" t="str">
            <v>Future</v>
          </cell>
          <cell r="D724" t="e">
            <v>#N/A</v>
          </cell>
          <cell r="E724">
            <v>22.003464566929416</v>
          </cell>
          <cell r="F724">
            <v>80.822362204725437</v>
          </cell>
          <cell r="G724">
            <v>54.680629921259772</v>
          </cell>
          <cell r="H724">
            <v>54.680629921259772</v>
          </cell>
          <cell r="I724" t="e">
            <v>#N/A</v>
          </cell>
          <cell r="J724" t="e">
            <v>#N/A</v>
          </cell>
          <cell r="K724" t="e">
            <v>#N/A</v>
          </cell>
          <cell r="L724" t="e">
            <v>#N/A</v>
          </cell>
          <cell r="M724" t="e">
            <v>#N/A</v>
          </cell>
          <cell r="N724" t="e">
            <v>#N/A</v>
          </cell>
          <cell r="O724" t="e">
            <v>#N/A</v>
          </cell>
          <cell r="P724">
            <v>63.51</v>
          </cell>
          <cell r="Q724" t="str">
            <v/>
          </cell>
          <cell r="R724" t="e">
            <v>#N/A</v>
          </cell>
        </row>
        <row r="725">
          <cell r="A725">
            <v>40518</v>
          </cell>
          <cell r="B725">
            <v>40518</v>
          </cell>
          <cell r="C725" t="str">
            <v>Future</v>
          </cell>
          <cell r="D725" t="e">
            <v>#N/A</v>
          </cell>
          <cell r="E725">
            <v>21.753425196850678</v>
          </cell>
          <cell r="F725">
            <v>80.92665354330812</v>
          </cell>
          <cell r="G725">
            <v>54.627440944881819</v>
          </cell>
          <cell r="H725">
            <v>54.627440944881819</v>
          </cell>
          <cell r="I725" t="e">
            <v>#N/A</v>
          </cell>
          <cell r="J725" t="e">
            <v>#N/A</v>
          </cell>
          <cell r="K725" t="e">
            <v>#N/A</v>
          </cell>
          <cell r="L725" t="e">
            <v>#N/A</v>
          </cell>
          <cell r="M725" t="e">
            <v>#N/A</v>
          </cell>
          <cell r="N725" t="e">
            <v>#N/A</v>
          </cell>
          <cell r="O725" t="e">
            <v>#N/A</v>
          </cell>
          <cell r="P725">
            <v>63.51</v>
          </cell>
          <cell r="Q725" t="str">
            <v/>
          </cell>
          <cell r="R725" t="e">
            <v>#N/A</v>
          </cell>
        </row>
        <row r="726">
          <cell r="A726">
            <v>40519</v>
          </cell>
          <cell r="B726">
            <v>40519</v>
          </cell>
          <cell r="C726" t="str">
            <v>Future</v>
          </cell>
          <cell r="D726" t="e">
            <v>#N/A</v>
          </cell>
          <cell r="E726">
            <v>21.50338582677194</v>
          </cell>
          <cell r="F726">
            <v>81.030944881890804</v>
          </cell>
          <cell r="G726">
            <v>54.574251968503866</v>
          </cell>
          <cell r="H726">
            <v>54.574251968503866</v>
          </cell>
          <cell r="I726" t="e">
            <v>#N/A</v>
          </cell>
          <cell r="J726" t="e">
            <v>#N/A</v>
          </cell>
          <cell r="K726" t="e">
            <v>#N/A</v>
          </cell>
          <cell r="L726" t="e">
            <v>#N/A</v>
          </cell>
          <cell r="M726" t="e">
            <v>#N/A</v>
          </cell>
          <cell r="N726" t="e">
            <v>#N/A</v>
          </cell>
          <cell r="O726" t="e">
            <v>#N/A</v>
          </cell>
          <cell r="P726">
            <v>63.51</v>
          </cell>
          <cell r="Q726" t="str">
            <v/>
          </cell>
          <cell r="R726" t="e">
            <v>#N/A</v>
          </cell>
        </row>
        <row r="727">
          <cell r="A727">
            <v>40520</v>
          </cell>
          <cell r="B727">
            <v>40520</v>
          </cell>
          <cell r="C727" t="str">
            <v>Future</v>
          </cell>
          <cell r="D727" t="e">
            <v>#N/A</v>
          </cell>
          <cell r="E727">
            <v>21.253346456693201</v>
          </cell>
          <cell r="F727">
            <v>81.135236220473487</v>
          </cell>
          <cell r="G727">
            <v>54.521062992125913</v>
          </cell>
          <cell r="H727">
            <v>54.521062992125913</v>
          </cell>
          <cell r="I727" t="e">
            <v>#N/A</v>
          </cell>
          <cell r="J727" t="e">
            <v>#N/A</v>
          </cell>
          <cell r="K727" t="e">
            <v>#N/A</v>
          </cell>
          <cell r="L727" t="e">
            <v>#N/A</v>
          </cell>
          <cell r="M727" t="e">
            <v>#N/A</v>
          </cell>
          <cell r="N727" t="e">
            <v>#N/A</v>
          </cell>
          <cell r="O727" t="e">
            <v>#N/A</v>
          </cell>
          <cell r="P727">
            <v>63.51</v>
          </cell>
          <cell r="Q727" t="str">
            <v/>
          </cell>
          <cell r="R727" t="e">
            <v>#N/A</v>
          </cell>
        </row>
        <row r="728">
          <cell r="A728">
            <v>40521</v>
          </cell>
          <cell r="B728">
            <v>40521</v>
          </cell>
          <cell r="C728" t="str">
            <v>Future</v>
          </cell>
          <cell r="D728" t="e">
            <v>#N/A</v>
          </cell>
          <cell r="E728">
            <v>21.003307086614463</v>
          </cell>
          <cell r="F728">
            <v>81.239527559056171</v>
          </cell>
          <cell r="G728">
            <v>54.46787401574796</v>
          </cell>
          <cell r="H728">
            <v>54.46787401574796</v>
          </cell>
          <cell r="I728" t="e">
            <v>#N/A</v>
          </cell>
          <cell r="J728" t="e">
            <v>#N/A</v>
          </cell>
          <cell r="K728" t="e">
            <v>#N/A</v>
          </cell>
          <cell r="L728" t="e">
            <v>#N/A</v>
          </cell>
          <cell r="M728" t="e">
            <v>#N/A</v>
          </cell>
          <cell r="N728" t="e">
            <v>#N/A</v>
          </cell>
          <cell r="O728" t="e">
            <v>#N/A</v>
          </cell>
          <cell r="P728">
            <v>63.51</v>
          </cell>
          <cell r="Q728" t="str">
            <v/>
          </cell>
          <cell r="R728" t="e">
            <v>#N/A</v>
          </cell>
        </row>
        <row r="729">
          <cell r="A729">
            <v>40522</v>
          </cell>
          <cell r="B729">
            <v>40522</v>
          </cell>
          <cell r="C729" t="str">
            <v>Future</v>
          </cell>
          <cell r="D729" t="e">
            <v>#N/A</v>
          </cell>
          <cell r="E729">
            <v>20.753267716535724</v>
          </cell>
          <cell r="F729">
            <v>81.343818897638855</v>
          </cell>
          <cell r="G729">
            <v>54.414685039370006</v>
          </cell>
          <cell r="H729">
            <v>54.414685039370006</v>
          </cell>
          <cell r="I729" t="e">
            <v>#N/A</v>
          </cell>
          <cell r="J729" t="e">
            <v>#N/A</v>
          </cell>
          <cell r="K729" t="e">
            <v>#N/A</v>
          </cell>
          <cell r="L729" t="e">
            <v>#N/A</v>
          </cell>
          <cell r="M729" t="e">
            <v>#N/A</v>
          </cell>
          <cell r="N729" t="e">
            <v>#N/A</v>
          </cell>
          <cell r="O729" t="e">
            <v>#N/A</v>
          </cell>
          <cell r="P729">
            <v>63.51</v>
          </cell>
          <cell r="Q729" t="str">
            <v/>
          </cell>
          <cell r="R729" t="e">
            <v>#N/A</v>
          </cell>
        </row>
        <row r="730">
          <cell r="A730">
            <v>40525</v>
          </cell>
          <cell r="B730">
            <v>40525</v>
          </cell>
          <cell r="C730" t="str">
            <v>Future</v>
          </cell>
          <cell r="D730" t="e">
            <v>#N/A</v>
          </cell>
          <cell r="E730">
            <v>20.503228346456986</v>
          </cell>
          <cell r="F730">
            <v>81.448110236221538</v>
          </cell>
          <cell r="G730">
            <v>54.361496062992053</v>
          </cell>
          <cell r="H730">
            <v>54.361496062992053</v>
          </cell>
          <cell r="I730" t="e">
            <v>#N/A</v>
          </cell>
          <cell r="J730" t="e">
            <v>#N/A</v>
          </cell>
          <cell r="K730" t="e">
            <v>#N/A</v>
          </cell>
          <cell r="L730" t="e">
            <v>#N/A</v>
          </cell>
          <cell r="M730" t="e">
            <v>#N/A</v>
          </cell>
          <cell r="N730" t="e">
            <v>#N/A</v>
          </cell>
          <cell r="O730" t="e">
            <v>#N/A</v>
          </cell>
          <cell r="P730">
            <v>63.51</v>
          </cell>
          <cell r="Q730" t="str">
            <v/>
          </cell>
          <cell r="R730" t="e">
            <v>#N/A</v>
          </cell>
        </row>
        <row r="731">
          <cell r="A731">
            <v>40526</v>
          </cell>
          <cell r="B731">
            <v>40526</v>
          </cell>
          <cell r="C731" t="str">
            <v>Future</v>
          </cell>
          <cell r="D731" t="e">
            <v>#N/A</v>
          </cell>
          <cell r="E731">
            <v>20.253188976378247</v>
          </cell>
          <cell r="F731">
            <v>81.552401574804222</v>
          </cell>
          <cell r="G731">
            <v>54.3083070866141</v>
          </cell>
          <cell r="H731">
            <v>54.3083070866141</v>
          </cell>
          <cell r="I731" t="e">
            <v>#N/A</v>
          </cell>
          <cell r="J731" t="e">
            <v>#N/A</v>
          </cell>
          <cell r="K731" t="e">
            <v>#N/A</v>
          </cell>
          <cell r="L731" t="e">
            <v>#N/A</v>
          </cell>
          <cell r="M731" t="e">
            <v>#N/A</v>
          </cell>
          <cell r="N731" t="e">
            <v>#N/A</v>
          </cell>
          <cell r="O731" t="e">
            <v>#N/A</v>
          </cell>
          <cell r="P731">
            <v>63.51</v>
          </cell>
          <cell r="Q731" t="str">
            <v/>
          </cell>
          <cell r="R731" t="e">
            <v>#N/A</v>
          </cell>
        </row>
        <row r="732">
          <cell r="A732">
            <v>40527</v>
          </cell>
          <cell r="B732">
            <v>40527</v>
          </cell>
          <cell r="C732" t="str">
            <v>Future</v>
          </cell>
          <cell r="D732" t="e">
            <v>#N/A</v>
          </cell>
          <cell r="E732">
            <v>20.003149606299509</v>
          </cell>
          <cell r="F732">
            <v>81.656692913386905</v>
          </cell>
          <cell r="G732">
            <v>54.255118110236147</v>
          </cell>
          <cell r="H732">
            <v>54.255118110236147</v>
          </cell>
          <cell r="I732" t="e">
            <v>#N/A</v>
          </cell>
          <cell r="J732" t="e">
            <v>#N/A</v>
          </cell>
          <cell r="K732" t="e">
            <v>#N/A</v>
          </cell>
          <cell r="L732" t="e">
            <v>#N/A</v>
          </cell>
          <cell r="M732" t="e">
            <v>#N/A</v>
          </cell>
          <cell r="N732" t="e">
            <v>#N/A</v>
          </cell>
          <cell r="O732" t="e">
            <v>#N/A</v>
          </cell>
          <cell r="P732">
            <v>63.51</v>
          </cell>
          <cell r="Q732" t="str">
            <v/>
          </cell>
          <cell r="R732" t="e">
            <v>#N/A</v>
          </cell>
        </row>
        <row r="733">
          <cell r="A733">
            <v>40528</v>
          </cell>
          <cell r="B733">
            <v>40528</v>
          </cell>
          <cell r="C733" t="str">
            <v>Future</v>
          </cell>
          <cell r="D733" t="e">
            <v>#N/A</v>
          </cell>
          <cell r="E733">
            <v>19.75311023622077</v>
          </cell>
          <cell r="F733">
            <v>81.760984251969589</v>
          </cell>
          <cell r="G733">
            <v>54.201929133858194</v>
          </cell>
          <cell r="H733">
            <v>54.201929133858194</v>
          </cell>
          <cell r="I733" t="e">
            <v>#N/A</v>
          </cell>
          <cell r="J733" t="e">
            <v>#N/A</v>
          </cell>
          <cell r="K733" t="e">
            <v>#N/A</v>
          </cell>
          <cell r="L733" t="e">
            <v>#N/A</v>
          </cell>
          <cell r="M733" t="e">
            <v>#N/A</v>
          </cell>
          <cell r="N733" t="e">
            <v>#N/A</v>
          </cell>
          <cell r="O733" t="e">
            <v>#N/A</v>
          </cell>
          <cell r="P733">
            <v>63.51</v>
          </cell>
          <cell r="Q733" t="str">
            <v/>
          </cell>
          <cell r="R733" t="e">
            <v>#N/A</v>
          </cell>
        </row>
        <row r="734">
          <cell r="A734">
            <v>40529</v>
          </cell>
          <cell r="B734">
            <v>40529</v>
          </cell>
          <cell r="C734" t="str">
            <v>Future</v>
          </cell>
          <cell r="D734" t="e">
            <v>#N/A</v>
          </cell>
          <cell r="E734">
            <v>19.503070866142032</v>
          </cell>
          <cell r="F734">
            <v>81.865275590552272</v>
          </cell>
          <cell r="G734">
            <v>54.14874015748024</v>
          </cell>
          <cell r="H734">
            <v>54.14874015748024</v>
          </cell>
          <cell r="I734" t="e">
            <v>#N/A</v>
          </cell>
          <cell r="J734" t="e">
            <v>#N/A</v>
          </cell>
          <cell r="K734" t="e">
            <v>#N/A</v>
          </cell>
          <cell r="L734" t="e">
            <v>#N/A</v>
          </cell>
          <cell r="M734" t="e">
            <v>#N/A</v>
          </cell>
          <cell r="N734" t="e">
            <v>#N/A</v>
          </cell>
          <cell r="O734" t="e">
            <v>#N/A</v>
          </cell>
          <cell r="P734">
            <v>63.51</v>
          </cell>
          <cell r="Q734" t="str">
            <v/>
          </cell>
          <cell r="R734" t="e">
            <v>#N/A</v>
          </cell>
        </row>
        <row r="735">
          <cell r="A735">
            <v>40532</v>
          </cell>
          <cell r="B735">
            <v>40532</v>
          </cell>
          <cell r="C735" t="str">
            <v>Future</v>
          </cell>
          <cell r="D735" t="e">
            <v>#N/A</v>
          </cell>
          <cell r="E735">
            <v>19.253031496063294</v>
          </cell>
          <cell r="F735">
            <v>81.969566929134956</v>
          </cell>
          <cell r="G735">
            <v>54.095551181102287</v>
          </cell>
          <cell r="H735">
            <v>54.095551181102287</v>
          </cell>
          <cell r="I735" t="e">
            <v>#N/A</v>
          </cell>
          <cell r="J735" t="e">
            <v>#N/A</v>
          </cell>
          <cell r="K735" t="e">
            <v>#N/A</v>
          </cell>
          <cell r="L735" t="e">
            <v>#N/A</v>
          </cell>
          <cell r="M735" t="e">
            <v>#N/A</v>
          </cell>
          <cell r="N735" t="e">
            <v>#N/A</v>
          </cell>
          <cell r="O735" t="e">
            <v>#N/A</v>
          </cell>
          <cell r="P735">
            <v>63.51</v>
          </cell>
          <cell r="Q735" t="str">
            <v/>
          </cell>
          <cell r="R735" t="e">
            <v>#N/A</v>
          </cell>
        </row>
        <row r="736">
          <cell r="A736">
            <v>40533</v>
          </cell>
          <cell r="B736">
            <v>40533</v>
          </cell>
          <cell r="C736" t="str">
            <v>Future</v>
          </cell>
          <cell r="D736" t="e">
            <v>#N/A</v>
          </cell>
          <cell r="E736">
            <v>19.002992125984555</v>
          </cell>
          <cell r="F736">
            <v>82.07385826771764</v>
          </cell>
          <cell r="G736">
            <v>54.042362204724334</v>
          </cell>
          <cell r="H736">
            <v>54.042362204724334</v>
          </cell>
          <cell r="I736" t="e">
            <v>#N/A</v>
          </cell>
          <cell r="J736" t="e">
            <v>#N/A</v>
          </cell>
          <cell r="K736" t="e">
            <v>#N/A</v>
          </cell>
          <cell r="L736" t="e">
            <v>#N/A</v>
          </cell>
          <cell r="M736" t="e">
            <v>#N/A</v>
          </cell>
          <cell r="N736" t="e">
            <v>#N/A</v>
          </cell>
          <cell r="O736" t="e">
            <v>#N/A</v>
          </cell>
          <cell r="P736">
            <v>63.51</v>
          </cell>
          <cell r="Q736" t="str">
            <v/>
          </cell>
          <cell r="R736" t="e">
            <v>#N/A</v>
          </cell>
        </row>
        <row r="737">
          <cell r="A737">
            <v>40534</v>
          </cell>
          <cell r="B737">
            <v>40534</v>
          </cell>
          <cell r="C737" t="str">
            <v>Future</v>
          </cell>
          <cell r="D737" t="e">
            <v>#N/A</v>
          </cell>
          <cell r="E737">
            <v>18.752952755905817</v>
          </cell>
          <cell r="F737">
            <v>82.178149606300323</v>
          </cell>
          <cell r="G737">
            <v>53.989173228346381</v>
          </cell>
          <cell r="H737">
            <v>53.989173228346381</v>
          </cell>
          <cell r="I737" t="e">
            <v>#N/A</v>
          </cell>
          <cell r="J737" t="e">
            <v>#N/A</v>
          </cell>
          <cell r="K737" t="e">
            <v>#N/A</v>
          </cell>
          <cell r="L737" t="e">
            <v>#N/A</v>
          </cell>
          <cell r="M737" t="e">
            <v>#N/A</v>
          </cell>
          <cell r="N737" t="e">
            <v>#N/A</v>
          </cell>
          <cell r="O737" t="e">
            <v>#N/A</v>
          </cell>
          <cell r="P737">
            <v>63.51</v>
          </cell>
          <cell r="Q737" t="str">
            <v/>
          </cell>
          <cell r="R737" t="e">
            <v>#N/A</v>
          </cell>
        </row>
        <row r="738">
          <cell r="A738">
            <v>40535</v>
          </cell>
          <cell r="B738">
            <v>40535</v>
          </cell>
          <cell r="C738" t="str">
            <v>Future</v>
          </cell>
          <cell r="D738" t="e">
            <v>#N/A</v>
          </cell>
          <cell r="E738">
            <v>18.502913385827078</v>
          </cell>
          <cell r="F738">
            <v>82.282440944883007</v>
          </cell>
          <cell r="G738">
            <v>53.935984251968428</v>
          </cell>
          <cell r="H738">
            <v>53.935984251968428</v>
          </cell>
          <cell r="I738" t="e">
            <v>#N/A</v>
          </cell>
          <cell r="J738" t="e">
            <v>#N/A</v>
          </cell>
          <cell r="K738" t="e">
            <v>#N/A</v>
          </cell>
          <cell r="L738" t="e">
            <v>#N/A</v>
          </cell>
          <cell r="M738" t="e">
            <v>#N/A</v>
          </cell>
          <cell r="N738" t="e">
            <v>#N/A</v>
          </cell>
          <cell r="O738" t="e">
            <v>#N/A</v>
          </cell>
          <cell r="P738">
            <v>63.51</v>
          </cell>
          <cell r="Q738" t="str">
            <v/>
          </cell>
          <cell r="R738" t="e">
            <v>#N/A</v>
          </cell>
        </row>
        <row r="739">
          <cell r="A739">
            <v>40539</v>
          </cell>
          <cell r="B739">
            <v>40539</v>
          </cell>
          <cell r="C739" t="str">
            <v>Future</v>
          </cell>
          <cell r="D739" t="e">
            <v>#N/A</v>
          </cell>
          <cell r="E739">
            <v>18.25287401574834</v>
          </cell>
          <cell r="F739">
            <v>82.38673228346569</v>
          </cell>
          <cell r="G739">
            <v>53.882795275590475</v>
          </cell>
          <cell r="H739">
            <v>53.882795275590475</v>
          </cell>
          <cell r="I739" t="e">
            <v>#N/A</v>
          </cell>
          <cell r="J739" t="e">
            <v>#N/A</v>
          </cell>
          <cell r="K739" t="e">
            <v>#N/A</v>
          </cell>
          <cell r="L739" t="e">
            <v>#N/A</v>
          </cell>
          <cell r="M739" t="e">
            <v>#N/A</v>
          </cell>
          <cell r="N739" t="e">
            <v>#N/A</v>
          </cell>
          <cell r="O739" t="e">
            <v>#N/A</v>
          </cell>
          <cell r="P739">
            <v>63.51</v>
          </cell>
          <cell r="Q739" t="str">
            <v/>
          </cell>
          <cell r="R739" t="e">
            <v>#N/A</v>
          </cell>
        </row>
        <row r="740">
          <cell r="A740">
            <v>40540</v>
          </cell>
          <cell r="B740">
            <v>40540</v>
          </cell>
          <cell r="C740" t="str">
            <v>Future</v>
          </cell>
          <cell r="D740" t="e">
            <v>#N/A</v>
          </cell>
          <cell r="E740">
            <v>18.002834645669601</v>
          </cell>
          <cell r="F740">
            <v>82.491023622048374</v>
          </cell>
          <cell r="G740">
            <v>53.829606299212521</v>
          </cell>
          <cell r="H740">
            <v>53.829606299212521</v>
          </cell>
          <cell r="I740" t="e">
            <v>#N/A</v>
          </cell>
          <cell r="J740" t="e">
            <v>#N/A</v>
          </cell>
          <cell r="K740" t="e">
            <v>#N/A</v>
          </cell>
          <cell r="L740" t="e">
            <v>#N/A</v>
          </cell>
          <cell r="M740" t="e">
            <v>#N/A</v>
          </cell>
          <cell r="N740" t="e">
            <v>#N/A</v>
          </cell>
          <cell r="O740" t="e">
            <v>#N/A</v>
          </cell>
          <cell r="P740">
            <v>63.51</v>
          </cell>
          <cell r="Q740" t="str">
            <v/>
          </cell>
          <cell r="R740" t="e">
            <v>#N/A</v>
          </cell>
        </row>
        <row r="741">
          <cell r="A741">
            <v>40541</v>
          </cell>
          <cell r="B741">
            <v>40541</v>
          </cell>
          <cell r="C741" t="str">
            <v>Future</v>
          </cell>
          <cell r="D741" t="e">
            <v>#N/A</v>
          </cell>
          <cell r="E741">
            <v>17.752795275590863</v>
          </cell>
          <cell r="F741">
            <v>82.595314960631057</v>
          </cell>
          <cell r="G741">
            <v>53.776417322834568</v>
          </cell>
          <cell r="H741">
            <v>53.776417322834568</v>
          </cell>
          <cell r="I741" t="e">
            <v>#N/A</v>
          </cell>
          <cell r="J741" t="e">
            <v>#N/A</v>
          </cell>
          <cell r="K741" t="e">
            <v>#N/A</v>
          </cell>
          <cell r="L741" t="e">
            <v>#N/A</v>
          </cell>
          <cell r="M741" t="e">
            <v>#N/A</v>
          </cell>
          <cell r="N741" t="e">
            <v>#N/A</v>
          </cell>
          <cell r="O741" t="e">
            <v>#N/A</v>
          </cell>
          <cell r="P741">
            <v>63.51</v>
          </cell>
          <cell r="Q741" t="str">
            <v/>
          </cell>
          <cell r="R741" t="e">
            <v>#N/A</v>
          </cell>
        </row>
        <row r="742">
          <cell r="A742">
            <v>40542</v>
          </cell>
          <cell r="B742">
            <v>40542</v>
          </cell>
          <cell r="C742" t="str">
            <v>Future</v>
          </cell>
          <cell r="D742" t="e">
            <v>#N/A</v>
          </cell>
          <cell r="E742">
            <v>17.502755905512124</v>
          </cell>
          <cell r="F742">
            <v>82.699606299213741</v>
          </cell>
          <cell r="G742">
            <v>53.723228346456615</v>
          </cell>
          <cell r="H742">
            <v>53.723228346456615</v>
          </cell>
          <cell r="I742" t="e">
            <v>#N/A</v>
          </cell>
          <cell r="J742" t="e">
            <v>#N/A</v>
          </cell>
          <cell r="K742" t="e">
            <v>#N/A</v>
          </cell>
          <cell r="L742" t="e">
            <v>#N/A</v>
          </cell>
          <cell r="M742" t="e">
            <v>#N/A</v>
          </cell>
          <cell r="N742" t="e">
            <v>#N/A</v>
          </cell>
          <cell r="O742" t="e">
            <v>#N/A</v>
          </cell>
          <cell r="P742">
            <v>63.51</v>
          </cell>
          <cell r="Q742" t="str">
            <v/>
          </cell>
          <cell r="R742" t="e">
            <v>#N/A</v>
          </cell>
        </row>
        <row r="743">
          <cell r="A743">
            <v>40543</v>
          </cell>
          <cell r="B743">
            <v>40543</v>
          </cell>
          <cell r="C743" t="str">
            <v>Future</v>
          </cell>
          <cell r="D743" t="e">
            <v>#N/A</v>
          </cell>
          <cell r="E743">
            <v>17.252716535433386</v>
          </cell>
          <cell r="F743">
            <v>82.803897637796425</v>
          </cell>
          <cell r="G743">
            <v>53.670039370078662</v>
          </cell>
          <cell r="H743">
            <v>53.670039370078662</v>
          </cell>
          <cell r="I743" t="e">
            <v>#N/A</v>
          </cell>
          <cell r="J743" t="e">
            <v>#N/A</v>
          </cell>
          <cell r="K743" t="e">
            <v>#N/A</v>
          </cell>
          <cell r="L743" t="e">
            <v>#N/A</v>
          </cell>
          <cell r="M743" t="e">
            <v>#N/A</v>
          </cell>
          <cell r="N743" t="e">
            <v>#N/A</v>
          </cell>
          <cell r="O743" t="e">
            <v>#N/A</v>
          </cell>
          <cell r="P743">
            <v>63.51</v>
          </cell>
          <cell r="Q743" t="str">
            <v/>
          </cell>
          <cell r="R743" t="e">
            <v>#N/A</v>
          </cell>
        </row>
        <row r="744">
          <cell r="A744">
            <v>40546</v>
          </cell>
          <cell r="B744">
            <v>40546</v>
          </cell>
          <cell r="C744" t="str">
            <v>Future</v>
          </cell>
          <cell r="D744" t="e">
            <v>#N/A</v>
          </cell>
          <cell r="E744">
            <v>17.002677165354648</v>
          </cell>
          <cell r="F744">
            <v>82.908188976379108</v>
          </cell>
          <cell r="G744">
            <v>53.616850393700709</v>
          </cell>
          <cell r="H744">
            <v>53.616850393700709</v>
          </cell>
          <cell r="I744" t="e">
            <v>#N/A</v>
          </cell>
          <cell r="J744" t="e">
            <v>#N/A</v>
          </cell>
          <cell r="K744" t="e">
            <v>#N/A</v>
          </cell>
          <cell r="L744" t="e">
            <v>#N/A</v>
          </cell>
          <cell r="M744" t="e">
            <v>#N/A</v>
          </cell>
          <cell r="N744" t="e">
            <v>#N/A</v>
          </cell>
          <cell r="O744" t="e">
            <v>#N/A</v>
          </cell>
          <cell r="P744">
            <v>63.51</v>
          </cell>
          <cell r="Q744" t="str">
            <v/>
          </cell>
          <cell r="R744" t="e">
            <v>#N/A</v>
          </cell>
        </row>
        <row r="745">
          <cell r="A745">
            <v>40547</v>
          </cell>
          <cell r="B745">
            <v>40547</v>
          </cell>
          <cell r="C745" t="str">
            <v>Future</v>
          </cell>
          <cell r="D745" t="e">
            <v>#N/A</v>
          </cell>
          <cell r="E745">
            <v>16.752637795275909</v>
          </cell>
          <cell r="F745">
            <v>83.012480314961792</v>
          </cell>
          <cell r="G745">
            <v>53.563661417322756</v>
          </cell>
          <cell r="H745">
            <v>53.563661417322756</v>
          </cell>
          <cell r="I745" t="e">
            <v>#N/A</v>
          </cell>
          <cell r="J745" t="e">
            <v>#N/A</v>
          </cell>
          <cell r="K745" t="e">
            <v>#N/A</v>
          </cell>
          <cell r="L745" t="e">
            <v>#N/A</v>
          </cell>
          <cell r="M745" t="e">
            <v>#N/A</v>
          </cell>
          <cell r="N745" t="e">
            <v>#N/A</v>
          </cell>
          <cell r="O745" t="e">
            <v>#N/A</v>
          </cell>
          <cell r="P745">
            <v>63.51</v>
          </cell>
          <cell r="Q745" t="str">
            <v/>
          </cell>
          <cell r="R745" t="e">
            <v>#N/A</v>
          </cell>
        </row>
        <row r="746">
          <cell r="A746">
            <v>40548</v>
          </cell>
          <cell r="B746">
            <v>40548</v>
          </cell>
          <cell r="C746" t="str">
            <v>Future</v>
          </cell>
          <cell r="D746" t="e">
            <v>#N/A</v>
          </cell>
          <cell r="E746">
            <v>16.502598425197171</v>
          </cell>
          <cell r="F746">
            <v>83.116771653544475</v>
          </cell>
          <cell r="G746">
            <v>53.510472440944802</v>
          </cell>
          <cell r="H746">
            <v>53.510472440944802</v>
          </cell>
          <cell r="I746" t="e">
            <v>#N/A</v>
          </cell>
          <cell r="J746" t="e">
            <v>#N/A</v>
          </cell>
          <cell r="K746" t="e">
            <v>#N/A</v>
          </cell>
          <cell r="L746" t="e">
            <v>#N/A</v>
          </cell>
          <cell r="M746" t="e">
            <v>#N/A</v>
          </cell>
          <cell r="N746" t="e">
            <v>#N/A</v>
          </cell>
          <cell r="O746" t="e">
            <v>#N/A</v>
          </cell>
          <cell r="P746">
            <v>63.51</v>
          </cell>
          <cell r="Q746" t="str">
            <v/>
          </cell>
          <cell r="R746" t="e">
            <v>#N/A</v>
          </cell>
        </row>
        <row r="747">
          <cell r="A747">
            <v>40549</v>
          </cell>
          <cell r="B747">
            <v>40549</v>
          </cell>
          <cell r="C747" t="str">
            <v>Future</v>
          </cell>
          <cell r="D747" t="e">
            <v>#N/A</v>
          </cell>
          <cell r="E747">
            <v>16.252559055118432</v>
          </cell>
          <cell r="F747">
            <v>83.221062992127159</v>
          </cell>
          <cell r="G747">
            <v>53.457283464566849</v>
          </cell>
          <cell r="H747">
            <v>53.457283464566849</v>
          </cell>
          <cell r="I747" t="e">
            <v>#N/A</v>
          </cell>
          <cell r="J747" t="e">
            <v>#N/A</v>
          </cell>
          <cell r="K747" t="e">
            <v>#N/A</v>
          </cell>
          <cell r="L747" t="e">
            <v>#N/A</v>
          </cell>
          <cell r="M747" t="e">
            <v>#N/A</v>
          </cell>
          <cell r="N747" t="e">
            <v>#N/A</v>
          </cell>
          <cell r="O747" t="e">
            <v>#N/A</v>
          </cell>
          <cell r="P747">
            <v>63.51</v>
          </cell>
          <cell r="Q747" t="str">
            <v/>
          </cell>
          <cell r="R747" t="e">
            <v>#N/A</v>
          </cell>
        </row>
        <row r="748">
          <cell r="A748">
            <v>40550</v>
          </cell>
          <cell r="B748">
            <v>40550</v>
          </cell>
          <cell r="C748" t="str">
            <v>Future</v>
          </cell>
          <cell r="D748" t="e">
            <v>#N/A</v>
          </cell>
          <cell r="E748">
            <v>16.002519685039694</v>
          </cell>
          <cell r="F748">
            <v>83.325354330709843</v>
          </cell>
          <cell r="G748">
            <v>53.404094488188896</v>
          </cell>
          <cell r="H748">
            <v>53.404094488188896</v>
          </cell>
          <cell r="I748" t="e">
            <v>#N/A</v>
          </cell>
          <cell r="J748" t="e">
            <v>#N/A</v>
          </cell>
          <cell r="K748" t="e">
            <v>#N/A</v>
          </cell>
          <cell r="L748" t="e">
            <v>#N/A</v>
          </cell>
          <cell r="M748" t="e">
            <v>#N/A</v>
          </cell>
          <cell r="N748" t="e">
            <v>#N/A</v>
          </cell>
          <cell r="O748" t="e">
            <v>#N/A</v>
          </cell>
          <cell r="P748">
            <v>63.51</v>
          </cell>
          <cell r="Q748" t="str">
            <v/>
          </cell>
          <cell r="R748" t="e">
            <v>#N/A</v>
          </cell>
        </row>
        <row r="749">
          <cell r="A749">
            <v>40553</v>
          </cell>
          <cell r="B749">
            <v>40553</v>
          </cell>
          <cell r="C749" t="str">
            <v>Future</v>
          </cell>
          <cell r="D749" t="e">
            <v>#N/A</v>
          </cell>
          <cell r="E749">
            <v>15.752480314960954</v>
          </cell>
          <cell r="F749">
            <v>83.429645669292526</v>
          </cell>
          <cell r="G749">
            <v>53.350905511810943</v>
          </cell>
          <cell r="H749">
            <v>53.350905511810943</v>
          </cell>
          <cell r="I749" t="e">
            <v>#N/A</v>
          </cell>
          <cell r="J749" t="e">
            <v>#N/A</v>
          </cell>
          <cell r="K749" t="e">
            <v>#N/A</v>
          </cell>
          <cell r="L749" t="e">
            <v>#N/A</v>
          </cell>
          <cell r="M749" t="e">
            <v>#N/A</v>
          </cell>
          <cell r="N749" t="e">
            <v>#N/A</v>
          </cell>
          <cell r="O749" t="e">
            <v>#N/A</v>
          </cell>
          <cell r="P749">
            <v>63.51</v>
          </cell>
          <cell r="Q749" t="str">
            <v/>
          </cell>
          <cell r="R749" t="e">
            <v>#N/A</v>
          </cell>
        </row>
        <row r="750">
          <cell r="A750">
            <v>40554</v>
          </cell>
          <cell r="B750">
            <v>40554</v>
          </cell>
          <cell r="C750" t="str">
            <v>Future</v>
          </cell>
          <cell r="D750" t="e">
            <v>#N/A</v>
          </cell>
          <cell r="E750">
            <v>15.502440944882213</v>
          </cell>
          <cell r="F750">
            <v>83.53393700787521</v>
          </cell>
          <cell r="G750">
            <v>53.29771653543299</v>
          </cell>
          <cell r="H750">
            <v>53.29771653543299</v>
          </cell>
          <cell r="I750" t="e">
            <v>#N/A</v>
          </cell>
          <cell r="J750" t="e">
            <v>#N/A</v>
          </cell>
          <cell r="K750" t="e">
            <v>#N/A</v>
          </cell>
          <cell r="L750" t="e">
            <v>#N/A</v>
          </cell>
          <cell r="M750" t="e">
            <v>#N/A</v>
          </cell>
          <cell r="N750" t="e">
            <v>#N/A</v>
          </cell>
          <cell r="O750" t="e">
            <v>#N/A</v>
          </cell>
          <cell r="P750">
            <v>63.51</v>
          </cell>
          <cell r="Q750" t="str">
            <v/>
          </cell>
          <cell r="R750" t="e">
            <v>#N/A</v>
          </cell>
        </row>
        <row r="751">
          <cell r="A751">
            <v>40555</v>
          </cell>
          <cell r="B751">
            <v>40555</v>
          </cell>
          <cell r="C751" t="str">
            <v>Future</v>
          </cell>
          <cell r="D751" t="e">
            <v>#N/A</v>
          </cell>
          <cell r="E751">
            <v>15.252401574803473</v>
          </cell>
          <cell r="F751">
            <v>83.638228346457893</v>
          </cell>
          <cell r="G751">
            <v>53.244527559055037</v>
          </cell>
          <cell r="H751">
            <v>53.244527559055037</v>
          </cell>
          <cell r="I751" t="e">
            <v>#N/A</v>
          </cell>
          <cell r="J751" t="e">
            <v>#N/A</v>
          </cell>
          <cell r="K751" t="e">
            <v>#N/A</v>
          </cell>
          <cell r="L751" t="e">
            <v>#N/A</v>
          </cell>
          <cell r="M751" t="e">
            <v>#N/A</v>
          </cell>
          <cell r="N751" t="e">
            <v>#N/A</v>
          </cell>
          <cell r="O751" t="e">
            <v>#N/A</v>
          </cell>
          <cell r="P751">
            <v>63.51</v>
          </cell>
          <cell r="Q751" t="str">
            <v/>
          </cell>
          <cell r="R751" t="e">
            <v>#N/A</v>
          </cell>
        </row>
        <row r="752">
          <cell r="A752">
            <v>40556</v>
          </cell>
          <cell r="B752">
            <v>40556</v>
          </cell>
          <cell r="C752" t="str">
            <v>Future</v>
          </cell>
          <cell r="D752" t="e">
            <v>#N/A</v>
          </cell>
          <cell r="E752">
            <v>15.002362204724733</v>
          </cell>
          <cell r="F752">
            <v>83.742519685040577</v>
          </cell>
          <cell r="G752">
            <v>53.191338582677083</v>
          </cell>
          <cell r="H752">
            <v>53.191338582677083</v>
          </cell>
          <cell r="I752" t="e">
            <v>#N/A</v>
          </cell>
          <cell r="J752" t="e">
            <v>#N/A</v>
          </cell>
          <cell r="K752" t="e">
            <v>#N/A</v>
          </cell>
          <cell r="L752" t="e">
            <v>#N/A</v>
          </cell>
          <cell r="M752" t="e">
            <v>#N/A</v>
          </cell>
          <cell r="N752" t="e">
            <v>#N/A</v>
          </cell>
          <cell r="O752" t="e">
            <v>#N/A</v>
          </cell>
          <cell r="P752">
            <v>63.51</v>
          </cell>
          <cell r="Q752" t="str">
            <v/>
          </cell>
          <cell r="R752" t="e">
            <v>#N/A</v>
          </cell>
        </row>
        <row r="753">
          <cell r="A753">
            <v>40557</v>
          </cell>
          <cell r="B753">
            <v>40557</v>
          </cell>
          <cell r="C753" t="str">
            <v>Future</v>
          </cell>
          <cell r="D753" t="e">
            <v>#N/A</v>
          </cell>
          <cell r="E753">
            <v>14.752322834645993</v>
          </cell>
          <cell r="F753">
            <v>83.84681102362326</v>
          </cell>
          <cell r="G753">
            <v>53.13814960629913</v>
          </cell>
          <cell r="H753">
            <v>53.13814960629913</v>
          </cell>
          <cell r="I753" t="e">
            <v>#N/A</v>
          </cell>
          <cell r="J753" t="e">
            <v>#N/A</v>
          </cell>
          <cell r="K753" t="e">
            <v>#N/A</v>
          </cell>
          <cell r="L753" t="e">
            <v>#N/A</v>
          </cell>
          <cell r="M753" t="e">
            <v>#N/A</v>
          </cell>
          <cell r="N753" t="e">
            <v>#N/A</v>
          </cell>
          <cell r="O753" t="e">
            <v>#N/A</v>
          </cell>
          <cell r="P753">
            <v>63.51</v>
          </cell>
          <cell r="Q753" t="str">
            <v/>
          </cell>
          <cell r="R753" t="e">
            <v>#N/A</v>
          </cell>
        </row>
        <row r="754">
          <cell r="A754">
            <v>40561</v>
          </cell>
          <cell r="B754">
            <v>40561</v>
          </cell>
          <cell r="C754" t="str">
            <v>Future</v>
          </cell>
          <cell r="D754" t="e">
            <v>#N/A</v>
          </cell>
          <cell r="E754">
            <v>14.502283464567252</v>
          </cell>
          <cell r="F754">
            <v>83.951102362205944</v>
          </cell>
          <cell r="G754">
            <v>53.084960629921177</v>
          </cell>
          <cell r="H754">
            <v>53.084960629921177</v>
          </cell>
          <cell r="I754" t="e">
            <v>#N/A</v>
          </cell>
          <cell r="J754" t="e">
            <v>#N/A</v>
          </cell>
          <cell r="K754" t="e">
            <v>#N/A</v>
          </cell>
          <cell r="L754" t="e">
            <v>#N/A</v>
          </cell>
          <cell r="M754" t="e">
            <v>#N/A</v>
          </cell>
          <cell r="N754" t="e">
            <v>#N/A</v>
          </cell>
          <cell r="O754" t="e">
            <v>#N/A</v>
          </cell>
          <cell r="P754">
            <v>63.51</v>
          </cell>
          <cell r="Q754" t="str">
            <v/>
          </cell>
          <cell r="R754" t="e">
            <v>#N/A</v>
          </cell>
        </row>
        <row r="755">
          <cell r="A755">
            <v>40562</v>
          </cell>
          <cell r="B755">
            <v>40562</v>
          </cell>
          <cell r="C755" t="str">
            <v>Future</v>
          </cell>
          <cell r="D755" t="e">
            <v>#N/A</v>
          </cell>
          <cell r="E755">
            <v>14.252244094488512</v>
          </cell>
          <cell r="F755">
            <v>84.055393700788628</v>
          </cell>
          <cell r="G755">
            <v>53.031771653543224</v>
          </cell>
          <cell r="H755">
            <v>53.031771653543224</v>
          </cell>
          <cell r="I755" t="e">
            <v>#N/A</v>
          </cell>
          <cell r="J755" t="e">
            <v>#N/A</v>
          </cell>
          <cell r="K755" t="e">
            <v>#N/A</v>
          </cell>
          <cell r="L755" t="e">
            <v>#N/A</v>
          </cell>
          <cell r="M755" t="e">
            <v>#N/A</v>
          </cell>
          <cell r="N755" t="e">
            <v>#N/A</v>
          </cell>
          <cell r="O755" t="e">
            <v>#N/A</v>
          </cell>
          <cell r="P755">
            <v>63.51</v>
          </cell>
          <cell r="Q755" t="str">
            <v/>
          </cell>
          <cell r="R755" t="e">
            <v>#N/A</v>
          </cell>
        </row>
        <row r="756">
          <cell r="A756">
            <v>40563</v>
          </cell>
          <cell r="B756">
            <v>40563</v>
          </cell>
          <cell r="C756" t="str">
            <v>Future</v>
          </cell>
          <cell r="D756" t="e">
            <v>#N/A</v>
          </cell>
          <cell r="E756">
            <v>14.002204724409772</v>
          </cell>
          <cell r="F756">
            <v>84.159685039371311</v>
          </cell>
          <cell r="G756">
            <v>52.978582677165271</v>
          </cell>
          <cell r="H756">
            <v>52.978582677165271</v>
          </cell>
          <cell r="I756" t="e">
            <v>#N/A</v>
          </cell>
          <cell r="J756" t="e">
            <v>#N/A</v>
          </cell>
          <cell r="K756" t="e">
            <v>#N/A</v>
          </cell>
          <cell r="L756" t="e">
            <v>#N/A</v>
          </cell>
          <cell r="M756" t="e">
            <v>#N/A</v>
          </cell>
          <cell r="N756" t="e">
            <v>#N/A</v>
          </cell>
          <cell r="O756" t="e">
            <v>#N/A</v>
          </cell>
          <cell r="P756">
            <v>63.51</v>
          </cell>
          <cell r="Q756" t="str">
            <v/>
          </cell>
          <cell r="R756" t="e">
            <v>#N/A</v>
          </cell>
        </row>
        <row r="757">
          <cell r="A757">
            <v>40564</v>
          </cell>
          <cell r="B757">
            <v>40564</v>
          </cell>
          <cell r="C757" t="str">
            <v>Future</v>
          </cell>
          <cell r="D757" t="e">
            <v>#N/A</v>
          </cell>
          <cell r="E757">
            <v>13.752165354331032</v>
          </cell>
          <cell r="F757">
            <v>84.263976377953995</v>
          </cell>
          <cell r="G757">
            <v>52.925393700787318</v>
          </cell>
          <cell r="H757">
            <v>52.925393700787318</v>
          </cell>
          <cell r="I757" t="e">
            <v>#N/A</v>
          </cell>
          <cell r="J757" t="e">
            <v>#N/A</v>
          </cell>
          <cell r="K757" t="e">
            <v>#N/A</v>
          </cell>
          <cell r="L757" t="e">
            <v>#N/A</v>
          </cell>
          <cell r="M757" t="e">
            <v>#N/A</v>
          </cell>
          <cell r="N757" t="e">
            <v>#N/A</v>
          </cell>
          <cell r="O757" t="e">
            <v>#N/A</v>
          </cell>
          <cell r="P757">
            <v>63.51</v>
          </cell>
          <cell r="Q757" t="str">
            <v/>
          </cell>
          <cell r="R757" t="e">
            <v>#N/A</v>
          </cell>
        </row>
        <row r="758">
          <cell r="A758">
            <v>40567</v>
          </cell>
          <cell r="B758">
            <v>40567</v>
          </cell>
          <cell r="C758" t="str">
            <v>Future</v>
          </cell>
          <cell r="D758" t="e">
            <v>#N/A</v>
          </cell>
          <cell r="E758">
            <v>13.502125984252292</v>
          </cell>
          <cell r="F758">
            <v>84.368267716536678</v>
          </cell>
          <cell r="G758">
            <v>52.872204724409364</v>
          </cell>
          <cell r="H758">
            <v>52.872204724409364</v>
          </cell>
          <cell r="I758" t="e">
            <v>#N/A</v>
          </cell>
          <cell r="J758" t="e">
            <v>#N/A</v>
          </cell>
          <cell r="K758" t="e">
            <v>#N/A</v>
          </cell>
          <cell r="L758" t="e">
            <v>#N/A</v>
          </cell>
          <cell r="M758" t="e">
            <v>#N/A</v>
          </cell>
          <cell r="N758" t="e">
            <v>#N/A</v>
          </cell>
          <cell r="O758" t="e">
            <v>#N/A</v>
          </cell>
          <cell r="P758">
            <v>63.51</v>
          </cell>
          <cell r="Q758" t="str">
            <v/>
          </cell>
          <cell r="R758" t="e">
            <v>#N/A</v>
          </cell>
        </row>
        <row r="759">
          <cell r="A759">
            <v>40568</v>
          </cell>
          <cell r="B759">
            <v>40568</v>
          </cell>
          <cell r="C759" t="str">
            <v>Future</v>
          </cell>
          <cell r="D759" t="e">
            <v>#N/A</v>
          </cell>
          <cell r="E759">
            <v>13.252086614173551</v>
          </cell>
          <cell r="F759">
            <v>84.472559055119362</v>
          </cell>
          <cell r="G759">
            <v>52.819015748031411</v>
          </cell>
          <cell r="H759">
            <v>52.819015748031411</v>
          </cell>
          <cell r="I759" t="e">
            <v>#N/A</v>
          </cell>
          <cell r="J759" t="e">
            <v>#N/A</v>
          </cell>
          <cell r="K759" t="e">
            <v>#N/A</v>
          </cell>
          <cell r="L759" t="e">
            <v>#N/A</v>
          </cell>
          <cell r="M759" t="e">
            <v>#N/A</v>
          </cell>
          <cell r="N759" t="e">
            <v>#N/A</v>
          </cell>
          <cell r="O759" t="e">
            <v>#N/A</v>
          </cell>
          <cell r="P759">
            <v>63.51</v>
          </cell>
          <cell r="Q759" t="str">
            <v/>
          </cell>
          <cell r="R759" t="e">
            <v>#N/A</v>
          </cell>
        </row>
        <row r="760">
          <cell r="A760">
            <v>40569</v>
          </cell>
          <cell r="B760">
            <v>40569</v>
          </cell>
          <cell r="C760" t="str">
            <v>Future</v>
          </cell>
          <cell r="D760" t="e">
            <v>#N/A</v>
          </cell>
          <cell r="E760">
            <v>13.002047244094811</v>
          </cell>
          <cell r="F760">
            <v>84.576850393702045</v>
          </cell>
          <cell r="G760">
            <v>52.765826771653458</v>
          </cell>
          <cell r="H760">
            <v>52.765826771653458</v>
          </cell>
          <cell r="I760" t="e">
            <v>#N/A</v>
          </cell>
          <cell r="J760" t="e">
            <v>#N/A</v>
          </cell>
          <cell r="K760" t="e">
            <v>#N/A</v>
          </cell>
          <cell r="L760" t="e">
            <v>#N/A</v>
          </cell>
          <cell r="M760" t="e">
            <v>#N/A</v>
          </cell>
          <cell r="N760" t="e">
            <v>#N/A</v>
          </cell>
          <cell r="O760" t="e">
            <v>#N/A</v>
          </cell>
          <cell r="P760">
            <v>63.51</v>
          </cell>
          <cell r="Q760" t="str">
            <v/>
          </cell>
          <cell r="R760" t="e">
            <v>#N/A</v>
          </cell>
        </row>
        <row r="761">
          <cell r="A761">
            <v>40570</v>
          </cell>
          <cell r="B761">
            <v>40570</v>
          </cell>
          <cell r="C761" t="str">
            <v>Future</v>
          </cell>
          <cell r="D761" t="e">
            <v>#N/A</v>
          </cell>
          <cell r="E761">
            <v>12.752007874016071</v>
          </cell>
          <cell r="F761">
            <v>84.681141732284729</v>
          </cell>
          <cell r="G761">
            <v>52.712637795275505</v>
          </cell>
          <cell r="H761">
            <v>52.712637795275505</v>
          </cell>
          <cell r="I761" t="e">
            <v>#N/A</v>
          </cell>
          <cell r="J761" t="e">
            <v>#N/A</v>
          </cell>
          <cell r="K761" t="e">
            <v>#N/A</v>
          </cell>
          <cell r="L761" t="e">
            <v>#N/A</v>
          </cell>
          <cell r="M761" t="e">
            <v>#N/A</v>
          </cell>
          <cell r="N761" t="e">
            <v>#N/A</v>
          </cell>
          <cell r="O761" t="e">
            <v>#N/A</v>
          </cell>
          <cell r="P761">
            <v>63.51</v>
          </cell>
          <cell r="Q761" t="str">
            <v/>
          </cell>
          <cell r="R761" t="e">
            <v>#N/A</v>
          </cell>
        </row>
        <row r="762">
          <cell r="A762">
            <v>40571</v>
          </cell>
          <cell r="B762">
            <v>40571</v>
          </cell>
          <cell r="C762" t="str">
            <v>Future</v>
          </cell>
          <cell r="D762" t="e">
            <v>#N/A</v>
          </cell>
          <cell r="E762">
            <v>12.501968503937331</v>
          </cell>
          <cell r="F762">
            <v>84.785433070867413</v>
          </cell>
          <cell r="G762">
            <v>52.659448818897552</v>
          </cell>
          <cell r="H762">
            <v>52.659448818897552</v>
          </cell>
          <cell r="I762" t="e">
            <v>#N/A</v>
          </cell>
          <cell r="J762" t="e">
            <v>#N/A</v>
          </cell>
          <cell r="K762" t="e">
            <v>#N/A</v>
          </cell>
          <cell r="L762" t="e">
            <v>#N/A</v>
          </cell>
          <cell r="M762" t="e">
            <v>#N/A</v>
          </cell>
          <cell r="N762" t="e">
            <v>#N/A</v>
          </cell>
          <cell r="O762" t="e">
            <v>#N/A</v>
          </cell>
          <cell r="P762">
            <v>63.51</v>
          </cell>
          <cell r="Q762" t="str">
            <v/>
          </cell>
          <cell r="R762" t="e">
            <v>#N/A</v>
          </cell>
        </row>
        <row r="763">
          <cell r="A763">
            <v>40574</v>
          </cell>
          <cell r="B763">
            <v>40574</v>
          </cell>
          <cell r="C763" t="str">
            <v>Future</v>
          </cell>
          <cell r="D763" t="e">
            <v>#N/A</v>
          </cell>
          <cell r="E763">
            <v>12.251929133858591</v>
          </cell>
          <cell r="F763">
            <v>84.889724409450096</v>
          </cell>
          <cell r="G763">
            <v>52.606259842519599</v>
          </cell>
          <cell r="H763">
            <v>52.606259842519599</v>
          </cell>
          <cell r="I763" t="e">
            <v>#N/A</v>
          </cell>
          <cell r="J763" t="e">
            <v>#N/A</v>
          </cell>
          <cell r="K763" t="e">
            <v>#N/A</v>
          </cell>
          <cell r="L763" t="e">
            <v>#N/A</v>
          </cell>
          <cell r="M763" t="e">
            <v>#N/A</v>
          </cell>
          <cell r="N763" t="e">
            <v>#N/A</v>
          </cell>
          <cell r="O763" t="e">
            <v>#N/A</v>
          </cell>
          <cell r="P763">
            <v>63.51</v>
          </cell>
          <cell r="Q763" t="str">
            <v/>
          </cell>
          <cell r="R763" t="e">
            <v>#N/A</v>
          </cell>
        </row>
        <row r="764">
          <cell r="A764">
            <v>40575</v>
          </cell>
          <cell r="B764">
            <v>40575</v>
          </cell>
          <cell r="C764" t="str">
            <v>Future</v>
          </cell>
          <cell r="D764" t="e">
            <v>#N/A</v>
          </cell>
          <cell r="E764">
            <v>12.00188976377985</v>
          </cell>
          <cell r="F764">
            <v>84.99401574803278</v>
          </cell>
          <cell r="G764">
            <v>52.553070866141645</v>
          </cell>
          <cell r="H764">
            <v>52.553070866141645</v>
          </cell>
          <cell r="I764" t="e">
            <v>#N/A</v>
          </cell>
          <cell r="J764" t="e">
            <v>#N/A</v>
          </cell>
          <cell r="K764" t="e">
            <v>#N/A</v>
          </cell>
          <cell r="L764" t="e">
            <v>#N/A</v>
          </cell>
          <cell r="M764" t="e">
            <v>#N/A</v>
          </cell>
          <cell r="N764" t="e">
            <v>#N/A</v>
          </cell>
          <cell r="O764" t="e">
            <v>#N/A</v>
          </cell>
          <cell r="P764">
            <v>63.51</v>
          </cell>
          <cell r="Q764" t="str">
            <v/>
          </cell>
          <cell r="R764" t="e">
            <v>#N/A</v>
          </cell>
        </row>
        <row r="765">
          <cell r="A765">
            <v>40576</v>
          </cell>
          <cell r="B765">
            <v>40576</v>
          </cell>
          <cell r="C765" t="str">
            <v>Future</v>
          </cell>
          <cell r="D765" t="e">
            <v>#N/A</v>
          </cell>
          <cell r="E765">
            <v>11.75185039370111</v>
          </cell>
          <cell r="F765">
            <v>85.098307086615463</v>
          </cell>
          <cell r="G765">
            <v>52.499881889763692</v>
          </cell>
          <cell r="H765">
            <v>52.499881889763692</v>
          </cell>
          <cell r="I765" t="e">
            <v>#N/A</v>
          </cell>
          <cell r="J765" t="e">
            <v>#N/A</v>
          </cell>
          <cell r="K765" t="e">
            <v>#N/A</v>
          </cell>
          <cell r="L765" t="e">
            <v>#N/A</v>
          </cell>
          <cell r="M765" t="e">
            <v>#N/A</v>
          </cell>
          <cell r="N765" t="e">
            <v>#N/A</v>
          </cell>
          <cell r="O765" t="e">
            <v>#N/A</v>
          </cell>
          <cell r="P765">
            <v>63.51</v>
          </cell>
          <cell r="Q765" t="str">
            <v/>
          </cell>
          <cell r="R765" t="e">
            <v>#N/A</v>
          </cell>
        </row>
        <row r="766">
          <cell r="A766">
            <v>40577</v>
          </cell>
          <cell r="B766">
            <v>40577</v>
          </cell>
          <cell r="C766" t="str">
            <v>Future</v>
          </cell>
          <cell r="D766" t="e">
            <v>#N/A</v>
          </cell>
          <cell r="E766">
            <v>11.50181102362237</v>
          </cell>
          <cell r="F766">
            <v>85.202598425198147</v>
          </cell>
          <cell r="G766">
            <v>52.446692913385739</v>
          </cell>
          <cell r="H766">
            <v>52.446692913385739</v>
          </cell>
          <cell r="I766" t="e">
            <v>#N/A</v>
          </cell>
          <cell r="J766" t="e">
            <v>#N/A</v>
          </cell>
          <cell r="K766" t="e">
            <v>#N/A</v>
          </cell>
          <cell r="L766" t="e">
            <v>#N/A</v>
          </cell>
          <cell r="M766" t="e">
            <v>#N/A</v>
          </cell>
          <cell r="N766" t="e">
            <v>#N/A</v>
          </cell>
          <cell r="O766" t="e">
            <v>#N/A</v>
          </cell>
          <cell r="P766">
            <v>63.51</v>
          </cell>
          <cell r="Q766" t="str">
            <v/>
          </cell>
          <cell r="R766" t="e">
            <v>#N/A</v>
          </cell>
        </row>
        <row r="767">
          <cell r="A767">
            <v>40578</v>
          </cell>
          <cell r="B767">
            <v>40578</v>
          </cell>
          <cell r="C767" t="str">
            <v>Future</v>
          </cell>
          <cell r="D767" t="e">
            <v>#N/A</v>
          </cell>
          <cell r="E767">
            <v>11.25177165354363</v>
          </cell>
          <cell r="F767">
            <v>85.306889763780831</v>
          </cell>
          <cell r="G767">
            <v>52.393503937007786</v>
          </cell>
          <cell r="H767">
            <v>52.393503937007786</v>
          </cell>
          <cell r="I767" t="e">
            <v>#N/A</v>
          </cell>
          <cell r="J767" t="e">
            <v>#N/A</v>
          </cell>
          <cell r="K767" t="e">
            <v>#N/A</v>
          </cell>
          <cell r="L767" t="e">
            <v>#N/A</v>
          </cell>
          <cell r="M767" t="e">
            <v>#N/A</v>
          </cell>
          <cell r="N767" t="e">
            <v>#N/A</v>
          </cell>
          <cell r="O767" t="e">
            <v>#N/A</v>
          </cell>
          <cell r="P767">
            <v>63.51</v>
          </cell>
          <cell r="Q767" t="str">
            <v/>
          </cell>
          <cell r="R767" t="e">
            <v>#N/A</v>
          </cell>
        </row>
        <row r="768">
          <cell r="A768">
            <v>40581</v>
          </cell>
          <cell r="B768">
            <v>40581</v>
          </cell>
          <cell r="C768" t="str">
            <v>Future</v>
          </cell>
          <cell r="D768" t="e">
            <v>#N/A</v>
          </cell>
          <cell r="E768">
            <v>11.001732283464889</v>
          </cell>
          <cell r="F768">
            <v>85.411181102363514</v>
          </cell>
          <cell r="G768">
            <v>52.340314960629833</v>
          </cell>
          <cell r="H768">
            <v>52.340314960629833</v>
          </cell>
          <cell r="I768" t="e">
            <v>#N/A</v>
          </cell>
          <cell r="J768" t="e">
            <v>#N/A</v>
          </cell>
          <cell r="K768" t="e">
            <v>#N/A</v>
          </cell>
          <cell r="L768" t="e">
            <v>#N/A</v>
          </cell>
          <cell r="M768" t="e">
            <v>#N/A</v>
          </cell>
          <cell r="N768" t="e">
            <v>#N/A</v>
          </cell>
          <cell r="O768" t="e">
            <v>#N/A</v>
          </cell>
          <cell r="P768">
            <v>63.51</v>
          </cell>
          <cell r="Q768" t="str">
            <v/>
          </cell>
          <cell r="R768" t="e">
            <v>#N/A</v>
          </cell>
        </row>
        <row r="769">
          <cell r="A769">
            <v>40582</v>
          </cell>
          <cell r="B769">
            <v>40582</v>
          </cell>
          <cell r="C769" t="str">
            <v>Future</v>
          </cell>
          <cell r="D769" t="e">
            <v>#N/A</v>
          </cell>
          <cell r="E769">
            <v>10.751692913386149</v>
          </cell>
          <cell r="F769">
            <v>85.515472440946198</v>
          </cell>
          <cell r="G769">
            <v>52.28712598425188</v>
          </cell>
          <cell r="H769">
            <v>52.28712598425188</v>
          </cell>
          <cell r="I769" t="e">
            <v>#N/A</v>
          </cell>
          <cell r="J769" t="e">
            <v>#N/A</v>
          </cell>
          <cell r="K769" t="e">
            <v>#N/A</v>
          </cell>
          <cell r="L769" t="e">
            <v>#N/A</v>
          </cell>
          <cell r="M769" t="e">
            <v>#N/A</v>
          </cell>
          <cell r="N769" t="e">
            <v>#N/A</v>
          </cell>
          <cell r="O769" t="e">
            <v>#N/A</v>
          </cell>
          <cell r="P769">
            <v>63.51</v>
          </cell>
          <cell r="Q769" t="str">
            <v/>
          </cell>
          <cell r="R769" t="e">
            <v>#N/A</v>
          </cell>
        </row>
        <row r="770">
          <cell r="A770">
            <v>40583</v>
          </cell>
          <cell r="B770">
            <v>40583</v>
          </cell>
          <cell r="C770" t="str">
            <v>Future</v>
          </cell>
          <cell r="D770" t="e">
            <v>#N/A</v>
          </cell>
          <cell r="E770">
            <v>10.501653543307409</v>
          </cell>
          <cell r="F770">
            <v>85.619763779528881</v>
          </cell>
          <cell r="G770">
            <v>52.233937007873926</v>
          </cell>
          <cell r="H770">
            <v>52.233937007873926</v>
          </cell>
          <cell r="I770" t="e">
            <v>#N/A</v>
          </cell>
          <cell r="J770" t="e">
            <v>#N/A</v>
          </cell>
          <cell r="K770" t="e">
            <v>#N/A</v>
          </cell>
          <cell r="L770" t="e">
            <v>#N/A</v>
          </cell>
          <cell r="M770" t="e">
            <v>#N/A</v>
          </cell>
          <cell r="N770" t="e">
            <v>#N/A</v>
          </cell>
          <cell r="O770" t="e">
            <v>#N/A</v>
          </cell>
          <cell r="P770">
            <v>63.51</v>
          </cell>
          <cell r="Q770" t="str">
            <v/>
          </cell>
          <cell r="R770" t="e">
            <v>#N/A</v>
          </cell>
        </row>
        <row r="771">
          <cell r="A771">
            <v>40584</v>
          </cell>
          <cell r="B771">
            <v>40584</v>
          </cell>
          <cell r="C771" t="str">
            <v>Future</v>
          </cell>
          <cell r="D771" t="e">
            <v>#N/A</v>
          </cell>
          <cell r="E771">
            <v>10.251614173228669</v>
          </cell>
          <cell r="F771">
            <v>85.724055118111565</v>
          </cell>
          <cell r="G771">
            <v>52.180748031495973</v>
          </cell>
          <cell r="H771">
            <v>52.180748031495973</v>
          </cell>
          <cell r="I771" t="e">
            <v>#N/A</v>
          </cell>
          <cell r="J771" t="e">
            <v>#N/A</v>
          </cell>
          <cell r="K771" t="e">
            <v>#N/A</v>
          </cell>
          <cell r="L771" t="e">
            <v>#N/A</v>
          </cell>
          <cell r="M771" t="e">
            <v>#N/A</v>
          </cell>
          <cell r="N771" t="e">
            <v>#N/A</v>
          </cell>
          <cell r="O771" t="e">
            <v>#N/A</v>
          </cell>
          <cell r="P771">
            <v>63.51</v>
          </cell>
          <cell r="Q771" t="str">
            <v/>
          </cell>
          <cell r="R771" t="e">
            <v>#N/A</v>
          </cell>
        </row>
        <row r="772">
          <cell r="A772">
            <v>40585</v>
          </cell>
          <cell r="B772">
            <v>40585</v>
          </cell>
          <cell r="C772" t="str">
            <v>Future</v>
          </cell>
          <cell r="D772" t="e">
            <v>#N/A</v>
          </cell>
          <cell r="E772">
            <v>10.001574803149929</v>
          </cell>
          <cell r="F772">
            <v>85.828346456694248</v>
          </cell>
          <cell r="G772">
            <v>52.12755905511802</v>
          </cell>
          <cell r="H772">
            <v>52.12755905511802</v>
          </cell>
          <cell r="I772" t="e">
            <v>#N/A</v>
          </cell>
          <cell r="J772" t="e">
            <v>#N/A</v>
          </cell>
          <cell r="K772" t="e">
            <v>#N/A</v>
          </cell>
          <cell r="L772" t="e">
            <v>#N/A</v>
          </cell>
          <cell r="M772" t="e">
            <v>#N/A</v>
          </cell>
          <cell r="N772" t="e">
            <v>#N/A</v>
          </cell>
          <cell r="O772" t="e">
            <v>#N/A</v>
          </cell>
          <cell r="P772">
            <v>63.51</v>
          </cell>
          <cell r="Q772" t="str">
            <v/>
          </cell>
          <cell r="R772" t="e">
            <v>#N/A</v>
          </cell>
        </row>
        <row r="773">
          <cell r="A773">
            <v>40588</v>
          </cell>
          <cell r="B773">
            <v>40588</v>
          </cell>
          <cell r="C773" t="str">
            <v>Future</v>
          </cell>
          <cell r="D773" t="e">
            <v>#N/A</v>
          </cell>
          <cell r="E773">
            <v>9.7515354330711883</v>
          </cell>
          <cell r="F773">
            <v>85.932637795276932</v>
          </cell>
          <cell r="G773">
            <v>52.074370078740067</v>
          </cell>
          <cell r="H773">
            <v>52.074370078740067</v>
          </cell>
          <cell r="I773" t="e">
            <v>#N/A</v>
          </cell>
          <cell r="J773" t="e">
            <v>#N/A</v>
          </cell>
          <cell r="K773" t="e">
            <v>#N/A</v>
          </cell>
          <cell r="L773" t="e">
            <v>#N/A</v>
          </cell>
          <cell r="M773" t="e">
            <v>#N/A</v>
          </cell>
          <cell r="N773" t="e">
            <v>#N/A</v>
          </cell>
          <cell r="O773" t="e">
            <v>#N/A</v>
          </cell>
          <cell r="P773">
            <v>63.51</v>
          </cell>
          <cell r="Q773" t="str">
            <v/>
          </cell>
          <cell r="R773" t="e">
            <v>#N/A</v>
          </cell>
        </row>
        <row r="774">
          <cell r="A774">
            <v>40589</v>
          </cell>
          <cell r="B774">
            <v>40589</v>
          </cell>
          <cell r="C774" t="str">
            <v>Future</v>
          </cell>
          <cell r="D774" t="e">
            <v>#N/A</v>
          </cell>
          <cell r="E774">
            <v>9.5014960629924481</v>
          </cell>
          <cell r="F774">
            <v>86.036929133859616</v>
          </cell>
          <cell r="G774">
            <v>52.021181102362114</v>
          </cell>
          <cell r="H774">
            <v>52.021181102362114</v>
          </cell>
          <cell r="I774" t="e">
            <v>#N/A</v>
          </cell>
          <cell r="J774" t="e">
            <v>#N/A</v>
          </cell>
          <cell r="K774" t="e">
            <v>#N/A</v>
          </cell>
          <cell r="L774" t="e">
            <v>#N/A</v>
          </cell>
          <cell r="M774" t="e">
            <v>#N/A</v>
          </cell>
          <cell r="N774" t="e">
            <v>#N/A</v>
          </cell>
          <cell r="O774" t="e">
            <v>#N/A</v>
          </cell>
          <cell r="P774">
            <v>63.51</v>
          </cell>
          <cell r="Q774" t="str">
            <v/>
          </cell>
          <cell r="R774" t="e">
            <v>#N/A</v>
          </cell>
        </row>
        <row r="775">
          <cell r="A775">
            <v>40590</v>
          </cell>
          <cell r="B775">
            <v>40590</v>
          </cell>
          <cell r="C775" t="str">
            <v>Future</v>
          </cell>
          <cell r="D775" t="e">
            <v>#N/A</v>
          </cell>
          <cell r="E775">
            <v>9.2514566929137079</v>
          </cell>
          <cell r="F775">
            <v>86.141220472442299</v>
          </cell>
          <cell r="G775">
            <v>51.967992125984161</v>
          </cell>
          <cell r="H775">
            <v>51.967992125984161</v>
          </cell>
          <cell r="I775" t="e">
            <v>#N/A</v>
          </cell>
          <cell r="J775" t="e">
            <v>#N/A</v>
          </cell>
          <cell r="K775" t="e">
            <v>#N/A</v>
          </cell>
          <cell r="L775" t="e">
            <v>#N/A</v>
          </cell>
          <cell r="M775" t="e">
            <v>#N/A</v>
          </cell>
          <cell r="N775" t="e">
            <v>#N/A</v>
          </cell>
          <cell r="O775" t="e">
            <v>#N/A</v>
          </cell>
          <cell r="P775">
            <v>63.51</v>
          </cell>
          <cell r="Q775" t="str">
            <v/>
          </cell>
          <cell r="R775" t="e">
            <v>#N/A</v>
          </cell>
        </row>
        <row r="776">
          <cell r="A776">
            <v>40591</v>
          </cell>
          <cell r="B776">
            <v>40591</v>
          </cell>
          <cell r="C776" t="str">
            <v>Future</v>
          </cell>
          <cell r="D776" t="e">
            <v>#N/A</v>
          </cell>
          <cell r="E776">
            <v>9.0014173228349676</v>
          </cell>
          <cell r="F776">
            <v>86.245511811024983</v>
          </cell>
          <cell r="G776">
            <v>51.914803149606207</v>
          </cell>
          <cell r="H776">
            <v>51.914803149606207</v>
          </cell>
          <cell r="I776" t="e">
            <v>#N/A</v>
          </cell>
          <cell r="J776" t="e">
            <v>#N/A</v>
          </cell>
          <cell r="K776" t="e">
            <v>#N/A</v>
          </cell>
          <cell r="L776" t="e">
            <v>#N/A</v>
          </cell>
          <cell r="M776" t="e">
            <v>#N/A</v>
          </cell>
          <cell r="N776" t="e">
            <v>#N/A</v>
          </cell>
          <cell r="O776" t="e">
            <v>#N/A</v>
          </cell>
          <cell r="P776">
            <v>63.51</v>
          </cell>
          <cell r="Q776" t="str">
            <v/>
          </cell>
          <cell r="R776" t="e">
            <v>#N/A</v>
          </cell>
        </row>
        <row r="777">
          <cell r="A777">
            <v>40592</v>
          </cell>
          <cell r="B777">
            <v>40592</v>
          </cell>
          <cell r="C777" t="str">
            <v>Future</v>
          </cell>
          <cell r="D777" t="e">
            <v>#N/A</v>
          </cell>
          <cell r="E777">
            <v>8.7513779527562274</v>
          </cell>
          <cell r="F777">
            <v>86.349803149607666</v>
          </cell>
          <cell r="G777">
            <v>51.861614173228254</v>
          </cell>
          <cell r="H777">
            <v>51.861614173228254</v>
          </cell>
          <cell r="I777" t="e">
            <v>#N/A</v>
          </cell>
          <cell r="J777" t="e">
            <v>#N/A</v>
          </cell>
          <cell r="K777" t="e">
            <v>#N/A</v>
          </cell>
          <cell r="L777" t="e">
            <v>#N/A</v>
          </cell>
          <cell r="M777" t="e">
            <v>#N/A</v>
          </cell>
          <cell r="N777" t="e">
            <v>#N/A</v>
          </cell>
          <cell r="O777" t="e">
            <v>#N/A</v>
          </cell>
          <cell r="P777">
            <v>63.51</v>
          </cell>
          <cell r="Q777" t="str">
            <v/>
          </cell>
          <cell r="R777" t="e">
            <v>#N/A</v>
          </cell>
        </row>
        <row r="778">
          <cell r="A778">
            <v>40596</v>
          </cell>
          <cell r="B778">
            <v>40596</v>
          </cell>
          <cell r="C778" t="str">
            <v>Future</v>
          </cell>
          <cell r="D778" t="e">
            <v>#N/A</v>
          </cell>
          <cell r="E778">
            <v>8.5013385826774872</v>
          </cell>
          <cell r="F778">
            <v>86.45409448819035</v>
          </cell>
          <cell r="G778">
            <v>51.808425196850301</v>
          </cell>
          <cell r="H778">
            <v>51.808425196850301</v>
          </cell>
          <cell r="I778" t="e">
            <v>#N/A</v>
          </cell>
          <cell r="J778" t="e">
            <v>#N/A</v>
          </cell>
          <cell r="K778" t="e">
            <v>#N/A</v>
          </cell>
          <cell r="L778" t="e">
            <v>#N/A</v>
          </cell>
          <cell r="M778" t="e">
            <v>#N/A</v>
          </cell>
          <cell r="N778" t="e">
            <v>#N/A</v>
          </cell>
          <cell r="O778" t="e">
            <v>#N/A</v>
          </cell>
          <cell r="P778">
            <v>63.51</v>
          </cell>
          <cell r="Q778" t="str">
            <v/>
          </cell>
          <cell r="R778" t="e">
            <v>#N/A</v>
          </cell>
        </row>
        <row r="779">
          <cell r="A779">
            <v>40597</v>
          </cell>
          <cell r="B779">
            <v>40597</v>
          </cell>
          <cell r="C779" t="str">
            <v>Future</v>
          </cell>
          <cell r="D779" t="e">
            <v>#N/A</v>
          </cell>
          <cell r="E779">
            <v>8.251299212598747</v>
          </cell>
          <cell r="F779">
            <v>86.558385826773034</v>
          </cell>
          <cell r="G779">
            <v>51.755236220472348</v>
          </cell>
          <cell r="H779">
            <v>51.755236220472348</v>
          </cell>
          <cell r="I779" t="e">
            <v>#N/A</v>
          </cell>
          <cell r="J779" t="e">
            <v>#N/A</v>
          </cell>
          <cell r="K779" t="e">
            <v>#N/A</v>
          </cell>
          <cell r="L779" t="e">
            <v>#N/A</v>
          </cell>
          <cell r="M779" t="e">
            <v>#N/A</v>
          </cell>
          <cell r="N779" t="e">
            <v>#N/A</v>
          </cell>
          <cell r="O779" t="e">
            <v>#N/A</v>
          </cell>
          <cell r="P779">
            <v>63.51</v>
          </cell>
          <cell r="Q779" t="str">
            <v/>
          </cell>
          <cell r="R779" t="e">
            <v>#N/A</v>
          </cell>
        </row>
        <row r="780">
          <cell r="A780">
            <v>40598</v>
          </cell>
          <cell r="B780">
            <v>40598</v>
          </cell>
          <cell r="C780" t="str">
            <v>Future</v>
          </cell>
          <cell r="D780" t="e">
            <v>#N/A</v>
          </cell>
          <cell r="E780">
            <v>8.0012598425200068</v>
          </cell>
          <cell r="F780">
            <v>86.662677165355717</v>
          </cell>
          <cell r="G780">
            <v>51.702047244094395</v>
          </cell>
          <cell r="H780">
            <v>51.702047244094395</v>
          </cell>
          <cell r="I780" t="e">
            <v>#N/A</v>
          </cell>
          <cell r="J780" t="e">
            <v>#N/A</v>
          </cell>
          <cell r="K780" t="e">
            <v>#N/A</v>
          </cell>
          <cell r="L780" t="e">
            <v>#N/A</v>
          </cell>
          <cell r="M780" t="e">
            <v>#N/A</v>
          </cell>
          <cell r="N780" t="e">
            <v>#N/A</v>
          </cell>
          <cell r="O780" t="e">
            <v>#N/A</v>
          </cell>
          <cell r="P780">
            <v>63.51</v>
          </cell>
          <cell r="Q780" t="str">
            <v/>
          </cell>
          <cell r="R780" t="e">
            <v>#N/A</v>
          </cell>
        </row>
        <row r="781">
          <cell r="A781">
            <v>40599</v>
          </cell>
          <cell r="B781">
            <v>40599</v>
          </cell>
          <cell r="C781" t="str">
            <v>Future</v>
          </cell>
          <cell r="D781" t="e">
            <v>#N/A</v>
          </cell>
          <cell r="E781">
            <v>7.7512204724412666</v>
          </cell>
          <cell r="F781">
            <v>86.766968503938401</v>
          </cell>
          <cell r="G781">
            <v>51.648858267716442</v>
          </cell>
          <cell r="H781">
            <v>51.648858267716442</v>
          </cell>
          <cell r="I781" t="e">
            <v>#N/A</v>
          </cell>
          <cell r="J781" t="e">
            <v>#N/A</v>
          </cell>
          <cell r="K781" t="e">
            <v>#N/A</v>
          </cell>
          <cell r="L781" t="e">
            <v>#N/A</v>
          </cell>
          <cell r="M781" t="e">
            <v>#N/A</v>
          </cell>
          <cell r="N781" t="e">
            <v>#N/A</v>
          </cell>
          <cell r="O781" t="e">
            <v>#N/A</v>
          </cell>
          <cell r="P781">
            <v>63.51</v>
          </cell>
          <cell r="Q781" t="str">
            <v/>
          </cell>
          <cell r="R781" t="e">
            <v>#N/A</v>
          </cell>
        </row>
        <row r="782">
          <cell r="A782">
            <v>40602</v>
          </cell>
          <cell r="B782">
            <v>40602</v>
          </cell>
          <cell r="C782" t="str">
            <v>Future</v>
          </cell>
          <cell r="D782" t="e">
            <v>#N/A</v>
          </cell>
          <cell r="E782">
            <v>7.5011811023625263</v>
          </cell>
          <cell r="F782">
            <v>86.871259842521084</v>
          </cell>
          <cell r="G782">
            <v>51.595669291338488</v>
          </cell>
          <cell r="H782">
            <v>51.595669291338488</v>
          </cell>
          <cell r="I782" t="e">
            <v>#N/A</v>
          </cell>
          <cell r="J782" t="e">
            <v>#N/A</v>
          </cell>
          <cell r="K782" t="e">
            <v>#N/A</v>
          </cell>
          <cell r="L782" t="e">
            <v>#N/A</v>
          </cell>
          <cell r="M782" t="e">
            <v>#N/A</v>
          </cell>
          <cell r="N782" t="e">
            <v>#N/A</v>
          </cell>
          <cell r="O782" t="e">
            <v>#N/A</v>
          </cell>
          <cell r="P782">
            <v>63.51</v>
          </cell>
          <cell r="Q782" t="str">
            <v/>
          </cell>
          <cell r="R782" t="e">
            <v>#N/A</v>
          </cell>
        </row>
        <row r="783">
          <cell r="A783">
            <v>40603</v>
          </cell>
          <cell r="B783">
            <v>40603</v>
          </cell>
          <cell r="C783" t="str">
            <v>Future</v>
          </cell>
          <cell r="D783" t="e">
            <v>#N/A</v>
          </cell>
          <cell r="E783">
            <v>7.2511417322837861</v>
          </cell>
          <cell r="F783">
            <v>86.975551181103768</v>
          </cell>
          <cell r="G783">
            <v>51.542480314960535</v>
          </cell>
          <cell r="H783">
            <v>51.542480314960535</v>
          </cell>
          <cell r="I783" t="e">
            <v>#N/A</v>
          </cell>
          <cell r="J783" t="e">
            <v>#N/A</v>
          </cell>
          <cell r="K783" t="e">
            <v>#N/A</v>
          </cell>
          <cell r="L783" t="e">
            <v>#N/A</v>
          </cell>
          <cell r="M783" t="e">
            <v>#N/A</v>
          </cell>
          <cell r="N783" t="e">
            <v>#N/A</v>
          </cell>
          <cell r="O783" t="e">
            <v>#N/A</v>
          </cell>
          <cell r="P783">
            <v>63.51</v>
          </cell>
          <cell r="Q783" t="str">
            <v/>
          </cell>
          <cell r="R783" t="e">
            <v>#N/A</v>
          </cell>
        </row>
        <row r="784">
          <cell r="A784">
            <v>40604</v>
          </cell>
          <cell r="B784">
            <v>40604</v>
          </cell>
          <cell r="C784" t="str">
            <v>Future</v>
          </cell>
          <cell r="D784" t="e">
            <v>#N/A</v>
          </cell>
          <cell r="E784">
            <v>7.0011023622050459</v>
          </cell>
          <cell r="F784">
            <v>87.079842519686451</v>
          </cell>
          <cell r="G784">
            <v>51.489291338582582</v>
          </cell>
          <cell r="H784">
            <v>51.489291338582582</v>
          </cell>
          <cell r="I784" t="e">
            <v>#N/A</v>
          </cell>
          <cell r="J784" t="e">
            <v>#N/A</v>
          </cell>
          <cell r="K784" t="e">
            <v>#N/A</v>
          </cell>
          <cell r="L784" t="e">
            <v>#N/A</v>
          </cell>
          <cell r="M784" t="e">
            <v>#N/A</v>
          </cell>
          <cell r="N784" t="e">
            <v>#N/A</v>
          </cell>
          <cell r="O784" t="e">
            <v>#N/A</v>
          </cell>
          <cell r="P784">
            <v>63.51</v>
          </cell>
          <cell r="Q784" t="str">
            <v/>
          </cell>
          <cell r="R784" t="e">
            <v>#N/A</v>
          </cell>
        </row>
        <row r="785">
          <cell r="A785">
            <v>40605</v>
          </cell>
          <cell r="B785">
            <v>40605</v>
          </cell>
          <cell r="C785" t="str">
            <v>Future</v>
          </cell>
          <cell r="D785" t="e">
            <v>#N/A</v>
          </cell>
          <cell r="E785">
            <v>6.7510629921263057</v>
          </cell>
          <cell r="F785">
            <v>87.184133858269135</v>
          </cell>
          <cell r="G785">
            <v>51.436102362204629</v>
          </cell>
          <cell r="H785">
            <v>51.436102362204629</v>
          </cell>
          <cell r="I785" t="e">
            <v>#N/A</v>
          </cell>
          <cell r="J785" t="e">
            <v>#N/A</v>
          </cell>
          <cell r="K785" t="e">
            <v>#N/A</v>
          </cell>
          <cell r="L785" t="e">
            <v>#N/A</v>
          </cell>
          <cell r="M785" t="e">
            <v>#N/A</v>
          </cell>
          <cell r="N785" t="e">
            <v>#N/A</v>
          </cell>
          <cell r="O785" t="e">
            <v>#N/A</v>
          </cell>
          <cell r="P785">
            <v>63.51</v>
          </cell>
          <cell r="Q785" t="str">
            <v/>
          </cell>
          <cell r="R785" t="e">
            <v>#N/A</v>
          </cell>
        </row>
        <row r="786">
          <cell r="A786">
            <v>40606</v>
          </cell>
          <cell r="B786">
            <v>40606</v>
          </cell>
          <cell r="C786" t="str">
            <v>Future</v>
          </cell>
          <cell r="D786" t="e">
            <v>#N/A</v>
          </cell>
          <cell r="E786">
            <v>6.5010236220475655</v>
          </cell>
          <cell r="F786">
            <v>87.288425196851819</v>
          </cell>
          <cell r="G786">
            <v>51.382913385826676</v>
          </cell>
          <cell r="H786">
            <v>51.382913385826676</v>
          </cell>
          <cell r="I786" t="e">
            <v>#N/A</v>
          </cell>
          <cell r="J786" t="e">
            <v>#N/A</v>
          </cell>
          <cell r="K786" t="e">
            <v>#N/A</v>
          </cell>
          <cell r="L786" t="e">
            <v>#N/A</v>
          </cell>
          <cell r="M786" t="e">
            <v>#N/A</v>
          </cell>
          <cell r="N786" t="e">
            <v>#N/A</v>
          </cell>
          <cell r="O786" t="e">
            <v>#N/A</v>
          </cell>
          <cell r="P786">
            <v>63.51</v>
          </cell>
          <cell r="Q786" t="str">
            <v/>
          </cell>
          <cell r="R786" t="e">
            <v>#N/A</v>
          </cell>
        </row>
        <row r="787">
          <cell r="A787">
            <v>40609</v>
          </cell>
          <cell r="B787">
            <v>40609</v>
          </cell>
          <cell r="C787" t="str">
            <v>Future</v>
          </cell>
          <cell r="D787" t="e">
            <v>#N/A</v>
          </cell>
          <cell r="E787">
            <v>6.2509842519688252</v>
          </cell>
          <cell r="F787">
            <v>87.392716535434502</v>
          </cell>
          <cell r="G787">
            <v>51.329724409448723</v>
          </cell>
          <cell r="H787">
            <v>51.329724409448723</v>
          </cell>
          <cell r="I787" t="e">
            <v>#N/A</v>
          </cell>
          <cell r="J787" t="e">
            <v>#N/A</v>
          </cell>
          <cell r="K787" t="e">
            <v>#N/A</v>
          </cell>
          <cell r="L787" t="e">
            <v>#N/A</v>
          </cell>
          <cell r="M787" t="e">
            <v>#N/A</v>
          </cell>
          <cell r="N787" t="e">
            <v>#N/A</v>
          </cell>
          <cell r="O787" t="e">
            <v>#N/A</v>
          </cell>
          <cell r="P787">
            <v>63.51</v>
          </cell>
          <cell r="Q787" t="str">
            <v/>
          </cell>
          <cell r="R787" t="e">
            <v>#N/A</v>
          </cell>
        </row>
        <row r="788">
          <cell r="A788">
            <v>40610</v>
          </cell>
          <cell r="B788">
            <v>40610</v>
          </cell>
          <cell r="C788" t="str">
            <v>Future</v>
          </cell>
          <cell r="D788" t="e">
            <v>#N/A</v>
          </cell>
          <cell r="E788">
            <v>6.000944881890085</v>
          </cell>
          <cell r="F788">
            <v>87.497007874017186</v>
          </cell>
          <cell r="G788">
            <v>51.276535433070769</v>
          </cell>
          <cell r="H788">
            <v>51.276535433070769</v>
          </cell>
          <cell r="I788" t="e">
            <v>#N/A</v>
          </cell>
          <cell r="J788" t="e">
            <v>#N/A</v>
          </cell>
          <cell r="K788" t="e">
            <v>#N/A</v>
          </cell>
          <cell r="L788" t="e">
            <v>#N/A</v>
          </cell>
          <cell r="M788" t="e">
            <v>#N/A</v>
          </cell>
          <cell r="N788" t="e">
            <v>#N/A</v>
          </cell>
          <cell r="O788" t="e">
            <v>#N/A</v>
          </cell>
          <cell r="P788">
            <v>63.51</v>
          </cell>
          <cell r="Q788" t="str">
            <v/>
          </cell>
          <cell r="R788" t="e">
            <v>#N/A</v>
          </cell>
        </row>
        <row r="789">
          <cell r="A789">
            <v>40611</v>
          </cell>
          <cell r="B789">
            <v>40611</v>
          </cell>
          <cell r="C789" t="str">
            <v>Future</v>
          </cell>
          <cell r="D789" t="e">
            <v>#N/A</v>
          </cell>
          <cell r="E789">
            <v>5.7509055118113448</v>
          </cell>
          <cell r="F789">
            <v>87.601299212599869</v>
          </cell>
          <cell r="G789">
            <v>51.223346456692816</v>
          </cell>
          <cell r="H789">
            <v>51.223346456692816</v>
          </cell>
          <cell r="I789" t="e">
            <v>#N/A</v>
          </cell>
          <cell r="J789" t="e">
            <v>#N/A</v>
          </cell>
          <cell r="K789" t="e">
            <v>#N/A</v>
          </cell>
          <cell r="L789" t="e">
            <v>#N/A</v>
          </cell>
          <cell r="M789" t="e">
            <v>#N/A</v>
          </cell>
          <cell r="N789" t="e">
            <v>#N/A</v>
          </cell>
          <cell r="O789" t="e">
            <v>#N/A</v>
          </cell>
          <cell r="P789">
            <v>63.51</v>
          </cell>
          <cell r="Q789" t="str">
            <v/>
          </cell>
          <cell r="R789" t="e">
            <v>#N/A</v>
          </cell>
        </row>
        <row r="790">
          <cell r="A790">
            <v>40612</v>
          </cell>
          <cell r="B790">
            <v>40612</v>
          </cell>
          <cell r="C790" t="str">
            <v>Future</v>
          </cell>
          <cell r="D790" t="e">
            <v>#N/A</v>
          </cell>
          <cell r="E790">
            <v>5.5008661417326046</v>
          </cell>
          <cell r="F790">
            <v>87.705590551182553</v>
          </cell>
          <cell r="G790">
            <v>51.170157480314863</v>
          </cell>
          <cell r="H790">
            <v>51.170157480314863</v>
          </cell>
          <cell r="I790" t="e">
            <v>#N/A</v>
          </cell>
          <cell r="J790" t="e">
            <v>#N/A</v>
          </cell>
          <cell r="K790" t="e">
            <v>#N/A</v>
          </cell>
          <cell r="L790" t="e">
            <v>#N/A</v>
          </cell>
          <cell r="M790" t="e">
            <v>#N/A</v>
          </cell>
          <cell r="N790" t="e">
            <v>#N/A</v>
          </cell>
          <cell r="O790" t="e">
            <v>#N/A</v>
          </cell>
          <cell r="P790">
            <v>63.51</v>
          </cell>
          <cell r="Q790" t="str">
            <v/>
          </cell>
          <cell r="R790" t="e">
            <v>#N/A</v>
          </cell>
        </row>
        <row r="791">
          <cell r="A791">
            <v>40613</v>
          </cell>
          <cell r="B791">
            <v>40613</v>
          </cell>
          <cell r="C791" t="str">
            <v>Future</v>
          </cell>
          <cell r="D791" t="e">
            <v>#N/A</v>
          </cell>
          <cell r="E791">
            <v>5.2508267716538644</v>
          </cell>
          <cell r="F791">
            <v>87.809881889765236</v>
          </cell>
          <cell r="G791">
            <v>51.11696850393691</v>
          </cell>
          <cell r="H791">
            <v>51.11696850393691</v>
          </cell>
          <cell r="I791" t="e">
            <v>#N/A</v>
          </cell>
          <cell r="J791" t="e">
            <v>#N/A</v>
          </cell>
          <cell r="K791" t="e">
            <v>#N/A</v>
          </cell>
          <cell r="L791" t="e">
            <v>#N/A</v>
          </cell>
          <cell r="M791" t="e">
            <v>#N/A</v>
          </cell>
          <cell r="N791" t="e">
            <v>#N/A</v>
          </cell>
          <cell r="O791" t="e">
            <v>#N/A</v>
          </cell>
          <cell r="P791">
            <v>63.51</v>
          </cell>
          <cell r="Q791" t="str">
            <v/>
          </cell>
          <cell r="R791" t="e">
            <v>#N/A</v>
          </cell>
        </row>
        <row r="792">
          <cell r="A792">
            <v>40616</v>
          </cell>
          <cell r="B792">
            <v>40616</v>
          </cell>
          <cell r="C792" t="str">
            <v>Future</v>
          </cell>
          <cell r="D792" t="e">
            <v>#N/A</v>
          </cell>
          <cell r="E792">
            <v>5.0007874015751241</v>
          </cell>
          <cell r="F792">
            <v>87.91417322834792</v>
          </cell>
          <cell r="G792">
            <v>51.063779527558957</v>
          </cell>
          <cell r="H792">
            <v>51.063779527558957</v>
          </cell>
          <cell r="I792" t="e">
            <v>#N/A</v>
          </cell>
          <cell r="J792" t="e">
            <v>#N/A</v>
          </cell>
          <cell r="K792" t="e">
            <v>#N/A</v>
          </cell>
          <cell r="L792" t="e">
            <v>#N/A</v>
          </cell>
          <cell r="M792" t="e">
            <v>#N/A</v>
          </cell>
          <cell r="N792" t="e">
            <v>#N/A</v>
          </cell>
          <cell r="O792" t="e">
            <v>#N/A</v>
          </cell>
          <cell r="P792">
            <v>63.51</v>
          </cell>
          <cell r="Q792" t="str">
            <v/>
          </cell>
          <cell r="R792" t="e">
            <v>#N/A</v>
          </cell>
        </row>
        <row r="793">
          <cell r="A793">
            <v>40617</v>
          </cell>
          <cell r="B793">
            <v>40617</v>
          </cell>
          <cell r="C793" t="str">
            <v>Future</v>
          </cell>
          <cell r="D793" t="e">
            <v>#N/A</v>
          </cell>
          <cell r="E793">
            <v>4.7507480314963839</v>
          </cell>
          <cell r="F793">
            <v>88.018464566930604</v>
          </cell>
          <cell r="G793">
            <v>51.010590551181004</v>
          </cell>
          <cell r="H793">
            <v>51.010590551181004</v>
          </cell>
          <cell r="I793" t="e">
            <v>#N/A</v>
          </cell>
          <cell r="J793" t="e">
            <v>#N/A</v>
          </cell>
          <cell r="K793" t="e">
            <v>#N/A</v>
          </cell>
          <cell r="L793" t="e">
            <v>#N/A</v>
          </cell>
          <cell r="M793" t="e">
            <v>#N/A</v>
          </cell>
          <cell r="N793" t="e">
            <v>#N/A</v>
          </cell>
          <cell r="O793" t="e">
            <v>#N/A</v>
          </cell>
          <cell r="P793">
            <v>63.51</v>
          </cell>
          <cell r="Q793" t="str">
            <v/>
          </cell>
          <cell r="R793" t="e">
            <v>#N/A</v>
          </cell>
        </row>
        <row r="794">
          <cell r="A794">
            <v>40618</v>
          </cell>
          <cell r="B794">
            <v>40618</v>
          </cell>
          <cell r="C794" t="str">
            <v>Future</v>
          </cell>
          <cell r="D794" t="e">
            <v>#N/A</v>
          </cell>
          <cell r="E794">
            <v>4.5007086614176437</v>
          </cell>
          <cell r="F794">
            <v>88.122755905513287</v>
          </cell>
          <cell r="G794">
            <v>50.95740157480305</v>
          </cell>
          <cell r="H794">
            <v>50.95740157480305</v>
          </cell>
          <cell r="I794" t="e">
            <v>#N/A</v>
          </cell>
          <cell r="J794" t="e">
            <v>#N/A</v>
          </cell>
          <cell r="K794" t="e">
            <v>#N/A</v>
          </cell>
          <cell r="L794" t="e">
            <v>#N/A</v>
          </cell>
          <cell r="M794" t="e">
            <v>#N/A</v>
          </cell>
          <cell r="N794" t="e">
            <v>#N/A</v>
          </cell>
          <cell r="O794" t="e">
            <v>#N/A</v>
          </cell>
          <cell r="P794">
            <v>63.51</v>
          </cell>
          <cell r="Q794" t="str">
            <v/>
          </cell>
          <cell r="R794" t="e">
            <v>#N/A</v>
          </cell>
        </row>
        <row r="795">
          <cell r="A795">
            <v>40619</v>
          </cell>
          <cell r="B795">
            <v>40619</v>
          </cell>
          <cell r="C795" t="str">
            <v>Future</v>
          </cell>
          <cell r="D795" t="e">
            <v>#N/A</v>
          </cell>
          <cell r="E795">
            <v>4.2506692913389035</v>
          </cell>
          <cell r="F795">
            <v>88.227047244095971</v>
          </cell>
          <cell r="G795">
            <v>50.904212598425097</v>
          </cell>
          <cell r="H795">
            <v>50.904212598425097</v>
          </cell>
          <cell r="I795" t="e">
            <v>#N/A</v>
          </cell>
          <cell r="J795" t="e">
            <v>#N/A</v>
          </cell>
          <cell r="K795" t="e">
            <v>#N/A</v>
          </cell>
          <cell r="L795" t="e">
            <v>#N/A</v>
          </cell>
          <cell r="M795" t="e">
            <v>#N/A</v>
          </cell>
          <cell r="N795" t="e">
            <v>#N/A</v>
          </cell>
          <cell r="O795" t="e">
            <v>#N/A</v>
          </cell>
          <cell r="P795">
            <v>63.51</v>
          </cell>
          <cell r="Q795" t="str">
            <v/>
          </cell>
          <cell r="R795" t="e">
            <v>#N/A</v>
          </cell>
        </row>
        <row r="796">
          <cell r="A796">
            <v>40620</v>
          </cell>
          <cell r="B796">
            <v>40620</v>
          </cell>
          <cell r="C796" t="str">
            <v>Future</v>
          </cell>
          <cell r="D796" t="e">
            <v>#N/A</v>
          </cell>
          <cell r="E796">
            <v>4.0006299212601633</v>
          </cell>
          <cell r="F796">
            <v>88.331338582678654</v>
          </cell>
          <cell r="G796">
            <v>50.851023622047144</v>
          </cell>
          <cell r="H796">
            <v>50.851023622047144</v>
          </cell>
          <cell r="I796" t="e">
            <v>#N/A</v>
          </cell>
          <cell r="J796" t="e">
            <v>#N/A</v>
          </cell>
          <cell r="K796" t="e">
            <v>#N/A</v>
          </cell>
          <cell r="L796" t="e">
            <v>#N/A</v>
          </cell>
          <cell r="M796" t="e">
            <v>#N/A</v>
          </cell>
          <cell r="N796" t="e">
            <v>#N/A</v>
          </cell>
          <cell r="O796" t="e">
            <v>#N/A</v>
          </cell>
          <cell r="P796">
            <v>63.51</v>
          </cell>
          <cell r="Q796" t="str">
            <v/>
          </cell>
          <cell r="R796" t="e">
            <v>#N/A</v>
          </cell>
        </row>
        <row r="797">
          <cell r="A797">
            <v>40623</v>
          </cell>
          <cell r="B797">
            <v>40623</v>
          </cell>
          <cell r="C797" t="str">
            <v>Future</v>
          </cell>
          <cell r="D797" t="e">
            <v>#N/A</v>
          </cell>
          <cell r="E797">
            <v>3.750590551181423</v>
          </cell>
          <cell r="F797">
            <v>88.435629921261338</v>
          </cell>
          <cell r="G797">
            <v>50.797834645669191</v>
          </cell>
          <cell r="H797">
            <v>50.797834645669191</v>
          </cell>
          <cell r="I797" t="e">
            <v>#N/A</v>
          </cell>
          <cell r="J797" t="e">
            <v>#N/A</v>
          </cell>
          <cell r="K797" t="e">
            <v>#N/A</v>
          </cell>
          <cell r="L797" t="e">
            <v>#N/A</v>
          </cell>
          <cell r="M797" t="e">
            <v>#N/A</v>
          </cell>
          <cell r="N797" t="e">
            <v>#N/A</v>
          </cell>
          <cell r="O797" t="e">
            <v>#N/A</v>
          </cell>
          <cell r="P797">
            <v>63.51</v>
          </cell>
          <cell r="Q797" t="str">
            <v/>
          </cell>
          <cell r="R797" t="e">
            <v>#N/A</v>
          </cell>
        </row>
        <row r="798">
          <cell r="A798">
            <v>40624</v>
          </cell>
          <cell r="B798">
            <v>40624</v>
          </cell>
          <cell r="C798" t="str">
            <v>Future</v>
          </cell>
          <cell r="D798" t="e">
            <v>#N/A</v>
          </cell>
          <cell r="E798">
            <v>3.5005511811026828</v>
          </cell>
          <cell r="F798">
            <v>88.539921259844022</v>
          </cell>
          <cell r="G798">
            <v>50.744645669291238</v>
          </cell>
          <cell r="H798">
            <v>50.744645669291238</v>
          </cell>
          <cell r="I798" t="e">
            <v>#N/A</v>
          </cell>
          <cell r="J798" t="e">
            <v>#N/A</v>
          </cell>
          <cell r="K798" t="e">
            <v>#N/A</v>
          </cell>
          <cell r="L798" t="e">
            <v>#N/A</v>
          </cell>
          <cell r="M798" t="e">
            <v>#N/A</v>
          </cell>
          <cell r="N798" t="e">
            <v>#N/A</v>
          </cell>
          <cell r="O798" t="e">
            <v>#N/A</v>
          </cell>
          <cell r="P798">
            <v>63.51</v>
          </cell>
          <cell r="Q798" t="str">
            <v/>
          </cell>
          <cell r="R798" t="e">
            <v>#N/A</v>
          </cell>
        </row>
        <row r="799">
          <cell r="A799">
            <v>40625</v>
          </cell>
          <cell r="B799">
            <v>40625</v>
          </cell>
          <cell r="C799" t="str">
            <v>Future</v>
          </cell>
          <cell r="D799" t="e">
            <v>#N/A</v>
          </cell>
          <cell r="E799">
            <v>3.2505118110239426</v>
          </cell>
          <cell r="F799">
            <v>88.644212598426705</v>
          </cell>
          <cell r="G799">
            <v>50.691456692913285</v>
          </cell>
          <cell r="H799">
            <v>50.691456692913285</v>
          </cell>
          <cell r="I799" t="e">
            <v>#N/A</v>
          </cell>
          <cell r="J799" t="e">
            <v>#N/A</v>
          </cell>
          <cell r="K799" t="e">
            <v>#N/A</v>
          </cell>
          <cell r="L799" t="e">
            <v>#N/A</v>
          </cell>
          <cell r="M799" t="e">
            <v>#N/A</v>
          </cell>
          <cell r="N799" t="e">
            <v>#N/A</v>
          </cell>
          <cell r="O799" t="e">
            <v>#N/A</v>
          </cell>
          <cell r="P799">
            <v>63.51</v>
          </cell>
          <cell r="Q799" t="str">
            <v/>
          </cell>
          <cell r="R799" t="e">
            <v>#N/A</v>
          </cell>
        </row>
        <row r="800">
          <cell r="A800">
            <v>40626</v>
          </cell>
          <cell r="B800">
            <v>40626</v>
          </cell>
          <cell r="C800" t="str">
            <v>Future</v>
          </cell>
          <cell r="D800" t="e">
            <v>#N/A</v>
          </cell>
          <cell r="E800">
            <v>3.0004724409452024</v>
          </cell>
          <cell r="F800">
            <v>88.748503937009389</v>
          </cell>
          <cell r="G800">
            <v>50.638267716535331</v>
          </cell>
          <cell r="H800">
            <v>50.638267716535331</v>
          </cell>
          <cell r="I800" t="e">
            <v>#N/A</v>
          </cell>
          <cell r="J800" t="e">
            <v>#N/A</v>
          </cell>
          <cell r="K800" t="e">
            <v>#N/A</v>
          </cell>
          <cell r="L800" t="e">
            <v>#N/A</v>
          </cell>
          <cell r="M800" t="e">
            <v>#N/A</v>
          </cell>
          <cell r="N800" t="e">
            <v>#N/A</v>
          </cell>
          <cell r="O800" t="e">
            <v>#N/A</v>
          </cell>
          <cell r="P800">
            <v>63.51</v>
          </cell>
          <cell r="Q800" t="str">
            <v/>
          </cell>
          <cell r="R800" t="e">
            <v>#N/A</v>
          </cell>
        </row>
        <row r="801">
          <cell r="A801">
            <v>40627</v>
          </cell>
          <cell r="B801">
            <v>40627</v>
          </cell>
          <cell r="C801" t="str">
            <v>Future</v>
          </cell>
          <cell r="D801" t="e">
            <v>#N/A</v>
          </cell>
          <cell r="E801">
            <v>2.7504330708664622</v>
          </cell>
          <cell r="F801">
            <v>88.852795275592072</v>
          </cell>
          <cell r="G801">
            <v>50.585078740157378</v>
          </cell>
          <cell r="H801">
            <v>50.585078740157378</v>
          </cell>
          <cell r="I801" t="e">
            <v>#N/A</v>
          </cell>
          <cell r="J801" t="e">
            <v>#N/A</v>
          </cell>
          <cell r="K801" t="e">
            <v>#N/A</v>
          </cell>
          <cell r="L801" t="e">
            <v>#N/A</v>
          </cell>
          <cell r="M801" t="e">
            <v>#N/A</v>
          </cell>
          <cell r="N801" t="e">
            <v>#N/A</v>
          </cell>
          <cell r="O801" t="e">
            <v>#N/A</v>
          </cell>
          <cell r="P801">
            <v>63.51</v>
          </cell>
          <cell r="Q801" t="str">
            <v/>
          </cell>
          <cell r="R801" t="e">
            <v>#N/A</v>
          </cell>
        </row>
        <row r="802">
          <cell r="A802">
            <v>40630</v>
          </cell>
          <cell r="B802">
            <v>40630</v>
          </cell>
          <cell r="C802" t="str">
            <v>Future</v>
          </cell>
          <cell r="D802" t="e">
            <v>#N/A</v>
          </cell>
          <cell r="E802">
            <v>2.5003937007877219</v>
          </cell>
          <cell r="F802">
            <v>88.957086614174756</v>
          </cell>
          <cell r="G802">
            <v>50.531889763779425</v>
          </cell>
          <cell r="H802">
            <v>50.531889763779425</v>
          </cell>
          <cell r="I802" t="e">
            <v>#N/A</v>
          </cell>
          <cell r="J802" t="e">
            <v>#N/A</v>
          </cell>
          <cell r="K802" t="e">
            <v>#N/A</v>
          </cell>
          <cell r="L802" t="e">
            <v>#N/A</v>
          </cell>
          <cell r="M802" t="e">
            <v>#N/A</v>
          </cell>
          <cell r="N802" t="e">
            <v>#N/A</v>
          </cell>
          <cell r="O802" t="e">
            <v>#N/A</v>
          </cell>
          <cell r="P802">
            <v>63.51</v>
          </cell>
          <cell r="Q802" t="str">
            <v/>
          </cell>
          <cell r="R802" t="e">
            <v>#N/A</v>
          </cell>
        </row>
        <row r="803">
          <cell r="A803">
            <v>40631</v>
          </cell>
          <cell r="B803">
            <v>40631</v>
          </cell>
          <cell r="C803" t="str">
            <v>Future</v>
          </cell>
          <cell r="D803" t="e">
            <v>#N/A</v>
          </cell>
          <cell r="E803">
            <v>2.2503543307089817</v>
          </cell>
          <cell r="F803">
            <v>89.061377952757439</v>
          </cell>
          <cell r="G803">
            <v>50.478700787401472</v>
          </cell>
          <cell r="H803">
            <v>50.478700787401472</v>
          </cell>
          <cell r="I803" t="e">
            <v>#N/A</v>
          </cell>
          <cell r="J803" t="e">
            <v>#N/A</v>
          </cell>
          <cell r="K803" t="e">
            <v>#N/A</v>
          </cell>
          <cell r="L803" t="e">
            <v>#N/A</v>
          </cell>
          <cell r="M803" t="e">
            <v>#N/A</v>
          </cell>
          <cell r="N803" t="e">
            <v>#N/A</v>
          </cell>
          <cell r="O803" t="e">
            <v>#N/A</v>
          </cell>
          <cell r="P803">
            <v>63.51</v>
          </cell>
          <cell r="Q803" t="str">
            <v/>
          </cell>
          <cell r="R803" t="e">
            <v>#N/A</v>
          </cell>
        </row>
        <row r="804">
          <cell r="A804">
            <v>40632</v>
          </cell>
          <cell r="B804">
            <v>40632</v>
          </cell>
          <cell r="C804" t="str">
            <v>Future</v>
          </cell>
          <cell r="D804" t="e">
            <v>#N/A</v>
          </cell>
          <cell r="E804">
            <v>2.0003149606302415</v>
          </cell>
          <cell r="F804">
            <v>89.165669291340123</v>
          </cell>
          <cell r="G804">
            <v>50.425511811023519</v>
          </cell>
          <cell r="H804">
            <v>50.425511811023519</v>
          </cell>
          <cell r="I804" t="e">
            <v>#N/A</v>
          </cell>
          <cell r="J804" t="e">
            <v>#N/A</v>
          </cell>
          <cell r="K804" t="e">
            <v>#N/A</v>
          </cell>
          <cell r="L804" t="e">
            <v>#N/A</v>
          </cell>
          <cell r="M804" t="e">
            <v>#N/A</v>
          </cell>
          <cell r="N804" t="e">
            <v>#N/A</v>
          </cell>
          <cell r="O804" t="e">
            <v>#N/A</v>
          </cell>
          <cell r="P804">
            <v>63.51</v>
          </cell>
          <cell r="Q804" t="str">
            <v/>
          </cell>
          <cell r="R804" t="e">
            <v>#N/A</v>
          </cell>
        </row>
        <row r="805">
          <cell r="A805">
            <v>40633</v>
          </cell>
          <cell r="B805">
            <v>40633</v>
          </cell>
          <cell r="C805" t="str">
            <v>Future</v>
          </cell>
          <cell r="D805" t="e">
            <v>#N/A</v>
          </cell>
          <cell r="E805">
            <v>1.7502755905515013</v>
          </cell>
          <cell r="F805">
            <v>89.269960629922807</v>
          </cell>
          <cell r="G805">
            <v>50.372322834645566</v>
          </cell>
          <cell r="H805">
            <v>50.372322834645566</v>
          </cell>
          <cell r="I805" t="e">
            <v>#N/A</v>
          </cell>
          <cell r="J805" t="e">
            <v>#N/A</v>
          </cell>
          <cell r="K805" t="e">
            <v>#N/A</v>
          </cell>
          <cell r="L805" t="e">
            <v>#N/A</v>
          </cell>
          <cell r="M805" t="e">
            <v>#N/A</v>
          </cell>
          <cell r="N805" t="e">
            <v>#N/A</v>
          </cell>
          <cell r="O805" t="e">
            <v>#N/A</v>
          </cell>
          <cell r="P805">
            <v>63.51</v>
          </cell>
          <cell r="Q805" t="str">
            <v/>
          </cell>
          <cell r="R805" t="e">
            <v>#N/A</v>
          </cell>
        </row>
        <row r="806">
          <cell r="A806">
            <v>40634</v>
          </cell>
          <cell r="B806">
            <v>40634</v>
          </cell>
          <cell r="C806" t="str">
            <v>Future</v>
          </cell>
          <cell r="D806" t="e">
            <v>#N/A</v>
          </cell>
          <cell r="E806">
            <v>1.5002362204727611</v>
          </cell>
          <cell r="F806">
            <v>89.37425196850549</v>
          </cell>
          <cell r="G806">
            <v>50.319133858267612</v>
          </cell>
          <cell r="H806">
            <v>50.319133858267612</v>
          </cell>
          <cell r="I806" t="e">
            <v>#N/A</v>
          </cell>
          <cell r="J806" t="e">
            <v>#N/A</v>
          </cell>
          <cell r="K806" t="e">
            <v>#N/A</v>
          </cell>
          <cell r="L806" t="e">
            <v>#N/A</v>
          </cell>
          <cell r="M806" t="e">
            <v>#N/A</v>
          </cell>
          <cell r="N806" t="e">
            <v>#N/A</v>
          </cell>
          <cell r="O806" t="e">
            <v>#N/A</v>
          </cell>
          <cell r="P806">
            <v>63.51</v>
          </cell>
          <cell r="Q806" t="str">
            <v/>
          </cell>
          <cell r="R806" t="e">
            <v>#N/A</v>
          </cell>
        </row>
        <row r="807">
          <cell r="A807">
            <v>40637</v>
          </cell>
          <cell r="B807">
            <v>40637</v>
          </cell>
          <cell r="C807" t="str">
            <v>Future</v>
          </cell>
          <cell r="D807" t="e">
            <v>#N/A</v>
          </cell>
          <cell r="E807">
            <v>1.2501968503940208</v>
          </cell>
          <cell r="F807">
            <v>89.478543307088174</v>
          </cell>
          <cell r="G807">
            <v>50.265944881889659</v>
          </cell>
          <cell r="H807">
            <v>50.265944881889659</v>
          </cell>
          <cell r="I807" t="e">
            <v>#N/A</v>
          </cell>
          <cell r="J807" t="e">
            <v>#N/A</v>
          </cell>
          <cell r="K807" t="e">
            <v>#N/A</v>
          </cell>
          <cell r="L807" t="e">
            <v>#N/A</v>
          </cell>
          <cell r="M807" t="e">
            <v>#N/A</v>
          </cell>
          <cell r="N807" t="e">
            <v>#N/A</v>
          </cell>
          <cell r="O807" t="e">
            <v>#N/A</v>
          </cell>
          <cell r="P807">
            <v>63.51</v>
          </cell>
          <cell r="Q807" t="str">
            <v/>
          </cell>
          <cell r="R807" t="e">
            <v>#N/A</v>
          </cell>
        </row>
        <row r="808">
          <cell r="A808">
            <v>40638</v>
          </cell>
          <cell r="B808">
            <v>40638</v>
          </cell>
          <cell r="C808" t="str">
            <v>Future</v>
          </cell>
          <cell r="D808" t="e">
            <v>#N/A</v>
          </cell>
          <cell r="E808">
            <v>1.0001574803152806</v>
          </cell>
          <cell r="F808">
            <v>89.582834645670857</v>
          </cell>
          <cell r="G808">
            <v>50.212755905511706</v>
          </cell>
          <cell r="H808">
            <v>50.212755905511706</v>
          </cell>
          <cell r="I808" t="e">
            <v>#N/A</v>
          </cell>
          <cell r="J808" t="e">
            <v>#N/A</v>
          </cell>
          <cell r="K808" t="e">
            <v>#N/A</v>
          </cell>
          <cell r="L808" t="e">
            <v>#N/A</v>
          </cell>
          <cell r="M808" t="e">
            <v>#N/A</v>
          </cell>
          <cell r="N808" t="e">
            <v>#N/A</v>
          </cell>
          <cell r="O808" t="e">
            <v>#N/A</v>
          </cell>
          <cell r="P808">
            <v>63.51</v>
          </cell>
          <cell r="Q808" t="str">
            <v/>
          </cell>
          <cell r="R808" t="e">
            <v>#N/A</v>
          </cell>
        </row>
        <row r="809">
          <cell r="A809">
            <v>40639</v>
          </cell>
          <cell r="B809">
            <v>40639</v>
          </cell>
          <cell r="C809" t="str">
            <v>Future</v>
          </cell>
          <cell r="D809" t="e">
            <v>#N/A</v>
          </cell>
          <cell r="E809">
            <v>0.7501181102365404</v>
          </cell>
          <cell r="F809">
            <v>89.687125984253541</v>
          </cell>
          <cell r="G809">
            <v>50.159566929133753</v>
          </cell>
          <cell r="H809">
            <v>50.159566929133753</v>
          </cell>
          <cell r="I809" t="e">
            <v>#N/A</v>
          </cell>
          <cell r="J809" t="e">
            <v>#N/A</v>
          </cell>
          <cell r="K809" t="e">
            <v>#N/A</v>
          </cell>
          <cell r="L809" t="e">
            <v>#N/A</v>
          </cell>
          <cell r="M809" t="e">
            <v>#N/A</v>
          </cell>
          <cell r="N809" t="e">
            <v>#N/A</v>
          </cell>
          <cell r="O809" t="e">
            <v>#N/A</v>
          </cell>
          <cell r="P809">
            <v>63.51</v>
          </cell>
          <cell r="Q809" t="str">
            <v/>
          </cell>
          <cell r="R809" t="e">
            <v>#N/A</v>
          </cell>
        </row>
        <row r="810">
          <cell r="A810">
            <v>40640</v>
          </cell>
          <cell r="B810">
            <v>40640</v>
          </cell>
          <cell r="C810" t="str">
            <v>Future</v>
          </cell>
          <cell r="D810" t="e">
            <v>#N/A</v>
          </cell>
          <cell r="E810">
            <v>0.50007874015780018</v>
          </cell>
          <cell r="F810">
            <v>89.791417322836224</v>
          </cell>
          <cell r="G810">
            <v>50.1063779527558</v>
          </cell>
          <cell r="H810">
            <v>50.1063779527558</v>
          </cell>
          <cell r="I810" t="e">
            <v>#N/A</v>
          </cell>
          <cell r="J810" t="e">
            <v>#N/A</v>
          </cell>
          <cell r="K810" t="e">
            <v>#N/A</v>
          </cell>
          <cell r="L810" t="e">
            <v>#N/A</v>
          </cell>
          <cell r="M810" t="e">
            <v>#N/A</v>
          </cell>
          <cell r="N810" t="e">
            <v>#N/A</v>
          </cell>
          <cell r="O810" t="e">
            <v>#N/A</v>
          </cell>
          <cell r="P810">
            <v>63.51</v>
          </cell>
          <cell r="Q810" t="str">
            <v/>
          </cell>
          <cell r="R810" t="e">
            <v>#N/A</v>
          </cell>
        </row>
        <row r="811">
          <cell r="A811">
            <v>40641</v>
          </cell>
          <cell r="B811">
            <v>40641</v>
          </cell>
          <cell r="C811" t="str">
            <v>Future</v>
          </cell>
          <cell r="D811" t="e">
            <v>#N/A</v>
          </cell>
          <cell r="E811">
            <v>0.25003937007906002</v>
          </cell>
          <cell r="F811">
            <v>89.895708661418908</v>
          </cell>
          <cell r="G811">
            <v>50.053188976377847</v>
          </cell>
          <cell r="H811">
            <v>50.053188976377847</v>
          </cell>
          <cell r="I811" t="e">
            <v>#N/A</v>
          </cell>
          <cell r="J811" t="e">
            <v>#N/A</v>
          </cell>
          <cell r="K811">
            <v>90</v>
          </cell>
          <cell r="L811">
            <v>50</v>
          </cell>
          <cell r="M811" t="e">
            <v>#N/A</v>
          </cell>
          <cell r="N811">
            <v>80</v>
          </cell>
          <cell r="O811" t="e">
            <v>#N/A</v>
          </cell>
          <cell r="P811">
            <v>63.51</v>
          </cell>
          <cell r="Q811" t="str">
            <v/>
          </cell>
          <cell r="R811" t="e">
            <v>#N/A</v>
          </cell>
        </row>
        <row r="812">
          <cell r="A812" t="str">
            <v/>
          </cell>
          <cell r="B812" t="str">
            <v/>
          </cell>
          <cell r="C812" t="str">
            <v>Future</v>
          </cell>
          <cell r="D812" t="e">
            <v>#N/A</v>
          </cell>
          <cell r="E812">
            <v>3.198552533945076E-13</v>
          </cell>
          <cell r="F812">
            <v>90.000000000001592</v>
          </cell>
          <cell r="G812">
            <v>49.999999999999893</v>
          </cell>
          <cell r="H812">
            <v>49.999999999999893</v>
          </cell>
          <cell r="I812" t="e">
            <v>#N/A</v>
          </cell>
          <cell r="J812" t="e">
            <v>#N/A</v>
          </cell>
          <cell r="K812">
            <v>90</v>
          </cell>
          <cell r="L812">
            <v>50</v>
          </cell>
          <cell r="M812" t="e">
            <v>#N/A</v>
          </cell>
          <cell r="N812">
            <v>80</v>
          </cell>
          <cell r="O812" t="e">
            <v>#N/A</v>
          </cell>
          <cell r="P812" t="str">
            <v/>
          </cell>
          <cell r="Q812" t="str">
            <v/>
          </cell>
          <cell r="R812" t="e">
            <v>#N/A</v>
          </cell>
        </row>
        <row r="813">
          <cell r="A813" t="str">
            <v/>
          </cell>
          <cell r="B813" t="str">
            <v/>
          </cell>
          <cell r="C813" t="str">
            <v>Future</v>
          </cell>
          <cell r="D813" t="e">
            <v>#N/A</v>
          </cell>
          <cell r="E813">
            <v>-0.25003937007842031</v>
          </cell>
          <cell r="F813">
            <v>90.104291338584275</v>
          </cell>
          <cell r="G813">
            <v>49.94681102362194</v>
          </cell>
          <cell r="H813">
            <v>49.94681102362194</v>
          </cell>
          <cell r="I813" t="e">
            <v>#N/A</v>
          </cell>
          <cell r="J813" t="e">
            <v>#N/A</v>
          </cell>
          <cell r="K813">
            <v>90</v>
          </cell>
          <cell r="L813">
            <v>50</v>
          </cell>
          <cell r="M813" t="e">
            <v>#N/A</v>
          </cell>
          <cell r="N813">
            <v>80</v>
          </cell>
          <cell r="O813" t="e">
            <v>#N/A</v>
          </cell>
          <cell r="P813" t="str">
            <v/>
          </cell>
          <cell r="Q813" t="str">
            <v/>
          </cell>
          <cell r="R813" t="e">
            <v>#N/A</v>
          </cell>
        </row>
        <row r="814">
          <cell r="A814" t="str">
            <v/>
          </cell>
          <cell r="B814" t="str">
            <v/>
          </cell>
          <cell r="C814" t="str">
            <v>Future</v>
          </cell>
          <cell r="D814" t="e">
            <v>#N/A</v>
          </cell>
          <cell r="E814">
            <v>-0.50007874015716047</v>
          </cell>
          <cell r="F814">
            <v>90.208582677166959</v>
          </cell>
          <cell r="G814">
            <v>49.893622047243987</v>
          </cell>
          <cell r="H814">
            <v>49.893622047243987</v>
          </cell>
          <cell r="I814" t="e">
            <v>#N/A</v>
          </cell>
          <cell r="J814" t="e">
            <v>#N/A</v>
          </cell>
          <cell r="K814">
            <v>90</v>
          </cell>
          <cell r="L814">
            <v>50</v>
          </cell>
          <cell r="M814" t="e">
            <v>#N/A</v>
          </cell>
          <cell r="N814">
            <v>80</v>
          </cell>
          <cell r="O814" t="e">
            <v>#N/A</v>
          </cell>
          <cell r="P814" t="str">
            <v/>
          </cell>
          <cell r="Q814" t="str">
            <v/>
          </cell>
          <cell r="R814" t="e">
            <v>#N/A</v>
          </cell>
        </row>
        <row r="815">
          <cell r="A815" t="str">
            <v/>
          </cell>
          <cell r="B815" t="str">
            <v/>
          </cell>
          <cell r="C815" t="str">
            <v>Future</v>
          </cell>
          <cell r="D815" t="e">
            <v>#N/A</v>
          </cell>
          <cell r="E815">
            <v>-0.75011811023590069</v>
          </cell>
          <cell r="F815">
            <v>90.312874015749642</v>
          </cell>
          <cell r="G815">
            <v>49.840433070866034</v>
          </cell>
          <cell r="H815">
            <v>49.840433070866034</v>
          </cell>
          <cell r="I815" t="e">
            <v>#N/A</v>
          </cell>
          <cell r="J815" t="e">
            <v>#N/A</v>
          </cell>
          <cell r="K815">
            <v>90</v>
          </cell>
          <cell r="L815">
            <v>50</v>
          </cell>
          <cell r="M815" t="e">
            <v>#N/A</v>
          </cell>
          <cell r="N815">
            <v>80</v>
          </cell>
          <cell r="O815" t="e">
            <v>#N/A</v>
          </cell>
          <cell r="P815" t="str">
            <v/>
          </cell>
          <cell r="Q815" t="str">
            <v/>
          </cell>
          <cell r="R815" t="e">
            <v>#N/A</v>
          </cell>
        </row>
        <row r="816">
          <cell r="A816" t="str">
            <v/>
          </cell>
          <cell r="B816" t="str">
            <v/>
          </cell>
          <cell r="C816" t="str">
            <v>Future</v>
          </cell>
          <cell r="D816" t="e">
            <v>#N/A</v>
          </cell>
          <cell r="E816">
            <v>-1.0001574803146409</v>
          </cell>
          <cell r="F816">
            <v>90.417165354332326</v>
          </cell>
          <cell r="G816">
            <v>49.787244094488081</v>
          </cell>
          <cell r="H816">
            <v>49.787244094488081</v>
          </cell>
          <cell r="I816" t="e">
            <v>#N/A</v>
          </cell>
          <cell r="J816" t="e">
            <v>#N/A</v>
          </cell>
          <cell r="K816">
            <v>90</v>
          </cell>
          <cell r="L816">
            <v>50</v>
          </cell>
          <cell r="M816" t="e">
            <v>#N/A</v>
          </cell>
          <cell r="N816">
            <v>80</v>
          </cell>
          <cell r="O816" t="e">
            <v>#N/A</v>
          </cell>
          <cell r="P816" t="str">
            <v/>
          </cell>
          <cell r="Q816" t="str">
            <v/>
          </cell>
          <cell r="R816" t="e">
            <v>#N/A</v>
          </cell>
        </row>
        <row r="817">
          <cell r="A817" t="str">
            <v/>
          </cell>
          <cell r="B817" t="str">
            <v/>
          </cell>
          <cell r="C817" t="str">
            <v>Future</v>
          </cell>
          <cell r="D817" t="e">
            <v>#N/A</v>
          </cell>
          <cell r="E817">
            <v>-1.2501968503933811</v>
          </cell>
          <cell r="F817">
            <v>90.52145669291501</v>
          </cell>
          <cell r="G817">
            <v>49.734055118110128</v>
          </cell>
          <cell r="H817">
            <v>49.734055118110128</v>
          </cell>
          <cell r="I817" t="e">
            <v>#N/A</v>
          </cell>
          <cell r="J817" t="e">
            <v>#N/A</v>
          </cell>
          <cell r="K817">
            <v>90</v>
          </cell>
          <cell r="L817">
            <v>50</v>
          </cell>
          <cell r="M817" t="e">
            <v>#N/A</v>
          </cell>
          <cell r="N817">
            <v>80</v>
          </cell>
          <cell r="O817" t="e">
            <v>#N/A</v>
          </cell>
          <cell r="P817" t="str">
            <v/>
          </cell>
          <cell r="Q817" t="str">
            <v/>
          </cell>
          <cell r="R817" t="e">
            <v>#N/A</v>
          </cell>
        </row>
        <row r="818">
          <cell r="A818" t="str">
            <v/>
          </cell>
          <cell r="B818" t="str">
            <v/>
          </cell>
          <cell r="C818" t="str">
            <v>Future</v>
          </cell>
          <cell r="D818" t="e">
            <v>#N/A</v>
          </cell>
          <cell r="E818">
            <v>-1.5002362204721214</v>
          </cell>
          <cell r="F818">
            <v>90.625748031497693</v>
          </cell>
          <cell r="G818">
            <v>49.680866141732174</v>
          </cell>
          <cell r="H818">
            <v>49.680866141732174</v>
          </cell>
          <cell r="I818" t="e">
            <v>#N/A</v>
          </cell>
          <cell r="J818" t="e">
            <v>#N/A</v>
          </cell>
          <cell r="K818">
            <v>90</v>
          </cell>
          <cell r="L818">
            <v>50</v>
          </cell>
          <cell r="M818" t="e">
            <v>#N/A</v>
          </cell>
          <cell r="N818">
            <v>80</v>
          </cell>
          <cell r="O818" t="e">
            <v>#N/A</v>
          </cell>
          <cell r="P818" t="str">
            <v/>
          </cell>
          <cell r="Q818" t="str">
            <v/>
          </cell>
          <cell r="R818" t="e">
            <v>#N/A</v>
          </cell>
        </row>
        <row r="819">
          <cell r="A819" t="str">
            <v/>
          </cell>
          <cell r="B819" t="str">
            <v/>
          </cell>
          <cell r="C819" t="str">
            <v>Future</v>
          </cell>
          <cell r="D819" t="e">
            <v>#N/A</v>
          </cell>
          <cell r="E819">
            <v>-1.7502755905508616</v>
          </cell>
          <cell r="F819">
            <v>90.730039370080377</v>
          </cell>
          <cell r="G819">
            <v>49.627677165354221</v>
          </cell>
          <cell r="H819">
            <v>49.627677165354221</v>
          </cell>
          <cell r="I819" t="e">
            <v>#N/A</v>
          </cell>
          <cell r="J819" t="e">
            <v>#N/A</v>
          </cell>
          <cell r="K819">
            <v>90</v>
          </cell>
          <cell r="L819">
            <v>50</v>
          </cell>
          <cell r="M819" t="e">
            <v>#N/A</v>
          </cell>
          <cell r="N819">
            <v>80</v>
          </cell>
          <cell r="O819" t="e">
            <v>#N/A</v>
          </cell>
          <cell r="P819" t="str">
            <v/>
          </cell>
          <cell r="Q819" t="str">
            <v/>
          </cell>
          <cell r="R819" t="e">
            <v>#N/A</v>
          </cell>
        </row>
        <row r="820">
          <cell r="A820" t="str">
            <v/>
          </cell>
          <cell r="B820" t="str">
            <v/>
          </cell>
          <cell r="C820" t="str">
            <v>Future</v>
          </cell>
          <cell r="D820" t="e">
            <v>#N/A</v>
          </cell>
          <cell r="E820">
            <v>-2.0003149606296016</v>
          </cell>
          <cell r="F820">
            <v>90.83433070866306</v>
          </cell>
          <cell r="G820">
            <v>49.574488188976268</v>
          </cell>
          <cell r="H820">
            <v>49.574488188976268</v>
          </cell>
          <cell r="I820" t="e">
            <v>#N/A</v>
          </cell>
          <cell r="J820" t="e">
            <v>#N/A</v>
          </cell>
          <cell r="K820">
            <v>90</v>
          </cell>
          <cell r="L820">
            <v>50</v>
          </cell>
          <cell r="M820" t="e">
            <v>#N/A</v>
          </cell>
          <cell r="N820">
            <v>80</v>
          </cell>
          <cell r="O820" t="e">
            <v>#N/A</v>
          </cell>
          <cell r="P820" t="str">
            <v/>
          </cell>
          <cell r="Q820" t="str">
            <v/>
          </cell>
          <cell r="R820" t="e">
            <v>#N/A</v>
          </cell>
        </row>
        <row r="821">
          <cell r="A821" t="str">
            <v/>
          </cell>
          <cell r="B821" t="str">
            <v/>
          </cell>
          <cell r="C821" t="str">
            <v>Future</v>
          </cell>
          <cell r="D821" t="e">
            <v>#N/A</v>
          </cell>
          <cell r="E821">
            <v>-2.2503543307083418</v>
          </cell>
          <cell r="F821">
            <v>90.938622047245744</v>
          </cell>
          <cell r="G821">
            <v>49.521299212598315</v>
          </cell>
          <cell r="H821">
            <v>49.521299212598315</v>
          </cell>
          <cell r="I821" t="e">
            <v>#N/A</v>
          </cell>
          <cell r="J821" t="e">
            <v>#N/A</v>
          </cell>
          <cell r="K821">
            <v>90</v>
          </cell>
          <cell r="L821">
            <v>50</v>
          </cell>
          <cell r="M821" t="e">
            <v>#N/A</v>
          </cell>
          <cell r="N821">
            <v>80</v>
          </cell>
          <cell r="O821" t="e">
            <v>#N/A</v>
          </cell>
          <cell r="P821" t="str">
            <v/>
          </cell>
          <cell r="Q821" t="str">
            <v/>
          </cell>
          <cell r="R821" t="e">
            <v>#N/A</v>
          </cell>
        </row>
        <row r="822">
          <cell r="A822" t="str">
            <v/>
          </cell>
          <cell r="B822" t="str">
            <v/>
          </cell>
          <cell r="C822" t="str">
            <v>Future</v>
          </cell>
          <cell r="D822" t="e">
            <v>#N/A</v>
          </cell>
          <cell r="E822">
            <v>-2.500393700787082</v>
          </cell>
          <cell r="F822">
            <v>91.042913385828427</v>
          </cell>
          <cell r="G822">
            <v>49.468110236220362</v>
          </cell>
          <cell r="H822">
            <v>49.468110236220362</v>
          </cell>
          <cell r="I822" t="e">
            <v>#N/A</v>
          </cell>
          <cell r="J822" t="e">
            <v>#N/A</v>
          </cell>
          <cell r="K822">
            <v>90</v>
          </cell>
          <cell r="L822">
            <v>50</v>
          </cell>
          <cell r="M822" t="e">
            <v>#N/A</v>
          </cell>
          <cell r="N822">
            <v>80</v>
          </cell>
          <cell r="O822" t="e">
            <v>#N/A</v>
          </cell>
          <cell r="P822" t="str">
            <v/>
          </cell>
          <cell r="Q822" t="str">
            <v/>
          </cell>
          <cell r="R822" t="e">
            <v>#N/A</v>
          </cell>
        </row>
        <row r="823">
          <cell r="A823" t="str">
            <v/>
          </cell>
          <cell r="B823" t="str">
            <v/>
          </cell>
          <cell r="C823" t="str">
            <v>Future</v>
          </cell>
          <cell r="D823" t="e">
            <v>#N/A</v>
          </cell>
          <cell r="E823">
            <v>-2.7504330708658222</v>
          </cell>
          <cell r="F823">
            <v>91.147204724411111</v>
          </cell>
          <cell r="G823">
            <v>49.414921259842409</v>
          </cell>
          <cell r="H823">
            <v>49.414921259842409</v>
          </cell>
          <cell r="I823" t="e">
            <v>#N/A</v>
          </cell>
          <cell r="J823" t="e">
            <v>#N/A</v>
          </cell>
          <cell r="K823">
            <v>90</v>
          </cell>
          <cell r="L823">
            <v>50</v>
          </cell>
          <cell r="M823" t="e">
            <v>#N/A</v>
          </cell>
          <cell r="N823">
            <v>80</v>
          </cell>
          <cell r="O823" t="e">
            <v>#N/A</v>
          </cell>
          <cell r="P823" t="str">
            <v/>
          </cell>
          <cell r="Q823" t="str">
            <v/>
          </cell>
          <cell r="R823" t="e">
            <v>#N/A</v>
          </cell>
        </row>
        <row r="824">
          <cell r="A824" t="str">
            <v/>
          </cell>
          <cell r="B824" t="str">
            <v/>
          </cell>
          <cell r="C824" t="str">
            <v>Future</v>
          </cell>
          <cell r="D824" t="e">
            <v>#N/A</v>
          </cell>
          <cell r="E824">
            <v>-3.0004724409445624</v>
          </cell>
          <cell r="F824">
            <v>91.251496062993795</v>
          </cell>
          <cell r="G824">
            <v>49.361732283464455</v>
          </cell>
          <cell r="H824">
            <v>49.361732283464455</v>
          </cell>
          <cell r="I824" t="e">
            <v>#N/A</v>
          </cell>
          <cell r="J824" t="e">
            <v>#N/A</v>
          </cell>
          <cell r="K824">
            <v>90</v>
          </cell>
          <cell r="L824">
            <v>50</v>
          </cell>
          <cell r="M824" t="e">
            <v>#N/A</v>
          </cell>
          <cell r="N824">
            <v>80</v>
          </cell>
          <cell r="O824" t="e">
            <v>#N/A</v>
          </cell>
          <cell r="P824" t="str">
            <v/>
          </cell>
          <cell r="Q824" t="str">
            <v/>
          </cell>
          <cell r="R824" t="e">
            <v>#N/A</v>
          </cell>
        </row>
        <row r="825">
          <cell r="A825" t="str">
            <v/>
          </cell>
          <cell r="B825" t="str">
            <v/>
          </cell>
          <cell r="C825" t="str">
            <v>Future</v>
          </cell>
          <cell r="D825" t="e">
            <v>#N/A</v>
          </cell>
          <cell r="E825">
            <v>-3.2505118110233027</v>
          </cell>
          <cell r="F825">
            <v>91.355787401576478</v>
          </cell>
          <cell r="G825">
            <v>49.308543307086502</v>
          </cell>
          <cell r="H825">
            <v>49.308543307086502</v>
          </cell>
          <cell r="I825" t="e">
            <v>#N/A</v>
          </cell>
          <cell r="J825" t="e">
            <v>#N/A</v>
          </cell>
          <cell r="K825">
            <v>90</v>
          </cell>
          <cell r="L825">
            <v>50</v>
          </cell>
          <cell r="M825" t="e">
            <v>#N/A</v>
          </cell>
          <cell r="N825">
            <v>80</v>
          </cell>
          <cell r="O825" t="e">
            <v>#N/A</v>
          </cell>
          <cell r="P825" t="str">
            <v/>
          </cell>
          <cell r="Q825" t="str">
            <v/>
          </cell>
          <cell r="R825" t="e">
            <v>#N/A</v>
          </cell>
        </row>
        <row r="826">
          <cell r="A826" t="str">
            <v/>
          </cell>
          <cell r="B826" t="str">
            <v/>
          </cell>
          <cell r="C826" t="str">
            <v>Future</v>
          </cell>
          <cell r="D826" t="e">
            <v>#N/A</v>
          </cell>
          <cell r="E826">
            <v>-3.5005511811020429</v>
          </cell>
          <cell r="F826">
            <v>91.460078740159162</v>
          </cell>
          <cell r="G826">
            <v>49.255354330708549</v>
          </cell>
          <cell r="H826">
            <v>49.255354330708549</v>
          </cell>
          <cell r="I826" t="e">
            <v>#N/A</v>
          </cell>
          <cell r="J826" t="e">
            <v>#N/A</v>
          </cell>
          <cell r="K826">
            <v>90</v>
          </cell>
          <cell r="L826">
            <v>50</v>
          </cell>
          <cell r="M826" t="e">
            <v>#N/A</v>
          </cell>
          <cell r="N826">
            <v>80</v>
          </cell>
          <cell r="O826" t="e">
            <v>#N/A</v>
          </cell>
          <cell r="P826" t="str">
            <v/>
          </cell>
          <cell r="Q826" t="str">
            <v/>
          </cell>
          <cell r="R826" t="e">
            <v>#N/A</v>
          </cell>
        </row>
        <row r="827">
          <cell r="A827" t="str">
            <v/>
          </cell>
          <cell r="B827" t="str">
            <v/>
          </cell>
          <cell r="C827" t="str">
            <v>Future</v>
          </cell>
          <cell r="D827" t="e">
            <v>#N/A</v>
          </cell>
          <cell r="E827">
            <v>-3.7505905511807831</v>
          </cell>
          <cell r="F827">
            <v>91.564370078741845</v>
          </cell>
          <cell r="G827">
            <v>49.202165354330596</v>
          </cell>
          <cell r="H827">
            <v>49.202165354330596</v>
          </cell>
          <cell r="I827" t="e">
            <v>#N/A</v>
          </cell>
          <cell r="J827" t="e">
            <v>#N/A</v>
          </cell>
          <cell r="K827">
            <v>90</v>
          </cell>
          <cell r="L827">
            <v>50</v>
          </cell>
          <cell r="M827" t="e">
            <v>#N/A</v>
          </cell>
          <cell r="N827">
            <v>80</v>
          </cell>
          <cell r="O827" t="e">
            <v>#N/A</v>
          </cell>
          <cell r="P827" t="str">
            <v/>
          </cell>
          <cell r="Q827" t="str">
            <v/>
          </cell>
          <cell r="R827" t="e">
            <v>#N/A</v>
          </cell>
        </row>
        <row r="828">
          <cell r="A828" t="str">
            <v/>
          </cell>
          <cell r="B828" t="str">
            <v/>
          </cell>
          <cell r="C828" t="str">
            <v>Future</v>
          </cell>
          <cell r="D828" t="e">
            <v>#N/A</v>
          </cell>
          <cell r="E828">
            <v>-4.0006299212595229</v>
          </cell>
          <cell r="F828">
            <v>91.668661417324529</v>
          </cell>
          <cell r="G828">
            <v>49.148976377952643</v>
          </cell>
          <cell r="H828">
            <v>49.148976377952643</v>
          </cell>
          <cell r="I828" t="e">
            <v>#N/A</v>
          </cell>
          <cell r="J828" t="e">
            <v>#N/A</v>
          </cell>
          <cell r="K828">
            <v>90</v>
          </cell>
          <cell r="L828">
            <v>50</v>
          </cell>
          <cell r="M828" t="e">
            <v>#N/A</v>
          </cell>
          <cell r="N828">
            <v>80</v>
          </cell>
          <cell r="O828" t="e">
            <v>#N/A</v>
          </cell>
          <cell r="P828" t="str">
            <v/>
          </cell>
          <cell r="Q828" t="str">
            <v/>
          </cell>
          <cell r="R828" t="e">
            <v>#N/A</v>
          </cell>
        </row>
        <row r="829">
          <cell r="A829" t="str">
            <v/>
          </cell>
          <cell r="B829" t="str">
            <v/>
          </cell>
          <cell r="C829" t="str">
            <v>Future</v>
          </cell>
          <cell r="D829" t="e">
            <v>#N/A</v>
          </cell>
          <cell r="E829">
            <v>-4.2506692913382631</v>
          </cell>
          <cell r="F829">
            <v>91.772952755907212</v>
          </cell>
          <cell r="G829">
            <v>49.09578740157469</v>
          </cell>
          <cell r="H829">
            <v>49.09578740157469</v>
          </cell>
          <cell r="I829" t="e">
            <v>#N/A</v>
          </cell>
          <cell r="J829" t="e">
            <v>#N/A</v>
          </cell>
          <cell r="K829">
            <v>90</v>
          </cell>
          <cell r="L829">
            <v>50</v>
          </cell>
          <cell r="M829" t="e">
            <v>#N/A</v>
          </cell>
          <cell r="N829">
            <v>80</v>
          </cell>
          <cell r="O829" t="e">
            <v>#N/A</v>
          </cell>
          <cell r="P829" t="str">
            <v/>
          </cell>
          <cell r="Q829" t="str">
            <v/>
          </cell>
          <cell r="R829" t="e">
            <v>#N/A</v>
          </cell>
        </row>
        <row r="830">
          <cell r="A830" t="str">
            <v/>
          </cell>
          <cell r="B830" t="str">
            <v/>
          </cell>
          <cell r="C830" t="str">
            <v>Future</v>
          </cell>
          <cell r="D830" t="e">
            <v>#N/A</v>
          </cell>
          <cell r="E830">
            <v>-4.5007086614170033</v>
          </cell>
          <cell r="F830">
            <v>91.877244094489896</v>
          </cell>
          <cell r="G830">
            <v>49.042598425196736</v>
          </cell>
          <cell r="H830">
            <v>49.042598425196736</v>
          </cell>
          <cell r="I830" t="e">
            <v>#N/A</v>
          </cell>
          <cell r="J830" t="e">
            <v>#N/A</v>
          </cell>
          <cell r="K830">
            <v>90</v>
          </cell>
          <cell r="L830">
            <v>50</v>
          </cell>
          <cell r="M830" t="e">
            <v>#N/A</v>
          </cell>
          <cell r="N830">
            <v>80</v>
          </cell>
          <cell r="O830" t="e">
            <v>#N/A</v>
          </cell>
          <cell r="P830" t="str">
            <v/>
          </cell>
          <cell r="Q830" t="str">
            <v/>
          </cell>
          <cell r="R830" t="e">
            <v>#N/A</v>
          </cell>
        </row>
        <row r="831">
          <cell r="A831" t="str">
            <v/>
          </cell>
          <cell r="B831" t="str">
            <v/>
          </cell>
          <cell r="C831" t="str">
            <v>Future</v>
          </cell>
          <cell r="D831" t="e">
            <v>#N/A</v>
          </cell>
          <cell r="E831">
            <v>-4.7507480314957435</v>
          </cell>
          <cell r="F831">
            <v>91.98153543307258</v>
          </cell>
          <cell r="G831">
            <v>48.989409448818783</v>
          </cell>
          <cell r="H831">
            <v>48.989409448818783</v>
          </cell>
          <cell r="I831" t="e">
            <v>#N/A</v>
          </cell>
          <cell r="J831" t="e">
            <v>#N/A</v>
          </cell>
          <cell r="K831">
            <v>90</v>
          </cell>
          <cell r="L831">
            <v>50</v>
          </cell>
          <cell r="M831" t="e">
            <v>#N/A</v>
          </cell>
          <cell r="N831">
            <v>80</v>
          </cell>
          <cell r="O831" t="e">
            <v>#N/A</v>
          </cell>
          <cell r="P831" t="str">
            <v/>
          </cell>
          <cell r="Q831" t="str">
            <v/>
          </cell>
          <cell r="R831" t="e">
            <v>#N/A</v>
          </cell>
        </row>
        <row r="832">
          <cell r="A832" t="str">
            <v/>
          </cell>
          <cell r="B832" t="str">
            <v/>
          </cell>
          <cell r="C832" t="str">
            <v>Future</v>
          </cell>
          <cell r="D832" t="e">
            <v>#N/A</v>
          </cell>
          <cell r="E832">
            <v>-5.0007874015744838</v>
          </cell>
          <cell r="F832">
            <v>92.085826771655263</v>
          </cell>
          <cell r="G832">
            <v>48.93622047244083</v>
          </cell>
          <cell r="H832">
            <v>48.93622047244083</v>
          </cell>
          <cell r="I832" t="e">
            <v>#N/A</v>
          </cell>
          <cell r="J832" t="e">
            <v>#N/A</v>
          </cell>
          <cell r="K832">
            <v>90</v>
          </cell>
          <cell r="L832">
            <v>50</v>
          </cell>
          <cell r="M832" t="e">
            <v>#N/A</v>
          </cell>
          <cell r="N832">
            <v>80</v>
          </cell>
          <cell r="O832" t="e">
            <v>#N/A</v>
          </cell>
          <cell r="P832" t="str">
            <v/>
          </cell>
          <cell r="Q832" t="str">
            <v/>
          </cell>
          <cell r="R832" t="e">
            <v>#N/A</v>
          </cell>
        </row>
        <row r="833">
          <cell r="A833" t="str">
            <v/>
          </cell>
          <cell r="B833" t="str">
            <v/>
          </cell>
          <cell r="C833" t="str">
            <v>Future</v>
          </cell>
          <cell r="D833" t="e">
            <v>#N/A</v>
          </cell>
          <cell r="E833">
            <v>-5.250826771653224</v>
          </cell>
          <cell r="F833">
            <v>92.190118110237947</v>
          </cell>
          <cell r="G833">
            <v>48.883031496062877</v>
          </cell>
          <cell r="H833">
            <v>48.883031496062877</v>
          </cell>
          <cell r="I833" t="e">
            <v>#N/A</v>
          </cell>
          <cell r="J833" t="e">
            <v>#N/A</v>
          </cell>
          <cell r="K833">
            <v>90</v>
          </cell>
          <cell r="L833">
            <v>50</v>
          </cell>
          <cell r="M833" t="e">
            <v>#N/A</v>
          </cell>
          <cell r="N833">
            <v>80</v>
          </cell>
          <cell r="O833" t="e">
            <v>#N/A</v>
          </cell>
          <cell r="P833" t="str">
            <v/>
          </cell>
          <cell r="Q833" t="str">
            <v/>
          </cell>
          <cell r="R833" t="e">
            <v>#N/A</v>
          </cell>
        </row>
        <row r="834">
          <cell r="A834" t="str">
            <v/>
          </cell>
          <cell r="B834" t="str">
            <v/>
          </cell>
          <cell r="C834" t="str">
            <v>Future</v>
          </cell>
          <cell r="D834" t="e">
            <v>#N/A</v>
          </cell>
          <cell r="E834">
            <v>-5.5008661417319642</v>
          </cell>
          <cell r="F834">
            <v>92.29440944882063</v>
          </cell>
          <cell r="G834">
            <v>48.829842519684924</v>
          </cell>
          <cell r="H834">
            <v>48.829842519684924</v>
          </cell>
          <cell r="I834" t="e">
            <v>#N/A</v>
          </cell>
          <cell r="J834" t="e">
            <v>#N/A</v>
          </cell>
          <cell r="K834">
            <v>90</v>
          </cell>
          <cell r="L834">
            <v>50</v>
          </cell>
          <cell r="M834" t="e">
            <v>#N/A</v>
          </cell>
          <cell r="N834">
            <v>80</v>
          </cell>
          <cell r="O834" t="e">
            <v>#N/A</v>
          </cell>
          <cell r="P834" t="str">
            <v/>
          </cell>
          <cell r="Q834" t="str">
            <v/>
          </cell>
          <cell r="R834" t="e">
            <v>#N/A</v>
          </cell>
        </row>
        <row r="835">
          <cell r="A835" t="str">
            <v/>
          </cell>
          <cell r="B835" t="str">
            <v/>
          </cell>
          <cell r="C835" t="str">
            <v>Future</v>
          </cell>
          <cell r="D835" t="e">
            <v>#N/A</v>
          </cell>
          <cell r="E835">
            <v>-5.7509055118107044</v>
          </cell>
          <cell r="F835">
            <v>92.398700787403314</v>
          </cell>
          <cell r="G835">
            <v>48.776653543306971</v>
          </cell>
          <cell r="H835">
            <v>48.776653543306971</v>
          </cell>
          <cell r="I835" t="e">
            <v>#N/A</v>
          </cell>
          <cell r="J835" t="e">
            <v>#N/A</v>
          </cell>
          <cell r="K835">
            <v>90</v>
          </cell>
          <cell r="L835">
            <v>50</v>
          </cell>
          <cell r="M835" t="e">
            <v>#N/A</v>
          </cell>
          <cell r="N835">
            <v>80</v>
          </cell>
          <cell r="O835" t="e">
            <v>#N/A</v>
          </cell>
          <cell r="P835" t="str">
            <v/>
          </cell>
          <cell r="Q835" t="str">
            <v/>
          </cell>
          <cell r="R835" t="e">
            <v>#N/A</v>
          </cell>
        </row>
        <row r="836">
          <cell r="A836" t="str">
            <v/>
          </cell>
          <cell r="B836" t="str">
            <v/>
          </cell>
          <cell r="C836" t="str">
            <v>Future</v>
          </cell>
          <cell r="D836" t="e">
            <v>#N/A</v>
          </cell>
          <cell r="E836">
            <v>-6.0009448818894446</v>
          </cell>
          <cell r="F836">
            <v>92.502992125985998</v>
          </cell>
          <cell r="G836">
            <v>48.723464566929017</v>
          </cell>
          <cell r="H836">
            <v>48.723464566929017</v>
          </cell>
          <cell r="I836" t="e">
            <v>#N/A</v>
          </cell>
          <cell r="J836" t="e">
            <v>#N/A</v>
          </cell>
          <cell r="K836">
            <v>90</v>
          </cell>
          <cell r="L836">
            <v>50</v>
          </cell>
          <cell r="M836" t="e">
            <v>#N/A</v>
          </cell>
          <cell r="N836">
            <v>80</v>
          </cell>
          <cell r="O836" t="e">
            <v>#N/A</v>
          </cell>
          <cell r="P836" t="str">
            <v/>
          </cell>
          <cell r="Q836" t="str">
            <v/>
          </cell>
          <cell r="R836" t="e">
            <v>#N/A</v>
          </cell>
        </row>
        <row r="837">
          <cell r="A837" t="str">
            <v/>
          </cell>
          <cell r="B837" t="str">
            <v/>
          </cell>
          <cell r="C837" t="str">
            <v>Future</v>
          </cell>
          <cell r="D837" t="e">
            <v>#N/A</v>
          </cell>
          <cell r="E837">
            <v>-6.2509842519681849</v>
          </cell>
          <cell r="F837">
            <v>92.607283464568681</v>
          </cell>
          <cell r="G837">
            <v>48.670275590551064</v>
          </cell>
          <cell r="H837">
            <v>48.670275590551064</v>
          </cell>
          <cell r="I837" t="e">
            <v>#N/A</v>
          </cell>
          <cell r="J837" t="e">
            <v>#N/A</v>
          </cell>
          <cell r="K837">
            <v>90</v>
          </cell>
          <cell r="L837">
            <v>50</v>
          </cell>
          <cell r="M837" t="e">
            <v>#N/A</v>
          </cell>
          <cell r="N837">
            <v>80</v>
          </cell>
          <cell r="O837" t="e">
            <v>#N/A</v>
          </cell>
          <cell r="P837" t="str">
            <v/>
          </cell>
          <cell r="Q837" t="str">
            <v/>
          </cell>
          <cell r="R837" t="e">
            <v>#N/A</v>
          </cell>
        </row>
        <row r="838">
          <cell r="A838" t="str">
            <v/>
          </cell>
          <cell r="B838" t="str">
            <v/>
          </cell>
          <cell r="C838" t="str">
            <v>Future</v>
          </cell>
          <cell r="D838" t="e">
            <v>#N/A</v>
          </cell>
          <cell r="E838">
            <v>-6.5010236220469251</v>
          </cell>
          <cell r="F838">
            <v>92.711574803151365</v>
          </cell>
          <cell r="G838">
            <v>48.617086614173111</v>
          </cell>
          <cell r="H838">
            <v>48.617086614173111</v>
          </cell>
          <cell r="I838" t="e">
            <v>#N/A</v>
          </cell>
          <cell r="J838" t="e">
            <v>#N/A</v>
          </cell>
          <cell r="K838">
            <v>90</v>
          </cell>
          <cell r="L838">
            <v>50</v>
          </cell>
          <cell r="M838" t="e">
            <v>#N/A</v>
          </cell>
          <cell r="N838">
            <v>80</v>
          </cell>
          <cell r="O838" t="e">
            <v>#N/A</v>
          </cell>
          <cell r="P838" t="str">
            <v/>
          </cell>
          <cell r="Q838" t="str">
            <v/>
          </cell>
          <cell r="R838" t="e">
            <v>#N/A</v>
          </cell>
        </row>
        <row r="839">
          <cell r="A839" t="str">
            <v/>
          </cell>
          <cell r="B839" t="str">
            <v/>
          </cell>
          <cell r="C839" t="str">
            <v>Future</v>
          </cell>
          <cell r="D839" t="e">
            <v>#N/A</v>
          </cell>
          <cell r="E839">
            <v>-6.7510629921256653</v>
          </cell>
          <cell r="F839">
            <v>92.815866141734048</v>
          </cell>
          <cell r="G839">
            <v>48.563897637795158</v>
          </cell>
          <cell r="H839">
            <v>48.563897637795158</v>
          </cell>
          <cell r="I839" t="e">
            <v>#N/A</v>
          </cell>
          <cell r="J839" t="e">
            <v>#N/A</v>
          </cell>
          <cell r="K839">
            <v>90</v>
          </cell>
          <cell r="L839">
            <v>50</v>
          </cell>
          <cell r="M839" t="e">
            <v>#N/A</v>
          </cell>
          <cell r="N839">
            <v>80</v>
          </cell>
          <cell r="O839" t="e">
            <v>#N/A</v>
          </cell>
          <cell r="P839" t="str">
            <v/>
          </cell>
          <cell r="Q839" t="str">
            <v/>
          </cell>
          <cell r="R839" t="e">
            <v>#N/A</v>
          </cell>
        </row>
        <row r="840">
          <cell r="A840" t="str">
            <v/>
          </cell>
          <cell r="B840" t="str">
            <v/>
          </cell>
          <cell r="C840" t="str">
            <v>Future</v>
          </cell>
          <cell r="D840" t="e">
            <v>#N/A</v>
          </cell>
          <cell r="E840">
            <v>-7.0011023622044055</v>
          </cell>
          <cell r="F840">
            <v>92.920157480316732</v>
          </cell>
          <cell r="G840">
            <v>48.510708661417205</v>
          </cell>
          <cell r="H840">
            <v>48.510708661417205</v>
          </cell>
          <cell r="I840" t="e">
            <v>#N/A</v>
          </cell>
          <cell r="J840" t="e">
            <v>#N/A</v>
          </cell>
          <cell r="K840">
            <v>90</v>
          </cell>
          <cell r="L840">
            <v>50</v>
          </cell>
          <cell r="M840" t="e">
            <v>#N/A</v>
          </cell>
          <cell r="N840">
            <v>80</v>
          </cell>
          <cell r="O840" t="e">
            <v>#N/A</v>
          </cell>
          <cell r="P840" t="str">
            <v/>
          </cell>
          <cell r="Q840" t="str">
            <v/>
          </cell>
          <cell r="R840" t="e">
            <v>#N/A</v>
          </cell>
        </row>
        <row r="841">
          <cell r="A841" t="str">
            <v/>
          </cell>
          <cell r="B841" t="str">
            <v/>
          </cell>
          <cell r="C841" t="str">
            <v>Future</v>
          </cell>
          <cell r="D841" t="e">
            <v>#N/A</v>
          </cell>
          <cell r="E841">
            <v>-7.2511417322831457</v>
          </cell>
          <cell r="F841">
            <v>93.024448818899415</v>
          </cell>
          <cell r="G841">
            <v>48.457519685039252</v>
          </cell>
          <cell r="H841">
            <v>48.457519685039252</v>
          </cell>
          <cell r="I841" t="e">
            <v>#N/A</v>
          </cell>
          <cell r="J841" t="e">
            <v>#N/A</v>
          </cell>
          <cell r="K841">
            <v>90</v>
          </cell>
          <cell r="L841">
            <v>50</v>
          </cell>
          <cell r="M841" t="e">
            <v>#N/A</v>
          </cell>
          <cell r="N841">
            <v>80</v>
          </cell>
          <cell r="O841" t="e">
            <v>#N/A</v>
          </cell>
          <cell r="P841" t="str">
            <v/>
          </cell>
          <cell r="Q841" t="str">
            <v/>
          </cell>
          <cell r="R841" t="e">
            <v>#N/A</v>
          </cell>
        </row>
        <row r="842">
          <cell r="A842" t="str">
            <v/>
          </cell>
          <cell r="B842" t="str">
            <v/>
          </cell>
          <cell r="C842" t="str">
            <v>Future</v>
          </cell>
          <cell r="D842" t="e">
            <v>#N/A</v>
          </cell>
          <cell r="E842">
            <v>-7.501181102361886</v>
          </cell>
          <cell r="F842">
            <v>93.128740157482099</v>
          </cell>
          <cell r="G842">
            <v>48.404330708661298</v>
          </cell>
          <cell r="H842">
            <v>48.404330708661298</v>
          </cell>
          <cell r="I842" t="e">
            <v>#N/A</v>
          </cell>
          <cell r="J842" t="e">
            <v>#N/A</v>
          </cell>
          <cell r="K842">
            <v>90</v>
          </cell>
          <cell r="L842">
            <v>50</v>
          </cell>
          <cell r="M842" t="e">
            <v>#N/A</v>
          </cell>
          <cell r="N842">
            <v>80</v>
          </cell>
          <cell r="O842" t="e">
            <v>#N/A</v>
          </cell>
          <cell r="P842" t="str">
            <v/>
          </cell>
          <cell r="Q842" t="str">
            <v/>
          </cell>
          <cell r="R842" t="e">
            <v>#N/A</v>
          </cell>
        </row>
        <row r="843">
          <cell r="A843" t="str">
            <v/>
          </cell>
          <cell r="B843" t="str">
            <v/>
          </cell>
          <cell r="C843" t="str">
            <v>Future</v>
          </cell>
          <cell r="D843" t="e">
            <v>#N/A</v>
          </cell>
          <cell r="E843">
            <v>-7.7512204724406262</v>
          </cell>
          <cell r="F843">
            <v>93.233031496064783</v>
          </cell>
          <cell r="G843">
            <v>48.351141732283345</v>
          </cell>
          <cell r="H843">
            <v>48.351141732283345</v>
          </cell>
          <cell r="I843" t="e">
            <v>#N/A</v>
          </cell>
          <cell r="J843" t="e">
            <v>#N/A</v>
          </cell>
          <cell r="K843">
            <v>90</v>
          </cell>
          <cell r="L843">
            <v>50</v>
          </cell>
          <cell r="M843" t="e">
            <v>#N/A</v>
          </cell>
          <cell r="N843">
            <v>80</v>
          </cell>
          <cell r="O843" t="e">
            <v>#N/A</v>
          </cell>
          <cell r="P843" t="str">
            <v/>
          </cell>
          <cell r="Q843" t="str">
            <v/>
          </cell>
          <cell r="R843" t="e">
            <v>#N/A</v>
          </cell>
        </row>
        <row r="844">
          <cell r="A844" t="str">
            <v/>
          </cell>
          <cell r="B844" t="str">
            <v/>
          </cell>
          <cell r="C844" t="str">
            <v>Future</v>
          </cell>
          <cell r="D844" t="e">
            <v>#N/A</v>
          </cell>
          <cell r="E844">
            <v>-8.0012598425193655</v>
          </cell>
          <cell r="F844">
            <v>93.337322834647466</v>
          </cell>
          <cell r="G844">
            <v>48.297952755905392</v>
          </cell>
          <cell r="H844">
            <v>48.297952755905392</v>
          </cell>
          <cell r="I844" t="e">
            <v>#N/A</v>
          </cell>
          <cell r="J844" t="e">
            <v>#N/A</v>
          </cell>
          <cell r="K844">
            <v>90</v>
          </cell>
          <cell r="L844">
            <v>50</v>
          </cell>
          <cell r="M844" t="e">
            <v>#N/A</v>
          </cell>
          <cell r="N844">
            <v>80</v>
          </cell>
          <cell r="O844" t="e">
            <v>#N/A</v>
          </cell>
          <cell r="P844" t="str">
            <v/>
          </cell>
          <cell r="Q844" t="str">
            <v/>
          </cell>
          <cell r="R844" t="e">
            <v>#N/A</v>
          </cell>
        </row>
        <row r="845">
          <cell r="A845" t="str">
            <v/>
          </cell>
          <cell r="B845" t="str">
            <v/>
          </cell>
          <cell r="C845" t="str">
            <v>Future</v>
          </cell>
          <cell r="D845" t="e">
            <v>#N/A</v>
          </cell>
          <cell r="E845">
            <v>-8.2512992125981057</v>
          </cell>
          <cell r="F845">
            <v>93.44161417323015</v>
          </cell>
          <cell r="G845">
            <v>48.244763779527439</v>
          </cell>
          <cell r="H845">
            <v>48.244763779527439</v>
          </cell>
          <cell r="I845" t="e">
            <v>#N/A</v>
          </cell>
          <cell r="J845" t="e">
            <v>#N/A</v>
          </cell>
          <cell r="K845">
            <v>90</v>
          </cell>
          <cell r="L845">
            <v>50</v>
          </cell>
          <cell r="M845" t="e">
            <v>#N/A</v>
          </cell>
          <cell r="N845">
            <v>80</v>
          </cell>
          <cell r="O845" t="e">
            <v>#N/A</v>
          </cell>
          <cell r="P845" t="str">
            <v/>
          </cell>
          <cell r="Q845" t="str">
            <v/>
          </cell>
          <cell r="R845" t="e">
            <v>#N/A</v>
          </cell>
        </row>
        <row r="846">
          <cell r="A846" t="str">
            <v/>
          </cell>
          <cell r="B846" t="str">
            <v/>
          </cell>
          <cell r="C846" t="str">
            <v>Future</v>
          </cell>
          <cell r="D846" t="e">
            <v>#N/A</v>
          </cell>
          <cell r="E846">
            <v>-8.5013385826768459</v>
          </cell>
          <cell r="F846">
            <v>93.545905511812833</v>
          </cell>
          <cell r="G846">
            <v>48.191574803149486</v>
          </cell>
          <cell r="H846">
            <v>48.191574803149486</v>
          </cell>
          <cell r="I846" t="e">
            <v>#N/A</v>
          </cell>
          <cell r="J846" t="e">
            <v>#N/A</v>
          </cell>
          <cell r="K846">
            <v>90</v>
          </cell>
          <cell r="L846">
            <v>50</v>
          </cell>
          <cell r="M846" t="e">
            <v>#N/A</v>
          </cell>
          <cell r="N846">
            <v>80</v>
          </cell>
          <cell r="O846" t="e">
            <v>#N/A</v>
          </cell>
          <cell r="P846" t="str">
            <v/>
          </cell>
          <cell r="Q846" t="str">
            <v/>
          </cell>
          <cell r="R846" t="e">
            <v>#N/A</v>
          </cell>
        </row>
        <row r="847">
          <cell r="A847" t="str">
            <v/>
          </cell>
          <cell r="B847" t="str">
            <v/>
          </cell>
          <cell r="C847" t="str">
            <v>Future</v>
          </cell>
          <cell r="D847" t="e">
            <v>#N/A</v>
          </cell>
          <cell r="E847">
            <v>-8.7513779527555862</v>
          </cell>
          <cell r="F847">
            <v>93.650196850395517</v>
          </cell>
          <cell r="G847">
            <v>48.138385826771533</v>
          </cell>
          <cell r="H847">
            <v>48.138385826771533</v>
          </cell>
          <cell r="I847" t="e">
            <v>#N/A</v>
          </cell>
          <cell r="J847" t="e">
            <v>#N/A</v>
          </cell>
          <cell r="K847">
            <v>90</v>
          </cell>
          <cell r="L847">
            <v>50</v>
          </cell>
          <cell r="M847" t="e">
            <v>#N/A</v>
          </cell>
          <cell r="N847">
            <v>80</v>
          </cell>
          <cell r="O847" t="e">
            <v>#N/A</v>
          </cell>
          <cell r="P847" t="str">
            <v/>
          </cell>
          <cell r="Q847" t="str">
            <v/>
          </cell>
          <cell r="R847" t="e">
            <v>#N/A</v>
          </cell>
        </row>
        <row r="848">
          <cell r="A848" t="str">
            <v/>
          </cell>
          <cell r="B848" t="str">
            <v/>
          </cell>
          <cell r="C848" t="str">
            <v>Future</v>
          </cell>
          <cell r="D848" t="e">
            <v>#N/A</v>
          </cell>
          <cell r="E848">
            <v>-9.0014173228343264</v>
          </cell>
          <cell r="F848">
            <v>93.7544881889782</v>
          </cell>
          <cell r="G848">
            <v>48.085196850393579</v>
          </cell>
          <cell r="H848">
            <v>48.085196850393579</v>
          </cell>
          <cell r="I848" t="e">
            <v>#N/A</v>
          </cell>
          <cell r="J848" t="e">
            <v>#N/A</v>
          </cell>
          <cell r="K848">
            <v>90</v>
          </cell>
          <cell r="L848">
            <v>50</v>
          </cell>
          <cell r="M848" t="e">
            <v>#N/A</v>
          </cell>
          <cell r="N848">
            <v>80</v>
          </cell>
          <cell r="O848" t="e">
            <v>#N/A</v>
          </cell>
          <cell r="P848" t="str">
            <v/>
          </cell>
          <cell r="Q848" t="str">
            <v/>
          </cell>
          <cell r="R848" t="e">
            <v>#N/A</v>
          </cell>
        </row>
        <row r="849">
          <cell r="A849" t="str">
            <v/>
          </cell>
          <cell r="B849" t="str">
            <v/>
          </cell>
          <cell r="C849" t="str">
            <v>Future</v>
          </cell>
          <cell r="D849" t="e">
            <v>#N/A</v>
          </cell>
          <cell r="E849">
            <v>-9.2514566929130666</v>
          </cell>
          <cell r="F849">
            <v>93.858779527560884</v>
          </cell>
          <cell r="G849">
            <v>48.032007874015626</v>
          </cell>
          <cell r="H849">
            <v>48.032007874015626</v>
          </cell>
          <cell r="I849" t="e">
            <v>#N/A</v>
          </cell>
          <cell r="J849" t="e">
            <v>#N/A</v>
          </cell>
          <cell r="K849">
            <v>90</v>
          </cell>
          <cell r="L849">
            <v>50</v>
          </cell>
          <cell r="M849" t="e">
            <v>#N/A</v>
          </cell>
          <cell r="N849">
            <v>80</v>
          </cell>
          <cell r="O849" t="e">
            <v>#N/A</v>
          </cell>
          <cell r="P849" t="str">
            <v/>
          </cell>
          <cell r="Q849" t="str">
            <v/>
          </cell>
          <cell r="R849" t="e">
            <v>#N/A</v>
          </cell>
        </row>
        <row r="850">
          <cell r="A850" t="str">
            <v/>
          </cell>
          <cell r="B850" t="str">
            <v/>
          </cell>
          <cell r="C850" t="str">
            <v>Future</v>
          </cell>
          <cell r="D850" t="e">
            <v>#N/A</v>
          </cell>
          <cell r="E850">
            <v>-9.5014960629918068</v>
          </cell>
          <cell r="F850">
            <v>93.963070866143568</v>
          </cell>
          <cell r="G850">
            <v>47.978818897637673</v>
          </cell>
          <cell r="H850">
            <v>47.978818897637673</v>
          </cell>
          <cell r="I850" t="e">
            <v>#N/A</v>
          </cell>
          <cell r="J850" t="e">
            <v>#N/A</v>
          </cell>
          <cell r="K850">
            <v>90</v>
          </cell>
          <cell r="L850">
            <v>50</v>
          </cell>
          <cell r="M850" t="e">
            <v>#N/A</v>
          </cell>
          <cell r="N850">
            <v>80</v>
          </cell>
          <cell r="O850" t="e">
            <v>#N/A</v>
          </cell>
          <cell r="P850" t="str">
            <v/>
          </cell>
          <cell r="Q850" t="str">
            <v/>
          </cell>
          <cell r="R850" t="e">
            <v>#N/A</v>
          </cell>
        </row>
        <row r="851">
          <cell r="A851" t="str">
            <v/>
          </cell>
          <cell r="B851" t="str">
            <v/>
          </cell>
          <cell r="C851" t="str">
            <v>Future</v>
          </cell>
          <cell r="D851" t="e">
            <v>#N/A</v>
          </cell>
          <cell r="E851">
            <v>-9.751535433070547</v>
          </cell>
          <cell r="F851">
            <v>94.067362204726251</v>
          </cell>
          <cell r="G851">
            <v>47.92562992125972</v>
          </cell>
          <cell r="H851">
            <v>47.92562992125972</v>
          </cell>
          <cell r="I851" t="e">
            <v>#N/A</v>
          </cell>
          <cell r="J851" t="e">
            <v>#N/A</v>
          </cell>
          <cell r="K851">
            <v>90</v>
          </cell>
          <cell r="L851">
            <v>50</v>
          </cell>
          <cell r="M851" t="e">
            <v>#N/A</v>
          </cell>
          <cell r="N851">
            <v>80</v>
          </cell>
          <cell r="O851" t="e">
            <v>#N/A</v>
          </cell>
          <cell r="P851" t="str">
            <v/>
          </cell>
          <cell r="Q851" t="str">
            <v/>
          </cell>
          <cell r="R851" t="e">
            <v>#N/A</v>
          </cell>
        </row>
        <row r="852">
          <cell r="A852" t="str">
            <v/>
          </cell>
          <cell r="B852" t="str">
            <v/>
          </cell>
          <cell r="C852" t="str">
            <v>Future</v>
          </cell>
          <cell r="D852" t="e">
            <v>#N/A</v>
          </cell>
          <cell r="E852">
            <v>-10.001574803149287</v>
          </cell>
          <cell r="F852">
            <v>94.171653543308935</v>
          </cell>
          <cell r="G852">
            <v>47.872440944881767</v>
          </cell>
          <cell r="H852">
            <v>47.872440944881767</v>
          </cell>
          <cell r="I852" t="e">
            <v>#N/A</v>
          </cell>
          <cell r="J852" t="e">
            <v>#N/A</v>
          </cell>
          <cell r="K852">
            <v>90</v>
          </cell>
          <cell r="L852">
            <v>50</v>
          </cell>
          <cell r="M852" t="e">
            <v>#N/A</v>
          </cell>
          <cell r="N852">
            <v>80</v>
          </cell>
          <cell r="O852" t="e">
            <v>#N/A</v>
          </cell>
          <cell r="P852" t="str">
            <v/>
          </cell>
          <cell r="Q852" t="str">
            <v/>
          </cell>
          <cell r="R852" t="e">
            <v>#N/A</v>
          </cell>
        </row>
        <row r="853">
          <cell r="A853" t="str">
            <v/>
          </cell>
          <cell r="B853" t="str">
            <v/>
          </cell>
          <cell r="C853" t="str">
            <v>Future</v>
          </cell>
          <cell r="D853" t="e">
            <v>#N/A</v>
          </cell>
          <cell r="E853">
            <v>-10.251614173228027</v>
          </cell>
          <cell r="F853">
            <v>94.275944881891618</v>
          </cell>
          <cell r="G853">
            <v>47.819251968503814</v>
          </cell>
          <cell r="H853">
            <v>47.819251968503814</v>
          </cell>
          <cell r="I853" t="e">
            <v>#N/A</v>
          </cell>
          <cell r="J853" t="e">
            <v>#N/A</v>
          </cell>
          <cell r="K853">
            <v>90</v>
          </cell>
          <cell r="L853">
            <v>50</v>
          </cell>
          <cell r="M853" t="e">
            <v>#N/A</v>
          </cell>
          <cell r="N853">
            <v>80</v>
          </cell>
          <cell r="O853" t="e">
            <v>#N/A</v>
          </cell>
          <cell r="P853" t="str">
            <v/>
          </cell>
          <cell r="Q853" t="str">
            <v/>
          </cell>
          <cell r="R853" t="e">
            <v>#N/A</v>
          </cell>
        </row>
        <row r="854">
          <cell r="A854" t="str">
            <v/>
          </cell>
          <cell r="B854" t="str">
            <v/>
          </cell>
          <cell r="C854" t="str">
            <v>Future</v>
          </cell>
          <cell r="D854" t="e">
            <v>#N/A</v>
          </cell>
          <cell r="E854">
            <v>-10.501653543306768</v>
          </cell>
          <cell r="F854">
            <v>94.380236220474302</v>
          </cell>
          <cell r="G854">
            <v>47.76606299212586</v>
          </cell>
          <cell r="H854">
            <v>47.76606299212586</v>
          </cell>
          <cell r="I854" t="e">
            <v>#N/A</v>
          </cell>
          <cell r="J854" t="e">
            <v>#N/A</v>
          </cell>
          <cell r="K854">
            <v>90</v>
          </cell>
          <cell r="L854">
            <v>50</v>
          </cell>
          <cell r="M854" t="e">
            <v>#N/A</v>
          </cell>
          <cell r="N854">
            <v>80</v>
          </cell>
          <cell r="O854" t="e">
            <v>#N/A</v>
          </cell>
          <cell r="P854" t="str">
            <v/>
          </cell>
          <cell r="Q854" t="str">
            <v/>
          </cell>
          <cell r="R854" t="e">
            <v>#N/A</v>
          </cell>
        </row>
        <row r="855">
          <cell r="A855" t="str">
            <v/>
          </cell>
          <cell r="B855" t="str">
            <v/>
          </cell>
          <cell r="C855" t="str">
            <v>Future</v>
          </cell>
          <cell r="D855" t="e">
            <v>#N/A</v>
          </cell>
          <cell r="E855">
            <v>-10.751692913385508</v>
          </cell>
          <cell r="F855">
            <v>94.484527559056986</v>
          </cell>
          <cell r="G855">
            <v>47.712874015747907</v>
          </cell>
          <cell r="H855">
            <v>47.712874015747907</v>
          </cell>
          <cell r="I855" t="e">
            <v>#N/A</v>
          </cell>
          <cell r="J855" t="e">
            <v>#N/A</v>
          </cell>
          <cell r="K855">
            <v>90</v>
          </cell>
          <cell r="L855">
            <v>50</v>
          </cell>
          <cell r="M855" t="e">
            <v>#N/A</v>
          </cell>
          <cell r="N855">
            <v>80</v>
          </cell>
          <cell r="O855" t="e">
            <v>#N/A</v>
          </cell>
          <cell r="P855" t="str">
            <v/>
          </cell>
          <cell r="Q855" t="str">
            <v/>
          </cell>
          <cell r="R855" t="e">
            <v>#N/A</v>
          </cell>
        </row>
        <row r="856">
          <cell r="A856" t="str">
            <v/>
          </cell>
          <cell r="B856" t="str">
            <v/>
          </cell>
          <cell r="C856" t="str">
            <v>Future</v>
          </cell>
          <cell r="D856" t="e">
            <v>#N/A</v>
          </cell>
          <cell r="E856">
            <v>-11.001732283464248</v>
          </cell>
          <cell r="F856">
            <v>94.588818897639669</v>
          </cell>
          <cell r="G856">
            <v>47.659685039369954</v>
          </cell>
          <cell r="H856">
            <v>47.659685039369954</v>
          </cell>
          <cell r="I856" t="e">
            <v>#N/A</v>
          </cell>
          <cell r="J856" t="e">
            <v>#N/A</v>
          </cell>
          <cell r="K856">
            <v>90</v>
          </cell>
          <cell r="L856">
            <v>50</v>
          </cell>
          <cell r="M856" t="e">
            <v>#N/A</v>
          </cell>
          <cell r="N856">
            <v>80</v>
          </cell>
          <cell r="O856" t="e">
            <v>#N/A</v>
          </cell>
          <cell r="P856" t="str">
            <v/>
          </cell>
          <cell r="Q856" t="str">
            <v/>
          </cell>
          <cell r="R856" t="e">
            <v>#N/A</v>
          </cell>
        </row>
        <row r="857">
          <cell r="A857" t="str">
            <v/>
          </cell>
          <cell r="B857" t="str">
            <v/>
          </cell>
          <cell r="C857" t="str">
            <v>Future</v>
          </cell>
          <cell r="D857" t="e">
            <v>#N/A</v>
          </cell>
          <cell r="E857">
            <v>-11.251771653542988</v>
          </cell>
          <cell r="F857">
            <v>94.693110236222353</v>
          </cell>
          <cell r="G857">
            <v>47.606496062992001</v>
          </cell>
          <cell r="H857">
            <v>47.606496062992001</v>
          </cell>
          <cell r="I857" t="e">
            <v>#N/A</v>
          </cell>
          <cell r="J857" t="e">
            <v>#N/A</v>
          </cell>
          <cell r="K857">
            <v>90</v>
          </cell>
          <cell r="L857">
            <v>50</v>
          </cell>
          <cell r="M857" t="e">
            <v>#N/A</v>
          </cell>
          <cell r="N857">
            <v>80</v>
          </cell>
          <cell r="O857" t="e">
            <v>#N/A</v>
          </cell>
          <cell r="P857" t="str">
            <v/>
          </cell>
          <cell r="Q857" t="str">
            <v/>
          </cell>
          <cell r="R857" t="e">
            <v>#N/A</v>
          </cell>
        </row>
        <row r="858">
          <cell r="A858" t="str">
            <v/>
          </cell>
          <cell r="B858" t="str">
            <v/>
          </cell>
          <cell r="C858" t="str">
            <v>Future</v>
          </cell>
          <cell r="D858" t="e">
            <v>#N/A</v>
          </cell>
          <cell r="E858">
            <v>-11.501811023621729</v>
          </cell>
          <cell r="F858">
            <v>94.797401574805036</v>
          </cell>
          <cell r="G858">
            <v>47.553307086614048</v>
          </cell>
          <cell r="H858">
            <v>47.553307086614048</v>
          </cell>
          <cell r="I858" t="e">
            <v>#N/A</v>
          </cell>
          <cell r="J858" t="e">
            <v>#N/A</v>
          </cell>
          <cell r="K858">
            <v>90</v>
          </cell>
          <cell r="L858">
            <v>50</v>
          </cell>
          <cell r="M858" t="e">
            <v>#N/A</v>
          </cell>
          <cell r="N858">
            <v>80</v>
          </cell>
          <cell r="O858" t="e">
            <v>#N/A</v>
          </cell>
          <cell r="P858" t="str">
            <v/>
          </cell>
          <cell r="Q858" t="str">
            <v/>
          </cell>
          <cell r="R858" t="e">
            <v>#N/A</v>
          </cell>
        </row>
        <row r="859">
          <cell r="A859" t="str">
            <v/>
          </cell>
          <cell r="B859" t="str">
            <v/>
          </cell>
          <cell r="C859" t="str">
            <v>Future</v>
          </cell>
          <cell r="D859" t="e">
            <v>#N/A</v>
          </cell>
          <cell r="E859">
            <v>-11.751850393700469</v>
          </cell>
          <cell r="F859">
            <v>94.90169291338772</v>
          </cell>
          <cell r="G859">
            <v>47.500118110236095</v>
          </cell>
          <cell r="H859">
            <v>47.500118110236095</v>
          </cell>
          <cell r="I859" t="e">
            <v>#N/A</v>
          </cell>
          <cell r="J859" t="e">
            <v>#N/A</v>
          </cell>
          <cell r="K859">
            <v>90</v>
          </cell>
          <cell r="L859">
            <v>50</v>
          </cell>
          <cell r="M859" t="e">
            <v>#N/A</v>
          </cell>
          <cell r="N859">
            <v>80</v>
          </cell>
          <cell r="O859" t="e">
            <v>#N/A</v>
          </cell>
          <cell r="P859" t="str">
            <v/>
          </cell>
          <cell r="Q859" t="str">
            <v/>
          </cell>
          <cell r="R859" t="e">
            <v>#N/A</v>
          </cell>
        </row>
        <row r="860">
          <cell r="A860" t="str">
            <v/>
          </cell>
          <cell r="B860" t="str">
            <v/>
          </cell>
          <cell r="C860" t="str">
            <v>Future</v>
          </cell>
          <cell r="D860" t="e">
            <v>#N/A</v>
          </cell>
          <cell r="E860">
            <v>-12.001889763779209</v>
          </cell>
          <cell r="F860">
            <v>95.005984251970403</v>
          </cell>
          <cell r="G860">
            <v>47.446929133858141</v>
          </cell>
          <cell r="H860">
            <v>47.446929133858141</v>
          </cell>
          <cell r="I860" t="e">
            <v>#N/A</v>
          </cell>
          <cell r="J860" t="e">
            <v>#N/A</v>
          </cell>
          <cell r="K860">
            <v>90</v>
          </cell>
          <cell r="L860">
            <v>50</v>
          </cell>
          <cell r="M860" t="e">
            <v>#N/A</v>
          </cell>
          <cell r="N860">
            <v>80</v>
          </cell>
          <cell r="O860" t="e">
            <v>#N/A</v>
          </cell>
          <cell r="P860" t="str">
            <v/>
          </cell>
          <cell r="Q860" t="str">
            <v/>
          </cell>
          <cell r="R860" t="e">
            <v>#N/A</v>
          </cell>
        </row>
        <row r="861">
          <cell r="A861" t="str">
            <v/>
          </cell>
          <cell r="B861" t="str">
            <v/>
          </cell>
          <cell r="C861" t="str">
            <v>Future</v>
          </cell>
          <cell r="D861" t="e">
            <v>#N/A</v>
          </cell>
          <cell r="E861">
            <v>-12.251929133857949</v>
          </cell>
          <cell r="F861">
            <v>95.110275590553087</v>
          </cell>
          <cell r="G861">
            <v>47.393740157480188</v>
          </cell>
          <cell r="H861">
            <v>47.393740157480188</v>
          </cell>
          <cell r="I861" t="e">
            <v>#N/A</v>
          </cell>
          <cell r="J861" t="e">
            <v>#N/A</v>
          </cell>
          <cell r="K861">
            <v>90</v>
          </cell>
          <cell r="L861">
            <v>50</v>
          </cell>
          <cell r="M861" t="e">
            <v>#N/A</v>
          </cell>
          <cell r="N861">
            <v>80</v>
          </cell>
          <cell r="O861" t="e">
            <v>#N/A</v>
          </cell>
          <cell r="P861" t="str">
            <v/>
          </cell>
          <cell r="Q861" t="str">
            <v/>
          </cell>
          <cell r="R861" t="e">
            <v>#N/A</v>
          </cell>
        </row>
        <row r="862">
          <cell r="A862" t="str">
            <v/>
          </cell>
          <cell r="B862" t="str">
            <v/>
          </cell>
          <cell r="C862" t="str">
            <v>Future</v>
          </cell>
          <cell r="D862" t="e">
            <v>#N/A</v>
          </cell>
          <cell r="E862">
            <v>-12.501968503936689</v>
          </cell>
          <cell r="F862">
            <v>95.214566929135771</v>
          </cell>
          <cell r="G862">
            <v>47.340551181102235</v>
          </cell>
          <cell r="H862">
            <v>47.340551181102235</v>
          </cell>
          <cell r="I862" t="e">
            <v>#N/A</v>
          </cell>
          <cell r="J862" t="e">
            <v>#N/A</v>
          </cell>
          <cell r="K862">
            <v>90</v>
          </cell>
          <cell r="L862">
            <v>50</v>
          </cell>
          <cell r="M862" t="e">
            <v>#N/A</v>
          </cell>
          <cell r="N862">
            <v>80</v>
          </cell>
          <cell r="O862" t="e">
            <v>#N/A</v>
          </cell>
          <cell r="P862" t="str">
            <v/>
          </cell>
          <cell r="Q862" t="str">
            <v/>
          </cell>
          <cell r="R862" t="e">
            <v>#N/A</v>
          </cell>
        </row>
        <row r="863">
          <cell r="A863" t="str">
            <v/>
          </cell>
          <cell r="B863" t="str">
            <v/>
          </cell>
          <cell r="C863" t="str">
            <v>Future</v>
          </cell>
          <cell r="D863" t="e">
            <v>#N/A</v>
          </cell>
          <cell r="E863">
            <v>-12.75200787401543</v>
          </cell>
          <cell r="F863">
            <v>95.318858267718454</v>
          </cell>
          <cell r="G863">
            <v>47.287362204724282</v>
          </cell>
          <cell r="H863">
            <v>47.287362204724282</v>
          </cell>
          <cell r="I863" t="e">
            <v>#N/A</v>
          </cell>
          <cell r="J863" t="e">
            <v>#N/A</v>
          </cell>
          <cell r="K863">
            <v>90</v>
          </cell>
          <cell r="L863">
            <v>50</v>
          </cell>
          <cell r="M863" t="e">
            <v>#N/A</v>
          </cell>
          <cell r="N863">
            <v>80</v>
          </cell>
          <cell r="O863" t="e">
            <v>#N/A</v>
          </cell>
          <cell r="P863" t="str">
            <v/>
          </cell>
          <cell r="Q863" t="str">
            <v/>
          </cell>
          <cell r="R863" t="e">
            <v>#N/A</v>
          </cell>
        </row>
        <row r="864">
          <cell r="A864" t="str">
            <v/>
          </cell>
          <cell r="B864" t="str">
            <v/>
          </cell>
          <cell r="C864" t="str">
            <v>Future</v>
          </cell>
          <cell r="D864" t="e">
            <v>#N/A</v>
          </cell>
          <cell r="E864">
            <v>-13.00204724409417</v>
          </cell>
          <cell r="F864">
            <v>95.423149606301138</v>
          </cell>
          <cell r="G864">
            <v>47.234173228346329</v>
          </cell>
          <cell r="H864">
            <v>47.234173228346329</v>
          </cell>
          <cell r="I864" t="e">
            <v>#N/A</v>
          </cell>
          <cell r="J864" t="e">
            <v>#N/A</v>
          </cell>
          <cell r="K864">
            <v>90</v>
          </cell>
          <cell r="L864">
            <v>50</v>
          </cell>
          <cell r="M864" t="e">
            <v>#N/A</v>
          </cell>
          <cell r="N864">
            <v>80</v>
          </cell>
          <cell r="O864" t="e">
            <v>#N/A</v>
          </cell>
          <cell r="P864" t="str">
            <v/>
          </cell>
          <cell r="Q864" t="str">
            <v/>
          </cell>
          <cell r="R864" t="e">
            <v>#N/A</v>
          </cell>
        </row>
        <row r="865">
          <cell r="A865" t="str">
            <v/>
          </cell>
          <cell r="B865" t="str">
            <v/>
          </cell>
          <cell r="C865" t="str">
            <v>Future</v>
          </cell>
          <cell r="D865" t="e">
            <v>#N/A</v>
          </cell>
          <cell r="E865">
            <v>-13.25208661417291</v>
          </cell>
          <cell r="F865">
            <v>95.527440944883821</v>
          </cell>
          <cell r="G865">
            <v>47.180984251968376</v>
          </cell>
          <cell r="H865">
            <v>47.180984251968376</v>
          </cell>
          <cell r="I865" t="e">
            <v>#N/A</v>
          </cell>
          <cell r="J865" t="e">
            <v>#N/A</v>
          </cell>
          <cell r="K865">
            <v>90</v>
          </cell>
          <cell r="L865">
            <v>50</v>
          </cell>
          <cell r="M865" t="e">
            <v>#N/A</v>
          </cell>
          <cell r="N865">
            <v>80</v>
          </cell>
          <cell r="O865" t="e">
            <v>#N/A</v>
          </cell>
          <cell r="P865" t="str">
            <v/>
          </cell>
          <cell r="Q865" t="str">
            <v/>
          </cell>
          <cell r="R865" t="e">
            <v>#N/A</v>
          </cell>
        </row>
        <row r="866">
          <cell r="A866" t="str">
            <v/>
          </cell>
          <cell r="B866" t="str">
            <v/>
          </cell>
          <cell r="C866" t="str">
            <v>Future</v>
          </cell>
          <cell r="D866" t="e">
            <v>#N/A</v>
          </cell>
          <cell r="E866">
            <v>-13.50212598425165</v>
          </cell>
          <cell r="F866">
            <v>95.631732283466505</v>
          </cell>
          <cell r="G866">
            <v>47.127795275590422</v>
          </cell>
          <cell r="H866">
            <v>47.127795275590422</v>
          </cell>
          <cell r="I866" t="e">
            <v>#N/A</v>
          </cell>
          <cell r="J866" t="e">
            <v>#N/A</v>
          </cell>
          <cell r="K866">
            <v>90</v>
          </cell>
          <cell r="L866">
            <v>50</v>
          </cell>
          <cell r="M866" t="e">
            <v>#N/A</v>
          </cell>
          <cell r="N866">
            <v>80</v>
          </cell>
          <cell r="O866" t="e">
            <v>#N/A</v>
          </cell>
          <cell r="P866" t="str">
            <v/>
          </cell>
          <cell r="Q866" t="str">
            <v/>
          </cell>
          <cell r="R866" t="e">
            <v>#N/A</v>
          </cell>
        </row>
        <row r="867">
          <cell r="A867" t="str">
            <v/>
          </cell>
          <cell r="B867" t="str">
            <v/>
          </cell>
          <cell r="C867" t="str">
            <v>Future</v>
          </cell>
          <cell r="D867" t="e">
            <v>#N/A</v>
          </cell>
          <cell r="E867">
            <v>-13.752165354330391</v>
          </cell>
          <cell r="F867">
            <v>95.736023622049188</v>
          </cell>
          <cell r="G867">
            <v>47.074606299212469</v>
          </cell>
          <cell r="H867">
            <v>47.074606299212469</v>
          </cell>
          <cell r="I867" t="e">
            <v>#N/A</v>
          </cell>
          <cell r="J867" t="e">
            <v>#N/A</v>
          </cell>
          <cell r="K867">
            <v>90</v>
          </cell>
          <cell r="L867">
            <v>50</v>
          </cell>
          <cell r="M867" t="e">
            <v>#N/A</v>
          </cell>
          <cell r="N867">
            <v>80</v>
          </cell>
          <cell r="O867" t="e">
            <v>#N/A</v>
          </cell>
          <cell r="P867" t="str">
            <v/>
          </cell>
          <cell r="Q867" t="str">
            <v/>
          </cell>
          <cell r="R867" t="e">
            <v>#N/A</v>
          </cell>
        </row>
        <row r="868">
          <cell r="A868" t="str">
            <v/>
          </cell>
          <cell r="B868" t="str">
            <v/>
          </cell>
          <cell r="C868" t="str">
            <v>Future</v>
          </cell>
          <cell r="D868" t="e">
            <v>#N/A</v>
          </cell>
          <cell r="E868">
            <v>-14.002204724409131</v>
          </cell>
          <cell r="F868">
            <v>95.840314960631872</v>
          </cell>
          <cell r="G868">
            <v>47.021417322834516</v>
          </cell>
          <cell r="H868">
            <v>47.021417322834516</v>
          </cell>
          <cell r="I868" t="e">
            <v>#N/A</v>
          </cell>
          <cell r="J868" t="e">
            <v>#N/A</v>
          </cell>
          <cell r="K868">
            <v>90</v>
          </cell>
          <cell r="L868">
            <v>50</v>
          </cell>
          <cell r="M868" t="e">
            <v>#N/A</v>
          </cell>
          <cell r="N868">
            <v>80</v>
          </cell>
          <cell r="O868" t="e">
            <v>#N/A</v>
          </cell>
          <cell r="P868" t="str">
            <v/>
          </cell>
          <cell r="Q868" t="str">
            <v/>
          </cell>
          <cell r="R868" t="e">
            <v>#N/A</v>
          </cell>
        </row>
        <row r="869">
          <cell r="A869" t="str">
            <v/>
          </cell>
          <cell r="B869" t="str">
            <v/>
          </cell>
          <cell r="C869" t="str">
            <v>Future</v>
          </cell>
          <cell r="D869" t="e">
            <v>#N/A</v>
          </cell>
          <cell r="E869">
            <v>-14.252244094487871</v>
          </cell>
          <cell r="F869">
            <v>95.944606299214556</v>
          </cell>
          <cell r="G869">
            <v>46.968228346456563</v>
          </cell>
          <cell r="H869">
            <v>46.968228346456563</v>
          </cell>
          <cell r="I869" t="e">
            <v>#N/A</v>
          </cell>
          <cell r="J869" t="e">
            <v>#N/A</v>
          </cell>
          <cell r="K869">
            <v>90</v>
          </cell>
          <cell r="L869">
            <v>50</v>
          </cell>
          <cell r="M869" t="e">
            <v>#N/A</v>
          </cell>
          <cell r="N869">
            <v>80</v>
          </cell>
          <cell r="O869" t="e">
            <v>#N/A</v>
          </cell>
          <cell r="P869" t="str">
            <v/>
          </cell>
          <cell r="Q869" t="str">
            <v/>
          </cell>
          <cell r="R869" t="e">
            <v>#N/A</v>
          </cell>
        </row>
        <row r="870">
          <cell r="A870" t="str">
            <v/>
          </cell>
          <cell r="B870" t="str">
            <v/>
          </cell>
          <cell r="C870" t="str">
            <v>Future</v>
          </cell>
          <cell r="D870" t="e">
            <v>#N/A</v>
          </cell>
          <cell r="E870">
            <v>-14.502283464566611</v>
          </cell>
          <cell r="F870">
            <v>96.048897637797239</v>
          </cell>
          <cell r="G870">
            <v>46.91503937007861</v>
          </cell>
          <cell r="H870">
            <v>46.91503937007861</v>
          </cell>
          <cell r="I870" t="e">
            <v>#N/A</v>
          </cell>
          <cell r="J870" t="e">
            <v>#N/A</v>
          </cell>
          <cell r="K870">
            <v>90</v>
          </cell>
          <cell r="L870">
            <v>50</v>
          </cell>
          <cell r="M870" t="e">
            <v>#N/A</v>
          </cell>
          <cell r="N870">
            <v>80</v>
          </cell>
          <cell r="O870" t="e">
            <v>#N/A</v>
          </cell>
          <cell r="P870" t="str">
            <v/>
          </cell>
          <cell r="Q870" t="str">
            <v/>
          </cell>
          <cell r="R870" t="e">
            <v>#N/A</v>
          </cell>
        </row>
        <row r="871">
          <cell r="A871" t="str">
            <v/>
          </cell>
          <cell r="B871" t="str">
            <v/>
          </cell>
          <cell r="C871" t="str">
            <v>Future</v>
          </cell>
          <cell r="D871" t="e">
            <v>#N/A</v>
          </cell>
          <cell r="E871">
            <v>-14.752322834645351</v>
          </cell>
          <cell r="F871">
            <v>96.153188976379923</v>
          </cell>
          <cell r="G871">
            <v>46.861850393700657</v>
          </cell>
          <cell r="H871">
            <v>46.861850393700657</v>
          </cell>
          <cell r="I871" t="e">
            <v>#N/A</v>
          </cell>
          <cell r="J871" t="e">
            <v>#N/A</v>
          </cell>
          <cell r="K871">
            <v>90</v>
          </cell>
          <cell r="L871">
            <v>50</v>
          </cell>
          <cell r="M871" t="e">
            <v>#N/A</v>
          </cell>
          <cell r="N871">
            <v>80</v>
          </cell>
          <cell r="O871" t="e">
            <v>#N/A</v>
          </cell>
          <cell r="P871" t="str">
            <v/>
          </cell>
          <cell r="Q871" t="str">
            <v/>
          </cell>
          <cell r="R871" t="e">
            <v>#N/A</v>
          </cell>
        </row>
        <row r="872">
          <cell r="A872" t="str">
            <v/>
          </cell>
          <cell r="B872" t="str">
            <v/>
          </cell>
          <cell r="C872" t="str">
            <v>Future</v>
          </cell>
          <cell r="D872" t="e">
            <v>#N/A</v>
          </cell>
          <cell r="E872">
            <v>-15.002362204724092</v>
          </cell>
          <cell r="F872">
            <v>96.257480314962606</v>
          </cell>
          <cell r="G872">
            <v>46.808661417322703</v>
          </cell>
          <cell r="H872">
            <v>46.808661417322703</v>
          </cell>
          <cell r="I872" t="e">
            <v>#N/A</v>
          </cell>
          <cell r="J872" t="e">
            <v>#N/A</v>
          </cell>
          <cell r="K872">
            <v>90</v>
          </cell>
          <cell r="L872">
            <v>50</v>
          </cell>
          <cell r="M872" t="e">
            <v>#N/A</v>
          </cell>
          <cell r="N872">
            <v>80</v>
          </cell>
          <cell r="O872" t="e">
            <v>#N/A</v>
          </cell>
          <cell r="P872" t="str">
            <v/>
          </cell>
          <cell r="Q872" t="str">
            <v/>
          </cell>
          <cell r="R872" t="e">
            <v>#N/A</v>
          </cell>
        </row>
        <row r="873">
          <cell r="A873" t="str">
            <v/>
          </cell>
          <cell r="B873" t="str">
            <v/>
          </cell>
          <cell r="C873" t="str">
            <v>Future</v>
          </cell>
          <cell r="D873" t="e">
            <v>#N/A</v>
          </cell>
          <cell r="E873">
            <v>-15.252401574802832</v>
          </cell>
          <cell r="F873">
            <v>96.36177165354529</v>
          </cell>
          <cell r="G873">
            <v>46.75547244094475</v>
          </cell>
          <cell r="H873">
            <v>46.75547244094475</v>
          </cell>
          <cell r="I873" t="e">
            <v>#N/A</v>
          </cell>
          <cell r="J873" t="e">
            <v>#N/A</v>
          </cell>
          <cell r="K873">
            <v>90</v>
          </cell>
          <cell r="L873">
            <v>50</v>
          </cell>
          <cell r="M873" t="e">
            <v>#N/A</v>
          </cell>
          <cell r="N873">
            <v>80</v>
          </cell>
          <cell r="O873" t="e">
            <v>#N/A</v>
          </cell>
          <cell r="P873" t="str">
            <v/>
          </cell>
          <cell r="Q873" t="str">
            <v/>
          </cell>
          <cell r="R873" t="e">
            <v>#N/A</v>
          </cell>
        </row>
        <row r="874">
          <cell r="A874" t="str">
            <v/>
          </cell>
          <cell r="B874" t="str">
            <v/>
          </cell>
          <cell r="C874" t="str">
            <v>Future</v>
          </cell>
          <cell r="D874" t="e">
            <v>#N/A</v>
          </cell>
          <cell r="E874">
            <v>-15.502440944881572</v>
          </cell>
          <cell r="F874">
            <v>96.466062992127974</v>
          </cell>
          <cell r="G874">
            <v>46.702283464566797</v>
          </cell>
          <cell r="H874">
            <v>46.702283464566797</v>
          </cell>
          <cell r="I874" t="e">
            <v>#N/A</v>
          </cell>
          <cell r="J874" t="e">
            <v>#N/A</v>
          </cell>
          <cell r="K874">
            <v>90</v>
          </cell>
          <cell r="L874">
            <v>50</v>
          </cell>
          <cell r="M874" t="e">
            <v>#N/A</v>
          </cell>
          <cell r="N874">
            <v>80</v>
          </cell>
          <cell r="O874" t="e">
            <v>#N/A</v>
          </cell>
          <cell r="P874" t="str">
            <v/>
          </cell>
          <cell r="Q874" t="str">
            <v/>
          </cell>
          <cell r="R874" t="e">
            <v>#N/A</v>
          </cell>
        </row>
        <row r="875">
          <cell r="A875" t="str">
            <v/>
          </cell>
          <cell r="B875" t="str">
            <v/>
          </cell>
          <cell r="C875" t="str">
            <v>Future</v>
          </cell>
          <cell r="D875" t="e">
            <v>#N/A</v>
          </cell>
          <cell r="E875">
            <v>-15.752480314960312</v>
          </cell>
          <cell r="F875">
            <v>96.570354330710657</v>
          </cell>
          <cell r="G875">
            <v>46.649094488188844</v>
          </cell>
          <cell r="H875">
            <v>46.649094488188844</v>
          </cell>
          <cell r="I875" t="e">
            <v>#N/A</v>
          </cell>
          <cell r="J875" t="e">
            <v>#N/A</v>
          </cell>
          <cell r="K875">
            <v>90</v>
          </cell>
          <cell r="L875">
            <v>50</v>
          </cell>
          <cell r="M875" t="e">
            <v>#N/A</v>
          </cell>
          <cell r="N875">
            <v>80</v>
          </cell>
          <cell r="O875" t="e">
            <v>#N/A</v>
          </cell>
          <cell r="P875" t="str">
            <v/>
          </cell>
          <cell r="Q875" t="str">
            <v/>
          </cell>
          <cell r="R875" t="e">
            <v>#N/A</v>
          </cell>
        </row>
        <row r="876">
          <cell r="A876" t="str">
            <v/>
          </cell>
          <cell r="B876" t="str">
            <v/>
          </cell>
          <cell r="C876" t="str">
            <v>Future</v>
          </cell>
          <cell r="D876" t="e">
            <v>#N/A</v>
          </cell>
          <cell r="E876">
            <v>-16.002519685039051</v>
          </cell>
          <cell r="F876">
            <v>96.674645669293341</v>
          </cell>
          <cell r="G876">
            <v>46.595905511810891</v>
          </cell>
          <cell r="H876">
            <v>46.595905511810891</v>
          </cell>
          <cell r="I876" t="e">
            <v>#N/A</v>
          </cell>
          <cell r="J876" t="e">
            <v>#N/A</v>
          </cell>
          <cell r="K876">
            <v>90</v>
          </cell>
          <cell r="L876">
            <v>50</v>
          </cell>
          <cell r="M876" t="e">
            <v>#N/A</v>
          </cell>
          <cell r="N876">
            <v>80</v>
          </cell>
          <cell r="O876" t="e">
            <v>#N/A</v>
          </cell>
          <cell r="P876" t="str">
            <v/>
          </cell>
          <cell r="Q876" t="str">
            <v/>
          </cell>
          <cell r="R876" t="e">
            <v>#N/A</v>
          </cell>
        </row>
        <row r="877">
          <cell r="A877" t="str">
            <v/>
          </cell>
          <cell r="B877" t="str">
            <v/>
          </cell>
          <cell r="C877" t="str">
            <v>Future</v>
          </cell>
          <cell r="D877" t="e">
            <v>#N/A</v>
          </cell>
          <cell r="E877">
            <v>-16.252559055117789</v>
          </cell>
          <cell r="F877">
            <v>96.778937007876024</v>
          </cell>
          <cell r="G877">
            <v>46.542716535432938</v>
          </cell>
          <cell r="H877">
            <v>46.542716535432938</v>
          </cell>
          <cell r="I877" t="e">
            <v>#N/A</v>
          </cell>
          <cell r="J877" t="e">
            <v>#N/A</v>
          </cell>
          <cell r="K877">
            <v>90</v>
          </cell>
          <cell r="L877">
            <v>50</v>
          </cell>
          <cell r="M877" t="e">
            <v>#N/A</v>
          </cell>
          <cell r="N877">
            <v>80</v>
          </cell>
          <cell r="O877" t="e">
            <v>#N/A</v>
          </cell>
          <cell r="P877" t="str">
            <v/>
          </cell>
          <cell r="Q877" t="str">
            <v/>
          </cell>
          <cell r="R877" t="e">
            <v>#N/A</v>
          </cell>
        </row>
        <row r="878">
          <cell r="A878" t="str">
            <v/>
          </cell>
          <cell r="B878" t="str">
            <v/>
          </cell>
          <cell r="C878" t="str">
            <v>Future</v>
          </cell>
          <cell r="D878" t="e">
            <v>#N/A</v>
          </cell>
          <cell r="E878">
            <v>-16.502598425196528</v>
          </cell>
          <cell r="F878">
            <v>96.883228346458708</v>
          </cell>
          <cell r="G878">
            <v>46.489527559054984</v>
          </cell>
          <cell r="H878">
            <v>46.489527559054984</v>
          </cell>
          <cell r="I878" t="e">
            <v>#N/A</v>
          </cell>
          <cell r="J878" t="e">
            <v>#N/A</v>
          </cell>
          <cell r="K878">
            <v>90</v>
          </cell>
          <cell r="L878">
            <v>50</v>
          </cell>
          <cell r="M878" t="e">
            <v>#N/A</v>
          </cell>
          <cell r="N878">
            <v>80</v>
          </cell>
          <cell r="O878" t="e">
            <v>#N/A</v>
          </cell>
          <cell r="P878" t="str">
            <v/>
          </cell>
          <cell r="Q878" t="str">
            <v/>
          </cell>
          <cell r="R878" t="e">
            <v>#N/A</v>
          </cell>
        </row>
        <row r="879">
          <cell r="A879" t="str">
            <v/>
          </cell>
          <cell r="B879" t="str">
            <v/>
          </cell>
          <cell r="C879" t="str">
            <v>Future</v>
          </cell>
          <cell r="D879" t="e">
            <v>#N/A</v>
          </cell>
          <cell r="E879">
            <v>-16.752637795275266</v>
          </cell>
          <cell r="F879">
            <v>96.987519685041391</v>
          </cell>
          <cell r="G879">
            <v>46.436338582677031</v>
          </cell>
          <cell r="H879">
            <v>46.436338582677031</v>
          </cell>
          <cell r="I879" t="e">
            <v>#N/A</v>
          </cell>
          <cell r="J879" t="e">
            <v>#N/A</v>
          </cell>
          <cell r="K879">
            <v>90</v>
          </cell>
          <cell r="L879">
            <v>50</v>
          </cell>
          <cell r="M879" t="e">
            <v>#N/A</v>
          </cell>
          <cell r="N879">
            <v>80</v>
          </cell>
          <cell r="O879" t="e">
            <v>#N/A</v>
          </cell>
          <cell r="P879" t="str">
            <v/>
          </cell>
          <cell r="Q879" t="str">
            <v/>
          </cell>
          <cell r="R879" t="e">
            <v>#N/A</v>
          </cell>
        </row>
        <row r="880">
          <cell r="A880" t="str">
            <v/>
          </cell>
          <cell r="B880" t="str">
            <v/>
          </cell>
          <cell r="C880" t="str">
            <v>Future</v>
          </cell>
          <cell r="D880" t="e">
            <v>#N/A</v>
          </cell>
          <cell r="E880">
            <v>-17.002677165354005</v>
          </cell>
          <cell r="F880">
            <v>97.091811023624075</v>
          </cell>
          <cell r="G880">
            <v>46.383149606299078</v>
          </cell>
          <cell r="H880">
            <v>46.383149606299078</v>
          </cell>
          <cell r="I880" t="e">
            <v>#N/A</v>
          </cell>
          <cell r="J880" t="e">
            <v>#N/A</v>
          </cell>
          <cell r="K880">
            <v>90</v>
          </cell>
          <cell r="L880">
            <v>50</v>
          </cell>
          <cell r="M880" t="e">
            <v>#N/A</v>
          </cell>
          <cell r="N880">
            <v>80</v>
          </cell>
          <cell r="O880" t="e">
            <v>#N/A</v>
          </cell>
          <cell r="P880" t="str">
            <v/>
          </cell>
          <cell r="Q880" t="str">
            <v/>
          </cell>
          <cell r="R880" t="e">
            <v>#N/A</v>
          </cell>
        </row>
        <row r="881">
          <cell r="A881" t="str">
            <v/>
          </cell>
          <cell r="B881" t="str">
            <v/>
          </cell>
          <cell r="C881" t="str">
            <v>Future</v>
          </cell>
          <cell r="D881" t="e">
            <v>#N/A</v>
          </cell>
          <cell r="E881">
            <v>-17.252716535432743</v>
          </cell>
          <cell r="F881">
            <v>97.196102362206759</v>
          </cell>
          <cell r="G881">
            <v>46.329960629921125</v>
          </cell>
          <cell r="H881">
            <v>46.329960629921125</v>
          </cell>
          <cell r="I881" t="e">
            <v>#N/A</v>
          </cell>
          <cell r="J881" t="e">
            <v>#N/A</v>
          </cell>
          <cell r="K881">
            <v>90</v>
          </cell>
          <cell r="L881">
            <v>50</v>
          </cell>
          <cell r="M881" t="e">
            <v>#N/A</v>
          </cell>
          <cell r="N881">
            <v>80</v>
          </cell>
          <cell r="O881" t="e">
            <v>#N/A</v>
          </cell>
          <cell r="P881" t="str">
            <v/>
          </cell>
          <cell r="Q881" t="str">
            <v/>
          </cell>
          <cell r="R881" t="e">
            <v>#N/A</v>
          </cell>
        </row>
        <row r="882">
          <cell r="A882" t="str">
            <v/>
          </cell>
          <cell r="B882" t="str">
            <v/>
          </cell>
          <cell r="C882" t="str">
            <v>Future</v>
          </cell>
          <cell r="D882" t="e">
            <v>#N/A</v>
          </cell>
          <cell r="E882">
            <v>-17.502755905511481</v>
          </cell>
          <cell r="F882">
            <v>97.300393700789442</v>
          </cell>
          <cell r="G882">
            <v>46.276771653543172</v>
          </cell>
          <cell r="H882">
            <v>46.276771653543172</v>
          </cell>
          <cell r="I882" t="e">
            <v>#N/A</v>
          </cell>
          <cell r="J882" t="e">
            <v>#N/A</v>
          </cell>
          <cell r="K882">
            <v>90</v>
          </cell>
          <cell r="L882">
            <v>50</v>
          </cell>
          <cell r="M882" t="e">
            <v>#N/A</v>
          </cell>
          <cell r="N882">
            <v>80</v>
          </cell>
          <cell r="O882" t="e">
            <v>#N/A</v>
          </cell>
          <cell r="P882" t="str">
            <v/>
          </cell>
          <cell r="Q882" t="str">
            <v/>
          </cell>
          <cell r="R882" t="e">
            <v>#N/A</v>
          </cell>
        </row>
        <row r="883">
          <cell r="A883" t="str">
            <v/>
          </cell>
          <cell r="B883" t="str">
            <v/>
          </cell>
          <cell r="C883" t="str">
            <v>Future</v>
          </cell>
          <cell r="D883" t="e">
            <v>#N/A</v>
          </cell>
          <cell r="E883">
            <v>-17.75279527559022</v>
          </cell>
          <cell r="F883">
            <v>97.404685039372126</v>
          </cell>
          <cell r="G883">
            <v>46.223582677165219</v>
          </cell>
          <cell r="H883">
            <v>46.223582677165219</v>
          </cell>
          <cell r="I883" t="e">
            <v>#N/A</v>
          </cell>
          <cell r="J883" t="e">
            <v>#N/A</v>
          </cell>
          <cell r="K883">
            <v>90</v>
          </cell>
          <cell r="L883">
            <v>50</v>
          </cell>
          <cell r="M883" t="e">
            <v>#N/A</v>
          </cell>
          <cell r="N883">
            <v>80</v>
          </cell>
          <cell r="O883" t="e">
            <v>#N/A</v>
          </cell>
          <cell r="P883" t="str">
            <v/>
          </cell>
          <cell r="Q883" t="str">
            <v/>
          </cell>
          <cell r="R883" t="e">
            <v>#N/A</v>
          </cell>
        </row>
        <row r="884">
          <cell r="A884" t="str">
            <v/>
          </cell>
          <cell r="B884" t="str">
            <v/>
          </cell>
          <cell r="C884" t="str">
            <v>Future</v>
          </cell>
          <cell r="D884" t="e">
            <v>#N/A</v>
          </cell>
          <cell r="E884">
            <v>-18.002834645668958</v>
          </cell>
          <cell r="F884">
            <v>97.508976377954809</v>
          </cell>
          <cell r="G884">
            <v>46.170393700787265</v>
          </cell>
          <cell r="H884">
            <v>46.170393700787265</v>
          </cell>
          <cell r="I884" t="e">
            <v>#N/A</v>
          </cell>
          <cell r="J884" t="e">
            <v>#N/A</v>
          </cell>
          <cell r="K884">
            <v>90</v>
          </cell>
          <cell r="L884">
            <v>50</v>
          </cell>
          <cell r="M884" t="e">
            <v>#N/A</v>
          </cell>
          <cell r="N884">
            <v>80</v>
          </cell>
          <cell r="O884" t="e">
            <v>#N/A</v>
          </cell>
          <cell r="P884" t="str">
            <v/>
          </cell>
          <cell r="Q884" t="str">
            <v/>
          </cell>
          <cell r="R884" t="e">
            <v>#N/A</v>
          </cell>
        </row>
        <row r="885">
          <cell r="A885" t="str">
            <v/>
          </cell>
          <cell r="B885" t="str">
            <v/>
          </cell>
          <cell r="C885" t="str">
            <v>Future</v>
          </cell>
          <cell r="D885" t="e">
            <v>#N/A</v>
          </cell>
          <cell r="E885">
            <v>-18.252874015747697</v>
          </cell>
          <cell r="F885">
            <v>97.613267716537493</v>
          </cell>
          <cell r="G885">
            <v>46.117204724409312</v>
          </cell>
          <cell r="H885">
            <v>46.117204724409312</v>
          </cell>
          <cell r="I885" t="e">
            <v>#N/A</v>
          </cell>
          <cell r="J885" t="e">
            <v>#N/A</v>
          </cell>
          <cell r="K885">
            <v>90</v>
          </cell>
          <cell r="L885">
            <v>50</v>
          </cell>
          <cell r="M885" t="e">
            <v>#N/A</v>
          </cell>
          <cell r="N885">
            <v>80</v>
          </cell>
          <cell r="O885" t="e">
            <v>#N/A</v>
          </cell>
          <cell r="P885" t="str">
            <v/>
          </cell>
          <cell r="Q885" t="str">
            <v/>
          </cell>
          <cell r="R885" t="e">
            <v>#N/A</v>
          </cell>
        </row>
        <row r="886">
          <cell r="A886" t="str">
            <v/>
          </cell>
          <cell r="B886" t="str">
            <v/>
          </cell>
          <cell r="C886" t="str">
            <v>Future</v>
          </cell>
          <cell r="D886" t="e">
            <v>#N/A</v>
          </cell>
          <cell r="E886">
            <v>-18.502913385826435</v>
          </cell>
          <cell r="F886">
            <v>97.717559055120176</v>
          </cell>
          <cell r="G886">
            <v>46.064015748031359</v>
          </cell>
          <cell r="H886">
            <v>46.064015748031359</v>
          </cell>
          <cell r="I886" t="e">
            <v>#N/A</v>
          </cell>
          <cell r="J886" t="e">
            <v>#N/A</v>
          </cell>
          <cell r="K886">
            <v>90</v>
          </cell>
          <cell r="L886">
            <v>50</v>
          </cell>
          <cell r="M886" t="e">
            <v>#N/A</v>
          </cell>
          <cell r="N886">
            <v>80</v>
          </cell>
          <cell r="O886" t="e">
            <v>#N/A</v>
          </cell>
          <cell r="P886" t="str">
            <v/>
          </cell>
          <cell r="Q886" t="str">
            <v/>
          </cell>
          <cell r="R886" t="e">
            <v>#N/A</v>
          </cell>
        </row>
        <row r="887">
          <cell r="A887" t="str">
            <v/>
          </cell>
          <cell r="B887" t="str">
            <v/>
          </cell>
          <cell r="C887" t="str">
            <v>Future</v>
          </cell>
          <cell r="D887" t="e">
            <v>#N/A</v>
          </cell>
          <cell r="E887">
            <v>-18.752952755905174</v>
          </cell>
          <cell r="F887">
            <v>97.82185039370286</v>
          </cell>
          <cell r="G887">
            <v>46.010826771653406</v>
          </cell>
          <cell r="H887">
            <v>46.010826771653406</v>
          </cell>
          <cell r="I887" t="e">
            <v>#N/A</v>
          </cell>
          <cell r="J887" t="e">
            <v>#N/A</v>
          </cell>
          <cell r="K887">
            <v>90</v>
          </cell>
          <cell r="L887">
            <v>50</v>
          </cell>
          <cell r="M887" t="e">
            <v>#N/A</v>
          </cell>
          <cell r="N887">
            <v>80</v>
          </cell>
          <cell r="O887" t="e">
            <v>#N/A</v>
          </cell>
          <cell r="P887" t="str">
            <v/>
          </cell>
          <cell r="Q887" t="str">
            <v/>
          </cell>
          <cell r="R887" t="e">
            <v>#N/A</v>
          </cell>
        </row>
        <row r="888">
          <cell r="A888" t="str">
            <v/>
          </cell>
          <cell r="B888" t="str">
            <v/>
          </cell>
          <cell r="C888" t="str">
            <v>Future</v>
          </cell>
          <cell r="D888" t="e">
            <v>#N/A</v>
          </cell>
          <cell r="E888">
            <v>-19.002992125983912</v>
          </cell>
          <cell r="F888">
            <v>97.926141732285544</v>
          </cell>
          <cell r="G888">
            <v>45.957637795275453</v>
          </cell>
          <cell r="H888">
            <v>45.957637795275453</v>
          </cell>
          <cell r="I888" t="e">
            <v>#N/A</v>
          </cell>
          <cell r="J888" t="e">
            <v>#N/A</v>
          </cell>
          <cell r="K888">
            <v>90</v>
          </cell>
          <cell r="L888">
            <v>50</v>
          </cell>
          <cell r="M888" t="e">
            <v>#N/A</v>
          </cell>
          <cell r="N888">
            <v>80</v>
          </cell>
          <cell r="O888" t="e">
            <v>#N/A</v>
          </cell>
          <cell r="P888" t="str">
            <v/>
          </cell>
          <cell r="Q888" t="str">
            <v/>
          </cell>
          <cell r="R888" t="e">
            <v>#N/A</v>
          </cell>
        </row>
        <row r="889">
          <cell r="A889" t="str">
            <v/>
          </cell>
          <cell r="B889" t="str">
            <v/>
          </cell>
          <cell r="C889" t="str">
            <v>Future</v>
          </cell>
          <cell r="D889" t="e">
            <v>#N/A</v>
          </cell>
          <cell r="E889">
            <v>-19.253031496062651</v>
          </cell>
          <cell r="F889">
            <v>98.030433070868227</v>
          </cell>
          <cell r="G889">
            <v>45.9044488188975</v>
          </cell>
          <cell r="H889">
            <v>45.9044488188975</v>
          </cell>
          <cell r="I889" t="e">
            <v>#N/A</v>
          </cell>
          <cell r="J889" t="e">
            <v>#N/A</v>
          </cell>
          <cell r="K889">
            <v>90</v>
          </cell>
          <cell r="L889">
            <v>50</v>
          </cell>
          <cell r="M889" t="e">
            <v>#N/A</v>
          </cell>
          <cell r="N889">
            <v>80</v>
          </cell>
          <cell r="O889" t="e">
            <v>#N/A</v>
          </cell>
          <cell r="P889" t="str">
            <v/>
          </cell>
          <cell r="Q889" t="str">
            <v/>
          </cell>
          <cell r="R889" t="e">
            <v>#N/A</v>
          </cell>
        </row>
        <row r="890">
          <cell r="A890" t="str">
            <v/>
          </cell>
          <cell r="B890" t="str">
            <v/>
          </cell>
          <cell r="C890" t="str">
            <v>Future</v>
          </cell>
          <cell r="D890" t="e">
            <v>#N/A</v>
          </cell>
          <cell r="E890">
            <v>-19.503070866141389</v>
          </cell>
          <cell r="F890">
            <v>98.134724409450911</v>
          </cell>
          <cell r="G890">
            <v>45.851259842519546</v>
          </cell>
          <cell r="H890">
            <v>45.851259842519546</v>
          </cell>
          <cell r="I890" t="e">
            <v>#N/A</v>
          </cell>
          <cell r="J890" t="e">
            <v>#N/A</v>
          </cell>
          <cell r="K890">
            <v>90</v>
          </cell>
          <cell r="L890">
            <v>50</v>
          </cell>
          <cell r="M890" t="e">
            <v>#N/A</v>
          </cell>
          <cell r="N890">
            <v>80</v>
          </cell>
          <cell r="O890" t="e">
            <v>#N/A</v>
          </cell>
          <cell r="P890" t="str">
            <v/>
          </cell>
          <cell r="Q890" t="str">
            <v/>
          </cell>
          <cell r="R890" t="e">
            <v>#N/A</v>
          </cell>
        </row>
        <row r="891">
          <cell r="A891" t="str">
            <v/>
          </cell>
          <cell r="B891" t="str">
            <v/>
          </cell>
          <cell r="C891" t="str">
            <v>Future</v>
          </cell>
          <cell r="D891" t="e">
            <v>#N/A</v>
          </cell>
          <cell r="E891">
            <v>-19.753110236220127</v>
          </cell>
          <cell r="F891">
            <v>98.239015748033594</v>
          </cell>
          <cell r="G891">
            <v>45.798070866141593</v>
          </cell>
          <cell r="H891">
            <v>45.798070866141593</v>
          </cell>
          <cell r="I891" t="e">
            <v>#N/A</v>
          </cell>
          <cell r="J891" t="e">
            <v>#N/A</v>
          </cell>
          <cell r="K891">
            <v>90</v>
          </cell>
          <cell r="L891">
            <v>50</v>
          </cell>
          <cell r="M891" t="e">
            <v>#N/A</v>
          </cell>
          <cell r="N891">
            <v>80</v>
          </cell>
          <cell r="O891" t="e">
            <v>#N/A</v>
          </cell>
          <cell r="P891" t="str">
            <v/>
          </cell>
          <cell r="Q891" t="str">
            <v/>
          </cell>
          <cell r="R891" t="e">
            <v>#N/A</v>
          </cell>
        </row>
        <row r="892">
          <cell r="A892" t="str">
            <v/>
          </cell>
          <cell r="B892" t="str">
            <v/>
          </cell>
          <cell r="C892" t="str">
            <v>Future</v>
          </cell>
          <cell r="D892" t="e">
            <v>#N/A</v>
          </cell>
          <cell r="E892">
            <v>-20.003149606298866</v>
          </cell>
          <cell r="F892">
            <v>98.343307086616278</v>
          </cell>
          <cell r="G892">
            <v>45.74488188976364</v>
          </cell>
          <cell r="H892">
            <v>45.74488188976364</v>
          </cell>
          <cell r="I892" t="e">
            <v>#N/A</v>
          </cell>
          <cell r="J892" t="e">
            <v>#N/A</v>
          </cell>
          <cell r="K892">
            <v>90</v>
          </cell>
          <cell r="L892">
            <v>50</v>
          </cell>
          <cell r="M892" t="e">
            <v>#N/A</v>
          </cell>
          <cell r="N892">
            <v>80</v>
          </cell>
          <cell r="O892" t="e">
            <v>#N/A</v>
          </cell>
          <cell r="P892" t="str">
            <v/>
          </cell>
          <cell r="Q892" t="str">
            <v/>
          </cell>
          <cell r="R892" t="e">
            <v>#N/A</v>
          </cell>
        </row>
        <row r="893">
          <cell r="A893" t="str">
            <v/>
          </cell>
          <cell r="B893" t="str">
            <v/>
          </cell>
          <cell r="C893" t="str">
            <v>Future</v>
          </cell>
          <cell r="D893" t="e">
            <v>#N/A</v>
          </cell>
          <cell r="E893">
            <v>-20.253188976377604</v>
          </cell>
          <cell r="F893">
            <v>98.447598425198962</v>
          </cell>
          <cell r="G893">
            <v>45.691692913385687</v>
          </cell>
          <cell r="H893">
            <v>45.691692913385687</v>
          </cell>
          <cell r="I893" t="e">
            <v>#N/A</v>
          </cell>
          <cell r="J893" t="e">
            <v>#N/A</v>
          </cell>
          <cell r="K893">
            <v>90</v>
          </cell>
          <cell r="L893">
            <v>50</v>
          </cell>
          <cell r="M893" t="e">
            <v>#N/A</v>
          </cell>
          <cell r="N893">
            <v>80</v>
          </cell>
          <cell r="O893" t="e">
            <v>#N/A</v>
          </cell>
          <cell r="P893" t="str">
            <v/>
          </cell>
          <cell r="Q893" t="str">
            <v/>
          </cell>
          <cell r="R893" t="e">
            <v>#N/A</v>
          </cell>
        </row>
        <row r="894">
          <cell r="A894" t="str">
            <v/>
          </cell>
          <cell r="B894" t="str">
            <v/>
          </cell>
          <cell r="C894" t="str">
            <v>Future</v>
          </cell>
          <cell r="D894" t="e">
            <v>#N/A</v>
          </cell>
          <cell r="E894">
            <v>-20.503228346456343</v>
          </cell>
          <cell r="F894">
            <v>98.551889763781645</v>
          </cell>
          <cell r="G894">
            <v>45.638503937007734</v>
          </cell>
          <cell r="H894">
            <v>45.638503937007734</v>
          </cell>
          <cell r="I894" t="e">
            <v>#N/A</v>
          </cell>
          <cell r="J894" t="e">
            <v>#N/A</v>
          </cell>
          <cell r="K894">
            <v>90</v>
          </cell>
          <cell r="L894">
            <v>50</v>
          </cell>
          <cell r="M894" t="e">
            <v>#N/A</v>
          </cell>
          <cell r="N894">
            <v>80</v>
          </cell>
          <cell r="O894" t="e">
            <v>#N/A</v>
          </cell>
          <cell r="P894" t="str">
            <v/>
          </cell>
          <cell r="Q894" t="str">
            <v/>
          </cell>
          <cell r="R894" t="e">
            <v>#N/A</v>
          </cell>
        </row>
        <row r="895">
          <cell r="A895" t="str">
            <v/>
          </cell>
          <cell r="B895" t="str">
            <v/>
          </cell>
          <cell r="C895" t="str">
            <v>Future</v>
          </cell>
          <cell r="D895" t="e">
            <v>#N/A</v>
          </cell>
          <cell r="E895">
            <v>-20.753267716535081</v>
          </cell>
          <cell r="F895">
            <v>98.656181102364329</v>
          </cell>
          <cell r="G895">
            <v>45.585314960629781</v>
          </cell>
          <cell r="H895">
            <v>45.585314960629781</v>
          </cell>
          <cell r="I895" t="e">
            <v>#N/A</v>
          </cell>
          <cell r="J895" t="e">
            <v>#N/A</v>
          </cell>
          <cell r="K895">
            <v>90</v>
          </cell>
          <cell r="L895">
            <v>50</v>
          </cell>
          <cell r="M895" t="e">
            <v>#N/A</v>
          </cell>
          <cell r="N895">
            <v>80</v>
          </cell>
          <cell r="O895" t="e">
            <v>#N/A</v>
          </cell>
          <cell r="P895" t="str">
            <v/>
          </cell>
          <cell r="Q895" t="str">
            <v/>
          </cell>
          <cell r="R895" t="e">
            <v>#N/A</v>
          </cell>
        </row>
        <row r="896">
          <cell r="A896" t="str">
            <v/>
          </cell>
          <cell r="B896" t="str">
            <v/>
          </cell>
          <cell r="C896" t="str">
            <v>Future</v>
          </cell>
          <cell r="D896" t="e">
            <v>#N/A</v>
          </cell>
          <cell r="E896">
            <v>-21.00330708661382</v>
          </cell>
          <cell r="F896">
            <v>98.760472440947012</v>
          </cell>
          <cell r="G896">
            <v>45.532125984251827</v>
          </cell>
          <cell r="H896">
            <v>45.532125984251827</v>
          </cell>
          <cell r="I896" t="e">
            <v>#N/A</v>
          </cell>
          <cell r="J896" t="e">
            <v>#N/A</v>
          </cell>
          <cell r="K896">
            <v>90</v>
          </cell>
          <cell r="L896">
            <v>50</v>
          </cell>
          <cell r="M896" t="e">
            <v>#N/A</v>
          </cell>
          <cell r="N896">
            <v>80</v>
          </cell>
          <cell r="O896" t="e">
            <v>#N/A</v>
          </cell>
          <cell r="P896" t="str">
            <v/>
          </cell>
          <cell r="Q896" t="str">
            <v/>
          </cell>
          <cell r="R896" t="e">
            <v>#N/A</v>
          </cell>
        </row>
        <row r="897">
          <cell r="A897" t="str">
            <v/>
          </cell>
          <cell r="B897" t="str">
            <v/>
          </cell>
          <cell r="C897" t="str">
            <v>Future</v>
          </cell>
          <cell r="D897" t="e">
            <v>#N/A</v>
          </cell>
          <cell r="E897">
            <v>-21.253346456692558</v>
          </cell>
          <cell r="F897">
            <v>98.864763779529696</v>
          </cell>
          <cell r="G897">
            <v>45.478937007873874</v>
          </cell>
          <cell r="H897">
            <v>45.478937007873874</v>
          </cell>
          <cell r="I897" t="e">
            <v>#N/A</v>
          </cell>
          <cell r="J897" t="e">
            <v>#N/A</v>
          </cell>
          <cell r="K897">
            <v>90</v>
          </cell>
          <cell r="L897">
            <v>50</v>
          </cell>
          <cell r="M897" t="e">
            <v>#N/A</v>
          </cell>
          <cell r="N897">
            <v>80</v>
          </cell>
          <cell r="O897" t="e">
            <v>#N/A</v>
          </cell>
          <cell r="P897" t="str">
            <v/>
          </cell>
          <cell r="Q897" t="str">
            <v/>
          </cell>
          <cell r="R897" t="e">
            <v>#N/A</v>
          </cell>
        </row>
        <row r="898">
          <cell r="A898" t="str">
            <v/>
          </cell>
          <cell r="B898" t="str">
            <v/>
          </cell>
          <cell r="C898" t="str">
            <v>Future</v>
          </cell>
          <cell r="D898" t="e">
            <v>#N/A</v>
          </cell>
          <cell r="E898">
            <v>-21.503385826771297</v>
          </cell>
          <cell r="F898">
            <v>98.969055118112379</v>
          </cell>
          <cell r="G898">
            <v>45.425748031495921</v>
          </cell>
          <cell r="H898">
            <v>45.425748031495921</v>
          </cell>
          <cell r="I898" t="e">
            <v>#N/A</v>
          </cell>
          <cell r="J898" t="e">
            <v>#N/A</v>
          </cell>
          <cell r="K898">
            <v>90</v>
          </cell>
          <cell r="L898">
            <v>50</v>
          </cell>
          <cell r="M898" t="e">
            <v>#N/A</v>
          </cell>
          <cell r="N898">
            <v>80</v>
          </cell>
          <cell r="O898" t="e">
            <v>#N/A</v>
          </cell>
          <cell r="P898" t="str">
            <v/>
          </cell>
          <cell r="Q898" t="str">
            <v/>
          </cell>
          <cell r="R898" t="e">
            <v>#N/A</v>
          </cell>
        </row>
        <row r="899">
          <cell r="A899" t="str">
            <v/>
          </cell>
          <cell r="B899" t="str">
            <v/>
          </cell>
          <cell r="C899" t="str">
            <v>Future</v>
          </cell>
          <cell r="D899" t="e">
            <v>#N/A</v>
          </cell>
          <cell r="E899">
            <v>-21.753425196850035</v>
          </cell>
          <cell r="F899">
            <v>99.073346456695063</v>
          </cell>
          <cell r="G899">
            <v>45.372559055117968</v>
          </cell>
          <cell r="H899">
            <v>45.372559055117968</v>
          </cell>
          <cell r="I899" t="e">
            <v>#N/A</v>
          </cell>
          <cell r="J899" t="e">
            <v>#N/A</v>
          </cell>
          <cell r="K899">
            <v>90</v>
          </cell>
          <cell r="L899">
            <v>50</v>
          </cell>
          <cell r="M899" t="e">
            <v>#N/A</v>
          </cell>
          <cell r="N899">
            <v>80</v>
          </cell>
          <cell r="O899" t="e">
            <v>#N/A</v>
          </cell>
          <cell r="P899" t="str">
            <v/>
          </cell>
          <cell r="Q899" t="str">
            <v/>
          </cell>
          <cell r="R899" t="e">
            <v>#N/A</v>
          </cell>
        </row>
        <row r="900">
          <cell r="A900" t="str">
            <v/>
          </cell>
          <cell r="B900" t="str">
            <v/>
          </cell>
          <cell r="C900" t="str">
            <v>Future</v>
          </cell>
          <cell r="D900" t="e">
            <v>#N/A</v>
          </cell>
          <cell r="E900">
            <v>-22.003464566928773</v>
          </cell>
          <cell r="F900">
            <v>99.177637795277747</v>
          </cell>
          <cell r="G900">
            <v>45.319370078740015</v>
          </cell>
          <cell r="H900">
            <v>45.319370078740015</v>
          </cell>
          <cell r="I900" t="e">
            <v>#N/A</v>
          </cell>
          <cell r="J900" t="e">
            <v>#N/A</v>
          </cell>
          <cell r="K900">
            <v>90</v>
          </cell>
          <cell r="L900">
            <v>50</v>
          </cell>
          <cell r="M900" t="e">
            <v>#N/A</v>
          </cell>
          <cell r="N900">
            <v>80</v>
          </cell>
          <cell r="O900" t="e">
            <v>#N/A</v>
          </cell>
          <cell r="P900" t="str">
            <v/>
          </cell>
          <cell r="Q900" t="str">
            <v/>
          </cell>
          <cell r="R900" t="e">
            <v>#N/A</v>
          </cell>
        </row>
        <row r="901">
          <cell r="A901" t="str">
            <v/>
          </cell>
          <cell r="B901" t="str">
            <v/>
          </cell>
          <cell r="C901" t="str">
            <v>Future</v>
          </cell>
          <cell r="D901" t="e">
            <v>#N/A</v>
          </cell>
          <cell r="E901">
            <v>-22.253503937007512</v>
          </cell>
          <cell r="F901">
            <v>99.28192913386043</v>
          </cell>
          <cell r="G901">
            <v>45.266181102362061</v>
          </cell>
          <cell r="H901">
            <v>45.266181102362061</v>
          </cell>
          <cell r="I901" t="e">
            <v>#N/A</v>
          </cell>
          <cell r="J901" t="e">
            <v>#N/A</v>
          </cell>
          <cell r="K901">
            <v>90</v>
          </cell>
          <cell r="L901">
            <v>50</v>
          </cell>
          <cell r="M901" t="e">
            <v>#N/A</v>
          </cell>
          <cell r="N901">
            <v>80</v>
          </cell>
          <cell r="O901" t="e">
            <v>#N/A</v>
          </cell>
          <cell r="P901" t="str">
            <v/>
          </cell>
          <cell r="Q901" t="str">
            <v/>
          </cell>
          <cell r="R901" t="e">
            <v>#N/A</v>
          </cell>
        </row>
        <row r="902">
          <cell r="A902" t="str">
            <v/>
          </cell>
          <cell r="B902" t="str">
            <v/>
          </cell>
          <cell r="C902" t="str">
            <v>Future</v>
          </cell>
          <cell r="D902" t="e">
            <v>#N/A</v>
          </cell>
          <cell r="E902">
            <v>-22.50354330708625</v>
          </cell>
          <cell r="F902">
            <v>99.386220472443114</v>
          </cell>
          <cell r="G902">
            <v>45.212992125984108</v>
          </cell>
          <cell r="H902">
            <v>45.212992125984108</v>
          </cell>
          <cell r="I902" t="e">
            <v>#N/A</v>
          </cell>
          <cell r="J902" t="e">
            <v>#N/A</v>
          </cell>
          <cell r="K902">
            <v>90</v>
          </cell>
          <cell r="L902">
            <v>50</v>
          </cell>
          <cell r="M902" t="e">
            <v>#N/A</v>
          </cell>
          <cell r="N902">
            <v>80</v>
          </cell>
          <cell r="O902" t="e">
            <v>#N/A</v>
          </cell>
          <cell r="P902" t="str">
            <v/>
          </cell>
          <cell r="Q902" t="str">
            <v/>
          </cell>
          <cell r="R902" t="e">
            <v>#N/A</v>
          </cell>
        </row>
        <row r="903">
          <cell r="A903" t="str">
            <v/>
          </cell>
          <cell r="B903" t="str">
            <v/>
          </cell>
          <cell r="C903" t="str">
            <v>Future</v>
          </cell>
          <cell r="D903" t="e">
            <v>#N/A</v>
          </cell>
          <cell r="E903">
            <v>-22.753582677164989</v>
          </cell>
          <cell r="F903">
            <v>99.490511811025797</v>
          </cell>
          <cell r="G903">
            <v>45.159803149606155</v>
          </cell>
          <cell r="H903">
            <v>45.159803149606155</v>
          </cell>
          <cell r="I903" t="e">
            <v>#N/A</v>
          </cell>
          <cell r="J903" t="e">
            <v>#N/A</v>
          </cell>
          <cell r="K903">
            <v>90</v>
          </cell>
          <cell r="L903">
            <v>50</v>
          </cell>
          <cell r="M903" t="e">
            <v>#N/A</v>
          </cell>
          <cell r="N903">
            <v>80</v>
          </cell>
          <cell r="O903" t="e">
            <v>#N/A</v>
          </cell>
          <cell r="P903" t="str">
            <v/>
          </cell>
          <cell r="Q903" t="str">
            <v/>
          </cell>
          <cell r="R903" t="e">
            <v>#N/A</v>
          </cell>
        </row>
        <row r="904">
          <cell r="A904" t="str">
            <v/>
          </cell>
          <cell r="B904" t="str">
            <v/>
          </cell>
          <cell r="C904" t="str">
            <v>Future</v>
          </cell>
          <cell r="D904" t="e">
            <v>#N/A</v>
          </cell>
          <cell r="E904">
            <v>-23.003622047243727</v>
          </cell>
          <cell r="F904">
            <v>99.594803149608481</v>
          </cell>
          <cell r="G904">
            <v>45.106614173228202</v>
          </cell>
          <cell r="H904">
            <v>45.106614173228202</v>
          </cell>
          <cell r="I904" t="e">
            <v>#N/A</v>
          </cell>
          <cell r="J904" t="e">
            <v>#N/A</v>
          </cell>
          <cell r="K904">
            <v>90</v>
          </cell>
          <cell r="L904">
            <v>50</v>
          </cell>
          <cell r="M904" t="e">
            <v>#N/A</v>
          </cell>
          <cell r="N904">
            <v>80</v>
          </cell>
          <cell r="O904" t="e">
            <v>#N/A</v>
          </cell>
          <cell r="P904" t="str">
            <v/>
          </cell>
          <cell r="Q904" t="str">
            <v/>
          </cell>
          <cell r="R904" t="e">
            <v>#N/A</v>
          </cell>
        </row>
        <row r="905">
          <cell r="A905" t="str">
            <v/>
          </cell>
          <cell r="B905" t="str">
            <v/>
          </cell>
          <cell r="C905" t="str">
            <v>Future</v>
          </cell>
          <cell r="D905" t="e">
            <v>#N/A</v>
          </cell>
          <cell r="E905">
            <v>-23.253661417322466</v>
          </cell>
          <cell r="F905">
            <v>99.699094488191164</v>
          </cell>
          <cell r="G905">
            <v>45.053425196850249</v>
          </cell>
          <cell r="H905">
            <v>45.053425196850249</v>
          </cell>
          <cell r="I905" t="e">
            <v>#N/A</v>
          </cell>
          <cell r="J905" t="e">
            <v>#N/A</v>
          </cell>
          <cell r="K905">
            <v>90</v>
          </cell>
          <cell r="L905">
            <v>50</v>
          </cell>
          <cell r="M905" t="e">
            <v>#N/A</v>
          </cell>
          <cell r="N905">
            <v>80</v>
          </cell>
          <cell r="O905" t="e">
            <v>#N/A</v>
          </cell>
          <cell r="P905" t="str">
            <v/>
          </cell>
          <cell r="Q905" t="str">
            <v/>
          </cell>
          <cell r="R905" t="e">
            <v>#N/A</v>
          </cell>
        </row>
        <row r="906">
          <cell r="A906" t="str">
            <v/>
          </cell>
          <cell r="B906" t="str">
            <v/>
          </cell>
          <cell r="C906" t="str">
            <v>Future</v>
          </cell>
          <cell r="D906" t="e">
            <v>#N/A</v>
          </cell>
          <cell r="E906">
            <v>-23.503700787401204</v>
          </cell>
          <cell r="F906">
            <v>99.803385826773848</v>
          </cell>
          <cell r="G906">
            <v>45.000236220472296</v>
          </cell>
          <cell r="H906">
            <v>45.000236220472296</v>
          </cell>
          <cell r="I906" t="e">
            <v>#N/A</v>
          </cell>
          <cell r="J906" t="e">
            <v>#N/A</v>
          </cell>
          <cell r="K906">
            <v>90</v>
          </cell>
          <cell r="L906">
            <v>50</v>
          </cell>
          <cell r="M906" t="e">
            <v>#N/A</v>
          </cell>
          <cell r="N906">
            <v>80</v>
          </cell>
          <cell r="O906" t="e">
            <v>#N/A</v>
          </cell>
          <cell r="P906" t="str">
            <v/>
          </cell>
          <cell r="Q906" t="str">
            <v/>
          </cell>
          <cell r="R906" t="e">
            <v>#N/A</v>
          </cell>
        </row>
        <row r="907">
          <cell r="A907" t="str">
            <v/>
          </cell>
          <cell r="B907" t="str">
            <v/>
          </cell>
          <cell r="C907" t="str">
            <v>Future</v>
          </cell>
          <cell r="D907" t="e">
            <v>#N/A</v>
          </cell>
          <cell r="E907">
            <v>-23.753740157479942</v>
          </cell>
          <cell r="F907">
            <v>99.907677165356532</v>
          </cell>
          <cell r="G907">
            <v>44.947047244094342</v>
          </cell>
          <cell r="H907">
            <v>44.947047244094342</v>
          </cell>
          <cell r="I907" t="e">
            <v>#N/A</v>
          </cell>
          <cell r="J907" t="e">
            <v>#N/A</v>
          </cell>
          <cell r="K907">
            <v>90</v>
          </cell>
          <cell r="L907">
            <v>50</v>
          </cell>
          <cell r="M907" t="e">
            <v>#N/A</v>
          </cell>
          <cell r="N907">
            <v>80</v>
          </cell>
          <cell r="O907" t="e">
            <v>#N/A</v>
          </cell>
          <cell r="P907" t="str">
            <v/>
          </cell>
          <cell r="Q907" t="str">
            <v/>
          </cell>
          <cell r="R907" t="e">
            <v>#N/A</v>
          </cell>
        </row>
        <row r="908">
          <cell r="A908" t="str">
            <v/>
          </cell>
          <cell r="B908" t="str">
            <v/>
          </cell>
          <cell r="C908" t="str">
            <v>Future</v>
          </cell>
          <cell r="D908" t="e">
            <v>#N/A</v>
          </cell>
          <cell r="E908">
            <v>-24.003779527558681</v>
          </cell>
          <cell r="F908">
            <v>100.01196850393922</v>
          </cell>
          <cell r="G908">
            <v>44.893858267716389</v>
          </cell>
          <cell r="H908">
            <v>44.893858267716389</v>
          </cell>
          <cell r="I908" t="e">
            <v>#N/A</v>
          </cell>
          <cell r="J908" t="e">
            <v>#N/A</v>
          </cell>
          <cell r="K908">
            <v>90</v>
          </cell>
          <cell r="L908">
            <v>50</v>
          </cell>
          <cell r="M908" t="e">
            <v>#N/A</v>
          </cell>
          <cell r="N908">
            <v>80</v>
          </cell>
          <cell r="O908" t="e">
            <v>#N/A</v>
          </cell>
          <cell r="P908" t="str">
            <v/>
          </cell>
          <cell r="Q908" t="str">
            <v/>
          </cell>
          <cell r="R908" t="e">
            <v>#N/A</v>
          </cell>
        </row>
        <row r="909">
          <cell r="A909" t="str">
            <v/>
          </cell>
          <cell r="B909" t="str">
            <v/>
          </cell>
          <cell r="C909" t="str">
            <v>Future</v>
          </cell>
          <cell r="D909" t="e">
            <v>#N/A</v>
          </cell>
          <cell r="E909">
            <v>-24.253818897637419</v>
          </cell>
          <cell r="F909">
            <v>100.1162598425219</v>
          </cell>
          <cell r="G909">
            <v>44.840669291338436</v>
          </cell>
          <cell r="H909">
            <v>44.840669291338436</v>
          </cell>
          <cell r="I909" t="e">
            <v>#N/A</v>
          </cell>
          <cell r="J909" t="e">
            <v>#N/A</v>
          </cell>
          <cell r="K909">
            <v>90</v>
          </cell>
          <cell r="L909">
            <v>50</v>
          </cell>
          <cell r="M909" t="e">
            <v>#N/A</v>
          </cell>
          <cell r="N909">
            <v>80</v>
          </cell>
          <cell r="O909" t="e">
            <v>#N/A</v>
          </cell>
          <cell r="P909" t="str">
            <v/>
          </cell>
          <cell r="Q909" t="str">
            <v/>
          </cell>
          <cell r="R909" t="e">
            <v>#N/A</v>
          </cell>
        </row>
        <row r="910">
          <cell r="A910" t="str">
            <v/>
          </cell>
          <cell r="B910" t="str">
            <v/>
          </cell>
          <cell r="C910" t="str">
            <v>Future</v>
          </cell>
          <cell r="D910" t="e">
            <v>#N/A</v>
          </cell>
          <cell r="E910">
            <v>-24.503858267716158</v>
          </cell>
          <cell r="F910">
            <v>100.22055118110458</v>
          </cell>
          <cell r="G910">
            <v>44.787480314960483</v>
          </cell>
          <cell r="H910">
            <v>44.787480314960483</v>
          </cell>
          <cell r="I910" t="e">
            <v>#N/A</v>
          </cell>
          <cell r="J910" t="e">
            <v>#N/A</v>
          </cell>
          <cell r="K910">
            <v>90</v>
          </cell>
          <cell r="L910">
            <v>50</v>
          </cell>
          <cell r="M910" t="e">
            <v>#N/A</v>
          </cell>
          <cell r="N910">
            <v>80</v>
          </cell>
          <cell r="O910" t="e">
            <v>#N/A</v>
          </cell>
          <cell r="P910" t="str">
            <v/>
          </cell>
          <cell r="Q910" t="str">
            <v/>
          </cell>
          <cell r="R910" t="e">
            <v>#N/A</v>
          </cell>
        </row>
        <row r="911">
          <cell r="A911" t="str">
            <v/>
          </cell>
          <cell r="B911" t="str">
            <v/>
          </cell>
          <cell r="C911" t="str">
            <v>Future</v>
          </cell>
          <cell r="D911" t="e">
            <v>#N/A</v>
          </cell>
          <cell r="E911">
            <v>-24.753897637794896</v>
          </cell>
          <cell r="F911">
            <v>100.32484251968727</v>
          </cell>
          <cell r="G911">
            <v>44.73429133858253</v>
          </cell>
          <cell r="H911">
            <v>44.73429133858253</v>
          </cell>
          <cell r="I911" t="e">
            <v>#N/A</v>
          </cell>
          <cell r="J911" t="e">
            <v>#N/A</v>
          </cell>
          <cell r="K911">
            <v>90</v>
          </cell>
          <cell r="L911">
            <v>50</v>
          </cell>
          <cell r="M911" t="e">
            <v>#N/A</v>
          </cell>
          <cell r="N911">
            <v>80</v>
          </cell>
          <cell r="O911" t="e">
            <v>#N/A</v>
          </cell>
          <cell r="P911" t="str">
            <v/>
          </cell>
          <cell r="Q911" t="str">
            <v/>
          </cell>
          <cell r="R911" t="e">
            <v>#N/A</v>
          </cell>
        </row>
        <row r="912">
          <cell r="A912" t="str">
            <v/>
          </cell>
          <cell r="B912" t="str">
            <v/>
          </cell>
          <cell r="C912" t="str">
            <v>Future</v>
          </cell>
          <cell r="D912" t="e">
            <v>#N/A</v>
          </cell>
          <cell r="E912">
            <v>-25.003937007873635</v>
          </cell>
          <cell r="F912">
            <v>100.42913385826995</v>
          </cell>
          <cell r="G912">
            <v>44.681102362204577</v>
          </cell>
          <cell r="H912">
            <v>44.681102362204577</v>
          </cell>
          <cell r="I912" t="e">
            <v>#N/A</v>
          </cell>
          <cell r="J912" t="e">
            <v>#N/A</v>
          </cell>
          <cell r="K912">
            <v>90</v>
          </cell>
          <cell r="L912">
            <v>50</v>
          </cell>
          <cell r="M912" t="e">
            <v>#N/A</v>
          </cell>
          <cell r="N912">
            <v>80</v>
          </cell>
          <cell r="O912" t="e">
            <v>#N/A</v>
          </cell>
          <cell r="P912" t="str">
            <v/>
          </cell>
          <cell r="Q912" t="str">
            <v/>
          </cell>
          <cell r="R912" t="e">
            <v>#N/A</v>
          </cell>
        </row>
        <row r="913">
          <cell r="A913" t="str">
            <v/>
          </cell>
          <cell r="B913" t="str">
            <v/>
          </cell>
          <cell r="C913" t="str">
            <v>Future</v>
          </cell>
          <cell r="D913" t="e">
            <v>#N/A</v>
          </cell>
          <cell r="E913">
            <v>-25.253976377952373</v>
          </cell>
          <cell r="F913">
            <v>100.53342519685263</v>
          </cell>
          <cell r="G913">
            <v>44.627913385826623</v>
          </cell>
          <cell r="H913">
            <v>44.627913385826623</v>
          </cell>
          <cell r="I913" t="e">
            <v>#N/A</v>
          </cell>
          <cell r="J913" t="e">
            <v>#N/A</v>
          </cell>
          <cell r="K913">
            <v>90</v>
          </cell>
          <cell r="L913">
            <v>50</v>
          </cell>
          <cell r="M913" t="e">
            <v>#N/A</v>
          </cell>
          <cell r="N913">
            <v>80</v>
          </cell>
          <cell r="O913" t="e">
            <v>#N/A</v>
          </cell>
          <cell r="P913" t="str">
            <v/>
          </cell>
          <cell r="Q913" t="str">
            <v/>
          </cell>
          <cell r="R913" t="e">
            <v>#N/A</v>
          </cell>
        </row>
        <row r="914">
          <cell r="A914" t="str">
            <v/>
          </cell>
          <cell r="B914" t="str">
            <v/>
          </cell>
          <cell r="C914" t="str">
            <v>Future</v>
          </cell>
          <cell r="D914" t="e">
            <v>#N/A</v>
          </cell>
          <cell r="E914">
            <v>-25.504015748031112</v>
          </cell>
          <cell r="F914">
            <v>100.63771653543532</v>
          </cell>
          <cell r="G914">
            <v>44.57472440944867</v>
          </cell>
          <cell r="H914">
            <v>44.57472440944867</v>
          </cell>
          <cell r="I914" t="e">
            <v>#N/A</v>
          </cell>
          <cell r="J914" t="e">
            <v>#N/A</v>
          </cell>
          <cell r="K914">
            <v>90</v>
          </cell>
          <cell r="L914">
            <v>50</v>
          </cell>
          <cell r="M914" t="e">
            <v>#N/A</v>
          </cell>
          <cell r="N914">
            <v>80</v>
          </cell>
          <cell r="O914" t="e">
            <v>#N/A</v>
          </cell>
          <cell r="P914" t="str">
            <v/>
          </cell>
          <cell r="Q914" t="str">
            <v/>
          </cell>
          <cell r="R914" t="e">
            <v>#N/A</v>
          </cell>
        </row>
        <row r="915">
          <cell r="A915" t="str">
            <v/>
          </cell>
          <cell r="B915" t="str">
            <v/>
          </cell>
          <cell r="C915" t="str">
            <v>Future</v>
          </cell>
          <cell r="D915" t="e">
            <v>#N/A</v>
          </cell>
          <cell r="E915">
            <v>-25.75405511810985</v>
          </cell>
          <cell r="F915">
            <v>100.742007874018</v>
          </cell>
          <cell r="G915">
            <v>44.521535433070717</v>
          </cell>
          <cell r="H915">
            <v>44.521535433070717</v>
          </cell>
          <cell r="I915" t="e">
            <v>#N/A</v>
          </cell>
          <cell r="J915" t="e">
            <v>#N/A</v>
          </cell>
          <cell r="K915">
            <v>90</v>
          </cell>
          <cell r="L915">
            <v>50</v>
          </cell>
          <cell r="M915" t="e">
            <v>#N/A</v>
          </cell>
          <cell r="N915">
            <v>80</v>
          </cell>
          <cell r="O915" t="e">
            <v>#N/A</v>
          </cell>
          <cell r="P915" t="str">
            <v/>
          </cell>
          <cell r="Q915" t="str">
            <v/>
          </cell>
          <cell r="R915" t="e">
            <v>#N/A</v>
          </cell>
        </row>
        <row r="916">
          <cell r="A916" t="str">
            <v/>
          </cell>
          <cell r="B916" t="str">
            <v/>
          </cell>
          <cell r="C916" t="str">
            <v>Future</v>
          </cell>
          <cell r="D916" t="e">
            <v>#N/A</v>
          </cell>
          <cell r="E916">
            <v>-26.004094488188588</v>
          </cell>
          <cell r="F916">
            <v>100.84629921260068</v>
          </cell>
          <cell r="G916">
            <v>44.468346456692764</v>
          </cell>
          <cell r="H916">
            <v>44.468346456692764</v>
          </cell>
          <cell r="I916" t="e">
            <v>#N/A</v>
          </cell>
          <cell r="J916" t="e">
            <v>#N/A</v>
          </cell>
          <cell r="K916">
            <v>90</v>
          </cell>
          <cell r="L916">
            <v>50</v>
          </cell>
          <cell r="M916" t="e">
            <v>#N/A</v>
          </cell>
          <cell r="N916">
            <v>80</v>
          </cell>
          <cell r="O916" t="e">
            <v>#N/A</v>
          </cell>
          <cell r="P916" t="str">
            <v/>
          </cell>
          <cell r="Q916" t="str">
            <v/>
          </cell>
          <cell r="R916" t="e">
            <v>#N/A</v>
          </cell>
        </row>
        <row r="917">
          <cell r="A917" t="str">
            <v/>
          </cell>
          <cell r="B917" t="str">
            <v/>
          </cell>
          <cell r="C917" t="str">
            <v>Future</v>
          </cell>
          <cell r="D917" t="e">
            <v>#N/A</v>
          </cell>
          <cell r="E917">
            <v>-26.254133858267327</v>
          </cell>
          <cell r="F917">
            <v>100.95059055118337</v>
          </cell>
          <cell r="G917">
            <v>44.415157480314811</v>
          </cell>
          <cell r="H917">
            <v>44.415157480314811</v>
          </cell>
          <cell r="I917" t="e">
            <v>#N/A</v>
          </cell>
          <cell r="J917" t="e">
            <v>#N/A</v>
          </cell>
          <cell r="K917">
            <v>90</v>
          </cell>
          <cell r="L917">
            <v>50</v>
          </cell>
          <cell r="M917" t="e">
            <v>#N/A</v>
          </cell>
          <cell r="N917">
            <v>80</v>
          </cell>
          <cell r="O917" t="e">
            <v>#N/A</v>
          </cell>
          <cell r="P917" t="str">
            <v/>
          </cell>
          <cell r="Q917" t="str">
            <v/>
          </cell>
          <cell r="R917" t="e">
            <v>#N/A</v>
          </cell>
        </row>
        <row r="918">
          <cell r="A918" t="str">
            <v/>
          </cell>
          <cell r="B918" t="str">
            <v/>
          </cell>
          <cell r="C918" t="str">
            <v>Future</v>
          </cell>
          <cell r="D918" t="e">
            <v>#N/A</v>
          </cell>
          <cell r="E918">
            <v>-26.504173228346065</v>
          </cell>
          <cell r="F918">
            <v>101.05488188976605</v>
          </cell>
          <cell r="G918">
            <v>44.361968503936858</v>
          </cell>
          <cell r="H918">
            <v>44.361968503936858</v>
          </cell>
          <cell r="I918" t="e">
            <v>#N/A</v>
          </cell>
          <cell r="J918" t="e">
            <v>#N/A</v>
          </cell>
          <cell r="K918">
            <v>90</v>
          </cell>
          <cell r="L918">
            <v>50</v>
          </cell>
          <cell r="M918" t="e">
            <v>#N/A</v>
          </cell>
          <cell r="N918">
            <v>80</v>
          </cell>
          <cell r="O918" t="e">
            <v>#N/A</v>
          </cell>
          <cell r="P918" t="str">
            <v/>
          </cell>
          <cell r="Q918" t="str">
            <v/>
          </cell>
          <cell r="R918" t="e">
            <v>#N/A</v>
          </cell>
        </row>
        <row r="919">
          <cell r="A919" t="str">
            <v/>
          </cell>
          <cell r="B919" t="str">
            <v/>
          </cell>
          <cell r="C919" t="str">
            <v>Future</v>
          </cell>
          <cell r="D919" t="e">
            <v>#N/A</v>
          </cell>
          <cell r="E919">
            <v>-26.754212598424804</v>
          </cell>
          <cell r="F919">
            <v>101.15917322834873</v>
          </cell>
          <cell r="G919">
            <v>44.308779527558904</v>
          </cell>
          <cell r="H919">
            <v>44.308779527558904</v>
          </cell>
          <cell r="I919" t="e">
            <v>#N/A</v>
          </cell>
          <cell r="J919" t="e">
            <v>#N/A</v>
          </cell>
          <cell r="K919">
            <v>90</v>
          </cell>
          <cell r="L919">
            <v>50</v>
          </cell>
          <cell r="M919" t="e">
            <v>#N/A</v>
          </cell>
          <cell r="N919">
            <v>80</v>
          </cell>
          <cell r="O919" t="e">
            <v>#N/A</v>
          </cell>
          <cell r="P919" t="str">
            <v/>
          </cell>
          <cell r="Q919" t="str">
            <v/>
          </cell>
          <cell r="R919" t="e">
            <v>#N/A</v>
          </cell>
        </row>
        <row r="920">
          <cell r="A920" t="str">
            <v/>
          </cell>
          <cell r="B920" t="str">
            <v/>
          </cell>
          <cell r="C920" t="str">
            <v>Future</v>
          </cell>
          <cell r="D920" t="e">
            <v>#N/A</v>
          </cell>
          <cell r="E920">
            <v>-27.004251968503542</v>
          </cell>
          <cell r="F920">
            <v>101.26346456693142</v>
          </cell>
          <cell r="G920">
            <v>44.255590551180951</v>
          </cell>
          <cell r="H920">
            <v>44.255590551180951</v>
          </cell>
          <cell r="I920" t="e">
            <v>#N/A</v>
          </cell>
          <cell r="J920" t="e">
            <v>#N/A</v>
          </cell>
          <cell r="K920">
            <v>90</v>
          </cell>
          <cell r="L920">
            <v>50</v>
          </cell>
          <cell r="M920" t="e">
            <v>#N/A</v>
          </cell>
          <cell r="N920">
            <v>80</v>
          </cell>
          <cell r="O920" t="e">
            <v>#N/A</v>
          </cell>
          <cell r="P920" t="str">
            <v/>
          </cell>
          <cell r="Q920" t="str">
            <v/>
          </cell>
          <cell r="R920" t="e">
            <v>#N/A</v>
          </cell>
        </row>
        <row r="921">
          <cell r="A921" t="str">
            <v/>
          </cell>
          <cell r="B921" t="str">
            <v/>
          </cell>
          <cell r="C921" t="str">
            <v>Future</v>
          </cell>
          <cell r="D921" t="e">
            <v>#N/A</v>
          </cell>
          <cell r="E921">
            <v>-27.254291338582281</v>
          </cell>
          <cell r="F921">
            <v>101.3677559055141</v>
          </cell>
          <cell r="G921">
            <v>44.202401574802998</v>
          </cell>
          <cell r="H921">
            <v>44.202401574802998</v>
          </cell>
          <cell r="I921" t="e">
            <v>#N/A</v>
          </cell>
          <cell r="J921" t="e">
            <v>#N/A</v>
          </cell>
          <cell r="K921">
            <v>90</v>
          </cell>
          <cell r="L921">
            <v>50</v>
          </cell>
          <cell r="M921" t="e">
            <v>#N/A</v>
          </cell>
          <cell r="N921">
            <v>80</v>
          </cell>
          <cell r="O921" t="e">
            <v>#N/A</v>
          </cell>
          <cell r="P921" t="str">
            <v/>
          </cell>
          <cell r="Q921" t="str">
            <v/>
          </cell>
          <cell r="R921" t="e">
            <v>#N/A</v>
          </cell>
        </row>
        <row r="922">
          <cell r="A922" t="str">
            <v/>
          </cell>
          <cell r="B922" t="str">
            <v/>
          </cell>
          <cell r="C922" t="str">
            <v>Future</v>
          </cell>
          <cell r="D922" t="e">
            <v>#N/A</v>
          </cell>
          <cell r="E922">
            <v>-27.504330708661019</v>
          </cell>
          <cell r="F922">
            <v>101.47204724409679</v>
          </cell>
          <cell r="G922">
            <v>44.149212598425045</v>
          </cell>
          <cell r="H922">
            <v>44.149212598425045</v>
          </cell>
          <cell r="I922" t="e">
            <v>#N/A</v>
          </cell>
          <cell r="J922" t="e">
            <v>#N/A</v>
          </cell>
          <cell r="K922">
            <v>90</v>
          </cell>
          <cell r="L922">
            <v>50</v>
          </cell>
          <cell r="M922" t="e">
            <v>#N/A</v>
          </cell>
          <cell r="N922">
            <v>80</v>
          </cell>
          <cell r="O922" t="e">
            <v>#N/A</v>
          </cell>
          <cell r="P922" t="str">
            <v/>
          </cell>
          <cell r="Q922" t="str">
            <v/>
          </cell>
          <cell r="R922" t="e">
            <v>#N/A</v>
          </cell>
        </row>
        <row r="923">
          <cell r="A923" t="str">
            <v/>
          </cell>
          <cell r="B923" t="str">
            <v/>
          </cell>
          <cell r="C923" t="str">
            <v>Future</v>
          </cell>
          <cell r="D923" t="e">
            <v>#N/A</v>
          </cell>
          <cell r="E923">
            <v>-27.754370078739758</v>
          </cell>
          <cell r="F923">
            <v>101.57633858267947</v>
          </cell>
          <cell r="G923">
            <v>44.096023622047092</v>
          </cell>
          <cell r="H923">
            <v>44.096023622047092</v>
          </cell>
          <cell r="I923" t="e">
            <v>#N/A</v>
          </cell>
          <cell r="J923" t="e">
            <v>#N/A</v>
          </cell>
          <cell r="K923">
            <v>90</v>
          </cell>
          <cell r="L923">
            <v>50</v>
          </cell>
          <cell r="M923" t="e">
            <v>#N/A</v>
          </cell>
          <cell r="N923">
            <v>80</v>
          </cell>
          <cell r="O923" t="e">
            <v>#N/A</v>
          </cell>
          <cell r="P923" t="str">
            <v/>
          </cell>
          <cell r="Q923" t="str">
            <v/>
          </cell>
          <cell r="R923" t="e">
            <v>#N/A</v>
          </cell>
        </row>
        <row r="924">
          <cell r="A924" t="str">
            <v/>
          </cell>
          <cell r="B924" t="str">
            <v/>
          </cell>
          <cell r="C924" t="str">
            <v>Future</v>
          </cell>
          <cell r="D924" t="e">
            <v>#N/A</v>
          </cell>
          <cell r="E924">
            <v>-28.004409448818496</v>
          </cell>
          <cell r="F924">
            <v>101.68062992126215</v>
          </cell>
          <cell r="G924">
            <v>44.042834645669139</v>
          </cell>
          <cell r="H924">
            <v>44.042834645669139</v>
          </cell>
          <cell r="I924" t="e">
            <v>#N/A</v>
          </cell>
          <cell r="J924" t="e">
            <v>#N/A</v>
          </cell>
          <cell r="K924">
            <v>90</v>
          </cell>
          <cell r="L924">
            <v>50</v>
          </cell>
          <cell r="M924" t="e">
            <v>#N/A</v>
          </cell>
          <cell r="N924">
            <v>80</v>
          </cell>
          <cell r="O924" t="e">
            <v>#N/A</v>
          </cell>
          <cell r="P924" t="str">
            <v/>
          </cell>
          <cell r="Q924" t="str">
            <v/>
          </cell>
          <cell r="R924" t="e">
            <v>#N/A</v>
          </cell>
        </row>
        <row r="925">
          <cell r="A925" t="str">
            <v/>
          </cell>
          <cell r="B925" t="str">
            <v/>
          </cell>
          <cell r="C925" t="str">
            <v>Future</v>
          </cell>
          <cell r="D925" t="e">
            <v>#N/A</v>
          </cell>
          <cell r="E925">
            <v>-28.254448818897234</v>
          </cell>
          <cell r="F925">
            <v>101.78492125984484</v>
          </cell>
          <cell r="G925">
            <v>43.989645669291185</v>
          </cell>
          <cell r="H925">
            <v>43.989645669291185</v>
          </cell>
          <cell r="I925" t="e">
            <v>#N/A</v>
          </cell>
          <cell r="J925" t="e">
            <v>#N/A</v>
          </cell>
          <cell r="K925">
            <v>90</v>
          </cell>
          <cell r="L925">
            <v>50</v>
          </cell>
          <cell r="M925" t="e">
            <v>#N/A</v>
          </cell>
          <cell r="N925">
            <v>80</v>
          </cell>
          <cell r="O925" t="e">
            <v>#N/A</v>
          </cell>
          <cell r="P925" t="str">
            <v/>
          </cell>
          <cell r="Q925" t="str">
            <v/>
          </cell>
          <cell r="R925" t="e">
            <v>#N/A</v>
          </cell>
        </row>
        <row r="926">
          <cell r="A926" t="str">
            <v/>
          </cell>
          <cell r="B926" t="str">
            <v/>
          </cell>
          <cell r="C926" t="str">
            <v>Future</v>
          </cell>
          <cell r="D926" t="e">
            <v>#N/A</v>
          </cell>
          <cell r="E926">
            <v>-28.504488188975973</v>
          </cell>
          <cell r="F926">
            <v>101.88921259842752</v>
          </cell>
          <cell r="G926">
            <v>43.936456692913232</v>
          </cell>
          <cell r="H926">
            <v>43.936456692913232</v>
          </cell>
          <cell r="I926" t="e">
            <v>#N/A</v>
          </cell>
          <cell r="J926" t="e">
            <v>#N/A</v>
          </cell>
          <cell r="K926">
            <v>90</v>
          </cell>
          <cell r="L926">
            <v>50</v>
          </cell>
          <cell r="M926" t="e">
            <v>#N/A</v>
          </cell>
          <cell r="N926">
            <v>80</v>
          </cell>
          <cell r="O926" t="e">
            <v>#N/A</v>
          </cell>
          <cell r="P926" t="str">
            <v/>
          </cell>
          <cell r="Q926" t="str">
            <v/>
          </cell>
          <cell r="R926" t="e">
            <v>#N/A</v>
          </cell>
        </row>
        <row r="927">
          <cell r="A927" t="str">
            <v/>
          </cell>
          <cell r="B927" t="str">
            <v/>
          </cell>
          <cell r="C927" t="str">
            <v>Future</v>
          </cell>
          <cell r="D927" t="e">
            <v>#N/A</v>
          </cell>
          <cell r="E927">
            <v>-28.754527559054711</v>
          </cell>
          <cell r="F927">
            <v>101.9935039370102</v>
          </cell>
          <cell r="G927">
            <v>43.883267716535279</v>
          </cell>
          <cell r="H927">
            <v>43.883267716535279</v>
          </cell>
          <cell r="I927" t="e">
            <v>#N/A</v>
          </cell>
          <cell r="J927" t="e">
            <v>#N/A</v>
          </cell>
          <cell r="K927">
            <v>90</v>
          </cell>
          <cell r="L927">
            <v>50</v>
          </cell>
          <cell r="M927" t="e">
            <v>#N/A</v>
          </cell>
          <cell r="N927">
            <v>80</v>
          </cell>
          <cell r="O927" t="e">
            <v>#N/A</v>
          </cell>
          <cell r="P927" t="str">
            <v/>
          </cell>
          <cell r="Q927" t="str">
            <v/>
          </cell>
          <cell r="R927" t="e">
            <v>#N/A</v>
          </cell>
        </row>
        <row r="928">
          <cell r="A928" t="str">
            <v/>
          </cell>
          <cell r="B928" t="str">
            <v/>
          </cell>
          <cell r="C928" t="str">
            <v>Future</v>
          </cell>
          <cell r="D928" t="e">
            <v>#N/A</v>
          </cell>
          <cell r="E928">
            <v>-29.00456692913345</v>
          </cell>
          <cell r="F928">
            <v>102.09779527559289</v>
          </cell>
          <cell r="G928">
            <v>43.830078740157326</v>
          </cell>
          <cell r="H928">
            <v>43.830078740157326</v>
          </cell>
          <cell r="I928" t="e">
            <v>#N/A</v>
          </cell>
          <cell r="J928" t="e">
            <v>#N/A</v>
          </cell>
          <cell r="K928">
            <v>90</v>
          </cell>
          <cell r="L928">
            <v>50</v>
          </cell>
          <cell r="M928" t="e">
            <v>#N/A</v>
          </cell>
          <cell r="N928">
            <v>80</v>
          </cell>
          <cell r="O928" t="e">
            <v>#N/A</v>
          </cell>
          <cell r="P928" t="str">
            <v/>
          </cell>
          <cell r="Q928" t="str">
            <v/>
          </cell>
          <cell r="R928" t="e">
            <v>#N/A</v>
          </cell>
        </row>
        <row r="929">
          <cell r="A929" t="str">
            <v/>
          </cell>
          <cell r="B929" t="str">
            <v/>
          </cell>
          <cell r="C929" t="str">
            <v>Future</v>
          </cell>
          <cell r="D929" t="e">
            <v>#N/A</v>
          </cell>
          <cell r="E929">
            <v>-29.254606299212188</v>
          </cell>
          <cell r="F929">
            <v>102.20208661417557</v>
          </cell>
          <cell r="G929">
            <v>43.776889763779373</v>
          </cell>
          <cell r="H929">
            <v>43.776889763779373</v>
          </cell>
          <cell r="I929" t="e">
            <v>#N/A</v>
          </cell>
          <cell r="J929" t="e">
            <v>#N/A</v>
          </cell>
          <cell r="K929">
            <v>90</v>
          </cell>
          <cell r="L929">
            <v>50</v>
          </cell>
          <cell r="M929" t="e">
            <v>#N/A</v>
          </cell>
          <cell r="N929">
            <v>80</v>
          </cell>
          <cell r="O929" t="e">
            <v>#N/A</v>
          </cell>
          <cell r="P929" t="str">
            <v/>
          </cell>
          <cell r="Q929" t="str">
            <v/>
          </cell>
          <cell r="R929" t="e">
            <v>#N/A</v>
          </cell>
        </row>
        <row r="930">
          <cell r="A930" t="str">
            <v/>
          </cell>
          <cell r="B930" t="str">
            <v/>
          </cell>
          <cell r="C930" t="str">
            <v>Future</v>
          </cell>
          <cell r="D930" t="e">
            <v>#N/A</v>
          </cell>
          <cell r="E930">
            <v>-29.504645669290927</v>
          </cell>
          <cell r="F930">
            <v>102.30637795275825</v>
          </cell>
          <cell r="G930">
            <v>43.72370078740142</v>
          </cell>
          <cell r="H930">
            <v>43.72370078740142</v>
          </cell>
          <cell r="I930" t="e">
            <v>#N/A</v>
          </cell>
          <cell r="J930" t="e">
            <v>#N/A</v>
          </cell>
          <cell r="K930">
            <v>90</v>
          </cell>
          <cell r="L930">
            <v>50</v>
          </cell>
          <cell r="M930" t="e">
            <v>#N/A</v>
          </cell>
          <cell r="N930">
            <v>80</v>
          </cell>
          <cell r="O930" t="e">
            <v>#N/A</v>
          </cell>
          <cell r="P930" t="str">
            <v/>
          </cell>
          <cell r="Q930" t="str">
            <v/>
          </cell>
          <cell r="R930" t="e">
            <v>#N/A</v>
          </cell>
        </row>
        <row r="931">
          <cell r="A931" t="str">
            <v/>
          </cell>
          <cell r="B931" t="str">
            <v/>
          </cell>
          <cell r="C931" t="str">
            <v>Future</v>
          </cell>
          <cell r="D931" t="e">
            <v>#N/A</v>
          </cell>
          <cell r="E931">
            <v>-29.754685039369665</v>
          </cell>
          <cell r="F931">
            <v>102.41066929134094</v>
          </cell>
          <cell r="G931">
            <v>43.670511811023466</v>
          </cell>
          <cell r="H931">
            <v>43.670511811023466</v>
          </cell>
          <cell r="I931" t="e">
            <v>#N/A</v>
          </cell>
          <cell r="J931" t="e">
            <v>#N/A</v>
          </cell>
          <cell r="K931">
            <v>90</v>
          </cell>
          <cell r="L931">
            <v>50</v>
          </cell>
          <cell r="M931" t="e">
            <v>#N/A</v>
          </cell>
          <cell r="N931">
            <v>80</v>
          </cell>
          <cell r="O931" t="e">
            <v>#N/A</v>
          </cell>
          <cell r="P931" t="str">
            <v/>
          </cell>
          <cell r="Q931" t="str">
            <v/>
          </cell>
          <cell r="R931" t="e">
            <v>#N/A</v>
          </cell>
        </row>
        <row r="932">
          <cell r="A932" t="str">
            <v/>
          </cell>
          <cell r="B932" t="str">
            <v/>
          </cell>
          <cell r="C932" t="str">
            <v>Future</v>
          </cell>
          <cell r="D932" t="e">
            <v>#N/A</v>
          </cell>
          <cell r="E932">
            <v>-30.004724409448404</v>
          </cell>
          <cell r="F932">
            <v>102.51496062992362</v>
          </cell>
          <cell r="G932">
            <v>43.617322834645513</v>
          </cell>
          <cell r="H932">
            <v>43.617322834645513</v>
          </cell>
          <cell r="I932" t="e">
            <v>#N/A</v>
          </cell>
          <cell r="J932" t="e">
            <v>#N/A</v>
          </cell>
          <cell r="K932">
            <v>90</v>
          </cell>
          <cell r="L932">
            <v>50</v>
          </cell>
          <cell r="M932" t="e">
            <v>#N/A</v>
          </cell>
          <cell r="N932">
            <v>80</v>
          </cell>
          <cell r="O932" t="e">
            <v>#N/A</v>
          </cell>
          <cell r="P932" t="str">
            <v/>
          </cell>
          <cell r="Q932" t="str">
            <v/>
          </cell>
          <cell r="R932" t="e">
            <v>#N/A</v>
          </cell>
        </row>
        <row r="933">
          <cell r="A933" t="str">
            <v/>
          </cell>
          <cell r="B933" t="str">
            <v/>
          </cell>
          <cell r="C933" t="str">
            <v>Future</v>
          </cell>
          <cell r="D933" t="e">
            <v>#N/A</v>
          </cell>
          <cell r="E933">
            <v>-30.254763779527142</v>
          </cell>
          <cell r="F933">
            <v>102.6192519685063</v>
          </cell>
          <cell r="G933">
            <v>43.56413385826756</v>
          </cell>
          <cell r="H933">
            <v>43.56413385826756</v>
          </cell>
          <cell r="I933" t="e">
            <v>#N/A</v>
          </cell>
          <cell r="J933" t="e">
            <v>#N/A</v>
          </cell>
          <cell r="K933">
            <v>90</v>
          </cell>
          <cell r="L933">
            <v>50</v>
          </cell>
          <cell r="M933" t="e">
            <v>#N/A</v>
          </cell>
          <cell r="N933">
            <v>80</v>
          </cell>
          <cell r="O933" t="e">
            <v>#N/A</v>
          </cell>
          <cell r="P933" t="str">
            <v/>
          </cell>
          <cell r="Q933" t="str">
            <v/>
          </cell>
          <cell r="R933" t="e">
            <v>#N/A</v>
          </cell>
        </row>
        <row r="934">
          <cell r="A934" t="str">
            <v/>
          </cell>
          <cell r="B934" t="str">
            <v/>
          </cell>
          <cell r="C934" t="str">
            <v>Future</v>
          </cell>
          <cell r="D934" t="e">
            <v>#N/A</v>
          </cell>
          <cell r="E934">
            <v>-30.50480314960588</v>
          </cell>
          <cell r="F934">
            <v>102.72354330708899</v>
          </cell>
          <cell r="G934">
            <v>43.510944881889607</v>
          </cell>
          <cell r="H934">
            <v>43.510944881889607</v>
          </cell>
          <cell r="I934" t="e">
            <v>#N/A</v>
          </cell>
          <cell r="J934" t="e">
            <v>#N/A</v>
          </cell>
          <cell r="K934">
            <v>90</v>
          </cell>
          <cell r="L934">
            <v>50</v>
          </cell>
          <cell r="M934" t="e">
            <v>#N/A</v>
          </cell>
          <cell r="N934">
            <v>80</v>
          </cell>
          <cell r="O934" t="e">
            <v>#N/A</v>
          </cell>
          <cell r="P934" t="str">
            <v/>
          </cell>
          <cell r="Q934" t="str">
            <v/>
          </cell>
          <cell r="R934" t="e">
            <v>#N/A</v>
          </cell>
        </row>
        <row r="935">
          <cell r="A935" t="str">
            <v/>
          </cell>
          <cell r="B935" t="str">
            <v/>
          </cell>
          <cell r="C935" t="str">
            <v>Future</v>
          </cell>
          <cell r="D935" t="e">
            <v>#N/A</v>
          </cell>
          <cell r="E935">
            <v>-30.754842519684619</v>
          </cell>
          <cell r="F935">
            <v>102.82783464567167</v>
          </cell>
          <cell r="G935">
            <v>43.457755905511654</v>
          </cell>
          <cell r="H935">
            <v>43.457755905511654</v>
          </cell>
          <cell r="I935" t="e">
            <v>#N/A</v>
          </cell>
          <cell r="J935" t="e">
            <v>#N/A</v>
          </cell>
          <cell r="K935">
            <v>90</v>
          </cell>
          <cell r="L935">
            <v>50</v>
          </cell>
          <cell r="M935" t="e">
            <v>#N/A</v>
          </cell>
          <cell r="N935">
            <v>80</v>
          </cell>
          <cell r="O935" t="e">
            <v>#N/A</v>
          </cell>
          <cell r="P935" t="str">
            <v/>
          </cell>
          <cell r="Q935" t="str">
            <v/>
          </cell>
          <cell r="R935" t="e">
            <v>#N/A</v>
          </cell>
        </row>
        <row r="936">
          <cell r="A936" t="str">
            <v/>
          </cell>
          <cell r="B936" t="str">
            <v/>
          </cell>
          <cell r="C936" t="str">
            <v>Future</v>
          </cell>
          <cell r="D936" t="e">
            <v>#N/A</v>
          </cell>
          <cell r="E936">
            <v>-31.004881889763357</v>
          </cell>
          <cell r="F936">
            <v>102.93212598425436</v>
          </cell>
          <cell r="G936">
            <v>43.404566929133701</v>
          </cell>
          <cell r="H936">
            <v>43.404566929133701</v>
          </cell>
          <cell r="I936" t="e">
            <v>#N/A</v>
          </cell>
          <cell r="J936" t="e">
            <v>#N/A</v>
          </cell>
          <cell r="K936">
            <v>90</v>
          </cell>
          <cell r="L936">
            <v>50</v>
          </cell>
          <cell r="M936" t="e">
            <v>#N/A</v>
          </cell>
          <cell r="N936">
            <v>80</v>
          </cell>
          <cell r="O936" t="e">
            <v>#N/A</v>
          </cell>
          <cell r="P936" t="str">
            <v/>
          </cell>
          <cell r="Q936" t="str">
            <v/>
          </cell>
          <cell r="R936" t="e">
            <v>#N/A</v>
          </cell>
        </row>
        <row r="937">
          <cell r="A937" t="str">
            <v/>
          </cell>
          <cell r="B937" t="str">
            <v/>
          </cell>
          <cell r="C937" t="str">
            <v>Future</v>
          </cell>
          <cell r="D937" t="e">
            <v>#N/A</v>
          </cell>
          <cell r="E937">
            <v>-31.254921259842096</v>
          </cell>
          <cell r="F937">
            <v>103.03641732283704</v>
          </cell>
          <cell r="G937">
            <v>43.351377952755747</v>
          </cell>
          <cell r="H937">
            <v>43.351377952755747</v>
          </cell>
          <cell r="I937" t="e">
            <v>#N/A</v>
          </cell>
          <cell r="J937" t="e">
            <v>#N/A</v>
          </cell>
          <cell r="K937">
            <v>90</v>
          </cell>
          <cell r="L937">
            <v>50</v>
          </cell>
          <cell r="M937" t="e">
            <v>#N/A</v>
          </cell>
          <cell r="N937">
            <v>80</v>
          </cell>
          <cell r="O937" t="e">
            <v>#N/A</v>
          </cell>
          <cell r="P937" t="str">
            <v/>
          </cell>
          <cell r="Q937" t="str">
            <v/>
          </cell>
          <cell r="R937" t="e">
            <v>#N/A</v>
          </cell>
        </row>
        <row r="938">
          <cell r="A938" t="str">
            <v/>
          </cell>
          <cell r="B938" t="str">
            <v/>
          </cell>
          <cell r="C938" t="str">
            <v>Future</v>
          </cell>
          <cell r="D938" t="e">
            <v>#N/A</v>
          </cell>
          <cell r="E938">
            <v>-31.504960629920834</v>
          </cell>
          <cell r="F938">
            <v>103.14070866141972</v>
          </cell>
          <cell r="G938">
            <v>43.298188976377794</v>
          </cell>
          <cell r="H938">
            <v>43.298188976377794</v>
          </cell>
          <cell r="I938" t="e">
            <v>#N/A</v>
          </cell>
          <cell r="J938" t="e">
            <v>#N/A</v>
          </cell>
          <cell r="K938">
            <v>90</v>
          </cell>
          <cell r="L938">
            <v>50</v>
          </cell>
          <cell r="M938" t="e">
            <v>#N/A</v>
          </cell>
          <cell r="N938">
            <v>80</v>
          </cell>
          <cell r="O938" t="e">
            <v>#N/A</v>
          </cell>
          <cell r="P938" t="str">
            <v/>
          </cell>
          <cell r="Q938" t="str">
            <v/>
          </cell>
          <cell r="R938" t="e">
            <v>#N/A</v>
          </cell>
        </row>
        <row r="939">
          <cell r="A939" t="str">
            <v/>
          </cell>
          <cell r="B939" t="str">
            <v/>
          </cell>
          <cell r="C939" t="str">
            <v>Future</v>
          </cell>
          <cell r="D939" t="e">
            <v>#N/A</v>
          </cell>
          <cell r="E939">
            <v>-31.754999999999573</v>
          </cell>
          <cell r="F939">
            <v>103.24500000000241</v>
          </cell>
          <cell r="G939">
            <v>43.244999999999841</v>
          </cell>
          <cell r="H939">
            <v>43.244999999999841</v>
          </cell>
          <cell r="I939" t="e">
            <v>#N/A</v>
          </cell>
          <cell r="J939" t="e">
            <v>#N/A</v>
          </cell>
          <cell r="K939">
            <v>90</v>
          </cell>
          <cell r="L939">
            <v>50</v>
          </cell>
          <cell r="M939" t="e">
            <v>#N/A</v>
          </cell>
          <cell r="N939">
            <v>80</v>
          </cell>
          <cell r="O939" t="e">
            <v>#N/A</v>
          </cell>
          <cell r="P939" t="str">
            <v/>
          </cell>
          <cell r="Q939" t="str">
            <v/>
          </cell>
          <cell r="R939" t="e">
            <v>#N/A</v>
          </cell>
        </row>
        <row r="940">
          <cell r="A940" t="str">
            <v/>
          </cell>
          <cell r="B940" t="str">
            <v/>
          </cell>
          <cell r="C940" t="str">
            <v>Future</v>
          </cell>
          <cell r="D940" t="e">
            <v>#N/A</v>
          </cell>
          <cell r="E940">
            <v>-32.005039370078315</v>
          </cell>
          <cell r="F940">
            <v>103.34929133858509</v>
          </cell>
          <cell r="G940">
            <v>43.191811023621888</v>
          </cell>
          <cell r="H940">
            <v>43.191811023621888</v>
          </cell>
          <cell r="I940" t="e">
            <v>#N/A</v>
          </cell>
          <cell r="J940" t="e">
            <v>#N/A</v>
          </cell>
          <cell r="K940">
            <v>90</v>
          </cell>
          <cell r="L940">
            <v>50</v>
          </cell>
          <cell r="M940" t="e">
            <v>#N/A</v>
          </cell>
          <cell r="N940">
            <v>80</v>
          </cell>
          <cell r="O940" t="e">
            <v>#N/A</v>
          </cell>
          <cell r="P940" t="str">
            <v/>
          </cell>
          <cell r="Q940" t="str">
            <v/>
          </cell>
          <cell r="R940" t="e">
            <v>#N/A</v>
          </cell>
        </row>
        <row r="941">
          <cell r="A941" t="str">
            <v/>
          </cell>
          <cell r="B941" t="str">
            <v/>
          </cell>
          <cell r="C941" t="str">
            <v>Future</v>
          </cell>
          <cell r="D941" t="e">
            <v>#N/A</v>
          </cell>
          <cell r="E941">
            <v>-32.255078740157053</v>
          </cell>
          <cell r="F941">
            <v>103.45358267716777</v>
          </cell>
          <cell r="G941">
            <v>43.138622047243935</v>
          </cell>
          <cell r="H941">
            <v>43.138622047243935</v>
          </cell>
          <cell r="I941" t="e">
            <v>#N/A</v>
          </cell>
          <cell r="J941" t="e">
            <v>#N/A</v>
          </cell>
          <cell r="K941">
            <v>90</v>
          </cell>
          <cell r="L941">
            <v>50</v>
          </cell>
          <cell r="M941" t="e">
            <v>#N/A</v>
          </cell>
          <cell r="N941">
            <v>80</v>
          </cell>
          <cell r="O941" t="e">
            <v>#N/A</v>
          </cell>
          <cell r="P941" t="str">
            <v/>
          </cell>
          <cell r="Q941" t="str">
            <v/>
          </cell>
          <cell r="R941" t="e">
            <v>#N/A</v>
          </cell>
        </row>
        <row r="942">
          <cell r="A942" t="str">
            <v/>
          </cell>
          <cell r="B942" t="str">
            <v/>
          </cell>
          <cell r="C942" t="str">
            <v>Future</v>
          </cell>
          <cell r="D942" t="e">
            <v>#N/A</v>
          </cell>
          <cell r="E942">
            <v>-32.505118110235792</v>
          </cell>
          <cell r="F942">
            <v>103.55787401575046</v>
          </cell>
          <cell r="G942">
            <v>43.085433070865982</v>
          </cell>
          <cell r="H942">
            <v>43.085433070865982</v>
          </cell>
          <cell r="I942" t="e">
            <v>#N/A</v>
          </cell>
          <cell r="J942" t="e">
            <v>#N/A</v>
          </cell>
          <cell r="K942">
            <v>90</v>
          </cell>
          <cell r="L942">
            <v>50</v>
          </cell>
          <cell r="M942" t="e">
            <v>#N/A</v>
          </cell>
          <cell r="N942">
            <v>80</v>
          </cell>
          <cell r="O942" t="e">
            <v>#N/A</v>
          </cell>
          <cell r="P942" t="str">
            <v/>
          </cell>
          <cell r="Q942" t="str">
            <v/>
          </cell>
          <cell r="R942" t="e">
            <v>#N/A</v>
          </cell>
        </row>
        <row r="943">
          <cell r="A943" t="str">
            <v/>
          </cell>
          <cell r="B943" t="str">
            <v/>
          </cell>
          <cell r="C943" t="str">
            <v>Future</v>
          </cell>
          <cell r="D943" t="e">
            <v>#N/A</v>
          </cell>
          <cell r="E943">
            <v>-32.75515748031453</v>
          </cell>
          <cell r="F943">
            <v>103.66216535433314</v>
          </cell>
          <cell r="G943">
            <v>43.032244094488028</v>
          </cell>
          <cell r="H943">
            <v>43.032244094488028</v>
          </cell>
          <cell r="I943" t="e">
            <v>#N/A</v>
          </cell>
          <cell r="J943" t="e">
            <v>#N/A</v>
          </cell>
          <cell r="K943">
            <v>90</v>
          </cell>
          <cell r="L943">
            <v>50</v>
          </cell>
          <cell r="M943" t="e">
            <v>#N/A</v>
          </cell>
          <cell r="N943">
            <v>80</v>
          </cell>
          <cell r="O943" t="e">
            <v>#N/A</v>
          </cell>
          <cell r="P943" t="str">
            <v/>
          </cell>
          <cell r="Q943" t="str">
            <v/>
          </cell>
          <cell r="R943" t="e">
            <v>#N/A</v>
          </cell>
        </row>
        <row r="944">
          <cell r="A944" t="str">
            <v/>
          </cell>
          <cell r="B944" t="str">
            <v/>
          </cell>
          <cell r="C944" t="str">
            <v>Future</v>
          </cell>
          <cell r="D944" t="e">
            <v>#N/A</v>
          </cell>
          <cell r="E944">
            <v>-33.005196850393268</v>
          </cell>
          <cell r="F944">
            <v>103.76645669291582</v>
          </cell>
          <cell r="G944">
            <v>42.979055118110075</v>
          </cell>
          <cell r="H944">
            <v>42.979055118110075</v>
          </cell>
          <cell r="I944" t="e">
            <v>#N/A</v>
          </cell>
          <cell r="J944" t="e">
            <v>#N/A</v>
          </cell>
          <cell r="K944">
            <v>90</v>
          </cell>
          <cell r="L944">
            <v>50</v>
          </cell>
          <cell r="M944" t="e">
            <v>#N/A</v>
          </cell>
          <cell r="N944">
            <v>80</v>
          </cell>
          <cell r="O944" t="e">
            <v>#N/A</v>
          </cell>
          <cell r="P944" t="str">
            <v/>
          </cell>
          <cell r="Q944" t="str">
            <v/>
          </cell>
          <cell r="R944" t="e">
            <v>#N/A</v>
          </cell>
        </row>
        <row r="945">
          <cell r="A945" t="str">
            <v/>
          </cell>
          <cell r="B945" t="str">
            <v/>
          </cell>
          <cell r="C945" t="str">
            <v>Future</v>
          </cell>
          <cell r="D945" t="e">
            <v>#N/A</v>
          </cell>
          <cell r="E945">
            <v>-33.255236220472007</v>
          </cell>
          <cell r="F945">
            <v>103.87074803149851</v>
          </cell>
          <cell r="G945">
            <v>42.925866141732122</v>
          </cell>
          <cell r="H945">
            <v>42.925866141732122</v>
          </cell>
          <cell r="I945" t="e">
            <v>#N/A</v>
          </cell>
          <cell r="J945" t="e">
            <v>#N/A</v>
          </cell>
          <cell r="K945">
            <v>90</v>
          </cell>
          <cell r="L945">
            <v>50</v>
          </cell>
          <cell r="M945" t="e">
            <v>#N/A</v>
          </cell>
          <cell r="N945">
            <v>80</v>
          </cell>
          <cell r="O945" t="e">
            <v>#N/A</v>
          </cell>
          <cell r="P945" t="str">
            <v/>
          </cell>
          <cell r="Q945" t="str">
            <v/>
          </cell>
          <cell r="R945" t="e">
            <v>#N/A</v>
          </cell>
        </row>
        <row r="946">
          <cell r="A946" t="str">
            <v/>
          </cell>
          <cell r="B946" t="str">
            <v/>
          </cell>
          <cell r="C946" t="str">
            <v>Future</v>
          </cell>
          <cell r="D946" t="e">
            <v>#N/A</v>
          </cell>
          <cell r="E946">
            <v>-33.505275590550745</v>
          </cell>
          <cell r="F946">
            <v>103.97503937008119</v>
          </cell>
          <cell r="G946">
            <v>42.872677165354169</v>
          </cell>
          <cell r="H946">
            <v>42.872677165354169</v>
          </cell>
          <cell r="I946" t="e">
            <v>#N/A</v>
          </cell>
          <cell r="J946" t="e">
            <v>#N/A</v>
          </cell>
          <cell r="K946">
            <v>90</v>
          </cell>
          <cell r="L946">
            <v>50</v>
          </cell>
          <cell r="M946" t="e">
            <v>#N/A</v>
          </cell>
          <cell r="N946">
            <v>80</v>
          </cell>
          <cell r="O946" t="e">
            <v>#N/A</v>
          </cell>
          <cell r="P946" t="str">
            <v/>
          </cell>
          <cell r="Q946" t="str">
            <v/>
          </cell>
          <cell r="R946" t="e">
            <v>#N/A</v>
          </cell>
        </row>
        <row r="947">
          <cell r="A947" t="str">
            <v/>
          </cell>
          <cell r="B947" t="str">
            <v/>
          </cell>
          <cell r="C947" t="str">
            <v>Future</v>
          </cell>
          <cell r="D947" t="e">
            <v>#N/A</v>
          </cell>
          <cell r="E947">
            <v>-33.755314960629484</v>
          </cell>
          <cell r="F947">
            <v>104.07933070866387</v>
          </cell>
          <cell r="G947">
            <v>42.819488188976216</v>
          </cell>
          <cell r="H947">
            <v>42.819488188976216</v>
          </cell>
          <cell r="I947" t="e">
            <v>#N/A</v>
          </cell>
          <cell r="J947" t="e">
            <v>#N/A</v>
          </cell>
          <cell r="K947">
            <v>90</v>
          </cell>
          <cell r="L947">
            <v>50</v>
          </cell>
          <cell r="M947" t="e">
            <v>#N/A</v>
          </cell>
          <cell r="N947">
            <v>80</v>
          </cell>
          <cell r="O947" t="e">
            <v>#N/A</v>
          </cell>
          <cell r="P947" t="str">
            <v/>
          </cell>
          <cell r="Q947" t="str">
            <v/>
          </cell>
          <cell r="R947" t="e">
            <v>#N/A</v>
          </cell>
        </row>
        <row r="948">
          <cell r="A948" t="str">
            <v/>
          </cell>
          <cell r="B948" t="str">
            <v/>
          </cell>
          <cell r="C948" t="str">
            <v>Future</v>
          </cell>
          <cell r="D948" t="e">
            <v>#N/A</v>
          </cell>
          <cell r="E948">
            <v>-34.005354330708222</v>
          </cell>
          <cell r="F948">
            <v>104.18362204724656</v>
          </cell>
          <cell r="G948">
            <v>42.766299212598263</v>
          </cell>
          <cell r="H948">
            <v>42.766299212598263</v>
          </cell>
          <cell r="I948" t="e">
            <v>#N/A</v>
          </cell>
          <cell r="J948" t="e">
            <v>#N/A</v>
          </cell>
          <cell r="K948">
            <v>90</v>
          </cell>
          <cell r="L948">
            <v>50</v>
          </cell>
          <cell r="M948" t="e">
            <v>#N/A</v>
          </cell>
          <cell r="N948">
            <v>80</v>
          </cell>
          <cell r="O948" t="e">
            <v>#N/A</v>
          </cell>
          <cell r="P948" t="str">
            <v/>
          </cell>
          <cell r="Q948" t="str">
            <v/>
          </cell>
          <cell r="R948" t="e">
            <v>#N/A</v>
          </cell>
        </row>
        <row r="949">
          <cell r="A949" t="str">
            <v/>
          </cell>
          <cell r="B949" t="str">
            <v/>
          </cell>
          <cell r="C949" t="str">
            <v>Future</v>
          </cell>
          <cell r="D949" t="e">
            <v>#N/A</v>
          </cell>
          <cell r="E949">
            <v>-34.255393700786961</v>
          </cell>
          <cell r="F949">
            <v>104.28791338582924</v>
          </cell>
          <cell r="G949">
            <v>42.713110236220309</v>
          </cell>
          <cell r="H949">
            <v>42.713110236220309</v>
          </cell>
          <cell r="I949" t="e">
            <v>#N/A</v>
          </cell>
          <cell r="J949" t="e">
            <v>#N/A</v>
          </cell>
          <cell r="K949">
            <v>90</v>
          </cell>
          <cell r="L949">
            <v>50</v>
          </cell>
          <cell r="M949" t="e">
            <v>#N/A</v>
          </cell>
          <cell r="N949">
            <v>80</v>
          </cell>
          <cell r="O949" t="e">
            <v>#N/A</v>
          </cell>
          <cell r="P949" t="str">
            <v/>
          </cell>
          <cell r="Q949" t="str">
            <v/>
          </cell>
          <cell r="R949" t="e">
            <v>#N/A</v>
          </cell>
        </row>
        <row r="950">
          <cell r="A950" t="str">
            <v/>
          </cell>
          <cell r="B950" t="str">
            <v/>
          </cell>
          <cell r="C950" t="str">
            <v>Future</v>
          </cell>
          <cell r="D950" t="e">
            <v>#N/A</v>
          </cell>
          <cell r="E950">
            <v>-34.505433070865699</v>
          </cell>
          <cell r="F950">
            <v>104.39220472441193</v>
          </cell>
          <cell r="G950">
            <v>42.659921259842356</v>
          </cell>
          <cell r="H950">
            <v>42.659921259842356</v>
          </cell>
          <cell r="I950" t="e">
            <v>#N/A</v>
          </cell>
          <cell r="J950" t="e">
            <v>#N/A</v>
          </cell>
          <cell r="K950">
            <v>90</v>
          </cell>
          <cell r="L950">
            <v>50</v>
          </cell>
          <cell r="M950" t="e">
            <v>#N/A</v>
          </cell>
          <cell r="N950">
            <v>80</v>
          </cell>
          <cell r="O950" t="e">
            <v>#N/A</v>
          </cell>
          <cell r="P950" t="str">
            <v/>
          </cell>
          <cell r="Q950" t="str">
            <v/>
          </cell>
          <cell r="R950" t="e">
            <v>#N/A</v>
          </cell>
        </row>
        <row r="951">
          <cell r="A951" t="str">
            <v/>
          </cell>
          <cell r="B951" t="str">
            <v/>
          </cell>
          <cell r="C951" t="str">
            <v>Future</v>
          </cell>
          <cell r="D951" t="e">
            <v>#N/A</v>
          </cell>
          <cell r="E951">
            <v>-34.755472440944438</v>
          </cell>
          <cell r="F951">
            <v>104.49649606299461</v>
          </cell>
          <cell r="G951">
            <v>42.606732283464403</v>
          </cell>
          <cell r="H951">
            <v>42.606732283464403</v>
          </cell>
          <cell r="I951" t="e">
            <v>#N/A</v>
          </cell>
          <cell r="J951" t="e">
            <v>#N/A</v>
          </cell>
          <cell r="K951">
            <v>90</v>
          </cell>
          <cell r="L951">
            <v>50</v>
          </cell>
          <cell r="M951" t="e">
            <v>#N/A</v>
          </cell>
          <cell r="N951">
            <v>80</v>
          </cell>
          <cell r="O951" t="e">
            <v>#N/A</v>
          </cell>
          <cell r="P951" t="str">
            <v/>
          </cell>
          <cell r="Q951" t="str">
            <v/>
          </cell>
          <cell r="R951" t="e">
            <v>#N/A</v>
          </cell>
        </row>
        <row r="952">
          <cell r="A952" t="str">
            <v/>
          </cell>
          <cell r="B952" t="str">
            <v/>
          </cell>
          <cell r="C952" t="str">
            <v>Future</v>
          </cell>
          <cell r="D952" t="e">
            <v>#N/A</v>
          </cell>
          <cell r="E952">
            <v>-35.005511811023176</v>
          </cell>
          <cell r="F952">
            <v>104.60078740157729</v>
          </cell>
          <cell r="G952">
            <v>42.55354330708645</v>
          </cell>
          <cell r="H952">
            <v>42.55354330708645</v>
          </cell>
          <cell r="I952" t="e">
            <v>#N/A</v>
          </cell>
          <cell r="J952" t="e">
            <v>#N/A</v>
          </cell>
          <cell r="K952">
            <v>90</v>
          </cell>
          <cell r="L952">
            <v>50</v>
          </cell>
          <cell r="M952" t="e">
            <v>#N/A</v>
          </cell>
          <cell r="N952">
            <v>80</v>
          </cell>
          <cell r="O952" t="e">
            <v>#N/A</v>
          </cell>
          <cell r="P952" t="str">
            <v/>
          </cell>
          <cell r="Q952" t="str">
            <v/>
          </cell>
          <cell r="R952" t="e">
            <v>#N/A</v>
          </cell>
        </row>
        <row r="953">
          <cell r="A953" t="str">
            <v/>
          </cell>
          <cell r="B953" t="str">
            <v/>
          </cell>
          <cell r="C953" t="str">
            <v>Future</v>
          </cell>
          <cell r="D953" t="e">
            <v>#N/A</v>
          </cell>
          <cell r="E953">
            <v>-35.255551181101914</v>
          </cell>
          <cell r="F953">
            <v>104.70507874015998</v>
          </cell>
          <cell r="G953">
            <v>42.500354330708497</v>
          </cell>
          <cell r="H953">
            <v>42.500354330708497</v>
          </cell>
          <cell r="I953" t="e">
            <v>#N/A</v>
          </cell>
          <cell r="J953" t="e">
            <v>#N/A</v>
          </cell>
          <cell r="K953">
            <v>90</v>
          </cell>
          <cell r="L953">
            <v>50</v>
          </cell>
          <cell r="M953" t="e">
            <v>#N/A</v>
          </cell>
          <cell r="N953">
            <v>80</v>
          </cell>
          <cell r="O953" t="e">
            <v>#N/A</v>
          </cell>
          <cell r="P953" t="str">
            <v/>
          </cell>
          <cell r="Q953" t="str">
            <v/>
          </cell>
          <cell r="R953" t="e">
            <v>#N/A</v>
          </cell>
        </row>
        <row r="954">
          <cell r="A954" t="str">
            <v/>
          </cell>
          <cell r="B954" t="str">
            <v/>
          </cell>
          <cell r="C954" t="str">
            <v>Future</v>
          </cell>
          <cell r="D954" t="e">
            <v>#N/A</v>
          </cell>
          <cell r="E954">
            <v>-35.505590551180653</v>
          </cell>
          <cell r="F954">
            <v>104.80937007874266</v>
          </cell>
          <cell r="G954">
            <v>42.447165354330544</v>
          </cell>
          <cell r="H954">
            <v>42.447165354330544</v>
          </cell>
          <cell r="I954" t="e">
            <v>#N/A</v>
          </cell>
          <cell r="J954" t="e">
            <v>#N/A</v>
          </cell>
          <cell r="K954">
            <v>90</v>
          </cell>
          <cell r="L954">
            <v>50</v>
          </cell>
          <cell r="M954" t="e">
            <v>#N/A</v>
          </cell>
          <cell r="N954">
            <v>80</v>
          </cell>
          <cell r="O954" t="e">
            <v>#N/A</v>
          </cell>
          <cell r="P954" t="str">
            <v/>
          </cell>
          <cell r="Q954" t="str">
            <v/>
          </cell>
          <cell r="R954" t="e">
            <v>#N/A</v>
          </cell>
        </row>
        <row r="955">
          <cell r="A955" t="str">
            <v/>
          </cell>
          <cell r="B955" t="str">
            <v/>
          </cell>
          <cell r="C955" t="str">
            <v>Future</v>
          </cell>
          <cell r="D955" t="e">
            <v>#N/A</v>
          </cell>
          <cell r="E955">
            <v>-35.755629921259391</v>
          </cell>
          <cell r="F955">
            <v>104.91366141732534</v>
          </cell>
          <cell r="G955">
            <v>42.39397637795259</v>
          </cell>
          <cell r="H955">
            <v>42.39397637795259</v>
          </cell>
          <cell r="I955" t="e">
            <v>#N/A</v>
          </cell>
          <cell r="J955" t="e">
            <v>#N/A</v>
          </cell>
          <cell r="K955">
            <v>90</v>
          </cell>
          <cell r="L955">
            <v>50</v>
          </cell>
          <cell r="M955" t="e">
            <v>#N/A</v>
          </cell>
          <cell r="N955">
            <v>80</v>
          </cell>
          <cell r="O955" t="e">
            <v>#N/A</v>
          </cell>
          <cell r="P955" t="str">
            <v/>
          </cell>
          <cell r="Q955" t="str">
            <v/>
          </cell>
          <cell r="R955" t="e">
            <v>#N/A</v>
          </cell>
        </row>
        <row r="956">
          <cell r="A956" t="str">
            <v/>
          </cell>
          <cell r="B956" t="str">
            <v/>
          </cell>
          <cell r="C956" t="str">
            <v>Future</v>
          </cell>
          <cell r="D956" t="e">
            <v>#N/A</v>
          </cell>
          <cell r="E956">
            <v>-36.00566929133813</v>
          </cell>
          <cell r="F956">
            <v>105.01795275590803</v>
          </cell>
          <cell r="G956">
            <v>42.340787401574637</v>
          </cell>
          <cell r="H956">
            <v>42.340787401574637</v>
          </cell>
          <cell r="I956" t="e">
            <v>#N/A</v>
          </cell>
          <cell r="J956" t="e">
            <v>#N/A</v>
          </cell>
          <cell r="K956">
            <v>90</v>
          </cell>
          <cell r="L956">
            <v>50</v>
          </cell>
          <cell r="M956" t="e">
            <v>#N/A</v>
          </cell>
          <cell r="N956">
            <v>80</v>
          </cell>
          <cell r="O956" t="e">
            <v>#N/A</v>
          </cell>
          <cell r="P956" t="str">
            <v/>
          </cell>
          <cell r="Q956" t="str">
            <v/>
          </cell>
          <cell r="R956" t="e">
            <v>#N/A</v>
          </cell>
        </row>
        <row r="957">
          <cell r="A957" t="str">
            <v/>
          </cell>
          <cell r="B957" t="str">
            <v/>
          </cell>
          <cell r="C957" t="str">
            <v>Future</v>
          </cell>
          <cell r="D957" t="e">
            <v>#N/A</v>
          </cell>
          <cell r="E957">
            <v>-36.255708661416868</v>
          </cell>
          <cell r="F957">
            <v>105.12224409449071</v>
          </cell>
          <cell r="G957">
            <v>42.287598425196684</v>
          </cell>
          <cell r="H957">
            <v>42.287598425196684</v>
          </cell>
          <cell r="I957" t="e">
            <v>#N/A</v>
          </cell>
          <cell r="J957" t="e">
            <v>#N/A</v>
          </cell>
          <cell r="K957">
            <v>90</v>
          </cell>
          <cell r="L957">
            <v>50</v>
          </cell>
          <cell r="M957" t="e">
            <v>#N/A</v>
          </cell>
          <cell r="N957">
            <v>80</v>
          </cell>
          <cell r="O957" t="e">
            <v>#N/A</v>
          </cell>
          <cell r="P957" t="str">
            <v/>
          </cell>
          <cell r="Q957" t="str">
            <v/>
          </cell>
          <cell r="R957" t="e">
            <v>#N/A</v>
          </cell>
        </row>
        <row r="958">
          <cell r="A958" t="str">
            <v/>
          </cell>
          <cell r="B958" t="str">
            <v/>
          </cell>
          <cell r="C958" t="str">
            <v>Future</v>
          </cell>
          <cell r="D958" t="e">
            <v>#N/A</v>
          </cell>
          <cell r="E958">
            <v>-36.505748031495607</v>
          </cell>
          <cell r="F958">
            <v>105.22653543307339</v>
          </cell>
          <cell r="G958">
            <v>42.234409448818731</v>
          </cell>
          <cell r="H958">
            <v>42.234409448818731</v>
          </cell>
          <cell r="I958" t="e">
            <v>#N/A</v>
          </cell>
          <cell r="J958" t="e">
            <v>#N/A</v>
          </cell>
          <cell r="K958">
            <v>90</v>
          </cell>
          <cell r="L958">
            <v>50</v>
          </cell>
          <cell r="M958" t="e">
            <v>#N/A</v>
          </cell>
          <cell r="N958">
            <v>80</v>
          </cell>
          <cell r="O958" t="e">
            <v>#N/A</v>
          </cell>
          <cell r="P958" t="str">
            <v/>
          </cell>
          <cell r="Q958" t="str">
            <v/>
          </cell>
          <cell r="R958" t="e">
            <v>#N/A</v>
          </cell>
        </row>
        <row r="959">
          <cell r="A959" t="str">
            <v/>
          </cell>
          <cell r="B959" t="str">
            <v/>
          </cell>
          <cell r="C959" t="str">
            <v>Future</v>
          </cell>
          <cell r="D959" t="e">
            <v>#N/A</v>
          </cell>
          <cell r="E959">
            <v>-36.755787401574345</v>
          </cell>
          <cell r="F959">
            <v>105.33082677165608</v>
          </cell>
          <cell r="G959">
            <v>42.181220472440778</v>
          </cell>
          <cell r="H959">
            <v>42.181220472440778</v>
          </cell>
          <cell r="I959" t="e">
            <v>#N/A</v>
          </cell>
          <cell r="J959" t="e">
            <v>#N/A</v>
          </cell>
          <cell r="K959">
            <v>90</v>
          </cell>
          <cell r="L959">
            <v>50</v>
          </cell>
          <cell r="M959" t="e">
            <v>#N/A</v>
          </cell>
          <cell r="N959">
            <v>80</v>
          </cell>
          <cell r="O959" t="e">
            <v>#N/A</v>
          </cell>
          <cell r="P959" t="str">
            <v/>
          </cell>
          <cell r="Q959" t="str">
            <v/>
          </cell>
          <cell r="R959" t="e">
            <v>#N/A</v>
          </cell>
        </row>
        <row r="960">
          <cell r="A960" t="str">
            <v/>
          </cell>
          <cell r="B960" t="str">
            <v/>
          </cell>
          <cell r="C960" t="str">
            <v>Future</v>
          </cell>
          <cell r="D960" t="e">
            <v>#N/A</v>
          </cell>
          <cell r="E960">
            <v>-37.005826771653084</v>
          </cell>
          <cell r="F960">
            <v>105.43511811023876</v>
          </cell>
          <cell r="G960">
            <v>42.128031496062825</v>
          </cell>
          <cell r="H960">
            <v>42.128031496062825</v>
          </cell>
          <cell r="I960" t="e">
            <v>#N/A</v>
          </cell>
          <cell r="J960" t="e">
            <v>#N/A</v>
          </cell>
          <cell r="K960">
            <v>90</v>
          </cell>
          <cell r="L960">
            <v>50</v>
          </cell>
          <cell r="M960" t="e">
            <v>#N/A</v>
          </cell>
          <cell r="N960">
            <v>80</v>
          </cell>
          <cell r="O960" t="e">
            <v>#N/A</v>
          </cell>
          <cell r="P960" t="str">
            <v/>
          </cell>
          <cell r="Q960" t="str">
            <v/>
          </cell>
          <cell r="R960" t="e">
            <v>#N/A</v>
          </cell>
        </row>
        <row r="961">
          <cell r="A961" t="str">
            <v/>
          </cell>
          <cell r="B961" t="str">
            <v/>
          </cell>
          <cell r="C961" t="str">
            <v>Future</v>
          </cell>
          <cell r="D961" t="e">
            <v>#N/A</v>
          </cell>
          <cell r="E961">
            <v>-37.255866141731822</v>
          </cell>
          <cell r="F961">
            <v>105.53940944882144</v>
          </cell>
          <cell r="G961">
            <v>42.074842519684871</v>
          </cell>
          <cell r="H961">
            <v>42.074842519684871</v>
          </cell>
          <cell r="I961" t="e">
            <v>#N/A</v>
          </cell>
          <cell r="J961" t="e">
            <v>#N/A</v>
          </cell>
          <cell r="K961">
            <v>90</v>
          </cell>
          <cell r="L961">
            <v>50</v>
          </cell>
          <cell r="M961" t="e">
            <v>#N/A</v>
          </cell>
          <cell r="N961">
            <v>80</v>
          </cell>
          <cell r="O961" t="e">
            <v>#N/A</v>
          </cell>
          <cell r="P961" t="str">
            <v/>
          </cell>
          <cell r="Q961" t="str">
            <v/>
          </cell>
          <cell r="R961" t="e">
            <v>#N/A</v>
          </cell>
        </row>
        <row r="962">
          <cell r="A962" t="str">
            <v/>
          </cell>
          <cell r="B962" t="str">
            <v/>
          </cell>
          <cell r="C962" t="str">
            <v>Future</v>
          </cell>
          <cell r="D962" t="e">
            <v>#N/A</v>
          </cell>
          <cell r="E962">
            <v>-37.50590551181056</v>
          </cell>
          <cell r="F962">
            <v>105.64370078740413</v>
          </cell>
          <cell r="G962">
            <v>42.021653543306918</v>
          </cell>
          <cell r="H962">
            <v>42.021653543306918</v>
          </cell>
          <cell r="I962" t="e">
            <v>#N/A</v>
          </cell>
          <cell r="J962" t="e">
            <v>#N/A</v>
          </cell>
          <cell r="K962">
            <v>90</v>
          </cell>
          <cell r="L962">
            <v>50</v>
          </cell>
          <cell r="M962" t="e">
            <v>#N/A</v>
          </cell>
          <cell r="N962">
            <v>80</v>
          </cell>
          <cell r="O962" t="e">
            <v>#N/A</v>
          </cell>
          <cell r="P962" t="str">
            <v/>
          </cell>
          <cell r="Q962" t="str">
            <v/>
          </cell>
          <cell r="R962" t="e">
            <v>#N/A</v>
          </cell>
        </row>
        <row r="963">
          <cell r="A963" t="str">
            <v/>
          </cell>
          <cell r="B963" t="str">
            <v/>
          </cell>
          <cell r="C963" t="str">
            <v>Future</v>
          </cell>
          <cell r="D963" t="e">
            <v>#N/A</v>
          </cell>
          <cell r="E963">
            <v>-37.755944881889299</v>
          </cell>
          <cell r="F963">
            <v>105.74799212598681</v>
          </cell>
          <cell r="G963">
            <v>41.968464566928965</v>
          </cell>
          <cell r="H963">
            <v>41.968464566928965</v>
          </cell>
          <cell r="I963" t="e">
            <v>#N/A</v>
          </cell>
          <cell r="J963" t="e">
            <v>#N/A</v>
          </cell>
          <cell r="K963">
            <v>90</v>
          </cell>
          <cell r="L963">
            <v>50</v>
          </cell>
          <cell r="M963" t="e">
            <v>#N/A</v>
          </cell>
          <cell r="N963">
            <v>80</v>
          </cell>
          <cell r="O963" t="e">
            <v>#N/A</v>
          </cell>
          <cell r="P963" t="str">
            <v/>
          </cell>
          <cell r="Q963" t="str">
            <v/>
          </cell>
          <cell r="R963" t="e">
            <v>#N/A</v>
          </cell>
        </row>
        <row r="964">
          <cell r="A964" t="str">
            <v/>
          </cell>
          <cell r="B964" t="str">
            <v/>
          </cell>
          <cell r="C964" t="str">
            <v>Future</v>
          </cell>
          <cell r="D964" t="e">
            <v>#N/A</v>
          </cell>
          <cell r="E964">
            <v>-38.005984251968037</v>
          </cell>
          <cell r="F964">
            <v>105.8522834645695</v>
          </cell>
          <cell r="G964">
            <v>41.915275590551012</v>
          </cell>
          <cell r="H964">
            <v>41.915275590551012</v>
          </cell>
          <cell r="I964" t="e">
            <v>#N/A</v>
          </cell>
          <cell r="J964" t="e">
            <v>#N/A</v>
          </cell>
          <cell r="K964">
            <v>90</v>
          </cell>
          <cell r="L964">
            <v>50</v>
          </cell>
          <cell r="M964" t="e">
            <v>#N/A</v>
          </cell>
          <cell r="N964">
            <v>80</v>
          </cell>
          <cell r="O964" t="e">
            <v>#N/A</v>
          </cell>
          <cell r="P964" t="str">
            <v/>
          </cell>
          <cell r="Q964" t="str">
            <v/>
          </cell>
          <cell r="R964" t="e">
            <v>#N/A</v>
          </cell>
        </row>
        <row r="965">
          <cell r="A965" t="str">
            <v/>
          </cell>
          <cell r="B965" t="str">
            <v/>
          </cell>
          <cell r="C965" t="str">
            <v>Future</v>
          </cell>
          <cell r="D965" t="e">
            <v>#N/A</v>
          </cell>
          <cell r="E965">
            <v>-38.256023622046776</v>
          </cell>
          <cell r="F965">
            <v>105.95657480315218</v>
          </cell>
          <cell r="G965">
            <v>41.862086614173059</v>
          </cell>
          <cell r="H965">
            <v>41.862086614173059</v>
          </cell>
          <cell r="I965" t="e">
            <v>#N/A</v>
          </cell>
          <cell r="J965" t="e">
            <v>#N/A</v>
          </cell>
          <cell r="K965">
            <v>90</v>
          </cell>
          <cell r="L965">
            <v>50</v>
          </cell>
          <cell r="M965" t="e">
            <v>#N/A</v>
          </cell>
          <cell r="N965">
            <v>80</v>
          </cell>
          <cell r="O965" t="e">
            <v>#N/A</v>
          </cell>
          <cell r="P965" t="str">
            <v/>
          </cell>
          <cell r="Q965" t="str">
            <v/>
          </cell>
          <cell r="R965" t="e">
            <v>#N/A</v>
          </cell>
        </row>
        <row r="966">
          <cell r="A966" t="str">
            <v/>
          </cell>
          <cell r="B966" t="str">
            <v/>
          </cell>
          <cell r="C966" t="str">
            <v>Future</v>
          </cell>
          <cell r="D966" t="e">
            <v>#N/A</v>
          </cell>
          <cell r="E966">
            <v>-38.506062992125514</v>
          </cell>
          <cell r="F966">
            <v>106.06086614173486</v>
          </cell>
          <cell r="G966">
            <v>41.808897637795106</v>
          </cell>
          <cell r="H966">
            <v>41.808897637795106</v>
          </cell>
          <cell r="I966" t="e">
            <v>#N/A</v>
          </cell>
          <cell r="J966" t="e">
            <v>#N/A</v>
          </cell>
          <cell r="K966">
            <v>90</v>
          </cell>
          <cell r="L966">
            <v>50</v>
          </cell>
          <cell r="M966" t="e">
            <v>#N/A</v>
          </cell>
          <cell r="N966">
            <v>80</v>
          </cell>
          <cell r="O966" t="e">
            <v>#N/A</v>
          </cell>
          <cell r="P966" t="str">
            <v/>
          </cell>
          <cell r="Q966" t="str">
            <v/>
          </cell>
          <cell r="R966" t="e">
            <v>#N/A</v>
          </cell>
        </row>
        <row r="967">
          <cell r="A967" t="str">
            <v/>
          </cell>
          <cell r="B967" t="str">
            <v/>
          </cell>
          <cell r="C967" t="str">
            <v>Future</v>
          </cell>
          <cell r="D967" t="e">
            <v>#N/A</v>
          </cell>
          <cell r="E967">
            <v>-38.756102362204253</v>
          </cell>
          <cell r="F967">
            <v>106.16515748031755</v>
          </cell>
          <cell r="G967">
            <v>41.755708661417152</v>
          </cell>
          <cell r="H967">
            <v>41.755708661417152</v>
          </cell>
          <cell r="I967" t="e">
            <v>#N/A</v>
          </cell>
          <cell r="J967" t="e">
            <v>#N/A</v>
          </cell>
          <cell r="K967">
            <v>90</v>
          </cell>
          <cell r="L967">
            <v>50</v>
          </cell>
          <cell r="M967" t="e">
            <v>#N/A</v>
          </cell>
          <cell r="N967">
            <v>80</v>
          </cell>
          <cell r="O967" t="e">
            <v>#N/A</v>
          </cell>
          <cell r="P967" t="str">
            <v/>
          </cell>
          <cell r="Q967" t="str">
            <v/>
          </cell>
          <cell r="R967" t="e">
            <v>#N/A</v>
          </cell>
        </row>
        <row r="968">
          <cell r="A968" t="str">
            <v/>
          </cell>
          <cell r="B968" t="str">
            <v/>
          </cell>
          <cell r="C968" t="str">
            <v>Future</v>
          </cell>
          <cell r="D968" t="e">
            <v>#N/A</v>
          </cell>
          <cell r="E968">
            <v>-39.006141732282991</v>
          </cell>
          <cell r="F968">
            <v>106.26944881890023</v>
          </cell>
          <cell r="G968">
            <v>41.702519685039199</v>
          </cell>
          <cell r="H968">
            <v>41.702519685039199</v>
          </cell>
          <cell r="I968" t="e">
            <v>#N/A</v>
          </cell>
          <cell r="J968" t="e">
            <v>#N/A</v>
          </cell>
          <cell r="K968">
            <v>90</v>
          </cell>
          <cell r="L968">
            <v>50</v>
          </cell>
          <cell r="M968" t="e">
            <v>#N/A</v>
          </cell>
          <cell r="N968">
            <v>80</v>
          </cell>
          <cell r="O968" t="e">
            <v>#N/A</v>
          </cell>
          <cell r="P968" t="str">
            <v/>
          </cell>
          <cell r="Q968" t="str">
            <v/>
          </cell>
          <cell r="R968" t="e">
            <v>#N/A</v>
          </cell>
        </row>
        <row r="969">
          <cell r="A969" t="str">
            <v/>
          </cell>
          <cell r="B969" t="str">
            <v/>
          </cell>
          <cell r="C969" t="str">
            <v>Future</v>
          </cell>
          <cell r="D969" t="e">
            <v>#N/A</v>
          </cell>
          <cell r="E969">
            <v>-39.25618110236173</v>
          </cell>
          <cell r="F969">
            <v>106.37374015748291</v>
          </cell>
          <cell r="G969">
            <v>41.649330708661246</v>
          </cell>
          <cell r="H969">
            <v>41.649330708661246</v>
          </cell>
          <cell r="I969" t="e">
            <v>#N/A</v>
          </cell>
          <cell r="J969" t="e">
            <v>#N/A</v>
          </cell>
          <cell r="K969">
            <v>90</v>
          </cell>
          <cell r="L969">
            <v>50</v>
          </cell>
          <cell r="M969" t="e">
            <v>#N/A</v>
          </cell>
          <cell r="N969">
            <v>80</v>
          </cell>
          <cell r="O969" t="e">
            <v>#N/A</v>
          </cell>
          <cell r="P969" t="str">
            <v/>
          </cell>
          <cell r="Q969" t="str">
            <v/>
          </cell>
          <cell r="R969" t="e">
            <v>#N/A</v>
          </cell>
        </row>
        <row r="970">
          <cell r="A970" t="str">
            <v/>
          </cell>
          <cell r="B970" t="str">
            <v/>
          </cell>
          <cell r="C970" t="str">
            <v>Future</v>
          </cell>
          <cell r="D970" t="e">
            <v>#N/A</v>
          </cell>
          <cell r="E970">
            <v>-39.506220472440468</v>
          </cell>
          <cell r="F970">
            <v>106.4780314960656</v>
          </cell>
          <cell r="G970">
            <v>41.596141732283293</v>
          </cell>
          <cell r="H970">
            <v>41.596141732283293</v>
          </cell>
          <cell r="I970" t="e">
            <v>#N/A</v>
          </cell>
          <cell r="J970" t="e">
            <v>#N/A</v>
          </cell>
          <cell r="K970">
            <v>90</v>
          </cell>
          <cell r="L970">
            <v>50</v>
          </cell>
          <cell r="M970" t="e">
            <v>#N/A</v>
          </cell>
          <cell r="N970">
            <v>80</v>
          </cell>
          <cell r="O970" t="e">
            <v>#N/A</v>
          </cell>
          <cell r="P970" t="str">
            <v/>
          </cell>
          <cell r="Q970" t="str">
            <v/>
          </cell>
          <cell r="R970" t="e">
            <v>#N/A</v>
          </cell>
        </row>
        <row r="971">
          <cell r="A971" t="str">
            <v/>
          </cell>
          <cell r="B971" t="str">
            <v/>
          </cell>
          <cell r="C971" t="str">
            <v>Future</v>
          </cell>
          <cell r="D971" t="e">
            <v>#N/A</v>
          </cell>
          <cell r="E971">
            <v>-39.756259842519206</v>
          </cell>
          <cell r="F971">
            <v>106.58232283464828</v>
          </cell>
          <cell r="G971">
            <v>41.54295275590534</v>
          </cell>
          <cell r="H971">
            <v>41.54295275590534</v>
          </cell>
          <cell r="I971" t="e">
            <v>#N/A</v>
          </cell>
          <cell r="J971" t="e">
            <v>#N/A</v>
          </cell>
          <cell r="K971">
            <v>90</v>
          </cell>
          <cell r="L971">
            <v>50</v>
          </cell>
          <cell r="M971" t="e">
            <v>#N/A</v>
          </cell>
          <cell r="N971">
            <v>80</v>
          </cell>
          <cell r="O971" t="e">
            <v>#N/A</v>
          </cell>
          <cell r="P971" t="str">
            <v/>
          </cell>
          <cell r="Q971" t="str">
            <v/>
          </cell>
          <cell r="R971" t="e">
            <v>#N/A</v>
          </cell>
        </row>
        <row r="972">
          <cell r="A972" t="str">
            <v/>
          </cell>
          <cell r="B972" t="str">
            <v/>
          </cell>
          <cell r="C972" t="str">
            <v>Future</v>
          </cell>
          <cell r="D972" t="e">
            <v>#N/A</v>
          </cell>
          <cell r="E972">
            <v>-40.006299212597945</v>
          </cell>
          <cell r="F972">
            <v>106.68661417323096</v>
          </cell>
          <cell r="G972">
            <v>41.489763779527387</v>
          </cell>
          <cell r="H972">
            <v>41.489763779527387</v>
          </cell>
          <cell r="I972" t="e">
            <v>#N/A</v>
          </cell>
          <cell r="J972" t="e">
            <v>#N/A</v>
          </cell>
          <cell r="K972">
            <v>90</v>
          </cell>
          <cell r="L972">
            <v>50</v>
          </cell>
          <cell r="M972" t="e">
            <v>#N/A</v>
          </cell>
          <cell r="N972">
            <v>80</v>
          </cell>
          <cell r="O972" t="e">
            <v>#N/A</v>
          </cell>
          <cell r="P972" t="str">
            <v/>
          </cell>
          <cell r="Q972" t="str">
            <v/>
          </cell>
          <cell r="R972" t="e">
            <v>#N/A</v>
          </cell>
        </row>
        <row r="973">
          <cell r="A973" t="str">
            <v/>
          </cell>
          <cell r="B973" t="str">
            <v/>
          </cell>
          <cell r="C973" t="str">
            <v>Future</v>
          </cell>
          <cell r="D973" t="e">
            <v>#N/A</v>
          </cell>
          <cell r="E973">
            <v>-40.256338582676683</v>
          </cell>
          <cell r="F973">
            <v>106.79090551181365</v>
          </cell>
          <cell r="G973">
            <v>41.436574803149433</v>
          </cell>
          <cell r="H973">
            <v>41.436574803149433</v>
          </cell>
          <cell r="I973" t="e">
            <v>#N/A</v>
          </cell>
          <cell r="J973" t="e">
            <v>#N/A</v>
          </cell>
          <cell r="K973">
            <v>90</v>
          </cell>
          <cell r="L973">
            <v>50</v>
          </cell>
          <cell r="M973" t="e">
            <v>#N/A</v>
          </cell>
          <cell r="N973">
            <v>80</v>
          </cell>
          <cell r="O973" t="e">
            <v>#N/A</v>
          </cell>
          <cell r="P973" t="str">
            <v/>
          </cell>
          <cell r="Q973" t="str">
            <v/>
          </cell>
          <cell r="R973" t="e">
            <v>#N/A</v>
          </cell>
        </row>
        <row r="974">
          <cell r="A974" t="str">
            <v/>
          </cell>
          <cell r="B974" t="str">
            <v/>
          </cell>
          <cell r="C974" t="str">
            <v>Future</v>
          </cell>
          <cell r="D974" t="e">
            <v>#N/A</v>
          </cell>
          <cell r="E974">
            <v>-40.506377952755422</v>
          </cell>
          <cell r="F974">
            <v>106.89519685039633</v>
          </cell>
          <cell r="G974">
            <v>41.38338582677148</v>
          </cell>
          <cell r="H974">
            <v>41.38338582677148</v>
          </cell>
          <cell r="I974" t="e">
            <v>#N/A</v>
          </cell>
          <cell r="J974" t="e">
            <v>#N/A</v>
          </cell>
          <cell r="K974">
            <v>90</v>
          </cell>
          <cell r="L974">
            <v>50</v>
          </cell>
          <cell r="M974" t="e">
            <v>#N/A</v>
          </cell>
          <cell r="N974">
            <v>80</v>
          </cell>
          <cell r="O974" t="e">
            <v>#N/A</v>
          </cell>
          <cell r="P974" t="str">
            <v/>
          </cell>
          <cell r="Q974" t="str">
            <v/>
          </cell>
          <cell r="R974" t="e">
            <v>#N/A</v>
          </cell>
        </row>
        <row r="975">
          <cell r="A975" t="str">
            <v/>
          </cell>
          <cell r="B975" t="str">
            <v/>
          </cell>
          <cell r="C975" t="str">
            <v>Future</v>
          </cell>
          <cell r="D975" t="e">
            <v>#N/A</v>
          </cell>
          <cell r="E975">
            <v>-40.75641732283416</v>
          </cell>
          <cell r="F975">
            <v>106.99948818897902</v>
          </cell>
          <cell r="G975">
            <v>41.330196850393527</v>
          </cell>
          <cell r="H975">
            <v>41.330196850393527</v>
          </cell>
          <cell r="I975" t="e">
            <v>#N/A</v>
          </cell>
          <cell r="J975" t="e">
            <v>#N/A</v>
          </cell>
          <cell r="K975">
            <v>90</v>
          </cell>
          <cell r="L975">
            <v>50</v>
          </cell>
          <cell r="M975" t="e">
            <v>#N/A</v>
          </cell>
          <cell r="N975">
            <v>80</v>
          </cell>
          <cell r="O975" t="e">
            <v>#N/A</v>
          </cell>
          <cell r="P975" t="str">
            <v/>
          </cell>
          <cell r="Q975" t="str">
            <v/>
          </cell>
          <cell r="R975" t="e">
            <v>#N/A</v>
          </cell>
        </row>
        <row r="976">
          <cell r="A976" t="str">
            <v/>
          </cell>
          <cell r="B976" t="str">
            <v/>
          </cell>
          <cell r="C976" t="str">
            <v>Future</v>
          </cell>
          <cell r="D976" t="e">
            <v>#N/A</v>
          </cell>
          <cell r="E976">
            <v>-41.006456692912899</v>
          </cell>
          <cell r="F976">
            <v>107.1037795275617</v>
          </cell>
          <cell r="G976">
            <v>41.277007874015574</v>
          </cell>
          <cell r="H976">
            <v>41.277007874015574</v>
          </cell>
          <cell r="I976" t="e">
            <v>#N/A</v>
          </cell>
          <cell r="J976" t="e">
            <v>#N/A</v>
          </cell>
          <cell r="K976">
            <v>90</v>
          </cell>
          <cell r="L976">
            <v>50</v>
          </cell>
          <cell r="M976" t="e">
            <v>#N/A</v>
          </cell>
          <cell r="N976">
            <v>80</v>
          </cell>
          <cell r="O976" t="e">
            <v>#N/A</v>
          </cell>
          <cell r="P976" t="str">
            <v/>
          </cell>
          <cell r="Q976" t="str">
            <v/>
          </cell>
          <cell r="R976" t="e">
            <v>#N/A</v>
          </cell>
        </row>
        <row r="977">
          <cell r="A977" t="str">
            <v/>
          </cell>
          <cell r="B977" t="str">
            <v/>
          </cell>
          <cell r="C977" t="str">
            <v>Future</v>
          </cell>
          <cell r="D977" t="e">
            <v>#N/A</v>
          </cell>
          <cell r="E977">
            <v>-41.256496062991637</v>
          </cell>
          <cell r="F977">
            <v>107.20807086614438</v>
          </cell>
          <cell r="G977">
            <v>41.223818897637621</v>
          </cell>
          <cell r="H977">
            <v>41.223818897637621</v>
          </cell>
          <cell r="I977" t="e">
            <v>#N/A</v>
          </cell>
          <cell r="J977" t="e">
            <v>#N/A</v>
          </cell>
          <cell r="K977">
            <v>90</v>
          </cell>
          <cell r="L977">
            <v>50</v>
          </cell>
          <cell r="M977" t="e">
            <v>#N/A</v>
          </cell>
          <cell r="N977">
            <v>80</v>
          </cell>
          <cell r="O977" t="e">
            <v>#N/A</v>
          </cell>
          <cell r="P977" t="str">
            <v/>
          </cell>
          <cell r="Q977" t="str">
            <v/>
          </cell>
          <cell r="R977" t="e">
            <v>#N/A</v>
          </cell>
        </row>
        <row r="978">
          <cell r="A978" t="str">
            <v/>
          </cell>
          <cell r="B978" t="str">
            <v/>
          </cell>
          <cell r="C978" t="str">
            <v>Future</v>
          </cell>
          <cell r="D978" t="e">
            <v>#N/A</v>
          </cell>
          <cell r="E978">
            <v>-41.506535433070376</v>
          </cell>
          <cell r="F978">
            <v>107.31236220472707</v>
          </cell>
          <cell r="G978">
            <v>41.170629921259668</v>
          </cell>
          <cell r="H978">
            <v>41.170629921259668</v>
          </cell>
          <cell r="I978" t="e">
            <v>#N/A</v>
          </cell>
          <cell r="J978" t="e">
            <v>#N/A</v>
          </cell>
          <cell r="K978">
            <v>90</v>
          </cell>
          <cell r="L978">
            <v>50</v>
          </cell>
          <cell r="M978" t="e">
            <v>#N/A</v>
          </cell>
          <cell r="N978">
            <v>80</v>
          </cell>
          <cell r="O978" t="e">
            <v>#N/A</v>
          </cell>
          <cell r="P978" t="str">
            <v/>
          </cell>
          <cell r="Q978" t="str">
            <v/>
          </cell>
          <cell r="R978" t="e">
            <v>#N/A</v>
          </cell>
        </row>
        <row r="979">
          <cell r="A979" t="str">
            <v/>
          </cell>
          <cell r="B979" t="str">
            <v/>
          </cell>
          <cell r="C979" t="str">
            <v>Future</v>
          </cell>
          <cell r="D979" t="e">
            <v>#N/A</v>
          </cell>
          <cell r="E979">
            <v>-41.756574803149114</v>
          </cell>
          <cell r="F979">
            <v>107.41665354330975</v>
          </cell>
          <cell r="G979">
            <v>41.117440944881714</v>
          </cell>
          <cell r="H979">
            <v>41.117440944881714</v>
          </cell>
          <cell r="I979" t="e">
            <v>#N/A</v>
          </cell>
          <cell r="J979" t="e">
            <v>#N/A</v>
          </cell>
          <cell r="K979">
            <v>90</v>
          </cell>
          <cell r="L979">
            <v>50</v>
          </cell>
          <cell r="M979" t="e">
            <v>#N/A</v>
          </cell>
          <cell r="N979">
            <v>80</v>
          </cell>
          <cell r="O979" t="e">
            <v>#N/A</v>
          </cell>
          <cell r="P979" t="str">
            <v/>
          </cell>
          <cell r="Q979" t="str">
            <v/>
          </cell>
          <cell r="R979" t="e">
            <v>#N/A</v>
          </cell>
        </row>
        <row r="980">
          <cell r="A980" t="str">
            <v/>
          </cell>
          <cell r="B980" t="str">
            <v/>
          </cell>
          <cell r="C980" t="str">
            <v>Future</v>
          </cell>
          <cell r="D980" t="e">
            <v>#N/A</v>
          </cell>
          <cell r="E980">
            <v>-42.006614173227852</v>
          </cell>
          <cell r="F980">
            <v>107.52094488189243</v>
          </cell>
          <cell r="G980">
            <v>41.064251968503761</v>
          </cell>
          <cell r="H980">
            <v>41.064251968503761</v>
          </cell>
          <cell r="I980" t="e">
            <v>#N/A</v>
          </cell>
          <cell r="J980" t="e">
            <v>#N/A</v>
          </cell>
          <cell r="K980">
            <v>90</v>
          </cell>
          <cell r="L980">
            <v>50</v>
          </cell>
          <cell r="M980" t="e">
            <v>#N/A</v>
          </cell>
          <cell r="N980">
            <v>80</v>
          </cell>
          <cell r="O980" t="e">
            <v>#N/A</v>
          </cell>
          <cell r="P980" t="str">
            <v/>
          </cell>
          <cell r="Q980" t="str">
            <v/>
          </cell>
          <cell r="R980" t="e">
            <v>#N/A</v>
          </cell>
        </row>
        <row r="981">
          <cell r="A981" t="str">
            <v/>
          </cell>
          <cell r="B981" t="str">
            <v/>
          </cell>
          <cell r="C981" t="str">
            <v>Future</v>
          </cell>
          <cell r="D981" t="e">
            <v>#N/A</v>
          </cell>
          <cell r="E981">
            <v>-42.256653543306591</v>
          </cell>
          <cell r="F981">
            <v>107.62523622047512</v>
          </cell>
          <cell r="G981">
            <v>41.011062992125808</v>
          </cell>
          <cell r="H981">
            <v>41.011062992125808</v>
          </cell>
          <cell r="I981" t="e">
            <v>#N/A</v>
          </cell>
          <cell r="J981" t="e">
            <v>#N/A</v>
          </cell>
          <cell r="K981">
            <v>90</v>
          </cell>
          <cell r="L981">
            <v>50</v>
          </cell>
          <cell r="M981" t="e">
            <v>#N/A</v>
          </cell>
          <cell r="N981">
            <v>80</v>
          </cell>
          <cell r="O981" t="e">
            <v>#N/A</v>
          </cell>
          <cell r="P981" t="str">
            <v/>
          </cell>
          <cell r="Q981" t="str">
            <v/>
          </cell>
          <cell r="R981" t="e">
            <v>#N/A</v>
          </cell>
        </row>
        <row r="982">
          <cell r="A982" t="str">
            <v/>
          </cell>
          <cell r="B982" t="str">
            <v/>
          </cell>
          <cell r="C982" t="str">
            <v>Future</v>
          </cell>
          <cell r="D982" t="e">
            <v>#N/A</v>
          </cell>
          <cell r="E982">
            <v>-42.506692913385329</v>
          </cell>
          <cell r="F982">
            <v>107.7295275590578</v>
          </cell>
          <cell r="G982">
            <v>40.957874015747855</v>
          </cell>
          <cell r="H982">
            <v>40.957874015747855</v>
          </cell>
          <cell r="I982" t="e">
            <v>#N/A</v>
          </cell>
          <cell r="J982" t="e">
            <v>#N/A</v>
          </cell>
          <cell r="K982">
            <v>90</v>
          </cell>
          <cell r="L982">
            <v>50</v>
          </cell>
          <cell r="M982" t="e">
            <v>#N/A</v>
          </cell>
          <cell r="N982">
            <v>80</v>
          </cell>
          <cell r="O982" t="e">
            <v>#N/A</v>
          </cell>
          <cell r="P982" t="str">
            <v/>
          </cell>
          <cell r="Q982" t="str">
            <v/>
          </cell>
          <cell r="R982" t="e">
            <v>#N/A</v>
          </cell>
        </row>
        <row r="983">
          <cell r="A983" t="str">
            <v/>
          </cell>
          <cell r="B983" t="str">
            <v/>
          </cell>
          <cell r="C983" t="str">
            <v>Future</v>
          </cell>
          <cell r="D983" t="e">
            <v>#N/A</v>
          </cell>
          <cell r="E983">
            <v>-42.756732283464068</v>
          </cell>
          <cell r="F983">
            <v>107.83381889764048</v>
          </cell>
          <cell r="G983">
            <v>40.904685039369902</v>
          </cell>
          <cell r="H983">
            <v>40.904685039369902</v>
          </cell>
          <cell r="I983" t="e">
            <v>#N/A</v>
          </cell>
          <cell r="J983" t="e">
            <v>#N/A</v>
          </cell>
          <cell r="K983">
            <v>90</v>
          </cell>
          <cell r="L983">
            <v>50</v>
          </cell>
          <cell r="M983" t="e">
            <v>#N/A</v>
          </cell>
          <cell r="N983">
            <v>80</v>
          </cell>
          <cell r="O983" t="e">
            <v>#N/A</v>
          </cell>
          <cell r="P983" t="str">
            <v/>
          </cell>
          <cell r="Q983" t="str">
            <v/>
          </cell>
          <cell r="R983" t="e">
            <v>#N/A</v>
          </cell>
        </row>
        <row r="984">
          <cell r="A984" t="str">
            <v/>
          </cell>
          <cell r="B984" t="str">
            <v/>
          </cell>
          <cell r="C984" t="str">
            <v>Future</v>
          </cell>
          <cell r="D984" t="e">
            <v>#N/A</v>
          </cell>
          <cell r="E984">
            <v>-43.006771653542806</v>
          </cell>
          <cell r="F984">
            <v>107.93811023622317</v>
          </cell>
          <cell r="G984">
            <v>40.851496062991949</v>
          </cell>
          <cell r="H984">
            <v>40.851496062991949</v>
          </cell>
          <cell r="I984" t="e">
            <v>#N/A</v>
          </cell>
          <cell r="J984" t="e">
            <v>#N/A</v>
          </cell>
          <cell r="K984">
            <v>90</v>
          </cell>
          <cell r="L984">
            <v>50</v>
          </cell>
          <cell r="M984" t="e">
            <v>#N/A</v>
          </cell>
          <cell r="N984">
            <v>80</v>
          </cell>
          <cell r="O984" t="e">
            <v>#N/A</v>
          </cell>
          <cell r="P984" t="str">
            <v/>
          </cell>
          <cell r="Q984" t="str">
            <v/>
          </cell>
          <cell r="R984" t="e">
            <v>#N/A</v>
          </cell>
        </row>
        <row r="985">
          <cell r="A985" t="str">
            <v/>
          </cell>
          <cell r="B985" t="str">
            <v/>
          </cell>
          <cell r="C985" t="str">
            <v>Future</v>
          </cell>
          <cell r="D985" t="e">
            <v>#N/A</v>
          </cell>
          <cell r="E985">
            <v>-43.256811023621545</v>
          </cell>
          <cell r="F985">
            <v>108.04240157480585</v>
          </cell>
          <cell r="G985">
            <v>40.798307086613995</v>
          </cell>
          <cell r="H985">
            <v>40.798307086613995</v>
          </cell>
          <cell r="I985" t="e">
            <v>#N/A</v>
          </cell>
          <cell r="J985" t="e">
            <v>#N/A</v>
          </cell>
          <cell r="K985">
            <v>90</v>
          </cell>
          <cell r="L985">
            <v>50</v>
          </cell>
          <cell r="M985" t="e">
            <v>#N/A</v>
          </cell>
          <cell r="N985">
            <v>80</v>
          </cell>
          <cell r="O985" t="e">
            <v>#N/A</v>
          </cell>
          <cell r="P985" t="str">
            <v/>
          </cell>
          <cell r="Q985" t="str">
            <v/>
          </cell>
          <cell r="R985" t="e">
            <v>#N/A</v>
          </cell>
        </row>
        <row r="986">
          <cell r="A986" t="str">
            <v/>
          </cell>
          <cell r="B986" t="str">
            <v/>
          </cell>
          <cell r="C986" t="str">
            <v>Future</v>
          </cell>
          <cell r="D986" t="e">
            <v>#N/A</v>
          </cell>
          <cell r="E986">
            <v>-43.506850393700283</v>
          </cell>
          <cell r="F986">
            <v>108.14669291338853</v>
          </cell>
          <cell r="G986">
            <v>40.745118110236042</v>
          </cell>
          <cell r="H986">
            <v>40.745118110236042</v>
          </cell>
          <cell r="I986" t="e">
            <v>#N/A</v>
          </cell>
          <cell r="J986" t="e">
            <v>#N/A</v>
          </cell>
          <cell r="K986">
            <v>90</v>
          </cell>
          <cell r="L986">
            <v>50</v>
          </cell>
          <cell r="M986" t="e">
            <v>#N/A</v>
          </cell>
          <cell r="N986">
            <v>80</v>
          </cell>
          <cell r="O986" t="e">
            <v>#N/A</v>
          </cell>
          <cell r="P986" t="str">
            <v/>
          </cell>
          <cell r="Q986" t="str">
            <v/>
          </cell>
          <cell r="R986" t="e">
            <v>#N/A</v>
          </cell>
        </row>
        <row r="987">
          <cell r="A987" t="str">
            <v/>
          </cell>
          <cell r="B987" t="str">
            <v/>
          </cell>
          <cell r="C987" t="str">
            <v>Future</v>
          </cell>
          <cell r="D987" t="e">
            <v>#N/A</v>
          </cell>
          <cell r="E987">
            <v>-43.756889763779022</v>
          </cell>
          <cell r="F987">
            <v>108.25098425197122</v>
          </cell>
          <cell r="G987">
            <v>40.691929133858089</v>
          </cell>
          <cell r="H987">
            <v>40.691929133858089</v>
          </cell>
          <cell r="I987" t="e">
            <v>#N/A</v>
          </cell>
          <cell r="J987" t="e">
            <v>#N/A</v>
          </cell>
          <cell r="K987">
            <v>90</v>
          </cell>
          <cell r="L987">
            <v>50</v>
          </cell>
          <cell r="M987" t="e">
            <v>#N/A</v>
          </cell>
          <cell r="N987">
            <v>80</v>
          </cell>
          <cell r="O987" t="e">
            <v>#N/A</v>
          </cell>
          <cell r="P987" t="str">
            <v/>
          </cell>
          <cell r="Q987" t="str">
            <v/>
          </cell>
          <cell r="R987" t="e">
            <v>#N/A</v>
          </cell>
        </row>
        <row r="988">
          <cell r="A988" t="str">
            <v/>
          </cell>
          <cell r="B988" t="str">
            <v/>
          </cell>
          <cell r="C988" t="str">
            <v>Future</v>
          </cell>
          <cell r="D988" t="e">
            <v>#N/A</v>
          </cell>
          <cell r="E988">
            <v>-44.00692913385776</v>
          </cell>
          <cell r="F988">
            <v>108.3552755905539</v>
          </cell>
          <cell r="G988">
            <v>40.638740157480136</v>
          </cell>
          <cell r="H988">
            <v>40.638740157480136</v>
          </cell>
          <cell r="I988" t="e">
            <v>#N/A</v>
          </cell>
          <cell r="J988" t="e">
            <v>#N/A</v>
          </cell>
          <cell r="K988">
            <v>90</v>
          </cell>
          <cell r="L988">
            <v>50</v>
          </cell>
          <cell r="M988" t="e">
            <v>#N/A</v>
          </cell>
          <cell r="N988">
            <v>80</v>
          </cell>
          <cell r="O988" t="e">
            <v>#N/A</v>
          </cell>
          <cell r="P988" t="str">
            <v/>
          </cell>
          <cell r="Q988" t="str">
            <v/>
          </cell>
          <cell r="R988" t="e">
            <v>#N/A</v>
          </cell>
        </row>
        <row r="989">
          <cell r="A989" t="str">
            <v/>
          </cell>
          <cell r="B989" t="str">
            <v/>
          </cell>
          <cell r="C989" t="str">
            <v>Future</v>
          </cell>
          <cell r="D989" t="e">
            <v>#N/A</v>
          </cell>
          <cell r="E989">
            <v>-44.256968503936498</v>
          </cell>
          <cell r="F989">
            <v>108.45956692913659</v>
          </cell>
          <cell r="G989">
            <v>40.585551181102183</v>
          </cell>
          <cell r="H989">
            <v>40.585551181102183</v>
          </cell>
          <cell r="I989" t="e">
            <v>#N/A</v>
          </cell>
          <cell r="J989" t="e">
            <v>#N/A</v>
          </cell>
          <cell r="K989">
            <v>90</v>
          </cell>
          <cell r="L989">
            <v>50</v>
          </cell>
          <cell r="M989" t="e">
            <v>#N/A</v>
          </cell>
          <cell r="N989">
            <v>80</v>
          </cell>
          <cell r="O989" t="e">
            <v>#N/A</v>
          </cell>
          <cell r="P989" t="str">
            <v/>
          </cell>
          <cell r="Q989" t="str">
            <v/>
          </cell>
          <cell r="R989" t="e">
            <v>#N/A</v>
          </cell>
        </row>
        <row r="990">
          <cell r="A990" t="str">
            <v/>
          </cell>
          <cell r="B990" t="str">
            <v/>
          </cell>
          <cell r="C990" t="str">
            <v>Future</v>
          </cell>
          <cell r="D990" t="e">
            <v>#N/A</v>
          </cell>
          <cell r="E990">
            <v>-44.507007874015237</v>
          </cell>
          <cell r="F990">
            <v>108.56385826771927</v>
          </cell>
          <cell r="G990">
            <v>40.53236220472423</v>
          </cell>
          <cell r="H990">
            <v>40.53236220472423</v>
          </cell>
          <cell r="I990" t="e">
            <v>#N/A</v>
          </cell>
          <cell r="J990" t="e">
            <v>#N/A</v>
          </cell>
          <cell r="K990">
            <v>90</v>
          </cell>
          <cell r="L990">
            <v>50</v>
          </cell>
          <cell r="M990" t="e">
            <v>#N/A</v>
          </cell>
          <cell r="N990">
            <v>80</v>
          </cell>
          <cell r="O990" t="e">
            <v>#N/A</v>
          </cell>
          <cell r="P990" t="str">
            <v/>
          </cell>
          <cell r="Q990" t="str">
            <v/>
          </cell>
          <cell r="R990" t="e">
            <v>#N/A</v>
          </cell>
        </row>
        <row r="991">
          <cell r="A991" t="str">
            <v/>
          </cell>
          <cell r="B991" t="str">
            <v/>
          </cell>
          <cell r="C991" t="str">
            <v>Future</v>
          </cell>
          <cell r="D991" t="e">
            <v>#N/A</v>
          </cell>
          <cell r="E991">
            <v>-44.757047244093975</v>
          </cell>
          <cell r="F991">
            <v>108.66814960630195</v>
          </cell>
          <cell r="G991">
            <v>40.479173228346276</v>
          </cell>
          <cell r="H991">
            <v>40.479173228346276</v>
          </cell>
          <cell r="I991" t="e">
            <v>#N/A</v>
          </cell>
          <cell r="J991" t="e">
            <v>#N/A</v>
          </cell>
          <cell r="K991">
            <v>90</v>
          </cell>
          <cell r="L991">
            <v>50</v>
          </cell>
          <cell r="M991" t="e">
            <v>#N/A</v>
          </cell>
          <cell r="N991">
            <v>80</v>
          </cell>
          <cell r="O991" t="e">
            <v>#N/A</v>
          </cell>
          <cell r="P991" t="str">
            <v/>
          </cell>
          <cell r="Q991" t="str">
            <v/>
          </cell>
          <cell r="R991" t="e">
            <v>#N/A</v>
          </cell>
        </row>
        <row r="992">
          <cell r="A992" t="str">
            <v/>
          </cell>
          <cell r="B992" t="str">
            <v/>
          </cell>
          <cell r="C992" t="str">
            <v>Future</v>
          </cell>
          <cell r="D992" t="e">
            <v>#N/A</v>
          </cell>
          <cell r="E992">
            <v>-45.007086614172714</v>
          </cell>
          <cell r="F992">
            <v>108.77244094488464</v>
          </cell>
          <cell r="G992">
            <v>40.425984251968323</v>
          </cell>
          <cell r="H992">
            <v>40.425984251968323</v>
          </cell>
          <cell r="I992" t="e">
            <v>#N/A</v>
          </cell>
          <cell r="J992" t="e">
            <v>#N/A</v>
          </cell>
          <cell r="K992">
            <v>90</v>
          </cell>
          <cell r="L992">
            <v>50</v>
          </cell>
          <cell r="M992" t="e">
            <v>#N/A</v>
          </cell>
          <cell r="N992">
            <v>80</v>
          </cell>
          <cell r="O992" t="e">
            <v>#N/A</v>
          </cell>
          <cell r="P992" t="str">
            <v/>
          </cell>
          <cell r="Q992" t="str">
            <v/>
          </cell>
          <cell r="R992" t="e">
            <v>#N/A</v>
          </cell>
        </row>
        <row r="993">
          <cell r="A993" t="str">
            <v/>
          </cell>
          <cell r="B993" t="str">
            <v/>
          </cell>
          <cell r="C993" t="str">
            <v>Future</v>
          </cell>
          <cell r="D993" t="e">
            <v>#N/A</v>
          </cell>
          <cell r="E993">
            <v>-45.257125984251452</v>
          </cell>
          <cell r="F993">
            <v>108.87673228346732</v>
          </cell>
          <cell r="G993">
            <v>40.37279527559037</v>
          </cell>
          <cell r="H993">
            <v>40.37279527559037</v>
          </cell>
          <cell r="I993" t="e">
            <v>#N/A</v>
          </cell>
          <cell r="J993" t="e">
            <v>#N/A</v>
          </cell>
          <cell r="K993">
            <v>90</v>
          </cell>
          <cell r="L993">
            <v>50</v>
          </cell>
          <cell r="M993" t="e">
            <v>#N/A</v>
          </cell>
          <cell r="N993">
            <v>80</v>
          </cell>
          <cell r="O993" t="e">
            <v>#N/A</v>
          </cell>
          <cell r="P993" t="str">
            <v/>
          </cell>
          <cell r="Q993" t="str">
            <v/>
          </cell>
          <cell r="R993" t="e">
            <v>#N/A</v>
          </cell>
        </row>
        <row r="994">
          <cell r="A994" t="str">
            <v/>
          </cell>
          <cell r="B994" t="str">
            <v/>
          </cell>
          <cell r="C994" t="str">
            <v>Future</v>
          </cell>
          <cell r="D994" t="e">
            <v>#N/A</v>
          </cell>
          <cell r="E994">
            <v>-45.507165354330191</v>
          </cell>
          <cell r="F994">
            <v>108.98102362205</v>
          </cell>
          <cell r="G994">
            <v>40.319606299212417</v>
          </cell>
          <cell r="H994">
            <v>40.319606299212417</v>
          </cell>
          <cell r="I994" t="e">
            <v>#N/A</v>
          </cell>
          <cell r="J994" t="e">
            <v>#N/A</v>
          </cell>
          <cell r="K994">
            <v>90</v>
          </cell>
          <cell r="L994">
            <v>50</v>
          </cell>
          <cell r="M994" t="e">
            <v>#N/A</v>
          </cell>
          <cell r="N994">
            <v>80</v>
          </cell>
          <cell r="O994" t="e">
            <v>#N/A</v>
          </cell>
          <cell r="P994" t="str">
            <v/>
          </cell>
          <cell r="Q994" t="str">
            <v/>
          </cell>
          <cell r="R994" t="e">
            <v>#N/A</v>
          </cell>
        </row>
        <row r="995">
          <cell r="A995" t="str">
            <v/>
          </cell>
          <cell r="B995" t="str">
            <v/>
          </cell>
          <cell r="C995" t="str">
            <v>Future</v>
          </cell>
          <cell r="D995" t="e">
            <v>#N/A</v>
          </cell>
          <cell r="E995">
            <v>-45.757204724408929</v>
          </cell>
          <cell r="F995">
            <v>109.08531496063269</v>
          </cell>
          <cell r="G995">
            <v>40.266417322834464</v>
          </cell>
          <cell r="H995">
            <v>40.266417322834464</v>
          </cell>
          <cell r="I995" t="e">
            <v>#N/A</v>
          </cell>
          <cell r="J995" t="e">
            <v>#N/A</v>
          </cell>
          <cell r="K995">
            <v>90</v>
          </cell>
          <cell r="L995">
            <v>50</v>
          </cell>
          <cell r="M995" t="e">
            <v>#N/A</v>
          </cell>
          <cell r="N995">
            <v>80</v>
          </cell>
          <cell r="O995" t="e">
            <v>#N/A</v>
          </cell>
          <cell r="P995" t="str">
            <v/>
          </cell>
          <cell r="Q995" t="str">
            <v/>
          </cell>
          <cell r="R995" t="e">
            <v>#N/A</v>
          </cell>
        </row>
        <row r="996">
          <cell r="A996" t="str">
            <v/>
          </cell>
          <cell r="B996" t="str">
            <v/>
          </cell>
          <cell r="C996" t="str">
            <v>Future</v>
          </cell>
          <cell r="D996" t="e">
            <v>#N/A</v>
          </cell>
          <cell r="E996">
            <v>-46.007244094487667</v>
          </cell>
          <cell r="F996">
            <v>109.18960629921537</v>
          </cell>
          <cell r="G996">
            <v>40.213228346456511</v>
          </cell>
          <cell r="H996">
            <v>40.213228346456511</v>
          </cell>
          <cell r="I996" t="e">
            <v>#N/A</v>
          </cell>
          <cell r="J996" t="e">
            <v>#N/A</v>
          </cell>
          <cell r="K996">
            <v>90</v>
          </cell>
          <cell r="L996">
            <v>50</v>
          </cell>
          <cell r="M996" t="e">
            <v>#N/A</v>
          </cell>
          <cell r="N996">
            <v>80</v>
          </cell>
          <cell r="O996" t="e">
            <v>#N/A</v>
          </cell>
          <cell r="P996" t="str">
            <v/>
          </cell>
          <cell r="Q996" t="str">
            <v/>
          </cell>
          <cell r="R996" t="e">
            <v>#N/A</v>
          </cell>
        </row>
        <row r="997">
          <cell r="A997" t="str">
            <v/>
          </cell>
          <cell r="B997" t="str">
            <v/>
          </cell>
          <cell r="C997" t="str">
            <v>Future</v>
          </cell>
          <cell r="D997" t="e">
            <v>#N/A</v>
          </cell>
          <cell r="E997">
            <v>-46.257283464566406</v>
          </cell>
          <cell r="F997">
            <v>109.29389763779805</v>
          </cell>
          <cell r="G997">
            <v>40.160039370078557</v>
          </cell>
          <cell r="H997">
            <v>40.160039370078557</v>
          </cell>
          <cell r="I997" t="e">
            <v>#N/A</v>
          </cell>
          <cell r="J997" t="e">
            <v>#N/A</v>
          </cell>
          <cell r="K997">
            <v>90</v>
          </cell>
          <cell r="L997">
            <v>50</v>
          </cell>
          <cell r="M997" t="e">
            <v>#N/A</v>
          </cell>
          <cell r="N997">
            <v>80</v>
          </cell>
          <cell r="O997" t="e">
            <v>#N/A</v>
          </cell>
          <cell r="P997" t="str">
            <v/>
          </cell>
          <cell r="Q997" t="str">
            <v/>
          </cell>
          <cell r="R997" t="e">
            <v>#N/A</v>
          </cell>
        </row>
        <row r="998">
          <cell r="A998" t="str">
            <v/>
          </cell>
          <cell r="B998" t="str">
            <v/>
          </cell>
          <cell r="C998" t="str">
            <v>Future</v>
          </cell>
          <cell r="D998" t="e">
            <v>#N/A</v>
          </cell>
          <cell r="E998">
            <v>-46.507322834645144</v>
          </cell>
          <cell r="F998">
            <v>109.39818897638074</v>
          </cell>
          <cell r="G998">
            <v>40.106850393700604</v>
          </cell>
          <cell r="H998">
            <v>40.106850393700604</v>
          </cell>
          <cell r="I998" t="e">
            <v>#N/A</v>
          </cell>
          <cell r="J998" t="e">
            <v>#N/A</v>
          </cell>
          <cell r="K998">
            <v>90</v>
          </cell>
          <cell r="L998">
            <v>50</v>
          </cell>
          <cell r="M998" t="e">
            <v>#N/A</v>
          </cell>
          <cell r="N998">
            <v>80</v>
          </cell>
          <cell r="O998" t="e">
            <v>#N/A</v>
          </cell>
          <cell r="P998" t="str">
            <v/>
          </cell>
          <cell r="Q998" t="str">
            <v/>
          </cell>
          <cell r="R998" t="e">
            <v>#N/A</v>
          </cell>
        </row>
        <row r="999">
          <cell r="A999" t="str">
            <v/>
          </cell>
          <cell r="B999" t="str">
            <v/>
          </cell>
          <cell r="C999" t="str">
            <v>Future</v>
          </cell>
          <cell r="D999" t="e">
            <v>#N/A</v>
          </cell>
          <cell r="E999">
            <v>-46.757362204723883</v>
          </cell>
          <cell r="F999">
            <v>109.50248031496342</v>
          </cell>
          <cell r="G999">
            <v>40.053661417322651</v>
          </cell>
          <cell r="H999">
            <v>40.053661417322651</v>
          </cell>
          <cell r="I999" t="e">
            <v>#N/A</v>
          </cell>
          <cell r="J999" t="e">
            <v>#N/A</v>
          </cell>
          <cell r="K999">
            <v>90</v>
          </cell>
          <cell r="L999">
            <v>50</v>
          </cell>
          <cell r="M999" t="e">
            <v>#N/A</v>
          </cell>
          <cell r="N999">
            <v>80</v>
          </cell>
          <cell r="O999" t="e">
            <v>#N/A</v>
          </cell>
          <cell r="P999" t="str">
            <v/>
          </cell>
          <cell r="Q999" t="str">
            <v/>
          </cell>
          <cell r="R999" t="e">
            <v>#N/A</v>
          </cell>
        </row>
        <row r="1000">
          <cell r="A1000" t="str">
            <v/>
          </cell>
          <cell r="B1000" t="str">
            <v/>
          </cell>
          <cell r="C1000" t="str">
            <v>Future</v>
          </cell>
          <cell r="D1000" t="e">
            <v>#N/A</v>
          </cell>
          <cell r="E1000">
            <v>-47.007401574802621</v>
          </cell>
          <cell r="F1000">
            <v>109.6067716535461</v>
          </cell>
          <cell r="G1000">
            <v>40.000472440944698</v>
          </cell>
          <cell r="H1000">
            <v>40.000472440944698</v>
          </cell>
          <cell r="I1000" t="e">
            <v>#N/A</v>
          </cell>
          <cell r="J1000" t="e">
            <v>#N/A</v>
          </cell>
          <cell r="K1000">
            <v>90</v>
          </cell>
          <cell r="L1000">
            <v>50</v>
          </cell>
          <cell r="M1000" t="e">
            <v>#N/A</v>
          </cell>
          <cell r="N1000">
            <v>80</v>
          </cell>
          <cell r="O1000" t="e">
            <v>#N/A</v>
          </cell>
          <cell r="P1000" t="str">
            <v/>
          </cell>
          <cell r="Q1000" t="str">
            <v/>
          </cell>
          <cell r="R1000" t="e">
            <v>#N/A</v>
          </cell>
        </row>
        <row r="1001">
          <cell r="A1001" t="str">
            <v/>
          </cell>
          <cell r="B1001" t="str">
            <v/>
          </cell>
          <cell r="C1001" t="str">
            <v>Future</v>
          </cell>
          <cell r="D1001" t="e">
            <v>#N/A</v>
          </cell>
          <cell r="E1001">
            <v>-47.25744094488136</v>
          </cell>
          <cell r="F1001">
            <v>109.71106299212879</v>
          </cell>
          <cell r="G1001">
            <v>39.947283464566745</v>
          </cell>
          <cell r="H1001">
            <v>39.947283464566745</v>
          </cell>
          <cell r="I1001" t="e">
            <v>#N/A</v>
          </cell>
          <cell r="J1001" t="e">
            <v>#N/A</v>
          </cell>
          <cell r="K1001">
            <v>90</v>
          </cell>
          <cell r="L1001">
            <v>50</v>
          </cell>
          <cell r="M1001" t="e">
            <v>#N/A</v>
          </cell>
          <cell r="N1001">
            <v>80</v>
          </cell>
          <cell r="O1001" t="e">
            <v>#N/A</v>
          </cell>
          <cell r="P1001" t="str">
            <v/>
          </cell>
          <cell r="Q1001" t="str">
            <v/>
          </cell>
          <cell r="R1001" t="e">
            <v>#N/A</v>
          </cell>
        </row>
        <row r="1002">
          <cell r="A1002" t="str">
            <v/>
          </cell>
          <cell r="B1002" t="str">
            <v/>
          </cell>
          <cell r="C1002" t="str">
            <v>Future</v>
          </cell>
          <cell r="D1002" t="e">
            <v>#N/A</v>
          </cell>
          <cell r="E1002">
            <v>-47.507480314960098</v>
          </cell>
          <cell r="F1002">
            <v>109.81535433071147</v>
          </cell>
          <cell r="G1002">
            <v>39.894094488188792</v>
          </cell>
          <cell r="H1002">
            <v>39.894094488188792</v>
          </cell>
          <cell r="I1002" t="e">
            <v>#N/A</v>
          </cell>
          <cell r="J1002" t="e">
            <v>#N/A</v>
          </cell>
          <cell r="K1002">
            <v>90</v>
          </cell>
          <cell r="L1002">
            <v>50</v>
          </cell>
          <cell r="M1002" t="e">
            <v>#N/A</v>
          </cell>
          <cell r="N1002">
            <v>80</v>
          </cell>
          <cell r="O1002" t="e">
            <v>#N/A</v>
          </cell>
          <cell r="P1002" t="str">
            <v/>
          </cell>
          <cell r="Q1002" t="str">
            <v/>
          </cell>
          <cell r="R1002" t="e">
            <v>#N/A</v>
          </cell>
        </row>
        <row r="1003">
          <cell r="A1003" t="str">
            <v/>
          </cell>
          <cell r="B1003" t="str">
            <v/>
          </cell>
          <cell r="C1003" t="str">
            <v>Future</v>
          </cell>
          <cell r="D1003" t="e">
            <v>#N/A</v>
          </cell>
          <cell r="E1003">
            <v>-47.757519685038837</v>
          </cell>
          <cell r="F1003">
            <v>109.91964566929416</v>
          </cell>
          <cell r="G1003">
            <v>39.840905511810838</v>
          </cell>
          <cell r="H1003">
            <v>39.840905511810838</v>
          </cell>
          <cell r="I1003" t="e">
            <v>#N/A</v>
          </cell>
          <cell r="J1003" t="e">
            <v>#N/A</v>
          </cell>
          <cell r="K1003">
            <v>90</v>
          </cell>
          <cell r="L1003">
            <v>50</v>
          </cell>
          <cell r="M1003" t="e">
            <v>#N/A</v>
          </cell>
          <cell r="N1003">
            <v>80</v>
          </cell>
          <cell r="O1003" t="e">
            <v>#N/A</v>
          </cell>
          <cell r="P1003" t="str">
            <v/>
          </cell>
          <cell r="Q1003" t="str">
            <v/>
          </cell>
          <cell r="R1003" t="e">
            <v>#N/A</v>
          </cell>
        </row>
        <row r="1004">
          <cell r="A1004" t="str">
            <v/>
          </cell>
          <cell r="B1004" t="str">
            <v/>
          </cell>
          <cell r="C1004" t="str">
            <v>Future</v>
          </cell>
          <cell r="D1004" t="e">
            <v>#N/A</v>
          </cell>
          <cell r="E1004">
            <v>-48.007559055117575</v>
          </cell>
          <cell r="F1004">
            <v>110.02393700787684</v>
          </cell>
          <cell r="G1004">
            <v>39.787716535432885</v>
          </cell>
          <cell r="H1004">
            <v>39.787716535432885</v>
          </cell>
          <cell r="I1004" t="e">
            <v>#N/A</v>
          </cell>
          <cell r="J1004" t="e">
            <v>#N/A</v>
          </cell>
          <cell r="K1004">
            <v>90</v>
          </cell>
          <cell r="L1004">
            <v>50</v>
          </cell>
          <cell r="M1004" t="e">
            <v>#N/A</v>
          </cell>
          <cell r="N1004">
            <v>80</v>
          </cell>
          <cell r="O1004" t="e">
            <v>#N/A</v>
          </cell>
          <cell r="P1004" t="str">
            <v/>
          </cell>
          <cell r="Q1004" t="str">
            <v/>
          </cell>
          <cell r="R1004" t="e">
            <v>#N/A</v>
          </cell>
        </row>
        <row r="1005">
          <cell r="A1005" t="str">
            <v/>
          </cell>
          <cell r="B1005" t="str">
            <v/>
          </cell>
          <cell r="C1005" t="str">
            <v>Future</v>
          </cell>
          <cell r="D1005" t="e">
            <v>#N/A</v>
          </cell>
          <cell r="E1005">
            <v>-48.257598425196313</v>
          </cell>
          <cell r="F1005">
            <v>110.12822834645952</v>
          </cell>
          <cell r="G1005">
            <v>39.734527559054932</v>
          </cell>
          <cell r="H1005">
            <v>39.734527559054932</v>
          </cell>
          <cell r="I1005" t="e">
            <v>#N/A</v>
          </cell>
          <cell r="J1005" t="e">
            <v>#N/A</v>
          </cell>
          <cell r="K1005">
            <v>90</v>
          </cell>
          <cell r="L1005">
            <v>50</v>
          </cell>
          <cell r="M1005" t="e">
            <v>#N/A</v>
          </cell>
          <cell r="N1005">
            <v>80</v>
          </cell>
          <cell r="O1005" t="e">
            <v>#N/A</v>
          </cell>
          <cell r="P1005" t="str">
            <v/>
          </cell>
          <cell r="Q1005" t="str">
            <v/>
          </cell>
          <cell r="R1005" t="e">
            <v>#N/A</v>
          </cell>
        </row>
        <row r="1006">
          <cell r="A1006" t="str">
            <v/>
          </cell>
          <cell r="B1006" t="str">
            <v/>
          </cell>
          <cell r="C1006" t="str">
            <v>Future</v>
          </cell>
          <cell r="D1006" t="e">
            <v>#N/A</v>
          </cell>
          <cell r="E1006">
            <v>-48.507637795275052</v>
          </cell>
          <cell r="F1006">
            <v>110.23251968504221</v>
          </cell>
          <cell r="G1006">
            <v>39.681338582676979</v>
          </cell>
          <cell r="H1006">
            <v>39.681338582676979</v>
          </cell>
          <cell r="I1006" t="e">
            <v>#N/A</v>
          </cell>
          <cell r="J1006" t="e">
            <v>#N/A</v>
          </cell>
          <cell r="K1006">
            <v>90</v>
          </cell>
          <cell r="L1006">
            <v>50</v>
          </cell>
          <cell r="M1006" t="e">
            <v>#N/A</v>
          </cell>
          <cell r="N1006">
            <v>80</v>
          </cell>
          <cell r="O1006" t="e">
            <v>#N/A</v>
          </cell>
          <cell r="P1006" t="str">
            <v/>
          </cell>
          <cell r="Q1006" t="str">
            <v/>
          </cell>
          <cell r="R1006" t="e">
            <v>#N/A</v>
          </cell>
        </row>
        <row r="1007">
          <cell r="A1007" t="str">
            <v/>
          </cell>
          <cell r="B1007" t="str">
            <v/>
          </cell>
          <cell r="C1007" t="str">
            <v>Future</v>
          </cell>
          <cell r="D1007" t="e">
            <v>#N/A</v>
          </cell>
          <cell r="E1007">
            <v>-48.75767716535379</v>
          </cell>
          <cell r="F1007">
            <v>110.33681102362489</v>
          </cell>
          <cell r="G1007">
            <v>39.628149606299026</v>
          </cell>
          <cell r="H1007">
            <v>39.628149606299026</v>
          </cell>
          <cell r="I1007" t="e">
            <v>#N/A</v>
          </cell>
          <cell r="J1007" t="e">
            <v>#N/A</v>
          </cell>
          <cell r="K1007">
            <v>90</v>
          </cell>
          <cell r="L1007">
            <v>50</v>
          </cell>
          <cell r="M1007" t="e">
            <v>#N/A</v>
          </cell>
          <cell r="N1007">
            <v>80</v>
          </cell>
          <cell r="O1007" t="e">
            <v>#N/A</v>
          </cell>
          <cell r="P1007" t="str">
            <v/>
          </cell>
          <cell r="Q1007" t="str">
            <v/>
          </cell>
          <cell r="R1007" t="e">
            <v>#N/A</v>
          </cell>
        </row>
        <row r="1008">
          <cell r="A1008" t="str">
            <v/>
          </cell>
          <cell r="B1008" t="str">
            <v/>
          </cell>
          <cell r="C1008" t="str">
            <v>Future</v>
          </cell>
          <cell r="D1008" t="e">
            <v>#N/A</v>
          </cell>
          <cell r="E1008">
            <v>-49.007716535432529</v>
          </cell>
          <cell r="F1008">
            <v>110.44110236220757</v>
          </cell>
          <cell r="G1008">
            <v>39.574960629921073</v>
          </cell>
          <cell r="H1008">
            <v>39.574960629921073</v>
          </cell>
          <cell r="I1008" t="e">
            <v>#N/A</v>
          </cell>
          <cell r="J1008" t="e">
            <v>#N/A</v>
          </cell>
          <cell r="K1008">
            <v>90</v>
          </cell>
          <cell r="L1008">
            <v>50</v>
          </cell>
          <cell r="M1008" t="e">
            <v>#N/A</v>
          </cell>
          <cell r="N1008">
            <v>80</v>
          </cell>
          <cell r="O1008" t="e">
            <v>#N/A</v>
          </cell>
          <cell r="P1008" t="str">
            <v/>
          </cell>
          <cell r="Q1008" t="str">
            <v/>
          </cell>
          <cell r="R1008" t="e">
            <v>#N/A</v>
          </cell>
        </row>
        <row r="1009">
          <cell r="A1009" t="str">
            <v/>
          </cell>
          <cell r="B1009" t="str">
            <v/>
          </cell>
          <cell r="C1009" t="str">
            <v>Future</v>
          </cell>
          <cell r="D1009" t="e">
            <v>#N/A</v>
          </cell>
          <cell r="E1009">
            <v>-49.257755905511267</v>
          </cell>
          <cell r="F1009">
            <v>110.54539370079026</v>
          </cell>
          <cell r="G1009">
            <v>39.521771653543119</v>
          </cell>
          <cell r="H1009">
            <v>39.521771653543119</v>
          </cell>
          <cell r="I1009" t="e">
            <v>#N/A</v>
          </cell>
          <cell r="J1009" t="e">
            <v>#N/A</v>
          </cell>
          <cell r="K1009">
            <v>90</v>
          </cell>
          <cell r="L1009">
            <v>50</v>
          </cell>
          <cell r="M1009" t="e">
            <v>#N/A</v>
          </cell>
          <cell r="N1009">
            <v>80</v>
          </cell>
          <cell r="O1009" t="e">
            <v>#N/A</v>
          </cell>
          <cell r="P1009" t="str">
            <v/>
          </cell>
          <cell r="Q1009" t="str">
            <v/>
          </cell>
          <cell r="R1009" t="e">
            <v>#N/A</v>
          </cell>
        </row>
        <row r="1010">
          <cell r="A1010" t="str">
            <v/>
          </cell>
          <cell r="B1010" t="str">
            <v/>
          </cell>
          <cell r="C1010" t="str">
            <v>Future</v>
          </cell>
          <cell r="D1010" t="e">
            <v>#N/A</v>
          </cell>
          <cell r="E1010">
            <v>-49.507795275590006</v>
          </cell>
          <cell r="F1010">
            <v>110.64968503937294</v>
          </cell>
          <cell r="G1010">
            <v>39.468582677165166</v>
          </cell>
          <cell r="H1010">
            <v>39.468582677165166</v>
          </cell>
          <cell r="I1010" t="e">
            <v>#N/A</v>
          </cell>
          <cell r="J1010" t="e">
            <v>#N/A</v>
          </cell>
          <cell r="K1010">
            <v>90</v>
          </cell>
          <cell r="L1010">
            <v>50</v>
          </cell>
          <cell r="M1010" t="e">
            <v>#N/A</v>
          </cell>
          <cell r="N1010">
            <v>80</v>
          </cell>
          <cell r="O1010" t="e">
            <v>#N/A</v>
          </cell>
          <cell r="P1010" t="str">
            <v/>
          </cell>
          <cell r="Q1010" t="str">
            <v/>
          </cell>
          <cell r="R1010" t="e">
            <v>#N/A</v>
          </cell>
        </row>
        <row r="1011">
          <cell r="A1011" t="str">
            <v/>
          </cell>
          <cell r="B1011" t="str">
            <v/>
          </cell>
          <cell r="C1011" t="str">
            <v>Future</v>
          </cell>
          <cell r="D1011" t="e">
            <v>#N/A</v>
          </cell>
          <cell r="E1011">
            <v>-49.757834645668744</v>
          </cell>
          <cell r="F1011">
            <v>110.75397637795562</v>
          </cell>
          <cell r="G1011">
            <v>39.415393700787213</v>
          </cell>
          <cell r="H1011">
            <v>39.415393700787213</v>
          </cell>
          <cell r="I1011" t="e">
            <v>#N/A</v>
          </cell>
          <cell r="J1011" t="e">
            <v>#N/A</v>
          </cell>
          <cell r="K1011">
            <v>90</v>
          </cell>
          <cell r="L1011">
            <v>50</v>
          </cell>
          <cell r="M1011" t="e">
            <v>#N/A</v>
          </cell>
          <cell r="N1011">
            <v>80</v>
          </cell>
          <cell r="O1011" t="e">
            <v>#N/A</v>
          </cell>
          <cell r="P1011" t="str">
            <v/>
          </cell>
          <cell r="Q1011" t="str">
            <v/>
          </cell>
          <cell r="R1011" t="e">
            <v>#N/A</v>
          </cell>
        </row>
        <row r="1012">
          <cell r="A1012" t="str">
            <v/>
          </cell>
          <cell r="B1012" t="str">
            <v/>
          </cell>
          <cell r="C1012" t="str">
            <v>Future</v>
          </cell>
          <cell r="D1012" t="e">
            <v>#N/A</v>
          </cell>
          <cell r="E1012">
            <v>-50.007874015747483</v>
          </cell>
          <cell r="F1012">
            <v>110.85826771653831</v>
          </cell>
          <cell r="G1012">
            <v>39.36220472440926</v>
          </cell>
          <cell r="H1012">
            <v>39.36220472440926</v>
          </cell>
          <cell r="I1012" t="e">
            <v>#N/A</v>
          </cell>
          <cell r="J1012" t="e">
            <v>#N/A</v>
          </cell>
          <cell r="K1012">
            <v>90</v>
          </cell>
          <cell r="L1012">
            <v>50</v>
          </cell>
          <cell r="M1012" t="e">
            <v>#N/A</v>
          </cell>
          <cell r="N1012">
            <v>80</v>
          </cell>
          <cell r="O1012" t="e">
            <v>#N/A</v>
          </cell>
          <cell r="P1012" t="str">
            <v/>
          </cell>
          <cell r="Q1012" t="str">
            <v/>
          </cell>
          <cell r="R1012" t="e">
            <v>#N/A</v>
          </cell>
        </row>
        <row r="1013">
          <cell r="A1013" t="str">
            <v/>
          </cell>
          <cell r="B1013" t="str">
            <v/>
          </cell>
          <cell r="C1013" t="str">
            <v>Future</v>
          </cell>
          <cell r="D1013" t="e">
            <v>#N/A</v>
          </cell>
          <cell r="E1013">
            <v>-50.257913385826221</v>
          </cell>
          <cell r="F1013">
            <v>110.96255905512099</v>
          </cell>
          <cell r="G1013">
            <v>39.309015748031307</v>
          </cell>
          <cell r="H1013">
            <v>39.309015748031307</v>
          </cell>
          <cell r="I1013" t="e">
            <v>#N/A</v>
          </cell>
          <cell r="J1013" t="e">
            <v>#N/A</v>
          </cell>
          <cell r="K1013">
            <v>90</v>
          </cell>
          <cell r="L1013">
            <v>50</v>
          </cell>
          <cell r="M1013" t="e">
            <v>#N/A</v>
          </cell>
          <cell r="N1013">
            <v>80</v>
          </cell>
          <cell r="O1013" t="e">
            <v>#N/A</v>
          </cell>
          <cell r="P1013" t="str">
            <v/>
          </cell>
          <cell r="Q1013" t="str">
            <v/>
          </cell>
          <cell r="R1013" t="e">
            <v>#N/A</v>
          </cell>
        </row>
        <row r="1014">
          <cell r="A1014" t="str">
            <v/>
          </cell>
          <cell r="B1014" t="str">
            <v/>
          </cell>
          <cell r="C1014" t="str">
            <v>Future</v>
          </cell>
          <cell r="D1014" t="e">
            <v>#N/A</v>
          </cell>
          <cell r="E1014">
            <v>-50.507952755904959</v>
          </cell>
          <cell r="F1014">
            <v>111.06685039370367</v>
          </cell>
          <cell r="G1014">
            <v>39.255826771653354</v>
          </cell>
          <cell r="H1014">
            <v>39.255826771653354</v>
          </cell>
          <cell r="I1014" t="e">
            <v>#N/A</v>
          </cell>
          <cell r="J1014" t="e">
            <v>#N/A</v>
          </cell>
          <cell r="K1014">
            <v>90</v>
          </cell>
          <cell r="L1014">
            <v>50</v>
          </cell>
          <cell r="M1014" t="e">
            <v>#N/A</v>
          </cell>
          <cell r="N1014">
            <v>80</v>
          </cell>
          <cell r="O1014" t="e">
            <v>#N/A</v>
          </cell>
          <cell r="P1014" t="str">
            <v/>
          </cell>
          <cell r="Q1014" t="str">
            <v/>
          </cell>
          <cell r="R1014" t="e">
            <v>#N/A</v>
          </cell>
        </row>
        <row r="1015">
          <cell r="A1015" t="str">
            <v/>
          </cell>
          <cell r="B1015" t="str">
            <v/>
          </cell>
          <cell r="C1015" t="str">
            <v>Future</v>
          </cell>
          <cell r="D1015" t="e">
            <v>#N/A</v>
          </cell>
          <cell r="E1015">
            <v>-50.757992125983698</v>
          </cell>
          <cell r="F1015">
            <v>111.17114173228636</v>
          </cell>
          <cell r="G1015">
            <v>39.2026377952754</v>
          </cell>
          <cell r="H1015">
            <v>39.2026377952754</v>
          </cell>
          <cell r="I1015" t="e">
            <v>#N/A</v>
          </cell>
          <cell r="J1015" t="e">
            <v>#N/A</v>
          </cell>
          <cell r="K1015">
            <v>90</v>
          </cell>
          <cell r="L1015">
            <v>50</v>
          </cell>
          <cell r="M1015" t="e">
            <v>#N/A</v>
          </cell>
          <cell r="N1015">
            <v>80</v>
          </cell>
          <cell r="O1015" t="e">
            <v>#N/A</v>
          </cell>
          <cell r="P1015" t="str">
            <v/>
          </cell>
          <cell r="Q1015" t="str">
            <v/>
          </cell>
          <cell r="R1015" t="e">
            <v>#N/A</v>
          </cell>
        </row>
        <row r="1016">
          <cell r="A1016" t="str">
            <v/>
          </cell>
          <cell r="B1016" t="str">
            <v/>
          </cell>
          <cell r="C1016" t="str">
            <v>Future</v>
          </cell>
          <cell r="D1016" t="e">
            <v>#N/A</v>
          </cell>
          <cell r="E1016">
            <v>-51.008031496062436</v>
          </cell>
          <cell r="F1016">
            <v>111.27543307086904</v>
          </cell>
          <cell r="G1016">
            <v>39.149448818897447</v>
          </cell>
          <cell r="H1016">
            <v>39.149448818897447</v>
          </cell>
          <cell r="I1016" t="e">
            <v>#N/A</v>
          </cell>
          <cell r="J1016" t="e">
            <v>#N/A</v>
          </cell>
          <cell r="K1016">
            <v>90</v>
          </cell>
          <cell r="L1016">
            <v>50</v>
          </cell>
          <cell r="M1016" t="e">
            <v>#N/A</v>
          </cell>
          <cell r="N1016">
            <v>80</v>
          </cell>
          <cell r="O1016" t="e">
            <v>#N/A</v>
          </cell>
          <cell r="P1016" t="str">
            <v/>
          </cell>
          <cell r="Q1016" t="str">
            <v/>
          </cell>
          <cell r="R1016" t="e">
            <v>#N/A</v>
          </cell>
        </row>
        <row r="1017">
          <cell r="A1017" t="str">
            <v/>
          </cell>
          <cell r="B1017" t="str">
            <v/>
          </cell>
          <cell r="C1017" t="str">
            <v>Future</v>
          </cell>
          <cell r="D1017" t="e">
            <v>#N/A</v>
          </cell>
          <cell r="E1017">
            <v>-51.258070866141175</v>
          </cell>
          <cell r="F1017">
            <v>111.37972440945173</v>
          </cell>
          <cell r="G1017">
            <v>39.096259842519494</v>
          </cell>
          <cell r="H1017">
            <v>39.096259842519494</v>
          </cell>
          <cell r="I1017" t="e">
            <v>#N/A</v>
          </cell>
          <cell r="J1017" t="e">
            <v>#N/A</v>
          </cell>
          <cell r="K1017">
            <v>90</v>
          </cell>
          <cell r="L1017">
            <v>50</v>
          </cell>
          <cell r="M1017" t="e">
            <v>#N/A</v>
          </cell>
          <cell r="N1017">
            <v>80</v>
          </cell>
          <cell r="O1017" t="e">
            <v>#N/A</v>
          </cell>
          <cell r="P1017" t="str">
            <v/>
          </cell>
          <cell r="Q1017" t="str">
            <v/>
          </cell>
          <cell r="R1017" t="e">
            <v>#N/A</v>
          </cell>
        </row>
        <row r="1018">
          <cell r="A1018" t="str">
            <v/>
          </cell>
          <cell r="B1018" t="str">
            <v/>
          </cell>
          <cell r="C1018" t="str">
            <v>Future</v>
          </cell>
          <cell r="D1018" t="e">
            <v>#N/A</v>
          </cell>
          <cell r="E1018">
            <v>-51.508110236219913</v>
          </cell>
          <cell r="F1018">
            <v>111.48401574803441</v>
          </cell>
          <cell r="G1018">
            <v>39.043070866141541</v>
          </cell>
          <cell r="H1018">
            <v>39.043070866141541</v>
          </cell>
          <cell r="I1018" t="e">
            <v>#N/A</v>
          </cell>
          <cell r="J1018" t="e">
            <v>#N/A</v>
          </cell>
          <cell r="K1018">
            <v>90</v>
          </cell>
          <cell r="L1018">
            <v>50</v>
          </cell>
          <cell r="M1018" t="e">
            <v>#N/A</v>
          </cell>
          <cell r="N1018">
            <v>80</v>
          </cell>
          <cell r="O1018" t="e">
            <v>#N/A</v>
          </cell>
          <cell r="P1018" t="str">
            <v/>
          </cell>
          <cell r="Q1018" t="str">
            <v/>
          </cell>
          <cell r="R1018" t="e">
            <v>#N/A</v>
          </cell>
        </row>
        <row r="1019">
          <cell r="A1019" t="str">
            <v/>
          </cell>
          <cell r="B1019" t="str">
            <v/>
          </cell>
          <cell r="C1019" t="str">
            <v>Future</v>
          </cell>
          <cell r="D1019" t="e">
            <v>#N/A</v>
          </cell>
          <cell r="E1019">
            <v>-51.758149606298652</v>
          </cell>
          <cell r="F1019">
            <v>111.58830708661709</v>
          </cell>
          <cell r="G1019">
            <v>38.989881889763588</v>
          </cell>
          <cell r="H1019">
            <v>38.989881889763588</v>
          </cell>
          <cell r="I1019" t="e">
            <v>#N/A</v>
          </cell>
          <cell r="J1019" t="e">
            <v>#N/A</v>
          </cell>
          <cell r="K1019">
            <v>90</v>
          </cell>
          <cell r="L1019">
            <v>50</v>
          </cell>
          <cell r="M1019" t="e">
            <v>#N/A</v>
          </cell>
          <cell r="N1019">
            <v>80</v>
          </cell>
          <cell r="O1019" t="e">
            <v>#N/A</v>
          </cell>
          <cell r="P1019" t="str">
            <v/>
          </cell>
          <cell r="Q1019" t="str">
            <v/>
          </cell>
          <cell r="R1019" t="e">
            <v>#N/A</v>
          </cell>
        </row>
        <row r="1020">
          <cell r="A1020" t="str">
            <v/>
          </cell>
          <cell r="B1020" t="str">
            <v/>
          </cell>
          <cell r="C1020" t="str">
            <v>Future</v>
          </cell>
          <cell r="D1020" t="e">
            <v>#N/A</v>
          </cell>
          <cell r="E1020">
            <v>-52.00818897637739</v>
          </cell>
          <cell r="F1020">
            <v>111.69259842519978</v>
          </cell>
          <cell r="G1020">
            <v>38.936692913385635</v>
          </cell>
          <cell r="H1020">
            <v>38.936692913385635</v>
          </cell>
          <cell r="I1020" t="e">
            <v>#N/A</v>
          </cell>
          <cell r="J1020" t="e">
            <v>#N/A</v>
          </cell>
          <cell r="K1020">
            <v>90</v>
          </cell>
          <cell r="L1020">
            <v>50</v>
          </cell>
          <cell r="M1020" t="e">
            <v>#N/A</v>
          </cell>
          <cell r="N1020">
            <v>80</v>
          </cell>
          <cell r="O1020" t="e">
            <v>#N/A</v>
          </cell>
          <cell r="P1020" t="str">
            <v/>
          </cell>
          <cell r="Q1020" t="str">
            <v/>
          </cell>
          <cell r="R1020" t="e">
            <v>#N/A</v>
          </cell>
        </row>
        <row r="1021">
          <cell r="A1021" t="str">
            <v/>
          </cell>
          <cell r="B1021" t="str">
            <v/>
          </cell>
          <cell r="C1021" t="str">
            <v>Future</v>
          </cell>
          <cell r="D1021" t="e">
            <v>#N/A</v>
          </cell>
          <cell r="E1021">
            <v>-52.258228346456129</v>
          </cell>
          <cell r="F1021">
            <v>111.79688976378246</v>
          </cell>
          <cell r="G1021">
            <v>38.883503937007681</v>
          </cell>
          <cell r="H1021">
            <v>38.883503937007681</v>
          </cell>
          <cell r="I1021" t="e">
            <v>#N/A</v>
          </cell>
          <cell r="J1021" t="e">
            <v>#N/A</v>
          </cell>
          <cell r="K1021">
            <v>90</v>
          </cell>
          <cell r="L1021">
            <v>50</v>
          </cell>
          <cell r="M1021" t="e">
            <v>#N/A</v>
          </cell>
          <cell r="N1021">
            <v>80</v>
          </cell>
          <cell r="O1021" t="e">
            <v>#N/A</v>
          </cell>
          <cell r="P1021" t="str">
            <v/>
          </cell>
          <cell r="Q1021" t="str">
            <v/>
          </cell>
          <cell r="R1021" t="e">
            <v>#N/A</v>
          </cell>
        </row>
        <row r="1022">
          <cell r="A1022" t="str">
            <v/>
          </cell>
          <cell r="B1022" t="str">
            <v/>
          </cell>
          <cell r="C1022" t="str">
            <v>Future</v>
          </cell>
          <cell r="D1022" t="e">
            <v>#N/A</v>
          </cell>
          <cell r="E1022">
            <v>-52.508267716534867</v>
          </cell>
          <cell r="F1022">
            <v>111.90118110236514</v>
          </cell>
          <cell r="G1022">
            <v>38.830314960629728</v>
          </cell>
          <cell r="H1022">
            <v>38.830314960629728</v>
          </cell>
          <cell r="I1022" t="e">
            <v>#N/A</v>
          </cell>
          <cell r="J1022" t="e">
            <v>#N/A</v>
          </cell>
          <cell r="K1022">
            <v>90</v>
          </cell>
          <cell r="L1022">
            <v>50</v>
          </cell>
          <cell r="M1022" t="e">
            <v>#N/A</v>
          </cell>
          <cell r="N1022">
            <v>80</v>
          </cell>
          <cell r="O1022" t="e">
            <v>#N/A</v>
          </cell>
          <cell r="P1022" t="str">
            <v/>
          </cell>
          <cell r="Q1022" t="str">
            <v/>
          </cell>
          <cell r="R1022" t="e">
            <v>#N/A</v>
          </cell>
        </row>
        <row r="1023">
          <cell r="A1023" t="str">
            <v/>
          </cell>
          <cell r="B1023" t="str">
            <v/>
          </cell>
          <cell r="C1023" t="str">
            <v>Future</v>
          </cell>
          <cell r="D1023" t="e">
            <v>#N/A</v>
          </cell>
          <cell r="E1023">
            <v>-52.758307086613605</v>
          </cell>
          <cell r="F1023">
            <v>112.00547244094783</v>
          </cell>
          <cell r="G1023">
            <v>38.777125984251775</v>
          </cell>
          <cell r="H1023">
            <v>38.777125984251775</v>
          </cell>
          <cell r="I1023" t="e">
            <v>#N/A</v>
          </cell>
          <cell r="J1023" t="e">
            <v>#N/A</v>
          </cell>
          <cell r="K1023">
            <v>90</v>
          </cell>
          <cell r="L1023">
            <v>50</v>
          </cell>
          <cell r="M1023" t="e">
            <v>#N/A</v>
          </cell>
          <cell r="N1023">
            <v>80</v>
          </cell>
          <cell r="O1023" t="e">
            <v>#N/A</v>
          </cell>
          <cell r="P1023" t="str">
            <v/>
          </cell>
          <cell r="Q1023" t="str">
            <v/>
          </cell>
          <cell r="R1023" t="e">
            <v>#N/A</v>
          </cell>
        </row>
        <row r="1024">
          <cell r="A1024" t="str">
            <v/>
          </cell>
          <cell r="B1024" t="str">
            <v/>
          </cell>
          <cell r="C1024" t="str">
            <v>Future</v>
          </cell>
          <cell r="D1024" t="e">
            <v>#N/A</v>
          </cell>
          <cell r="E1024">
            <v>-53.008346456692344</v>
          </cell>
          <cell r="F1024">
            <v>112.10976377953051</v>
          </cell>
          <cell r="G1024">
            <v>38.723937007873822</v>
          </cell>
          <cell r="H1024">
            <v>38.723937007873822</v>
          </cell>
          <cell r="I1024" t="e">
            <v>#N/A</v>
          </cell>
          <cell r="J1024" t="e">
            <v>#N/A</v>
          </cell>
          <cell r="K1024">
            <v>90</v>
          </cell>
          <cell r="L1024">
            <v>50</v>
          </cell>
          <cell r="M1024" t="e">
            <v>#N/A</v>
          </cell>
          <cell r="N1024">
            <v>80</v>
          </cell>
          <cell r="O1024" t="e">
            <v>#N/A</v>
          </cell>
          <cell r="P1024" t="str">
            <v/>
          </cell>
          <cell r="Q1024" t="str">
            <v/>
          </cell>
          <cell r="R1024" t="e">
            <v>#N/A</v>
          </cell>
        </row>
        <row r="1025">
          <cell r="A1025" t="str">
            <v/>
          </cell>
          <cell r="B1025" t="str">
            <v/>
          </cell>
          <cell r="C1025" t="str">
            <v>Future</v>
          </cell>
          <cell r="D1025" t="e">
            <v>#N/A</v>
          </cell>
          <cell r="E1025">
            <v>-53.258385826771082</v>
          </cell>
          <cell r="F1025">
            <v>112.21405511811319</v>
          </cell>
          <cell r="G1025">
            <v>38.670748031495869</v>
          </cell>
          <cell r="H1025">
            <v>38.670748031495869</v>
          </cell>
          <cell r="I1025" t="e">
            <v>#N/A</v>
          </cell>
          <cell r="J1025" t="e">
            <v>#N/A</v>
          </cell>
          <cell r="K1025">
            <v>90</v>
          </cell>
          <cell r="L1025">
            <v>50</v>
          </cell>
          <cell r="M1025" t="e">
            <v>#N/A</v>
          </cell>
          <cell r="N1025">
            <v>80</v>
          </cell>
          <cell r="O1025" t="e">
            <v>#N/A</v>
          </cell>
          <cell r="P1025" t="str">
            <v/>
          </cell>
          <cell r="Q1025" t="str">
            <v/>
          </cell>
          <cell r="R1025" t="e">
            <v>#N/A</v>
          </cell>
        </row>
        <row r="1026">
          <cell r="A1026" t="str">
            <v/>
          </cell>
          <cell r="B1026" t="str">
            <v/>
          </cell>
          <cell r="C1026" t="str">
            <v>Future</v>
          </cell>
          <cell r="D1026" t="e">
            <v>#N/A</v>
          </cell>
          <cell r="E1026">
            <v>-53.508425196849821</v>
          </cell>
          <cell r="F1026">
            <v>112.31834645669588</v>
          </cell>
          <cell r="G1026">
            <v>38.617559055117916</v>
          </cell>
          <cell r="H1026">
            <v>38.617559055117916</v>
          </cell>
          <cell r="I1026" t="e">
            <v>#N/A</v>
          </cell>
          <cell r="J1026" t="e">
            <v>#N/A</v>
          </cell>
          <cell r="K1026">
            <v>90</v>
          </cell>
          <cell r="L1026">
            <v>50</v>
          </cell>
          <cell r="M1026" t="e">
            <v>#N/A</v>
          </cell>
          <cell r="N1026">
            <v>80</v>
          </cell>
          <cell r="O1026" t="e">
            <v>#N/A</v>
          </cell>
          <cell r="P1026" t="str">
            <v/>
          </cell>
          <cell r="Q1026" t="str">
            <v/>
          </cell>
          <cell r="R1026" t="e">
            <v>#N/A</v>
          </cell>
        </row>
        <row r="1027">
          <cell r="A1027" t="str">
            <v/>
          </cell>
          <cell r="B1027" t="str">
            <v/>
          </cell>
          <cell r="C1027" t="str">
            <v>Future</v>
          </cell>
          <cell r="D1027" t="e">
            <v>#N/A</v>
          </cell>
          <cell r="E1027">
            <v>-53.758464566928559</v>
          </cell>
          <cell r="F1027">
            <v>112.42263779527856</v>
          </cell>
          <cell r="G1027">
            <v>38.564370078739962</v>
          </cell>
          <cell r="H1027">
            <v>38.564370078739962</v>
          </cell>
          <cell r="I1027" t="e">
            <v>#N/A</v>
          </cell>
          <cell r="J1027" t="e">
            <v>#N/A</v>
          </cell>
          <cell r="K1027">
            <v>90</v>
          </cell>
          <cell r="L1027">
            <v>50</v>
          </cell>
          <cell r="M1027" t="e">
            <v>#N/A</v>
          </cell>
          <cell r="N1027">
            <v>80</v>
          </cell>
          <cell r="O1027" t="e">
            <v>#N/A</v>
          </cell>
          <cell r="P1027" t="str">
            <v/>
          </cell>
          <cell r="Q1027" t="str">
            <v/>
          </cell>
          <cell r="R1027" t="e">
            <v>#N/A</v>
          </cell>
        </row>
        <row r="1028">
          <cell r="A1028" t="str">
            <v/>
          </cell>
          <cell r="B1028" t="str">
            <v/>
          </cell>
          <cell r="C1028" t="str">
            <v>Future</v>
          </cell>
          <cell r="D1028" t="e">
            <v>#N/A</v>
          </cell>
          <cell r="E1028">
            <v>-54.008503937007298</v>
          </cell>
          <cell r="F1028">
            <v>112.52692913386124</v>
          </cell>
          <cell r="G1028">
            <v>38.511181102362009</v>
          </cell>
          <cell r="H1028">
            <v>38.511181102362009</v>
          </cell>
          <cell r="I1028" t="e">
            <v>#N/A</v>
          </cell>
          <cell r="J1028" t="e">
            <v>#N/A</v>
          </cell>
          <cell r="K1028">
            <v>90</v>
          </cell>
          <cell r="L1028">
            <v>50</v>
          </cell>
          <cell r="M1028" t="e">
            <v>#N/A</v>
          </cell>
          <cell r="N1028">
            <v>80</v>
          </cell>
          <cell r="O1028" t="e">
            <v>#N/A</v>
          </cell>
          <cell r="P1028" t="str">
            <v/>
          </cell>
          <cell r="Q1028" t="str">
            <v/>
          </cell>
          <cell r="R1028" t="e">
            <v>#N/A</v>
          </cell>
        </row>
        <row r="1029">
          <cell r="A1029" t="str">
            <v/>
          </cell>
          <cell r="B1029" t="str">
            <v/>
          </cell>
          <cell r="C1029" t="str">
            <v>Future</v>
          </cell>
          <cell r="D1029" t="e">
            <v>#N/A</v>
          </cell>
          <cell r="E1029">
            <v>-54.258543307086036</v>
          </cell>
          <cell r="F1029">
            <v>112.63122047244393</v>
          </cell>
          <cell r="G1029">
            <v>38.457992125984056</v>
          </cell>
          <cell r="H1029">
            <v>38.457992125984056</v>
          </cell>
          <cell r="I1029" t="e">
            <v>#N/A</v>
          </cell>
          <cell r="J1029" t="e">
            <v>#N/A</v>
          </cell>
          <cell r="K1029">
            <v>90</v>
          </cell>
          <cell r="L1029">
            <v>50</v>
          </cell>
          <cell r="M1029" t="e">
            <v>#N/A</v>
          </cell>
          <cell r="N1029">
            <v>80</v>
          </cell>
          <cell r="O1029" t="e">
            <v>#N/A</v>
          </cell>
          <cell r="P1029" t="str">
            <v/>
          </cell>
          <cell r="Q1029" t="str">
            <v/>
          </cell>
          <cell r="R1029" t="e">
            <v>#N/A</v>
          </cell>
        </row>
        <row r="1030">
          <cell r="A1030" t="str">
            <v/>
          </cell>
          <cell r="B1030" t="str">
            <v/>
          </cell>
          <cell r="C1030" t="str">
            <v>Future</v>
          </cell>
          <cell r="D1030" t="e">
            <v>#N/A</v>
          </cell>
          <cell r="E1030">
            <v>-54.508582677164775</v>
          </cell>
          <cell r="F1030">
            <v>112.73551181102661</v>
          </cell>
          <cell r="G1030">
            <v>38.404803149606103</v>
          </cell>
          <cell r="H1030">
            <v>38.404803149606103</v>
          </cell>
          <cell r="I1030" t="e">
            <v>#N/A</v>
          </cell>
          <cell r="J1030" t="e">
            <v>#N/A</v>
          </cell>
          <cell r="K1030">
            <v>90</v>
          </cell>
          <cell r="L1030">
            <v>50</v>
          </cell>
          <cell r="M1030" t="e">
            <v>#N/A</v>
          </cell>
          <cell r="N1030">
            <v>80</v>
          </cell>
          <cell r="O1030" t="e">
            <v>#N/A</v>
          </cell>
          <cell r="P1030" t="str">
            <v/>
          </cell>
          <cell r="Q1030" t="str">
            <v/>
          </cell>
          <cell r="R1030" t="e">
            <v>#N/A</v>
          </cell>
        </row>
        <row r="1031">
          <cell r="A1031" t="str">
            <v/>
          </cell>
          <cell r="B1031" t="str">
            <v/>
          </cell>
          <cell r="C1031" t="str">
            <v>Future</v>
          </cell>
          <cell r="D1031" t="e">
            <v>#N/A</v>
          </cell>
          <cell r="E1031">
            <v>-54.758622047243513</v>
          </cell>
          <cell r="F1031">
            <v>112.8398031496093</v>
          </cell>
          <cell r="G1031">
            <v>38.35161417322815</v>
          </cell>
          <cell r="H1031">
            <v>38.35161417322815</v>
          </cell>
          <cell r="I1031" t="e">
            <v>#N/A</v>
          </cell>
          <cell r="J1031" t="e">
            <v>#N/A</v>
          </cell>
          <cell r="K1031">
            <v>90</v>
          </cell>
          <cell r="L1031">
            <v>50</v>
          </cell>
          <cell r="M1031" t="e">
            <v>#N/A</v>
          </cell>
          <cell r="N1031">
            <v>80</v>
          </cell>
          <cell r="O1031" t="e">
            <v>#N/A</v>
          </cell>
          <cell r="P1031" t="str">
            <v/>
          </cell>
          <cell r="Q1031" t="str">
            <v/>
          </cell>
          <cell r="R1031" t="e">
            <v>#N/A</v>
          </cell>
        </row>
        <row r="1032">
          <cell r="A1032" t="str">
            <v/>
          </cell>
          <cell r="B1032" t="str">
            <v/>
          </cell>
          <cell r="C1032" t="str">
            <v>Future</v>
          </cell>
          <cell r="D1032" t="e">
            <v>#N/A</v>
          </cell>
          <cell r="E1032">
            <v>-55.008661417322251</v>
          </cell>
          <cell r="F1032">
            <v>112.94409448819198</v>
          </cell>
          <cell r="G1032">
            <v>38.298425196850197</v>
          </cell>
          <cell r="H1032">
            <v>38.298425196850197</v>
          </cell>
          <cell r="I1032" t="e">
            <v>#N/A</v>
          </cell>
          <cell r="J1032" t="e">
            <v>#N/A</v>
          </cell>
          <cell r="K1032">
            <v>90</v>
          </cell>
          <cell r="L1032">
            <v>50</v>
          </cell>
          <cell r="M1032" t="e">
            <v>#N/A</v>
          </cell>
          <cell r="N1032">
            <v>80</v>
          </cell>
          <cell r="O1032" t="e">
            <v>#N/A</v>
          </cell>
          <cell r="P1032" t="str">
            <v/>
          </cell>
          <cell r="Q1032" t="str">
            <v/>
          </cell>
          <cell r="R1032" t="e">
            <v>#N/A</v>
          </cell>
        </row>
        <row r="1033">
          <cell r="A1033" t="str">
            <v/>
          </cell>
          <cell r="B1033" t="str">
            <v/>
          </cell>
          <cell r="C1033" t="str">
            <v>Future</v>
          </cell>
          <cell r="D1033" t="e">
            <v>#N/A</v>
          </cell>
          <cell r="E1033">
            <v>-55.25870078740099</v>
          </cell>
          <cell r="F1033">
            <v>113.04838582677466</v>
          </cell>
          <cell r="G1033">
            <v>38.245236220472243</v>
          </cell>
          <cell r="H1033">
            <v>38.245236220472243</v>
          </cell>
          <cell r="I1033" t="e">
            <v>#N/A</v>
          </cell>
          <cell r="J1033" t="e">
            <v>#N/A</v>
          </cell>
          <cell r="K1033">
            <v>90</v>
          </cell>
          <cell r="L1033">
            <v>50</v>
          </cell>
          <cell r="M1033" t="e">
            <v>#N/A</v>
          </cell>
          <cell r="N1033">
            <v>80</v>
          </cell>
          <cell r="O1033" t="e">
            <v>#N/A</v>
          </cell>
          <cell r="P1033" t="str">
            <v/>
          </cell>
          <cell r="Q1033" t="str">
            <v/>
          </cell>
          <cell r="R1033" t="e">
            <v>#N/A</v>
          </cell>
        </row>
        <row r="1034">
          <cell r="A1034" t="str">
            <v/>
          </cell>
          <cell r="B1034" t="str">
            <v/>
          </cell>
          <cell r="C1034" t="str">
            <v>Future</v>
          </cell>
          <cell r="D1034" t="e">
            <v>#N/A</v>
          </cell>
          <cell r="E1034">
            <v>-55.508740157479728</v>
          </cell>
          <cell r="F1034">
            <v>113.15267716535735</v>
          </cell>
          <cell r="G1034">
            <v>38.19204724409429</v>
          </cell>
          <cell r="H1034">
            <v>38.19204724409429</v>
          </cell>
          <cell r="I1034" t="e">
            <v>#N/A</v>
          </cell>
          <cell r="J1034" t="e">
            <v>#N/A</v>
          </cell>
          <cell r="K1034">
            <v>90</v>
          </cell>
          <cell r="L1034">
            <v>50</v>
          </cell>
          <cell r="M1034" t="e">
            <v>#N/A</v>
          </cell>
          <cell r="N1034">
            <v>80</v>
          </cell>
          <cell r="O1034" t="e">
            <v>#N/A</v>
          </cell>
          <cell r="P1034" t="str">
            <v/>
          </cell>
          <cell r="Q1034" t="str">
            <v/>
          </cell>
          <cell r="R1034" t="e">
            <v>#N/A</v>
          </cell>
        </row>
        <row r="1035">
          <cell r="A1035" t="str">
            <v/>
          </cell>
          <cell r="B1035" t="str">
            <v/>
          </cell>
          <cell r="C1035" t="str">
            <v>Future</v>
          </cell>
          <cell r="D1035" t="e">
            <v>#N/A</v>
          </cell>
          <cell r="E1035">
            <v>-55.758779527558467</v>
          </cell>
          <cell r="F1035">
            <v>113.25696850394003</v>
          </cell>
          <cell r="G1035">
            <v>38.138858267716337</v>
          </cell>
          <cell r="H1035">
            <v>38.138858267716337</v>
          </cell>
          <cell r="I1035" t="e">
            <v>#N/A</v>
          </cell>
          <cell r="J1035" t="e">
            <v>#N/A</v>
          </cell>
          <cell r="K1035">
            <v>90</v>
          </cell>
          <cell r="L1035">
            <v>50</v>
          </cell>
          <cell r="M1035" t="e">
            <v>#N/A</v>
          </cell>
          <cell r="N1035">
            <v>80</v>
          </cell>
          <cell r="O1035" t="e">
            <v>#N/A</v>
          </cell>
          <cell r="P1035" t="str">
            <v/>
          </cell>
          <cell r="Q1035" t="str">
            <v/>
          </cell>
          <cell r="R1035" t="e">
            <v>#N/A</v>
          </cell>
        </row>
        <row r="1036">
          <cell r="A1036" t="str">
            <v/>
          </cell>
          <cell r="B1036" t="str">
            <v/>
          </cell>
          <cell r="C1036" t="str">
            <v>Future</v>
          </cell>
          <cell r="D1036" t="e">
            <v>#N/A</v>
          </cell>
          <cell r="E1036">
            <v>-56.008818897637205</v>
          </cell>
          <cell r="F1036">
            <v>113.36125984252271</v>
          </cell>
          <cell r="G1036">
            <v>38.085669291338384</v>
          </cell>
          <cell r="H1036">
            <v>38.085669291338384</v>
          </cell>
          <cell r="I1036" t="e">
            <v>#N/A</v>
          </cell>
          <cell r="J1036" t="e">
            <v>#N/A</v>
          </cell>
          <cell r="K1036">
            <v>90</v>
          </cell>
          <cell r="L1036">
            <v>50</v>
          </cell>
          <cell r="M1036" t="e">
            <v>#N/A</v>
          </cell>
          <cell r="N1036">
            <v>80</v>
          </cell>
          <cell r="O1036" t="e">
            <v>#N/A</v>
          </cell>
          <cell r="P1036" t="str">
            <v/>
          </cell>
          <cell r="Q1036" t="str">
            <v/>
          </cell>
          <cell r="R1036" t="e">
            <v>#N/A</v>
          </cell>
        </row>
        <row r="1037">
          <cell r="A1037" t="str">
            <v/>
          </cell>
          <cell r="B1037" t="str">
            <v/>
          </cell>
          <cell r="C1037" t="str">
            <v>Future</v>
          </cell>
          <cell r="D1037" t="e">
            <v>#N/A</v>
          </cell>
          <cell r="E1037">
            <v>-56.258858267715944</v>
          </cell>
          <cell r="F1037">
            <v>113.4655511811054</v>
          </cell>
          <cell r="G1037">
            <v>38.032480314960431</v>
          </cell>
          <cell r="H1037">
            <v>38.032480314960431</v>
          </cell>
          <cell r="I1037" t="e">
            <v>#N/A</v>
          </cell>
          <cell r="J1037" t="e">
            <v>#N/A</v>
          </cell>
          <cell r="K1037">
            <v>90</v>
          </cell>
          <cell r="L1037">
            <v>50</v>
          </cell>
          <cell r="M1037" t="e">
            <v>#N/A</v>
          </cell>
          <cell r="N1037">
            <v>80</v>
          </cell>
          <cell r="O1037" t="e">
            <v>#N/A</v>
          </cell>
          <cell r="P1037" t="str">
            <v/>
          </cell>
          <cell r="Q1037" t="str">
            <v/>
          </cell>
          <cell r="R1037" t="e">
            <v>#N/A</v>
          </cell>
        </row>
        <row r="1038">
          <cell r="A1038" t="str">
            <v/>
          </cell>
          <cell r="B1038" t="str">
            <v/>
          </cell>
          <cell r="C1038" t="str">
            <v>Future</v>
          </cell>
          <cell r="D1038" t="e">
            <v>#N/A</v>
          </cell>
          <cell r="E1038">
            <v>-56.508897637794682</v>
          </cell>
          <cell r="F1038">
            <v>113.56984251968808</v>
          </cell>
          <cell r="G1038">
            <v>37.979291338582478</v>
          </cell>
          <cell r="H1038">
            <v>37.979291338582478</v>
          </cell>
          <cell r="I1038" t="e">
            <v>#N/A</v>
          </cell>
          <cell r="J1038" t="e">
            <v>#N/A</v>
          </cell>
          <cell r="K1038">
            <v>90</v>
          </cell>
          <cell r="L1038">
            <v>50</v>
          </cell>
          <cell r="M1038" t="e">
            <v>#N/A</v>
          </cell>
          <cell r="N1038">
            <v>80</v>
          </cell>
          <cell r="O1038" t="e">
            <v>#N/A</v>
          </cell>
          <cell r="P1038" t="str">
            <v/>
          </cell>
          <cell r="Q1038" t="str">
            <v/>
          </cell>
          <cell r="R1038" t="e">
            <v>#N/A</v>
          </cell>
        </row>
        <row r="1039">
          <cell r="A1039" t="str">
            <v/>
          </cell>
          <cell r="B1039" t="str">
            <v/>
          </cell>
          <cell r="C1039" t="str">
            <v>Future</v>
          </cell>
          <cell r="D1039" t="e">
            <v>#N/A</v>
          </cell>
          <cell r="E1039">
            <v>-56.758937007873421</v>
          </cell>
          <cell r="F1039">
            <v>113.67413385827076</v>
          </cell>
          <cell r="G1039">
            <v>37.926102362204524</v>
          </cell>
          <cell r="H1039">
            <v>37.926102362204524</v>
          </cell>
          <cell r="I1039" t="e">
            <v>#N/A</v>
          </cell>
          <cell r="J1039" t="e">
            <v>#N/A</v>
          </cell>
          <cell r="K1039">
            <v>90</v>
          </cell>
          <cell r="L1039">
            <v>50</v>
          </cell>
          <cell r="M1039" t="e">
            <v>#N/A</v>
          </cell>
          <cell r="N1039">
            <v>80</v>
          </cell>
          <cell r="O1039" t="e">
            <v>#N/A</v>
          </cell>
          <cell r="P1039" t="str">
            <v/>
          </cell>
          <cell r="Q1039" t="str">
            <v/>
          </cell>
          <cell r="R1039" t="e">
            <v>#N/A</v>
          </cell>
        </row>
        <row r="1040">
          <cell r="A1040" t="str">
            <v/>
          </cell>
          <cell r="B1040" t="str">
            <v/>
          </cell>
          <cell r="C1040" t="str">
            <v>Future</v>
          </cell>
          <cell r="D1040" t="e">
            <v>#N/A</v>
          </cell>
          <cell r="E1040">
            <v>-57.008976377952159</v>
          </cell>
          <cell r="F1040">
            <v>113.77842519685345</v>
          </cell>
          <cell r="G1040">
            <v>37.872913385826571</v>
          </cell>
          <cell r="H1040">
            <v>37.872913385826571</v>
          </cell>
          <cell r="I1040" t="e">
            <v>#N/A</v>
          </cell>
          <cell r="J1040" t="e">
            <v>#N/A</v>
          </cell>
          <cell r="K1040">
            <v>90</v>
          </cell>
          <cell r="L1040">
            <v>50</v>
          </cell>
          <cell r="M1040" t="e">
            <v>#N/A</v>
          </cell>
          <cell r="N1040">
            <v>80</v>
          </cell>
          <cell r="O1040" t="e">
            <v>#N/A</v>
          </cell>
          <cell r="P1040" t="str">
            <v/>
          </cell>
          <cell r="Q1040" t="str">
            <v/>
          </cell>
          <cell r="R1040" t="e">
            <v>#N/A</v>
          </cell>
        </row>
        <row r="1041">
          <cell r="A1041" t="str">
            <v/>
          </cell>
          <cell r="B1041" t="str">
            <v/>
          </cell>
          <cell r="C1041" t="str">
            <v>Future</v>
          </cell>
          <cell r="D1041" t="e">
            <v>#N/A</v>
          </cell>
          <cell r="E1041">
            <v>-57.259015748030897</v>
          </cell>
          <cell r="F1041">
            <v>113.88271653543613</v>
          </cell>
          <cell r="G1041">
            <v>37.819724409448618</v>
          </cell>
          <cell r="H1041">
            <v>37.819724409448618</v>
          </cell>
          <cell r="I1041" t="e">
            <v>#N/A</v>
          </cell>
          <cell r="J1041" t="e">
            <v>#N/A</v>
          </cell>
          <cell r="K1041">
            <v>90</v>
          </cell>
          <cell r="L1041">
            <v>50</v>
          </cell>
          <cell r="M1041" t="e">
            <v>#N/A</v>
          </cell>
          <cell r="N1041">
            <v>80</v>
          </cell>
          <cell r="O1041" t="e">
            <v>#N/A</v>
          </cell>
          <cell r="P1041" t="str">
            <v/>
          </cell>
          <cell r="Q1041" t="str">
            <v/>
          </cell>
          <cell r="R1041" t="e">
            <v>#N/A</v>
          </cell>
        </row>
        <row r="1042">
          <cell r="A1042" t="str">
            <v/>
          </cell>
          <cell r="B1042" t="str">
            <v/>
          </cell>
          <cell r="C1042" t="str">
            <v>Future</v>
          </cell>
          <cell r="D1042" t="e">
            <v>#N/A</v>
          </cell>
          <cell r="E1042">
            <v>-57.509055118109636</v>
          </cell>
          <cell r="F1042">
            <v>113.98700787401881</v>
          </cell>
          <cell r="G1042">
            <v>37.766535433070665</v>
          </cell>
          <cell r="H1042">
            <v>37.766535433070665</v>
          </cell>
          <cell r="I1042" t="e">
            <v>#N/A</v>
          </cell>
          <cell r="J1042" t="e">
            <v>#N/A</v>
          </cell>
          <cell r="K1042">
            <v>90</v>
          </cell>
          <cell r="L1042">
            <v>50</v>
          </cell>
          <cell r="M1042" t="e">
            <v>#N/A</v>
          </cell>
          <cell r="N1042">
            <v>80</v>
          </cell>
          <cell r="O1042" t="e">
            <v>#N/A</v>
          </cell>
          <cell r="P1042" t="str">
            <v/>
          </cell>
          <cell r="Q1042" t="str">
            <v/>
          </cell>
          <cell r="R1042" t="e">
            <v>#N/A</v>
          </cell>
        </row>
        <row r="1043">
          <cell r="A1043" t="str">
            <v/>
          </cell>
          <cell r="B1043" t="str">
            <v/>
          </cell>
          <cell r="C1043" t="str">
            <v>Future</v>
          </cell>
          <cell r="D1043" t="e">
            <v>#N/A</v>
          </cell>
          <cell r="E1043">
            <v>-57.759094488188374</v>
          </cell>
          <cell r="F1043">
            <v>114.0912992126015</v>
          </cell>
          <cell r="G1043">
            <v>37.713346456692712</v>
          </cell>
          <cell r="H1043">
            <v>37.713346456692712</v>
          </cell>
          <cell r="I1043" t="e">
            <v>#N/A</v>
          </cell>
          <cell r="J1043" t="e">
            <v>#N/A</v>
          </cell>
          <cell r="K1043">
            <v>90</v>
          </cell>
          <cell r="L1043">
            <v>50</v>
          </cell>
          <cell r="M1043" t="e">
            <v>#N/A</v>
          </cell>
          <cell r="N1043">
            <v>80</v>
          </cell>
          <cell r="O1043" t="e">
            <v>#N/A</v>
          </cell>
          <cell r="P1043" t="str">
            <v/>
          </cell>
          <cell r="Q1043" t="str">
            <v/>
          </cell>
          <cell r="R1043" t="e">
            <v>#N/A</v>
          </cell>
        </row>
        <row r="1044">
          <cell r="A1044" t="str">
            <v/>
          </cell>
          <cell r="B1044" t="str">
            <v/>
          </cell>
          <cell r="C1044" t="str">
            <v>Future</v>
          </cell>
          <cell r="D1044" t="e">
            <v>#N/A</v>
          </cell>
          <cell r="E1044">
            <v>-58.009133858267113</v>
          </cell>
          <cell r="F1044">
            <v>114.19559055118418</v>
          </cell>
          <cell r="G1044">
            <v>37.660157480314759</v>
          </cell>
          <cell r="H1044">
            <v>37.660157480314759</v>
          </cell>
          <cell r="I1044" t="e">
            <v>#N/A</v>
          </cell>
          <cell r="J1044" t="e">
            <v>#N/A</v>
          </cell>
          <cell r="K1044">
            <v>90</v>
          </cell>
          <cell r="L1044">
            <v>50</v>
          </cell>
          <cell r="M1044" t="e">
            <v>#N/A</v>
          </cell>
          <cell r="N1044">
            <v>80</v>
          </cell>
          <cell r="O1044" t="e">
            <v>#N/A</v>
          </cell>
          <cell r="P1044" t="str">
            <v/>
          </cell>
          <cell r="Q1044" t="str">
            <v/>
          </cell>
          <cell r="R1044" t="e">
            <v>#N/A</v>
          </cell>
        </row>
        <row r="1045">
          <cell r="A1045" t="str">
            <v/>
          </cell>
          <cell r="B1045" t="str">
            <v/>
          </cell>
          <cell r="C1045" t="str">
            <v>Future</v>
          </cell>
          <cell r="D1045" t="e">
            <v>#N/A</v>
          </cell>
          <cell r="E1045">
            <v>-58.259173228345851</v>
          </cell>
          <cell r="F1045">
            <v>114.29988188976687</v>
          </cell>
          <cell r="G1045">
            <v>37.606968503936805</v>
          </cell>
          <cell r="H1045">
            <v>37.606968503936805</v>
          </cell>
          <cell r="I1045" t="e">
            <v>#N/A</v>
          </cell>
          <cell r="J1045" t="e">
            <v>#N/A</v>
          </cell>
          <cell r="K1045">
            <v>90</v>
          </cell>
          <cell r="L1045">
            <v>50</v>
          </cell>
          <cell r="M1045" t="e">
            <v>#N/A</v>
          </cell>
          <cell r="N1045">
            <v>80</v>
          </cell>
          <cell r="O1045" t="e">
            <v>#N/A</v>
          </cell>
          <cell r="P1045" t="str">
            <v/>
          </cell>
          <cell r="Q1045" t="str">
            <v/>
          </cell>
          <cell r="R1045" t="e">
            <v>#N/A</v>
          </cell>
        </row>
        <row r="1046">
          <cell r="A1046" t="str">
            <v/>
          </cell>
          <cell r="B1046" t="str">
            <v/>
          </cell>
          <cell r="C1046" t="str">
            <v>Future</v>
          </cell>
          <cell r="D1046" t="e">
            <v>#N/A</v>
          </cell>
          <cell r="E1046">
            <v>-58.50921259842459</v>
          </cell>
          <cell r="F1046">
            <v>114.40417322834955</v>
          </cell>
          <cell r="G1046">
            <v>37.553779527558852</v>
          </cell>
          <cell r="H1046">
            <v>37.553779527558852</v>
          </cell>
          <cell r="I1046" t="e">
            <v>#N/A</v>
          </cell>
          <cell r="J1046" t="e">
            <v>#N/A</v>
          </cell>
          <cell r="K1046">
            <v>90</v>
          </cell>
          <cell r="L1046">
            <v>50</v>
          </cell>
          <cell r="M1046" t="e">
            <v>#N/A</v>
          </cell>
          <cell r="N1046">
            <v>80</v>
          </cell>
          <cell r="O1046" t="e">
            <v>#N/A</v>
          </cell>
          <cell r="P1046" t="str">
            <v/>
          </cell>
          <cell r="Q1046" t="str">
            <v/>
          </cell>
          <cell r="R1046" t="e">
            <v>#N/A</v>
          </cell>
        </row>
        <row r="1047">
          <cell r="A1047" t="str">
            <v/>
          </cell>
          <cell r="B1047" t="str">
            <v/>
          </cell>
          <cell r="C1047" t="str">
            <v>Future</v>
          </cell>
          <cell r="D1047" t="e">
            <v>#N/A</v>
          </cell>
          <cell r="E1047">
            <v>-58.759251968503328</v>
          </cell>
          <cell r="F1047">
            <v>114.50846456693223</v>
          </cell>
          <cell r="G1047">
            <v>37.500590551180899</v>
          </cell>
          <cell r="H1047">
            <v>37.500590551180899</v>
          </cell>
          <cell r="I1047" t="e">
            <v>#N/A</v>
          </cell>
          <cell r="J1047" t="e">
            <v>#N/A</v>
          </cell>
          <cell r="K1047">
            <v>90</v>
          </cell>
          <cell r="L1047">
            <v>50</v>
          </cell>
          <cell r="M1047" t="e">
            <v>#N/A</v>
          </cell>
          <cell r="N1047">
            <v>80</v>
          </cell>
          <cell r="O1047" t="e">
            <v>#N/A</v>
          </cell>
          <cell r="P1047" t="str">
            <v/>
          </cell>
          <cell r="Q1047" t="str">
            <v/>
          </cell>
          <cell r="R1047" t="e">
            <v>#N/A</v>
          </cell>
        </row>
        <row r="1048">
          <cell r="A1048" t="str">
            <v/>
          </cell>
          <cell r="B1048" t="str">
            <v/>
          </cell>
          <cell r="C1048" t="str">
            <v>Future</v>
          </cell>
          <cell r="D1048" t="e">
            <v>#N/A</v>
          </cell>
          <cell r="E1048">
            <v>-59.009291338582067</v>
          </cell>
          <cell r="F1048">
            <v>114.61275590551492</v>
          </cell>
          <cell r="G1048">
            <v>37.447401574802946</v>
          </cell>
          <cell r="H1048">
            <v>37.447401574802946</v>
          </cell>
          <cell r="I1048" t="e">
            <v>#N/A</v>
          </cell>
          <cell r="J1048" t="e">
            <v>#N/A</v>
          </cell>
          <cell r="K1048">
            <v>90</v>
          </cell>
          <cell r="L1048">
            <v>50</v>
          </cell>
          <cell r="M1048" t="e">
            <v>#N/A</v>
          </cell>
          <cell r="N1048">
            <v>80</v>
          </cell>
          <cell r="O1048" t="e">
            <v>#N/A</v>
          </cell>
          <cell r="P1048" t="str">
            <v/>
          </cell>
          <cell r="Q1048" t="str">
            <v/>
          </cell>
          <cell r="R1048" t="e">
            <v>#N/A</v>
          </cell>
        </row>
        <row r="1049">
          <cell r="A1049" t="str">
            <v/>
          </cell>
          <cell r="B1049" t="str">
            <v/>
          </cell>
          <cell r="C1049" t="str">
            <v>Future</v>
          </cell>
          <cell r="D1049" t="e">
            <v>#N/A</v>
          </cell>
          <cell r="E1049">
            <v>-59.259330708660805</v>
          </cell>
          <cell r="F1049">
            <v>114.7170472440976</v>
          </cell>
          <cell r="G1049">
            <v>37.394212598424993</v>
          </cell>
          <cell r="H1049">
            <v>37.394212598424993</v>
          </cell>
          <cell r="I1049" t="e">
            <v>#N/A</v>
          </cell>
          <cell r="J1049" t="e">
            <v>#N/A</v>
          </cell>
          <cell r="K1049">
            <v>90</v>
          </cell>
          <cell r="L1049">
            <v>50</v>
          </cell>
          <cell r="M1049" t="e">
            <v>#N/A</v>
          </cell>
          <cell r="N1049">
            <v>80</v>
          </cell>
          <cell r="O1049" t="e">
            <v>#N/A</v>
          </cell>
          <cell r="P1049" t="str">
            <v/>
          </cell>
          <cell r="Q1049" t="str">
            <v/>
          </cell>
          <cell r="R1049" t="e">
            <v>#N/A</v>
          </cell>
        </row>
        <row r="1050">
          <cell r="A1050" t="str">
            <v/>
          </cell>
          <cell r="B1050" t="str">
            <v/>
          </cell>
          <cell r="C1050" t="str">
            <v>Future</v>
          </cell>
          <cell r="D1050" t="e">
            <v>#N/A</v>
          </cell>
          <cell r="E1050">
            <v>-59.509370078739543</v>
          </cell>
          <cell r="F1050">
            <v>114.82133858268028</v>
          </cell>
          <cell r="G1050">
            <v>37.34102362204704</v>
          </cell>
          <cell r="H1050">
            <v>37.34102362204704</v>
          </cell>
          <cell r="I1050" t="e">
            <v>#N/A</v>
          </cell>
          <cell r="J1050" t="e">
            <v>#N/A</v>
          </cell>
          <cell r="K1050">
            <v>90</v>
          </cell>
          <cell r="L1050">
            <v>50</v>
          </cell>
          <cell r="M1050" t="e">
            <v>#N/A</v>
          </cell>
          <cell r="N1050">
            <v>80</v>
          </cell>
          <cell r="O1050" t="e">
            <v>#N/A</v>
          </cell>
          <cell r="P1050" t="str">
            <v/>
          </cell>
          <cell r="Q1050" t="str">
            <v/>
          </cell>
          <cell r="R1050" t="e">
            <v>#N/A</v>
          </cell>
        </row>
        <row r="1051">
          <cell r="A1051" t="str">
            <v/>
          </cell>
          <cell r="B1051" t="str">
            <v/>
          </cell>
          <cell r="C1051" t="str">
            <v>Future</v>
          </cell>
          <cell r="D1051" t="e">
            <v>#N/A</v>
          </cell>
          <cell r="E1051">
            <v>-59.759409448818282</v>
          </cell>
          <cell r="F1051">
            <v>114.92562992126297</v>
          </cell>
          <cell r="G1051">
            <v>37.287834645669086</v>
          </cell>
          <cell r="H1051">
            <v>37.287834645669086</v>
          </cell>
          <cell r="I1051" t="e">
            <v>#N/A</v>
          </cell>
          <cell r="J1051" t="e">
            <v>#N/A</v>
          </cell>
          <cell r="K1051">
            <v>90</v>
          </cell>
          <cell r="L1051">
            <v>50</v>
          </cell>
          <cell r="M1051" t="e">
            <v>#N/A</v>
          </cell>
          <cell r="N1051">
            <v>80</v>
          </cell>
          <cell r="O1051" t="e">
            <v>#N/A</v>
          </cell>
          <cell r="P1051" t="str">
            <v/>
          </cell>
          <cell r="Q1051" t="str">
            <v/>
          </cell>
          <cell r="R1051" t="e">
            <v>#N/A</v>
          </cell>
        </row>
        <row r="1052">
          <cell r="A1052" t="str">
            <v/>
          </cell>
          <cell r="B1052" t="str">
            <v/>
          </cell>
          <cell r="C1052" t="str">
            <v>Future</v>
          </cell>
          <cell r="D1052" t="e">
            <v>#N/A</v>
          </cell>
          <cell r="E1052">
            <v>-60.00944881889702</v>
          </cell>
          <cell r="F1052">
            <v>115.02992125984565</v>
          </cell>
          <cell r="G1052">
            <v>37.234645669291133</v>
          </cell>
          <cell r="H1052">
            <v>37.234645669291133</v>
          </cell>
          <cell r="I1052" t="e">
            <v>#N/A</v>
          </cell>
          <cell r="J1052" t="e">
            <v>#N/A</v>
          </cell>
          <cell r="K1052">
            <v>90</v>
          </cell>
          <cell r="L1052">
            <v>50</v>
          </cell>
          <cell r="M1052" t="e">
            <v>#N/A</v>
          </cell>
          <cell r="N1052">
            <v>80</v>
          </cell>
          <cell r="O1052" t="e">
            <v>#N/A</v>
          </cell>
          <cell r="P1052" t="str">
            <v/>
          </cell>
          <cell r="Q1052" t="str">
            <v/>
          </cell>
          <cell r="R1052" t="e">
            <v>#N/A</v>
          </cell>
        </row>
        <row r="1053">
          <cell r="A1053" t="str">
            <v/>
          </cell>
          <cell r="B1053" t="str">
            <v/>
          </cell>
          <cell r="C1053" t="str">
            <v>Future</v>
          </cell>
          <cell r="D1053" t="e">
            <v>#N/A</v>
          </cell>
          <cell r="E1053">
            <v>-60.259488188975759</v>
          </cell>
          <cell r="F1053">
            <v>115.13421259842833</v>
          </cell>
          <cell r="G1053">
            <v>37.18145669291318</v>
          </cell>
          <cell r="H1053">
            <v>37.18145669291318</v>
          </cell>
          <cell r="I1053" t="e">
            <v>#N/A</v>
          </cell>
          <cell r="J1053" t="e">
            <v>#N/A</v>
          </cell>
          <cell r="K1053">
            <v>90</v>
          </cell>
          <cell r="L1053">
            <v>50</v>
          </cell>
          <cell r="M1053" t="e">
            <v>#N/A</v>
          </cell>
          <cell r="N1053">
            <v>80</v>
          </cell>
          <cell r="O1053" t="e">
            <v>#N/A</v>
          </cell>
          <cell r="P1053" t="str">
            <v/>
          </cell>
          <cell r="Q1053" t="str">
            <v/>
          </cell>
          <cell r="R1053" t="e">
            <v>#N/A</v>
          </cell>
        </row>
        <row r="1054">
          <cell r="A1054" t="str">
            <v/>
          </cell>
          <cell r="B1054" t="str">
            <v/>
          </cell>
          <cell r="C1054" t="str">
            <v>Future</v>
          </cell>
          <cell r="D1054" t="e">
            <v>#N/A</v>
          </cell>
          <cell r="E1054">
            <v>-60.509527559054497</v>
          </cell>
          <cell r="F1054">
            <v>115.23850393701102</v>
          </cell>
          <cell r="G1054">
            <v>37.128267716535227</v>
          </cell>
          <cell r="H1054">
            <v>37.128267716535227</v>
          </cell>
          <cell r="I1054" t="e">
            <v>#N/A</v>
          </cell>
          <cell r="J1054" t="e">
            <v>#N/A</v>
          </cell>
          <cell r="K1054">
            <v>90</v>
          </cell>
          <cell r="L1054">
            <v>50</v>
          </cell>
          <cell r="M1054" t="e">
            <v>#N/A</v>
          </cell>
          <cell r="N1054">
            <v>80</v>
          </cell>
          <cell r="O1054" t="e">
            <v>#N/A</v>
          </cell>
          <cell r="P1054" t="str">
            <v/>
          </cell>
          <cell r="Q1054" t="str">
            <v/>
          </cell>
          <cell r="R1054" t="e">
            <v>#N/A</v>
          </cell>
        </row>
        <row r="1055">
          <cell r="A1055" t="str">
            <v/>
          </cell>
          <cell r="B1055" t="str">
            <v/>
          </cell>
          <cell r="C1055" t="str">
            <v>Future</v>
          </cell>
          <cell r="D1055" t="e">
            <v>#N/A</v>
          </cell>
          <cell r="E1055">
            <v>-60.759566929133236</v>
          </cell>
          <cell r="F1055">
            <v>115.3427952755937</v>
          </cell>
          <cell r="G1055">
            <v>37.075078740157274</v>
          </cell>
          <cell r="H1055">
            <v>37.075078740157274</v>
          </cell>
          <cell r="I1055" t="e">
            <v>#N/A</v>
          </cell>
          <cell r="J1055" t="e">
            <v>#N/A</v>
          </cell>
          <cell r="K1055">
            <v>90</v>
          </cell>
          <cell r="L1055">
            <v>50</v>
          </cell>
          <cell r="M1055" t="e">
            <v>#N/A</v>
          </cell>
          <cell r="N1055">
            <v>80</v>
          </cell>
          <cell r="O1055" t="e">
            <v>#N/A</v>
          </cell>
          <cell r="P1055" t="str">
            <v/>
          </cell>
          <cell r="Q1055" t="str">
            <v/>
          </cell>
          <cell r="R1055" t="e">
            <v>#N/A</v>
          </cell>
        </row>
        <row r="1056">
          <cell r="A1056" t="str">
            <v/>
          </cell>
          <cell r="B1056" t="str">
            <v/>
          </cell>
          <cell r="C1056" t="str">
            <v>Future</v>
          </cell>
          <cell r="D1056" t="e">
            <v>#N/A</v>
          </cell>
          <cell r="E1056">
            <v>-61.009606299211974</v>
          </cell>
          <cell r="F1056">
            <v>115.44708661417638</v>
          </cell>
          <cell r="G1056">
            <v>37.021889763779321</v>
          </cell>
          <cell r="H1056">
            <v>37.021889763779321</v>
          </cell>
          <cell r="I1056" t="e">
            <v>#N/A</v>
          </cell>
          <cell r="J1056" t="e">
            <v>#N/A</v>
          </cell>
          <cell r="K1056">
            <v>90</v>
          </cell>
          <cell r="L1056">
            <v>50</v>
          </cell>
          <cell r="M1056" t="e">
            <v>#N/A</v>
          </cell>
          <cell r="N1056">
            <v>80</v>
          </cell>
          <cell r="O1056" t="e">
            <v>#N/A</v>
          </cell>
          <cell r="P1056" t="str">
            <v/>
          </cell>
          <cell r="Q1056" t="str">
            <v/>
          </cell>
          <cell r="R1056" t="e">
            <v>#N/A</v>
          </cell>
        </row>
        <row r="1057">
          <cell r="A1057" t="str">
            <v/>
          </cell>
          <cell r="B1057" t="str">
            <v/>
          </cell>
          <cell r="C1057" t="str">
            <v>Future</v>
          </cell>
          <cell r="D1057" t="e">
            <v>#N/A</v>
          </cell>
          <cell r="E1057">
            <v>-61.259645669290713</v>
          </cell>
          <cell r="F1057">
            <v>115.55137795275907</v>
          </cell>
          <cell r="G1057">
            <v>36.968700787401367</v>
          </cell>
          <cell r="H1057">
            <v>36.968700787401367</v>
          </cell>
          <cell r="I1057" t="e">
            <v>#N/A</v>
          </cell>
          <cell r="J1057" t="e">
            <v>#N/A</v>
          </cell>
          <cell r="K1057">
            <v>90</v>
          </cell>
          <cell r="L1057">
            <v>50</v>
          </cell>
          <cell r="M1057" t="e">
            <v>#N/A</v>
          </cell>
          <cell r="N1057">
            <v>80</v>
          </cell>
          <cell r="O1057" t="e">
            <v>#N/A</v>
          </cell>
          <cell r="P1057" t="str">
            <v/>
          </cell>
          <cell r="Q1057" t="str">
            <v/>
          </cell>
          <cell r="R1057" t="e">
            <v>#N/A</v>
          </cell>
        </row>
        <row r="1058">
          <cell r="A1058" t="str">
            <v/>
          </cell>
          <cell r="B1058" t="str">
            <v/>
          </cell>
          <cell r="C1058" t="str">
            <v>Future</v>
          </cell>
          <cell r="D1058" t="e">
            <v>#N/A</v>
          </cell>
          <cell r="E1058">
            <v>-61.509685039369451</v>
          </cell>
          <cell r="F1058">
            <v>115.65566929134175</v>
          </cell>
          <cell r="G1058">
            <v>36.915511811023414</v>
          </cell>
          <cell r="H1058">
            <v>36.915511811023414</v>
          </cell>
          <cell r="I1058" t="e">
            <v>#N/A</v>
          </cell>
          <cell r="J1058" t="e">
            <v>#N/A</v>
          </cell>
          <cell r="K1058">
            <v>90</v>
          </cell>
          <cell r="L1058">
            <v>50</v>
          </cell>
          <cell r="M1058" t="e">
            <v>#N/A</v>
          </cell>
          <cell r="N1058">
            <v>80</v>
          </cell>
          <cell r="O1058" t="e">
            <v>#N/A</v>
          </cell>
          <cell r="P1058" t="str">
            <v/>
          </cell>
          <cell r="Q1058" t="str">
            <v/>
          </cell>
          <cell r="R1058" t="e">
            <v>#N/A</v>
          </cell>
        </row>
        <row r="1059">
          <cell r="A1059" t="str">
            <v/>
          </cell>
          <cell r="B1059" t="str">
            <v/>
          </cell>
          <cell r="C1059" t="str">
            <v>Future</v>
          </cell>
          <cell r="D1059" t="e">
            <v>#N/A</v>
          </cell>
          <cell r="E1059">
            <v>-61.759724409448189</v>
          </cell>
          <cell r="F1059">
            <v>115.75996062992444</v>
          </cell>
          <cell r="G1059">
            <v>36.862322834645461</v>
          </cell>
          <cell r="H1059">
            <v>36.862322834645461</v>
          </cell>
          <cell r="I1059" t="e">
            <v>#N/A</v>
          </cell>
          <cell r="J1059" t="e">
            <v>#N/A</v>
          </cell>
          <cell r="K1059">
            <v>90</v>
          </cell>
          <cell r="L1059">
            <v>50</v>
          </cell>
          <cell r="M1059" t="e">
            <v>#N/A</v>
          </cell>
          <cell r="N1059">
            <v>80</v>
          </cell>
          <cell r="O1059" t="e">
            <v>#N/A</v>
          </cell>
          <cell r="P1059" t="str">
            <v/>
          </cell>
          <cell r="Q1059" t="str">
            <v/>
          </cell>
          <cell r="R1059" t="e">
            <v>#N/A</v>
          </cell>
        </row>
        <row r="1060">
          <cell r="A1060" t="str">
            <v/>
          </cell>
          <cell r="B1060" t="str">
            <v/>
          </cell>
          <cell r="C1060" t="str">
            <v>Future</v>
          </cell>
          <cell r="D1060" t="e">
            <v>#N/A</v>
          </cell>
          <cell r="E1060">
            <v>-62.009763779526928</v>
          </cell>
          <cell r="F1060">
            <v>115.86425196850712</v>
          </cell>
          <cell r="G1060">
            <v>36.809133858267508</v>
          </cell>
          <cell r="H1060">
            <v>36.809133858267508</v>
          </cell>
          <cell r="I1060" t="e">
            <v>#N/A</v>
          </cell>
          <cell r="J1060" t="e">
            <v>#N/A</v>
          </cell>
          <cell r="K1060">
            <v>90</v>
          </cell>
          <cell r="L1060">
            <v>50</v>
          </cell>
          <cell r="M1060" t="e">
            <v>#N/A</v>
          </cell>
          <cell r="N1060">
            <v>80</v>
          </cell>
          <cell r="O1060" t="e">
            <v>#N/A</v>
          </cell>
          <cell r="P1060" t="str">
            <v/>
          </cell>
          <cell r="Q1060" t="str">
            <v/>
          </cell>
          <cell r="R1060" t="e">
            <v>#N/A</v>
          </cell>
        </row>
        <row r="1061">
          <cell r="A1061" t="str">
            <v/>
          </cell>
          <cell r="B1061" t="str">
            <v/>
          </cell>
          <cell r="C1061" t="str">
            <v>Future</v>
          </cell>
          <cell r="D1061" t="e">
            <v>#N/A</v>
          </cell>
          <cell r="E1061">
            <v>-62.259803149605666</v>
          </cell>
          <cell r="F1061">
            <v>115.9685433070898</v>
          </cell>
          <cell r="G1061">
            <v>36.755944881889555</v>
          </cell>
          <cell r="H1061">
            <v>36.755944881889555</v>
          </cell>
          <cell r="I1061" t="e">
            <v>#N/A</v>
          </cell>
          <cell r="J1061" t="e">
            <v>#N/A</v>
          </cell>
          <cell r="K1061">
            <v>90</v>
          </cell>
          <cell r="L1061">
            <v>50</v>
          </cell>
          <cell r="M1061" t="e">
            <v>#N/A</v>
          </cell>
          <cell r="N1061">
            <v>80</v>
          </cell>
          <cell r="O1061" t="e">
            <v>#N/A</v>
          </cell>
          <cell r="P1061" t="str">
            <v/>
          </cell>
          <cell r="Q1061" t="str">
            <v/>
          </cell>
          <cell r="R1061" t="e">
            <v>#N/A</v>
          </cell>
        </row>
        <row r="1062">
          <cell r="A1062" t="str">
            <v/>
          </cell>
          <cell r="B1062" t="str">
            <v/>
          </cell>
          <cell r="C1062" t="str">
            <v>Future</v>
          </cell>
          <cell r="D1062" t="e">
            <v>#N/A</v>
          </cell>
          <cell r="E1062">
            <v>-62.509842519684405</v>
          </cell>
          <cell r="F1062">
            <v>116.07283464567249</v>
          </cell>
          <cell r="G1062">
            <v>36.702755905511601</v>
          </cell>
          <cell r="H1062">
            <v>36.702755905511601</v>
          </cell>
          <cell r="I1062" t="e">
            <v>#N/A</v>
          </cell>
          <cell r="J1062" t="e">
            <v>#N/A</v>
          </cell>
          <cell r="K1062">
            <v>90</v>
          </cell>
          <cell r="L1062">
            <v>50</v>
          </cell>
          <cell r="M1062" t="e">
            <v>#N/A</v>
          </cell>
          <cell r="N1062">
            <v>80</v>
          </cell>
          <cell r="O1062" t="e">
            <v>#N/A</v>
          </cell>
          <cell r="P1062" t="str">
            <v/>
          </cell>
          <cell r="Q1062" t="str">
            <v/>
          </cell>
          <cell r="R1062" t="e">
            <v>#N/A</v>
          </cell>
        </row>
        <row r="1063">
          <cell r="A1063" t="str">
            <v/>
          </cell>
          <cell r="B1063" t="str">
            <v/>
          </cell>
          <cell r="C1063" t="str">
            <v>Future</v>
          </cell>
          <cell r="D1063" t="e">
            <v>#N/A</v>
          </cell>
          <cell r="E1063">
            <v>-62.759881889763143</v>
          </cell>
          <cell r="F1063">
            <v>116.17712598425517</v>
          </cell>
          <cell r="G1063">
            <v>36.649566929133648</v>
          </cell>
          <cell r="H1063">
            <v>36.649566929133648</v>
          </cell>
          <cell r="I1063" t="e">
            <v>#N/A</v>
          </cell>
          <cell r="J1063" t="e">
            <v>#N/A</v>
          </cell>
          <cell r="K1063">
            <v>90</v>
          </cell>
          <cell r="L1063">
            <v>50</v>
          </cell>
          <cell r="M1063" t="e">
            <v>#N/A</v>
          </cell>
          <cell r="N1063">
            <v>80</v>
          </cell>
          <cell r="O1063" t="e">
            <v>#N/A</v>
          </cell>
          <cell r="P1063" t="str">
            <v/>
          </cell>
          <cell r="Q1063" t="str">
            <v/>
          </cell>
          <cell r="R1063" t="e">
            <v>#N/A</v>
          </cell>
        </row>
        <row r="1064">
          <cell r="A1064" t="str">
            <v/>
          </cell>
          <cell r="B1064" t="str">
            <v/>
          </cell>
          <cell r="C1064" t="str">
            <v>Future</v>
          </cell>
          <cell r="D1064" t="e">
            <v>#N/A</v>
          </cell>
          <cell r="E1064">
            <v>-63.009921259841882</v>
          </cell>
          <cell r="F1064">
            <v>116.28141732283785</v>
          </cell>
          <cell r="G1064">
            <v>36.596377952755695</v>
          </cell>
          <cell r="H1064">
            <v>36.596377952755695</v>
          </cell>
          <cell r="I1064" t="e">
            <v>#N/A</v>
          </cell>
          <cell r="J1064" t="e">
            <v>#N/A</v>
          </cell>
          <cell r="K1064">
            <v>90</v>
          </cell>
          <cell r="L1064">
            <v>50</v>
          </cell>
          <cell r="M1064" t="e">
            <v>#N/A</v>
          </cell>
          <cell r="N1064">
            <v>80</v>
          </cell>
          <cell r="O1064" t="e">
            <v>#N/A</v>
          </cell>
          <cell r="P1064" t="str">
            <v/>
          </cell>
          <cell r="Q1064" t="str">
            <v/>
          </cell>
          <cell r="R1064" t="e">
            <v>#N/A</v>
          </cell>
        </row>
        <row r="1065">
          <cell r="A1065" t="str">
            <v/>
          </cell>
          <cell r="B1065" t="str">
            <v/>
          </cell>
          <cell r="C1065" t="str">
            <v>Future</v>
          </cell>
          <cell r="D1065" t="e">
            <v>#N/A</v>
          </cell>
          <cell r="E1065">
            <v>-63.25996062992062</v>
          </cell>
          <cell r="F1065">
            <v>116.38570866142054</v>
          </cell>
          <cell r="G1065">
            <v>36.543188976377742</v>
          </cell>
          <cell r="H1065">
            <v>36.543188976377742</v>
          </cell>
          <cell r="I1065" t="e">
            <v>#N/A</v>
          </cell>
          <cell r="J1065" t="e">
            <v>#N/A</v>
          </cell>
          <cell r="K1065">
            <v>90</v>
          </cell>
          <cell r="L1065">
            <v>50</v>
          </cell>
          <cell r="M1065" t="e">
            <v>#N/A</v>
          </cell>
          <cell r="N1065">
            <v>80</v>
          </cell>
          <cell r="O1065" t="e">
            <v>#N/A</v>
          </cell>
          <cell r="P1065" t="str">
            <v/>
          </cell>
          <cell r="Q1065" t="str">
            <v/>
          </cell>
          <cell r="R1065" t="e">
            <v>#N/A</v>
          </cell>
        </row>
        <row r="1066">
          <cell r="A1066" t="str">
            <v/>
          </cell>
          <cell r="B1066" t="str">
            <v/>
          </cell>
          <cell r="C1066" t="str">
            <v>Future</v>
          </cell>
          <cell r="D1066" t="e">
            <v>#N/A</v>
          </cell>
          <cell r="E1066">
            <v>-63.509999999999359</v>
          </cell>
          <cell r="F1066">
            <v>116.49000000000322</v>
          </cell>
          <cell r="G1066">
            <v>36.489999999999789</v>
          </cell>
          <cell r="H1066">
            <v>36.489999999999789</v>
          </cell>
          <cell r="I1066" t="e">
            <v>#N/A</v>
          </cell>
          <cell r="J1066" t="e">
            <v>#N/A</v>
          </cell>
          <cell r="K1066">
            <v>90</v>
          </cell>
          <cell r="L1066">
            <v>50</v>
          </cell>
          <cell r="M1066" t="e">
            <v>#N/A</v>
          </cell>
          <cell r="N1066">
            <v>80</v>
          </cell>
          <cell r="O1066" t="e">
            <v>#N/A</v>
          </cell>
          <cell r="P1066" t="str">
            <v/>
          </cell>
          <cell r="Q1066" t="str">
            <v/>
          </cell>
          <cell r="R1066" t="e">
            <v>#N/A</v>
          </cell>
        </row>
        <row r="1067">
          <cell r="A1067" t="str">
            <v/>
          </cell>
          <cell r="B1067" t="str">
            <v/>
          </cell>
          <cell r="C1067" t="str">
            <v>Future</v>
          </cell>
          <cell r="D1067" t="e">
            <v>#N/A</v>
          </cell>
          <cell r="E1067">
            <v>-63.760039370078097</v>
          </cell>
          <cell r="F1067">
            <v>116.5942913385859</v>
          </cell>
          <cell r="G1067">
            <v>36.436811023621836</v>
          </cell>
          <cell r="H1067">
            <v>36.436811023621836</v>
          </cell>
          <cell r="I1067" t="e">
            <v>#N/A</v>
          </cell>
          <cell r="J1067" t="e">
            <v>#N/A</v>
          </cell>
          <cell r="K1067">
            <v>90</v>
          </cell>
          <cell r="L1067">
            <v>50</v>
          </cell>
          <cell r="M1067" t="e">
            <v>#N/A</v>
          </cell>
          <cell r="N1067">
            <v>80</v>
          </cell>
          <cell r="O1067" t="e">
            <v>#N/A</v>
          </cell>
          <cell r="P1067" t="str">
            <v/>
          </cell>
          <cell r="Q1067" t="str">
            <v/>
          </cell>
          <cell r="R1067" t="e">
            <v>#N/A</v>
          </cell>
        </row>
        <row r="1068">
          <cell r="A1068" t="str">
            <v/>
          </cell>
          <cell r="B1068" t="str">
            <v/>
          </cell>
          <cell r="C1068" t="str">
            <v>Future</v>
          </cell>
          <cell r="D1068" t="e">
            <v>#N/A</v>
          </cell>
          <cell r="E1068">
            <v>-64.010078740156843</v>
          </cell>
          <cell r="F1068">
            <v>116.69858267716859</v>
          </cell>
          <cell r="G1068">
            <v>36.383622047243882</v>
          </cell>
          <cell r="H1068">
            <v>36.383622047243882</v>
          </cell>
          <cell r="I1068" t="e">
            <v>#N/A</v>
          </cell>
          <cell r="J1068" t="e">
            <v>#N/A</v>
          </cell>
          <cell r="K1068">
            <v>90</v>
          </cell>
          <cell r="L1068">
            <v>50</v>
          </cell>
          <cell r="M1068" t="e">
            <v>#N/A</v>
          </cell>
          <cell r="N1068">
            <v>80</v>
          </cell>
          <cell r="O1068" t="e">
            <v>#N/A</v>
          </cell>
          <cell r="P1068" t="str">
            <v/>
          </cell>
          <cell r="Q1068" t="str">
            <v/>
          </cell>
          <cell r="R1068" t="e">
            <v>#N/A</v>
          </cell>
        </row>
        <row r="1069">
          <cell r="A1069" t="str">
            <v/>
          </cell>
          <cell r="B1069" t="str">
            <v/>
          </cell>
          <cell r="C1069" t="str">
            <v>Future</v>
          </cell>
          <cell r="D1069" t="e">
            <v>#N/A</v>
          </cell>
          <cell r="E1069">
            <v>-64.260118110235581</v>
          </cell>
          <cell r="F1069">
            <v>116.80287401575127</v>
          </cell>
          <cell r="G1069">
            <v>36.330433070865929</v>
          </cell>
          <cell r="H1069">
            <v>36.330433070865929</v>
          </cell>
          <cell r="I1069" t="e">
            <v>#N/A</v>
          </cell>
          <cell r="J1069" t="e">
            <v>#N/A</v>
          </cell>
          <cell r="K1069">
            <v>90</v>
          </cell>
          <cell r="L1069">
            <v>50</v>
          </cell>
          <cell r="M1069" t="e">
            <v>#N/A</v>
          </cell>
          <cell r="N1069">
            <v>80</v>
          </cell>
          <cell r="O1069" t="e">
            <v>#N/A</v>
          </cell>
          <cell r="P1069" t="str">
            <v/>
          </cell>
          <cell r="Q1069" t="str">
            <v/>
          </cell>
          <cell r="R1069" t="e">
            <v>#N/A</v>
          </cell>
        </row>
        <row r="1070">
          <cell r="A1070" t="str">
            <v/>
          </cell>
          <cell r="B1070" t="str">
            <v/>
          </cell>
          <cell r="C1070" t="str">
            <v>Future</v>
          </cell>
          <cell r="D1070" t="e">
            <v>#N/A</v>
          </cell>
          <cell r="E1070">
            <v>-64.510157480314319</v>
          </cell>
          <cell r="F1070">
            <v>116.90716535433396</v>
          </cell>
          <cell r="G1070">
            <v>36.277244094487976</v>
          </cell>
          <cell r="H1070">
            <v>36.277244094487976</v>
          </cell>
          <cell r="I1070" t="e">
            <v>#N/A</v>
          </cell>
          <cell r="J1070" t="e">
            <v>#N/A</v>
          </cell>
          <cell r="K1070">
            <v>90</v>
          </cell>
          <cell r="L1070">
            <v>50</v>
          </cell>
          <cell r="M1070" t="e">
            <v>#N/A</v>
          </cell>
          <cell r="N1070">
            <v>80</v>
          </cell>
          <cell r="O1070" t="e">
            <v>#N/A</v>
          </cell>
          <cell r="P1070" t="str">
            <v/>
          </cell>
          <cell r="Q1070" t="str">
            <v/>
          </cell>
          <cell r="R1070" t="e">
            <v>#N/A</v>
          </cell>
        </row>
        <row r="1071">
          <cell r="A1071" t="str">
            <v/>
          </cell>
          <cell r="B1071" t="str">
            <v/>
          </cell>
          <cell r="C1071" t="str">
            <v>Future</v>
          </cell>
          <cell r="D1071" t="e">
            <v>#N/A</v>
          </cell>
          <cell r="E1071">
            <v>-64.760196850393058</v>
          </cell>
          <cell r="F1071">
            <v>117.01145669291664</v>
          </cell>
          <cell r="G1071">
            <v>36.224055118110023</v>
          </cell>
          <cell r="H1071">
            <v>36.224055118110023</v>
          </cell>
          <cell r="I1071" t="e">
            <v>#N/A</v>
          </cell>
          <cell r="J1071" t="e">
            <v>#N/A</v>
          </cell>
          <cell r="K1071">
            <v>90</v>
          </cell>
          <cell r="L1071">
            <v>50</v>
          </cell>
          <cell r="M1071" t="e">
            <v>#N/A</v>
          </cell>
          <cell r="N1071">
            <v>80</v>
          </cell>
          <cell r="O1071" t="e">
            <v>#N/A</v>
          </cell>
          <cell r="P1071" t="str">
            <v/>
          </cell>
          <cell r="Q1071" t="str">
            <v/>
          </cell>
          <cell r="R1071" t="e">
            <v>#N/A</v>
          </cell>
        </row>
        <row r="1072">
          <cell r="A1072" t="str">
            <v/>
          </cell>
          <cell r="B1072" t="str">
            <v/>
          </cell>
          <cell r="C1072" t="str">
            <v>Future</v>
          </cell>
          <cell r="D1072" t="e">
            <v>#N/A</v>
          </cell>
          <cell r="E1072">
            <v>-65.010236220471796</v>
          </cell>
          <cell r="F1072">
            <v>117.11574803149932</v>
          </cell>
          <cell r="G1072">
            <v>36.17086614173207</v>
          </cell>
          <cell r="H1072">
            <v>36.17086614173207</v>
          </cell>
          <cell r="I1072" t="e">
            <v>#N/A</v>
          </cell>
          <cell r="J1072" t="e">
            <v>#N/A</v>
          </cell>
          <cell r="K1072">
            <v>90</v>
          </cell>
          <cell r="L1072">
            <v>50</v>
          </cell>
          <cell r="M1072" t="e">
            <v>#N/A</v>
          </cell>
          <cell r="N1072">
            <v>80</v>
          </cell>
          <cell r="O1072" t="e">
            <v>#N/A</v>
          </cell>
          <cell r="P1072" t="str">
            <v/>
          </cell>
          <cell r="Q1072" t="str">
            <v/>
          </cell>
          <cell r="R1072" t="e">
            <v>#N/A</v>
          </cell>
        </row>
        <row r="1073">
          <cell r="A1073" t="str">
            <v/>
          </cell>
          <cell r="B1073" t="str">
            <v/>
          </cell>
          <cell r="C1073" t="str">
            <v>Future</v>
          </cell>
          <cell r="D1073" t="e">
            <v>#N/A</v>
          </cell>
          <cell r="E1073">
            <v>-65.260275590550535</v>
          </cell>
          <cell r="F1073">
            <v>117.22003937008201</v>
          </cell>
          <cell r="G1073">
            <v>36.117677165354117</v>
          </cell>
          <cell r="H1073">
            <v>36.117677165354117</v>
          </cell>
          <cell r="I1073" t="e">
            <v>#N/A</v>
          </cell>
          <cell r="J1073" t="e">
            <v>#N/A</v>
          </cell>
          <cell r="K1073">
            <v>90</v>
          </cell>
          <cell r="L1073">
            <v>50</v>
          </cell>
          <cell r="M1073" t="e">
            <v>#N/A</v>
          </cell>
          <cell r="N1073">
            <v>80</v>
          </cell>
          <cell r="O1073" t="e">
            <v>#N/A</v>
          </cell>
          <cell r="P1073" t="str">
            <v/>
          </cell>
          <cell r="Q1073" t="str">
            <v/>
          </cell>
          <cell r="R1073" t="e">
            <v>#N/A</v>
          </cell>
        </row>
        <row r="1074">
          <cell r="A1074" t="str">
            <v/>
          </cell>
          <cell r="B1074" t="str">
            <v/>
          </cell>
          <cell r="C1074" t="str">
            <v>Future</v>
          </cell>
          <cell r="D1074" t="e">
            <v>#N/A</v>
          </cell>
          <cell r="E1074">
            <v>-65.510314960629273</v>
          </cell>
          <cell r="F1074">
            <v>117.32433070866469</v>
          </cell>
          <cell r="G1074">
            <v>36.064488188976163</v>
          </cell>
          <cell r="H1074">
            <v>36.064488188976163</v>
          </cell>
          <cell r="I1074" t="e">
            <v>#N/A</v>
          </cell>
          <cell r="J1074" t="e">
            <v>#N/A</v>
          </cell>
          <cell r="K1074">
            <v>90</v>
          </cell>
          <cell r="L1074">
            <v>50</v>
          </cell>
          <cell r="M1074" t="e">
            <v>#N/A</v>
          </cell>
          <cell r="N1074">
            <v>80</v>
          </cell>
          <cell r="O1074" t="e">
            <v>#N/A</v>
          </cell>
          <cell r="P1074" t="str">
            <v/>
          </cell>
          <cell r="Q1074" t="str">
            <v/>
          </cell>
          <cell r="R1074" t="e">
            <v>#N/A</v>
          </cell>
        </row>
        <row r="1075">
          <cell r="A1075" t="str">
            <v/>
          </cell>
          <cell r="B1075" t="str">
            <v/>
          </cell>
          <cell r="C1075" t="str">
            <v>Future</v>
          </cell>
          <cell r="D1075" t="e">
            <v>#N/A</v>
          </cell>
          <cell r="E1075">
            <v>-65.760354330708012</v>
          </cell>
          <cell r="F1075">
            <v>117.42862204724737</v>
          </cell>
          <cell r="G1075">
            <v>36.01129921259821</v>
          </cell>
          <cell r="H1075">
            <v>36.01129921259821</v>
          </cell>
          <cell r="I1075" t="e">
            <v>#N/A</v>
          </cell>
          <cell r="J1075" t="e">
            <v>#N/A</v>
          </cell>
          <cell r="K1075">
            <v>90</v>
          </cell>
          <cell r="L1075">
            <v>50</v>
          </cell>
          <cell r="M1075" t="e">
            <v>#N/A</v>
          </cell>
          <cell r="N1075">
            <v>80</v>
          </cell>
          <cell r="O1075" t="e">
            <v>#N/A</v>
          </cell>
          <cell r="P1075" t="str">
            <v/>
          </cell>
          <cell r="Q1075" t="str">
            <v/>
          </cell>
          <cell r="R1075" t="e">
            <v>#N/A</v>
          </cell>
        </row>
        <row r="1076">
          <cell r="A1076" t="str">
            <v/>
          </cell>
          <cell r="B1076" t="str">
            <v/>
          </cell>
          <cell r="C1076" t="str">
            <v>Future</v>
          </cell>
          <cell r="D1076" t="e">
            <v>#N/A</v>
          </cell>
          <cell r="E1076">
            <v>-66.01039370078675</v>
          </cell>
          <cell r="F1076">
            <v>117.53291338583006</v>
          </cell>
          <cell r="G1076">
            <v>35.958110236220257</v>
          </cell>
          <cell r="H1076">
            <v>35.958110236220257</v>
          </cell>
          <cell r="I1076" t="e">
            <v>#N/A</v>
          </cell>
          <cell r="J1076" t="e">
            <v>#N/A</v>
          </cell>
          <cell r="K1076">
            <v>90</v>
          </cell>
          <cell r="L1076">
            <v>50</v>
          </cell>
          <cell r="M1076" t="e">
            <v>#N/A</v>
          </cell>
          <cell r="N1076">
            <v>80</v>
          </cell>
          <cell r="O1076" t="e">
            <v>#N/A</v>
          </cell>
          <cell r="P1076" t="str">
            <v/>
          </cell>
          <cell r="Q1076" t="str">
            <v/>
          </cell>
          <cell r="R1076" t="e">
            <v>#N/A</v>
          </cell>
        </row>
        <row r="1077">
          <cell r="A1077" t="str">
            <v/>
          </cell>
          <cell r="B1077" t="str">
            <v/>
          </cell>
          <cell r="C1077" t="str">
            <v>Future</v>
          </cell>
          <cell r="D1077" t="e">
            <v>#N/A</v>
          </cell>
          <cell r="E1077">
            <v>-66.260433070865489</v>
          </cell>
          <cell r="F1077">
            <v>117.63720472441274</v>
          </cell>
          <cell r="G1077">
            <v>35.904921259842304</v>
          </cell>
          <cell r="H1077">
            <v>35.904921259842304</v>
          </cell>
          <cell r="I1077" t="e">
            <v>#N/A</v>
          </cell>
          <cell r="J1077" t="e">
            <v>#N/A</v>
          </cell>
          <cell r="K1077">
            <v>90</v>
          </cell>
          <cell r="L1077">
            <v>50</v>
          </cell>
          <cell r="M1077" t="e">
            <v>#N/A</v>
          </cell>
          <cell r="N1077">
            <v>80</v>
          </cell>
          <cell r="O1077" t="e">
            <v>#N/A</v>
          </cell>
          <cell r="P1077" t="str">
            <v/>
          </cell>
          <cell r="Q1077" t="str">
            <v/>
          </cell>
          <cell r="R1077" t="e">
            <v>#N/A</v>
          </cell>
        </row>
        <row r="1078">
          <cell r="A1078" t="str">
            <v/>
          </cell>
          <cell r="B1078" t="str">
            <v/>
          </cell>
          <cell r="C1078" t="str">
            <v>Future</v>
          </cell>
          <cell r="D1078" t="e">
            <v>#N/A</v>
          </cell>
          <cell r="E1078">
            <v>-66.510472440944227</v>
          </cell>
          <cell r="F1078">
            <v>117.74149606299542</v>
          </cell>
          <cell r="G1078">
            <v>35.851732283464351</v>
          </cell>
          <cell r="H1078">
            <v>35.851732283464351</v>
          </cell>
          <cell r="I1078" t="e">
            <v>#N/A</v>
          </cell>
          <cell r="J1078" t="e">
            <v>#N/A</v>
          </cell>
          <cell r="K1078">
            <v>90</v>
          </cell>
          <cell r="L1078">
            <v>50</v>
          </cell>
          <cell r="M1078" t="e">
            <v>#N/A</v>
          </cell>
          <cell r="N1078">
            <v>80</v>
          </cell>
          <cell r="O1078" t="e">
            <v>#N/A</v>
          </cell>
          <cell r="P1078" t="str">
            <v/>
          </cell>
          <cell r="Q1078" t="str">
            <v/>
          </cell>
          <cell r="R1078" t="e">
            <v>#N/A</v>
          </cell>
        </row>
        <row r="1079">
          <cell r="A1079" t="str">
            <v/>
          </cell>
          <cell r="B1079" t="str">
            <v/>
          </cell>
          <cell r="C1079" t="str">
            <v>Future</v>
          </cell>
          <cell r="D1079" t="e">
            <v>#N/A</v>
          </cell>
          <cell r="E1079">
            <v>-66.760511811022965</v>
          </cell>
          <cell r="F1079">
            <v>117.84578740157811</v>
          </cell>
          <cell r="G1079">
            <v>35.798543307086398</v>
          </cell>
          <cell r="H1079">
            <v>35.798543307086398</v>
          </cell>
          <cell r="I1079" t="e">
            <v>#N/A</v>
          </cell>
          <cell r="J1079" t="e">
            <v>#N/A</v>
          </cell>
          <cell r="K1079">
            <v>90</v>
          </cell>
          <cell r="L1079">
            <v>50</v>
          </cell>
          <cell r="M1079" t="e">
            <v>#N/A</v>
          </cell>
          <cell r="N1079">
            <v>80</v>
          </cell>
          <cell r="O1079" t="e">
            <v>#N/A</v>
          </cell>
          <cell r="P1079" t="str">
            <v/>
          </cell>
          <cell r="Q1079" t="str">
            <v/>
          </cell>
          <cell r="R1079" t="e">
            <v>#N/A</v>
          </cell>
        </row>
        <row r="1080">
          <cell r="A1080" t="str">
            <v/>
          </cell>
          <cell r="B1080" t="str">
            <v/>
          </cell>
          <cell r="C1080" t="str">
            <v>Future</v>
          </cell>
          <cell r="D1080" t="e">
            <v>#N/A</v>
          </cell>
          <cell r="E1080">
            <v>-67.010551181101704</v>
          </cell>
          <cell r="F1080">
            <v>117.95007874016079</v>
          </cell>
          <cell r="G1080">
            <v>35.745354330708444</v>
          </cell>
          <cell r="H1080">
            <v>35.745354330708444</v>
          </cell>
          <cell r="I1080" t="e">
            <v>#N/A</v>
          </cell>
          <cell r="J1080" t="e">
            <v>#N/A</v>
          </cell>
          <cell r="K1080">
            <v>90</v>
          </cell>
          <cell r="L1080">
            <v>50</v>
          </cell>
          <cell r="M1080" t="e">
            <v>#N/A</v>
          </cell>
          <cell r="N1080">
            <v>80</v>
          </cell>
          <cell r="O1080" t="e">
            <v>#N/A</v>
          </cell>
          <cell r="P1080" t="str">
            <v/>
          </cell>
          <cell r="Q1080" t="str">
            <v/>
          </cell>
          <cell r="R1080" t="e">
            <v>#N/A</v>
          </cell>
        </row>
        <row r="1081">
          <cell r="A1081" t="str">
            <v/>
          </cell>
          <cell r="B1081" t="str">
            <v/>
          </cell>
          <cell r="C1081" t="str">
            <v>Future</v>
          </cell>
          <cell r="D1081" t="e">
            <v>#N/A</v>
          </cell>
          <cell r="E1081">
            <v>-67.260590551180442</v>
          </cell>
          <cell r="F1081">
            <v>118.05437007874347</v>
          </cell>
          <cell r="G1081">
            <v>35.692165354330491</v>
          </cell>
          <cell r="H1081">
            <v>35.692165354330491</v>
          </cell>
          <cell r="I1081" t="e">
            <v>#N/A</v>
          </cell>
          <cell r="J1081" t="e">
            <v>#N/A</v>
          </cell>
          <cell r="K1081">
            <v>90</v>
          </cell>
          <cell r="L1081">
            <v>50</v>
          </cell>
          <cell r="M1081" t="e">
            <v>#N/A</v>
          </cell>
          <cell r="N1081">
            <v>80</v>
          </cell>
          <cell r="O1081" t="e">
            <v>#N/A</v>
          </cell>
          <cell r="P1081" t="str">
            <v/>
          </cell>
          <cell r="Q1081" t="str">
            <v/>
          </cell>
          <cell r="R1081" t="e">
            <v>#N/A</v>
          </cell>
        </row>
        <row r="1082">
          <cell r="A1082" t="str">
            <v/>
          </cell>
          <cell r="B1082" t="str">
            <v/>
          </cell>
          <cell r="C1082" t="str">
            <v>Future</v>
          </cell>
          <cell r="D1082" t="e">
            <v>#N/A</v>
          </cell>
          <cell r="E1082">
            <v>-67.510629921259181</v>
          </cell>
          <cell r="F1082">
            <v>118.15866141732616</v>
          </cell>
          <cell r="G1082">
            <v>35.638976377952538</v>
          </cell>
          <cell r="H1082">
            <v>35.638976377952538</v>
          </cell>
          <cell r="I1082" t="e">
            <v>#N/A</v>
          </cell>
          <cell r="J1082" t="e">
            <v>#N/A</v>
          </cell>
          <cell r="K1082">
            <v>90</v>
          </cell>
          <cell r="L1082">
            <v>50</v>
          </cell>
          <cell r="M1082" t="e">
            <v>#N/A</v>
          </cell>
          <cell r="N1082">
            <v>80</v>
          </cell>
          <cell r="O1082" t="e">
            <v>#N/A</v>
          </cell>
          <cell r="P1082" t="str">
            <v/>
          </cell>
          <cell r="Q1082" t="str">
            <v/>
          </cell>
          <cell r="R1082" t="e">
            <v>#N/A</v>
          </cell>
        </row>
        <row r="1083">
          <cell r="A1083" t="str">
            <v/>
          </cell>
          <cell r="B1083" t="str">
            <v/>
          </cell>
          <cell r="C1083" t="str">
            <v>Future</v>
          </cell>
          <cell r="D1083" t="e">
            <v>#N/A</v>
          </cell>
          <cell r="E1083">
            <v>-67.760669291337919</v>
          </cell>
          <cell r="F1083">
            <v>118.26295275590884</v>
          </cell>
          <cell r="G1083">
            <v>35.585787401574585</v>
          </cell>
          <cell r="H1083">
            <v>35.585787401574585</v>
          </cell>
          <cell r="I1083" t="e">
            <v>#N/A</v>
          </cell>
          <cell r="J1083" t="e">
            <v>#N/A</v>
          </cell>
          <cell r="K1083">
            <v>90</v>
          </cell>
          <cell r="L1083">
            <v>50</v>
          </cell>
          <cell r="M1083" t="e">
            <v>#N/A</v>
          </cell>
          <cell r="N1083">
            <v>80</v>
          </cell>
          <cell r="O1083" t="e">
            <v>#N/A</v>
          </cell>
          <cell r="P1083" t="str">
            <v/>
          </cell>
          <cell r="Q1083" t="str">
            <v/>
          </cell>
          <cell r="R1083" t="e">
            <v>#N/A</v>
          </cell>
        </row>
        <row r="1084">
          <cell r="A1084" t="str">
            <v/>
          </cell>
          <cell r="B1084" t="str">
            <v/>
          </cell>
          <cell r="C1084" t="str">
            <v>Future</v>
          </cell>
          <cell r="D1084" t="e">
            <v>#N/A</v>
          </cell>
          <cell r="E1084">
            <v>-68.010708661416658</v>
          </cell>
          <cell r="F1084">
            <v>118.36724409449153</v>
          </cell>
          <cell r="G1084">
            <v>35.532598425196632</v>
          </cell>
          <cell r="H1084">
            <v>35.532598425196632</v>
          </cell>
          <cell r="I1084" t="e">
            <v>#N/A</v>
          </cell>
          <cell r="J1084" t="e">
            <v>#N/A</v>
          </cell>
          <cell r="K1084">
            <v>90</v>
          </cell>
          <cell r="L1084">
            <v>50</v>
          </cell>
          <cell r="M1084" t="e">
            <v>#N/A</v>
          </cell>
          <cell r="N1084">
            <v>80</v>
          </cell>
          <cell r="O1084" t="e">
            <v>#N/A</v>
          </cell>
          <cell r="P1084" t="str">
            <v/>
          </cell>
          <cell r="Q1084" t="str">
            <v/>
          </cell>
          <cell r="R1084" t="e">
            <v>#N/A</v>
          </cell>
        </row>
        <row r="1085">
          <cell r="A1085" t="str">
            <v/>
          </cell>
          <cell r="B1085" t="str">
            <v/>
          </cell>
          <cell r="C1085" t="str">
            <v>Future</v>
          </cell>
          <cell r="D1085" t="e">
            <v>#N/A</v>
          </cell>
          <cell r="E1085">
            <v>-68.260748031495396</v>
          </cell>
          <cell r="F1085">
            <v>118.47153543307421</v>
          </cell>
          <cell r="G1085">
            <v>35.479409448818679</v>
          </cell>
          <cell r="H1085">
            <v>35.479409448818679</v>
          </cell>
          <cell r="I1085" t="e">
            <v>#N/A</v>
          </cell>
          <cell r="J1085" t="e">
            <v>#N/A</v>
          </cell>
          <cell r="K1085">
            <v>90</v>
          </cell>
          <cell r="L1085">
            <v>50</v>
          </cell>
          <cell r="M1085" t="e">
            <v>#N/A</v>
          </cell>
          <cell r="N1085">
            <v>80</v>
          </cell>
          <cell r="O1085" t="e">
            <v>#N/A</v>
          </cell>
          <cell r="P1085" t="str">
            <v/>
          </cell>
          <cell r="Q1085" t="str">
            <v/>
          </cell>
          <cell r="R1085" t="e">
            <v>#N/A</v>
          </cell>
        </row>
        <row r="1086">
          <cell r="A1086" t="str">
            <v/>
          </cell>
          <cell r="B1086" t="str">
            <v/>
          </cell>
          <cell r="C1086" t="str">
            <v>Future</v>
          </cell>
          <cell r="D1086" t="e">
            <v>#N/A</v>
          </cell>
          <cell r="E1086">
            <v>-68.510787401574134</v>
          </cell>
          <cell r="F1086">
            <v>118.57582677165689</v>
          </cell>
          <cell r="G1086">
            <v>35.426220472440725</v>
          </cell>
          <cell r="H1086">
            <v>35.426220472440725</v>
          </cell>
          <cell r="I1086" t="e">
            <v>#N/A</v>
          </cell>
          <cell r="J1086" t="e">
            <v>#N/A</v>
          </cell>
          <cell r="K1086">
            <v>90</v>
          </cell>
          <cell r="L1086">
            <v>50</v>
          </cell>
          <cell r="M1086" t="e">
            <v>#N/A</v>
          </cell>
          <cell r="N1086">
            <v>80</v>
          </cell>
          <cell r="O1086" t="e">
            <v>#N/A</v>
          </cell>
          <cell r="P1086" t="str">
            <v/>
          </cell>
          <cell r="Q1086" t="str">
            <v/>
          </cell>
          <cell r="R1086" t="e">
            <v>#N/A</v>
          </cell>
        </row>
        <row r="1087">
          <cell r="A1087" t="str">
            <v/>
          </cell>
          <cell r="B1087" t="str">
            <v/>
          </cell>
          <cell r="C1087" t="str">
            <v>Future</v>
          </cell>
          <cell r="D1087" t="e">
            <v>#N/A</v>
          </cell>
          <cell r="E1087">
            <v>-68.760826771652873</v>
          </cell>
          <cell r="F1087">
            <v>118.68011811023958</v>
          </cell>
          <cell r="G1087">
            <v>35.373031496062772</v>
          </cell>
          <cell r="H1087">
            <v>35.373031496062772</v>
          </cell>
          <cell r="I1087" t="e">
            <v>#N/A</v>
          </cell>
          <cell r="J1087" t="e">
            <v>#N/A</v>
          </cell>
          <cell r="K1087">
            <v>90</v>
          </cell>
          <cell r="L1087">
            <v>50</v>
          </cell>
          <cell r="M1087" t="e">
            <v>#N/A</v>
          </cell>
          <cell r="N1087">
            <v>80</v>
          </cell>
          <cell r="O1087" t="e">
            <v>#N/A</v>
          </cell>
          <cell r="P1087" t="str">
            <v/>
          </cell>
          <cell r="Q1087" t="str">
            <v/>
          </cell>
          <cell r="R1087" t="e">
            <v>#N/A</v>
          </cell>
        </row>
        <row r="1088">
          <cell r="A1088" t="str">
            <v/>
          </cell>
          <cell r="B1088" t="str">
            <v/>
          </cell>
          <cell r="C1088" t="str">
            <v>Future</v>
          </cell>
          <cell r="D1088" t="e">
            <v>#N/A</v>
          </cell>
          <cell r="E1088">
            <v>-69.010866141731611</v>
          </cell>
          <cell r="F1088">
            <v>118.78440944882226</v>
          </cell>
          <cell r="G1088">
            <v>35.319842519684819</v>
          </cell>
          <cell r="H1088">
            <v>35.319842519684819</v>
          </cell>
          <cell r="I1088" t="e">
            <v>#N/A</v>
          </cell>
          <cell r="J1088" t="e">
            <v>#N/A</v>
          </cell>
          <cell r="K1088">
            <v>90</v>
          </cell>
          <cell r="L1088">
            <v>50</v>
          </cell>
          <cell r="M1088" t="e">
            <v>#N/A</v>
          </cell>
          <cell r="N1088">
            <v>80</v>
          </cell>
          <cell r="O1088" t="e">
            <v>#N/A</v>
          </cell>
          <cell r="P1088" t="str">
            <v/>
          </cell>
          <cell r="Q1088" t="str">
            <v/>
          </cell>
          <cell r="R1088" t="e">
            <v>#N/A</v>
          </cell>
        </row>
        <row r="1089">
          <cell r="A1089" t="str">
            <v/>
          </cell>
          <cell r="B1089" t="str">
            <v/>
          </cell>
          <cell r="C1089" t="str">
            <v>Future</v>
          </cell>
          <cell r="D1089" t="e">
            <v>#N/A</v>
          </cell>
          <cell r="E1089">
            <v>-69.26090551181035</v>
          </cell>
          <cell r="F1089">
            <v>118.88870078740494</v>
          </cell>
          <cell r="G1089">
            <v>35.266653543306866</v>
          </cell>
          <cell r="H1089">
            <v>35.266653543306866</v>
          </cell>
          <cell r="I1089" t="e">
            <v>#N/A</v>
          </cell>
          <cell r="J1089" t="e">
            <v>#N/A</v>
          </cell>
          <cell r="K1089">
            <v>90</v>
          </cell>
          <cell r="L1089">
            <v>50</v>
          </cell>
          <cell r="M1089" t="e">
            <v>#N/A</v>
          </cell>
          <cell r="N1089">
            <v>80</v>
          </cell>
          <cell r="O1089" t="e">
            <v>#N/A</v>
          </cell>
          <cell r="P1089" t="str">
            <v/>
          </cell>
          <cell r="Q1089" t="str">
            <v/>
          </cell>
          <cell r="R1089" t="e">
            <v>#N/A</v>
          </cell>
        </row>
        <row r="1090">
          <cell r="A1090" t="str">
            <v/>
          </cell>
          <cell r="B1090" t="str">
            <v/>
          </cell>
          <cell r="C1090" t="str">
            <v>Future</v>
          </cell>
          <cell r="D1090" t="e">
            <v>#N/A</v>
          </cell>
          <cell r="E1090">
            <v>-69.510944881889088</v>
          </cell>
          <cell r="F1090">
            <v>118.99299212598763</v>
          </cell>
          <cell r="G1090">
            <v>35.213464566928913</v>
          </cell>
          <cell r="H1090">
            <v>35.213464566928913</v>
          </cell>
          <cell r="I1090" t="e">
            <v>#N/A</v>
          </cell>
          <cell r="J1090" t="e">
            <v>#N/A</v>
          </cell>
          <cell r="K1090">
            <v>90</v>
          </cell>
          <cell r="L1090">
            <v>50</v>
          </cell>
          <cell r="M1090" t="e">
            <v>#N/A</v>
          </cell>
          <cell r="N1090">
            <v>80</v>
          </cell>
          <cell r="O1090" t="e">
            <v>#N/A</v>
          </cell>
          <cell r="P1090" t="str">
            <v/>
          </cell>
          <cell r="Q1090" t="str">
            <v/>
          </cell>
          <cell r="R1090" t="e">
            <v>#N/A</v>
          </cell>
        </row>
        <row r="1091">
          <cell r="A1091" t="str">
            <v/>
          </cell>
          <cell r="B1091" t="str">
            <v/>
          </cell>
          <cell r="C1091" t="str">
            <v>Future</v>
          </cell>
          <cell r="D1091" t="e">
            <v>#N/A</v>
          </cell>
          <cell r="E1091">
            <v>-69.760984251967827</v>
          </cell>
          <cell r="F1091">
            <v>119.09728346457031</v>
          </cell>
          <cell r="G1091">
            <v>35.16027559055096</v>
          </cell>
          <cell r="H1091">
            <v>35.16027559055096</v>
          </cell>
          <cell r="I1091" t="e">
            <v>#N/A</v>
          </cell>
          <cell r="J1091" t="e">
            <v>#N/A</v>
          </cell>
          <cell r="K1091">
            <v>90</v>
          </cell>
          <cell r="L1091">
            <v>50</v>
          </cell>
          <cell r="M1091" t="e">
            <v>#N/A</v>
          </cell>
          <cell r="N1091">
            <v>80</v>
          </cell>
          <cell r="O1091" t="e">
            <v>#N/A</v>
          </cell>
          <cell r="P1091" t="str">
            <v/>
          </cell>
          <cell r="Q1091" t="str">
            <v/>
          </cell>
          <cell r="R1091" t="e">
            <v>#N/A</v>
          </cell>
        </row>
        <row r="1092">
          <cell r="A1092" t="str">
            <v/>
          </cell>
          <cell r="B1092" t="str">
            <v/>
          </cell>
          <cell r="C1092" t="str">
            <v>Future</v>
          </cell>
          <cell r="D1092" t="e">
            <v>#N/A</v>
          </cell>
          <cell r="E1092">
            <v>-70.011023622046565</v>
          </cell>
          <cell r="F1092">
            <v>119.20157480315299</v>
          </cell>
          <cell r="G1092">
            <v>35.107086614173006</v>
          </cell>
          <cell r="H1092">
            <v>35.107086614173006</v>
          </cell>
          <cell r="I1092" t="e">
            <v>#N/A</v>
          </cell>
          <cell r="J1092" t="e">
            <v>#N/A</v>
          </cell>
          <cell r="K1092">
            <v>90</v>
          </cell>
          <cell r="L1092">
            <v>50</v>
          </cell>
          <cell r="M1092" t="e">
            <v>#N/A</v>
          </cell>
          <cell r="N1092">
            <v>80</v>
          </cell>
          <cell r="O1092" t="e">
            <v>#N/A</v>
          </cell>
          <cell r="P1092" t="str">
            <v/>
          </cell>
          <cell r="Q1092" t="str">
            <v/>
          </cell>
          <cell r="R1092" t="e">
            <v>#N/A</v>
          </cell>
        </row>
        <row r="1093">
          <cell r="A1093" t="str">
            <v/>
          </cell>
          <cell r="B1093" t="str">
            <v/>
          </cell>
          <cell r="C1093" t="str">
            <v>Future</v>
          </cell>
          <cell r="D1093" t="e">
            <v>#N/A</v>
          </cell>
          <cell r="E1093">
            <v>-70.261062992125304</v>
          </cell>
          <cell r="F1093">
            <v>119.30586614173568</v>
          </cell>
          <cell r="G1093">
            <v>35.053897637795053</v>
          </cell>
          <cell r="H1093">
            <v>35.053897637795053</v>
          </cell>
          <cell r="I1093" t="e">
            <v>#N/A</v>
          </cell>
          <cell r="J1093" t="e">
            <v>#N/A</v>
          </cell>
          <cell r="K1093">
            <v>90</v>
          </cell>
          <cell r="L1093">
            <v>50</v>
          </cell>
          <cell r="M1093" t="e">
            <v>#N/A</v>
          </cell>
          <cell r="N1093">
            <v>80</v>
          </cell>
          <cell r="O1093" t="e">
            <v>#N/A</v>
          </cell>
          <cell r="P1093" t="str">
            <v/>
          </cell>
          <cell r="Q1093" t="str">
            <v/>
          </cell>
          <cell r="R1093" t="e">
            <v>#N/A</v>
          </cell>
        </row>
        <row r="1094">
          <cell r="A1094" t="str">
            <v/>
          </cell>
          <cell r="B1094" t="str">
            <v/>
          </cell>
          <cell r="C1094" t="str">
            <v>Future</v>
          </cell>
          <cell r="D1094" t="e">
            <v>#N/A</v>
          </cell>
          <cell r="E1094">
            <v>-70.511102362204042</v>
          </cell>
          <cell r="F1094">
            <v>119.41015748031836</v>
          </cell>
          <cell r="G1094">
            <v>35.0007086614171</v>
          </cell>
          <cell r="H1094">
            <v>35.0007086614171</v>
          </cell>
          <cell r="I1094" t="e">
            <v>#N/A</v>
          </cell>
          <cell r="J1094" t="e">
            <v>#N/A</v>
          </cell>
          <cell r="K1094">
            <v>90</v>
          </cell>
          <cell r="L1094">
            <v>50</v>
          </cell>
          <cell r="M1094" t="e">
            <v>#N/A</v>
          </cell>
          <cell r="N1094">
            <v>80</v>
          </cell>
          <cell r="O1094" t="e">
            <v>#N/A</v>
          </cell>
          <cell r="P1094" t="str">
            <v/>
          </cell>
          <cell r="Q1094" t="str">
            <v/>
          </cell>
          <cell r="R1094" t="e">
            <v>#N/A</v>
          </cell>
        </row>
        <row r="1095">
          <cell r="A1095" t="str">
            <v/>
          </cell>
          <cell r="B1095" t="str">
            <v/>
          </cell>
          <cell r="C1095" t="str">
            <v>Future</v>
          </cell>
          <cell r="D1095" t="e">
            <v>#N/A</v>
          </cell>
          <cell r="E1095">
            <v>-70.76114173228278</v>
          </cell>
          <cell r="F1095">
            <v>119.51444881890104</v>
          </cell>
          <cell r="G1095">
            <v>34.947519685039147</v>
          </cell>
          <cell r="H1095">
            <v>34.947519685039147</v>
          </cell>
          <cell r="I1095" t="e">
            <v>#N/A</v>
          </cell>
          <cell r="J1095" t="e">
            <v>#N/A</v>
          </cell>
          <cell r="K1095">
            <v>90</v>
          </cell>
          <cell r="L1095">
            <v>50</v>
          </cell>
          <cell r="M1095" t="e">
            <v>#N/A</v>
          </cell>
          <cell r="N1095">
            <v>80</v>
          </cell>
          <cell r="O1095" t="e">
            <v>#N/A</v>
          </cell>
          <cell r="P1095" t="str">
            <v/>
          </cell>
          <cell r="Q1095" t="str">
            <v/>
          </cell>
          <cell r="R1095" t="e">
            <v>#N/A</v>
          </cell>
        </row>
        <row r="1096">
          <cell r="A1096" t="str">
            <v/>
          </cell>
          <cell r="B1096" t="str">
            <v/>
          </cell>
          <cell r="C1096" t="str">
            <v>Future</v>
          </cell>
          <cell r="D1096" t="e">
            <v>#N/A</v>
          </cell>
          <cell r="E1096">
            <v>-71.011181102361519</v>
          </cell>
          <cell r="F1096">
            <v>119.61874015748373</v>
          </cell>
          <cell r="G1096">
            <v>34.894330708661194</v>
          </cell>
          <cell r="H1096">
            <v>34.894330708661194</v>
          </cell>
          <cell r="I1096" t="e">
            <v>#N/A</v>
          </cell>
          <cell r="J1096" t="e">
            <v>#N/A</v>
          </cell>
          <cell r="K1096">
            <v>90</v>
          </cell>
          <cell r="L1096">
            <v>50</v>
          </cell>
          <cell r="M1096" t="e">
            <v>#N/A</v>
          </cell>
          <cell r="N1096">
            <v>80</v>
          </cell>
          <cell r="O1096" t="e">
            <v>#N/A</v>
          </cell>
          <cell r="P1096" t="str">
            <v/>
          </cell>
          <cell r="Q1096" t="str">
            <v/>
          </cell>
          <cell r="R1096" t="e">
            <v>#N/A</v>
          </cell>
        </row>
        <row r="1097">
          <cell r="A1097" t="str">
            <v/>
          </cell>
          <cell r="B1097" t="str">
            <v/>
          </cell>
          <cell r="C1097" t="str">
            <v>Future</v>
          </cell>
          <cell r="D1097" t="e">
            <v>#N/A</v>
          </cell>
          <cell r="E1097">
            <v>-71.261220472440257</v>
          </cell>
          <cell r="F1097">
            <v>119.72303149606641</v>
          </cell>
          <cell r="G1097">
            <v>34.841141732283241</v>
          </cell>
          <cell r="H1097">
            <v>34.841141732283241</v>
          </cell>
          <cell r="I1097" t="e">
            <v>#N/A</v>
          </cell>
          <cell r="J1097" t="e">
            <v>#N/A</v>
          </cell>
          <cell r="K1097">
            <v>90</v>
          </cell>
          <cell r="L1097">
            <v>50</v>
          </cell>
          <cell r="M1097" t="e">
            <v>#N/A</v>
          </cell>
          <cell r="N1097">
            <v>80</v>
          </cell>
          <cell r="O1097" t="e">
            <v>#N/A</v>
          </cell>
          <cell r="P1097" t="str">
            <v/>
          </cell>
          <cell r="Q1097" t="str">
            <v/>
          </cell>
          <cell r="R1097" t="e">
            <v>#N/A</v>
          </cell>
        </row>
        <row r="1098">
          <cell r="A1098" t="str">
            <v/>
          </cell>
          <cell r="B1098" t="str">
            <v/>
          </cell>
          <cell r="C1098" t="str">
            <v>Future</v>
          </cell>
          <cell r="D1098" t="e">
            <v>#N/A</v>
          </cell>
          <cell r="E1098">
            <v>-71.511259842518996</v>
          </cell>
          <cell r="F1098">
            <v>119.8273228346491</v>
          </cell>
          <cell r="G1098">
            <v>34.787952755905287</v>
          </cell>
          <cell r="H1098">
            <v>34.787952755905287</v>
          </cell>
          <cell r="I1098" t="e">
            <v>#N/A</v>
          </cell>
          <cell r="J1098" t="e">
            <v>#N/A</v>
          </cell>
          <cell r="K1098">
            <v>90</v>
          </cell>
          <cell r="L1098">
            <v>50</v>
          </cell>
          <cell r="M1098" t="e">
            <v>#N/A</v>
          </cell>
          <cell r="N1098">
            <v>80</v>
          </cell>
          <cell r="O1098" t="e">
            <v>#N/A</v>
          </cell>
          <cell r="P1098" t="str">
            <v/>
          </cell>
          <cell r="Q1098" t="str">
            <v/>
          </cell>
          <cell r="R1098" t="e">
            <v>#N/A</v>
          </cell>
        </row>
        <row r="1099">
          <cell r="A1099" t="str">
            <v/>
          </cell>
          <cell r="B1099" t="str">
            <v/>
          </cell>
          <cell r="C1099" t="str">
            <v>Future</v>
          </cell>
          <cell r="D1099" t="e">
            <v>#N/A</v>
          </cell>
          <cell r="E1099">
            <v>-71.761299212597734</v>
          </cell>
          <cell r="F1099">
            <v>119.93161417323178</v>
          </cell>
          <cell r="G1099">
            <v>34.734763779527334</v>
          </cell>
          <cell r="H1099">
            <v>34.734763779527334</v>
          </cell>
          <cell r="I1099" t="e">
            <v>#N/A</v>
          </cell>
          <cell r="J1099" t="e">
            <v>#N/A</v>
          </cell>
          <cell r="K1099">
            <v>90</v>
          </cell>
          <cell r="L1099">
            <v>50</v>
          </cell>
          <cell r="M1099" t="e">
            <v>#N/A</v>
          </cell>
          <cell r="N1099">
            <v>80</v>
          </cell>
          <cell r="O1099" t="e">
            <v>#N/A</v>
          </cell>
          <cell r="P1099" t="str">
            <v/>
          </cell>
          <cell r="Q1099" t="str">
            <v/>
          </cell>
          <cell r="R1099" t="e">
            <v>#N/A</v>
          </cell>
        </row>
        <row r="1100">
          <cell r="A1100" t="str">
            <v/>
          </cell>
          <cell r="B1100" t="str">
            <v/>
          </cell>
          <cell r="C1100" t="str">
            <v>Future</v>
          </cell>
          <cell r="D1100" t="e">
            <v>#N/A</v>
          </cell>
          <cell r="E1100">
            <v>-72.011338582676473</v>
          </cell>
          <cell r="F1100">
            <v>120.03590551181446</v>
          </cell>
          <cell r="G1100">
            <v>34.681574803149381</v>
          </cell>
          <cell r="H1100">
            <v>34.681574803149381</v>
          </cell>
          <cell r="I1100" t="e">
            <v>#N/A</v>
          </cell>
          <cell r="J1100" t="e">
            <v>#N/A</v>
          </cell>
          <cell r="K1100">
            <v>90</v>
          </cell>
          <cell r="L1100">
            <v>50</v>
          </cell>
          <cell r="M1100" t="e">
            <v>#N/A</v>
          </cell>
          <cell r="N1100">
            <v>80</v>
          </cell>
          <cell r="O1100" t="e">
            <v>#N/A</v>
          </cell>
          <cell r="P1100" t="str">
            <v/>
          </cell>
          <cell r="Q1100" t="str">
            <v/>
          </cell>
          <cell r="R1100" t="e">
            <v>#N/A</v>
          </cell>
        </row>
        <row r="1101">
          <cell r="A1101" t="str">
            <v/>
          </cell>
          <cell r="B1101" t="str">
            <v/>
          </cell>
          <cell r="C1101" t="str">
            <v>Future</v>
          </cell>
          <cell r="D1101" t="e">
            <v>#N/A</v>
          </cell>
          <cell r="E1101">
            <v>-72.261377952755211</v>
          </cell>
          <cell r="F1101">
            <v>120.14019685039715</v>
          </cell>
          <cell r="G1101">
            <v>34.628385826771428</v>
          </cell>
          <cell r="H1101">
            <v>34.628385826771428</v>
          </cell>
          <cell r="I1101" t="e">
            <v>#N/A</v>
          </cell>
          <cell r="J1101" t="e">
            <v>#N/A</v>
          </cell>
          <cell r="K1101">
            <v>90</v>
          </cell>
          <cell r="L1101">
            <v>50</v>
          </cell>
          <cell r="M1101" t="e">
            <v>#N/A</v>
          </cell>
          <cell r="N1101">
            <v>80</v>
          </cell>
          <cell r="O1101" t="e">
            <v>#N/A</v>
          </cell>
          <cell r="P1101" t="str">
            <v/>
          </cell>
          <cell r="Q1101" t="str">
            <v/>
          </cell>
          <cell r="R1101" t="e">
            <v>#N/A</v>
          </cell>
        </row>
        <row r="1102">
          <cell r="A1102" t="str">
            <v/>
          </cell>
          <cell r="B1102" t="str">
            <v/>
          </cell>
          <cell r="C1102" t="str">
            <v>Future</v>
          </cell>
          <cell r="D1102" t="e">
            <v>#N/A</v>
          </cell>
          <cell r="E1102">
            <v>-72.51141732283395</v>
          </cell>
          <cell r="F1102">
            <v>120.24448818897983</v>
          </cell>
          <cell r="G1102">
            <v>34.575196850393475</v>
          </cell>
          <cell r="H1102">
            <v>34.575196850393475</v>
          </cell>
          <cell r="I1102" t="e">
            <v>#N/A</v>
          </cell>
          <cell r="J1102" t="e">
            <v>#N/A</v>
          </cell>
          <cell r="K1102">
            <v>90</v>
          </cell>
          <cell r="L1102">
            <v>50</v>
          </cell>
          <cell r="M1102" t="e">
            <v>#N/A</v>
          </cell>
          <cell r="N1102">
            <v>80</v>
          </cell>
          <cell r="O1102" t="e">
            <v>#N/A</v>
          </cell>
          <cell r="P1102" t="str">
            <v/>
          </cell>
          <cell r="Q1102" t="str">
            <v/>
          </cell>
          <cell r="R1102" t="e">
            <v>#N/A</v>
          </cell>
        </row>
        <row r="1103">
          <cell r="A1103" t="str">
            <v/>
          </cell>
          <cell r="B1103" t="str">
            <v/>
          </cell>
          <cell r="C1103" t="str">
            <v>Future</v>
          </cell>
          <cell r="D1103" t="e">
            <v>#N/A</v>
          </cell>
          <cell r="E1103">
            <v>-72.761456692912688</v>
          </cell>
          <cell r="F1103">
            <v>120.34877952756251</v>
          </cell>
          <cell r="G1103">
            <v>34.522007874015522</v>
          </cell>
          <cell r="H1103">
            <v>34.522007874015522</v>
          </cell>
          <cell r="I1103" t="e">
            <v>#N/A</v>
          </cell>
          <cell r="J1103" t="e">
            <v>#N/A</v>
          </cell>
          <cell r="K1103">
            <v>90</v>
          </cell>
          <cell r="L1103">
            <v>50</v>
          </cell>
          <cell r="M1103" t="e">
            <v>#N/A</v>
          </cell>
          <cell r="N1103">
            <v>80</v>
          </cell>
          <cell r="O1103" t="e">
            <v>#N/A</v>
          </cell>
          <cell r="P1103" t="str">
            <v/>
          </cell>
          <cell r="Q1103" t="str">
            <v/>
          </cell>
          <cell r="R1103" t="e">
            <v>#N/A</v>
          </cell>
        </row>
        <row r="1104">
          <cell r="A1104" t="str">
            <v/>
          </cell>
          <cell r="B1104" t="str">
            <v/>
          </cell>
          <cell r="C1104" t="str">
            <v>Future</v>
          </cell>
          <cell r="D1104" t="e">
            <v>#N/A</v>
          </cell>
          <cell r="E1104">
            <v>-73.011496062991426</v>
          </cell>
          <cell r="F1104">
            <v>120.4530708661452</v>
          </cell>
          <cell r="G1104">
            <v>34.468818897637568</v>
          </cell>
          <cell r="H1104">
            <v>34.468818897637568</v>
          </cell>
          <cell r="I1104" t="e">
            <v>#N/A</v>
          </cell>
          <cell r="J1104" t="e">
            <v>#N/A</v>
          </cell>
          <cell r="K1104">
            <v>90</v>
          </cell>
          <cell r="L1104">
            <v>50</v>
          </cell>
          <cell r="M1104" t="e">
            <v>#N/A</v>
          </cell>
          <cell r="N1104">
            <v>80</v>
          </cell>
          <cell r="O1104" t="e">
            <v>#N/A</v>
          </cell>
          <cell r="P1104" t="str">
            <v/>
          </cell>
          <cell r="Q1104" t="str">
            <v/>
          </cell>
          <cell r="R1104" t="e">
            <v>#N/A</v>
          </cell>
        </row>
        <row r="1105">
          <cell r="A1105" t="str">
            <v/>
          </cell>
          <cell r="B1105" t="str">
            <v/>
          </cell>
          <cell r="C1105" t="str">
            <v>Future</v>
          </cell>
          <cell r="D1105" t="e">
            <v>#N/A</v>
          </cell>
          <cell r="E1105">
            <v>-73.261535433070165</v>
          </cell>
          <cell r="F1105">
            <v>120.55736220472788</v>
          </cell>
          <cell r="G1105">
            <v>34.415629921259615</v>
          </cell>
          <cell r="H1105">
            <v>34.415629921259615</v>
          </cell>
          <cell r="I1105" t="e">
            <v>#N/A</v>
          </cell>
          <cell r="J1105" t="e">
            <v>#N/A</v>
          </cell>
          <cell r="K1105">
            <v>90</v>
          </cell>
          <cell r="L1105">
            <v>50</v>
          </cell>
          <cell r="M1105" t="e">
            <v>#N/A</v>
          </cell>
          <cell r="N1105">
            <v>80</v>
          </cell>
          <cell r="O1105" t="e">
            <v>#N/A</v>
          </cell>
          <cell r="P1105" t="str">
            <v/>
          </cell>
          <cell r="Q1105" t="str">
            <v/>
          </cell>
          <cell r="R1105" t="e">
            <v>#N/A</v>
          </cell>
        </row>
        <row r="1106">
          <cell r="A1106" t="str">
            <v/>
          </cell>
          <cell r="B1106" t="str">
            <v/>
          </cell>
          <cell r="C1106" t="str">
            <v>Future</v>
          </cell>
          <cell r="D1106" t="e">
            <v>#N/A</v>
          </cell>
          <cell r="E1106">
            <v>-73.511574803148903</v>
          </cell>
          <cell r="F1106">
            <v>120.66165354331056</v>
          </cell>
          <cell r="G1106">
            <v>34.362440944881662</v>
          </cell>
          <cell r="H1106">
            <v>34.362440944881662</v>
          </cell>
          <cell r="I1106" t="e">
            <v>#N/A</v>
          </cell>
          <cell r="J1106" t="e">
            <v>#N/A</v>
          </cell>
          <cell r="K1106">
            <v>90</v>
          </cell>
          <cell r="L1106">
            <v>50</v>
          </cell>
          <cell r="M1106" t="e">
            <v>#N/A</v>
          </cell>
          <cell r="N1106">
            <v>80</v>
          </cell>
          <cell r="O1106" t="e">
            <v>#N/A</v>
          </cell>
          <cell r="P1106" t="str">
            <v/>
          </cell>
          <cell r="Q1106" t="str">
            <v/>
          </cell>
          <cell r="R1106" t="e">
            <v>#N/A</v>
          </cell>
        </row>
        <row r="1107">
          <cell r="A1107" t="str">
            <v/>
          </cell>
          <cell r="B1107" t="str">
            <v/>
          </cell>
          <cell r="C1107" t="str">
            <v>Future</v>
          </cell>
          <cell r="D1107" t="e">
            <v>#N/A</v>
          </cell>
          <cell r="E1107">
            <v>-73.761614173227642</v>
          </cell>
          <cell r="F1107">
            <v>120.76594488189325</v>
          </cell>
          <cell r="G1107">
            <v>34.309251968503709</v>
          </cell>
          <cell r="H1107">
            <v>34.309251968503709</v>
          </cell>
          <cell r="I1107" t="e">
            <v>#N/A</v>
          </cell>
          <cell r="J1107" t="e">
            <v>#N/A</v>
          </cell>
          <cell r="K1107">
            <v>90</v>
          </cell>
          <cell r="L1107">
            <v>50</v>
          </cell>
          <cell r="M1107" t="e">
            <v>#N/A</v>
          </cell>
          <cell r="N1107">
            <v>80</v>
          </cell>
          <cell r="O1107" t="e">
            <v>#N/A</v>
          </cell>
          <cell r="P1107" t="str">
            <v/>
          </cell>
          <cell r="Q1107" t="str">
            <v/>
          </cell>
          <cell r="R1107" t="e">
            <v>#N/A</v>
          </cell>
        </row>
        <row r="1108">
          <cell r="A1108" t="str">
            <v/>
          </cell>
          <cell r="B1108" t="str">
            <v/>
          </cell>
          <cell r="C1108" t="str">
            <v>Future</v>
          </cell>
          <cell r="D1108" t="e">
            <v>#N/A</v>
          </cell>
          <cell r="E1108">
            <v>-74.01165354330638</v>
          </cell>
          <cell r="F1108">
            <v>120.87023622047593</v>
          </cell>
          <cell r="G1108">
            <v>34.256062992125756</v>
          </cell>
          <cell r="H1108">
            <v>34.256062992125756</v>
          </cell>
          <cell r="I1108" t="e">
            <v>#N/A</v>
          </cell>
          <cell r="J1108" t="e">
            <v>#N/A</v>
          </cell>
          <cell r="K1108">
            <v>90</v>
          </cell>
          <cell r="L1108">
            <v>50</v>
          </cell>
          <cell r="M1108" t="e">
            <v>#N/A</v>
          </cell>
          <cell r="N1108">
            <v>80</v>
          </cell>
          <cell r="O1108" t="e">
            <v>#N/A</v>
          </cell>
          <cell r="P1108" t="str">
            <v/>
          </cell>
          <cell r="Q1108" t="str">
            <v/>
          </cell>
          <cell r="R1108" t="e">
            <v>#N/A</v>
          </cell>
        </row>
        <row r="1109">
          <cell r="A1109" t="str">
            <v/>
          </cell>
          <cell r="B1109" t="str">
            <v/>
          </cell>
          <cell r="C1109" t="str">
            <v>Future</v>
          </cell>
          <cell r="D1109" t="e">
            <v>#N/A</v>
          </cell>
          <cell r="E1109">
            <v>-74.261692913385119</v>
          </cell>
          <cell r="F1109">
            <v>120.97452755905861</v>
          </cell>
          <cell r="G1109">
            <v>34.202874015747803</v>
          </cell>
          <cell r="H1109">
            <v>34.202874015747803</v>
          </cell>
          <cell r="I1109" t="e">
            <v>#N/A</v>
          </cell>
          <cell r="J1109" t="e">
            <v>#N/A</v>
          </cell>
          <cell r="K1109">
            <v>90</v>
          </cell>
          <cell r="L1109">
            <v>50</v>
          </cell>
          <cell r="M1109" t="e">
            <v>#N/A</v>
          </cell>
          <cell r="N1109">
            <v>80</v>
          </cell>
          <cell r="O1109" t="e">
            <v>#N/A</v>
          </cell>
          <cell r="P1109" t="str">
            <v/>
          </cell>
          <cell r="Q1109" t="str">
            <v/>
          </cell>
          <cell r="R1109" t="e">
            <v>#N/A</v>
          </cell>
        </row>
        <row r="1110">
          <cell r="A1110" t="str">
            <v/>
          </cell>
          <cell r="B1110" t="str">
            <v/>
          </cell>
          <cell r="C1110" t="str">
            <v>Future</v>
          </cell>
          <cell r="D1110" t="e">
            <v>#N/A</v>
          </cell>
          <cell r="E1110">
            <v>-74.511732283463857</v>
          </cell>
          <cell r="F1110">
            <v>121.0788188976413</v>
          </cell>
          <cell r="G1110">
            <v>34.149685039369849</v>
          </cell>
          <cell r="H1110">
            <v>34.149685039369849</v>
          </cell>
          <cell r="I1110" t="e">
            <v>#N/A</v>
          </cell>
          <cell r="J1110" t="e">
            <v>#N/A</v>
          </cell>
          <cell r="K1110">
            <v>90</v>
          </cell>
          <cell r="L1110">
            <v>50</v>
          </cell>
          <cell r="M1110" t="e">
            <v>#N/A</v>
          </cell>
          <cell r="N1110">
            <v>80</v>
          </cell>
          <cell r="O1110" t="e">
            <v>#N/A</v>
          </cell>
          <cell r="P1110" t="str">
            <v/>
          </cell>
          <cell r="Q1110" t="str">
            <v/>
          </cell>
          <cell r="R1110" t="e">
            <v>#N/A</v>
          </cell>
        </row>
        <row r="1111">
          <cell r="A1111" t="str">
            <v/>
          </cell>
          <cell r="B1111" t="str">
            <v/>
          </cell>
          <cell r="C1111" t="str">
            <v>Future</v>
          </cell>
          <cell r="D1111" t="e">
            <v>#N/A</v>
          </cell>
          <cell r="E1111">
            <v>-74.761771653542596</v>
          </cell>
          <cell r="F1111">
            <v>121.18311023622398</v>
          </cell>
          <cell r="G1111">
            <v>34.096496062991896</v>
          </cell>
          <cell r="H1111">
            <v>34.096496062991896</v>
          </cell>
          <cell r="I1111" t="e">
            <v>#N/A</v>
          </cell>
          <cell r="J1111" t="e">
            <v>#N/A</v>
          </cell>
          <cell r="K1111">
            <v>90</v>
          </cell>
          <cell r="L1111">
            <v>50</v>
          </cell>
          <cell r="M1111" t="e">
            <v>#N/A</v>
          </cell>
          <cell r="N1111">
            <v>80</v>
          </cell>
          <cell r="O1111" t="e">
            <v>#N/A</v>
          </cell>
          <cell r="P1111" t="str">
            <v/>
          </cell>
          <cell r="Q1111" t="str">
            <v/>
          </cell>
          <cell r="R1111" t="e">
            <v>#N/A</v>
          </cell>
        </row>
        <row r="1112">
          <cell r="A1112" t="str">
            <v/>
          </cell>
          <cell r="B1112" t="str">
            <v/>
          </cell>
          <cell r="C1112" t="str">
            <v>Future</v>
          </cell>
          <cell r="D1112" t="e">
            <v>#N/A</v>
          </cell>
          <cell r="E1112">
            <v>-75.011811023621334</v>
          </cell>
          <cell r="F1112">
            <v>121.28740157480667</v>
          </cell>
          <cell r="G1112">
            <v>34.043307086613943</v>
          </cell>
          <cell r="H1112">
            <v>34.043307086613943</v>
          </cell>
          <cell r="I1112" t="e">
            <v>#N/A</v>
          </cell>
          <cell r="J1112" t="e">
            <v>#N/A</v>
          </cell>
          <cell r="K1112">
            <v>90</v>
          </cell>
          <cell r="L1112">
            <v>50</v>
          </cell>
          <cell r="M1112" t="e">
            <v>#N/A</v>
          </cell>
          <cell r="N1112">
            <v>80</v>
          </cell>
          <cell r="O1112" t="e">
            <v>#N/A</v>
          </cell>
          <cell r="P1112" t="str">
            <v/>
          </cell>
          <cell r="Q1112" t="str">
            <v/>
          </cell>
          <cell r="R1112" t="e">
            <v>#N/A</v>
          </cell>
        </row>
        <row r="1113">
          <cell r="A1113" t="str">
            <v/>
          </cell>
          <cell r="B1113" t="str">
            <v/>
          </cell>
          <cell r="C1113" t="str">
            <v>Future</v>
          </cell>
          <cell r="D1113" t="e">
            <v>#N/A</v>
          </cell>
          <cell r="E1113">
            <v>-75.261850393700072</v>
          </cell>
          <cell r="F1113">
            <v>121.39169291338935</v>
          </cell>
          <cell r="G1113">
            <v>33.99011811023599</v>
          </cell>
          <cell r="H1113">
            <v>33.99011811023599</v>
          </cell>
          <cell r="I1113" t="e">
            <v>#N/A</v>
          </cell>
          <cell r="J1113" t="e">
            <v>#N/A</v>
          </cell>
          <cell r="K1113">
            <v>90</v>
          </cell>
          <cell r="L1113">
            <v>50</v>
          </cell>
          <cell r="M1113" t="e">
            <v>#N/A</v>
          </cell>
          <cell r="N1113">
            <v>80</v>
          </cell>
          <cell r="O1113" t="e">
            <v>#N/A</v>
          </cell>
          <cell r="P1113" t="str">
            <v/>
          </cell>
          <cell r="Q1113" t="str">
            <v/>
          </cell>
          <cell r="R1113" t="e">
            <v>#N/A</v>
          </cell>
        </row>
        <row r="1114">
          <cell r="A1114" t="str">
            <v/>
          </cell>
          <cell r="B1114" t="str">
            <v/>
          </cell>
          <cell r="C1114" t="str">
            <v>Future</v>
          </cell>
          <cell r="D1114" t="e">
            <v>#N/A</v>
          </cell>
          <cell r="E1114">
            <v>-75.511889763778811</v>
          </cell>
          <cell r="F1114">
            <v>121.49598425197203</v>
          </cell>
          <cell r="G1114">
            <v>33.936929133858037</v>
          </cell>
          <cell r="H1114">
            <v>33.936929133858037</v>
          </cell>
          <cell r="I1114" t="e">
            <v>#N/A</v>
          </cell>
          <cell r="J1114" t="e">
            <v>#N/A</v>
          </cell>
          <cell r="K1114">
            <v>90</v>
          </cell>
          <cell r="L1114">
            <v>50</v>
          </cell>
          <cell r="M1114" t="e">
            <v>#N/A</v>
          </cell>
          <cell r="N1114">
            <v>80</v>
          </cell>
          <cell r="O1114" t="e">
            <v>#N/A</v>
          </cell>
          <cell r="P1114" t="str">
            <v/>
          </cell>
          <cell r="Q1114" t="str">
            <v/>
          </cell>
          <cell r="R1114" t="e">
            <v>#N/A</v>
          </cell>
        </row>
        <row r="1115">
          <cell r="A1115" t="str">
            <v/>
          </cell>
          <cell r="B1115" t="str">
            <v/>
          </cell>
          <cell r="C1115" t="str">
            <v>Future</v>
          </cell>
          <cell r="D1115" t="e">
            <v>#N/A</v>
          </cell>
          <cell r="E1115">
            <v>-75.761929133857549</v>
          </cell>
          <cell r="F1115">
            <v>121.60027559055472</v>
          </cell>
          <cell r="G1115">
            <v>33.883740157480084</v>
          </cell>
          <cell r="H1115">
            <v>33.883740157480084</v>
          </cell>
          <cell r="I1115" t="e">
            <v>#N/A</v>
          </cell>
          <cell r="J1115" t="e">
            <v>#N/A</v>
          </cell>
          <cell r="K1115">
            <v>90</v>
          </cell>
          <cell r="L1115">
            <v>50</v>
          </cell>
          <cell r="M1115" t="e">
            <v>#N/A</v>
          </cell>
          <cell r="N1115">
            <v>80</v>
          </cell>
          <cell r="O1115" t="e">
            <v>#N/A</v>
          </cell>
          <cell r="P1115" t="str">
            <v/>
          </cell>
          <cell r="Q1115" t="str">
            <v/>
          </cell>
          <cell r="R1115" t="e">
            <v>#N/A</v>
          </cell>
        </row>
        <row r="1116">
          <cell r="A1116" t="str">
            <v/>
          </cell>
          <cell r="B1116" t="str">
            <v/>
          </cell>
          <cell r="C1116" t="str">
            <v>Future</v>
          </cell>
          <cell r="D1116" t="e">
            <v>#N/A</v>
          </cell>
          <cell r="E1116">
            <v>-76.011968503936288</v>
          </cell>
          <cell r="F1116">
            <v>121.7045669291374</v>
          </cell>
          <cell r="G1116">
            <v>33.83055118110213</v>
          </cell>
          <cell r="H1116">
            <v>33.83055118110213</v>
          </cell>
          <cell r="I1116" t="e">
            <v>#N/A</v>
          </cell>
          <cell r="J1116" t="e">
            <v>#N/A</v>
          </cell>
          <cell r="K1116">
            <v>90</v>
          </cell>
          <cell r="L1116">
            <v>50</v>
          </cell>
          <cell r="M1116" t="e">
            <v>#N/A</v>
          </cell>
          <cell r="N1116">
            <v>80</v>
          </cell>
          <cell r="O1116" t="e">
            <v>#N/A</v>
          </cell>
          <cell r="P1116" t="str">
            <v/>
          </cell>
          <cell r="Q1116" t="str">
            <v/>
          </cell>
          <cell r="R1116" t="e">
            <v>#N/A</v>
          </cell>
        </row>
        <row r="1117">
          <cell r="A1117" t="str">
            <v/>
          </cell>
          <cell r="B1117" t="str">
            <v/>
          </cell>
          <cell r="C1117" t="str">
            <v>Future</v>
          </cell>
          <cell r="D1117" t="e">
            <v>#N/A</v>
          </cell>
          <cell r="E1117">
            <v>-76.262007874015026</v>
          </cell>
          <cell r="F1117">
            <v>121.80885826772008</v>
          </cell>
          <cell r="G1117">
            <v>33.777362204724177</v>
          </cell>
          <cell r="H1117">
            <v>33.777362204724177</v>
          </cell>
          <cell r="I1117" t="e">
            <v>#N/A</v>
          </cell>
          <cell r="J1117" t="e">
            <v>#N/A</v>
          </cell>
          <cell r="K1117">
            <v>90</v>
          </cell>
          <cell r="L1117">
            <v>50</v>
          </cell>
          <cell r="M1117" t="e">
            <v>#N/A</v>
          </cell>
          <cell r="N1117">
            <v>80</v>
          </cell>
          <cell r="O1117" t="e">
            <v>#N/A</v>
          </cell>
          <cell r="P1117" t="str">
            <v/>
          </cell>
          <cell r="Q1117" t="str">
            <v/>
          </cell>
          <cell r="R1117" t="e">
            <v>#N/A</v>
          </cell>
        </row>
        <row r="1118">
          <cell r="A1118" t="str">
            <v/>
          </cell>
          <cell r="B1118" t="str">
            <v/>
          </cell>
          <cell r="C1118" t="str">
            <v>Future</v>
          </cell>
          <cell r="D1118" t="e">
            <v>#N/A</v>
          </cell>
          <cell r="E1118">
            <v>-76.512047244093765</v>
          </cell>
          <cell r="F1118">
            <v>121.91314960630277</v>
          </cell>
          <cell r="G1118">
            <v>33.724173228346224</v>
          </cell>
          <cell r="H1118">
            <v>33.724173228346224</v>
          </cell>
          <cell r="I1118" t="e">
            <v>#N/A</v>
          </cell>
          <cell r="J1118" t="e">
            <v>#N/A</v>
          </cell>
          <cell r="K1118">
            <v>90</v>
          </cell>
          <cell r="L1118">
            <v>50</v>
          </cell>
          <cell r="M1118" t="e">
            <v>#N/A</v>
          </cell>
          <cell r="N1118">
            <v>80</v>
          </cell>
          <cell r="O1118" t="e">
            <v>#N/A</v>
          </cell>
          <cell r="P1118" t="str">
            <v/>
          </cell>
          <cell r="Q1118" t="str">
            <v/>
          </cell>
          <cell r="R1118" t="e">
            <v>#N/A</v>
          </cell>
        </row>
        <row r="1119">
          <cell r="A1119" t="str">
            <v/>
          </cell>
          <cell r="B1119" t="str">
            <v/>
          </cell>
          <cell r="C1119" t="str">
            <v>Future</v>
          </cell>
          <cell r="D1119" t="e">
            <v>#N/A</v>
          </cell>
          <cell r="E1119">
            <v>-76.762086614172503</v>
          </cell>
          <cell r="F1119">
            <v>122.01744094488545</v>
          </cell>
          <cell r="G1119">
            <v>33.670984251968271</v>
          </cell>
          <cell r="H1119">
            <v>33.670984251968271</v>
          </cell>
          <cell r="I1119" t="e">
            <v>#N/A</v>
          </cell>
          <cell r="J1119" t="e">
            <v>#N/A</v>
          </cell>
          <cell r="K1119">
            <v>90</v>
          </cell>
          <cell r="L1119">
            <v>50</v>
          </cell>
          <cell r="M1119" t="e">
            <v>#N/A</v>
          </cell>
          <cell r="N1119">
            <v>80</v>
          </cell>
          <cell r="O1119" t="e">
            <v>#N/A</v>
          </cell>
          <cell r="P1119" t="str">
            <v/>
          </cell>
          <cell r="Q1119" t="str">
            <v/>
          </cell>
          <cell r="R1119" t="e">
            <v>#N/A</v>
          </cell>
        </row>
        <row r="1120">
          <cell r="A1120" t="str">
            <v/>
          </cell>
          <cell r="B1120" t="str">
            <v/>
          </cell>
          <cell r="C1120" t="str">
            <v>Future</v>
          </cell>
          <cell r="D1120" t="e">
            <v>#N/A</v>
          </cell>
          <cell r="E1120">
            <v>-77.012125984251242</v>
          </cell>
          <cell r="F1120">
            <v>122.12173228346813</v>
          </cell>
          <cell r="G1120">
            <v>33.617795275590318</v>
          </cell>
          <cell r="H1120">
            <v>33.617795275590318</v>
          </cell>
          <cell r="I1120" t="e">
            <v>#N/A</v>
          </cell>
          <cell r="J1120" t="e">
            <v>#N/A</v>
          </cell>
          <cell r="K1120">
            <v>90</v>
          </cell>
          <cell r="L1120">
            <v>50</v>
          </cell>
          <cell r="M1120" t="e">
            <v>#N/A</v>
          </cell>
          <cell r="N1120">
            <v>80</v>
          </cell>
          <cell r="O1120" t="e">
            <v>#N/A</v>
          </cell>
          <cell r="P1120" t="str">
            <v/>
          </cell>
          <cell r="Q1120" t="str">
            <v/>
          </cell>
          <cell r="R1120" t="e">
            <v>#N/A</v>
          </cell>
        </row>
        <row r="1121">
          <cell r="A1121" t="str">
            <v/>
          </cell>
          <cell r="B1121" t="str">
            <v/>
          </cell>
          <cell r="C1121" t="str">
            <v>Future</v>
          </cell>
          <cell r="D1121" t="e">
            <v>#N/A</v>
          </cell>
          <cell r="E1121">
            <v>-77.26216535432998</v>
          </cell>
          <cell r="F1121">
            <v>122.22602362205082</v>
          </cell>
          <cell r="G1121">
            <v>33.564606299212365</v>
          </cell>
          <cell r="H1121">
            <v>33.564606299212365</v>
          </cell>
          <cell r="I1121" t="e">
            <v>#N/A</v>
          </cell>
          <cell r="J1121" t="e">
            <v>#N/A</v>
          </cell>
          <cell r="K1121">
            <v>90</v>
          </cell>
          <cell r="L1121">
            <v>50</v>
          </cell>
          <cell r="M1121" t="e">
            <v>#N/A</v>
          </cell>
          <cell r="N1121">
            <v>80</v>
          </cell>
          <cell r="O1121" t="e">
            <v>#N/A</v>
          </cell>
          <cell r="P1121" t="str">
            <v/>
          </cell>
          <cell r="Q1121" t="str">
            <v/>
          </cell>
          <cell r="R1121" t="e">
            <v>#N/A</v>
          </cell>
        </row>
        <row r="1122">
          <cell r="A1122" t="str">
            <v/>
          </cell>
          <cell r="B1122" t="str">
            <v/>
          </cell>
          <cell r="C1122" t="str">
            <v>Future</v>
          </cell>
          <cell r="D1122" t="e">
            <v>#N/A</v>
          </cell>
          <cell r="E1122">
            <v>-77.512204724408718</v>
          </cell>
          <cell r="F1122">
            <v>122.3303149606335</v>
          </cell>
          <cell r="G1122">
            <v>33.511417322834411</v>
          </cell>
          <cell r="H1122">
            <v>33.511417322834411</v>
          </cell>
          <cell r="I1122" t="e">
            <v>#N/A</v>
          </cell>
          <cell r="J1122" t="e">
            <v>#N/A</v>
          </cell>
          <cell r="K1122">
            <v>90</v>
          </cell>
          <cell r="L1122">
            <v>50</v>
          </cell>
          <cell r="M1122" t="e">
            <v>#N/A</v>
          </cell>
          <cell r="N1122">
            <v>80</v>
          </cell>
          <cell r="O1122" t="e">
            <v>#N/A</v>
          </cell>
          <cell r="P1122" t="str">
            <v/>
          </cell>
          <cell r="Q1122" t="str">
            <v/>
          </cell>
          <cell r="R1122" t="e">
            <v>#N/A</v>
          </cell>
        </row>
        <row r="1123">
          <cell r="A1123" t="str">
            <v/>
          </cell>
          <cell r="B1123" t="str">
            <v/>
          </cell>
          <cell r="C1123" t="str">
            <v>Future</v>
          </cell>
          <cell r="D1123" t="e">
            <v>#N/A</v>
          </cell>
          <cell r="E1123">
            <v>-77.762244094487457</v>
          </cell>
          <cell r="F1123">
            <v>122.43460629921618</v>
          </cell>
          <cell r="G1123">
            <v>33.458228346456458</v>
          </cell>
          <cell r="H1123">
            <v>33.458228346456458</v>
          </cell>
          <cell r="I1123" t="e">
            <v>#N/A</v>
          </cell>
          <cell r="J1123" t="e">
            <v>#N/A</v>
          </cell>
          <cell r="K1123">
            <v>90</v>
          </cell>
          <cell r="L1123">
            <v>50</v>
          </cell>
          <cell r="M1123" t="e">
            <v>#N/A</v>
          </cell>
          <cell r="N1123">
            <v>80</v>
          </cell>
          <cell r="O1123" t="e">
            <v>#N/A</v>
          </cell>
          <cell r="P1123" t="str">
            <v/>
          </cell>
          <cell r="Q1123" t="str">
            <v/>
          </cell>
          <cell r="R1123" t="e">
            <v>#N/A</v>
          </cell>
        </row>
        <row r="1124">
          <cell r="A1124" t="str">
            <v/>
          </cell>
          <cell r="B1124" t="str">
            <v/>
          </cell>
          <cell r="C1124" t="str">
            <v>Future</v>
          </cell>
          <cell r="D1124" t="e">
            <v>#N/A</v>
          </cell>
          <cell r="E1124">
            <v>-78.012283464566195</v>
          </cell>
          <cell r="F1124">
            <v>122.53889763779887</v>
          </cell>
          <cell r="G1124">
            <v>33.405039370078505</v>
          </cell>
          <cell r="H1124">
            <v>33.405039370078505</v>
          </cell>
          <cell r="I1124" t="e">
            <v>#N/A</v>
          </cell>
          <cell r="J1124" t="e">
            <v>#N/A</v>
          </cell>
          <cell r="K1124">
            <v>90</v>
          </cell>
          <cell r="L1124">
            <v>50</v>
          </cell>
          <cell r="M1124" t="e">
            <v>#N/A</v>
          </cell>
          <cell r="N1124">
            <v>80</v>
          </cell>
          <cell r="O1124" t="e">
            <v>#N/A</v>
          </cell>
          <cell r="P1124" t="str">
            <v/>
          </cell>
          <cell r="Q1124" t="str">
            <v/>
          </cell>
          <cell r="R1124" t="e">
            <v>#N/A</v>
          </cell>
        </row>
        <row r="1125">
          <cell r="A1125" t="str">
            <v/>
          </cell>
          <cell r="B1125" t="str">
            <v/>
          </cell>
          <cell r="C1125" t="str">
            <v>Future</v>
          </cell>
          <cell r="D1125" t="e">
            <v>#N/A</v>
          </cell>
          <cell r="E1125">
            <v>-78.262322834644934</v>
          </cell>
          <cell r="F1125">
            <v>122.64318897638155</v>
          </cell>
          <cell r="G1125">
            <v>33.351850393700552</v>
          </cell>
          <cell r="H1125">
            <v>33.351850393700552</v>
          </cell>
          <cell r="I1125" t="e">
            <v>#N/A</v>
          </cell>
          <cell r="J1125" t="e">
            <v>#N/A</v>
          </cell>
          <cell r="K1125">
            <v>90</v>
          </cell>
          <cell r="L1125">
            <v>50</v>
          </cell>
          <cell r="M1125" t="e">
            <v>#N/A</v>
          </cell>
          <cell r="N1125">
            <v>80</v>
          </cell>
          <cell r="O1125" t="e">
            <v>#N/A</v>
          </cell>
          <cell r="P1125" t="str">
            <v/>
          </cell>
          <cell r="Q1125" t="str">
            <v/>
          </cell>
          <cell r="R1125" t="e">
            <v>#N/A</v>
          </cell>
        </row>
        <row r="1126">
          <cell r="A1126" t="str">
            <v/>
          </cell>
          <cell r="B1126" t="str">
            <v/>
          </cell>
          <cell r="C1126" t="str">
            <v>Future</v>
          </cell>
          <cell r="D1126" t="e">
            <v>#N/A</v>
          </cell>
          <cell r="E1126">
            <v>-78.512362204723672</v>
          </cell>
          <cell r="F1126">
            <v>122.74748031496424</v>
          </cell>
          <cell r="G1126">
            <v>33.298661417322599</v>
          </cell>
          <cell r="H1126">
            <v>33.298661417322599</v>
          </cell>
          <cell r="I1126" t="e">
            <v>#N/A</v>
          </cell>
          <cell r="J1126" t="e">
            <v>#N/A</v>
          </cell>
          <cell r="K1126">
            <v>90</v>
          </cell>
          <cell r="L1126">
            <v>50</v>
          </cell>
          <cell r="M1126" t="e">
            <v>#N/A</v>
          </cell>
          <cell r="N1126">
            <v>80</v>
          </cell>
          <cell r="O1126" t="e">
            <v>#N/A</v>
          </cell>
          <cell r="P1126" t="str">
            <v/>
          </cell>
          <cell r="Q1126" t="str">
            <v/>
          </cell>
          <cell r="R1126" t="e">
            <v>#N/A</v>
          </cell>
        </row>
        <row r="1127">
          <cell r="A1127" t="str">
            <v/>
          </cell>
          <cell r="B1127" t="str">
            <v/>
          </cell>
          <cell r="C1127" t="str">
            <v>Future</v>
          </cell>
          <cell r="D1127" t="e">
            <v>#N/A</v>
          </cell>
          <cell r="E1127">
            <v>-78.762401574802411</v>
          </cell>
          <cell r="F1127">
            <v>122.85177165354692</v>
          </cell>
          <cell r="G1127">
            <v>33.245472440944646</v>
          </cell>
          <cell r="H1127">
            <v>33.245472440944646</v>
          </cell>
          <cell r="I1127" t="e">
            <v>#N/A</v>
          </cell>
          <cell r="J1127" t="e">
            <v>#N/A</v>
          </cell>
          <cell r="K1127">
            <v>90</v>
          </cell>
          <cell r="L1127">
            <v>50</v>
          </cell>
          <cell r="M1127" t="e">
            <v>#N/A</v>
          </cell>
          <cell r="N1127">
            <v>80</v>
          </cell>
          <cell r="O1127" t="e">
            <v>#N/A</v>
          </cell>
          <cell r="P1127" t="str">
            <v/>
          </cell>
          <cell r="Q1127" t="str">
            <v/>
          </cell>
          <cell r="R1127" t="e">
            <v>#N/A</v>
          </cell>
        </row>
        <row r="1128">
          <cell r="A1128" t="str">
            <v/>
          </cell>
          <cell r="B1128" t="str">
            <v/>
          </cell>
          <cell r="C1128" t="str">
            <v>Future</v>
          </cell>
          <cell r="D1128" t="e">
            <v>#N/A</v>
          </cell>
          <cell r="E1128">
            <v>-79.012440944881149</v>
          </cell>
          <cell r="F1128">
            <v>122.9560629921296</v>
          </cell>
          <cell r="G1128">
            <v>33.192283464566692</v>
          </cell>
          <cell r="H1128">
            <v>33.192283464566692</v>
          </cell>
          <cell r="I1128" t="e">
            <v>#N/A</v>
          </cell>
          <cell r="J1128" t="e">
            <v>#N/A</v>
          </cell>
          <cell r="K1128">
            <v>90</v>
          </cell>
          <cell r="L1128">
            <v>50</v>
          </cell>
          <cell r="M1128" t="e">
            <v>#N/A</v>
          </cell>
          <cell r="N1128">
            <v>80</v>
          </cell>
          <cell r="O1128" t="e">
            <v>#N/A</v>
          </cell>
          <cell r="P1128" t="str">
            <v/>
          </cell>
          <cell r="Q1128" t="str">
            <v/>
          </cell>
          <cell r="R1128" t="e">
            <v>#N/A</v>
          </cell>
        </row>
        <row r="1129">
          <cell r="A1129" t="str">
            <v/>
          </cell>
          <cell r="B1129" t="str">
            <v/>
          </cell>
          <cell r="C1129" t="str">
            <v>Future</v>
          </cell>
          <cell r="D1129" t="e">
            <v>#N/A</v>
          </cell>
          <cell r="E1129">
            <v>-79.262480314959888</v>
          </cell>
          <cell r="F1129">
            <v>123.06035433071229</v>
          </cell>
          <cell r="G1129">
            <v>33.139094488188739</v>
          </cell>
          <cell r="H1129">
            <v>33.139094488188739</v>
          </cell>
          <cell r="I1129" t="e">
            <v>#N/A</v>
          </cell>
          <cell r="J1129" t="e">
            <v>#N/A</v>
          </cell>
          <cell r="K1129">
            <v>90</v>
          </cell>
          <cell r="L1129">
            <v>50</v>
          </cell>
          <cell r="M1129" t="e">
            <v>#N/A</v>
          </cell>
          <cell r="N1129">
            <v>80</v>
          </cell>
          <cell r="O1129" t="e">
            <v>#N/A</v>
          </cell>
          <cell r="P1129" t="str">
            <v/>
          </cell>
          <cell r="Q1129" t="str">
            <v/>
          </cell>
          <cell r="R1129" t="e">
            <v>#N/A</v>
          </cell>
        </row>
        <row r="1130">
          <cell r="A1130" t="str">
            <v/>
          </cell>
          <cell r="B1130" t="str">
            <v/>
          </cell>
          <cell r="C1130" t="str">
            <v>Future</v>
          </cell>
          <cell r="D1130" t="e">
            <v>#N/A</v>
          </cell>
          <cell r="E1130">
            <v>-79.512519685038626</v>
          </cell>
          <cell r="F1130">
            <v>123.16464566929497</v>
          </cell>
          <cell r="G1130">
            <v>33.085905511810786</v>
          </cell>
          <cell r="H1130">
            <v>33.085905511810786</v>
          </cell>
          <cell r="I1130" t="e">
            <v>#N/A</v>
          </cell>
          <cell r="J1130" t="e">
            <v>#N/A</v>
          </cell>
          <cell r="K1130">
            <v>90</v>
          </cell>
          <cell r="L1130">
            <v>50</v>
          </cell>
          <cell r="M1130" t="e">
            <v>#N/A</v>
          </cell>
          <cell r="N1130">
            <v>80</v>
          </cell>
          <cell r="O1130" t="e">
            <v>#N/A</v>
          </cell>
          <cell r="P1130" t="str">
            <v/>
          </cell>
          <cell r="Q1130" t="str">
            <v/>
          </cell>
          <cell r="R1130" t="e">
            <v>#N/A</v>
          </cell>
        </row>
        <row r="1131">
          <cell r="A1131" t="str">
            <v/>
          </cell>
          <cell r="B1131" t="str">
            <v/>
          </cell>
          <cell r="C1131" t="str">
            <v>Future</v>
          </cell>
          <cell r="D1131" t="e">
            <v>#N/A</v>
          </cell>
          <cell r="E1131">
            <v>-79.762559055117364</v>
          </cell>
          <cell r="F1131">
            <v>123.26893700787765</v>
          </cell>
          <cell r="G1131">
            <v>33.032716535432833</v>
          </cell>
          <cell r="H1131">
            <v>33.032716535432833</v>
          </cell>
          <cell r="I1131" t="e">
            <v>#N/A</v>
          </cell>
          <cell r="J1131" t="e">
            <v>#N/A</v>
          </cell>
          <cell r="K1131">
            <v>90</v>
          </cell>
          <cell r="L1131">
            <v>50</v>
          </cell>
          <cell r="M1131" t="e">
            <v>#N/A</v>
          </cell>
          <cell r="N1131">
            <v>80</v>
          </cell>
          <cell r="O1131" t="e">
            <v>#N/A</v>
          </cell>
          <cell r="P1131" t="str">
            <v/>
          </cell>
          <cell r="Q1131" t="str">
            <v/>
          </cell>
          <cell r="R1131" t="e">
            <v>#N/A</v>
          </cell>
        </row>
        <row r="1132">
          <cell r="A1132" t="str">
            <v/>
          </cell>
          <cell r="B1132" t="str">
            <v/>
          </cell>
          <cell r="C1132" t="str">
            <v>Future</v>
          </cell>
          <cell r="D1132" t="e">
            <v>#N/A</v>
          </cell>
          <cell r="E1132">
            <v>-80.012598425196103</v>
          </cell>
          <cell r="F1132">
            <v>123.37322834646034</v>
          </cell>
          <cell r="G1132">
            <v>32.97952755905488</v>
          </cell>
          <cell r="H1132">
            <v>32.97952755905488</v>
          </cell>
          <cell r="I1132" t="e">
            <v>#N/A</v>
          </cell>
          <cell r="J1132" t="e">
            <v>#N/A</v>
          </cell>
          <cell r="K1132">
            <v>90</v>
          </cell>
          <cell r="L1132">
            <v>50</v>
          </cell>
          <cell r="M1132" t="e">
            <v>#N/A</v>
          </cell>
          <cell r="N1132">
            <v>80</v>
          </cell>
          <cell r="O1132" t="e">
            <v>#N/A</v>
          </cell>
          <cell r="P1132" t="str">
            <v/>
          </cell>
          <cell r="Q1132" t="str">
            <v/>
          </cell>
          <cell r="R1132" t="e">
            <v>#N/A</v>
          </cell>
        </row>
        <row r="1133">
          <cell r="A1133" t="str">
            <v/>
          </cell>
          <cell r="B1133" t="str">
            <v/>
          </cell>
          <cell r="C1133" t="str">
            <v>Future</v>
          </cell>
          <cell r="D1133" t="e">
            <v>#N/A</v>
          </cell>
          <cell r="E1133">
            <v>-80.262637795274841</v>
          </cell>
          <cell r="F1133">
            <v>123.47751968504302</v>
          </cell>
          <cell r="G1133">
            <v>32.926338582676927</v>
          </cell>
          <cell r="H1133">
            <v>32.926338582676927</v>
          </cell>
          <cell r="I1133" t="e">
            <v>#N/A</v>
          </cell>
          <cell r="J1133" t="e">
            <v>#N/A</v>
          </cell>
          <cell r="K1133">
            <v>90</v>
          </cell>
          <cell r="L1133">
            <v>50</v>
          </cell>
          <cell r="M1133" t="e">
            <v>#N/A</v>
          </cell>
          <cell r="N1133">
            <v>80</v>
          </cell>
          <cell r="O1133" t="e">
            <v>#N/A</v>
          </cell>
          <cell r="P1133" t="str">
            <v/>
          </cell>
          <cell r="Q1133" t="str">
            <v/>
          </cell>
          <cell r="R1133" t="e">
            <v>#N/A</v>
          </cell>
        </row>
        <row r="1134">
          <cell r="A1134" t="str">
            <v/>
          </cell>
          <cell r="B1134" t="str">
            <v/>
          </cell>
          <cell r="C1134" t="str">
            <v>Future</v>
          </cell>
          <cell r="D1134" t="e">
            <v>#N/A</v>
          </cell>
          <cell r="E1134">
            <v>-80.51267716535358</v>
          </cell>
          <cell r="F1134">
            <v>123.5818110236257</v>
          </cell>
          <cell r="G1134">
            <v>32.873149606298973</v>
          </cell>
          <cell r="H1134">
            <v>32.873149606298973</v>
          </cell>
          <cell r="I1134" t="e">
            <v>#N/A</v>
          </cell>
          <cell r="J1134" t="e">
            <v>#N/A</v>
          </cell>
          <cell r="K1134">
            <v>90</v>
          </cell>
          <cell r="L1134">
            <v>50</v>
          </cell>
          <cell r="M1134" t="e">
            <v>#N/A</v>
          </cell>
          <cell r="N1134">
            <v>80</v>
          </cell>
          <cell r="O1134" t="e">
            <v>#N/A</v>
          </cell>
          <cell r="P1134" t="str">
            <v/>
          </cell>
          <cell r="Q1134" t="str">
            <v/>
          </cell>
          <cell r="R1134" t="e">
            <v>#N/A</v>
          </cell>
        </row>
        <row r="1135">
          <cell r="A1135" t="str">
            <v/>
          </cell>
          <cell r="B1135" t="str">
            <v/>
          </cell>
          <cell r="C1135" t="str">
            <v>Future</v>
          </cell>
          <cell r="D1135" t="e">
            <v>#N/A</v>
          </cell>
          <cell r="E1135">
            <v>-80.762716535432318</v>
          </cell>
          <cell r="F1135">
            <v>123.68610236220839</v>
          </cell>
          <cell r="G1135">
            <v>32.81996062992102</v>
          </cell>
          <cell r="H1135">
            <v>32.81996062992102</v>
          </cell>
          <cell r="I1135" t="e">
            <v>#N/A</v>
          </cell>
          <cell r="J1135" t="e">
            <v>#N/A</v>
          </cell>
          <cell r="K1135">
            <v>90</v>
          </cell>
          <cell r="L1135">
            <v>50</v>
          </cell>
          <cell r="M1135" t="e">
            <v>#N/A</v>
          </cell>
          <cell r="N1135">
            <v>80</v>
          </cell>
          <cell r="O1135" t="e">
            <v>#N/A</v>
          </cell>
          <cell r="P1135" t="str">
            <v/>
          </cell>
          <cell r="Q1135" t="str">
            <v/>
          </cell>
          <cell r="R1135" t="e">
            <v>#N/A</v>
          </cell>
        </row>
        <row r="1136">
          <cell r="A1136" t="str">
            <v/>
          </cell>
          <cell r="B1136" t="str">
            <v/>
          </cell>
          <cell r="C1136" t="str">
            <v>Future</v>
          </cell>
          <cell r="D1136" t="e">
            <v>#N/A</v>
          </cell>
          <cell r="E1136">
            <v>-81.012755905511057</v>
          </cell>
          <cell r="F1136">
            <v>123.79039370079107</v>
          </cell>
          <cell r="G1136">
            <v>32.766771653543067</v>
          </cell>
          <cell r="H1136">
            <v>32.766771653543067</v>
          </cell>
          <cell r="I1136" t="e">
            <v>#N/A</v>
          </cell>
          <cell r="J1136" t="e">
            <v>#N/A</v>
          </cell>
          <cell r="K1136">
            <v>90</v>
          </cell>
          <cell r="L1136">
            <v>50</v>
          </cell>
          <cell r="M1136" t="e">
            <v>#N/A</v>
          </cell>
          <cell r="N1136">
            <v>80</v>
          </cell>
          <cell r="O1136" t="e">
            <v>#N/A</v>
          </cell>
          <cell r="P1136" t="str">
            <v/>
          </cell>
          <cell r="Q1136" t="str">
            <v/>
          </cell>
          <cell r="R1136" t="e">
            <v>#N/A</v>
          </cell>
        </row>
        <row r="1137">
          <cell r="A1137" t="str">
            <v/>
          </cell>
          <cell r="B1137" t="str">
            <v/>
          </cell>
          <cell r="C1137" t="str">
            <v>Future</v>
          </cell>
          <cell r="D1137" t="e">
            <v>#N/A</v>
          </cell>
          <cell r="E1137">
            <v>-81.262795275589795</v>
          </cell>
          <cell r="F1137">
            <v>123.89468503937375</v>
          </cell>
          <cell r="G1137">
            <v>32.713582677165114</v>
          </cell>
          <cell r="H1137">
            <v>32.713582677165114</v>
          </cell>
          <cell r="I1137" t="e">
            <v>#N/A</v>
          </cell>
          <cell r="J1137" t="e">
            <v>#N/A</v>
          </cell>
          <cell r="K1137">
            <v>90</v>
          </cell>
          <cell r="L1137">
            <v>50</v>
          </cell>
          <cell r="M1137" t="e">
            <v>#N/A</v>
          </cell>
          <cell r="N1137">
            <v>80</v>
          </cell>
          <cell r="O1137" t="e">
            <v>#N/A</v>
          </cell>
          <cell r="P1137" t="str">
            <v/>
          </cell>
          <cell r="Q1137" t="str">
            <v/>
          </cell>
          <cell r="R1137" t="e">
            <v>#N/A</v>
          </cell>
        </row>
        <row r="1138">
          <cell r="A1138" t="str">
            <v/>
          </cell>
          <cell r="B1138" t="str">
            <v/>
          </cell>
          <cell r="C1138" t="str">
            <v>Future</v>
          </cell>
          <cell r="D1138" t="e">
            <v>#N/A</v>
          </cell>
          <cell r="E1138">
            <v>-81.512834645668534</v>
          </cell>
          <cell r="F1138">
            <v>123.99897637795644</v>
          </cell>
          <cell r="G1138">
            <v>32.660393700787161</v>
          </cell>
          <cell r="H1138">
            <v>32.660393700787161</v>
          </cell>
          <cell r="I1138" t="e">
            <v>#N/A</v>
          </cell>
          <cell r="J1138" t="e">
            <v>#N/A</v>
          </cell>
          <cell r="K1138">
            <v>90</v>
          </cell>
          <cell r="L1138">
            <v>50</v>
          </cell>
          <cell r="M1138" t="e">
            <v>#N/A</v>
          </cell>
          <cell r="N1138">
            <v>80</v>
          </cell>
          <cell r="O1138" t="e">
            <v>#N/A</v>
          </cell>
          <cell r="P1138" t="str">
            <v/>
          </cell>
          <cell r="Q1138" t="str">
            <v/>
          </cell>
          <cell r="R1138" t="e">
            <v>#N/A</v>
          </cell>
        </row>
        <row r="1139">
          <cell r="A1139" t="str">
            <v/>
          </cell>
          <cell r="B1139" t="str">
            <v/>
          </cell>
          <cell r="C1139" t="str">
            <v>Future</v>
          </cell>
          <cell r="D1139" t="e">
            <v>#N/A</v>
          </cell>
          <cell r="E1139">
            <v>-81.762874015747272</v>
          </cell>
          <cell r="F1139">
            <v>124.10326771653912</v>
          </cell>
          <cell r="G1139">
            <v>32.607204724409208</v>
          </cell>
          <cell r="H1139">
            <v>32.607204724409208</v>
          </cell>
          <cell r="I1139" t="e">
            <v>#N/A</v>
          </cell>
          <cell r="J1139" t="e">
            <v>#N/A</v>
          </cell>
          <cell r="K1139">
            <v>90</v>
          </cell>
          <cell r="L1139">
            <v>50</v>
          </cell>
          <cell r="M1139" t="e">
            <v>#N/A</v>
          </cell>
          <cell r="N1139">
            <v>80</v>
          </cell>
          <cell r="O1139" t="e">
            <v>#N/A</v>
          </cell>
          <cell r="P1139" t="str">
            <v/>
          </cell>
          <cell r="Q1139" t="str">
            <v/>
          </cell>
          <cell r="R1139" t="e">
            <v>#N/A</v>
          </cell>
        </row>
        <row r="1140">
          <cell r="A1140" t="str">
            <v/>
          </cell>
          <cell r="B1140" t="str">
            <v/>
          </cell>
          <cell r="C1140" t="str">
            <v>Future</v>
          </cell>
          <cell r="D1140" t="e">
            <v>#N/A</v>
          </cell>
          <cell r="E1140">
            <v>-82.01291338582601</v>
          </cell>
          <cell r="F1140">
            <v>124.20755905512181</v>
          </cell>
          <cell r="G1140">
            <v>32.554015748031254</v>
          </cell>
          <cell r="H1140">
            <v>32.554015748031254</v>
          </cell>
          <cell r="I1140" t="e">
            <v>#N/A</v>
          </cell>
          <cell r="J1140" t="e">
            <v>#N/A</v>
          </cell>
          <cell r="K1140">
            <v>90</v>
          </cell>
          <cell r="L1140">
            <v>50</v>
          </cell>
          <cell r="M1140" t="e">
            <v>#N/A</v>
          </cell>
          <cell r="N1140">
            <v>80</v>
          </cell>
          <cell r="O1140" t="e">
            <v>#N/A</v>
          </cell>
          <cell r="P1140" t="str">
            <v/>
          </cell>
          <cell r="Q1140" t="str">
            <v/>
          </cell>
          <cell r="R1140" t="e">
            <v>#N/A</v>
          </cell>
        </row>
        <row r="1141">
          <cell r="A1141" t="str">
            <v/>
          </cell>
          <cell r="B1141" t="str">
            <v/>
          </cell>
          <cell r="C1141" t="str">
            <v>Future</v>
          </cell>
          <cell r="D1141" t="e">
            <v>#N/A</v>
          </cell>
          <cell r="E1141">
            <v>-82.262952755904749</v>
          </cell>
          <cell r="F1141">
            <v>124.31185039370449</v>
          </cell>
          <cell r="G1141">
            <v>32.500826771653301</v>
          </cell>
          <cell r="H1141">
            <v>32.500826771653301</v>
          </cell>
          <cell r="I1141" t="e">
            <v>#N/A</v>
          </cell>
          <cell r="J1141" t="e">
            <v>#N/A</v>
          </cell>
          <cell r="K1141">
            <v>90</v>
          </cell>
          <cell r="L1141">
            <v>50</v>
          </cell>
          <cell r="M1141" t="e">
            <v>#N/A</v>
          </cell>
          <cell r="N1141">
            <v>80</v>
          </cell>
          <cell r="O1141" t="e">
            <v>#N/A</v>
          </cell>
          <cell r="P1141" t="str">
            <v/>
          </cell>
          <cell r="Q1141" t="str">
            <v/>
          </cell>
          <cell r="R1141" t="e">
            <v>#N/A</v>
          </cell>
        </row>
        <row r="1142">
          <cell r="A1142" t="str">
            <v/>
          </cell>
          <cell r="B1142" t="str">
            <v/>
          </cell>
          <cell r="C1142" t="str">
            <v>Future</v>
          </cell>
          <cell r="D1142" t="e">
            <v>#N/A</v>
          </cell>
          <cell r="E1142">
            <v>-82.512992125983487</v>
          </cell>
          <cell r="F1142">
            <v>124.41614173228717</v>
          </cell>
          <cell r="G1142">
            <v>32.447637795275348</v>
          </cell>
          <cell r="H1142">
            <v>32.447637795275348</v>
          </cell>
          <cell r="I1142" t="e">
            <v>#N/A</v>
          </cell>
          <cell r="J1142" t="e">
            <v>#N/A</v>
          </cell>
          <cell r="K1142">
            <v>90</v>
          </cell>
          <cell r="L1142">
            <v>50</v>
          </cell>
          <cell r="M1142" t="e">
            <v>#N/A</v>
          </cell>
          <cell r="N1142">
            <v>80</v>
          </cell>
          <cell r="O1142" t="e">
            <v>#N/A</v>
          </cell>
          <cell r="P1142" t="str">
            <v/>
          </cell>
          <cell r="Q1142" t="str">
            <v/>
          </cell>
          <cell r="R1142" t="e">
            <v>#N/A</v>
          </cell>
        </row>
        <row r="1143">
          <cell r="A1143" t="str">
            <v/>
          </cell>
          <cell r="B1143" t="str">
            <v/>
          </cell>
          <cell r="C1143" t="str">
            <v>Future</v>
          </cell>
          <cell r="D1143" t="e">
            <v>#N/A</v>
          </cell>
          <cell r="E1143">
            <v>-82.763031496062226</v>
          </cell>
          <cell r="F1143">
            <v>124.52043307086986</v>
          </cell>
          <cell r="G1143">
            <v>32.394448818897395</v>
          </cell>
          <cell r="H1143">
            <v>32.394448818897395</v>
          </cell>
          <cell r="I1143" t="e">
            <v>#N/A</v>
          </cell>
          <cell r="J1143" t="e">
            <v>#N/A</v>
          </cell>
          <cell r="K1143">
            <v>90</v>
          </cell>
          <cell r="L1143">
            <v>50</v>
          </cell>
          <cell r="M1143" t="e">
            <v>#N/A</v>
          </cell>
          <cell r="N1143">
            <v>80</v>
          </cell>
          <cell r="O1143" t="e">
            <v>#N/A</v>
          </cell>
          <cell r="P1143" t="str">
            <v/>
          </cell>
          <cell r="Q1143" t="str">
            <v/>
          </cell>
          <cell r="R1143" t="e">
            <v>#N/A</v>
          </cell>
        </row>
        <row r="1144">
          <cell r="A1144" t="str">
            <v/>
          </cell>
          <cell r="B1144" t="str">
            <v/>
          </cell>
          <cell r="C1144" t="str">
            <v>Future</v>
          </cell>
          <cell r="D1144" t="e">
            <v>#N/A</v>
          </cell>
          <cell r="E1144">
            <v>-83.013070866140964</v>
          </cell>
          <cell r="F1144">
            <v>124.62472440945254</v>
          </cell>
          <cell r="G1144">
            <v>32.341259842519442</v>
          </cell>
          <cell r="H1144">
            <v>32.341259842519442</v>
          </cell>
          <cell r="I1144" t="e">
            <v>#N/A</v>
          </cell>
          <cell r="J1144" t="e">
            <v>#N/A</v>
          </cell>
          <cell r="K1144">
            <v>90</v>
          </cell>
          <cell r="L1144">
            <v>50</v>
          </cell>
          <cell r="M1144" t="e">
            <v>#N/A</v>
          </cell>
          <cell r="N1144">
            <v>80</v>
          </cell>
          <cell r="O1144" t="e">
            <v>#N/A</v>
          </cell>
          <cell r="P1144" t="str">
            <v/>
          </cell>
          <cell r="Q1144" t="str">
            <v/>
          </cell>
          <cell r="R1144" t="e">
            <v>#N/A</v>
          </cell>
        </row>
        <row r="1145">
          <cell r="A1145" t="str">
            <v/>
          </cell>
          <cell r="B1145" t="str">
            <v/>
          </cell>
          <cell r="C1145" t="str">
            <v>Future</v>
          </cell>
          <cell r="D1145" t="e">
            <v>#N/A</v>
          </cell>
          <cell r="E1145">
            <v>-83.263110236219703</v>
          </cell>
          <cell r="F1145">
            <v>124.72901574803522</v>
          </cell>
          <cell r="G1145">
            <v>32.288070866141489</v>
          </cell>
          <cell r="H1145">
            <v>32.288070866141489</v>
          </cell>
          <cell r="I1145" t="e">
            <v>#N/A</v>
          </cell>
          <cell r="J1145" t="e">
            <v>#N/A</v>
          </cell>
          <cell r="K1145">
            <v>90</v>
          </cell>
          <cell r="L1145">
            <v>50</v>
          </cell>
          <cell r="M1145" t="e">
            <v>#N/A</v>
          </cell>
          <cell r="N1145">
            <v>80</v>
          </cell>
          <cell r="O1145" t="e">
            <v>#N/A</v>
          </cell>
          <cell r="P1145" t="str">
            <v/>
          </cell>
          <cell r="Q1145" t="str">
            <v/>
          </cell>
          <cell r="R1145" t="e">
            <v>#N/A</v>
          </cell>
        </row>
        <row r="1146">
          <cell r="A1146" t="str">
            <v/>
          </cell>
          <cell r="B1146" t="str">
            <v/>
          </cell>
          <cell r="C1146" t="str">
            <v>Future</v>
          </cell>
          <cell r="D1146" t="e">
            <v>#N/A</v>
          </cell>
          <cell r="E1146">
            <v>-83.513149606298441</v>
          </cell>
          <cell r="F1146">
            <v>124.83330708661791</v>
          </cell>
          <cell r="G1146">
            <v>32.234881889763535</v>
          </cell>
          <cell r="H1146">
            <v>32.234881889763535</v>
          </cell>
          <cell r="I1146" t="e">
            <v>#N/A</v>
          </cell>
          <cell r="J1146" t="e">
            <v>#N/A</v>
          </cell>
          <cell r="K1146">
            <v>90</v>
          </cell>
          <cell r="L1146">
            <v>50</v>
          </cell>
          <cell r="M1146" t="e">
            <v>#N/A</v>
          </cell>
          <cell r="N1146">
            <v>80</v>
          </cell>
          <cell r="O1146" t="e">
            <v>#N/A</v>
          </cell>
          <cell r="P1146" t="str">
            <v/>
          </cell>
          <cell r="Q1146" t="str">
            <v/>
          </cell>
          <cell r="R1146" t="e">
            <v>#N/A</v>
          </cell>
        </row>
        <row r="1147">
          <cell r="A1147" t="str">
            <v/>
          </cell>
          <cell r="B1147" t="str">
            <v/>
          </cell>
          <cell r="C1147" t="str">
            <v>Future</v>
          </cell>
          <cell r="D1147" t="e">
            <v>#N/A</v>
          </cell>
          <cell r="E1147">
            <v>-83.76318897637718</v>
          </cell>
          <cell r="F1147">
            <v>124.93759842520059</v>
          </cell>
          <cell r="G1147">
            <v>32.181692913385582</v>
          </cell>
          <cell r="H1147">
            <v>32.181692913385582</v>
          </cell>
          <cell r="I1147" t="e">
            <v>#N/A</v>
          </cell>
          <cell r="J1147" t="e">
            <v>#N/A</v>
          </cell>
          <cell r="K1147">
            <v>90</v>
          </cell>
          <cell r="L1147">
            <v>50</v>
          </cell>
          <cell r="M1147" t="e">
            <v>#N/A</v>
          </cell>
          <cell r="N1147">
            <v>80</v>
          </cell>
          <cell r="O1147" t="e">
            <v>#N/A</v>
          </cell>
          <cell r="P1147" t="str">
            <v/>
          </cell>
          <cell r="Q1147" t="str">
            <v/>
          </cell>
          <cell r="R1147" t="e">
            <v>#N/A</v>
          </cell>
        </row>
        <row r="1148">
          <cell r="A1148" t="str">
            <v/>
          </cell>
          <cell r="B1148" t="str">
            <v/>
          </cell>
          <cell r="C1148" t="str">
            <v>Future</v>
          </cell>
          <cell r="D1148" t="e">
            <v>#N/A</v>
          </cell>
          <cell r="E1148">
            <v>-84.013228346455918</v>
          </cell>
          <cell r="F1148">
            <v>125.04188976378327</v>
          </cell>
          <cell r="G1148">
            <v>32.128503937007629</v>
          </cell>
          <cell r="H1148">
            <v>32.128503937007629</v>
          </cell>
          <cell r="I1148" t="e">
            <v>#N/A</v>
          </cell>
          <cell r="J1148" t="e">
            <v>#N/A</v>
          </cell>
          <cell r="K1148">
            <v>90</v>
          </cell>
          <cell r="L1148">
            <v>50</v>
          </cell>
          <cell r="M1148" t="e">
            <v>#N/A</v>
          </cell>
          <cell r="N1148">
            <v>80</v>
          </cell>
          <cell r="O1148" t="e">
            <v>#N/A</v>
          </cell>
          <cell r="P1148" t="str">
            <v/>
          </cell>
          <cell r="Q1148" t="str">
            <v/>
          </cell>
          <cell r="R1148" t="e">
            <v>#N/A</v>
          </cell>
        </row>
        <row r="1149">
          <cell r="A1149" t="str">
            <v/>
          </cell>
          <cell r="B1149" t="str">
            <v/>
          </cell>
          <cell r="C1149" t="str">
            <v>Future</v>
          </cell>
          <cell r="D1149" t="e">
            <v>#N/A</v>
          </cell>
          <cell r="E1149">
            <v>-84.263267716534656</v>
          </cell>
          <cell r="F1149">
            <v>125.14618110236596</v>
          </cell>
          <cell r="G1149">
            <v>32.075314960629676</v>
          </cell>
          <cell r="H1149">
            <v>32.075314960629676</v>
          </cell>
          <cell r="I1149" t="e">
            <v>#N/A</v>
          </cell>
          <cell r="J1149" t="e">
            <v>#N/A</v>
          </cell>
          <cell r="K1149">
            <v>90</v>
          </cell>
          <cell r="L1149">
            <v>50</v>
          </cell>
          <cell r="M1149" t="e">
            <v>#N/A</v>
          </cell>
          <cell r="N1149">
            <v>80</v>
          </cell>
          <cell r="O1149" t="e">
            <v>#N/A</v>
          </cell>
          <cell r="P1149" t="str">
            <v/>
          </cell>
          <cell r="Q1149" t="str">
            <v/>
          </cell>
          <cell r="R1149" t="e">
            <v>#N/A</v>
          </cell>
        </row>
        <row r="1150">
          <cell r="A1150" t="str">
            <v/>
          </cell>
          <cell r="B1150" t="str">
            <v/>
          </cell>
          <cell r="C1150" t="str">
            <v>Future</v>
          </cell>
          <cell r="D1150" t="e">
            <v>#N/A</v>
          </cell>
          <cell r="E1150">
            <v>-84.513307086613395</v>
          </cell>
          <cell r="F1150">
            <v>125.25047244094864</v>
          </cell>
          <cell r="G1150">
            <v>32.022125984251723</v>
          </cell>
          <cell r="H1150">
            <v>32.022125984251723</v>
          </cell>
          <cell r="I1150" t="e">
            <v>#N/A</v>
          </cell>
          <cell r="J1150" t="e">
            <v>#N/A</v>
          </cell>
          <cell r="K1150">
            <v>90</v>
          </cell>
          <cell r="L1150">
            <v>50</v>
          </cell>
          <cell r="M1150" t="e">
            <v>#N/A</v>
          </cell>
          <cell r="N1150">
            <v>80</v>
          </cell>
          <cell r="O1150" t="e">
            <v>#N/A</v>
          </cell>
          <cell r="P1150" t="str">
            <v/>
          </cell>
          <cell r="Q1150" t="str">
            <v/>
          </cell>
          <cell r="R1150" t="e">
            <v>#N/A</v>
          </cell>
        </row>
        <row r="1151">
          <cell r="A1151" t="str">
            <v/>
          </cell>
          <cell r="B1151" t="str">
            <v/>
          </cell>
          <cell r="C1151" t="str">
            <v>Future</v>
          </cell>
          <cell r="D1151" t="e">
            <v>#N/A</v>
          </cell>
          <cell r="E1151">
            <v>-84.763346456692133</v>
          </cell>
          <cell r="F1151">
            <v>125.35476377953132</v>
          </cell>
          <cell r="G1151">
            <v>31.96893700787377</v>
          </cell>
          <cell r="H1151">
            <v>31.96893700787377</v>
          </cell>
          <cell r="I1151" t="e">
            <v>#N/A</v>
          </cell>
          <cell r="J1151" t="e">
            <v>#N/A</v>
          </cell>
          <cell r="K1151">
            <v>90</v>
          </cell>
          <cell r="L1151">
            <v>50</v>
          </cell>
          <cell r="M1151" t="e">
            <v>#N/A</v>
          </cell>
          <cell r="N1151">
            <v>80</v>
          </cell>
          <cell r="O1151" t="e">
            <v>#N/A</v>
          </cell>
          <cell r="P1151" t="str">
            <v/>
          </cell>
          <cell r="Q1151" t="str">
            <v/>
          </cell>
          <cell r="R1151" t="e">
            <v>#N/A</v>
          </cell>
        </row>
        <row r="1152">
          <cell r="A1152" t="str">
            <v/>
          </cell>
          <cell r="B1152" t="str">
            <v/>
          </cell>
          <cell r="C1152" t="str">
            <v>Future</v>
          </cell>
          <cell r="D1152" t="e">
            <v>#N/A</v>
          </cell>
          <cell r="E1152">
            <v>-85.013385826770872</v>
          </cell>
          <cell r="F1152">
            <v>125.45905511811401</v>
          </cell>
          <cell r="G1152">
            <v>31.915748031495816</v>
          </cell>
          <cell r="H1152">
            <v>31.915748031495816</v>
          </cell>
          <cell r="I1152" t="e">
            <v>#N/A</v>
          </cell>
          <cell r="J1152" t="e">
            <v>#N/A</v>
          </cell>
          <cell r="K1152">
            <v>90</v>
          </cell>
          <cell r="L1152">
            <v>50</v>
          </cell>
          <cell r="M1152" t="e">
            <v>#N/A</v>
          </cell>
          <cell r="N1152">
            <v>80</v>
          </cell>
          <cell r="O1152" t="e">
            <v>#N/A</v>
          </cell>
          <cell r="P1152" t="str">
            <v/>
          </cell>
          <cell r="Q1152" t="str">
            <v/>
          </cell>
          <cell r="R1152" t="e">
            <v>#N/A</v>
          </cell>
        </row>
        <row r="1153">
          <cell r="A1153" t="str">
            <v/>
          </cell>
          <cell r="B1153" t="str">
            <v/>
          </cell>
          <cell r="C1153" t="str">
            <v>Future</v>
          </cell>
          <cell r="D1153" t="e">
            <v>#N/A</v>
          </cell>
          <cell r="E1153">
            <v>-85.26342519684961</v>
          </cell>
          <cell r="F1153">
            <v>125.56334645669669</v>
          </cell>
          <cell r="G1153">
            <v>31.862559055117863</v>
          </cell>
          <cell r="H1153">
            <v>31.862559055117863</v>
          </cell>
          <cell r="I1153" t="e">
            <v>#N/A</v>
          </cell>
          <cell r="J1153" t="e">
            <v>#N/A</v>
          </cell>
          <cell r="K1153">
            <v>90</v>
          </cell>
          <cell r="L1153">
            <v>50</v>
          </cell>
          <cell r="M1153" t="e">
            <v>#N/A</v>
          </cell>
          <cell r="N1153">
            <v>80</v>
          </cell>
          <cell r="O1153" t="e">
            <v>#N/A</v>
          </cell>
          <cell r="P1153" t="str">
            <v/>
          </cell>
          <cell r="Q1153" t="str">
            <v/>
          </cell>
          <cell r="R1153" t="e">
            <v>#N/A</v>
          </cell>
        </row>
        <row r="1154">
          <cell r="A1154" t="str">
            <v/>
          </cell>
          <cell r="B1154" t="str">
            <v/>
          </cell>
          <cell r="C1154" t="str">
            <v>Future</v>
          </cell>
          <cell r="D1154" t="e">
            <v>#N/A</v>
          </cell>
          <cell r="E1154">
            <v>-85.513464566928349</v>
          </cell>
          <cell r="F1154">
            <v>125.66763779527938</v>
          </cell>
          <cell r="G1154">
            <v>31.80937007873991</v>
          </cell>
          <cell r="H1154">
            <v>31.80937007873991</v>
          </cell>
          <cell r="I1154" t="e">
            <v>#N/A</v>
          </cell>
          <cell r="J1154" t="e">
            <v>#N/A</v>
          </cell>
          <cell r="K1154">
            <v>90</v>
          </cell>
          <cell r="L1154">
            <v>50</v>
          </cell>
          <cell r="M1154" t="e">
            <v>#N/A</v>
          </cell>
          <cell r="N1154">
            <v>80</v>
          </cell>
          <cell r="O1154" t="e">
            <v>#N/A</v>
          </cell>
          <cell r="P1154" t="str">
            <v/>
          </cell>
          <cell r="Q1154" t="str">
            <v/>
          </cell>
          <cell r="R1154" t="e">
            <v>#N/A</v>
          </cell>
        </row>
        <row r="1155">
          <cell r="A1155" t="str">
            <v/>
          </cell>
          <cell r="B1155" t="str">
            <v/>
          </cell>
          <cell r="C1155" t="str">
            <v>Future</v>
          </cell>
          <cell r="D1155" t="e">
            <v>#N/A</v>
          </cell>
          <cell r="E1155">
            <v>-85.763503937007087</v>
          </cell>
          <cell r="F1155">
            <v>125.77192913386206</v>
          </cell>
          <cell r="G1155">
            <v>31.756181102361957</v>
          </cell>
          <cell r="H1155">
            <v>31.756181102361957</v>
          </cell>
          <cell r="I1155" t="e">
            <v>#N/A</v>
          </cell>
          <cell r="J1155" t="e">
            <v>#N/A</v>
          </cell>
          <cell r="K1155">
            <v>90</v>
          </cell>
          <cell r="L1155">
            <v>50</v>
          </cell>
          <cell r="M1155" t="e">
            <v>#N/A</v>
          </cell>
          <cell r="N1155">
            <v>80</v>
          </cell>
          <cell r="O1155" t="e">
            <v>#N/A</v>
          </cell>
          <cell r="P1155" t="str">
            <v/>
          </cell>
          <cell r="Q1155" t="str">
            <v/>
          </cell>
          <cell r="R1155" t="e">
            <v>#N/A</v>
          </cell>
        </row>
        <row r="1156">
          <cell r="A1156" t="str">
            <v/>
          </cell>
          <cell r="B1156" t="str">
            <v/>
          </cell>
          <cell r="C1156" t="str">
            <v>Future</v>
          </cell>
          <cell r="D1156" t="e">
            <v>#N/A</v>
          </cell>
          <cell r="E1156">
            <v>-86.013543307085826</v>
          </cell>
          <cell r="F1156">
            <v>125.87622047244474</v>
          </cell>
          <cell r="G1156">
            <v>31.702992125984004</v>
          </cell>
          <cell r="H1156">
            <v>31.702992125984004</v>
          </cell>
          <cell r="I1156" t="e">
            <v>#N/A</v>
          </cell>
          <cell r="J1156" t="e">
            <v>#N/A</v>
          </cell>
          <cell r="K1156">
            <v>90</v>
          </cell>
          <cell r="L1156">
            <v>50</v>
          </cell>
          <cell r="M1156" t="e">
            <v>#N/A</v>
          </cell>
          <cell r="N1156">
            <v>80</v>
          </cell>
          <cell r="O1156" t="e">
            <v>#N/A</v>
          </cell>
          <cell r="P1156" t="str">
            <v/>
          </cell>
          <cell r="Q1156" t="str">
            <v/>
          </cell>
          <cell r="R1156" t="e">
            <v>#N/A</v>
          </cell>
        </row>
        <row r="1157">
          <cell r="A1157" t="str">
            <v/>
          </cell>
          <cell r="B1157" t="str">
            <v/>
          </cell>
          <cell r="C1157" t="str">
            <v>Future</v>
          </cell>
          <cell r="D1157" t="e">
            <v>#N/A</v>
          </cell>
          <cell r="E1157">
            <v>-86.263582677164564</v>
          </cell>
          <cell r="F1157">
            <v>125.98051181102743</v>
          </cell>
          <cell r="G1157">
            <v>31.649803149606051</v>
          </cell>
          <cell r="H1157">
            <v>31.649803149606051</v>
          </cell>
          <cell r="I1157" t="e">
            <v>#N/A</v>
          </cell>
          <cell r="J1157" t="e">
            <v>#N/A</v>
          </cell>
          <cell r="K1157">
            <v>90</v>
          </cell>
          <cell r="L1157">
            <v>50</v>
          </cell>
          <cell r="M1157" t="e">
            <v>#N/A</v>
          </cell>
          <cell r="N1157">
            <v>80</v>
          </cell>
          <cell r="O1157" t="e">
            <v>#N/A</v>
          </cell>
          <cell r="P1157" t="str">
            <v/>
          </cell>
          <cell r="Q1157" t="str">
            <v/>
          </cell>
          <cell r="R1157" t="e">
            <v>#N/A</v>
          </cell>
        </row>
        <row r="1158">
          <cell r="A1158" t="str">
            <v/>
          </cell>
          <cell r="B1158" t="str">
            <v/>
          </cell>
          <cell r="C1158" t="str">
            <v>Future</v>
          </cell>
          <cell r="D1158" t="e">
            <v>#N/A</v>
          </cell>
          <cell r="E1158">
            <v>-86.513622047243302</v>
          </cell>
          <cell r="F1158">
            <v>126.08480314961011</v>
          </cell>
          <cell r="G1158">
            <v>31.596614173228097</v>
          </cell>
          <cell r="H1158">
            <v>31.596614173228097</v>
          </cell>
          <cell r="I1158" t="e">
            <v>#N/A</v>
          </cell>
          <cell r="J1158" t="e">
            <v>#N/A</v>
          </cell>
          <cell r="K1158">
            <v>90</v>
          </cell>
          <cell r="L1158">
            <v>50</v>
          </cell>
          <cell r="M1158" t="e">
            <v>#N/A</v>
          </cell>
          <cell r="N1158">
            <v>80</v>
          </cell>
          <cell r="O1158" t="e">
            <v>#N/A</v>
          </cell>
          <cell r="P1158" t="str">
            <v/>
          </cell>
          <cell r="Q1158" t="str">
            <v/>
          </cell>
          <cell r="R1158" t="e">
            <v>#N/A</v>
          </cell>
        </row>
        <row r="1159">
          <cell r="A1159" t="str">
            <v/>
          </cell>
          <cell r="B1159" t="str">
            <v/>
          </cell>
          <cell r="C1159" t="str">
            <v>Future</v>
          </cell>
          <cell r="D1159" t="e">
            <v>#N/A</v>
          </cell>
          <cell r="E1159">
            <v>-86.763661417322041</v>
          </cell>
          <cell r="F1159">
            <v>126.18909448819279</v>
          </cell>
          <cell r="G1159">
            <v>31.543425196850144</v>
          </cell>
          <cell r="H1159">
            <v>31.543425196850144</v>
          </cell>
          <cell r="I1159" t="e">
            <v>#N/A</v>
          </cell>
          <cell r="J1159" t="e">
            <v>#N/A</v>
          </cell>
          <cell r="K1159">
            <v>90</v>
          </cell>
          <cell r="L1159">
            <v>50</v>
          </cell>
          <cell r="M1159" t="e">
            <v>#N/A</v>
          </cell>
          <cell r="N1159">
            <v>80</v>
          </cell>
          <cell r="O1159" t="e">
            <v>#N/A</v>
          </cell>
          <cell r="P1159" t="str">
            <v/>
          </cell>
          <cell r="Q1159" t="str">
            <v/>
          </cell>
          <cell r="R1159" t="e">
            <v>#N/A</v>
          </cell>
        </row>
        <row r="1160">
          <cell r="A1160" t="str">
            <v/>
          </cell>
          <cell r="B1160" t="str">
            <v/>
          </cell>
          <cell r="C1160" t="str">
            <v>Future</v>
          </cell>
          <cell r="D1160" t="e">
            <v>#N/A</v>
          </cell>
          <cell r="E1160">
            <v>-87.013700787400779</v>
          </cell>
          <cell r="F1160">
            <v>126.29338582677548</v>
          </cell>
          <cell r="G1160">
            <v>31.490236220472191</v>
          </cell>
          <cell r="H1160">
            <v>31.490236220472191</v>
          </cell>
          <cell r="I1160" t="e">
            <v>#N/A</v>
          </cell>
          <cell r="J1160" t="e">
            <v>#N/A</v>
          </cell>
          <cell r="K1160">
            <v>90</v>
          </cell>
          <cell r="L1160">
            <v>50</v>
          </cell>
          <cell r="M1160" t="e">
            <v>#N/A</v>
          </cell>
          <cell r="N1160">
            <v>80</v>
          </cell>
          <cell r="O1160" t="e">
            <v>#N/A</v>
          </cell>
          <cell r="P1160" t="str">
            <v/>
          </cell>
          <cell r="Q1160" t="str">
            <v/>
          </cell>
          <cell r="R1160" t="e">
            <v>#N/A</v>
          </cell>
        </row>
        <row r="1161">
          <cell r="A1161" t="str">
            <v/>
          </cell>
          <cell r="B1161" t="str">
            <v/>
          </cell>
          <cell r="C1161" t="str">
            <v>Future</v>
          </cell>
          <cell r="D1161" t="e">
            <v>#N/A</v>
          </cell>
          <cell r="E1161">
            <v>-87.263740157479518</v>
          </cell>
          <cell r="F1161">
            <v>126.39767716535816</v>
          </cell>
          <cell r="G1161">
            <v>31.437047244094238</v>
          </cell>
          <cell r="H1161">
            <v>31.437047244094238</v>
          </cell>
          <cell r="I1161" t="e">
            <v>#N/A</v>
          </cell>
          <cell r="J1161" t="e">
            <v>#N/A</v>
          </cell>
          <cell r="K1161">
            <v>90</v>
          </cell>
          <cell r="L1161">
            <v>50</v>
          </cell>
          <cell r="M1161" t="e">
            <v>#N/A</v>
          </cell>
          <cell r="N1161">
            <v>80</v>
          </cell>
          <cell r="O1161" t="e">
            <v>#N/A</v>
          </cell>
          <cell r="P1161" t="str">
            <v/>
          </cell>
          <cell r="Q1161" t="str">
            <v/>
          </cell>
          <cell r="R1161" t="e">
            <v>#N/A</v>
          </cell>
        </row>
        <row r="1162">
          <cell r="A1162" t="str">
            <v/>
          </cell>
          <cell r="B1162" t="str">
            <v/>
          </cell>
          <cell r="C1162" t="str">
            <v>Future</v>
          </cell>
          <cell r="D1162" t="e">
            <v>#N/A</v>
          </cell>
          <cell r="E1162">
            <v>-87.513779527558256</v>
          </cell>
          <cell r="F1162">
            <v>126.50196850394084</v>
          </cell>
          <cell r="G1162">
            <v>31.383858267716285</v>
          </cell>
          <cell r="H1162">
            <v>31.383858267716285</v>
          </cell>
          <cell r="I1162" t="e">
            <v>#N/A</v>
          </cell>
          <cell r="J1162" t="e">
            <v>#N/A</v>
          </cell>
          <cell r="K1162">
            <v>90</v>
          </cell>
          <cell r="L1162">
            <v>50</v>
          </cell>
          <cell r="M1162" t="e">
            <v>#N/A</v>
          </cell>
          <cell r="N1162">
            <v>80</v>
          </cell>
          <cell r="O1162" t="e">
            <v>#N/A</v>
          </cell>
          <cell r="P1162" t="str">
            <v/>
          </cell>
          <cell r="Q1162" t="str">
            <v/>
          </cell>
          <cell r="R1162" t="e">
            <v>#N/A</v>
          </cell>
        </row>
        <row r="1163">
          <cell r="A1163" t="str">
            <v/>
          </cell>
          <cell r="B1163" t="str">
            <v/>
          </cell>
          <cell r="C1163" t="str">
            <v>Future</v>
          </cell>
          <cell r="D1163" t="e">
            <v>#N/A</v>
          </cell>
          <cell r="E1163">
            <v>-87.763818897636995</v>
          </cell>
          <cell r="F1163">
            <v>126.60625984252353</v>
          </cell>
          <cell r="G1163">
            <v>31.330669291338332</v>
          </cell>
          <cell r="H1163">
            <v>31.330669291338332</v>
          </cell>
          <cell r="I1163" t="e">
            <v>#N/A</v>
          </cell>
          <cell r="J1163" t="e">
            <v>#N/A</v>
          </cell>
          <cell r="K1163">
            <v>90</v>
          </cell>
          <cell r="L1163">
            <v>50</v>
          </cell>
          <cell r="M1163" t="e">
            <v>#N/A</v>
          </cell>
          <cell r="N1163">
            <v>80</v>
          </cell>
          <cell r="O1163" t="e">
            <v>#N/A</v>
          </cell>
          <cell r="P1163" t="str">
            <v/>
          </cell>
          <cell r="Q1163" t="str">
            <v/>
          </cell>
          <cell r="R1163" t="e">
            <v>#N/A</v>
          </cell>
        </row>
        <row r="1164">
          <cell r="A1164" t="str">
            <v/>
          </cell>
          <cell r="B1164" t="str">
            <v/>
          </cell>
          <cell r="C1164" t="str">
            <v>Future</v>
          </cell>
          <cell r="D1164" t="e">
            <v>#N/A</v>
          </cell>
          <cell r="E1164">
            <v>-88.013858267715733</v>
          </cell>
          <cell r="F1164">
            <v>126.71055118110621</v>
          </cell>
          <cell r="G1164">
            <v>31.277480314960378</v>
          </cell>
          <cell r="H1164">
            <v>31.277480314960378</v>
          </cell>
          <cell r="I1164" t="e">
            <v>#N/A</v>
          </cell>
          <cell r="J1164" t="e">
            <v>#N/A</v>
          </cell>
          <cell r="K1164">
            <v>90</v>
          </cell>
          <cell r="L1164">
            <v>50</v>
          </cell>
          <cell r="M1164" t="e">
            <v>#N/A</v>
          </cell>
          <cell r="N1164">
            <v>80</v>
          </cell>
          <cell r="O1164" t="e">
            <v>#N/A</v>
          </cell>
          <cell r="P1164" t="str">
            <v/>
          </cell>
          <cell r="Q1164" t="str">
            <v/>
          </cell>
          <cell r="R1164" t="e">
            <v>#N/A</v>
          </cell>
        </row>
        <row r="1165">
          <cell r="A1165" t="str">
            <v/>
          </cell>
          <cell r="B1165" t="str">
            <v/>
          </cell>
          <cell r="C1165" t="str">
            <v>Future</v>
          </cell>
          <cell r="D1165" t="e">
            <v>#N/A</v>
          </cell>
          <cell r="E1165">
            <v>-88.263897637794472</v>
          </cell>
          <cell r="F1165">
            <v>126.8148425196889</v>
          </cell>
          <cell r="G1165">
            <v>31.224291338582425</v>
          </cell>
          <cell r="H1165">
            <v>31.224291338582425</v>
          </cell>
          <cell r="I1165" t="e">
            <v>#N/A</v>
          </cell>
          <cell r="J1165" t="e">
            <v>#N/A</v>
          </cell>
          <cell r="K1165">
            <v>90</v>
          </cell>
          <cell r="L1165">
            <v>50</v>
          </cell>
          <cell r="M1165" t="e">
            <v>#N/A</v>
          </cell>
          <cell r="N1165">
            <v>80</v>
          </cell>
          <cell r="O1165" t="e">
            <v>#N/A</v>
          </cell>
          <cell r="P1165" t="str">
            <v/>
          </cell>
          <cell r="Q1165" t="str">
            <v/>
          </cell>
          <cell r="R1165" t="e">
            <v>#N/A</v>
          </cell>
        </row>
        <row r="1166">
          <cell r="A1166" t="str">
            <v/>
          </cell>
          <cell r="B1166" t="str">
            <v/>
          </cell>
          <cell r="C1166" t="str">
            <v>Future</v>
          </cell>
          <cell r="D1166" t="e">
            <v>#N/A</v>
          </cell>
          <cell r="E1166">
            <v>-88.51393700787321</v>
          </cell>
          <cell r="F1166">
            <v>126.91913385827158</v>
          </cell>
          <cell r="G1166">
            <v>31.171102362204472</v>
          </cell>
          <cell r="H1166">
            <v>31.171102362204472</v>
          </cell>
          <cell r="I1166" t="e">
            <v>#N/A</v>
          </cell>
          <cell r="J1166" t="e">
            <v>#N/A</v>
          </cell>
          <cell r="K1166">
            <v>90</v>
          </cell>
          <cell r="L1166">
            <v>50</v>
          </cell>
          <cell r="M1166" t="e">
            <v>#N/A</v>
          </cell>
          <cell r="N1166">
            <v>80</v>
          </cell>
          <cell r="O1166" t="e">
            <v>#N/A</v>
          </cell>
          <cell r="P1166" t="str">
            <v/>
          </cell>
          <cell r="Q1166" t="str">
            <v/>
          </cell>
          <cell r="R1166" t="e">
            <v>#N/A</v>
          </cell>
        </row>
        <row r="1167">
          <cell r="A1167" t="str">
            <v/>
          </cell>
          <cell r="B1167" t="str">
            <v/>
          </cell>
          <cell r="C1167" t="str">
            <v>Future</v>
          </cell>
          <cell r="D1167" t="e">
            <v>#N/A</v>
          </cell>
          <cell r="E1167">
            <v>-88.763976377951948</v>
          </cell>
          <cell r="F1167">
            <v>127.02342519685426</v>
          </cell>
          <cell r="G1167">
            <v>31.117913385826519</v>
          </cell>
          <cell r="H1167">
            <v>31.117913385826519</v>
          </cell>
          <cell r="I1167" t="e">
            <v>#N/A</v>
          </cell>
          <cell r="J1167" t="e">
            <v>#N/A</v>
          </cell>
          <cell r="K1167">
            <v>90</v>
          </cell>
          <cell r="L1167">
            <v>50</v>
          </cell>
          <cell r="M1167" t="e">
            <v>#N/A</v>
          </cell>
          <cell r="N1167">
            <v>80</v>
          </cell>
          <cell r="O1167" t="e">
            <v>#N/A</v>
          </cell>
          <cell r="P1167" t="str">
            <v/>
          </cell>
          <cell r="Q1167" t="str">
            <v/>
          </cell>
          <cell r="R1167" t="e">
            <v>#N/A</v>
          </cell>
        </row>
        <row r="1168">
          <cell r="A1168" t="str">
            <v/>
          </cell>
          <cell r="B1168" t="str">
            <v/>
          </cell>
          <cell r="C1168" t="str">
            <v>Future</v>
          </cell>
          <cell r="D1168" t="e">
            <v>#N/A</v>
          </cell>
          <cell r="E1168">
            <v>-89.014015748030687</v>
          </cell>
          <cell r="F1168">
            <v>127.12771653543695</v>
          </cell>
          <cell r="G1168">
            <v>31.064724409448566</v>
          </cell>
          <cell r="H1168">
            <v>31.064724409448566</v>
          </cell>
          <cell r="I1168" t="e">
            <v>#N/A</v>
          </cell>
          <cell r="J1168" t="e">
            <v>#N/A</v>
          </cell>
          <cell r="K1168">
            <v>90</v>
          </cell>
          <cell r="L1168">
            <v>50</v>
          </cell>
          <cell r="M1168" t="e">
            <v>#N/A</v>
          </cell>
          <cell r="N1168">
            <v>80</v>
          </cell>
          <cell r="O1168" t="e">
            <v>#N/A</v>
          </cell>
          <cell r="P1168" t="str">
            <v/>
          </cell>
          <cell r="Q1168" t="str">
            <v/>
          </cell>
          <cell r="R1168" t="e">
            <v>#N/A</v>
          </cell>
        </row>
        <row r="1169">
          <cell r="A1169" t="str">
            <v/>
          </cell>
          <cell r="B1169" t="str">
            <v/>
          </cell>
          <cell r="C1169" t="str">
            <v>Future</v>
          </cell>
          <cell r="D1169" t="e">
            <v>#N/A</v>
          </cell>
          <cell r="E1169">
            <v>-89.264055118109425</v>
          </cell>
          <cell r="F1169">
            <v>127.23200787401963</v>
          </cell>
          <cell r="G1169">
            <v>31.011535433070613</v>
          </cell>
          <cell r="H1169">
            <v>31.011535433070613</v>
          </cell>
          <cell r="I1169" t="e">
            <v>#N/A</v>
          </cell>
          <cell r="J1169" t="e">
            <v>#N/A</v>
          </cell>
          <cell r="K1169">
            <v>90</v>
          </cell>
          <cell r="L1169">
            <v>50</v>
          </cell>
          <cell r="M1169" t="e">
            <v>#N/A</v>
          </cell>
          <cell r="N1169">
            <v>80</v>
          </cell>
          <cell r="O1169" t="e">
            <v>#N/A</v>
          </cell>
          <cell r="P1169" t="str">
            <v/>
          </cell>
          <cell r="Q1169" t="str">
            <v/>
          </cell>
          <cell r="R1169" t="e">
            <v>#N/A</v>
          </cell>
        </row>
        <row r="1170">
          <cell r="A1170" t="str">
            <v/>
          </cell>
          <cell r="B1170" t="str">
            <v/>
          </cell>
          <cell r="C1170" t="str">
            <v>Future</v>
          </cell>
          <cell r="D1170" t="e">
            <v>#N/A</v>
          </cell>
          <cell r="E1170">
            <v>-89.514094488188164</v>
          </cell>
          <cell r="F1170">
            <v>127.33629921260231</v>
          </cell>
          <cell r="G1170">
            <v>30.958346456692659</v>
          </cell>
          <cell r="H1170">
            <v>30.958346456692659</v>
          </cell>
          <cell r="I1170" t="e">
            <v>#N/A</v>
          </cell>
          <cell r="J1170" t="e">
            <v>#N/A</v>
          </cell>
          <cell r="K1170">
            <v>90</v>
          </cell>
          <cell r="L1170">
            <v>50</v>
          </cell>
          <cell r="M1170" t="e">
            <v>#N/A</v>
          </cell>
          <cell r="N1170">
            <v>80</v>
          </cell>
          <cell r="O1170" t="e">
            <v>#N/A</v>
          </cell>
          <cell r="P1170" t="str">
            <v/>
          </cell>
          <cell r="Q1170" t="str">
            <v/>
          </cell>
          <cell r="R1170" t="e">
            <v>#N/A</v>
          </cell>
        </row>
        <row r="1171">
          <cell r="A1171" t="str">
            <v/>
          </cell>
          <cell r="B1171" t="str">
            <v/>
          </cell>
          <cell r="C1171" t="str">
            <v>Future</v>
          </cell>
          <cell r="D1171" t="e">
            <v>#N/A</v>
          </cell>
          <cell r="E1171">
            <v>-89.764133858266902</v>
          </cell>
          <cell r="F1171">
            <v>127.440590551185</v>
          </cell>
          <cell r="G1171">
            <v>30.905157480314706</v>
          </cell>
          <cell r="H1171">
            <v>30.905157480314706</v>
          </cell>
          <cell r="I1171" t="e">
            <v>#N/A</v>
          </cell>
          <cell r="J1171" t="e">
            <v>#N/A</v>
          </cell>
          <cell r="K1171">
            <v>90</v>
          </cell>
          <cell r="L1171">
            <v>50</v>
          </cell>
          <cell r="M1171" t="e">
            <v>#N/A</v>
          </cell>
          <cell r="N1171">
            <v>80</v>
          </cell>
          <cell r="O1171" t="e">
            <v>#N/A</v>
          </cell>
          <cell r="P1171" t="str">
            <v/>
          </cell>
          <cell r="Q1171" t="str">
            <v/>
          </cell>
          <cell r="R1171" t="e">
            <v>#N/A</v>
          </cell>
        </row>
        <row r="1172">
          <cell r="A1172" t="str">
            <v/>
          </cell>
          <cell r="B1172" t="str">
            <v/>
          </cell>
          <cell r="C1172" t="str">
            <v>Future</v>
          </cell>
          <cell r="D1172" t="e">
            <v>#N/A</v>
          </cell>
          <cell r="E1172">
            <v>-90.014173228345641</v>
          </cell>
          <cell r="F1172">
            <v>127.54488188976768</v>
          </cell>
          <cell r="G1172">
            <v>30.851968503936753</v>
          </cell>
          <cell r="H1172">
            <v>30.851968503936753</v>
          </cell>
          <cell r="I1172" t="e">
            <v>#N/A</v>
          </cell>
          <cell r="J1172" t="e">
            <v>#N/A</v>
          </cell>
          <cell r="K1172">
            <v>90</v>
          </cell>
          <cell r="L1172">
            <v>50</v>
          </cell>
          <cell r="M1172" t="e">
            <v>#N/A</v>
          </cell>
          <cell r="N1172">
            <v>80</v>
          </cell>
          <cell r="O1172" t="e">
            <v>#N/A</v>
          </cell>
          <cell r="P1172" t="str">
            <v/>
          </cell>
          <cell r="Q1172" t="str">
            <v/>
          </cell>
          <cell r="R1172" t="e">
            <v>#N/A</v>
          </cell>
        </row>
        <row r="1173">
          <cell r="A1173" t="str">
            <v/>
          </cell>
          <cell r="B1173" t="str">
            <v/>
          </cell>
          <cell r="C1173" t="str">
            <v>Future</v>
          </cell>
          <cell r="D1173" t="e">
            <v>#N/A</v>
          </cell>
          <cell r="E1173">
            <v>-90.264212598424379</v>
          </cell>
          <cell r="F1173">
            <v>127.64917322835036</v>
          </cell>
          <cell r="G1173">
            <v>30.7987795275588</v>
          </cell>
          <cell r="H1173">
            <v>30.7987795275588</v>
          </cell>
          <cell r="I1173" t="e">
            <v>#N/A</v>
          </cell>
          <cell r="J1173" t="e">
            <v>#N/A</v>
          </cell>
          <cell r="K1173">
            <v>90</v>
          </cell>
          <cell r="L1173">
            <v>50</v>
          </cell>
          <cell r="M1173" t="e">
            <v>#N/A</v>
          </cell>
          <cell r="N1173">
            <v>80</v>
          </cell>
          <cell r="O1173" t="e">
            <v>#N/A</v>
          </cell>
          <cell r="P1173" t="str">
            <v/>
          </cell>
          <cell r="Q1173" t="str">
            <v/>
          </cell>
          <cell r="R1173" t="e">
            <v>#N/A</v>
          </cell>
        </row>
        <row r="1174">
          <cell r="A1174" t="str">
            <v/>
          </cell>
          <cell r="B1174" t="str">
            <v/>
          </cell>
          <cell r="C1174" t="str">
            <v>Future</v>
          </cell>
          <cell r="D1174" t="e">
            <v>#N/A</v>
          </cell>
          <cell r="E1174">
            <v>-90.514251968503117</v>
          </cell>
          <cell r="F1174">
            <v>127.75346456693305</v>
          </cell>
          <cell r="G1174">
            <v>30.745590551180847</v>
          </cell>
          <cell r="H1174">
            <v>30.745590551180847</v>
          </cell>
          <cell r="I1174" t="e">
            <v>#N/A</v>
          </cell>
          <cell r="J1174" t="e">
            <v>#N/A</v>
          </cell>
          <cell r="K1174">
            <v>90</v>
          </cell>
          <cell r="L1174">
            <v>50</v>
          </cell>
          <cell r="M1174" t="e">
            <v>#N/A</v>
          </cell>
          <cell r="N1174">
            <v>80</v>
          </cell>
          <cell r="O1174" t="e">
            <v>#N/A</v>
          </cell>
          <cell r="P1174" t="str">
            <v/>
          </cell>
          <cell r="Q1174" t="str">
            <v/>
          </cell>
          <cell r="R1174" t="e">
            <v>#N/A</v>
          </cell>
        </row>
        <row r="1175">
          <cell r="A1175" t="str">
            <v/>
          </cell>
          <cell r="B1175" t="str">
            <v/>
          </cell>
          <cell r="C1175" t="str">
            <v>Future</v>
          </cell>
          <cell r="D1175" t="e">
            <v>#N/A</v>
          </cell>
          <cell r="E1175">
            <v>-90.764291338581856</v>
          </cell>
          <cell r="F1175">
            <v>127.85775590551573</v>
          </cell>
          <cell r="G1175">
            <v>30.692401574802894</v>
          </cell>
          <cell r="H1175">
            <v>30.692401574802894</v>
          </cell>
          <cell r="I1175" t="e">
            <v>#N/A</v>
          </cell>
          <cell r="J1175" t="e">
            <v>#N/A</v>
          </cell>
          <cell r="K1175">
            <v>90</v>
          </cell>
          <cell r="L1175">
            <v>50</v>
          </cell>
          <cell r="M1175" t="e">
            <v>#N/A</v>
          </cell>
          <cell r="N1175">
            <v>80</v>
          </cell>
          <cell r="O1175" t="e">
            <v>#N/A</v>
          </cell>
          <cell r="P1175" t="str">
            <v/>
          </cell>
          <cell r="Q1175" t="str">
            <v/>
          </cell>
          <cell r="R1175" t="e">
            <v>#N/A</v>
          </cell>
        </row>
        <row r="1176">
          <cell r="A1176" t="str">
            <v/>
          </cell>
          <cell r="B1176" t="str">
            <v/>
          </cell>
          <cell r="C1176" t="str">
            <v>Future</v>
          </cell>
          <cell r="D1176" t="e">
            <v>#N/A</v>
          </cell>
          <cell r="E1176">
            <v>-91.014330708660594</v>
          </cell>
          <cell r="F1176">
            <v>127.96204724409841</v>
          </cell>
          <cell r="G1176">
            <v>30.63921259842494</v>
          </cell>
          <cell r="H1176">
            <v>30.63921259842494</v>
          </cell>
          <cell r="I1176" t="e">
            <v>#N/A</v>
          </cell>
          <cell r="J1176" t="e">
            <v>#N/A</v>
          </cell>
          <cell r="K1176">
            <v>90</v>
          </cell>
          <cell r="L1176">
            <v>50</v>
          </cell>
          <cell r="M1176" t="e">
            <v>#N/A</v>
          </cell>
          <cell r="N1176">
            <v>80</v>
          </cell>
          <cell r="O1176" t="e">
            <v>#N/A</v>
          </cell>
          <cell r="P1176" t="str">
            <v/>
          </cell>
          <cell r="Q1176" t="str">
            <v/>
          </cell>
          <cell r="R1176" t="e">
            <v>#N/A</v>
          </cell>
        </row>
        <row r="1177">
          <cell r="A1177" t="str">
            <v/>
          </cell>
          <cell r="B1177" t="str">
            <v/>
          </cell>
          <cell r="C1177" t="str">
            <v>Future</v>
          </cell>
          <cell r="D1177" t="e">
            <v>#N/A</v>
          </cell>
          <cell r="E1177">
            <v>-91.264370078739333</v>
          </cell>
          <cell r="F1177">
            <v>128.06633858268108</v>
          </cell>
          <cell r="G1177">
            <v>30.586023622046987</v>
          </cell>
          <cell r="H1177">
            <v>30.586023622046987</v>
          </cell>
          <cell r="I1177" t="e">
            <v>#N/A</v>
          </cell>
          <cell r="J1177" t="e">
            <v>#N/A</v>
          </cell>
          <cell r="K1177">
            <v>90</v>
          </cell>
          <cell r="L1177">
            <v>50</v>
          </cell>
          <cell r="M1177" t="e">
            <v>#N/A</v>
          </cell>
          <cell r="N1177">
            <v>80</v>
          </cell>
          <cell r="O1177" t="e">
            <v>#N/A</v>
          </cell>
          <cell r="P1177" t="str">
            <v/>
          </cell>
          <cell r="Q1177" t="str">
            <v/>
          </cell>
          <cell r="R1177" t="e">
            <v>#N/A</v>
          </cell>
        </row>
        <row r="1178">
          <cell r="A1178" t="str">
            <v/>
          </cell>
          <cell r="B1178" t="str">
            <v/>
          </cell>
          <cell r="C1178" t="str">
            <v>Future</v>
          </cell>
          <cell r="D1178" t="e">
            <v>#N/A</v>
          </cell>
          <cell r="E1178">
            <v>-91.514409448818071</v>
          </cell>
          <cell r="F1178">
            <v>128.17062992126375</v>
          </cell>
          <cell r="G1178">
            <v>30.532834645669034</v>
          </cell>
          <cell r="H1178">
            <v>30.532834645669034</v>
          </cell>
          <cell r="I1178" t="e">
            <v>#N/A</v>
          </cell>
          <cell r="J1178" t="e">
            <v>#N/A</v>
          </cell>
          <cell r="K1178">
            <v>90</v>
          </cell>
          <cell r="L1178">
            <v>50</v>
          </cell>
          <cell r="M1178" t="e">
            <v>#N/A</v>
          </cell>
          <cell r="N1178">
            <v>80</v>
          </cell>
          <cell r="O1178" t="e">
            <v>#N/A</v>
          </cell>
          <cell r="P1178" t="str">
            <v/>
          </cell>
          <cell r="Q1178" t="str">
            <v/>
          </cell>
          <cell r="R1178" t="e">
            <v>#N/A</v>
          </cell>
        </row>
        <row r="1179">
          <cell r="A1179" t="str">
            <v/>
          </cell>
          <cell r="B1179" t="str">
            <v/>
          </cell>
          <cell r="C1179" t="str">
            <v>Future</v>
          </cell>
          <cell r="D1179" t="e">
            <v>#N/A</v>
          </cell>
          <cell r="E1179">
            <v>-91.76444881889681</v>
          </cell>
          <cell r="F1179">
            <v>128.27492125984642</v>
          </cell>
          <cell r="G1179">
            <v>30.479645669291081</v>
          </cell>
          <cell r="H1179">
            <v>30.479645669291081</v>
          </cell>
          <cell r="I1179" t="e">
            <v>#N/A</v>
          </cell>
          <cell r="J1179" t="e">
            <v>#N/A</v>
          </cell>
          <cell r="K1179">
            <v>90</v>
          </cell>
          <cell r="L1179">
            <v>50</v>
          </cell>
          <cell r="M1179" t="e">
            <v>#N/A</v>
          </cell>
          <cell r="N1179">
            <v>80</v>
          </cell>
          <cell r="O1179" t="e">
            <v>#N/A</v>
          </cell>
          <cell r="P1179" t="str">
            <v/>
          </cell>
          <cell r="Q1179" t="str">
            <v/>
          </cell>
          <cell r="R1179" t="e">
            <v>#N/A</v>
          </cell>
        </row>
        <row r="1180">
          <cell r="A1180" t="str">
            <v/>
          </cell>
          <cell r="B1180" t="str">
            <v/>
          </cell>
          <cell r="C1180" t="str">
            <v>Future</v>
          </cell>
          <cell r="D1180" t="e">
            <v>#N/A</v>
          </cell>
          <cell r="E1180">
            <v>-92.014488188975548</v>
          </cell>
          <cell r="F1180">
            <v>128.37921259842909</v>
          </cell>
          <cell r="G1180">
            <v>30.426456692913128</v>
          </cell>
          <cell r="H1180">
            <v>30.426456692913128</v>
          </cell>
          <cell r="I1180" t="e">
            <v>#N/A</v>
          </cell>
          <cell r="J1180" t="e">
            <v>#N/A</v>
          </cell>
          <cell r="K1180">
            <v>90</v>
          </cell>
          <cell r="L1180">
            <v>50</v>
          </cell>
          <cell r="M1180" t="e">
            <v>#N/A</v>
          </cell>
          <cell r="N1180">
            <v>80</v>
          </cell>
          <cell r="O1180" t="e">
            <v>#N/A</v>
          </cell>
          <cell r="P1180" t="str">
            <v/>
          </cell>
          <cell r="Q1180" t="str">
            <v/>
          </cell>
          <cell r="R1180" t="e">
            <v>#N/A</v>
          </cell>
        </row>
        <row r="1181">
          <cell r="A1181" t="str">
            <v/>
          </cell>
          <cell r="B1181" t="str">
            <v/>
          </cell>
          <cell r="C1181" t="str">
            <v>Future</v>
          </cell>
          <cell r="D1181" t="e">
            <v>#N/A</v>
          </cell>
          <cell r="E1181">
            <v>-92.264527559054287</v>
          </cell>
          <cell r="F1181">
            <v>128.48350393701176</v>
          </cell>
          <cell r="G1181">
            <v>30.373267716535175</v>
          </cell>
          <cell r="H1181">
            <v>30.373267716535175</v>
          </cell>
          <cell r="I1181" t="e">
            <v>#N/A</v>
          </cell>
          <cell r="J1181" t="e">
            <v>#N/A</v>
          </cell>
          <cell r="K1181">
            <v>90</v>
          </cell>
          <cell r="L1181">
            <v>50</v>
          </cell>
          <cell r="M1181" t="e">
            <v>#N/A</v>
          </cell>
          <cell r="N1181">
            <v>80</v>
          </cell>
          <cell r="O1181" t="e">
            <v>#N/A</v>
          </cell>
          <cell r="P1181" t="str">
            <v/>
          </cell>
          <cell r="Q1181" t="str">
            <v/>
          </cell>
          <cell r="R1181" t="e">
            <v>#N/A</v>
          </cell>
        </row>
        <row r="1182">
          <cell r="A1182" t="str">
            <v/>
          </cell>
          <cell r="B1182" t="str">
            <v/>
          </cell>
          <cell r="C1182" t="str">
            <v>Future</v>
          </cell>
          <cell r="D1182" t="e">
            <v>#N/A</v>
          </cell>
          <cell r="E1182">
            <v>-92.514566929133025</v>
          </cell>
          <cell r="F1182">
            <v>128.58779527559443</v>
          </cell>
          <cell r="G1182">
            <v>30.320078740157221</v>
          </cell>
          <cell r="H1182">
            <v>30.320078740157221</v>
          </cell>
          <cell r="I1182" t="e">
            <v>#N/A</v>
          </cell>
          <cell r="J1182" t="e">
            <v>#N/A</v>
          </cell>
          <cell r="K1182">
            <v>90</v>
          </cell>
          <cell r="L1182">
            <v>50</v>
          </cell>
          <cell r="M1182" t="e">
            <v>#N/A</v>
          </cell>
          <cell r="N1182">
            <v>80</v>
          </cell>
          <cell r="O1182" t="e">
            <v>#N/A</v>
          </cell>
          <cell r="P1182" t="str">
            <v/>
          </cell>
          <cell r="Q1182" t="str">
            <v/>
          </cell>
          <cell r="R1182" t="e">
            <v>#N/A</v>
          </cell>
        </row>
        <row r="1183">
          <cell r="A1183" t="str">
            <v/>
          </cell>
          <cell r="B1183" t="str">
            <v/>
          </cell>
          <cell r="C1183" t="str">
            <v>Future</v>
          </cell>
          <cell r="D1183" t="e">
            <v>#N/A</v>
          </cell>
          <cell r="E1183">
            <v>-92.764606299211763</v>
          </cell>
          <cell r="F1183">
            <v>128.6920866141771</v>
          </cell>
          <cell r="G1183">
            <v>30.266889763779268</v>
          </cell>
          <cell r="H1183">
            <v>30.266889763779268</v>
          </cell>
          <cell r="I1183" t="e">
            <v>#N/A</v>
          </cell>
          <cell r="J1183" t="e">
            <v>#N/A</v>
          </cell>
          <cell r="K1183">
            <v>90</v>
          </cell>
          <cell r="L1183">
            <v>50</v>
          </cell>
          <cell r="M1183" t="e">
            <v>#N/A</v>
          </cell>
          <cell r="N1183">
            <v>80</v>
          </cell>
          <cell r="O1183" t="e">
            <v>#N/A</v>
          </cell>
          <cell r="P1183" t="str">
            <v/>
          </cell>
          <cell r="Q1183" t="str">
            <v/>
          </cell>
          <cell r="R1183" t="e">
            <v>#N/A</v>
          </cell>
        </row>
        <row r="1184">
          <cell r="A1184" t="str">
            <v/>
          </cell>
          <cell r="B1184" t="str">
            <v/>
          </cell>
          <cell r="C1184" t="str">
            <v>Future</v>
          </cell>
          <cell r="D1184" t="e">
            <v>#N/A</v>
          </cell>
          <cell r="E1184">
            <v>-93.014645669290502</v>
          </cell>
          <cell r="F1184">
            <v>128.79637795275977</v>
          </cell>
          <cell r="G1184">
            <v>30.213700787401315</v>
          </cell>
          <cell r="H1184">
            <v>30.213700787401315</v>
          </cell>
          <cell r="I1184" t="e">
            <v>#N/A</v>
          </cell>
          <cell r="J1184" t="e">
            <v>#N/A</v>
          </cell>
          <cell r="K1184">
            <v>90</v>
          </cell>
          <cell r="L1184">
            <v>50</v>
          </cell>
          <cell r="M1184" t="e">
            <v>#N/A</v>
          </cell>
          <cell r="N1184">
            <v>80</v>
          </cell>
          <cell r="O1184" t="e">
            <v>#N/A</v>
          </cell>
          <cell r="P1184" t="str">
            <v/>
          </cell>
          <cell r="Q1184" t="str">
            <v/>
          </cell>
          <cell r="R1184" t="e">
            <v>#N/A</v>
          </cell>
        </row>
        <row r="1185">
          <cell r="A1185" t="str">
            <v/>
          </cell>
          <cell r="B1185" t="str">
            <v/>
          </cell>
          <cell r="C1185" t="str">
            <v>Future</v>
          </cell>
          <cell r="D1185" t="e">
            <v>#N/A</v>
          </cell>
          <cell r="E1185">
            <v>-93.26468503936924</v>
          </cell>
          <cell r="F1185">
            <v>128.90066929134244</v>
          </cell>
          <cell r="G1185">
            <v>30.160511811023362</v>
          </cell>
          <cell r="H1185">
            <v>30.160511811023362</v>
          </cell>
          <cell r="I1185" t="e">
            <v>#N/A</v>
          </cell>
          <cell r="J1185" t="e">
            <v>#N/A</v>
          </cell>
          <cell r="K1185">
            <v>90</v>
          </cell>
          <cell r="L1185">
            <v>50</v>
          </cell>
          <cell r="M1185" t="e">
            <v>#N/A</v>
          </cell>
          <cell r="N1185">
            <v>80</v>
          </cell>
          <cell r="O1185" t="e">
            <v>#N/A</v>
          </cell>
          <cell r="P1185" t="str">
            <v/>
          </cell>
          <cell r="Q1185" t="str">
            <v/>
          </cell>
          <cell r="R1185" t="e">
            <v>#N/A</v>
          </cell>
        </row>
        <row r="1186">
          <cell r="A1186" t="str">
            <v/>
          </cell>
          <cell r="B1186" t="str">
            <v/>
          </cell>
          <cell r="C1186" t="str">
            <v>Future</v>
          </cell>
          <cell r="D1186" t="e">
            <v>#N/A</v>
          </cell>
          <cell r="E1186">
            <v>-93.514724409447979</v>
          </cell>
          <cell r="F1186">
            <v>129.00496062992511</v>
          </cell>
          <cell r="G1186">
            <v>30.107322834645409</v>
          </cell>
          <cell r="H1186">
            <v>30.107322834645409</v>
          </cell>
          <cell r="I1186" t="e">
            <v>#N/A</v>
          </cell>
          <cell r="J1186" t="e">
            <v>#N/A</v>
          </cell>
          <cell r="K1186">
            <v>90</v>
          </cell>
          <cell r="L1186">
            <v>50</v>
          </cell>
          <cell r="M1186" t="e">
            <v>#N/A</v>
          </cell>
          <cell r="N1186">
            <v>80</v>
          </cell>
          <cell r="O1186" t="e">
            <v>#N/A</v>
          </cell>
          <cell r="P1186" t="str">
            <v/>
          </cell>
          <cell r="Q1186" t="str">
            <v/>
          </cell>
          <cell r="R1186" t="e">
            <v>#N/A</v>
          </cell>
        </row>
        <row r="1187">
          <cell r="A1187" t="str">
            <v/>
          </cell>
          <cell r="B1187" t="str">
            <v/>
          </cell>
          <cell r="C1187" t="str">
            <v>Future</v>
          </cell>
          <cell r="D1187" t="e">
            <v>#N/A</v>
          </cell>
          <cell r="E1187">
            <v>-93.764763779526717</v>
          </cell>
          <cell r="F1187">
            <v>129.10925196850778</v>
          </cell>
          <cell r="G1187">
            <v>30.054133858267456</v>
          </cell>
          <cell r="H1187">
            <v>30.054133858267456</v>
          </cell>
          <cell r="I1187" t="e">
            <v>#N/A</v>
          </cell>
          <cell r="J1187" t="e">
            <v>#N/A</v>
          </cell>
          <cell r="K1187">
            <v>90</v>
          </cell>
          <cell r="L1187">
            <v>50</v>
          </cell>
          <cell r="M1187" t="e">
            <v>#N/A</v>
          </cell>
          <cell r="N1187">
            <v>80</v>
          </cell>
          <cell r="O1187" t="e">
            <v>#N/A</v>
          </cell>
          <cell r="P1187" t="str">
            <v/>
          </cell>
          <cell r="Q1187" t="str">
            <v/>
          </cell>
          <cell r="R1187" t="e">
            <v>#N/A</v>
          </cell>
        </row>
        <row r="1188">
          <cell r="A1188" t="str">
            <v/>
          </cell>
          <cell r="B1188" t="str">
            <v/>
          </cell>
          <cell r="C1188" t="str">
            <v>Future</v>
          </cell>
          <cell r="D1188" t="e">
            <v>#N/A</v>
          </cell>
          <cell r="E1188">
            <v>-94.014803149605456</v>
          </cell>
          <cell r="F1188">
            <v>129.21354330709045</v>
          </cell>
          <cell r="G1188">
            <v>30.000944881889502</v>
          </cell>
          <cell r="H1188">
            <v>30.000944881889502</v>
          </cell>
          <cell r="I1188" t="e">
            <v>#N/A</v>
          </cell>
          <cell r="J1188" t="e">
            <v>#N/A</v>
          </cell>
          <cell r="K1188">
            <v>90</v>
          </cell>
          <cell r="L1188">
            <v>50</v>
          </cell>
          <cell r="M1188" t="e">
            <v>#N/A</v>
          </cell>
          <cell r="N1188">
            <v>80</v>
          </cell>
          <cell r="O1188" t="e">
            <v>#N/A</v>
          </cell>
          <cell r="P1188" t="str">
            <v/>
          </cell>
          <cell r="Q1188" t="str">
            <v/>
          </cell>
          <cell r="R1188" t="e">
            <v>#N/A</v>
          </cell>
        </row>
        <row r="1189">
          <cell r="A1189" t="str">
            <v/>
          </cell>
          <cell r="B1189" t="str">
            <v/>
          </cell>
          <cell r="C1189" t="str">
            <v>Future</v>
          </cell>
          <cell r="D1189" t="e">
            <v>#N/A</v>
          </cell>
          <cell r="E1189">
            <v>-94.264842519684194</v>
          </cell>
          <cell r="F1189">
            <v>129.31783464567312</v>
          </cell>
          <cell r="G1189">
            <v>29.947755905511549</v>
          </cell>
          <cell r="H1189">
            <v>29.947755905511549</v>
          </cell>
          <cell r="I1189" t="e">
            <v>#N/A</v>
          </cell>
          <cell r="J1189" t="e">
            <v>#N/A</v>
          </cell>
          <cell r="K1189">
            <v>90</v>
          </cell>
          <cell r="L1189">
            <v>50</v>
          </cell>
          <cell r="M1189" t="e">
            <v>#N/A</v>
          </cell>
          <cell r="N1189">
            <v>80</v>
          </cell>
          <cell r="O1189" t="e">
            <v>#N/A</v>
          </cell>
          <cell r="P1189" t="str">
            <v/>
          </cell>
          <cell r="Q1189" t="str">
            <v/>
          </cell>
          <cell r="R1189" t="e">
            <v>#N/A</v>
          </cell>
        </row>
        <row r="1190">
          <cell r="A1190" t="str">
            <v/>
          </cell>
          <cell r="B1190" t="str">
            <v/>
          </cell>
          <cell r="C1190" t="str">
            <v>Future</v>
          </cell>
          <cell r="D1190" t="e">
            <v>#N/A</v>
          </cell>
          <cell r="E1190">
            <v>-94.514881889762933</v>
          </cell>
          <cell r="F1190">
            <v>129.42212598425579</v>
          </cell>
          <cell r="G1190">
            <v>29.894566929133596</v>
          </cell>
          <cell r="H1190">
            <v>29.894566929133596</v>
          </cell>
          <cell r="I1190" t="e">
            <v>#N/A</v>
          </cell>
          <cell r="J1190" t="e">
            <v>#N/A</v>
          </cell>
          <cell r="K1190">
            <v>90</v>
          </cell>
          <cell r="L1190">
            <v>50</v>
          </cell>
          <cell r="M1190" t="e">
            <v>#N/A</v>
          </cell>
          <cell r="N1190">
            <v>80</v>
          </cell>
          <cell r="O1190" t="e">
            <v>#N/A</v>
          </cell>
          <cell r="P1190" t="str">
            <v/>
          </cell>
          <cell r="Q1190" t="str">
            <v/>
          </cell>
          <cell r="R1190" t="e">
            <v>#N/A</v>
          </cell>
        </row>
        <row r="1191">
          <cell r="A1191" t="str">
            <v/>
          </cell>
          <cell r="B1191" t="str">
            <v/>
          </cell>
          <cell r="C1191" t="str">
            <v>Future</v>
          </cell>
          <cell r="D1191" t="e">
            <v>#N/A</v>
          </cell>
          <cell r="E1191">
            <v>-94.764921259841671</v>
          </cell>
          <cell r="F1191">
            <v>129.52641732283845</v>
          </cell>
          <cell r="G1191">
            <v>29.841377952755643</v>
          </cell>
          <cell r="H1191">
            <v>29.841377952755643</v>
          </cell>
          <cell r="I1191" t="e">
            <v>#N/A</v>
          </cell>
          <cell r="J1191" t="e">
            <v>#N/A</v>
          </cell>
          <cell r="K1191">
            <v>90</v>
          </cell>
          <cell r="L1191">
            <v>50</v>
          </cell>
          <cell r="M1191" t="e">
            <v>#N/A</v>
          </cell>
          <cell r="N1191">
            <v>80</v>
          </cell>
          <cell r="O1191" t="e">
            <v>#N/A</v>
          </cell>
          <cell r="P1191" t="str">
            <v/>
          </cell>
          <cell r="Q1191" t="str">
            <v/>
          </cell>
          <cell r="R1191" t="e">
            <v>#N/A</v>
          </cell>
        </row>
        <row r="1192">
          <cell r="A1192" t="str">
            <v/>
          </cell>
          <cell r="B1192" t="str">
            <v/>
          </cell>
          <cell r="C1192" t="str">
            <v>Future</v>
          </cell>
          <cell r="D1192" t="e">
            <v>#N/A</v>
          </cell>
          <cell r="E1192">
            <v>-95.014960629920409</v>
          </cell>
          <cell r="F1192">
            <v>129.63070866142112</v>
          </cell>
          <cell r="G1192">
            <v>29.78818897637769</v>
          </cell>
          <cell r="H1192">
            <v>29.78818897637769</v>
          </cell>
          <cell r="I1192" t="e">
            <v>#N/A</v>
          </cell>
          <cell r="J1192" t="e">
            <v>#N/A</v>
          </cell>
          <cell r="K1192">
            <v>90</v>
          </cell>
          <cell r="L1192">
            <v>50</v>
          </cell>
          <cell r="M1192" t="e">
            <v>#N/A</v>
          </cell>
          <cell r="N1192">
            <v>80</v>
          </cell>
          <cell r="O1192" t="e">
            <v>#N/A</v>
          </cell>
          <cell r="P1192" t="str">
            <v/>
          </cell>
          <cell r="Q1192" t="str">
            <v/>
          </cell>
          <cell r="R1192" t="e">
            <v>#N/A</v>
          </cell>
        </row>
        <row r="1193">
          <cell r="A1193" t="str">
            <v/>
          </cell>
          <cell r="B1193" t="str">
            <v/>
          </cell>
          <cell r="C1193" t="str">
            <v>Future</v>
          </cell>
          <cell r="D1193" t="e">
            <v>#N/A</v>
          </cell>
          <cell r="E1193">
            <v>-95.264999999999148</v>
          </cell>
          <cell r="F1193">
            <v>129.73500000000379</v>
          </cell>
          <cell r="G1193">
            <v>29.734999999999737</v>
          </cell>
          <cell r="H1193">
            <v>29.734999999999737</v>
          </cell>
          <cell r="I1193" t="e">
            <v>#N/A</v>
          </cell>
          <cell r="J1193" t="e">
            <v>#N/A</v>
          </cell>
          <cell r="K1193">
            <v>90</v>
          </cell>
          <cell r="L1193">
            <v>50</v>
          </cell>
          <cell r="M1193" t="e">
            <v>#N/A</v>
          </cell>
          <cell r="N1193">
            <v>80</v>
          </cell>
          <cell r="O1193" t="e">
            <v>#N/A</v>
          </cell>
          <cell r="P1193" t="str">
            <v/>
          </cell>
          <cell r="Q1193" t="str">
            <v/>
          </cell>
          <cell r="R1193" t="e">
            <v>#N/A</v>
          </cell>
        </row>
        <row r="1194">
          <cell r="A1194" t="str">
            <v/>
          </cell>
          <cell r="B1194" t="str">
            <v/>
          </cell>
          <cell r="C1194" t="str">
            <v>Future</v>
          </cell>
          <cell r="D1194" t="e">
            <v>#N/A</v>
          </cell>
          <cell r="E1194">
            <v>-95.515039370077886</v>
          </cell>
          <cell r="F1194">
            <v>129.83929133858646</v>
          </cell>
          <cell r="G1194">
            <v>29.681811023621783</v>
          </cell>
          <cell r="H1194">
            <v>29.681811023621783</v>
          </cell>
          <cell r="I1194" t="e">
            <v>#N/A</v>
          </cell>
          <cell r="J1194" t="e">
            <v>#N/A</v>
          </cell>
          <cell r="K1194">
            <v>90</v>
          </cell>
          <cell r="L1194">
            <v>50</v>
          </cell>
          <cell r="M1194" t="e">
            <v>#N/A</v>
          </cell>
          <cell r="N1194">
            <v>80</v>
          </cell>
          <cell r="O1194" t="e">
            <v>#N/A</v>
          </cell>
          <cell r="P1194" t="str">
            <v/>
          </cell>
          <cell r="Q1194" t="str">
            <v/>
          </cell>
          <cell r="R1194" t="e">
            <v>#N/A</v>
          </cell>
        </row>
        <row r="1195">
          <cell r="A1195" t="str">
            <v/>
          </cell>
          <cell r="B1195" t="str">
            <v/>
          </cell>
          <cell r="C1195" t="str">
            <v>Future</v>
          </cell>
          <cell r="D1195" t="e">
            <v>#N/A</v>
          </cell>
          <cell r="E1195">
            <v>-95.765078740156625</v>
          </cell>
          <cell r="F1195">
            <v>129.94358267716913</v>
          </cell>
          <cell r="G1195">
            <v>29.62862204724383</v>
          </cell>
          <cell r="H1195">
            <v>29.62862204724383</v>
          </cell>
          <cell r="I1195" t="e">
            <v>#N/A</v>
          </cell>
          <cell r="J1195" t="e">
            <v>#N/A</v>
          </cell>
          <cell r="K1195">
            <v>90</v>
          </cell>
          <cell r="L1195">
            <v>50</v>
          </cell>
          <cell r="M1195" t="e">
            <v>#N/A</v>
          </cell>
          <cell r="N1195">
            <v>80</v>
          </cell>
          <cell r="O1195" t="e">
            <v>#N/A</v>
          </cell>
          <cell r="P1195" t="str">
            <v/>
          </cell>
          <cell r="Q1195" t="str">
            <v/>
          </cell>
          <cell r="R1195" t="e">
            <v>#N/A</v>
          </cell>
        </row>
        <row r="1196">
          <cell r="A1196" t="str">
            <v/>
          </cell>
          <cell r="B1196" t="str">
            <v/>
          </cell>
          <cell r="C1196" t="str">
            <v>Future</v>
          </cell>
          <cell r="D1196" t="e">
            <v>#N/A</v>
          </cell>
          <cell r="E1196">
            <v>-96.015118110235363</v>
          </cell>
          <cell r="F1196">
            <v>130.0478740157518</v>
          </cell>
          <cell r="G1196">
            <v>29.575433070865877</v>
          </cell>
          <cell r="H1196">
            <v>29.575433070865877</v>
          </cell>
          <cell r="I1196" t="e">
            <v>#N/A</v>
          </cell>
          <cell r="J1196" t="e">
            <v>#N/A</v>
          </cell>
          <cell r="K1196">
            <v>90</v>
          </cell>
          <cell r="L1196">
            <v>50</v>
          </cell>
          <cell r="M1196" t="e">
            <v>#N/A</v>
          </cell>
          <cell r="N1196">
            <v>80</v>
          </cell>
          <cell r="O1196" t="e">
            <v>#N/A</v>
          </cell>
          <cell r="P1196" t="str">
            <v/>
          </cell>
          <cell r="Q1196" t="str">
            <v/>
          </cell>
          <cell r="R1196" t="e">
            <v>#N/A</v>
          </cell>
        </row>
        <row r="1197">
          <cell r="A1197" t="str">
            <v/>
          </cell>
          <cell r="B1197" t="str">
            <v/>
          </cell>
          <cell r="C1197" t="str">
            <v>Future</v>
          </cell>
          <cell r="D1197" t="e">
            <v>#N/A</v>
          </cell>
          <cell r="E1197">
            <v>-96.265157480314102</v>
          </cell>
          <cell r="F1197">
            <v>130.15216535433447</v>
          </cell>
          <cell r="G1197">
            <v>29.522244094487924</v>
          </cell>
          <cell r="H1197">
            <v>29.522244094487924</v>
          </cell>
          <cell r="I1197" t="e">
            <v>#N/A</v>
          </cell>
          <cell r="J1197" t="e">
            <v>#N/A</v>
          </cell>
          <cell r="K1197">
            <v>90</v>
          </cell>
          <cell r="L1197">
            <v>50</v>
          </cell>
          <cell r="M1197" t="e">
            <v>#N/A</v>
          </cell>
          <cell r="N1197">
            <v>80</v>
          </cell>
          <cell r="O1197" t="e">
            <v>#N/A</v>
          </cell>
          <cell r="P1197" t="str">
            <v/>
          </cell>
          <cell r="Q1197" t="str">
            <v/>
          </cell>
          <cell r="R1197" t="e">
            <v>#N/A</v>
          </cell>
        </row>
        <row r="1198">
          <cell r="A1198" t="str">
            <v/>
          </cell>
          <cell r="B1198" t="str">
            <v/>
          </cell>
          <cell r="C1198" t="str">
            <v>Future</v>
          </cell>
          <cell r="D1198" t="e">
            <v>#N/A</v>
          </cell>
          <cell r="E1198">
            <v>-96.51519685039284</v>
          </cell>
          <cell r="F1198">
            <v>130.25645669291714</v>
          </cell>
          <cell r="G1198">
            <v>29.469055118109971</v>
          </cell>
          <cell r="H1198">
            <v>29.469055118109971</v>
          </cell>
          <cell r="I1198" t="e">
            <v>#N/A</v>
          </cell>
          <cell r="J1198" t="e">
            <v>#N/A</v>
          </cell>
          <cell r="K1198">
            <v>90</v>
          </cell>
          <cell r="L1198">
            <v>50</v>
          </cell>
          <cell r="M1198" t="e">
            <v>#N/A</v>
          </cell>
          <cell r="N1198">
            <v>80</v>
          </cell>
          <cell r="O1198" t="e">
            <v>#N/A</v>
          </cell>
          <cell r="P1198" t="str">
            <v/>
          </cell>
          <cell r="Q1198" t="str">
            <v/>
          </cell>
          <cell r="R1198" t="e">
            <v>#N/A</v>
          </cell>
        </row>
        <row r="1199">
          <cell r="A1199" t="str">
            <v/>
          </cell>
          <cell r="B1199" t="str">
            <v/>
          </cell>
          <cell r="C1199" t="str">
            <v>Future</v>
          </cell>
          <cell r="D1199" t="e">
            <v>#N/A</v>
          </cell>
          <cell r="E1199">
            <v>-96.765236220471579</v>
          </cell>
          <cell r="F1199">
            <v>130.36074803149981</v>
          </cell>
          <cell r="G1199">
            <v>29.415866141732018</v>
          </cell>
          <cell r="H1199">
            <v>29.415866141732018</v>
          </cell>
          <cell r="I1199" t="e">
            <v>#N/A</v>
          </cell>
          <cell r="J1199" t="e">
            <v>#N/A</v>
          </cell>
          <cell r="K1199">
            <v>90</v>
          </cell>
          <cell r="L1199">
            <v>50</v>
          </cell>
          <cell r="M1199" t="e">
            <v>#N/A</v>
          </cell>
          <cell r="N1199">
            <v>80</v>
          </cell>
          <cell r="O1199" t="e">
            <v>#N/A</v>
          </cell>
          <cell r="P1199" t="str">
            <v/>
          </cell>
          <cell r="Q1199" t="str">
            <v/>
          </cell>
          <cell r="R1199" t="e">
            <v>#N/A</v>
          </cell>
        </row>
        <row r="1200">
          <cell r="A1200" t="str">
            <v/>
          </cell>
          <cell r="B1200" t="str">
            <v/>
          </cell>
          <cell r="C1200" t="str">
            <v>Future</v>
          </cell>
          <cell r="D1200" t="e">
            <v>#N/A</v>
          </cell>
          <cell r="E1200">
            <v>-97.015275590550317</v>
          </cell>
          <cell r="F1200">
            <v>130.46503937008248</v>
          </cell>
          <cell r="G1200">
            <v>29.362677165354064</v>
          </cell>
          <cell r="H1200">
            <v>29.362677165354064</v>
          </cell>
          <cell r="I1200" t="e">
            <v>#N/A</v>
          </cell>
          <cell r="J1200" t="e">
            <v>#N/A</v>
          </cell>
          <cell r="K1200">
            <v>90</v>
          </cell>
          <cell r="L1200">
            <v>50</v>
          </cell>
          <cell r="M1200" t="e">
            <v>#N/A</v>
          </cell>
          <cell r="N1200">
            <v>80</v>
          </cell>
          <cell r="O1200" t="e">
            <v>#N/A</v>
          </cell>
          <cell r="P1200" t="str">
            <v/>
          </cell>
          <cell r="Q1200" t="str">
            <v/>
          </cell>
          <cell r="R1200" t="e">
            <v>#N/A</v>
          </cell>
        </row>
        <row r="1201">
          <cell r="A1201" t="str">
            <v/>
          </cell>
          <cell r="B1201" t="str">
            <v/>
          </cell>
          <cell r="C1201" t="str">
            <v>Future</v>
          </cell>
          <cell r="D1201" t="e">
            <v>#N/A</v>
          </cell>
          <cell r="E1201">
            <v>-97.265314960629055</v>
          </cell>
          <cell r="F1201">
            <v>130.56933070866515</v>
          </cell>
          <cell r="G1201">
            <v>29.309488188976111</v>
          </cell>
          <cell r="H1201">
            <v>29.309488188976111</v>
          </cell>
          <cell r="I1201" t="e">
            <v>#N/A</v>
          </cell>
          <cell r="J1201" t="e">
            <v>#N/A</v>
          </cell>
          <cell r="K1201">
            <v>90</v>
          </cell>
          <cell r="L1201">
            <v>50</v>
          </cell>
          <cell r="M1201" t="e">
            <v>#N/A</v>
          </cell>
          <cell r="N1201">
            <v>80</v>
          </cell>
          <cell r="O1201" t="e">
            <v>#N/A</v>
          </cell>
          <cell r="P1201" t="str">
            <v/>
          </cell>
          <cell r="Q1201" t="str">
            <v/>
          </cell>
          <cell r="R1201" t="e">
            <v>#N/A</v>
          </cell>
        </row>
        <row r="1202">
          <cell r="A1202" t="str">
            <v/>
          </cell>
          <cell r="B1202" t="str">
            <v/>
          </cell>
          <cell r="C1202" t="str">
            <v>Future</v>
          </cell>
          <cell r="D1202" t="e">
            <v>#N/A</v>
          </cell>
          <cell r="E1202">
            <v>-97.515354330707794</v>
          </cell>
          <cell r="F1202">
            <v>130.67362204724782</v>
          </cell>
          <cell r="G1202">
            <v>29.256299212598158</v>
          </cell>
          <cell r="H1202">
            <v>29.256299212598158</v>
          </cell>
          <cell r="I1202" t="e">
            <v>#N/A</v>
          </cell>
          <cell r="J1202" t="e">
            <v>#N/A</v>
          </cell>
          <cell r="K1202">
            <v>90</v>
          </cell>
          <cell r="L1202">
            <v>50</v>
          </cell>
          <cell r="M1202" t="e">
            <v>#N/A</v>
          </cell>
          <cell r="N1202">
            <v>80</v>
          </cell>
          <cell r="O1202" t="e">
            <v>#N/A</v>
          </cell>
          <cell r="P1202" t="str">
            <v/>
          </cell>
          <cell r="Q1202" t="str">
            <v/>
          </cell>
          <cell r="R1202" t="e">
            <v>#N/A</v>
          </cell>
        </row>
        <row r="1203">
          <cell r="A1203" t="str">
            <v/>
          </cell>
          <cell r="B1203" t="str">
            <v/>
          </cell>
          <cell r="C1203" t="str">
            <v>Future</v>
          </cell>
          <cell r="D1203" t="e">
            <v>#N/A</v>
          </cell>
          <cell r="E1203">
            <v>-97.765393700786532</v>
          </cell>
          <cell r="F1203">
            <v>130.77791338583049</v>
          </cell>
          <cell r="G1203">
            <v>29.203110236220205</v>
          </cell>
          <cell r="H1203">
            <v>29.203110236220205</v>
          </cell>
          <cell r="I1203" t="e">
            <v>#N/A</v>
          </cell>
          <cell r="J1203" t="e">
            <v>#N/A</v>
          </cell>
          <cell r="K1203">
            <v>90</v>
          </cell>
          <cell r="L1203">
            <v>50</v>
          </cell>
          <cell r="M1203" t="e">
            <v>#N/A</v>
          </cell>
          <cell r="N1203">
            <v>80</v>
          </cell>
          <cell r="O1203" t="e">
            <v>#N/A</v>
          </cell>
          <cell r="P1203" t="str">
            <v/>
          </cell>
          <cell r="Q1203" t="str">
            <v/>
          </cell>
          <cell r="R1203" t="e">
            <v>#N/A</v>
          </cell>
        </row>
        <row r="1204">
          <cell r="A1204" t="str">
            <v/>
          </cell>
          <cell r="B1204" t="str">
            <v/>
          </cell>
          <cell r="C1204" t="str">
            <v>Future</v>
          </cell>
          <cell r="D1204" t="e">
            <v>#N/A</v>
          </cell>
          <cell r="E1204">
            <v>-98.015433070865271</v>
          </cell>
          <cell r="F1204">
            <v>130.88220472441316</v>
          </cell>
          <cell r="G1204">
            <v>29.149921259842252</v>
          </cell>
          <cell r="H1204">
            <v>29.149921259842252</v>
          </cell>
          <cell r="I1204" t="e">
            <v>#N/A</v>
          </cell>
          <cell r="J1204" t="e">
            <v>#N/A</v>
          </cell>
          <cell r="K1204">
            <v>90</v>
          </cell>
          <cell r="L1204">
            <v>50</v>
          </cell>
          <cell r="M1204" t="e">
            <v>#N/A</v>
          </cell>
          <cell r="N1204">
            <v>80</v>
          </cell>
          <cell r="O1204" t="e">
            <v>#N/A</v>
          </cell>
          <cell r="P1204" t="str">
            <v/>
          </cell>
          <cell r="Q1204" t="str">
            <v/>
          </cell>
          <cell r="R1204" t="e">
            <v>#N/A</v>
          </cell>
        </row>
        <row r="1205">
          <cell r="A1205" t="str">
            <v/>
          </cell>
          <cell r="B1205" t="str">
            <v/>
          </cell>
          <cell r="C1205" t="str">
            <v>Future</v>
          </cell>
          <cell r="D1205" t="e">
            <v>#N/A</v>
          </cell>
          <cell r="E1205">
            <v>-98.265472440944009</v>
          </cell>
          <cell r="F1205">
            <v>130.98649606299583</v>
          </cell>
          <cell r="G1205">
            <v>29.096732283464299</v>
          </cell>
          <cell r="H1205">
            <v>29.096732283464299</v>
          </cell>
          <cell r="I1205" t="e">
            <v>#N/A</v>
          </cell>
          <cell r="J1205" t="e">
            <v>#N/A</v>
          </cell>
          <cell r="K1205">
            <v>90</v>
          </cell>
          <cell r="L1205">
            <v>50</v>
          </cell>
          <cell r="M1205" t="e">
            <v>#N/A</v>
          </cell>
          <cell r="N1205">
            <v>80</v>
          </cell>
          <cell r="O1205" t="e">
            <v>#N/A</v>
          </cell>
          <cell r="P1205" t="str">
            <v/>
          </cell>
          <cell r="Q1205" t="str">
            <v/>
          </cell>
          <cell r="R1205" t="e">
            <v>#N/A</v>
          </cell>
        </row>
        <row r="1206">
          <cell r="A1206" t="str">
            <v/>
          </cell>
          <cell r="B1206" t="str">
            <v/>
          </cell>
          <cell r="C1206" t="str">
            <v>Future</v>
          </cell>
          <cell r="D1206" t="e">
            <v>#N/A</v>
          </cell>
          <cell r="E1206">
            <v>-98.515511811022748</v>
          </cell>
          <cell r="F1206">
            <v>131.0907874015785</v>
          </cell>
          <cell r="G1206">
            <v>29.043543307086345</v>
          </cell>
          <cell r="H1206">
            <v>29.043543307086345</v>
          </cell>
          <cell r="I1206" t="e">
            <v>#N/A</v>
          </cell>
          <cell r="J1206" t="e">
            <v>#N/A</v>
          </cell>
          <cell r="K1206">
            <v>90</v>
          </cell>
          <cell r="L1206">
            <v>50</v>
          </cell>
          <cell r="M1206" t="e">
            <v>#N/A</v>
          </cell>
          <cell r="N1206">
            <v>80</v>
          </cell>
          <cell r="O1206" t="e">
            <v>#N/A</v>
          </cell>
          <cell r="P1206" t="str">
            <v/>
          </cell>
          <cell r="Q1206" t="str">
            <v/>
          </cell>
          <cell r="R1206" t="e">
            <v>#N/A</v>
          </cell>
        </row>
        <row r="1207">
          <cell r="A1207" t="str">
            <v/>
          </cell>
          <cell r="B1207" t="str">
            <v/>
          </cell>
          <cell r="C1207" t="str">
            <v>Future</v>
          </cell>
          <cell r="D1207" t="e">
            <v>#N/A</v>
          </cell>
          <cell r="E1207">
            <v>-98.765551181101486</v>
          </cell>
          <cell r="F1207">
            <v>131.19507874016116</v>
          </cell>
          <cell r="G1207">
            <v>28.990354330708392</v>
          </cell>
          <cell r="H1207">
            <v>28.990354330708392</v>
          </cell>
          <cell r="I1207" t="e">
            <v>#N/A</v>
          </cell>
          <cell r="J1207" t="e">
            <v>#N/A</v>
          </cell>
          <cell r="K1207">
            <v>90</v>
          </cell>
          <cell r="L1207">
            <v>50</v>
          </cell>
          <cell r="M1207" t="e">
            <v>#N/A</v>
          </cell>
          <cell r="N1207">
            <v>80</v>
          </cell>
          <cell r="O1207" t="e">
            <v>#N/A</v>
          </cell>
          <cell r="P1207" t="str">
            <v/>
          </cell>
          <cell r="Q1207" t="str">
            <v/>
          </cell>
          <cell r="R1207" t="e">
            <v>#N/A</v>
          </cell>
        </row>
        <row r="1208">
          <cell r="A1208" t="str">
            <v/>
          </cell>
          <cell r="B1208" t="str">
            <v/>
          </cell>
          <cell r="C1208" t="str">
            <v>Future</v>
          </cell>
          <cell r="D1208" t="e">
            <v>#N/A</v>
          </cell>
          <cell r="E1208">
            <v>-99.015590551180225</v>
          </cell>
          <cell r="F1208">
            <v>131.29937007874383</v>
          </cell>
          <cell r="G1208">
            <v>28.937165354330439</v>
          </cell>
          <cell r="H1208">
            <v>28.937165354330439</v>
          </cell>
          <cell r="I1208" t="e">
            <v>#N/A</v>
          </cell>
          <cell r="J1208" t="e">
            <v>#N/A</v>
          </cell>
          <cell r="K1208">
            <v>90</v>
          </cell>
          <cell r="L1208">
            <v>50</v>
          </cell>
          <cell r="M1208" t="e">
            <v>#N/A</v>
          </cell>
          <cell r="N1208">
            <v>80</v>
          </cell>
          <cell r="O1208" t="e">
            <v>#N/A</v>
          </cell>
          <cell r="P1208" t="str">
            <v/>
          </cell>
          <cell r="Q1208" t="str">
            <v/>
          </cell>
          <cell r="R1208" t="e">
            <v>#N/A</v>
          </cell>
        </row>
        <row r="1209">
          <cell r="A1209" t="str">
            <v/>
          </cell>
          <cell r="B1209" t="str">
            <v/>
          </cell>
          <cell r="C1209" t="str">
            <v>Future</v>
          </cell>
          <cell r="D1209" t="e">
            <v>#N/A</v>
          </cell>
          <cell r="E1209">
            <v>-99.265629921258963</v>
          </cell>
          <cell r="F1209">
            <v>131.4036614173265</v>
          </cell>
          <cell r="G1209">
            <v>28.883976377952486</v>
          </cell>
          <cell r="H1209">
            <v>28.883976377952486</v>
          </cell>
          <cell r="I1209" t="e">
            <v>#N/A</v>
          </cell>
          <cell r="J1209" t="e">
            <v>#N/A</v>
          </cell>
          <cell r="K1209">
            <v>90</v>
          </cell>
          <cell r="L1209">
            <v>50</v>
          </cell>
          <cell r="M1209" t="e">
            <v>#N/A</v>
          </cell>
          <cell r="N1209">
            <v>80</v>
          </cell>
          <cell r="O1209" t="e">
            <v>#N/A</v>
          </cell>
          <cell r="P1209" t="str">
            <v/>
          </cell>
          <cell r="Q1209" t="str">
            <v/>
          </cell>
          <cell r="R1209" t="e">
            <v>#N/A</v>
          </cell>
        </row>
        <row r="1210">
          <cell r="A1210" t="str">
            <v/>
          </cell>
          <cell r="B1210" t="str">
            <v/>
          </cell>
          <cell r="C1210" t="str">
            <v>Future</v>
          </cell>
          <cell r="D1210" t="e">
            <v>#N/A</v>
          </cell>
          <cell r="E1210">
            <v>-99.515669291337701</v>
          </cell>
          <cell r="F1210">
            <v>131.50795275590917</v>
          </cell>
          <cell r="G1210">
            <v>28.830787401574533</v>
          </cell>
          <cell r="H1210">
            <v>28.830787401574533</v>
          </cell>
          <cell r="I1210" t="e">
            <v>#N/A</v>
          </cell>
          <cell r="J1210" t="e">
            <v>#N/A</v>
          </cell>
          <cell r="K1210">
            <v>90</v>
          </cell>
          <cell r="L1210">
            <v>50</v>
          </cell>
          <cell r="M1210" t="e">
            <v>#N/A</v>
          </cell>
          <cell r="N1210">
            <v>80</v>
          </cell>
          <cell r="O1210" t="e">
            <v>#N/A</v>
          </cell>
          <cell r="P1210" t="str">
            <v/>
          </cell>
          <cell r="Q1210" t="str">
            <v/>
          </cell>
          <cell r="R1210" t="e">
            <v>#N/A</v>
          </cell>
        </row>
        <row r="1211">
          <cell r="A1211" t="str">
            <v/>
          </cell>
          <cell r="B1211" t="str">
            <v/>
          </cell>
          <cell r="C1211" t="str">
            <v>Future</v>
          </cell>
          <cell r="D1211" t="e">
            <v>#N/A</v>
          </cell>
          <cell r="E1211">
            <v>-99.76570866141644</v>
          </cell>
          <cell r="F1211">
            <v>131.61224409449184</v>
          </cell>
          <cell r="G1211">
            <v>28.77759842519658</v>
          </cell>
          <cell r="H1211">
            <v>28.77759842519658</v>
          </cell>
          <cell r="I1211" t="e">
            <v>#N/A</v>
          </cell>
          <cell r="J1211" t="e">
            <v>#N/A</v>
          </cell>
          <cell r="K1211">
            <v>90</v>
          </cell>
          <cell r="L1211">
            <v>50</v>
          </cell>
          <cell r="M1211" t="e">
            <v>#N/A</v>
          </cell>
          <cell r="N1211">
            <v>80</v>
          </cell>
          <cell r="O1211" t="e">
            <v>#N/A</v>
          </cell>
          <cell r="P1211" t="str">
            <v/>
          </cell>
          <cell r="Q1211" t="str">
            <v/>
          </cell>
          <cell r="R1211" t="e">
            <v>#N/A</v>
          </cell>
        </row>
        <row r="1212">
          <cell r="A1212" t="str">
            <v/>
          </cell>
          <cell r="B1212" t="str">
            <v/>
          </cell>
          <cell r="C1212" t="str">
            <v>Future</v>
          </cell>
          <cell r="D1212" t="e">
            <v>#N/A</v>
          </cell>
          <cell r="E1212">
            <v>-100.01574803149518</v>
          </cell>
          <cell r="F1212">
            <v>131.71653543307451</v>
          </cell>
          <cell r="G1212">
            <v>28.724409448818626</v>
          </cell>
          <cell r="H1212">
            <v>28.724409448818626</v>
          </cell>
          <cell r="I1212" t="e">
            <v>#N/A</v>
          </cell>
          <cell r="J1212" t="e">
            <v>#N/A</v>
          </cell>
          <cell r="K1212">
            <v>90</v>
          </cell>
          <cell r="L1212">
            <v>50</v>
          </cell>
          <cell r="M1212" t="e">
            <v>#N/A</v>
          </cell>
          <cell r="N1212">
            <v>80</v>
          </cell>
          <cell r="O1212" t="e">
            <v>#N/A</v>
          </cell>
          <cell r="P1212" t="str">
            <v/>
          </cell>
          <cell r="Q1212" t="str">
            <v/>
          </cell>
          <cell r="R1212" t="e">
            <v>#N/A</v>
          </cell>
        </row>
        <row r="1213">
          <cell r="A1213" t="str">
            <v/>
          </cell>
          <cell r="B1213" t="str">
            <v/>
          </cell>
          <cell r="C1213" t="str">
            <v>Future</v>
          </cell>
          <cell r="D1213" t="e">
            <v>#N/A</v>
          </cell>
          <cell r="E1213">
            <v>-100.26578740157392</v>
          </cell>
          <cell r="F1213">
            <v>131.82082677165718</v>
          </cell>
          <cell r="G1213">
            <v>28.671220472440673</v>
          </cell>
          <cell r="H1213">
            <v>28.671220472440673</v>
          </cell>
          <cell r="I1213" t="e">
            <v>#N/A</v>
          </cell>
          <cell r="J1213" t="e">
            <v>#N/A</v>
          </cell>
          <cell r="K1213">
            <v>90</v>
          </cell>
          <cell r="L1213">
            <v>50</v>
          </cell>
          <cell r="M1213" t="e">
            <v>#N/A</v>
          </cell>
          <cell r="N1213">
            <v>80</v>
          </cell>
          <cell r="O1213" t="e">
            <v>#N/A</v>
          </cell>
          <cell r="P1213" t="str">
            <v/>
          </cell>
          <cell r="Q1213" t="str">
            <v/>
          </cell>
          <cell r="R1213" t="e">
            <v>#N/A</v>
          </cell>
        </row>
        <row r="1214">
          <cell r="A1214" t="str">
            <v/>
          </cell>
          <cell r="B1214" t="str">
            <v/>
          </cell>
          <cell r="C1214" t="str">
            <v>Future</v>
          </cell>
          <cell r="D1214" t="e">
            <v>#N/A</v>
          </cell>
          <cell r="E1214">
            <v>-100.51582677165266</v>
          </cell>
          <cell r="F1214">
            <v>131.92511811023985</v>
          </cell>
          <cell r="G1214">
            <v>28.61803149606272</v>
          </cell>
          <cell r="H1214">
            <v>28.61803149606272</v>
          </cell>
          <cell r="I1214" t="e">
            <v>#N/A</v>
          </cell>
          <cell r="J1214" t="e">
            <v>#N/A</v>
          </cell>
          <cell r="K1214">
            <v>90</v>
          </cell>
          <cell r="L1214">
            <v>50</v>
          </cell>
          <cell r="M1214" t="e">
            <v>#N/A</v>
          </cell>
          <cell r="N1214">
            <v>80</v>
          </cell>
          <cell r="O1214" t="e">
            <v>#N/A</v>
          </cell>
          <cell r="P1214" t="str">
            <v/>
          </cell>
          <cell r="Q1214" t="str">
            <v/>
          </cell>
          <cell r="R1214" t="e">
            <v>#N/A</v>
          </cell>
        </row>
        <row r="1215">
          <cell r="A1215" t="str">
            <v/>
          </cell>
          <cell r="B1215" t="str">
            <v/>
          </cell>
          <cell r="C1215" t="str">
            <v>Future</v>
          </cell>
          <cell r="D1215" t="e">
            <v>#N/A</v>
          </cell>
          <cell r="E1215">
            <v>-100.76586614173139</v>
          </cell>
          <cell r="F1215">
            <v>132.02940944882252</v>
          </cell>
          <cell r="G1215">
            <v>28.564842519684767</v>
          </cell>
          <cell r="H1215">
            <v>28.564842519684767</v>
          </cell>
          <cell r="I1215" t="e">
            <v>#N/A</v>
          </cell>
          <cell r="J1215" t="e">
            <v>#N/A</v>
          </cell>
          <cell r="K1215">
            <v>90</v>
          </cell>
          <cell r="L1215">
            <v>50</v>
          </cell>
          <cell r="M1215" t="e">
            <v>#N/A</v>
          </cell>
          <cell r="N1215">
            <v>80</v>
          </cell>
          <cell r="O1215" t="e">
            <v>#N/A</v>
          </cell>
          <cell r="P1215" t="str">
            <v/>
          </cell>
          <cell r="Q1215" t="str">
            <v/>
          </cell>
          <cell r="R1215" t="e">
            <v>#N/A</v>
          </cell>
        </row>
        <row r="1216">
          <cell r="A1216" t="str">
            <v/>
          </cell>
          <cell r="B1216" t="str">
            <v/>
          </cell>
          <cell r="C1216" t="str">
            <v>Future</v>
          </cell>
          <cell r="D1216" t="e">
            <v>#N/A</v>
          </cell>
          <cell r="E1216">
            <v>-101.01590551181013</v>
          </cell>
          <cell r="F1216">
            <v>132.13370078740519</v>
          </cell>
          <cell r="G1216">
            <v>28.511653543306814</v>
          </cell>
          <cell r="H1216">
            <v>28.511653543306814</v>
          </cell>
          <cell r="I1216" t="e">
            <v>#N/A</v>
          </cell>
          <cell r="J1216" t="e">
            <v>#N/A</v>
          </cell>
          <cell r="K1216">
            <v>90</v>
          </cell>
          <cell r="L1216">
            <v>50</v>
          </cell>
          <cell r="M1216" t="e">
            <v>#N/A</v>
          </cell>
          <cell r="N1216">
            <v>80</v>
          </cell>
          <cell r="O1216" t="e">
            <v>#N/A</v>
          </cell>
          <cell r="P1216" t="str">
            <v/>
          </cell>
          <cell r="Q1216" t="str">
            <v/>
          </cell>
          <cell r="R1216" t="e">
            <v>#N/A</v>
          </cell>
        </row>
        <row r="1217">
          <cell r="A1217" t="str">
            <v/>
          </cell>
          <cell r="B1217" t="str">
            <v/>
          </cell>
          <cell r="C1217" t="str">
            <v>Future</v>
          </cell>
          <cell r="D1217" t="e">
            <v>#N/A</v>
          </cell>
          <cell r="E1217">
            <v>-101.26594488188887</v>
          </cell>
          <cell r="F1217">
            <v>132.23799212598786</v>
          </cell>
          <cell r="G1217">
            <v>28.458464566928861</v>
          </cell>
          <cell r="H1217">
            <v>28.458464566928861</v>
          </cell>
          <cell r="I1217" t="e">
            <v>#N/A</v>
          </cell>
          <cell r="J1217" t="e">
            <v>#N/A</v>
          </cell>
          <cell r="K1217">
            <v>90</v>
          </cell>
          <cell r="L1217">
            <v>50</v>
          </cell>
          <cell r="M1217" t="e">
            <v>#N/A</v>
          </cell>
          <cell r="N1217">
            <v>80</v>
          </cell>
          <cell r="O1217" t="e">
            <v>#N/A</v>
          </cell>
          <cell r="P1217" t="str">
            <v/>
          </cell>
          <cell r="Q1217" t="str">
            <v/>
          </cell>
          <cell r="R1217" t="e">
            <v>#N/A</v>
          </cell>
        </row>
        <row r="1218">
          <cell r="A1218" t="str">
            <v/>
          </cell>
          <cell r="B1218" t="str">
            <v/>
          </cell>
          <cell r="C1218" t="str">
            <v>Future</v>
          </cell>
          <cell r="D1218" t="e">
            <v>#N/A</v>
          </cell>
          <cell r="E1218">
            <v>-101.51598425196761</v>
          </cell>
          <cell r="F1218">
            <v>132.34228346457053</v>
          </cell>
          <cell r="G1218">
            <v>28.405275590550907</v>
          </cell>
          <cell r="H1218">
            <v>28.405275590550907</v>
          </cell>
          <cell r="I1218" t="e">
            <v>#N/A</v>
          </cell>
          <cell r="J1218" t="e">
            <v>#N/A</v>
          </cell>
          <cell r="K1218">
            <v>90</v>
          </cell>
          <cell r="L1218">
            <v>50</v>
          </cell>
          <cell r="M1218" t="e">
            <v>#N/A</v>
          </cell>
          <cell r="N1218">
            <v>80</v>
          </cell>
          <cell r="O1218" t="e">
            <v>#N/A</v>
          </cell>
          <cell r="P1218" t="str">
            <v/>
          </cell>
          <cell r="Q1218" t="str">
            <v/>
          </cell>
          <cell r="R1218" t="e">
            <v>#N/A</v>
          </cell>
        </row>
        <row r="1219">
          <cell r="A1219" t="str">
            <v/>
          </cell>
          <cell r="B1219" t="str">
            <v/>
          </cell>
          <cell r="C1219" t="str">
            <v>Future</v>
          </cell>
          <cell r="D1219" t="e">
            <v>#N/A</v>
          </cell>
          <cell r="E1219">
            <v>-101.76602362204635</v>
          </cell>
          <cell r="F1219">
            <v>132.4465748031532</v>
          </cell>
          <cell r="G1219">
            <v>28.352086614172954</v>
          </cell>
          <cell r="H1219">
            <v>28.352086614172954</v>
          </cell>
          <cell r="I1219" t="e">
            <v>#N/A</v>
          </cell>
          <cell r="J1219" t="e">
            <v>#N/A</v>
          </cell>
          <cell r="K1219">
            <v>90</v>
          </cell>
          <cell r="L1219">
            <v>50</v>
          </cell>
          <cell r="M1219" t="e">
            <v>#N/A</v>
          </cell>
          <cell r="N1219">
            <v>80</v>
          </cell>
          <cell r="O1219" t="e">
            <v>#N/A</v>
          </cell>
          <cell r="P1219" t="str">
            <v/>
          </cell>
          <cell r="Q1219" t="str">
            <v/>
          </cell>
          <cell r="R1219" t="e">
            <v>#N/A</v>
          </cell>
        </row>
        <row r="1220">
          <cell r="A1220" t="str">
            <v/>
          </cell>
          <cell r="B1220" t="str">
            <v/>
          </cell>
          <cell r="C1220" t="str">
            <v>Future</v>
          </cell>
          <cell r="D1220" t="e">
            <v>#N/A</v>
          </cell>
          <cell r="E1220">
            <v>-102.01606299212509</v>
          </cell>
          <cell r="F1220">
            <v>132.55086614173587</v>
          </cell>
          <cell r="G1220">
            <v>28.298897637795001</v>
          </cell>
          <cell r="H1220">
            <v>28.298897637795001</v>
          </cell>
          <cell r="I1220" t="e">
            <v>#N/A</v>
          </cell>
          <cell r="J1220" t="e">
            <v>#N/A</v>
          </cell>
          <cell r="K1220">
            <v>90</v>
          </cell>
          <cell r="L1220">
            <v>50</v>
          </cell>
          <cell r="M1220" t="e">
            <v>#N/A</v>
          </cell>
          <cell r="N1220">
            <v>80</v>
          </cell>
          <cell r="O1220" t="e">
            <v>#N/A</v>
          </cell>
          <cell r="P1220" t="str">
            <v/>
          </cell>
          <cell r="Q1220" t="str">
            <v/>
          </cell>
          <cell r="R1220" t="e">
            <v>#N/A</v>
          </cell>
        </row>
        <row r="1221">
          <cell r="A1221" t="str">
            <v/>
          </cell>
          <cell r="B1221" t="str">
            <v/>
          </cell>
          <cell r="C1221" t="str">
            <v>Future</v>
          </cell>
          <cell r="D1221" t="e">
            <v>#N/A</v>
          </cell>
          <cell r="E1221">
            <v>-102.26610236220382</v>
          </cell>
          <cell r="F1221">
            <v>132.65515748031854</v>
          </cell>
          <cell r="G1221">
            <v>28.245708661417048</v>
          </cell>
          <cell r="H1221">
            <v>28.245708661417048</v>
          </cell>
          <cell r="I1221" t="e">
            <v>#N/A</v>
          </cell>
          <cell r="J1221" t="e">
            <v>#N/A</v>
          </cell>
          <cell r="K1221">
            <v>90</v>
          </cell>
          <cell r="L1221">
            <v>50</v>
          </cell>
          <cell r="M1221" t="e">
            <v>#N/A</v>
          </cell>
          <cell r="N1221">
            <v>80</v>
          </cell>
          <cell r="O1221" t="e">
            <v>#N/A</v>
          </cell>
          <cell r="P1221" t="str">
            <v/>
          </cell>
          <cell r="Q1221" t="str">
            <v/>
          </cell>
          <cell r="R1221" t="e">
            <v>#N/A</v>
          </cell>
        </row>
        <row r="1222">
          <cell r="A1222" t="str">
            <v/>
          </cell>
          <cell r="B1222" t="str">
            <v/>
          </cell>
          <cell r="C1222" t="str">
            <v>Future</v>
          </cell>
          <cell r="D1222" t="e">
            <v>#N/A</v>
          </cell>
          <cell r="E1222">
            <v>-102.51614173228256</v>
          </cell>
          <cell r="F1222">
            <v>132.75944881890121</v>
          </cell>
          <cell r="G1222">
            <v>28.192519685039095</v>
          </cell>
          <cell r="H1222">
            <v>28.192519685039095</v>
          </cell>
          <cell r="I1222" t="e">
            <v>#N/A</v>
          </cell>
          <cell r="J1222" t="e">
            <v>#N/A</v>
          </cell>
          <cell r="K1222">
            <v>90</v>
          </cell>
          <cell r="L1222">
            <v>50</v>
          </cell>
          <cell r="M1222" t="e">
            <v>#N/A</v>
          </cell>
          <cell r="N1222">
            <v>80</v>
          </cell>
          <cell r="O1222" t="e">
            <v>#N/A</v>
          </cell>
          <cell r="P1222" t="str">
            <v/>
          </cell>
          <cell r="Q1222" t="str">
            <v/>
          </cell>
          <cell r="R1222" t="e">
            <v>#N/A</v>
          </cell>
        </row>
        <row r="1223">
          <cell r="A1223" t="str">
            <v/>
          </cell>
          <cell r="B1223" t="str">
            <v/>
          </cell>
          <cell r="C1223" t="str">
            <v>Future</v>
          </cell>
          <cell r="D1223" t="e">
            <v>#N/A</v>
          </cell>
          <cell r="E1223">
            <v>-102.7661811023613</v>
          </cell>
          <cell r="F1223">
            <v>132.86374015748387</v>
          </cell>
          <cell r="G1223">
            <v>28.139330708661142</v>
          </cell>
          <cell r="H1223">
            <v>28.139330708661142</v>
          </cell>
          <cell r="I1223" t="e">
            <v>#N/A</v>
          </cell>
          <cell r="J1223" t="e">
            <v>#N/A</v>
          </cell>
          <cell r="K1223">
            <v>90</v>
          </cell>
          <cell r="L1223">
            <v>50</v>
          </cell>
          <cell r="M1223" t="e">
            <v>#N/A</v>
          </cell>
          <cell r="N1223">
            <v>80</v>
          </cell>
          <cell r="O1223" t="e">
            <v>#N/A</v>
          </cell>
          <cell r="P1223" t="str">
            <v/>
          </cell>
          <cell r="Q1223" t="str">
            <v/>
          </cell>
          <cell r="R1223" t="e">
            <v>#N/A</v>
          </cell>
        </row>
        <row r="1224">
          <cell r="A1224" t="str">
            <v/>
          </cell>
          <cell r="B1224" t="str">
            <v/>
          </cell>
          <cell r="C1224" t="str">
            <v>Future</v>
          </cell>
          <cell r="D1224" t="e">
            <v>#N/A</v>
          </cell>
          <cell r="E1224">
            <v>-103.01622047244004</v>
          </cell>
          <cell r="F1224">
            <v>132.96803149606654</v>
          </cell>
          <cell r="G1224">
            <v>28.086141732283188</v>
          </cell>
          <cell r="H1224">
            <v>28.086141732283188</v>
          </cell>
          <cell r="I1224" t="e">
            <v>#N/A</v>
          </cell>
          <cell r="J1224" t="e">
            <v>#N/A</v>
          </cell>
          <cell r="K1224">
            <v>90</v>
          </cell>
          <cell r="L1224">
            <v>50</v>
          </cell>
          <cell r="M1224" t="e">
            <v>#N/A</v>
          </cell>
          <cell r="N1224">
            <v>80</v>
          </cell>
          <cell r="O1224" t="e">
            <v>#N/A</v>
          </cell>
          <cell r="P1224" t="str">
            <v/>
          </cell>
          <cell r="Q1224" t="str">
            <v/>
          </cell>
          <cell r="R1224" t="e">
            <v>#N/A</v>
          </cell>
        </row>
        <row r="1225">
          <cell r="A1225" t="str">
            <v/>
          </cell>
          <cell r="B1225" t="str">
            <v/>
          </cell>
          <cell r="C1225" t="str">
            <v>Future</v>
          </cell>
          <cell r="D1225" t="e">
            <v>#N/A</v>
          </cell>
          <cell r="E1225">
            <v>-103.26625984251878</v>
          </cell>
          <cell r="F1225">
            <v>133.07232283464921</v>
          </cell>
          <cell r="G1225">
            <v>28.032952755905235</v>
          </cell>
          <cell r="H1225">
            <v>28.032952755905235</v>
          </cell>
          <cell r="I1225" t="e">
            <v>#N/A</v>
          </cell>
          <cell r="J1225" t="e">
            <v>#N/A</v>
          </cell>
          <cell r="K1225">
            <v>90</v>
          </cell>
          <cell r="L1225">
            <v>50</v>
          </cell>
          <cell r="M1225" t="e">
            <v>#N/A</v>
          </cell>
          <cell r="N1225">
            <v>80</v>
          </cell>
          <cell r="O1225" t="e">
            <v>#N/A</v>
          </cell>
          <cell r="P1225" t="str">
            <v/>
          </cell>
          <cell r="Q1225" t="str">
            <v/>
          </cell>
          <cell r="R1225" t="e">
            <v>#N/A</v>
          </cell>
        </row>
        <row r="1226">
          <cell r="A1226" t="str">
            <v/>
          </cell>
          <cell r="B1226" t="str">
            <v/>
          </cell>
          <cell r="C1226" t="str">
            <v>Future</v>
          </cell>
          <cell r="D1226" t="e">
            <v>#N/A</v>
          </cell>
          <cell r="E1226">
            <v>-103.51629921259752</v>
          </cell>
          <cell r="F1226">
            <v>133.17661417323188</v>
          </cell>
          <cell r="G1226">
            <v>27.979763779527282</v>
          </cell>
          <cell r="H1226">
            <v>27.979763779527282</v>
          </cell>
          <cell r="I1226" t="e">
            <v>#N/A</v>
          </cell>
          <cell r="J1226" t="e">
            <v>#N/A</v>
          </cell>
          <cell r="K1226">
            <v>90</v>
          </cell>
          <cell r="L1226">
            <v>50</v>
          </cell>
          <cell r="M1226" t="e">
            <v>#N/A</v>
          </cell>
          <cell r="N1226">
            <v>80</v>
          </cell>
          <cell r="O1226" t="e">
            <v>#N/A</v>
          </cell>
          <cell r="P1226" t="str">
            <v/>
          </cell>
          <cell r="Q1226" t="str">
            <v/>
          </cell>
          <cell r="R1226" t="e">
            <v>#N/A</v>
          </cell>
        </row>
        <row r="1227">
          <cell r="A1227" t="str">
            <v/>
          </cell>
          <cell r="B1227" t="str">
            <v/>
          </cell>
          <cell r="C1227" t="str">
            <v>Future</v>
          </cell>
          <cell r="D1227" t="e">
            <v>#N/A</v>
          </cell>
          <cell r="E1227">
            <v>-103.76633858267625</v>
          </cell>
          <cell r="F1227">
            <v>133.28090551181455</v>
          </cell>
          <cell r="G1227">
            <v>27.926574803149329</v>
          </cell>
          <cell r="H1227">
            <v>27.926574803149329</v>
          </cell>
          <cell r="I1227" t="e">
            <v>#N/A</v>
          </cell>
          <cell r="J1227" t="e">
            <v>#N/A</v>
          </cell>
          <cell r="K1227">
            <v>90</v>
          </cell>
          <cell r="L1227">
            <v>50</v>
          </cell>
          <cell r="M1227" t="e">
            <v>#N/A</v>
          </cell>
          <cell r="N1227">
            <v>80</v>
          </cell>
          <cell r="O1227" t="e">
            <v>#N/A</v>
          </cell>
          <cell r="P1227" t="str">
            <v/>
          </cell>
          <cell r="Q1227" t="str">
            <v/>
          </cell>
          <cell r="R1227" t="e">
            <v>#N/A</v>
          </cell>
        </row>
        <row r="1228">
          <cell r="A1228" t="str">
            <v/>
          </cell>
          <cell r="B1228" t="str">
            <v/>
          </cell>
          <cell r="C1228" t="str">
            <v>Future</v>
          </cell>
          <cell r="D1228" t="e">
            <v>#N/A</v>
          </cell>
          <cell r="E1228">
            <v>-104.01637795275499</v>
          </cell>
          <cell r="F1228">
            <v>133.38519685039722</v>
          </cell>
          <cell r="G1228">
            <v>27.873385826771376</v>
          </cell>
          <cell r="H1228">
            <v>27.873385826771376</v>
          </cell>
          <cell r="I1228" t="e">
            <v>#N/A</v>
          </cell>
          <cell r="J1228" t="e">
            <v>#N/A</v>
          </cell>
          <cell r="K1228">
            <v>90</v>
          </cell>
          <cell r="L1228">
            <v>50</v>
          </cell>
          <cell r="M1228" t="e">
            <v>#N/A</v>
          </cell>
          <cell r="N1228">
            <v>80</v>
          </cell>
          <cell r="O1228" t="e">
            <v>#N/A</v>
          </cell>
          <cell r="P1228" t="str">
            <v/>
          </cell>
          <cell r="Q1228" t="str">
            <v/>
          </cell>
          <cell r="R1228" t="e">
            <v>#N/A</v>
          </cell>
        </row>
        <row r="1229">
          <cell r="A1229" t="str">
            <v/>
          </cell>
          <cell r="B1229" t="str">
            <v/>
          </cell>
          <cell r="C1229" t="str">
            <v>Future</v>
          </cell>
          <cell r="D1229" t="e">
            <v>#N/A</v>
          </cell>
          <cell r="E1229">
            <v>-104.26641732283373</v>
          </cell>
          <cell r="F1229">
            <v>133.48948818897989</v>
          </cell>
          <cell r="G1229">
            <v>27.820196850393422</v>
          </cell>
          <cell r="H1229">
            <v>27.820196850393422</v>
          </cell>
          <cell r="I1229" t="e">
            <v>#N/A</v>
          </cell>
          <cell r="J1229" t="e">
            <v>#N/A</v>
          </cell>
          <cell r="K1229">
            <v>90</v>
          </cell>
          <cell r="L1229">
            <v>50</v>
          </cell>
          <cell r="M1229" t="e">
            <v>#N/A</v>
          </cell>
          <cell r="N1229">
            <v>80</v>
          </cell>
          <cell r="O1229" t="e">
            <v>#N/A</v>
          </cell>
          <cell r="P1229" t="str">
            <v/>
          </cell>
          <cell r="Q1229" t="str">
            <v/>
          </cell>
          <cell r="R1229" t="e">
            <v>#N/A</v>
          </cell>
        </row>
        <row r="1230">
          <cell r="A1230" t="str">
            <v/>
          </cell>
          <cell r="B1230" t="str">
            <v/>
          </cell>
          <cell r="C1230" t="str">
            <v>Future</v>
          </cell>
          <cell r="D1230" t="e">
            <v>#N/A</v>
          </cell>
          <cell r="E1230">
            <v>-104.51645669291247</v>
          </cell>
          <cell r="F1230">
            <v>133.59377952756256</v>
          </cell>
          <cell r="G1230">
            <v>27.767007874015469</v>
          </cell>
          <cell r="H1230">
            <v>27.767007874015469</v>
          </cell>
          <cell r="I1230" t="e">
            <v>#N/A</v>
          </cell>
          <cell r="J1230" t="e">
            <v>#N/A</v>
          </cell>
          <cell r="K1230">
            <v>90</v>
          </cell>
          <cell r="L1230">
            <v>50</v>
          </cell>
          <cell r="M1230" t="e">
            <v>#N/A</v>
          </cell>
          <cell r="N1230">
            <v>80</v>
          </cell>
          <cell r="O1230" t="e">
            <v>#N/A</v>
          </cell>
          <cell r="P1230" t="str">
            <v/>
          </cell>
          <cell r="Q1230" t="str">
            <v/>
          </cell>
          <cell r="R1230" t="e">
            <v>#N/A</v>
          </cell>
        </row>
        <row r="1231">
          <cell r="A1231" t="str">
            <v/>
          </cell>
          <cell r="B1231" t="str">
            <v/>
          </cell>
          <cell r="C1231" t="str">
            <v>Future</v>
          </cell>
          <cell r="D1231" t="e">
            <v>#N/A</v>
          </cell>
          <cell r="E1231">
            <v>-104.76649606299121</v>
          </cell>
          <cell r="F1231">
            <v>133.69807086614523</v>
          </cell>
          <cell r="G1231">
            <v>27.713818897637516</v>
          </cell>
          <cell r="H1231">
            <v>27.713818897637516</v>
          </cell>
          <cell r="I1231" t="e">
            <v>#N/A</v>
          </cell>
          <cell r="J1231" t="e">
            <v>#N/A</v>
          </cell>
          <cell r="K1231">
            <v>90</v>
          </cell>
          <cell r="L1231">
            <v>50</v>
          </cell>
          <cell r="M1231" t="e">
            <v>#N/A</v>
          </cell>
          <cell r="N1231">
            <v>80</v>
          </cell>
          <cell r="O1231" t="e">
            <v>#N/A</v>
          </cell>
          <cell r="P1231" t="str">
            <v/>
          </cell>
          <cell r="Q1231" t="str">
            <v/>
          </cell>
          <cell r="R1231" t="e">
            <v>#N/A</v>
          </cell>
        </row>
        <row r="1232">
          <cell r="A1232" t="str">
            <v/>
          </cell>
          <cell r="B1232" t="str">
            <v/>
          </cell>
          <cell r="C1232" t="str">
            <v>Future</v>
          </cell>
          <cell r="D1232" t="e">
            <v>#N/A</v>
          </cell>
          <cell r="E1232">
            <v>-105.01653543306995</v>
          </cell>
          <cell r="F1232">
            <v>133.8023622047279</v>
          </cell>
          <cell r="G1232">
            <v>27.660629921259563</v>
          </cell>
          <cell r="H1232">
            <v>27.660629921259563</v>
          </cell>
          <cell r="I1232" t="e">
            <v>#N/A</v>
          </cell>
          <cell r="J1232" t="e">
            <v>#N/A</v>
          </cell>
          <cell r="K1232">
            <v>90</v>
          </cell>
          <cell r="L1232">
            <v>50</v>
          </cell>
          <cell r="M1232" t="e">
            <v>#N/A</v>
          </cell>
          <cell r="N1232">
            <v>80</v>
          </cell>
          <cell r="O1232" t="e">
            <v>#N/A</v>
          </cell>
          <cell r="P1232" t="str">
            <v/>
          </cell>
          <cell r="Q1232" t="str">
            <v/>
          </cell>
          <cell r="R1232" t="e">
            <v>#N/A</v>
          </cell>
        </row>
        <row r="1233">
          <cell r="A1233" t="str">
            <v/>
          </cell>
          <cell r="B1233" t="str">
            <v/>
          </cell>
          <cell r="C1233" t="str">
            <v>Future</v>
          </cell>
          <cell r="D1233" t="e">
            <v>#N/A</v>
          </cell>
          <cell r="E1233">
            <v>-105.26657480314869</v>
          </cell>
          <cell r="F1233">
            <v>133.90665354331057</v>
          </cell>
          <cell r="G1233">
            <v>27.60744094488161</v>
          </cell>
          <cell r="H1233">
            <v>27.60744094488161</v>
          </cell>
          <cell r="I1233" t="e">
            <v>#N/A</v>
          </cell>
          <cell r="J1233" t="e">
            <v>#N/A</v>
          </cell>
          <cell r="K1233">
            <v>90</v>
          </cell>
          <cell r="L1233">
            <v>50</v>
          </cell>
          <cell r="M1233" t="e">
            <v>#N/A</v>
          </cell>
          <cell r="N1233">
            <v>80</v>
          </cell>
          <cell r="O1233" t="e">
            <v>#N/A</v>
          </cell>
          <cell r="P1233" t="str">
            <v/>
          </cell>
          <cell r="Q1233" t="str">
            <v/>
          </cell>
          <cell r="R1233" t="e">
            <v>#N/A</v>
          </cell>
        </row>
        <row r="1234">
          <cell r="A1234" t="str">
            <v/>
          </cell>
          <cell r="B1234" t="str">
            <v/>
          </cell>
          <cell r="C1234" t="str">
            <v>Future</v>
          </cell>
          <cell r="D1234" t="e">
            <v>#N/A</v>
          </cell>
          <cell r="E1234">
            <v>-105.51661417322742</v>
          </cell>
          <cell r="F1234">
            <v>134.01094488189324</v>
          </cell>
          <cell r="G1234">
            <v>27.554251968503657</v>
          </cell>
          <cell r="H1234">
            <v>27.554251968503657</v>
          </cell>
          <cell r="I1234" t="e">
            <v>#N/A</v>
          </cell>
          <cell r="J1234" t="e">
            <v>#N/A</v>
          </cell>
          <cell r="K1234">
            <v>90</v>
          </cell>
          <cell r="L1234">
            <v>50</v>
          </cell>
          <cell r="M1234" t="e">
            <v>#N/A</v>
          </cell>
          <cell r="N1234">
            <v>80</v>
          </cell>
          <cell r="O1234" t="e">
            <v>#N/A</v>
          </cell>
          <cell r="P1234" t="str">
            <v/>
          </cell>
          <cell r="Q1234" t="str">
            <v/>
          </cell>
          <cell r="R1234" t="e">
            <v>#N/A</v>
          </cell>
        </row>
        <row r="1235">
          <cell r="A1235" t="str">
            <v/>
          </cell>
          <cell r="B1235" t="str">
            <v/>
          </cell>
          <cell r="C1235" t="str">
            <v>Future</v>
          </cell>
          <cell r="D1235" t="e">
            <v>#N/A</v>
          </cell>
          <cell r="E1235">
            <v>-105.76665354330616</v>
          </cell>
          <cell r="F1235">
            <v>134.11523622047591</v>
          </cell>
          <cell r="G1235">
            <v>27.501062992125703</v>
          </cell>
          <cell r="H1235">
            <v>27.501062992125703</v>
          </cell>
          <cell r="I1235" t="e">
            <v>#N/A</v>
          </cell>
          <cell r="J1235" t="e">
            <v>#N/A</v>
          </cell>
          <cell r="K1235">
            <v>90</v>
          </cell>
          <cell r="L1235">
            <v>50</v>
          </cell>
          <cell r="M1235" t="e">
            <v>#N/A</v>
          </cell>
          <cell r="N1235">
            <v>80</v>
          </cell>
          <cell r="O1235" t="e">
            <v>#N/A</v>
          </cell>
          <cell r="P1235" t="str">
            <v/>
          </cell>
          <cell r="Q1235" t="str">
            <v/>
          </cell>
          <cell r="R1235" t="e">
            <v>#N/A</v>
          </cell>
        </row>
        <row r="1236">
          <cell r="A1236" t="str">
            <v/>
          </cell>
          <cell r="B1236" t="str">
            <v/>
          </cell>
          <cell r="C1236" t="str">
            <v>Future</v>
          </cell>
          <cell r="D1236" t="e">
            <v>#N/A</v>
          </cell>
          <cell r="E1236">
            <v>-106.0166929133849</v>
          </cell>
          <cell r="F1236">
            <v>134.21952755905858</v>
          </cell>
          <cell r="G1236">
            <v>27.44787401574775</v>
          </cell>
          <cell r="H1236">
            <v>27.44787401574775</v>
          </cell>
          <cell r="I1236" t="e">
            <v>#N/A</v>
          </cell>
          <cell r="J1236" t="e">
            <v>#N/A</v>
          </cell>
          <cell r="K1236">
            <v>90</v>
          </cell>
          <cell r="L1236">
            <v>50</v>
          </cell>
          <cell r="M1236" t="e">
            <v>#N/A</v>
          </cell>
          <cell r="N1236">
            <v>80</v>
          </cell>
          <cell r="O1236" t="e">
            <v>#N/A</v>
          </cell>
          <cell r="P1236" t="str">
            <v/>
          </cell>
          <cell r="Q1236" t="str">
            <v/>
          </cell>
          <cell r="R1236" t="e">
            <v>#N/A</v>
          </cell>
        </row>
        <row r="1237">
          <cell r="A1237" t="str">
            <v/>
          </cell>
          <cell r="B1237" t="str">
            <v/>
          </cell>
          <cell r="C1237" t="str">
            <v>Future</v>
          </cell>
          <cell r="D1237" t="e">
            <v>#N/A</v>
          </cell>
          <cell r="E1237">
            <v>-106.26673228346364</v>
          </cell>
          <cell r="F1237">
            <v>134.32381889764125</v>
          </cell>
          <cell r="G1237">
            <v>27.394685039369797</v>
          </cell>
          <cell r="H1237">
            <v>27.394685039369797</v>
          </cell>
          <cell r="I1237" t="e">
            <v>#N/A</v>
          </cell>
          <cell r="J1237" t="e">
            <v>#N/A</v>
          </cell>
          <cell r="K1237">
            <v>90</v>
          </cell>
          <cell r="L1237">
            <v>50</v>
          </cell>
          <cell r="M1237" t="e">
            <v>#N/A</v>
          </cell>
          <cell r="N1237">
            <v>80</v>
          </cell>
          <cell r="O1237" t="e">
            <v>#N/A</v>
          </cell>
          <cell r="P1237" t="str">
            <v/>
          </cell>
          <cell r="Q1237" t="str">
            <v/>
          </cell>
          <cell r="R1237" t="e">
            <v>#N/A</v>
          </cell>
        </row>
        <row r="1238">
          <cell r="A1238" t="str">
            <v/>
          </cell>
          <cell r="B1238" t="str">
            <v/>
          </cell>
          <cell r="C1238" t="str">
            <v>Future</v>
          </cell>
          <cell r="D1238" t="e">
            <v>#N/A</v>
          </cell>
          <cell r="E1238">
            <v>-106.51677165354238</v>
          </cell>
          <cell r="F1238">
            <v>134.42811023622392</v>
          </cell>
          <cell r="G1238">
            <v>27.341496062991844</v>
          </cell>
          <cell r="H1238">
            <v>27.341496062991844</v>
          </cell>
          <cell r="I1238" t="e">
            <v>#N/A</v>
          </cell>
          <cell r="J1238" t="e">
            <v>#N/A</v>
          </cell>
          <cell r="K1238">
            <v>90</v>
          </cell>
          <cell r="L1238">
            <v>50</v>
          </cell>
          <cell r="M1238" t="e">
            <v>#N/A</v>
          </cell>
          <cell r="N1238">
            <v>80</v>
          </cell>
          <cell r="O1238" t="e">
            <v>#N/A</v>
          </cell>
          <cell r="P1238" t="str">
            <v/>
          </cell>
          <cell r="Q1238" t="str">
            <v/>
          </cell>
          <cell r="R1238" t="e">
            <v>#N/A</v>
          </cell>
        </row>
        <row r="1239">
          <cell r="A1239" t="str">
            <v/>
          </cell>
          <cell r="B1239" t="str">
            <v/>
          </cell>
          <cell r="C1239" t="str">
            <v>Future</v>
          </cell>
          <cell r="D1239" t="e">
            <v>#N/A</v>
          </cell>
          <cell r="E1239">
            <v>-106.76681102362112</v>
          </cell>
          <cell r="F1239">
            <v>134.53240157480658</v>
          </cell>
          <cell r="G1239">
            <v>27.288307086613891</v>
          </cell>
          <cell r="H1239">
            <v>27.288307086613891</v>
          </cell>
          <cell r="I1239" t="e">
            <v>#N/A</v>
          </cell>
          <cell r="J1239" t="e">
            <v>#N/A</v>
          </cell>
          <cell r="K1239">
            <v>90</v>
          </cell>
          <cell r="L1239">
            <v>50</v>
          </cell>
          <cell r="M1239" t="e">
            <v>#N/A</v>
          </cell>
          <cell r="N1239">
            <v>80</v>
          </cell>
          <cell r="O1239" t="e">
            <v>#N/A</v>
          </cell>
          <cell r="P1239" t="str">
            <v/>
          </cell>
          <cell r="Q1239" t="str">
            <v/>
          </cell>
          <cell r="R1239" t="e">
            <v>#N/A</v>
          </cell>
        </row>
        <row r="1240">
          <cell r="A1240" t="str">
            <v/>
          </cell>
          <cell r="B1240" t="str">
            <v/>
          </cell>
          <cell r="C1240" t="str">
            <v>Future</v>
          </cell>
          <cell r="D1240" t="e">
            <v>#N/A</v>
          </cell>
          <cell r="E1240">
            <v>-107.01685039369985</v>
          </cell>
          <cell r="F1240">
            <v>134.63669291338925</v>
          </cell>
          <cell r="G1240">
            <v>27.235118110235938</v>
          </cell>
          <cell r="H1240">
            <v>27.235118110235938</v>
          </cell>
          <cell r="I1240" t="e">
            <v>#N/A</v>
          </cell>
          <cell r="J1240" t="e">
            <v>#N/A</v>
          </cell>
          <cell r="K1240">
            <v>90</v>
          </cell>
          <cell r="L1240">
            <v>50</v>
          </cell>
          <cell r="M1240" t="e">
            <v>#N/A</v>
          </cell>
          <cell r="N1240">
            <v>80</v>
          </cell>
          <cell r="O1240" t="e">
            <v>#N/A</v>
          </cell>
          <cell r="P1240" t="str">
            <v/>
          </cell>
          <cell r="Q1240" t="str">
            <v/>
          </cell>
          <cell r="R1240" t="e">
            <v>#N/A</v>
          </cell>
        </row>
        <row r="1241">
          <cell r="A1241" t="str">
            <v/>
          </cell>
          <cell r="B1241" t="str">
            <v/>
          </cell>
          <cell r="C1241" t="str">
            <v>Future</v>
          </cell>
          <cell r="D1241" t="e">
            <v>#N/A</v>
          </cell>
          <cell r="E1241">
            <v>-107.26688976377859</v>
          </cell>
          <cell r="F1241">
            <v>134.74098425197192</v>
          </cell>
          <cell r="G1241">
            <v>27.181929133857984</v>
          </cell>
          <cell r="H1241">
            <v>27.181929133857984</v>
          </cell>
          <cell r="I1241" t="e">
            <v>#N/A</v>
          </cell>
          <cell r="J1241" t="e">
            <v>#N/A</v>
          </cell>
          <cell r="K1241">
            <v>90</v>
          </cell>
          <cell r="L1241">
            <v>50</v>
          </cell>
          <cell r="M1241" t="e">
            <v>#N/A</v>
          </cell>
          <cell r="N1241">
            <v>80</v>
          </cell>
          <cell r="O1241" t="e">
            <v>#N/A</v>
          </cell>
          <cell r="P1241" t="str">
            <v/>
          </cell>
          <cell r="Q1241" t="str">
            <v/>
          </cell>
          <cell r="R1241" t="e">
            <v>#N/A</v>
          </cell>
        </row>
        <row r="1242">
          <cell r="A1242" t="str">
            <v/>
          </cell>
          <cell r="B1242" t="str">
            <v/>
          </cell>
          <cell r="C1242" t="str">
            <v>Future</v>
          </cell>
          <cell r="D1242" t="e">
            <v>#N/A</v>
          </cell>
          <cell r="E1242">
            <v>-107.51692913385733</v>
          </cell>
          <cell r="F1242">
            <v>134.84527559055459</v>
          </cell>
          <cell r="G1242">
            <v>27.128740157480031</v>
          </cell>
          <cell r="H1242">
            <v>27.128740157480031</v>
          </cell>
          <cell r="I1242" t="e">
            <v>#N/A</v>
          </cell>
          <cell r="J1242" t="e">
            <v>#N/A</v>
          </cell>
          <cell r="K1242">
            <v>90</v>
          </cell>
          <cell r="L1242">
            <v>50</v>
          </cell>
          <cell r="M1242" t="e">
            <v>#N/A</v>
          </cell>
          <cell r="N1242">
            <v>80</v>
          </cell>
          <cell r="O1242" t="e">
            <v>#N/A</v>
          </cell>
          <cell r="P1242" t="str">
            <v/>
          </cell>
          <cell r="Q1242" t="str">
            <v/>
          </cell>
          <cell r="R1242" t="e">
            <v>#N/A</v>
          </cell>
        </row>
        <row r="1243">
          <cell r="A1243" t="str">
            <v/>
          </cell>
          <cell r="B1243" t="str">
            <v/>
          </cell>
          <cell r="C1243" t="str">
            <v>Future</v>
          </cell>
          <cell r="D1243" t="e">
            <v>#N/A</v>
          </cell>
          <cell r="E1243">
            <v>-107.76696850393607</v>
          </cell>
          <cell r="F1243">
            <v>134.94956692913726</v>
          </cell>
          <cell r="G1243">
            <v>27.075551181102078</v>
          </cell>
          <cell r="H1243">
            <v>27.075551181102078</v>
          </cell>
          <cell r="I1243" t="e">
            <v>#N/A</v>
          </cell>
          <cell r="J1243" t="e">
            <v>#N/A</v>
          </cell>
          <cell r="K1243">
            <v>90</v>
          </cell>
          <cell r="L1243">
            <v>50</v>
          </cell>
          <cell r="M1243" t="e">
            <v>#N/A</v>
          </cell>
          <cell r="N1243">
            <v>80</v>
          </cell>
          <cell r="O1243" t="e">
            <v>#N/A</v>
          </cell>
          <cell r="P1243" t="str">
            <v/>
          </cell>
          <cell r="Q1243" t="str">
            <v/>
          </cell>
          <cell r="R1243" t="e">
            <v>#N/A</v>
          </cell>
        </row>
        <row r="1244">
          <cell r="A1244" t="str">
            <v/>
          </cell>
          <cell r="B1244" t="str">
            <v/>
          </cell>
          <cell r="C1244" t="str">
            <v>Future</v>
          </cell>
          <cell r="D1244" t="e">
            <v>#N/A</v>
          </cell>
          <cell r="E1244">
            <v>-108.01700787401481</v>
          </cell>
          <cell r="F1244">
            <v>135.05385826771993</v>
          </cell>
          <cell r="G1244">
            <v>27.022362204724125</v>
          </cell>
          <cell r="H1244">
            <v>27.022362204724125</v>
          </cell>
          <cell r="I1244" t="e">
            <v>#N/A</v>
          </cell>
          <cell r="J1244" t="e">
            <v>#N/A</v>
          </cell>
          <cell r="K1244">
            <v>90</v>
          </cell>
          <cell r="L1244">
            <v>50</v>
          </cell>
          <cell r="M1244" t="e">
            <v>#N/A</v>
          </cell>
          <cell r="N1244">
            <v>80</v>
          </cell>
          <cell r="O1244" t="e">
            <v>#N/A</v>
          </cell>
          <cell r="P1244" t="str">
            <v/>
          </cell>
          <cell r="Q1244" t="str">
            <v/>
          </cell>
          <cell r="R1244" t="e">
            <v>#N/A</v>
          </cell>
        </row>
        <row r="1245">
          <cell r="A1245" t="str">
            <v/>
          </cell>
          <cell r="B1245" t="str">
            <v/>
          </cell>
          <cell r="C1245" t="str">
            <v>Future</v>
          </cell>
          <cell r="D1245" t="e">
            <v>#N/A</v>
          </cell>
          <cell r="E1245">
            <v>-108.26704724409355</v>
          </cell>
          <cell r="F1245">
            <v>135.1581496063026</v>
          </cell>
          <cell r="G1245">
            <v>26.969173228346172</v>
          </cell>
          <cell r="H1245">
            <v>26.969173228346172</v>
          </cell>
          <cell r="I1245" t="e">
            <v>#N/A</v>
          </cell>
          <cell r="J1245" t="e">
            <v>#N/A</v>
          </cell>
          <cell r="K1245">
            <v>90</v>
          </cell>
          <cell r="L1245">
            <v>50</v>
          </cell>
          <cell r="M1245" t="e">
            <v>#N/A</v>
          </cell>
          <cell r="N1245">
            <v>80</v>
          </cell>
          <cell r="O1245" t="e">
            <v>#N/A</v>
          </cell>
          <cell r="P1245" t="str">
            <v/>
          </cell>
          <cell r="Q1245" t="str">
            <v/>
          </cell>
          <cell r="R1245" t="e">
            <v>#N/A</v>
          </cell>
        </row>
        <row r="1246">
          <cell r="A1246" t="str">
            <v/>
          </cell>
          <cell r="B1246" t="str">
            <v/>
          </cell>
          <cell r="C1246" t="str">
            <v>Future</v>
          </cell>
          <cell r="D1246" t="e">
            <v>#N/A</v>
          </cell>
          <cell r="E1246">
            <v>-108.51708661417229</v>
          </cell>
          <cell r="F1246">
            <v>135.26244094488527</v>
          </cell>
          <cell r="G1246">
            <v>26.915984251968219</v>
          </cell>
          <cell r="H1246">
            <v>26.915984251968219</v>
          </cell>
          <cell r="I1246" t="e">
            <v>#N/A</v>
          </cell>
          <cell r="J1246" t="e">
            <v>#N/A</v>
          </cell>
          <cell r="K1246">
            <v>90</v>
          </cell>
          <cell r="L1246">
            <v>50</v>
          </cell>
          <cell r="M1246" t="e">
            <v>#N/A</v>
          </cell>
          <cell r="N1246">
            <v>80</v>
          </cell>
          <cell r="O1246" t="e">
            <v>#N/A</v>
          </cell>
          <cell r="P1246" t="str">
            <v/>
          </cell>
          <cell r="Q1246" t="str">
            <v/>
          </cell>
          <cell r="R1246" t="e">
            <v>#N/A</v>
          </cell>
        </row>
        <row r="1247">
          <cell r="A1247" t="str">
            <v/>
          </cell>
          <cell r="B1247" t="str">
            <v/>
          </cell>
          <cell r="C1247" t="str">
            <v>Future</v>
          </cell>
          <cell r="D1247" t="e">
            <v>#N/A</v>
          </cell>
          <cell r="E1247">
            <v>-108.76712598425102</v>
          </cell>
          <cell r="F1247">
            <v>135.36673228346794</v>
          </cell>
          <cell r="G1247">
            <v>26.862795275590265</v>
          </cell>
          <cell r="H1247">
            <v>26.862795275590265</v>
          </cell>
          <cell r="I1247" t="e">
            <v>#N/A</v>
          </cell>
          <cell r="J1247" t="e">
            <v>#N/A</v>
          </cell>
          <cell r="K1247">
            <v>90</v>
          </cell>
          <cell r="L1247">
            <v>50</v>
          </cell>
          <cell r="M1247" t="e">
            <v>#N/A</v>
          </cell>
          <cell r="N1247">
            <v>80</v>
          </cell>
          <cell r="O1247" t="e">
            <v>#N/A</v>
          </cell>
          <cell r="P1247" t="str">
            <v/>
          </cell>
          <cell r="Q1247" t="str">
            <v/>
          </cell>
          <cell r="R1247" t="e">
            <v>#N/A</v>
          </cell>
        </row>
        <row r="1248">
          <cell r="A1248" t="str">
            <v/>
          </cell>
          <cell r="B1248" t="str">
            <v/>
          </cell>
          <cell r="C1248" t="str">
            <v>Future</v>
          </cell>
          <cell r="D1248" t="e">
            <v>#N/A</v>
          </cell>
          <cell r="E1248">
            <v>-109.01716535432976</v>
          </cell>
          <cell r="F1248">
            <v>135.47102362205061</v>
          </cell>
          <cell r="G1248">
            <v>26.809606299212312</v>
          </cell>
          <cell r="H1248">
            <v>26.809606299212312</v>
          </cell>
          <cell r="I1248" t="e">
            <v>#N/A</v>
          </cell>
          <cell r="J1248" t="e">
            <v>#N/A</v>
          </cell>
          <cell r="K1248">
            <v>90</v>
          </cell>
          <cell r="L1248">
            <v>50</v>
          </cell>
          <cell r="M1248" t="e">
            <v>#N/A</v>
          </cell>
          <cell r="N1248">
            <v>80</v>
          </cell>
          <cell r="O1248" t="e">
            <v>#N/A</v>
          </cell>
          <cell r="P1248" t="str">
            <v/>
          </cell>
          <cell r="Q1248" t="str">
            <v/>
          </cell>
          <cell r="R1248" t="e">
            <v>#N/A</v>
          </cell>
        </row>
        <row r="1249">
          <cell r="A1249" t="str">
            <v/>
          </cell>
          <cell r="B1249" t="str">
            <v/>
          </cell>
          <cell r="C1249" t="str">
            <v>Future</v>
          </cell>
          <cell r="D1249" t="e">
            <v>#N/A</v>
          </cell>
          <cell r="E1249">
            <v>-109.2672047244085</v>
          </cell>
          <cell r="F1249">
            <v>135.57531496063328</v>
          </cell>
          <cell r="G1249">
            <v>26.756417322834359</v>
          </cell>
          <cell r="H1249">
            <v>26.756417322834359</v>
          </cell>
          <cell r="I1249" t="e">
            <v>#N/A</v>
          </cell>
          <cell r="J1249" t="e">
            <v>#N/A</v>
          </cell>
          <cell r="K1249">
            <v>90</v>
          </cell>
          <cell r="L1249">
            <v>50</v>
          </cell>
          <cell r="M1249" t="e">
            <v>#N/A</v>
          </cell>
          <cell r="N1249">
            <v>80</v>
          </cell>
          <cell r="O1249" t="e">
            <v>#N/A</v>
          </cell>
          <cell r="P1249" t="str">
            <v/>
          </cell>
          <cell r="Q1249" t="str">
            <v/>
          </cell>
          <cell r="R1249" t="e">
            <v>#N/A</v>
          </cell>
        </row>
        <row r="1250">
          <cell r="A1250" t="str">
            <v/>
          </cell>
          <cell r="B1250" t="str">
            <v/>
          </cell>
          <cell r="C1250" t="str">
            <v>Future</v>
          </cell>
          <cell r="D1250" t="e">
            <v>#N/A</v>
          </cell>
          <cell r="E1250">
            <v>-109.51724409448724</v>
          </cell>
          <cell r="F1250">
            <v>135.67960629921595</v>
          </cell>
          <cell r="G1250">
            <v>26.703228346456406</v>
          </cell>
          <cell r="H1250">
            <v>26.703228346456406</v>
          </cell>
          <cell r="I1250" t="e">
            <v>#N/A</v>
          </cell>
          <cell r="J1250" t="e">
            <v>#N/A</v>
          </cell>
          <cell r="K1250">
            <v>90</v>
          </cell>
          <cell r="L1250">
            <v>50</v>
          </cell>
          <cell r="M1250" t="e">
            <v>#N/A</v>
          </cell>
          <cell r="N1250">
            <v>80</v>
          </cell>
          <cell r="O1250" t="e">
            <v>#N/A</v>
          </cell>
          <cell r="P1250" t="str">
            <v/>
          </cell>
          <cell r="Q1250" t="str">
            <v/>
          </cell>
          <cell r="R1250" t="e">
            <v>#N/A</v>
          </cell>
        </row>
        <row r="1251">
          <cell r="A1251" t="str">
            <v/>
          </cell>
          <cell r="B1251" t="str">
            <v/>
          </cell>
          <cell r="C1251" t="str">
            <v>Future</v>
          </cell>
          <cell r="D1251" t="e">
            <v>#N/A</v>
          </cell>
          <cell r="E1251">
            <v>-109.76728346456598</v>
          </cell>
          <cell r="F1251">
            <v>135.78389763779862</v>
          </cell>
          <cell r="G1251">
            <v>26.650039370078453</v>
          </cell>
          <cell r="H1251">
            <v>26.650039370078453</v>
          </cell>
          <cell r="I1251" t="e">
            <v>#N/A</v>
          </cell>
          <cell r="J1251" t="e">
            <v>#N/A</v>
          </cell>
          <cell r="K1251">
            <v>90</v>
          </cell>
          <cell r="L1251">
            <v>50</v>
          </cell>
          <cell r="M1251" t="e">
            <v>#N/A</v>
          </cell>
          <cell r="N1251">
            <v>80</v>
          </cell>
          <cell r="O1251" t="e">
            <v>#N/A</v>
          </cell>
          <cell r="P1251" t="str">
            <v/>
          </cell>
          <cell r="Q1251" t="str">
            <v/>
          </cell>
          <cell r="R1251" t="e">
            <v>#N/A</v>
          </cell>
        </row>
        <row r="1252">
          <cell r="A1252" t="str">
            <v/>
          </cell>
          <cell r="B1252" t="str">
            <v/>
          </cell>
          <cell r="C1252" t="str">
            <v>Future</v>
          </cell>
          <cell r="D1252" t="e">
            <v>#N/A</v>
          </cell>
          <cell r="E1252">
            <v>-110.01732283464472</v>
          </cell>
          <cell r="F1252">
            <v>135.88818897638129</v>
          </cell>
          <cell r="G1252">
            <v>26.5968503937005</v>
          </cell>
          <cell r="H1252">
            <v>26.5968503937005</v>
          </cell>
          <cell r="I1252" t="e">
            <v>#N/A</v>
          </cell>
          <cell r="J1252" t="e">
            <v>#N/A</v>
          </cell>
          <cell r="K1252">
            <v>90</v>
          </cell>
          <cell r="L1252">
            <v>50</v>
          </cell>
          <cell r="M1252" t="e">
            <v>#N/A</v>
          </cell>
          <cell r="N1252">
            <v>80</v>
          </cell>
          <cell r="O1252" t="e">
            <v>#N/A</v>
          </cell>
          <cell r="P1252" t="str">
            <v/>
          </cell>
          <cell r="Q1252" t="str">
            <v/>
          </cell>
          <cell r="R1252" t="e">
            <v>#N/A</v>
          </cell>
        </row>
        <row r="1253">
          <cell r="A1253" t="str">
            <v/>
          </cell>
          <cell r="P1253" t="str">
            <v/>
          </cell>
          <cell r="Q1253" t="str">
            <v/>
          </cell>
        </row>
      </sheetData>
      <sheetData sheetId="25" refreshError="1"/>
      <sheetData sheetId="26" refreshError="1"/>
      <sheetData sheetId="27" refreshError="1"/>
      <sheetData sheetId="28" refreshError="1"/>
      <sheetData sheetId="29" refreshError="1"/>
      <sheetData sheetId="30" refreshError="1"/>
      <sheetData sheetId="31" refreshError="1"/>
      <sheetData sheetId="32"/>
      <sheetData sheetId="33"/>
      <sheetData sheetId="34" refreshError="1"/>
      <sheetData sheetId="35" refreshError="1"/>
      <sheetData sheetId="36" refreshError="1"/>
      <sheetData sheetId="37"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35 Analysis"/>
      <sheetName val="Exclusion List"/>
    </sheetNames>
    <sheetDataSet>
      <sheetData sheetId="0">
        <row r="1">
          <cell r="A1" t="str">
            <v>Lockheed Martin Corp.</v>
          </cell>
          <cell r="P1" t="str">
            <v>SCENARIOS</v>
          </cell>
        </row>
        <row r="2">
          <cell r="A2" t="str">
            <v>F-35 Program Scenario Analysis</v>
          </cell>
          <cell r="P2" t="str">
            <v>BEAR</v>
          </cell>
          <cell r="Q2" t="str">
            <v>BASE</v>
          </cell>
          <cell r="R2" t="str">
            <v xml:space="preserve">    PoR      (Program of Record)</v>
          </cell>
          <cell r="S2" t="str">
            <v>BULL</v>
          </cell>
        </row>
        <row r="3">
          <cell r="A3" t="str">
            <v>Morgan Stanley Research</v>
          </cell>
          <cell r="K3" t="str">
            <v>Per Share Program Value</v>
          </cell>
          <cell r="P3">
            <v>14.862270549726547</v>
          </cell>
          <cell r="Q3">
            <v>32.768803772552332</v>
          </cell>
          <cell r="R3">
            <v>33.13023730964948</v>
          </cell>
          <cell r="S3">
            <v>54.612947782574075</v>
          </cell>
          <cell r="U3" t="str">
            <v>Note on Color Coding</v>
          </cell>
        </row>
        <row r="4">
          <cell r="A4" t="str">
            <v>($ in Millions Except EPS)</v>
          </cell>
          <cell r="K4" t="str">
            <v>Development</v>
          </cell>
          <cell r="P4">
            <v>6.7667254672483024E-2</v>
          </cell>
          <cell r="Q4">
            <v>0.22200514629041349</v>
          </cell>
          <cell r="R4">
            <v>0.20300176401744907</v>
          </cell>
          <cell r="S4">
            <v>0.33833627336241512</v>
          </cell>
          <cell r="U4" t="str">
            <v>Blue is driver / key assumptions</v>
          </cell>
        </row>
        <row r="5">
          <cell r="K5" t="str">
            <v>U.S. DoD Production</v>
          </cell>
          <cell r="P5">
            <v>7.6960544354000238</v>
          </cell>
          <cell r="Q5">
            <v>13.690563412563034</v>
          </cell>
          <cell r="R5">
            <v>15.436357772638008</v>
          </cell>
          <cell r="S5">
            <v>19.250282699555779</v>
          </cell>
          <cell r="U5" t="str">
            <v>Green is linked</v>
          </cell>
        </row>
        <row r="6">
          <cell r="K6" t="str">
            <v>International Production</v>
          </cell>
          <cell r="P6">
            <v>3.4867331559815744</v>
          </cell>
          <cell r="Q6">
            <v>7.8585296622938543</v>
          </cell>
          <cell r="R6">
            <v>4.8984636117160578</v>
          </cell>
          <cell r="S6">
            <v>9.6908816587528932</v>
          </cell>
          <cell r="U6" t="str">
            <v>Red is driven by key assumptions</v>
          </cell>
        </row>
        <row r="7">
          <cell r="B7" t="str">
            <v>CASE RUNNING: BASE</v>
          </cell>
          <cell r="G7">
            <v>2</v>
          </cell>
          <cell r="K7" t="str">
            <v>Spares and Sustainment</v>
          </cell>
          <cell r="P7">
            <v>3.282608618152218</v>
          </cell>
          <cell r="Q7">
            <v>9.8196941709320757</v>
          </cell>
          <cell r="R7">
            <v>10.953943134343897</v>
          </cell>
          <cell r="S7">
            <v>20.358378015253042</v>
          </cell>
          <cell r="U7" t="str">
            <v>Black is passive formula / basic arithmatic</v>
          </cell>
        </row>
        <row r="8">
          <cell r="B8" t="str">
            <v>Midpoint Program Value (10% Cost of Equity)</v>
          </cell>
          <cell r="G8">
            <v>32.768803772552332</v>
          </cell>
          <cell r="I8" t="str">
            <v>Comments</v>
          </cell>
          <cell r="K8" t="str">
            <v>Modernization and Upgrade</v>
          </cell>
          <cell r="P8">
            <v>0.32920708552024669</v>
          </cell>
          <cell r="Q8">
            <v>1.178011380472952</v>
          </cell>
          <cell r="R8">
            <v>1.6384710269340679</v>
          </cell>
          <cell r="S8">
            <v>4.975069135649945</v>
          </cell>
        </row>
        <row r="9">
          <cell r="P9">
            <v>1</v>
          </cell>
          <cell r="Q9">
            <v>2</v>
          </cell>
          <cell r="R9">
            <v>3</v>
          </cell>
          <cell r="S9">
            <v>4</v>
          </cell>
        </row>
        <row r="11">
          <cell r="B11" t="str">
            <v>Key Assumptions and Drivers</v>
          </cell>
        </row>
        <row r="13">
          <cell r="B13" t="str">
            <v>U.S. DoD Production</v>
          </cell>
          <cell r="U13" t="str">
            <v>Current Backlog (12/31/09)</v>
          </cell>
        </row>
        <row r="14">
          <cell r="C14" t="str">
            <v>U.S. Air Force</v>
          </cell>
          <cell r="G14">
            <v>1250</v>
          </cell>
          <cell r="P14">
            <v>800</v>
          </cell>
          <cell r="Q14">
            <v>1250</v>
          </cell>
          <cell r="R14">
            <v>1763</v>
          </cell>
          <cell r="S14">
            <v>1763</v>
          </cell>
        </row>
        <row r="15">
          <cell r="C15" t="str">
            <v>U.S. Navy</v>
          </cell>
          <cell r="G15">
            <v>250</v>
          </cell>
          <cell r="P15">
            <v>0</v>
          </cell>
          <cell r="Q15">
            <v>250</v>
          </cell>
          <cell r="R15">
            <v>339.99999999999977</v>
          </cell>
          <cell r="S15">
            <v>339.99999999999977</v>
          </cell>
        </row>
        <row r="16">
          <cell r="C16" t="str">
            <v>U.S. Marine Corps</v>
          </cell>
          <cell r="G16">
            <v>300</v>
          </cell>
          <cell r="P16">
            <v>200</v>
          </cell>
          <cell r="Q16">
            <v>300</v>
          </cell>
          <cell r="R16">
            <v>339.99999999999977</v>
          </cell>
          <cell r="S16">
            <v>339.99999999999977</v>
          </cell>
        </row>
        <row r="17">
          <cell r="C17" t="str">
            <v>Lifetime U.S. Deliveries</v>
          </cell>
          <cell r="G17">
            <v>1800</v>
          </cell>
          <cell r="P17">
            <v>1000</v>
          </cell>
          <cell r="Q17">
            <v>1800</v>
          </cell>
          <cell r="R17">
            <v>2443</v>
          </cell>
          <cell r="S17">
            <v>2443</v>
          </cell>
          <cell r="U17" t="str">
            <v>U.S. Program of Record (Quantity)</v>
          </cell>
          <cell r="Y17">
            <v>2442.9999999999995</v>
          </cell>
        </row>
        <row r="18">
          <cell r="C18" t="str">
            <v>Avg. Selling Price (ASP, in constant 2015 $MM)</v>
          </cell>
          <cell r="G18">
            <v>90</v>
          </cell>
          <cell r="I18" t="str">
            <v>HIGHER ASP MEANS FEWER PLANES</v>
          </cell>
          <cell r="P18">
            <v>90</v>
          </cell>
          <cell r="Q18">
            <v>90</v>
          </cell>
          <cell r="R18">
            <v>75</v>
          </cell>
          <cell r="S18">
            <v>75</v>
          </cell>
          <cell r="U18" t="str">
            <v>Current International Backlog</v>
          </cell>
          <cell r="Y18">
            <v>730</v>
          </cell>
        </row>
        <row r="19">
          <cell r="C19" t="str">
            <v>Lifetime Production Value (2015 constant $B)</v>
          </cell>
          <cell r="G19">
            <v>162</v>
          </cell>
          <cell r="I19" t="str">
            <v>CHECK VS PROGRAM OF RECORD DATA</v>
          </cell>
          <cell r="P19">
            <v>90</v>
          </cell>
          <cell r="Q19">
            <v>162</v>
          </cell>
          <cell r="R19">
            <v>183.22499999999999</v>
          </cell>
          <cell r="S19">
            <v>183.22499999999999</v>
          </cell>
          <cell r="U19" t="str">
            <v>Total F-35 Unit Backlog</v>
          </cell>
          <cell r="Y19">
            <v>3172.9999999999995</v>
          </cell>
        </row>
        <row r="20">
          <cell r="C20" t="str">
            <v>Change to U.S. Program of Record - Quantity</v>
          </cell>
          <cell r="G20">
            <v>-642.99999999999955</v>
          </cell>
          <cell r="I20" t="str">
            <v>EITHER BUDGET OR TECHNOLOGY DRIVEN (UAV LONG TERM)</v>
          </cell>
          <cell r="P20">
            <v>-1442.9999999999995</v>
          </cell>
          <cell r="Q20">
            <v>-642.99999999999955</v>
          </cell>
          <cell r="R20">
            <v>0</v>
          </cell>
          <cell r="S20">
            <v>0</v>
          </cell>
        </row>
        <row r="21">
          <cell r="C21" t="str">
            <v>Change to U.S. Program of Record - Year</v>
          </cell>
          <cell r="G21">
            <v>2025</v>
          </cell>
          <cell r="P21">
            <v>2020</v>
          </cell>
          <cell r="Q21">
            <v>2025</v>
          </cell>
          <cell r="R21">
            <v>0</v>
          </cell>
          <cell r="S21">
            <v>0</v>
          </cell>
        </row>
        <row r="22">
          <cell r="C22" t="str">
            <v>ASP Price Inflation (Post-2015)</v>
          </cell>
          <cell r="G22">
            <v>2.5000000000000001E-2</v>
          </cell>
          <cell r="P22">
            <v>2.5000000000000001E-2</v>
          </cell>
          <cell r="Q22">
            <v>2.5000000000000001E-2</v>
          </cell>
          <cell r="R22">
            <v>2.5000000000000001E-2</v>
          </cell>
          <cell r="S22">
            <v>2.5000000000000001E-2</v>
          </cell>
        </row>
        <row r="23">
          <cell r="C23" t="str">
            <v>2010 Production Margin</v>
          </cell>
          <cell r="G23">
            <v>0.06</v>
          </cell>
          <cell r="P23">
            <v>0.06</v>
          </cell>
          <cell r="Q23">
            <v>0.06</v>
          </cell>
          <cell r="R23">
            <v>0.06</v>
          </cell>
          <cell r="S23">
            <v>0.06</v>
          </cell>
        </row>
        <row r="24">
          <cell r="C24" t="str">
            <v>2015 Production Margin</v>
          </cell>
          <cell r="G24">
            <v>0.09</v>
          </cell>
          <cell r="P24">
            <v>7.4999999999999997E-2</v>
          </cell>
          <cell r="Q24">
            <v>0.09</v>
          </cell>
          <cell r="R24">
            <v>0.09</v>
          </cell>
          <cell r="S24">
            <v>0.1</v>
          </cell>
        </row>
        <row r="25">
          <cell r="C25" t="str">
            <v>Peak Production Margin</v>
          </cell>
          <cell r="G25">
            <v>0.12</v>
          </cell>
          <cell r="I25" t="str">
            <v>CHECK VS FOURTH GENS AND F-22</v>
          </cell>
          <cell r="P25">
            <v>0.09</v>
          </cell>
          <cell r="Q25">
            <v>0.12</v>
          </cell>
          <cell r="R25">
            <v>0.12</v>
          </cell>
          <cell r="S25">
            <v>0.15</v>
          </cell>
        </row>
        <row r="26">
          <cell r="C26" t="str">
            <v>Year Peak Production Margin Achieved</v>
          </cell>
          <cell r="G26">
            <v>2020</v>
          </cell>
          <cell r="P26">
            <v>2025</v>
          </cell>
          <cell r="Q26">
            <v>2020</v>
          </cell>
          <cell r="R26">
            <v>2020</v>
          </cell>
          <cell r="S26">
            <v>2020</v>
          </cell>
        </row>
        <row r="27">
          <cell r="C27" t="str">
            <v>Years to Peak Margin (after 2015)</v>
          </cell>
          <cell r="G27">
            <v>5</v>
          </cell>
          <cell r="P27">
            <v>10</v>
          </cell>
          <cell r="Q27">
            <v>5</v>
          </cell>
          <cell r="R27">
            <v>5</v>
          </cell>
          <cell r="S27">
            <v>5</v>
          </cell>
        </row>
        <row r="28">
          <cell r="C28" t="str">
            <v>Annual Margin Step - 2010 to 2015</v>
          </cell>
          <cell r="G28">
            <v>6.0000000000000001E-3</v>
          </cell>
          <cell r="P28">
            <v>3.0000000000000001E-3</v>
          </cell>
          <cell r="Q28">
            <v>6.0000000000000001E-3</v>
          </cell>
          <cell r="R28">
            <v>6.0000000000000001E-3</v>
          </cell>
          <cell r="S28">
            <v>8.0000000000000019E-3</v>
          </cell>
        </row>
        <row r="29">
          <cell r="C29" t="str">
            <v>Annual Margin Step - 2015 to Peak</v>
          </cell>
          <cell r="G29">
            <v>6.0000000000000001E-3</v>
          </cell>
          <cell r="P29">
            <v>1.5E-3</v>
          </cell>
          <cell r="Q29">
            <v>6.0000000000000001E-3</v>
          </cell>
          <cell r="R29">
            <v>6.0000000000000001E-3</v>
          </cell>
          <cell r="S29">
            <v>9.9999999999999985E-3</v>
          </cell>
        </row>
        <row r="31">
          <cell r="B31" t="str">
            <v>International Production</v>
          </cell>
        </row>
        <row r="32">
          <cell r="C32" t="str">
            <v>Lifetime Deliveries</v>
          </cell>
          <cell r="G32">
            <v>1000</v>
          </cell>
          <cell r="I32" t="str">
            <v>BULL CASE BASED ON 4TH INSTALLED BASE REPLACEMENT</v>
          </cell>
          <cell r="P32">
            <v>500</v>
          </cell>
          <cell r="Q32">
            <v>1000</v>
          </cell>
          <cell r="R32">
            <v>730</v>
          </cell>
          <cell r="S32">
            <v>1500</v>
          </cell>
        </row>
        <row r="33">
          <cell r="C33" t="str">
            <v>Export Price Premium</v>
          </cell>
          <cell r="G33">
            <v>0.05</v>
          </cell>
          <cell r="I33" t="str">
            <v>LIMITED GIVEN SALES VIA FMS; BULL CASE ASSUMES DIRECT</v>
          </cell>
          <cell r="P33">
            <v>0.05</v>
          </cell>
          <cell r="Q33">
            <v>0.05</v>
          </cell>
          <cell r="R33">
            <v>0.05</v>
          </cell>
          <cell r="S33">
            <v>0.1</v>
          </cell>
        </row>
        <row r="34">
          <cell r="C34" t="str">
            <v>Avg. Selling Price (ASP, in constant 2015 $MM)</v>
          </cell>
          <cell r="G34">
            <v>94.5</v>
          </cell>
          <cell r="P34">
            <v>94.5</v>
          </cell>
          <cell r="Q34">
            <v>94.5</v>
          </cell>
          <cell r="R34">
            <v>78.75</v>
          </cell>
          <cell r="S34">
            <v>82.5</v>
          </cell>
        </row>
        <row r="35">
          <cell r="C35" t="str">
            <v>Lifetime Production Value (2015 constant $B)</v>
          </cell>
          <cell r="G35">
            <v>94.5</v>
          </cell>
          <cell r="P35">
            <v>47.25</v>
          </cell>
          <cell r="Q35">
            <v>94.5</v>
          </cell>
          <cell r="R35">
            <v>57.487499999999997</v>
          </cell>
          <cell r="S35">
            <v>123.75</v>
          </cell>
        </row>
        <row r="36">
          <cell r="C36" t="str">
            <v>Change to MOU International Orders - Quantity</v>
          </cell>
          <cell r="G36">
            <v>270</v>
          </cell>
          <cell r="P36">
            <v>-230</v>
          </cell>
          <cell r="Q36">
            <v>270</v>
          </cell>
          <cell r="R36">
            <v>0</v>
          </cell>
          <cell r="S36">
            <v>770</v>
          </cell>
        </row>
        <row r="37">
          <cell r="C37" t="str">
            <v>Year of Last International Order</v>
          </cell>
          <cell r="G37">
            <v>2025</v>
          </cell>
          <cell r="P37">
            <v>2020</v>
          </cell>
          <cell r="Q37">
            <v>2025</v>
          </cell>
          <cell r="R37">
            <v>2030</v>
          </cell>
          <cell r="S37">
            <v>2030</v>
          </cell>
        </row>
        <row r="38">
          <cell r="C38" t="str">
            <v>Avg. Annual Net International Orders</v>
          </cell>
          <cell r="G38">
            <v>16.875</v>
          </cell>
          <cell r="P38">
            <v>-20.90909090909091</v>
          </cell>
          <cell r="Q38">
            <v>16.875</v>
          </cell>
          <cell r="R38">
            <v>0</v>
          </cell>
          <cell r="S38">
            <v>36.666666666666664</v>
          </cell>
        </row>
        <row r="39">
          <cell r="C39" t="str">
            <v>ASP Price Inflation (Post-2015)</v>
          </cell>
          <cell r="G39">
            <v>2.5000000000000001E-2</v>
          </cell>
          <cell r="P39">
            <v>2.5000000000000001E-2</v>
          </cell>
          <cell r="Q39">
            <v>2.5000000000000001E-2</v>
          </cell>
          <cell r="R39">
            <v>2.5000000000000001E-2</v>
          </cell>
          <cell r="S39">
            <v>2.5000000000000001E-2</v>
          </cell>
        </row>
        <row r="40">
          <cell r="C40" t="str">
            <v>2010 Production Margin</v>
          </cell>
          <cell r="G40" t="str">
            <v xml:space="preserve">NA </v>
          </cell>
          <cell r="I40" t="str">
            <v>SIMPLIFYING ASSUMPTION INT'L DELIVERIES START AFTER 2015</v>
          </cell>
          <cell r="P40" t="str">
            <v xml:space="preserve">NA </v>
          </cell>
          <cell r="Q40" t="str">
            <v xml:space="preserve">NA </v>
          </cell>
          <cell r="R40" t="str">
            <v xml:space="preserve">NA </v>
          </cell>
          <cell r="S40" t="str">
            <v xml:space="preserve">NA </v>
          </cell>
        </row>
        <row r="41">
          <cell r="C41" t="str">
            <v>2015 Production Margin</v>
          </cell>
          <cell r="G41">
            <v>9.9999999999999992E-2</v>
          </cell>
          <cell r="I41" t="str">
            <v>FMS so shouldn’t be much higher than US</v>
          </cell>
          <cell r="P41">
            <v>8.4999999999999992E-2</v>
          </cell>
          <cell r="Q41">
            <v>9.9999999999999992E-2</v>
          </cell>
          <cell r="R41">
            <v>9.9999999999999992E-2</v>
          </cell>
          <cell r="S41">
            <v>0.11</v>
          </cell>
        </row>
        <row r="42">
          <cell r="C42" t="str">
            <v>Peak Production Margin (Driver)</v>
          </cell>
          <cell r="G42">
            <v>0.13</v>
          </cell>
          <cell r="P42">
            <v>9.9999999999999992E-2</v>
          </cell>
          <cell r="Q42">
            <v>0.13</v>
          </cell>
          <cell r="R42">
            <v>0.13</v>
          </cell>
          <cell r="S42">
            <v>0.16</v>
          </cell>
        </row>
        <row r="43">
          <cell r="C43" t="str">
            <v>Peak Margin Check - DoD Cost Base Applied to FMS ASP</v>
          </cell>
          <cell r="G43">
            <v>0.16190476190476188</v>
          </cell>
          <cell r="I43" t="str">
            <v>NOT A DRIVER…MARGINS IF SOLD DIRECT</v>
          </cell>
          <cell r="P43">
            <v>0.1333333333333333</v>
          </cell>
          <cell r="Q43">
            <v>0.16190476190476188</v>
          </cell>
          <cell r="R43">
            <v>0.16190476190476188</v>
          </cell>
          <cell r="S43">
            <v>0.22727272727272729</v>
          </cell>
        </row>
        <row r="44">
          <cell r="C44" t="str">
            <v>Year Peak Production Margin Achieved</v>
          </cell>
          <cell r="G44">
            <v>2020</v>
          </cell>
          <cell r="I44" t="str">
            <v>SHOULD THERE BE A TIME LAG?</v>
          </cell>
          <cell r="P44">
            <v>2025</v>
          </cell>
          <cell r="Q44">
            <v>2020</v>
          </cell>
          <cell r="R44">
            <v>2020</v>
          </cell>
          <cell r="S44">
            <v>2020</v>
          </cell>
        </row>
        <row r="45">
          <cell r="C45" t="str">
            <v>Annual Margin Step - 2015 to Peak</v>
          </cell>
          <cell r="G45">
            <v>6.0000000000000027E-3</v>
          </cell>
          <cell r="P45">
            <v>1.5E-3</v>
          </cell>
          <cell r="Q45">
            <v>6.0000000000000027E-3</v>
          </cell>
          <cell r="R45">
            <v>6.0000000000000027E-3</v>
          </cell>
          <cell r="S45">
            <v>0.01</v>
          </cell>
        </row>
        <row r="47">
          <cell r="B47" t="str">
            <v>Total Program Production</v>
          </cell>
        </row>
        <row r="48">
          <cell r="C48" t="str">
            <v>Lifetime Deliveries</v>
          </cell>
          <cell r="G48">
            <v>2800</v>
          </cell>
          <cell r="P48">
            <v>1500</v>
          </cell>
          <cell r="Q48">
            <v>2800</v>
          </cell>
          <cell r="R48">
            <v>3173</v>
          </cell>
          <cell r="S48">
            <v>3943</v>
          </cell>
        </row>
        <row r="49">
          <cell r="C49" t="str">
            <v>% U.S. DoD</v>
          </cell>
          <cell r="G49">
            <v>0.6428571428571429</v>
          </cell>
          <cell r="P49">
            <v>0.66666666666666663</v>
          </cell>
          <cell r="Q49">
            <v>0.6428571428571429</v>
          </cell>
          <cell r="R49">
            <v>0.76993381657737159</v>
          </cell>
          <cell r="S49">
            <v>0.61957900076084205</v>
          </cell>
        </row>
        <row r="50">
          <cell r="C50" t="str">
            <v>% International</v>
          </cell>
          <cell r="G50">
            <v>0.3571428571428571</v>
          </cell>
          <cell r="P50">
            <v>0.33333333333333337</v>
          </cell>
          <cell r="Q50">
            <v>0.3571428571428571</v>
          </cell>
          <cell r="R50">
            <v>0.23006618342262841</v>
          </cell>
          <cell r="S50">
            <v>0.38042099923915795</v>
          </cell>
          <cell r="AO50">
            <v>54.612947782574075</v>
          </cell>
        </row>
        <row r="51">
          <cell r="C51" t="str">
            <v>Peak Production Rate (Annual)</v>
          </cell>
          <cell r="G51">
            <v>200</v>
          </cell>
          <cell r="P51">
            <v>145</v>
          </cell>
          <cell r="Q51">
            <v>200</v>
          </cell>
          <cell r="R51">
            <v>200</v>
          </cell>
          <cell r="S51">
            <v>250</v>
          </cell>
        </row>
        <row r="52">
          <cell r="C52" t="str">
            <v>Peak U.S. DoD Delivery Rate</v>
          </cell>
          <cell r="G52">
            <v>100</v>
          </cell>
          <cell r="P52">
            <v>85</v>
          </cell>
          <cell r="Q52">
            <v>100</v>
          </cell>
          <cell r="R52">
            <v>130</v>
          </cell>
          <cell r="S52">
            <v>150</v>
          </cell>
        </row>
        <row r="53">
          <cell r="C53" t="str">
            <v>Peak Production Year</v>
          </cell>
          <cell r="G53">
            <v>2020</v>
          </cell>
          <cell r="I53" t="str">
            <v>MUST BE AFTER 2015</v>
          </cell>
          <cell r="P53">
            <v>2020</v>
          </cell>
          <cell r="Q53">
            <v>2020</v>
          </cell>
          <cell r="R53">
            <v>2020</v>
          </cell>
          <cell r="S53">
            <v>2023</v>
          </cell>
          <cell r="AK53">
            <v>32.768803772552332</v>
          </cell>
        </row>
        <row r="54">
          <cell r="C54" t="str">
            <v>Years to Peak Production (after 2015)</v>
          </cell>
          <cell r="G54">
            <v>5</v>
          </cell>
          <cell r="P54">
            <v>5</v>
          </cell>
          <cell r="Q54">
            <v>5</v>
          </cell>
          <cell r="R54">
            <v>5</v>
          </cell>
          <cell r="S54">
            <v>8</v>
          </cell>
          <cell r="AM54">
            <v>33.13023730964948</v>
          </cell>
        </row>
        <row r="55">
          <cell r="C55" t="str">
            <v>Years of Peak Production</v>
          </cell>
          <cell r="G55">
            <v>6</v>
          </cell>
          <cell r="P55">
            <v>6</v>
          </cell>
          <cell r="Q55">
            <v>6</v>
          </cell>
          <cell r="R55">
            <v>7</v>
          </cell>
          <cell r="S55">
            <v>4</v>
          </cell>
          <cell r="AI55">
            <v>14.862270549726547</v>
          </cell>
        </row>
        <row r="56">
          <cell r="C56" t="str">
            <v>Last Production Year</v>
          </cell>
          <cell r="G56">
            <v>2032</v>
          </cell>
          <cell r="I56" t="str">
            <v xml:space="preserve">SELF REFERENCING </v>
          </cell>
        </row>
        <row r="57">
          <cell r="C57" t="str">
            <v>Production Lifetime</v>
          </cell>
          <cell r="G57">
            <v>0</v>
          </cell>
        </row>
        <row r="58">
          <cell r="C58" t="str">
            <v>Production Cut Begins (% Lifetime Deliveries)</v>
          </cell>
          <cell r="G58">
            <v>0.8</v>
          </cell>
          <cell r="P58">
            <v>0.75</v>
          </cell>
          <cell r="Q58">
            <v>0.8</v>
          </cell>
          <cell r="R58">
            <v>0.8</v>
          </cell>
          <cell r="S58">
            <v>0.7</v>
          </cell>
        </row>
        <row r="59">
          <cell r="C59" t="str">
            <v>Annual Production Rate Decrease</v>
          </cell>
          <cell r="G59">
            <v>0.15</v>
          </cell>
          <cell r="P59">
            <v>0.12</v>
          </cell>
          <cell r="Q59">
            <v>0.15</v>
          </cell>
          <cell r="R59">
            <v>0.15</v>
          </cell>
          <cell r="S59">
            <v>0.12</v>
          </cell>
        </row>
        <row r="60">
          <cell r="C60" t="str">
            <v>Number of Post-Peak Production Step Downs (Annual)</v>
          </cell>
          <cell r="G60">
            <v>10</v>
          </cell>
          <cell r="P60">
            <v>8</v>
          </cell>
          <cell r="Q60">
            <v>10</v>
          </cell>
          <cell r="R60">
            <v>10</v>
          </cell>
          <cell r="S60">
            <v>12</v>
          </cell>
        </row>
        <row r="61">
          <cell r="C61" t="str">
            <v>Trough Production Rate</v>
          </cell>
          <cell r="G61">
            <v>39.374880868144515</v>
          </cell>
          <cell r="P61">
            <v>52.147006096801789</v>
          </cell>
          <cell r="Q61">
            <v>39.374880868144515</v>
          </cell>
          <cell r="R61">
            <v>39.374880868144515</v>
          </cell>
          <cell r="S61">
            <v>53.917788955420249</v>
          </cell>
        </row>
        <row r="63">
          <cell r="B63" t="str">
            <v>Development</v>
          </cell>
        </row>
        <row r="64">
          <cell r="C64" t="str">
            <v>EBIT Margin</v>
          </cell>
          <cell r="G64">
            <v>0.03</v>
          </cell>
          <cell r="P64">
            <v>0.01</v>
          </cell>
          <cell r="Q64">
            <v>0.03</v>
          </cell>
          <cell r="R64">
            <v>0.03</v>
          </cell>
          <cell r="S64">
            <v>0.05</v>
          </cell>
        </row>
        <row r="65">
          <cell r="C65" t="str">
            <v>Note: Development Revenue Constant to 2015</v>
          </cell>
        </row>
        <row r="67">
          <cell r="B67" t="str">
            <v>Spares and Sustainment</v>
          </cell>
        </row>
        <row r="68">
          <cell r="C68" t="str">
            <v>Useful Life (years)</v>
          </cell>
          <cell r="G68">
            <v>20</v>
          </cell>
          <cell r="I68" t="str">
            <v>not currently an active driver. Does it need to be?</v>
          </cell>
          <cell r="P68">
            <v>20</v>
          </cell>
          <cell r="Q68">
            <v>20</v>
          </cell>
          <cell r="R68">
            <v>20</v>
          </cell>
          <cell r="S68">
            <v>20</v>
          </cell>
        </row>
        <row r="69">
          <cell r="C69" t="str">
            <v>Avg. Annual Lifecycle Revenue (2015 $MM)</v>
          </cell>
          <cell r="G69">
            <v>4</v>
          </cell>
          <cell r="I69" t="str">
            <v>key diligence item</v>
          </cell>
          <cell r="P69">
            <v>2</v>
          </cell>
          <cell r="Q69">
            <v>4</v>
          </cell>
          <cell r="R69">
            <v>4</v>
          </cell>
          <cell r="S69">
            <v>6</v>
          </cell>
          <cell r="U69" t="str">
            <v>6-8MM looks very light</v>
          </cell>
        </row>
        <row r="70">
          <cell r="C70" t="str">
            <v>% ASP</v>
          </cell>
          <cell r="P70">
            <v>2.2222222222222223E-2</v>
          </cell>
          <cell r="Q70">
            <v>4.4444444444444446E-2</v>
          </cell>
          <cell r="R70">
            <v>5.3333333333333337E-2</v>
          </cell>
          <cell r="S70">
            <v>0.08</v>
          </cell>
        </row>
        <row r="71">
          <cell r="C71" t="str">
            <v>Avg. Annual Lifecycle Margin</v>
          </cell>
          <cell r="G71">
            <v>0.11</v>
          </cell>
          <cell r="I71" t="str">
            <v>Won't be much higher than production on JSF</v>
          </cell>
          <cell r="P71">
            <v>0.1</v>
          </cell>
          <cell r="Q71">
            <v>0.11</v>
          </cell>
          <cell r="R71">
            <v>0.11</v>
          </cell>
          <cell r="S71">
            <v>0.12</v>
          </cell>
        </row>
        <row r="73">
          <cell r="B73" t="str">
            <v>Modernization and Upgrades</v>
          </cell>
        </row>
        <row r="74">
          <cell r="C74" t="str">
            <v>Modernization and Upgrades Begin</v>
          </cell>
          <cell r="G74" t="str">
            <v>10 yrs</v>
          </cell>
          <cell r="I74" t="str">
            <v>not currently an active driver. Does it need to be?</v>
          </cell>
          <cell r="P74">
            <v>2020</v>
          </cell>
          <cell r="Q74">
            <v>2020</v>
          </cell>
          <cell r="R74">
            <v>2020</v>
          </cell>
          <cell r="S74">
            <v>2020</v>
          </cell>
        </row>
        <row r="75">
          <cell r="C75" t="str">
            <v>% Participation</v>
          </cell>
          <cell r="G75">
            <v>0.5</v>
          </cell>
          <cell r="P75">
            <v>0.25</v>
          </cell>
          <cell r="Q75">
            <v>0.5</v>
          </cell>
          <cell r="R75">
            <v>0.5</v>
          </cell>
          <cell r="S75">
            <v>0.75</v>
          </cell>
          <cell r="U75" t="str">
            <v>intl</v>
          </cell>
        </row>
        <row r="76">
          <cell r="C76" t="str">
            <v>Mod/Upgrade Opportunity (2015 $MM)</v>
          </cell>
          <cell r="G76">
            <v>20</v>
          </cell>
          <cell r="I76" t="str">
            <v>key diligence item</v>
          </cell>
          <cell r="P76">
            <v>25</v>
          </cell>
          <cell r="Q76">
            <v>20</v>
          </cell>
          <cell r="R76">
            <v>25</v>
          </cell>
          <cell r="S76">
            <v>35</v>
          </cell>
          <cell r="U76" t="str">
            <v>split by intl u/s</v>
          </cell>
        </row>
        <row r="77">
          <cell r="C77" t="str">
            <v>% ASP (U.S)</v>
          </cell>
          <cell r="G77">
            <v>0.22222222222222221</v>
          </cell>
          <cell r="I77" t="str">
            <v>key diligence item</v>
          </cell>
          <cell r="P77">
            <v>0.27777777777777779</v>
          </cell>
          <cell r="Q77">
            <v>0.22222222222222221</v>
          </cell>
          <cell r="R77">
            <v>0.33333333333333331</v>
          </cell>
          <cell r="S77">
            <v>0.46666666666666667</v>
          </cell>
        </row>
        <row r="78">
          <cell r="C78" t="str">
            <v>Avg. Mod/Upgrade Margin</v>
          </cell>
          <cell r="G78">
            <v>0.12</v>
          </cell>
          <cell r="I78" t="str">
            <v>key diligence item</v>
          </cell>
          <cell r="P78">
            <v>0.08</v>
          </cell>
          <cell r="Q78">
            <v>0.12</v>
          </cell>
          <cell r="R78">
            <v>0.12</v>
          </cell>
          <cell r="S78">
            <v>0.15</v>
          </cell>
        </row>
        <row r="80">
          <cell r="C80" t="str">
            <v>Period</v>
          </cell>
          <cell r="G80">
            <v>1</v>
          </cell>
          <cell r="H80">
            <v>2</v>
          </cell>
          <cell r="I80">
            <v>3</v>
          </cell>
          <cell r="J80">
            <v>4</v>
          </cell>
          <cell r="K80">
            <v>5</v>
          </cell>
          <cell r="L80">
            <v>6</v>
          </cell>
          <cell r="M80">
            <v>7</v>
          </cell>
          <cell r="N80">
            <v>8</v>
          </cell>
          <cell r="O80">
            <v>9</v>
          </cell>
          <cell r="P80">
            <v>10</v>
          </cell>
          <cell r="Q80">
            <v>11</v>
          </cell>
          <cell r="R80">
            <v>12</v>
          </cell>
          <cell r="S80">
            <v>13</v>
          </cell>
          <cell r="T80">
            <v>14</v>
          </cell>
          <cell r="U80">
            <v>15</v>
          </cell>
          <cell r="V80">
            <v>16</v>
          </cell>
          <cell r="W80">
            <v>17</v>
          </cell>
          <cell r="X80">
            <v>18</v>
          </cell>
          <cell r="Y80">
            <v>19</v>
          </cell>
          <cell r="Z80">
            <v>20</v>
          </cell>
          <cell r="AA80">
            <v>21</v>
          </cell>
          <cell r="AB80">
            <v>22</v>
          </cell>
          <cell r="AC80">
            <v>23</v>
          </cell>
          <cell r="AD80">
            <v>24</v>
          </cell>
          <cell r="AE80">
            <v>25</v>
          </cell>
          <cell r="AF80">
            <v>26</v>
          </cell>
          <cell r="AG80">
            <v>27</v>
          </cell>
          <cell r="AH80">
            <v>28</v>
          </cell>
          <cell r="AI80">
            <v>29</v>
          </cell>
          <cell r="AJ80">
            <v>30</v>
          </cell>
          <cell r="AK80">
            <v>31</v>
          </cell>
          <cell r="AL80">
            <v>32</v>
          </cell>
          <cell r="AM80">
            <v>33</v>
          </cell>
          <cell r="AN80">
            <v>34</v>
          </cell>
          <cell r="AO80">
            <v>35</v>
          </cell>
          <cell r="AP80">
            <v>36</v>
          </cell>
          <cell r="AQ80">
            <v>37</v>
          </cell>
          <cell r="AR80">
            <v>38</v>
          </cell>
          <cell r="AS80">
            <v>39</v>
          </cell>
          <cell r="AT80">
            <v>40</v>
          </cell>
          <cell r="AU80">
            <v>41</v>
          </cell>
        </row>
        <row r="82">
          <cell r="B82" t="str">
            <v>Delivery and Backlog Model</v>
          </cell>
        </row>
        <row r="84">
          <cell r="C84" t="str">
            <v>Calendar Year</v>
          </cell>
          <cell r="G84">
            <v>2010</v>
          </cell>
          <cell r="H84">
            <v>2011</v>
          </cell>
          <cell r="I84">
            <v>2012</v>
          </cell>
          <cell r="J84">
            <v>2013</v>
          </cell>
          <cell r="K84">
            <v>2014</v>
          </cell>
          <cell r="L84">
            <v>2015</v>
          </cell>
          <cell r="M84">
            <v>2016</v>
          </cell>
          <cell r="N84">
            <v>2017</v>
          </cell>
          <cell r="O84">
            <v>2018</v>
          </cell>
          <cell r="P84">
            <v>2019</v>
          </cell>
          <cell r="Q84">
            <v>2020</v>
          </cell>
          <cell r="R84">
            <v>2021</v>
          </cell>
          <cell r="S84">
            <v>2022</v>
          </cell>
          <cell r="T84">
            <v>2023</v>
          </cell>
          <cell r="U84">
            <v>2024</v>
          </cell>
          <cell r="V84">
            <v>2025</v>
          </cell>
          <cell r="W84">
            <v>2026</v>
          </cell>
          <cell r="X84">
            <v>2027</v>
          </cell>
          <cell r="Y84">
            <v>2028</v>
          </cell>
          <cell r="Z84">
            <v>2029</v>
          </cell>
          <cell r="AA84">
            <v>2030</v>
          </cell>
          <cell r="AB84">
            <v>2031</v>
          </cell>
          <cell r="AC84">
            <v>2032</v>
          </cell>
          <cell r="AD84">
            <v>2033</v>
          </cell>
          <cell r="AE84">
            <v>2034</v>
          </cell>
          <cell r="AF84">
            <v>2035</v>
          </cell>
          <cell r="AG84">
            <v>2036</v>
          </cell>
          <cell r="AH84">
            <v>2037</v>
          </cell>
          <cell r="AI84">
            <v>2038</v>
          </cell>
          <cell r="AJ84">
            <v>2039</v>
          </cell>
          <cell r="AK84">
            <v>2040</v>
          </cell>
          <cell r="AL84">
            <v>2041</v>
          </cell>
          <cell r="AM84">
            <v>2042</v>
          </cell>
          <cell r="AN84">
            <v>2043</v>
          </cell>
          <cell r="AO84">
            <v>2044</v>
          </cell>
          <cell r="AP84">
            <v>2045</v>
          </cell>
          <cell r="AQ84">
            <v>2046</v>
          </cell>
          <cell r="AR84">
            <v>2047</v>
          </cell>
          <cell r="AS84">
            <v>2048</v>
          </cell>
          <cell r="AT84">
            <v>2049</v>
          </cell>
          <cell r="AU84">
            <v>2050</v>
          </cell>
        </row>
        <row r="86">
          <cell r="C86" t="str">
            <v>Theoretical Perpetual Backlog (Necessary to Drive Dynamic Model)</v>
          </cell>
        </row>
        <row r="87">
          <cell r="C87" t="str">
            <v>Delivery Skyline (Assuming Perpetual Backlog)</v>
          </cell>
          <cell r="G87">
            <v>10</v>
          </cell>
          <cell r="H87">
            <v>17</v>
          </cell>
          <cell r="I87">
            <v>35</v>
          </cell>
          <cell r="J87">
            <v>50</v>
          </cell>
          <cell r="K87">
            <v>75</v>
          </cell>
          <cell r="L87">
            <v>100</v>
          </cell>
          <cell r="M87">
            <v>120</v>
          </cell>
          <cell r="N87">
            <v>140</v>
          </cell>
          <cell r="O87">
            <v>160</v>
          </cell>
          <cell r="P87">
            <v>180</v>
          </cell>
          <cell r="Q87">
            <v>200</v>
          </cell>
          <cell r="R87">
            <v>200</v>
          </cell>
          <cell r="S87">
            <v>200</v>
          </cell>
          <cell r="T87">
            <v>200</v>
          </cell>
          <cell r="U87">
            <v>200</v>
          </cell>
          <cell r="V87">
            <v>200</v>
          </cell>
          <cell r="W87">
            <v>200</v>
          </cell>
          <cell r="X87">
            <v>200</v>
          </cell>
          <cell r="Y87">
            <v>200</v>
          </cell>
          <cell r="Z87">
            <v>200</v>
          </cell>
          <cell r="AA87">
            <v>200</v>
          </cell>
          <cell r="AB87">
            <v>200</v>
          </cell>
          <cell r="AC87">
            <v>200</v>
          </cell>
          <cell r="AD87">
            <v>200</v>
          </cell>
          <cell r="AE87">
            <v>200</v>
          </cell>
          <cell r="AF87">
            <v>200</v>
          </cell>
          <cell r="AG87">
            <v>200</v>
          </cell>
          <cell r="AH87">
            <v>200</v>
          </cell>
          <cell r="AI87">
            <v>200</v>
          </cell>
          <cell r="AJ87">
            <v>200</v>
          </cell>
          <cell r="AK87">
            <v>200</v>
          </cell>
          <cell r="AL87">
            <v>200</v>
          </cell>
          <cell r="AM87">
            <v>200</v>
          </cell>
          <cell r="AN87">
            <v>200</v>
          </cell>
          <cell r="AO87">
            <v>200</v>
          </cell>
          <cell r="AP87">
            <v>200</v>
          </cell>
          <cell r="AQ87">
            <v>200</v>
          </cell>
          <cell r="AR87">
            <v>200</v>
          </cell>
          <cell r="AS87">
            <v>200</v>
          </cell>
          <cell r="AT87">
            <v>200</v>
          </cell>
          <cell r="AU87">
            <v>200</v>
          </cell>
        </row>
        <row r="88">
          <cell r="C88" t="str">
            <v>Cumulative Deliveries (Assuming Perpetual Backlog)</v>
          </cell>
          <cell r="G88">
            <v>10</v>
          </cell>
          <cell r="H88">
            <v>27</v>
          </cell>
          <cell r="I88">
            <v>62</v>
          </cell>
          <cell r="J88">
            <v>112</v>
          </cell>
          <cell r="K88">
            <v>187</v>
          </cell>
          <cell r="L88">
            <v>287</v>
          </cell>
          <cell r="M88">
            <v>407</v>
          </cell>
          <cell r="N88">
            <v>547</v>
          </cell>
          <cell r="O88">
            <v>707</v>
          </cell>
          <cell r="P88">
            <v>887</v>
          </cell>
          <cell r="Q88">
            <v>1087</v>
          </cell>
          <cell r="R88">
            <v>1287</v>
          </cell>
          <cell r="S88">
            <v>1487</v>
          </cell>
          <cell r="T88">
            <v>1687</v>
          </cell>
          <cell r="U88">
            <v>1887</v>
          </cell>
          <cell r="V88">
            <v>2087</v>
          </cell>
          <cell r="W88">
            <v>2287</v>
          </cell>
          <cell r="X88">
            <v>2487</v>
          </cell>
          <cell r="Y88">
            <v>2687</v>
          </cell>
          <cell r="Z88">
            <v>2887</v>
          </cell>
          <cell r="AA88">
            <v>3087</v>
          </cell>
          <cell r="AB88">
            <v>3287</v>
          </cell>
          <cell r="AC88">
            <v>3487</v>
          </cell>
          <cell r="AD88">
            <v>3687</v>
          </cell>
          <cell r="AE88">
            <v>3887</v>
          </cell>
          <cell r="AF88">
            <v>4087</v>
          </cell>
          <cell r="AG88">
            <v>4287</v>
          </cell>
          <cell r="AH88">
            <v>4487</v>
          </cell>
          <cell r="AI88">
            <v>4687</v>
          </cell>
          <cell r="AJ88">
            <v>4887</v>
          </cell>
          <cell r="AK88">
            <v>5087</v>
          </cell>
          <cell r="AL88">
            <v>5287</v>
          </cell>
          <cell r="AM88">
            <v>5487</v>
          </cell>
          <cell r="AN88">
            <v>5687</v>
          </cell>
          <cell r="AO88">
            <v>5887</v>
          </cell>
          <cell r="AP88">
            <v>6087</v>
          </cell>
          <cell r="AQ88">
            <v>6287</v>
          </cell>
          <cell r="AR88">
            <v>6487</v>
          </cell>
          <cell r="AS88">
            <v>6687</v>
          </cell>
          <cell r="AT88">
            <v>6887</v>
          </cell>
          <cell r="AU88">
            <v>7087</v>
          </cell>
        </row>
        <row r="89">
          <cell r="C89" t="str">
            <v>% Actual Total Deliveries</v>
          </cell>
          <cell r="G89">
            <v>3.5714285714285713E-3</v>
          </cell>
          <cell r="H89">
            <v>9.6428571428571423E-3</v>
          </cell>
          <cell r="I89">
            <v>2.2142857142857141E-2</v>
          </cell>
          <cell r="J89">
            <v>0.04</v>
          </cell>
          <cell r="K89">
            <v>6.6785714285714282E-2</v>
          </cell>
          <cell r="L89">
            <v>0.10249999999999999</v>
          </cell>
          <cell r="M89">
            <v>0.14535714285714285</v>
          </cell>
          <cell r="N89">
            <v>0.19535714285714287</v>
          </cell>
          <cell r="O89">
            <v>0.2525</v>
          </cell>
          <cell r="P89">
            <v>0.31678571428571428</v>
          </cell>
          <cell r="Q89">
            <v>0.38821428571428573</v>
          </cell>
          <cell r="R89">
            <v>0.45964285714285713</v>
          </cell>
          <cell r="S89">
            <v>0.53107142857142853</v>
          </cell>
          <cell r="T89">
            <v>0.60250000000000004</v>
          </cell>
          <cell r="U89">
            <v>0.67392857142857143</v>
          </cell>
          <cell r="V89">
            <v>0.74535714285714283</v>
          </cell>
          <cell r="W89">
            <v>0.81678571428571434</v>
          </cell>
          <cell r="X89">
            <v>0.88821428571428573</v>
          </cell>
          <cell r="Y89">
            <v>0.95964285714285713</v>
          </cell>
          <cell r="Z89">
            <v>1.0310714285714286</v>
          </cell>
          <cell r="AA89">
            <v>1.1025</v>
          </cell>
          <cell r="AB89">
            <v>1.1739285714285714</v>
          </cell>
          <cell r="AC89">
            <v>1.2453571428571428</v>
          </cell>
          <cell r="AD89">
            <v>1.3167857142857142</v>
          </cell>
          <cell r="AE89">
            <v>1.3882142857142856</v>
          </cell>
          <cell r="AF89">
            <v>1.4596428571428572</v>
          </cell>
          <cell r="AG89">
            <v>1.5310714285714286</v>
          </cell>
          <cell r="AH89">
            <v>1.6025</v>
          </cell>
          <cell r="AI89">
            <v>1.6739285714285714</v>
          </cell>
          <cell r="AJ89">
            <v>1.7453571428571428</v>
          </cell>
          <cell r="AK89">
            <v>1.8167857142857142</v>
          </cell>
          <cell r="AL89">
            <v>1.8882142857142856</v>
          </cell>
          <cell r="AM89">
            <v>1.9596428571428572</v>
          </cell>
          <cell r="AN89">
            <v>2.0310714285714284</v>
          </cell>
          <cell r="AO89">
            <v>2.1025</v>
          </cell>
          <cell r="AP89">
            <v>2.1739285714285712</v>
          </cell>
          <cell r="AQ89">
            <v>2.2453571428571428</v>
          </cell>
          <cell r="AR89">
            <v>2.3167857142857144</v>
          </cell>
          <cell r="AS89">
            <v>2.3882142857142856</v>
          </cell>
          <cell r="AT89">
            <v>2.4596428571428572</v>
          </cell>
          <cell r="AU89">
            <v>2.5310714285714284</v>
          </cell>
        </row>
        <row r="91">
          <cell r="C91" t="str">
            <v>Production Quantity with Step Downs</v>
          </cell>
        </row>
        <row r="92">
          <cell r="C92" t="str">
            <v>Delivery Skyline (Assuming Production Step Downs)</v>
          </cell>
          <cell r="G92">
            <v>10</v>
          </cell>
          <cell r="H92">
            <v>17</v>
          </cell>
          <cell r="I92">
            <v>35</v>
          </cell>
          <cell r="J92">
            <v>50</v>
          </cell>
          <cell r="K92">
            <v>75</v>
          </cell>
          <cell r="L92">
            <v>100</v>
          </cell>
          <cell r="M92">
            <v>120</v>
          </cell>
          <cell r="N92">
            <v>140</v>
          </cell>
          <cell r="O92">
            <v>160</v>
          </cell>
          <cell r="P92">
            <v>180</v>
          </cell>
          <cell r="Q92">
            <v>200</v>
          </cell>
          <cell r="R92">
            <v>200</v>
          </cell>
          <cell r="S92">
            <v>200</v>
          </cell>
          <cell r="T92">
            <v>200</v>
          </cell>
          <cell r="U92">
            <v>200</v>
          </cell>
          <cell r="V92">
            <v>200</v>
          </cell>
          <cell r="W92">
            <v>170</v>
          </cell>
          <cell r="X92">
            <v>144.5</v>
          </cell>
          <cell r="Y92">
            <v>122.825</v>
          </cell>
          <cell r="Z92">
            <v>104.40125</v>
          </cell>
          <cell r="AA92">
            <v>88.741062499999998</v>
          </cell>
          <cell r="AB92">
            <v>75.429903124999996</v>
          </cell>
          <cell r="AC92">
            <v>64.115417656249988</v>
          </cell>
          <cell r="AD92">
            <v>54.498105007812491</v>
          </cell>
          <cell r="AE92">
            <v>46.323389256640617</v>
          </cell>
          <cell r="AF92">
            <v>39.374880868144523</v>
          </cell>
          <cell r="AG92">
            <v>39.374880868144523</v>
          </cell>
          <cell r="AH92">
            <v>39.374880868144523</v>
          </cell>
          <cell r="AI92">
            <v>39.374880868144523</v>
          </cell>
          <cell r="AJ92">
            <v>39.374880868144523</v>
          </cell>
          <cell r="AK92">
            <v>39.374880868144523</v>
          </cell>
          <cell r="AL92">
            <v>39.374880868144523</v>
          </cell>
          <cell r="AM92">
            <v>39.374880868144523</v>
          </cell>
          <cell r="AN92">
            <v>39.374880868144523</v>
          </cell>
          <cell r="AO92">
            <v>39.374880868144523</v>
          </cell>
          <cell r="AP92">
            <v>39.374880868144523</v>
          </cell>
          <cell r="AQ92">
            <v>39.374880868144523</v>
          </cell>
          <cell r="AR92">
            <v>39.374880868144523</v>
          </cell>
          <cell r="AS92">
            <v>39.374880868144523</v>
          </cell>
          <cell r="AT92">
            <v>39.374880868144523</v>
          </cell>
          <cell r="AU92">
            <v>39.374880868144523</v>
          </cell>
        </row>
        <row r="93">
          <cell r="C93" t="str">
            <v>Cumulative Deliveries (Assuming Production Step Downs)</v>
          </cell>
          <cell r="G93">
            <v>10</v>
          </cell>
          <cell r="H93">
            <v>27</v>
          </cell>
          <cell r="I93">
            <v>62</v>
          </cell>
          <cell r="J93">
            <v>112</v>
          </cell>
          <cell r="K93">
            <v>187</v>
          </cell>
          <cell r="L93">
            <v>287</v>
          </cell>
          <cell r="M93">
            <v>407</v>
          </cell>
          <cell r="N93">
            <v>547</v>
          </cell>
          <cell r="O93">
            <v>707</v>
          </cell>
          <cell r="P93">
            <v>887</v>
          </cell>
          <cell r="Q93">
            <v>1087</v>
          </cell>
          <cell r="R93">
            <v>1287</v>
          </cell>
          <cell r="S93">
            <v>1487</v>
          </cell>
          <cell r="T93">
            <v>1687</v>
          </cell>
          <cell r="U93">
            <v>1887</v>
          </cell>
          <cell r="V93">
            <v>2087</v>
          </cell>
          <cell r="W93">
            <v>2257</v>
          </cell>
          <cell r="X93">
            <v>2401.5</v>
          </cell>
          <cell r="Y93">
            <v>2524.3249999999998</v>
          </cell>
          <cell r="Z93">
            <v>2628.7262499999997</v>
          </cell>
          <cell r="AA93">
            <v>2717.4673124999999</v>
          </cell>
          <cell r="AB93">
            <v>2792.8972156249997</v>
          </cell>
          <cell r="AC93">
            <v>2857.0126332812497</v>
          </cell>
          <cell r="AD93">
            <v>2911.5107382890624</v>
          </cell>
          <cell r="AE93">
            <v>2957.8341275457028</v>
          </cell>
          <cell r="AF93">
            <v>2997.2090084138472</v>
          </cell>
          <cell r="AG93">
            <v>3036.5838892819916</v>
          </cell>
          <cell r="AH93">
            <v>3075.9587701501359</v>
          </cell>
          <cell r="AI93">
            <v>3115.3336510182803</v>
          </cell>
          <cell r="AJ93">
            <v>3154.7085318864247</v>
          </cell>
          <cell r="AK93">
            <v>3194.0834127545691</v>
          </cell>
          <cell r="AL93">
            <v>3233.4582936227134</v>
          </cell>
          <cell r="AM93">
            <v>3272.8331744908578</v>
          </cell>
          <cell r="AN93">
            <v>3312.2080553590022</v>
          </cell>
          <cell r="AO93">
            <v>3351.5829362271465</v>
          </cell>
          <cell r="AP93">
            <v>3390.9578170952909</v>
          </cell>
          <cell r="AQ93">
            <v>3430.3326979634353</v>
          </cell>
          <cell r="AR93">
            <v>3469.7075788315797</v>
          </cell>
          <cell r="AS93">
            <v>3509.082459699724</v>
          </cell>
          <cell r="AT93">
            <v>3548.4573405678684</v>
          </cell>
          <cell r="AU93">
            <v>3587.8322214360128</v>
          </cell>
        </row>
        <row r="95">
          <cell r="C95" t="str">
            <v>Acutal Delivery Backlog Model - U.S. DoD</v>
          </cell>
        </row>
        <row r="96">
          <cell r="C96" t="str">
            <v>Program of Record Backlog</v>
          </cell>
          <cell r="G96">
            <v>2442.9999999999995</v>
          </cell>
          <cell r="H96">
            <v>2432.9999999999995</v>
          </cell>
          <cell r="I96">
            <v>2415.9999999999995</v>
          </cell>
          <cell r="J96">
            <v>2380.9999999999995</v>
          </cell>
          <cell r="K96">
            <v>2330.9999999999995</v>
          </cell>
          <cell r="L96">
            <v>2255.9999999999995</v>
          </cell>
          <cell r="M96">
            <v>2155.9999999999995</v>
          </cell>
          <cell r="N96">
            <v>2055.9999999999995</v>
          </cell>
          <cell r="O96">
            <v>1955.9999999999995</v>
          </cell>
          <cell r="P96">
            <v>1855.9999999999995</v>
          </cell>
          <cell r="Q96">
            <v>1755.9999999999995</v>
          </cell>
          <cell r="R96">
            <v>1655.9999999999995</v>
          </cell>
          <cell r="S96">
            <v>1555.9999999999995</v>
          </cell>
          <cell r="T96">
            <v>1455.9999999999995</v>
          </cell>
          <cell r="U96">
            <v>1355.9999999999995</v>
          </cell>
          <cell r="V96">
            <v>1255.9999999999995</v>
          </cell>
          <cell r="W96">
            <v>513</v>
          </cell>
          <cell r="X96">
            <v>413</v>
          </cell>
          <cell r="Y96">
            <v>313</v>
          </cell>
          <cell r="Z96">
            <v>213</v>
          </cell>
          <cell r="AA96">
            <v>113</v>
          </cell>
          <cell r="AB96">
            <v>24.258937500000002</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row>
        <row r="97">
          <cell r="C97" t="str">
            <v>Less: Deliveries</v>
          </cell>
          <cell r="G97">
            <v>-10</v>
          </cell>
          <cell r="H97">
            <v>-17</v>
          </cell>
          <cell r="I97">
            <v>-35</v>
          </cell>
          <cell r="J97">
            <v>-50</v>
          </cell>
          <cell r="K97">
            <v>-75</v>
          </cell>
          <cell r="L97">
            <v>-100</v>
          </cell>
          <cell r="M97">
            <v>-100</v>
          </cell>
          <cell r="N97">
            <v>-100</v>
          </cell>
          <cell r="O97">
            <v>-100</v>
          </cell>
          <cell r="P97">
            <v>-100</v>
          </cell>
          <cell r="Q97">
            <v>-100</v>
          </cell>
          <cell r="R97">
            <v>-100</v>
          </cell>
          <cell r="S97">
            <v>-100</v>
          </cell>
          <cell r="T97">
            <v>-100</v>
          </cell>
          <cell r="U97">
            <v>-100</v>
          </cell>
          <cell r="V97">
            <v>-100</v>
          </cell>
          <cell r="W97">
            <v>-100</v>
          </cell>
          <cell r="X97">
            <v>-100</v>
          </cell>
          <cell r="Y97">
            <v>-100</v>
          </cell>
          <cell r="Z97">
            <v>-100</v>
          </cell>
          <cell r="AA97">
            <v>-88.741062499999998</v>
          </cell>
          <cell r="AB97">
            <v>-24.258937500000002</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row>
        <row r="98">
          <cell r="C98" t="str">
            <v>Change to U.S. Program of Record</v>
          </cell>
          <cell r="G98">
            <v>0</v>
          </cell>
          <cell r="H98">
            <v>0</v>
          </cell>
          <cell r="I98">
            <v>0</v>
          </cell>
          <cell r="J98">
            <v>0</v>
          </cell>
          <cell r="K98">
            <v>0</v>
          </cell>
          <cell r="L98">
            <v>0</v>
          </cell>
          <cell r="M98">
            <v>0</v>
          </cell>
          <cell r="N98">
            <v>0</v>
          </cell>
          <cell r="O98">
            <v>0</v>
          </cell>
          <cell r="P98">
            <v>0</v>
          </cell>
          <cell r="Q98">
            <v>0</v>
          </cell>
          <cell r="R98">
            <v>0</v>
          </cell>
          <cell r="S98">
            <v>0</v>
          </cell>
          <cell r="T98">
            <v>0</v>
          </cell>
          <cell r="U98">
            <v>0</v>
          </cell>
          <cell r="V98">
            <v>-642.99999999999955</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row>
        <row r="99">
          <cell r="C99" t="str">
            <v>Ending Backlog</v>
          </cell>
          <cell r="G99">
            <v>2432.9999999999995</v>
          </cell>
          <cell r="H99">
            <v>2415.9999999999995</v>
          </cell>
          <cell r="I99">
            <v>2380.9999999999995</v>
          </cell>
          <cell r="J99">
            <v>2330.9999999999995</v>
          </cell>
          <cell r="K99">
            <v>2255.9999999999995</v>
          </cell>
          <cell r="L99">
            <v>2155.9999999999995</v>
          </cell>
          <cell r="M99">
            <v>2055.9999999999995</v>
          </cell>
          <cell r="N99">
            <v>1955.9999999999995</v>
          </cell>
          <cell r="O99">
            <v>1855.9999999999995</v>
          </cell>
          <cell r="P99">
            <v>1755.9999999999995</v>
          </cell>
          <cell r="Q99">
            <v>1655.9999999999995</v>
          </cell>
          <cell r="R99">
            <v>1555.9999999999995</v>
          </cell>
          <cell r="S99">
            <v>1455.9999999999995</v>
          </cell>
          <cell r="T99">
            <v>1355.9999999999995</v>
          </cell>
          <cell r="U99">
            <v>1255.9999999999995</v>
          </cell>
          <cell r="V99">
            <v>513</v>
          </cell>
          <cell r="W99">
            <v>413</v>
          </cell>
          <cell r="X99">
            <v>313</v>
          </cell>
          <cell r="Y99">
            <v>213</v>
          </cell>
          <cell r="Z99">
            <v>113</v>
          </cell>
          <cell r="AA99">
            <v>24.258937500000002</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row>
        <row r="100">
          <cell r="C100" t="str">
            <v>Cumulative Deliveries (Actual)</v>
          </cell>
          <cell r="G100">
            <v>10</v>
          </cell>
          <cell r="H100">
            <v>27</v>
          </cell>
          <cell r="I100">
            <v>62</v>
          </cell>
          <cell r="J100">
            <v>112</v>
          </cell>
          <cell r="K100">
            <v>187</v>
          </cell>
          <cell r="L100">
            <v>287</v>
          </cell>
          <cell r="M100">
            <v>387</v>
          </cell>
          <cell r="N100">
            <v>487</v>
          </cell>
          <cell r="O100">
            <v>587</v>
          </cell>
          <cell r="P100">
            <v>687</v>
          </cell>
          <cell r="Q100">
            <v>787</v>
          </cell>
          <cell r="R100">
            <v>887</v>
          </cell>
          <cell r="S100">
            <v>987</v>
          </cell>
          <cell r="T100">
            <v>1087</v>
          </cell>
          <cell r="U100">
            <v>1187</v>
          </cell>
          <cell r="V100">
            <v>1287</v>
          </cell>
          <cell r="W100">
            <v>1387</v>
          </cell>
          <cell r="X100">
            <v>1487</v>
          </cell>
          <cell r="Y100">
            <v>1587</v>
          </cell>
          <cell r="Z100">
            <v>1687</v>
          </cell>
          <cell r="AA100">
            <v>1775.7410625</v>
          </cell>
          <cell r="AB100">
            <v>1800</v>
          </cell>
          <cell r="AC100">
            <v>1800</v>
          </cell>
          <cell r="AD100">
            <v>1800</v>
          </cell>
          <cell r="AE100">
            <v>1800</v>
          </cell>
          <cell r="AF100">
            <v>1800</v>
          </cell>
          <cell r="AG100">
            <v>1800</v>
          </cell>
          <cell r="AH100">
            <v>1800</v>
          </cell>
          <cell r="AI100">
            <v>1800</v>
          </cell>
          <cell r="AJ100">
            <v>1800</v>
          </cell>
          <cell r="AK100">
            <v>1800</v>
          </cell>
          <cell r="AL100">
            <v>1800</v>
          </cell>
          <cell r="AM100">
            <v>1800</v>
          </cell>
          <cell r="AN100">
            <v>1800</v>
          </cell>
          <cell r="AO100">
            <v>1800</v>
          </cell>
          <cell r="AP100">
            <v>1800</v>
          </cell>
          <cell r="AQ100">
            <v>1800</v>
          </cell>
          <cell r="AR100">
            <v>1800</v>
          </cell>
          <cell r="AS100">
            <v>1800</v>
          </cell>
          <cell r="AT100">
            <v>1800</v>
          </cell>
          <cell r="AU100">
            <v>1800</v>
          </cell>
        </row>
        <row r="102">
          <cell r="C102" t="str">
            <v>Acutal Delivery Backlog Model</v>
          </cell>
        </row>
        <row r="103">
          <cell r="C103" t="str">
            <v>Beginning Backlog</v>
          </cell>
          <cell r="G103">
            <v>730</v>
          </cell>
          <cell r="H103">
            <v>746.875</v>
          </cell>
          <cell r="I103">
            <v>763.75</v>
          </cell>
          <cell r="J103">
            <v>780.625</v>
          </cell>
          <cell r="K103">
            <v>797.5</v>
          </cell>
          <cell r="L103">
            <v>814.375</v>
          </cell>
          <cell r="M103">
            <v>831.25</v>
          </cell>
          <cell r="N103">
            <v>828.125</v>
          </cell>
          <cell r="O103">
            <v>805</v>
          </cell>
          <cell r="P103">
            <v>761.875</v>
          </cell>
          <cell r="Q103">
            <v>698.75</v>
          </cell>
          <cell r="R103">
            <v>615.625</v>
          </cell>
          <cell r="S103">
            <v>532.5</v>
          </cell>
          <cell r="T103">
            <v>449.375</v>
          </cell>
          <cell r="U103">
            <v>366.25</v>
          </cell>
          <cell r="V103">
            <v>283.125</v>
          </cell>
          <cell r="W103">
            <v>200</v>
          </cell>
          <cell r="X103">
            <v>130</v>
          </cell>
          <cell r="Y103">
            <v>85.5</v>
          </cell>
          <cell r="Z103">
            <v>62.674999999999997</v>
          </cell>
          <cell r="AA103">
            <v>58.273749999999993</v>
          </cell>
          <cell r="AB103">
            <v>58.273749999999993</v>
          </cell>
          <cell r="AC103">
            <v>7.1027843749999988</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row>
        <row r="104">
          <cell r="C104" t="str">
            <v>Less: Deliveries</v>
          </cell>
          <cell r="G104">
            <v>0</v>
          </cell>
          <cell r="H104">
            <v>0</v>
          </cell>
          <cell r="I104">
            <v>0</v>
          </cell>
          <cell r="J104">
            <v>0</v>
          </cell>
          <cell r="K104">
            <v>0</v>
          </cell>
          <cell r="L104">
            <v>0</v>
          </cell>
          <cell r="M104">
            <v>-20</v>
          </cell>
          <cell r="N104">
            <v>-40</v>
          </cell>
          <cell r="O104">
            <v>-60</v>
          </cell>
          <cell r="P104">
            <v>-80</v>
          </cell>
          <cell r="Q104">
            <v>-100</v>
          </cell>
          <cell r="R104">
            <v>-100</v>
          </cell>
          <cell r="S104">
            <v>-100</v>
          </cell>
          <cell r="T104">
            <v>-100</v>
          </cell>
          <cell r="U104">
            <v>-100</v>
          </cell>
          <cell r="V104">
            <v>-100</v>
          </cell>
          <cell r="W104">
            <v>-70</v>
          </cell>
          <cell r="X104">
            <v>-44.5</v>
          </cell>
          <cell r="Y104">
            <v>-22.825000000000003</v>
          </cell>
          <cell r="Z104">
            <v>-4.4012500000000045</v>
          </cell>
          <cell r="AA104">
            <v>0</v>
          </cell>
          <cell r="AB104">
            <v>-51.170965624999994</v>
          </cell>
          <cell r="AC104">
            <v>-7.1027843749999988</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row>
        <row r="105">
          <cell r="C105" t="str">
            <v>Net International Orders (Cancellations)</v>
          </cell>
          <cell r="G105">
            <v>16.875</v>
          </cell>
          <cell r="H105">
            <v>16.875</v>
          </cell>
          <cell r="I105">
            <v>16.875</v>
          </cell>
          <cell r="J105">
            <v>16.875</v>
          </cell>
          <cell r="K105">
            <v>16.875</v>
          </cell>
          <cell r="L105">
            <v>16.875</v>
          </cell>
          <cell r="M105">
            <v>16.875</v>
          </cell>
          <cell r="N105">
            <v>16.875</v>
          </cell>
          <cell r="O105">
            <v>16.875</v>
          </cell>
          <cell r="P105">
            <v>16.875</v>
          </cell>
          <cell r="Q105">
            <v>16.875</v>
          </cell>
          <cell r="R105">
            <v>16.875</v>
          </cell>
          <cell r="S105">
            <v>16.875</v>
          </cell>
          <cell r="T105">
            <v>16.875</v>
          </cell>
          <cell r="U105">
            <v>16.875</v>
          </cell>
          <cell r="V105">
            <v>16.875</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row>
        <row r="106">
          <cell r="C106" t="str">
            <v>Ending Backlog</v>
          </cell>
          <cell r="G106">
            <v>746.875</v>
          </cell>
          <cell r="H106">
            <v>763.75</v>
          </cell>
          <cell r="I106">
            <v>780.625</v>
          </cell>
          <cell r="J106">
            <v>797.5</v>
          </cell>
          <cell r="K106">
            <v>814.375</v>
          </cell>
          <cell r="L106">
            <v>831.25</v>
          </cell>
          <cell r="M106">
            <v>828.125</v>
          </cell>
          <cell r="N106">
            <v>805</v>
          </cell>
          <cell r="O106">
            <v>761.875</v>
          </cell>
          <cell r="P106">
            <v>698.75</v>
          </cell>
          <cell r="Q106">
            <v>615.625</v>
          </cell>
          <cell r="R106">
            <v>532.5</v>
          </cell>
          <cell r="S106">
            <v>449.375</v>
          </cell>
          <cell r="T106">
            <v>366.25</v>
          </cell>
          <cell r="U106">
            <v>283.125</v>
          </cell>
          <cell r="V106">
            <v>200</v>
          </cell>
          <cell r="W106">
            <v>130</v>
          </cell>
          <cell r="X106">
            <v>85.5</v>
          </cell>
          <cell r="Y106">
            <v>62.674999999999997</v>
          </cell>
          <cell r="Z106">
            <v>58.273749999999993</v>
          </cell>
          <cell r="AA106">
            <v>58.273749999999993</v>
          </cell>
          <cell r="AB106">
            <v>7.1027843749999988</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row>
        <row r="107">
          <cell r="C107" t="str">
            <v>Cumulative Deliveries (Actual)</v>
          </cell>
          <cell r="G107">
            <v>0</v>
          </cell>
          <cell r="H107">
            <v>0</v>
          </cell>
          <cell r="I107">
            <v>0</v>
          </cell>
          <cell r="J107">
            <v>0</v>
          </cell>
          <cell r="K107">
            <v>0</v>
          </cell>
          <cell r="L107">
            <v>0</v>
          </cell>
          <cell r="M107">
            <v>20</v>
          </cell>
          <cell r="N107">
            <v>60</v>
          </cell>
          <cell r="O107">
            <v>120</v>
          </cell>
          <cell r="P107">
            <v>200</v>
          </cell>
          <cell r="Q107">
            <v>300</v>
          </cell>
          <cell r="R107">
            <v>400</v>
          </cell>
          <cell r="S107">
            <v>500</v>
          </cell>
          <cell r="T107">
            <v>600</v>
          </cell>
          <cell r="U107">
            <v>700</v>
          </cell>
          <cell r="V107">
            <v>800</v>
          </cell>
          <cell r="W107">
            <v>870</v>
          </cell>
          <cell r="X107">
            <v>914.5</v>
          </cell>
          <cell r="Y107">
            <v>937.32500000000005</v>
          </cell>
          <cell r="Z107">
            <v>941.72625000000005</v>
          </cell>
          <cell r="AA107">
            <v>941.72625000000005</v>
          </cell>
          <cell r="AB107">
            <v>992.89721562500006</v>
          </cell>
          <cell r="AC107">
            <v>1000</v>
          </cell>
          <cell r="AD107">
            <v>1000</v>
          </cell>
          <cell r="AE107">
            <v>1000</v>
          </cell>
          <cell r="AF107">
            <v>1000</v>
          </cell>
          <cell r="AG107">
            <v>1000</v>
          </cell>
          <cell r="AH107">
            <v>1000</v>
          </cell>
          <cell r="AI107">
            <v>1000</v>
          </cell>
          <cell r="AJ107">
            <v>1000</v>
          </cell>
          <cell r="AK107">
            <v>1000</v>
          </cell>
          <cell r="AL107">
            <v>1000</v>
          </cell>
          <cell r="AM107">
            <v>1000</v>
          </cell>
          <cell r="AN107">
            <v>1000</v>
          </cell>
          <cell r="AO107">
            <v>1000</v>
          </cell>
          <cell r="AP107">
            <v>1000</v>
          </cell>
          <cell r="AQ107">
            <v>1000</v>
          </cell>
          <cell r="AR107">
            <v>1000</v>
          </cell>
          <cell r="AS107">
            <v>1000</v>
          </cell>
          <cell r="AT107">
            <v>1000</v>
          </cell>
          <cell r="AU107">
            <v>1000</v>
          </cell>
        </row>
        <row r="109">
          <cell r="C109" t="str">
            <v>Total U.S. and International Deliveries</v>
          </cell>
        </row>
        <row r="110">
          <cell r="C110" t="str">
            <v>U.S. DoD Deliveries</v>
          </cell>
          <cell r="G110">
            <v>10</v>
          </cell>
          <cell r="H110">
            <v>17</v>
          </cell>
          <cell r="I110">
            <v>35</v>
          </cell>
          <cell r="J110">
            <v>50</v>
          </cell>
          <cell r="K110">
            <v>75</v>
          </cell>
          <cell r="L110">
            <v>100</v>
          </cell>
          <cell r="M110">
            <v>100</v>
          </cell>
          <cell r="N110">
            <v>100</v>
          </cell>
          <cell r="O110">
            <v>100</v>
          </cell>
          <cell r="P110">
            <v>100</v>
          </cell>
          <cell r="Q110">
            <v>100</v>
          </cell>
          <cell r="R110">
            <v>100</v>
          </cell>
          <cell r="S110">
            <v>100</v>
          </cell>
          <cell r="T110">
            <v>100</v>
          </cell>
          <cell r="U110">
            <v>100</v>
          </cell>
          <cell r="V110">
            <v>100</v>
          </cell>
          <cell r="W110">
            <v>100</v>
          </cell>
          <cell r="X110">
            <v>100</v>
          </cell>
          <cell r="Y110">
            <v>100</v>
          </cell>
          <cell r="Z110">
            <v>100</v>
          </cell>
          <cell r="AA110">
            <v>88.741062499999998</v>
          </cell>
          <cell r="AB110">
            <v>24.258937500000002</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row>
        <row r="111">
          <cell r="C111" t="str">
            <v>International Deliveries</v>
          </cell>
          <cell r="G111">
            <v>0</v>
          </cell>
          <cell r="H111">
            <v>0</v>
          </cell>
          <cell r="I111">
            <v>0</v>
          </cell>
          <cell r="J111">
            <v>0</v>
          </cell>
          <cell r="K111">
            <v>0</v>
          </cell>
          <cell r="L111">
            <v>0</v>
          </cell>
          <cell r="M111">
            <v>20</v>
          </cell>
          <cell r="N111">
            <v>40</v>
          </cell>
          <cell r="O111">
            <v>60</v>
          </cell>
          <cell r="P111">
            <v>80</v>
          </cell>
          <cell r="Q111">
            <v>100</v>
          </cell>
          <cell r="R111">
            <v>100</v>
          </cell>
          <cell r="S111">
            <v>100</v>
          </cell>
          <cell r="T111">
            <v>100</v>
          </cell>
          <cell r="U111">
            <v>100</v>
          </cell>
          <cell r="V111">
            <v>100</v>
          </cell>
          <cell r="W111">
            <v>70</v>
          </cell>
          <cell r="X111">
            <v>44.5</v>
          </cell>
          <cell r="Y111">
            <v>22.825000000000003</v>
          </cell>
          <cell r="Z111">
            <v>4.4012500000000045</v>
          </cell>
          <cell r="AA111">
            <v>0</v>
          </cell>
          <cell r="AB111">
            <v>51.170965624999994</v>
          </cell>
          <cell r="AC111">
            <v>7.1027843749999988</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row>
        <row r="112">
          <cell r="C112" t="str">
            <v>Total Deliveries</v>
          </cell>
          <cell r="G112">
            <v>10</v>
          </cell>
          <cell r="H112">
            <v>17</v>
          </cell>
          <cell r="I112">
            <v>35</v>
          </cell>
          <cell r="J112">
            <v>50</v>
          </cell>
          <cell r="K112">
            <v>75</v>
          </cell>
          <cell r="L112">
            <v>100</v>
          </cell>
          <cell r="M112">
            <v>120</v>
          </cell>
          <cell r="N112">
            <v>140</v>
          </cell>
          <cell r="O112">
            <v>160</v>
          </cell>
          <cell r="P112">
            <v>180</v>
          </cell>
          <cell r="Q112">
            <v>200</v>
          </cell>
          <cell r="R112">
            <v>200</v>
          </cell>
          <cell r="S112">
            <v>200</v>
          </cell>
          <cell r="T112">
            <v>200</v>
          </cell>
          <cell r="U112">
            <v>200</v>
          </cell>
          <cell r="V112">
            <v>200</v>
          </cell>
          <cell r="W112">
            <v>170</v>
          </cell>
          <cell r="X112">
            <v>144.5</v>
          </cell>
          <cell r="Y112">
            <v>122.825</v>
          </cell>
          <cell r="Z112">
            <v>104.40125</v>
          </cell>
          <cell r="AA112">
            <v>88.741062499999998</v>
          </cell>
          <cell r="AB112">
            <v>75.429903124999996</v>
          </cell>
          <cell r="AC112">
            <v>7.1027843749999988</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row>
        <row r="113">
          <cell r="C113" t="str">
            <v>Cumulative</v>
          </cell>
          <cell r="G113">
            <v>10</v>
          </cell>
          <cell r="H113">
            <v>27</v>
          </cell>
          <cell r="I113">
            <v>62</v>
          </cell>
          <cell r="J113">
            <v>112</v>
          </cell>
          <cell r="K113">
            <v>187</v>
          </cell>
          <cell r="L113">
            <v>287</v>
          </cell>
          <cell r="M113">
            <v>407</v>
          </cell>
          <cell r="N113">
            <v>547</v>
          </cell>
          <cell r="O113">
            <v>707</v>
          </cell>
          <cell r="P113">
            <v>887</v>
          </cell>
          <cell r="Q113">
            <v>1087</v>
          </cell>
          <cell r="R113">
            <v>1287</v>
          </cell>
          <cell r="S113">
            <v>1487</v>
          </cell>
          <cell r="T113">
            <v>1687</v>
          </cell>
          <cell r="U113">
            <v>1887</v>
          </cell>
          <cell r="V113">
            <v>2087</v>
          </cell>
          <cell r="W113">
            <v>2257</v>
          </cell>
          <cell r="X113">
            <v>2401.5</v>
          </cell>
          <cell r="Y113">
            <v>2524.3249999999998</v>
          </cell>
          <cell r="Z113">
            <v>2628.7262500000002</v>
          </cell>
          <cell r="AA113">
            <v>2717.4673124999999</v>
          </cell>
          <cell r="AB113">
            <v>2792.8972156250002</v>
          </cell>
          <cell r="AC113">
            <v>2800</v>
          </cell>
          <cell r="AD113">
            <v>2800</v>
          </cell>
          <cell r="AE113">
            <v>2800</v>
          </cell>
          <cell r="AF113">
            <v>2800</v>
          </cell>
          <cell r="AG113">
            <v>2800</v>
          </cell>
          <cell r="AH113">
            <v>2800</v>
          </cell>
          <cell r="AI113">
            <v>2800</v>
          </cell>
          <cell r="AJ113">
            <v>2800</v>
          </cell>
          <cell r="AK113">
            <v>2800</v>
          </cell>
          <cell r="AL113">
            <v>2800</v>
          </cell>
          <cell r="AM113">
            <v>2800</v>
          </cell>
          <cell r="AN113">
            <v>2800</v>
          </cell>
          <cell r="AO113">
            <v>2800</v>
          </cell>
          <cell r="AP113">
            <v>2800</v>
          </cell>
          <cell r="AQ113">
            <v>2800</v>
          </cell>
          <cell r="AR113">
            <v>2800</v>
          </cell>
          <cell r="AS113">
            <v>2800</v>
          </cell>
          <cell r="AT113">
            <v>2800</v>
          </cell>
          <cell r="AU113">
            <v>2800</v>
          </cell>
        </row>
        <row r="114">
          <cell r="C114" t="str">
            <v>% Total</v>
          </cell>
          <cell r="G114">
            <v>3.5714285714285713E-3</v>
          </cell>
          <cell r="H114">
            <v>9.6428571428571423E-3</v>
          </cell>
          <cell r="I114">
            <v>2.2142857142857141E-2</v>
          </cell>
          <cell r="J114">
            <v>0.04</v>
          </cell>
          <cell r="K114">
            <v>6.6785714285714282E-2</v>
          </cell>
          <cell r="L114">
            <v>0.10249999999999999</v>
          </cell>
          <cell r="M114">
            <v>0.14535714285714285</v>
          </cell>
          <cell r="N114">
            <v>0.19535714285714287</v>
          </cell>
          <cell r="O114">
            <v>0.2525</v>
          </cell>
          <cell r="P114">
            <v>0.31678571428571428</v>
          </cell>
          <cell r="Q114">
            <v>0.38821428571428573</v>
          </cell>
          <cell r="R114">
            <v>0.45964285714285713</v>
          </cell>
          <cell r="S114">
            <v>0.53107142857142853</v>
          </cell>
          <cell r="T114">
            <v>0.60250000000000004</v>
          </cell>
          <cell r="U114">
            <v>0.67392857142857143</v>
          </cell>
          <cell r="V114">
            <v>0.74535714285714283</v>
          </cell>
          <cell r="W114">
            <v>0.80607142857142855</v>
          </cell>
          <cell r="X114">
            <v>0.8576785714285714</v>
          </cell>
          <cell r="Y114">
            <v>0.90154464285714275</v>
          </cell>
          <cell r="Z114">
            <v>0.93883080357142867</v>
          </cell>
          <cell r="AA114">
            <v>0.97052404017857141</v>
          </cell>
          <cell r="AB114">
            <v>0.99746329129464295</v>
          </cell>
          <cell r="AC114">
            <v>1</v>
          </cell>
          <cell r="AD114">
            <v>1</v>
          </cell>
          <cell r="AE114">
            <v>1</v>
          </cell>
          <cell r="AF114">
            <v>1</v>
          </cell>
          <cell r="AG114">
            <v>1</v>
          </cell>
          <cell r="AH114">
            <v>1</v>
          </cell>
          <cell r="AI114">
            <v>1</v>
          </cell>
          <cell r="AJ114">
            <v>1</v>
          </cell>
          <cell r="AK114">
            <v>1</v>
          </cell>
          <cell r="AL114">
            <v>1</v>
          </cell>
          <cell r="AM114">
            <v>1</v>
          </cell>
          <cell r="AN114">
            <v>1</v>
          </cell>
          <cell r="AO114">
            <v>1</v>
          </cell>
          <cell r="AP114">
            <v>1</v>
          </cell>
          <cell r="AQ114">
            <v>1</v>
          </cell>
          <cell r="AR114">
            <v>1</v>
          </cell>
          <cell r="AS114">
            <v>1</v>
          </cell>
          <cell r="AT114">
            <v>1</v>
          </cell>
          <cell r="AU114">
            <v>1</v>
          </cell>
        </row>
        <row r="115">
          <cell r="C115" t="str">
            <v>Final Production Year</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2032</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row>
        <row r="117">
          <cell r="B117" t="str">
            <v>Operating Projections</v>
          </cell>
        </row>
        <row r="119">
          <cell r="C119" t="str">
            <v>Calendar Year</v>
          </cell>
          <cell r="G119">
            <v>2010</v>
          </cell>
          <cell r="H119">
            <v>2011</v>
          </cell>
          <cell r="I119">
            <v>2012</v>
          </cell>
          <cell r="J119">
            <v>2013</v>
          </cell>
          <cell r="K119">
            <v>2014</v>
          </cell>
          <cell r="L119">
            <v>2015</v>
          </cell>
          <cell r="M119">
            <v>2016</v>
          </cell>
          <cell r="N119">
            <v>2017</v>
          </cell>
          <cell r="O119">
            <v>2018</v>
          </cell>
          <cell r="P119">
            <v>2019</v>
          </cell>
          <cell r="Q119">
            <v>2020</v>
          </cell>
          <cell r="R119">
            <v>2021</v>
          </cell>
          <cell r="S119">
            <v>2022</v>
          </cell>
          <cell r="T119">
            <v>2023</v>
          </cell>
          <cell r="U119">
            <v>2024</v>
          </cell>
          <cell r="V119">
            <v>2025</v>
          </cell>
          <cell r="W119">
            <v>2026</v>
          </cell>
          <cell r="X119">
            <v>2027</v>
          </cell>
          <cell r="Y119">
            <v>2028</v>
          </cell>
          <cell r="Z119">
            <v>2029</v>
          </cell>
          <cell r="AA119">
            <v>2030</v>
          </cell>
          <cell r="AB119">
            <v>2031</v>
          </cell>
          <cell r="AC119">
            <v>2032</v>
          </cell>
          <cell r="AD119">
            <v>2033</v>
          </cell>
          <cell r="AE119">
            <v>2034</v>
          </cell>
          <cell r="AF119">
            <v>2035</v>
          </cell>
          <cell r="AG119">
            <v>2036</v>
          </cell>
          <cell r="AH119">
            <v>2037</v>
          </cell>
          <cell r="AI119">
            <v>2038</v>
          </cell>
          <cell r="AJ119">
            <v>2039</v>
          </cell>
          <cell r="AK119">
            <v>2040</v>
          </cell>
          <cell r="AL119">
            <v>2041</v>
          </cell>
          <cell r="AM119">
            <v>2042</v>
          </cell>
          <cell r="AN119">
            <v>2043</v>
          </cell>
          <cell r="AO119">
            <v>2044</v>
          </cell>
          <cell r="AP119">
            <v>2045</v>
          </cell>
          <cell r="AQ119">
            <v>2046</v>
          </cell>
          <cell r="AR119">
            <v>2047</v>
          </cell>
          <cell r="AS119">
            <v>2048</v>
          </cell>
          <cell r="AT119">
            <v>2049</v>
          </cell>
          <cell r="AU119">
            <v>2050</v>
          </cell>
        </row>
        <row r="121">
          <cell r="C121" t="str">
            <v>Development</v>
          </cell>
        </row>
        <row r="122">
          <cell r="C122" t="str">
            <v>Development Revenue</v>
          </cell>
          <cell r="G122">
            <v>1600</v>
          </cell>
          <cell r="H122">
            <v>1500</v>
          </cell>
          <cell r="I122">
            <v>1300</v>
          </cell>
          <cell r="J122">
            <v>1100</v>
          </cell>
          <cell r="K122">
            <v>900</v>
          </cell>
          <cell r="L122">
            <v>500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row>
        <row r="123">
          <cell r="C123" t="str">
            <v>Margin</v>
          </cell>
          <cell r="G123">
            <v>0.03</v>
          </cell>
          <cell r="H123">
            <v>0.03</v>
          </cell>
          <cell r="I123">
            <v>0.03</v>
          </cell>
          <cell r="J123">
            <v>0.03</v>
          </cell>
          <cell r="K123">
            <v>0.03</v>
          </cell>
          <cell r="L123">
            <v>0.03</v>
          </cell>
          <cell r="M123">
            <v>0.03</v>
          </cell>
          <cell r="N123">
            <v>0.03</v>
          </cell>
          <cell r="O123">
            <v>0.03</v>
          </cell>
          <cell r="P123">
            <v>0.03</v>
          </cell>
          <cell r="Q123">
            <v>0.03</v>
          </cell>
          <cell r="R123">
            <v>0.03</v>
          </cell>
          <cell r="S123">
            <v>0.03</v>
          </cell>
          <cell r="T123">
            <v>0.03</v>
          </cell>
          <cell r="U123">
            <v>0.03</v>
          </cell>
          <cell r="V123">
            <v>0.03</v>
          </cell>
          <cell r="W123">
            <v>0.03</v>
          </cell>
          <cell r="X123">
            <v>0.03</v>
          </cell>
          <cell r="Y123">
            <v>0.03</v>
          </cell>
          <cell r="Z123">
            <v>0.03</v>
          </cell>
          <cell r="AA123">
            <v>0.03</v>
          </cell>
          <cell r="AB123">
            <v>0.03</v>
          </cell>
          <cell r="AC123">
            <v>0.03</v>
          </cell>
          <cell r="AD123">
            <v>0.03</v>
          </cell>
          <cell r="AE123">
            <v>0.03</v>
          </cell>
          <cell r="AF123">
            <v>0.03</v>
          </cell>
          <cell r="AG123">
            <v>0.03</v>
          </cell>
          <cell r="AH123">
            <v>0.03</v>
          </cell>
          <cell r="AI123">
            <v>0.03</v>
          </cell>
          <cell r="AJ123">
            <v>0.03</v>
          </cell>
          <cell r="AK123">
            <v>0.03</v>
          </cell>
          <cell r="AL123">
            <v>0.03</v>
          </cell>
          <cell r="AM123">
            <v>0.03</v>
          </cell>
          <cell r="AN123">
            <v>0.03</v>
          </cell>
          <cell r="AO123">
            <v>0.03</v>
          </cell>
          <cell r="AP123">
            <v>0.03</v>
          </cell>
          <cell r="AQ123">
            <v>0.03</v>
          </cell>
          <cell r="AR123">
            <v>0.03</v>
          </cell>
          <cell r="AS123">
            <v>0.03</v>
          </cell>
          <cell r="AT123">
            <v>0.03</v>
          </cell>
          <cell r="AU123">
            <v>0.03</v>
          </cell>
        </row>
        <row r="124">
          <cell r="C124" t="str">
            <v>Development EBIT</v>
          </cell>
          <cell r="G124">
            <v>48</v>
          </cell>
          <cell r="H124">
            <v>45</v>
          </cell>
          <cell r="I124">
            <v>39</v>
          </cell>
          <cell r="J124">
            <v>33</v>
          </cell>
          <cell r="K124">
            <v>27</v>
          </cell>
          <cell r="L124">
            <v>15</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row>
        <row r="126">
          <cell r="C126" t="str">
            <v>U.S. DoD Production</v>
          </cell>
        </row>
        <row r="127">
          <cell r="C127" t="str">
            <v>Deliveries</v>
          </cell>
          <cell r="G127">
            <v>10</v>
          </cell>
          <cell r="H127">
            <v>17</v>
          </cell>
          <cell r="I127">
            <v>35</v>
          </cell>
          <cell r="J127">
            <v>50</v>
          </cell>
          <cell r="K127">
            <v>75</v>
          </cell>
          <cell r="L127">
            <v>100</v>
          </cell>
          <cell r="M127">
            <v>100</v>
          </cell>
          <cell r="N127">
            <v>100</v>
          </cell>
          <cell r="O127">
            <v>100</v>
          </cell>
          <cell r="P127">
            <v>100</v>
          </cell>
          <cell r="Q127">
            <v>100</v>
          </cell>
          <cell r="R127">
            <v>100</v>
          </cell>
          <cell r="S127">
            <v>100</v>
          </cell>
          <cell r="T127">
            <v>100</v>
          </cell>
          <cell r="U127">
            <v>100</v>
          </cell>
          <cell r="V127">
            <v>100</v>
          </cell>
          <cell r="W127">
            <v>100</v>
          </cell>
          <cell r="X127">
            <v>100</v>
          </cell>
          <cell r="Y127">
            <v>100</v>
          </cell>
          <cell r="Z127">
            <v>100</v>
          </cell>
          <cell r="AA127">
            <v>88.741062499999998</v>
          </cell>
          <cell r="AB127">
            <v>24.258937500000002</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row>
        <row r="128">
          <cell r="C128" t="str">
            <v>ASP ($MM)</v>
          </cell>
          <cell r="G128" t="str">
            <v xml:space="preserve">NM </v>
          </cell>
          <cell r="H128" t="str">
            <v xml:space="preserve">NM </v>
          </cell>
          <cell r="I128">
            <v>171.42857142857142</v>
          </cell>
          <cell r="J128">
            <v>140</v>
          </cell>
          <cell r="K128">
            <v>106.66666666666667</v>
          </cell>
          <cell r="L128">
            <v>90</v>
          </cell>
          <cell r="M128">
            <v>92.249999999999986</v>
          </cell>
          <cell r="N128">
            <v>94.556249999999977</v>
          </cell>
          <cell r="O128">
            <v>96.920156249999962</v>
          </cell>
          <cell r="P128">
            <v>99.343160156249951</v>
          </cell>
          <cell r="Q128">
            <v>101.82673916015619</v>
          </cell>
          <cell r="R128">
            <v>104.37240763916009</v>
          </cell>
          <cell r="S128">
            <v>106.98171783013908</v>
          </cell>
          <cell r="T128">
            <v>109.65626077589255</v>
          </cell>
          <cell r="U128">
            <v>112.39766729528985</v>
          </cell>
          <cell r="V128">
            <v>115.20760897767208</v>
          </cell>
          <cell r="W128">
            <v>118.08779920211387</v>
          </cell>
          <cell r="X128">
            <v>121.03999418216671</v>
          </cell>
          <cell r="Y128">
            <v>124.06599403672087</v>
          </cell>
          <cell r="Z128">
            <v>127.16764388763887</v>
          </cell>
          <cell r="AA128">
            <v>130.34683498482983</v>
          </cell>
          <cell r="AB128">
            <v>133.60550585945057</v>
          </cell>
          <cell r="AC128">
            <v>136.94564350593683</v>
          </cell>
          <cell r="AD128">
            <v>140.36928459358523</v>
          </cell>
          <cell r="AE128">
            <v>143.87851670842485</v>
          </cell>
          <cell r="AF128">
            <v>147.47547962613547</v>
          </cell>
          <cell r="AG128">
            <v>151.16236661678883</v>
          </cell>
          <cell r="AH128">
            <v>154.94142578220854</v>
          </cell>
          <cell r="AI128">
            <v>158.81496142676374</v>
          </cell>
          <cell r="AJ128">
            <v>162.78533546243281</v>
          </cell>
          <cell r="AK128">
            <v>166.85496884899362</v>
          </cell>
          <cell r="AL128">
            <v>171.02634307021845</v>
          </cell>
          <cell r="AM128">
            <v>175.30200164697388</v>
          </cell>
          <cell r="AN128">
            <v>179.68455168814822</v>
          </cell>
          <cell r="AO128">
            <v>184.17666548035191</v>
          </cell>
          <cell r="AP128">
            <v>188.78108211736068</v>
          </cell>
          <cell r="AQ128">
            <v>193.50060917029469</v>
          </cell>
          <cell r="AR128">
            <v>198.33812439955204</v>
          </cell>
          <cell r="AS128">
            <v>203.29657750954084</v>
          </cell>
          <cell r="AT128">
            <v>208.37899194727933</v>
          </cell>
          <cell r="AU128">
            <v>213.58846674596128</v>
          </cell>
        </row>
        <row r="129">
          <cell r="C129" t="str">
            <v>U.S. DoD Production Revenue</v>
          </cell>
          <cell r="G129">
            <v>3850</v>
          </cell>
          <cell r="H129">
            <v>5000</v>
          </cell>
          <cell r="I129">
            <v>6000</v>
          </cell>
          <cell r="J129">
            <v>7000</v>
          </cell>
          <cell r="K129">
            <v>8000</v>
          </cell>
          <cell r="L129">
            <v>9000</v>
          </cell>
          <cell r="M129">
            <v>9224.9999999999982</v>
          </cell>
          <cell r="N129">
            <v>9455.6249999999982</v>
          </cell>
          <cell r="O129">
            <v>9692.0156249999964</v>
          </cell>
          <cell r="P129">
            <v>9934.3160156249942</v>
          </cell>
          <cell r="Q129">
            <v>10182.673916015619</v>
          </cell>
          <cell r="R129">
            <v>10437.240763916008</v>
          </cell>
          <cell r="S129">
            <v>10698.171783013908</v>
          </cell>
          <cell r="T129">
            <v>10965.626077589255</v>
          </cell>
          <cell r="U129">
            <v>11239.766729528985</v>
          </cell>
          <cell r="V129">
            <v>11520.760897767208</v>
          </cell>
          <cell r="W129">
            <v>11808.779920211387</v>
          </cell>
          <cell r="X129">
            <v>12103.99941821667</v>
          </cell>
          <cell r="Y129">
            <v>12406.599403672086</v>
          </cell>
          <cell r="Z129">
            <v>12716.764388763888</v>
          </cell>
          <cell r="AA129">
            <v>11567.11663006597</v>
          </cell>
          <cell r="AB129">
            <v>3241.1276163002954</v>
          </cell>
          <cell r="AC129">
            <v>0</v>
          </cell>
          <cell r="AD129">
            <v>0</v>
          </cell>
          <cell r="AE129">
            <v>0</v>
          </cell>
          <cell r="AF129">
            <v>0</v>
          </cell>
          <cell r="AG129">
            <v>0</v>
          </cell>
          <cell r="AH129">
            <v>0</v>
          </cell>
          <cell r="AI129">
            <v>0</v>
          </cell>
          <cell r="AJ129">
            <v>0</v>
          </cell>
          <cell r="AK129">
            <v>0</v>
          </cell>
          <cell r="AL129">
            <v>0</v>
          </cell>
          <cell r="AM129">
            <v>0</v>
          </cell>
          <cell r="AN129">
            <v>0</v>
          </cell>
          <cell r="AO129">
            <v>0</v>
          </cell>
          <cell r="AP129">
            <v>0</v>
          </cell>
          <cell r="AQ129">
            <v>0</v>
          </cell>
          <cell r="AR129">
            <v>0</v>
          </cell>
          <cell r="AS129">
            <v>0</v>
          </cell>
          <cell r="AT129">
            <v>0</v>
          </cell>
          <cell r="AU129">
            <v>0</v>
          </cell>
        </row>
        <row r="130">
          <cell r="C130" t="str">
            <v>Margin</v>
          </cell>
          <cell r="G130">
            <v>0.06</v>
          </cell>
          <cell r="H130">
            <v>6.6000000000000003E-2</v>
          </cell>
          <cell r="I130">
            <v>7.2000000000000008E-2</v>
          </cell>
          <cell r="J130">
            <v>7.8000000000000014E-2</v>
          </cell>
          <cell r="K130">
            <v>8.4000000000000019E-2</v>
          </cell>
          <cell r="L130">
            <v>0.09</v>
          </cell>
          <cell r="M130">
            <v>9.6000000000000002E-2</v>
          </cell>
          <cell r="N130">
            <v>0.10200000000000001</v>
          </cell>
          <cell r="O130">
            <v>0.10800000000000001</v>
          </cell>
          <cell r="P130">
            <v>0.11400000000000002</v>
          </cell>
          <cell r="Q130">
            <v>0.12</v>
          </cell>
          <cell r="R130">
            <v>0.12</v>
          </cell>
          <cell r="S130">
            <v>0.12</v>
          </cell>
          <cell r="T130">
            <v>0.12</v>
          </cell>
          <cell r="U130">
            <v>0.12</v>
          </cell>
          <cell r="V130">
            <v>0.12</v>
          </cell>
          <cell r="W130">
            <v>0.12</v>
          </cell>
          <cell r="X130">
            <v>0.12</v>
          </cell>
          <cell r="Y130">
            <v>0.12</v>
          </cell>
          <cell r="Z130">
            <v>0.12</v>
          </cell>
          <cell r="AA130">
            <v>0.12</v>
          </cell>
          <cell r="AB130">
            <v>0.12</v>
          </cell>
          <cell r="AC130">
            <v>0.12</v>
          </cell>
          <cell r="AD130">
            <v>0.12</v>
          </cell>
          <cell r="AE130">
            <v>0.12</v>
          </cell>
          <cell r="AF130">
            <v>0.12</v>
          </cell>
          <cell r="AG130">
            <v>0.12</v>
          </cell>
          <cell r="AH130">
            <v>0.12</v>
          </cell>
          <cell r="AI130">
            <v>0.12</v>
          </cell>
          <cell r="AJ130">
            <v>0.12</v>
          </cell>
          <cell r="AK130">
            <v>0.12</v>
          </cell>
          <cell r="AL130">
            <v>0.12</v>
          </cell>
          <cell r="AM130">
            <v>0.12</v>
          </cell>
          <cell r="AN130">
            <v>0.12</v>
          </cell>
          <cell r="AO130">
            <v>0.12</v>
          </cell>
          <cell r="AP130">
            <v>0.12</v>
          </cell>
          <cell r="AQ130">
            <v>0.12</v>
          </cell>
          <cell r="AR130">
            <v>0.12</v>
          </cell>
          <cell r="AS130">
            <v>0.12</v>
          </cell>
          <cell r="AT130">
            <v>0.12</v>
          </cell>
          <cell r="AU130">
            <v>0.12</v>
          </cell>
        </row>
        <row r="131">
          <cell r="C131" t="str">
            <v>U.S. DoD Production EBIT</v>
          </cell>
          <cell r="G131">
            <v>231</v>
          </cell>
          <cell r="H131">
            <v>330</v>
          </cell>
          <cell r="I131">
            <v>432.00000000000006</v>
          </cell>
          <cell r="J131">
            <v>546.00000000000011</v>
          </cell>
          <cell r="K131">
            <v>672.00000000000011</v>
          </cell>
          <cell r="L131">
            <v>810</v>
          </cell>
          <cell r="M131">
            <v>885.5999999999998</v>
          </cell>
          <cell r="N131">
            <v>964.47374999999988</v>
          </cell>
          <cell r="O131">
            <v>1046.7376874999998</v>
          </cell>
          <cell r="P131">
            <v>1132.5120257812496</v>
          </cell>
          <cell r="Q131">
            <v>1221.9208699218743</v>
          </cell>
          <cell r="R131">
            <v>1252.468891669921</v>
          </cell>
          <cell r="S131">
            <v>1283.7806139616689</v>
          </cell>
          <cell r="T131">
            <v>1315.8751293107105</v>
          </cell>
          <cell r="U131">
            <v>1348.7720075434781</v>
          </cell>
          <cell r="V131">
            <v>1382.4913077320648</v>
          </cell>
          <cell r="W131">
            <v>1417.0535904253663</v>
          </cell>
          <cell r="X131">
            <v>1452.4799301860003</v>
          </cell>
          <cell r="Y131">
            <v>1488.7919284406503</v>
          </cell>
          <cell r="Z131">
            <v>1526.0117266516665</v>
          </cell>
          <cell r="AA131">
            <v>1388.0539956079162</v>
          </cell>
          <cell r="AB131">
            <v>388.93531395603543</v>
          </cell>
          <cell r="AC131">
            <v>0</v>
          </cell>
          <cell r="AD131">
            <v>0</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row>
        <row r="133">
          <cell r="C133" t="str">
            <v>International Production</v>
          </cell>
        </row>
        <row r="134">
          <cell r="C134" t="str">
            <v>Deliveries</v>
          </cell>
          <cell r="G134">
            <v>0</v>
          </cell>
          <cell r="H134">
            <v>0</v>
          </cell>
          <cell r="I134">
            <v>0</v>
          </cell>
          <cell r="J134">
            <v>0</v>
          </cell>
          <cell r="K134">
            <v>0</v>
          </cell>
          <cell r="L134">
            <v>0</v>
          </cell>
          <cell r="M134">
            <v>20</v>
          </cell>
          <cell r="N134">
            <v>40</v>
          </cell>
          <cell r="O134">
            <v>60</v>
          </cell>
          <cell r="P134">
            <v>80</v>
          </cell>
          <cell r="Q134">
            <v>100</v>
          </cell>
          <cell r="R134">
            <v>100</v>
          </cell>
          <cell r="S134">
            <v>100</v>
          </cell>
          <cell r="T134">
            <v>100</v>
          </cell>
          <cell r="U134">
            <v>100</v>
          </cell>
          <cell r="V134">
            <v>100</v>
          </cell>
          <cell r="W134">
            <v>70</v>
          </cell>
          <cell r="X134">
            <v>44.5</v>
          </cell>
          <cell r="Y134">
            <v>22.825000000000003</v>
          </cell>
          <cell r="Z134">
            <v>4.4012500000000045</v>
          </cell>
          <cell r="AA134">
            <v>0</v>
          </cell>
          <cell r="AB134">
            <v>51.170965624999994</v>
          </cell>
          <cell r="AC134">
            <v>7.1027843749999988</v>
          </cell>
          <cell r="AD134">
            <v>0</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row>
        <row r="135">
          <cell r="C135" t="str">
            <v>ASP ($MM)</v>
          </cell>
          <cell r="L135">
            <v>94.5</v>
          </cell>
          <cell r="M135">
            <v>96.862499999999997</v>
          </cell>
          <cell r="N135">
            <v>99.28406249999999</v>
          </cell>
          <cell r="O135">
            <v>101.76616406249998</v>
          </cell>
          <cell r="P135">
            <v>104.31031816406247</v>
          </cell>
          <cell r="Q135">
            <v>106.91807611816402</v>
          </cell>
          <cell r="R135">
            <v>109.59102802111812</v>
          </cell>
          <cell r="S135">
            <v>112.33080372164606</v>
          </cell>
          <cell r="T135">
            <v>115.13907381468721</v>
          </cell>
          <cell r="U135">
            <v>118.01755066005438</v>
          </cell>
          <cell r="V135">
            <v>120.96798942655573</v>
          </cell>
          <cell r="W135">
            <v>123.99218916221962</v>
          </cell>
          <cell r="X135">
            <v>127.0919938912751</v>
          </cell>
          <cell r="Y135">
            <v>130.26929373855697</v>
          </cell>
          <cell r="Z135">
            <v>133.52602608202088</v>
          </cell>
          <cell r="AA135">
            <v>136.86417673407138</v>
          </cell>
          <cell r="AB135">
            <v>140.28578115242314</v>
          </cell>
          <cell r="AC135">
            <v>143.7929256812337</v>
          </cell>
          <cell r="AD135">
            <v>147.38774882326453</v>
          </cell>
          <cell r="AE135">
            <v>151.07244254384614</v>
          </cell>
          <cell r="AF135">
            <v>154.84925360744228</v>
          </cell>
          <cell r="AG135">
            <v>158.72048494762834</v>
          </cell>
          <cell r="AH135">
            <v>162.68849707131903</v>
          </cell>
          <cell r="AI135">
            <v>166.75570949810199</v>
          </cell>
          <cell r="AJ135">
            <v>170.92460223555452</v>
          </cell>
          <cell r="AK135">
            <v>175.19771729144335</v>
          </cell>
          <cell r="AL135">
            <v>179.57766022372942</v>
          </cell>
          <cell r="AM135">
            <v>184.06710172932264</v>
          </cell>
          <cell r="AN135">
            <v>188.6687792725557</v>
          </cell>
          <cell r="AO135">
            <v>193.38549875436956</v>
          </cell>
          <cell r="AP135">
            <v>198.22013622322879</v>
          </cell>
          <cell r="AQ135">
            <v>203.17563962880951</v>
          </cell>
          <cell r="AR135">
            <v>208.25503061952972</v>
          </cell>
          <cell r="AS135">
            <v>213.46140638501794</v>
          </cell>
          <cell r="AT135">
            <v>218.79794154464338</v>
          </cell>
          <cell r="AU135">
            <v>224.26789008325943</v>
          </cell>
        </row>
        <row r="136">
          <cell r="C136" t="str">
            <v>International Production Revenue</v>
          </cell>
          <cell r="G136">
            <v>0</v>
          </cell>
          <cell r="H136">
            <v>0</v>
          </cell>
          <cell r="I136">
            <v>0</v>
          </cell>
          <cell r="J136">
            <v>0</v>
          </cell>
          <cell r="K136">
            <v>0</v>
          </cell>
          <cell r="L136">
            <v>0</v>
          </cell>
          <cell r="M136">
            <v>1937.25</v>
          </cell>
          <cell r="N136">
            <v>3971.3624999999997</v>
          </cell>
          <cell r="O136">
            <v>6105.9698437499992</v>
          </cell>
          <cell r="P136">
            <v>8344.8254531249968</v>
          </cell>
          <cell r="Q136">
            <v>10691.807611816403</v>
          </cell>
          <cell r="R136">
            <v>10959.102802111813</v>
          </cell>
          <cell r="S136">
            <v>11233.080372164606</v>
          </cell>
          <cell r="T136">
            <v>11513.907381468722</v>
          </cell>
          <cell r="U136">
            <v>11801.755066005438</v>
          </cell>
          <cell r="V136">
            <v>12096.798942655572</v>
          </cell>
          <cell r="W136">
            <v>8679.4532413553734</v>
          </cell>
          <cell r="X136">
            <v>5655.5937281617416</v>
          </cell>
          <cell r="Y136">
            <v>2973.396629582563</v>
          </cell>
          <cell r="Z136">
            <v>587.68142229349496</v>
          </cell>
          <cell r="AA136">
            <v>0</v>
          </cell>
          <cell r="AB136">
            <v>7178.5588850269169</v>
          </cell>
          <cell r="AC136">
            <v>1021.3301457642027</v>
          </cell>
          <cell r="AD136">
            <v>0</v>
          </cell>
          <cell r="AE136">
            <v>0</v>
          </cell>
          <cell r="AF136">
            <v>0</v>
          </cell>
          <cell r="AG136">
            <v>0</v>
          </cell>
          <cell r="AH136">
            <v>0</v>
          </cell>
          <cell r="AI136">
            <v>0</v>
          </cell>
          <cell r="AJ136">
            <v>0</v>
          </cell>
          <cell r="AK136">
            <v>0</v>
          </cell>
          <cell r="AL136">
            <v>0</v>
          </cell>
          <cell r="AM136">
            <v>0</v>
          </cell>
          <cell r="AN136">
            <v>0</v>
          </cell>
          <cell r="AO136">
            <v>0</v>
          </cell>
          <cell r="AP136">
            <v>0</v>
          </cell>
          <cell r="AQ136">
            <v>0</v>
          </cell>
          <cell r="AR136">
            <v>0</v>
          </cell>
          <cell r="AS136">
            <v>0</v>
          </cell>
          <cell r="AT136">
            <v>0</v>
          </cell>
          <cell r="AU136">
            <v>0</v>
          </cell>
        </row>
        <row r="137">
          <cell r="C137" t="str">
            <v>Margin</v>
          </cell>
          <cell r="G137">
            <v>0</v>
          </cell>
          <cell r="H137">
            <v>0</v>
          </cell>
          <cell r="I137">
            <v>0</v>
          </cell>
          <cell r="J137">
            <v>0</v>
          </cell>
          <cell r="K137">
            <v>0</v>
          </cell>
          <cell r="L137">
            <v>9.9999999999999992E-2</v>
          </cell>
          <cell r="M137">
            <v>0.106</v>
          </cell>
          <cell r="N137">
            <v>0.112</v>
          </cell>
          <cell r="O137">
            <v>0.11800000000000001</v>
          </cell>
          <cell r="P137">
            <v>0.12400000000000001</v>
          </cell>
          <cell r="Q137">
            <v>0.13</v>
          </cell>
          <cell r="R137">
            <v>0.13</v>
          </cell>
          <cell r="S137">
            <v>0.13</v>
          </cell>
          <cell r="T137">
            <v>0.13</v>
          </cell>
          <cell r="U137">
            <v>0.13</v>
          </cell>
          <cell r="V137">
            <v>0.13</v>
          </cell>
          <cell r="W137">
            <v>0.13</v>
          </cell>
          <cell r="X137">
            <v>0.13</v>
          </cell>
          <cell r="Y137">
            <v>0.13</v>
          </cell>
          <cell r="Z137">
            <v>0.13</v>
          </cell>
          <cell r="AA137">
            <v>0.13</v>
          </cell>
          <cell r="AB137">
            <v>0.13</v>
          </cell>
          <cell r="AC137">
            <v>0.13</v>
          </cell>
          <cell r="AD137">
            <v>0.13</v>
          </cell>
          <cell r="AE137">
            <v>0.13</v>
          </cell>
          <cell r="AF137">
            <v>0.13</v>
          </cell>
          <cell r="AG137">
            <v>0.13</v>
          </cell>
          <cell r="AH137">
            <v>0.13</v>
          </cell>
          <cell r="AI137">
            <v>0.13</v>
          </cell>
          <cell r="AJ137">
            <v>0.13</v>
          </cell>
          <cell r="AK137">
            <v>0.13</v>
          </cell>
          <cell r="AL137">
            <v>0.13</v>
          </cell>
          <cell r="AM137">
            <v>0.13</v>
          </cell>
          <cell r="AN137">
            <v>0.13</v>
          </cell>
          <cell r="AO137">
            <v>0.13</v>
          </cell>
          <cell r="AP137">
            <v>0.13</v>
          </cell>
          <cell r="AQ137">
            <v>0.13</v>
          </cell>
          <cell r="AR137">
            <v>0.13</v>
          </cell>
          <cell r="AS137">
            <v>0.13</v>
          </cell>
          <cell r="AT137">
            <v>0.13</v>
          </cell>
          <cell r="AU137">
            <v>0.13</v>
          </cell>
        </row>
        <row r="138">
          <cell r="C138" t="str">
            <v>International Production EBIT</v>
          </cell>
          <cell r="G138">
            <v>0</v>
          </cell>
          <cell r="H138">
            <v>0</v>
          </cell>
          <cell r="I138">
            <v>0</v>
          </cell>
          <cell r="J138">
            <v>0</v>
          </cell>
          <cell r="K138">
            <v>0</v>
          </cell>
          <cell r="L138">
            <v>0</v>
          </cell>
          <cell r="M138">
            <v>205.3485</v>
          </cell>
          <cell r="N138">
            <v>444.79259999999999</v>
          </cell>
          <cell r="O138">
            <v>720.50444156250001</v>
          </cell>
          <cell r="P138">
            <v>1034.7583561874997</v>
          </cell>
          <cell r="Q138">
            <v>1389.9349895361324</v>
          </cell>
          <cell r="R138">
            <v>1424.6833642745357</v>
          </cell>
          <cell r="S138">
            <v>1460.3004483813988</v>
          </cell>
          <cell r="T138">
            <v>1496.8079595909339</v>
          </cell>
          <cell r="U138">
            <v>1534.228158580707</v>
          </cell>
          <cell r="V138">
            <v>1572.5838625452245</v>
          </cell>
          <cell r="W138">
            <v>1128.3289213761987</v>
          </cell>
          <cell r="X138">
            <v>735.2271846610264</v>
          </cell>
          <cell r="Y138">
            <v>386.54156184573321</v>
          </cell>
          <cell r="Z138">
            <v>76.398584898154354</v>
          </cell>
          <cell r="AA138">
            <v>0</v>
          </cell>
          <cell r="AB138">
            <v>933.21265505349925</v>
          </cell>
          <cell r="AC138">
            <v>132.77291894934635</v>
          </cell>
          <cell r="AD138">
            <v>0</v>
          </cell>
          <cell r="AE138">
            <v>0</v>
          </cell>
          <cell r="AF138">
            <v>0</v>
          </cell>
          <cell r="AG138">
            <v>0</v>
          </cell>
          <cell r="AH138">
            <v>0</v>
          </cell>
          <cell r="AI138">
            <v>0</v>
          </cell>
          <cell r="AJ138">
            <v>0</v>
          </cell>
          <cell r="AK138">
            <v>0</v>
          </cell>
          <cell r="AL138">
            <v>0</v>
          </cell>
          <cell r="AM138">
            <v>0</v>
          </cell>
          <cell r="AN138">
            <v>0</v>
          </cell>
          <cell r="AO138">
            <v>0</v>
          </cell>
          <cell r="AP138">
            <v>0</v>
          </cell>
          <cell r="AQ138">
            <v>0</v>
          </cell>
          <cell r="AR138">
            <v>0</v>
          </cell>
          <cell r="AS138">
            <v>0</v>
          </cell>
          <cell r="AT138">
            <v>0</v>
          </cell>
          <cell r="AU138">
            <v>0</v>
          </cell>
        </row>
        <row r="140">
          <cell r="C140" t="str">
            <v>Spares and Sustainment</v>
          </cell>
        </row>
        <row r="141">
          <cell r="C141" t="str">
            <v>Cumulative Deliveries</v>
          </cell>
          <cell r="G141">
            <v>10</v>
          </cell>
          <cell r="H141">
            <v>27</v>
          </cell>
          <cell r="I141">
            <v>62</v>
          </cell>
          <cell r="J141">
            <v>112</v>
          </cell>
          <cell r="K141">
            <v>187</v>
          </cell>
          <cell r="L141">
            <v>287</v>
          </cell>
          <cell r="M141">
            <v>407</v>
          </cell>
          <cell r="N141">
            <v>547</v>
          </cell>
          <cell r="O141">
            <v>707</v>
          </cell>
          <cell r="P141">
            <v>887</v>
          </cell>
          <cell r="Q141">
            <v>1087</v>
          </cell>
          <cell r="R141">
            <v>1287</v>
          </cell>
          <cell r="S141">
            <v>1487</v>
          </cell>
          <cell r="T141">
            <v>1687</v>
          </cell>
          <cell r="U141">
            <v>1887</v>
          </cell>
          <cell r="V141">
            <v>2087</v>
          </cell>
          <cell r="W141">
            <v>2257</v>
          </cell>
          <cell r="X141">
            <v>2401.5</v>
          </cell>
          <cell r="Y141">
            <v>2524.3249999999998</v>
          </cell>
          <cell r="Z141">
            <v>2628.7262500000002</v>
          </cell>
          <cell r="AA141">
            <v>2717.4673124999999</v>
          </cell>
          <cell r="AB141">
            <v>2792.8972156250002</v>
          </cell>
          <cell r="AC141">
            <v>2800</v>
          </cell>
          <cell r="AD141">
            <v>2800</v>
          </cell>
          <cell r="AE141">
            <v>2800</v>
          </cell>
          <cell r="AF141">
            <v>2800</v>
          </cell>
          <cell r="AG141">
            <v>2800</v>
          </cell>
          <cell r="AH141">
            <v>2800</v>
          </cell>
          <cell r="AI141">
            <v>2800</v>
          </cell>
          <cell r="AJ141">
            <v>2800</v>
          </cell>
          <cell r="AK141">
            <v>2800</v>
          </cell>
          <cell r="AL141">
            <v>2800</v>
          </cell>
          <cell r="AM141">
            <v>2800</v>
          </cell>
          <cell r="AN141">
            <v>2800</v>
          </cell>
          <cell r="AO141">
            <v>2800</v>
          </cell>
          <cell r="AP141">
            <v>2800</v>
          </cell>
          <cell r="AQ141">
            <v>2800</v>
          </cell>
          <cell r="AR141">
            <v>2800</v>
          </cell>
          <cell r="AS141">
            <v>2800</v>
          </cell>
          <cell r="AT141">
            <v>2800</v>
          </cell>
          <cell r="AU141">
            <v>2800</v>
          </cell>
        </row>
        <row r="142">
          <cell r="C142" t="str">
            <v>Planes Retired After 20 Years</v>
          </cell>
          <cell r="AA142">
            <v>-10</v>
          </cell>
          <cell r="AB142">
            <v>-27</v>
          </cell>
          <cell r="AC142">
            <v>-62</v>
          </cell>
          <cell r="AD142">
            <v>-112</v>
          </cell>
          <cell r="AE142">
            <v>-187</v>
          </cell>
          <cell r="AF142">
            <v>-287</v>
          </cell>
          <cell r="AG142">
            <v>-407</v>
          </cell>
          <cell r="AH142">
            <v>-547</v>
          </cell>
          <cell r="AI142">
            <v>-707</v>
          </cell>
          <cell r="AJ142">
            <v>-887</v>
          </cell>
          <cell r="AK142">
            <v>-1087</v>
          </cell>
          <cell r="AL142">
            <v>-1287</v>
          </cell>
          <cell r="AM142">
            <v>-1487</v>
          </cell>
          <cell r="AN142">
            <v>-1687</v>
          </cell>
          <cell r="AO142">
            <v>-1887</v>
          </cell>
          <cell r="AP142">
            <v>-2087</v>
          </cell>
          <cell r="AQ142">
            <v>-2257</v>
          </cell>
          <cell r="AR142">
            <v>-2401.5</v>
          </cell>
          <cell r="AS142">
            <v>-2524.3249999999998</v>
          </cell>
          <cell r="AT142">
            <v>-2628.7262500000002</v>
          </cell>
          <cell r="AU142">
            <v>-2717.4673124999999</v>
          </cell>
        </row>
        <row r="143">
          <cell r="C143" t="str">
            <v>Active Installed Base</v>
          </cell>
          <cell r="G143">
            <v>10</v>
          </cell>
          <cell r="H143">
            <v>27</v>
          </cell>
          <cell r="I143">
            <v>62</v>
          </cell>
          <cell r="J143">
            <v>112</v>
          </cell>
          <cell r="K143">
            <v>187</v>
          </cell>
          <cell r="L143">
            <v>287</v>
          </cell>
          <cell r="M143">
            <v>407</v>
          </cell>
          <cell r="N143">
            <v>547</v>
          </cell>
          <cell r="O143">
            <v>707</v>
          </cell>
          <cell r="P143">
            <v>887</v>
          </cell>
          <cell r="Q143">
            <v>1087</v>
          </cell>
          <cell r="R143">
            <v>1287</v>
          </cell>
          <cell r="S143">
            <v>1487</v>
          </cell>
          <cell r="T143">
            <v>1687</v>
          </cell>
          <cell r="U143">
            <v>1887</v>
          </cell>
          <cell r="V143">
            <v>2087</v>
          </cell>
          <cell r="W143">
            <v>2257</v>
          </cell>
          <cell r="X143">
            <v>2401.5</v>
          </cell>
          <cell r="Y143">
            <v>2524.3249999999998</v>
          </cell>
          <cell r="Z143">
            <v>2628.7262500000002</v>
          </cell>
          <cell r="AA143">
            <v>2707.4673124999999</v>
          </cell>
          <cell r="AB143">
            <v>2765.8972156250002</v>
          </cell>
          <cell r="AC143">
            <v>2738</v>
          </cell>
          <cell r="AD143">
            <v>2688</v>
          </cell>
          <cell r="AE143">
            <v>2613</v>
          </cell>
          <cell r="AF143">
            <v>2513</v>
          </cell>
          <cell r="AG143">
            <v>2393</v>
          </cell>
          <cell r="AH143">
            <v>2253</v>
          </cell>
          <cell r="AI143">
            <v>2093</v>
          </cell>
          <cell r="AJ143">
            <v>1913</v>
          </cell>
          <cell r="AK143">
            <v>1713</v>
          </cell>
          <cell r="AL143">
            <v>1513</v>
          </cell>
          <cell r="AM143">
            <v>1313</v>
          </cell>
          <cell r="AN143">
            <v>1113</v>
          </cell>
          <cell r="AO143">
            <v>913</v>
          </cell>
          <cell r="AP143">
            <v>713</v>
          </cell>
          <cell r="AQ143">
            <v>543</v>
          </cell>
          <cell r="AR143">
            <v>398.5</v>
          </cell>
          <cell r="AS143">
            <v>275.67500000000018</v>
          </cell>
          <cell r="AT143">
            <v>171.27374999999984</v>
          </cell>
          <cell r="AU143">
            <v>82.532687500000065</v>
          </cell>
        </row>
        <row r="144">
          <cell r="C144" t="str">
            <v>Avg. Annual Lifecycle Revenue</v>
          </cell>
          <cell r="E144" t="str">
            <v>provisioning</v>
          </cell>
          <cell r="G144">
            <v>20</v>
          </cell>
          <cell r="H144">
            <v>11.111111111111111</v>
          </cell>
          <cell r="I144">
            <v>8.064516129032258</v>
          </cell>
          <cell r="J144">
            <v>6.25</v>
          </cell>
          <cell r="K144">
            <v>4.5454545454545459</v>
          </cell>
          <cell r="L144">
            <v>4</v>
          </cell>
          <cell r="M144">
            <v>4.0999999999999996</v>
          </cell>
          <cell r="N144">
            <v>4.2024999999999997</v>
          </cell>
          <cell r="O144">
            <v>4.3075624999999995</v>
          </cell>
          <cell r="P144">
            <v>4.4152515624999991</v>
          </cell>
          <cell r="Q144">
            <v>4.5256328515624986</v>
          </cell>
          <cell r="R144">
            <v>4.6387736728515607</v>
          </cell>
          <cell r="S144">
            <v>4.7547430146728491</v>
          </cell>
          <cell r="T144">
            <v>4.8736115900396699</v>
          </cell>
          <cell r="U144">
            <v>4.9954518797906609</v>
          </cell>
          <cell r="V144">
            <v>5.1203381767854266</v>
          </cell>
          <cell r="W144">
            <v>5.2483466312050622</v>
          </cell>
          <cell r="X144">
            <v>5.3795552969851883</v>
          </cell>
          <cell r="Y144">
            <v>5.5140441794098178</v>
          </cell>
          <cell r="Z144">
            <v>5.6518952838950627</v>
          </cell>
          <cell r="AA144">
            <v>5.7931926659924384</v>
          </cell>
          <cell r="AB144">
            <v>5.938022482642249</v>
          </cell>
          <cell r="AC144">
            <v>6.0864730447083044</v>
          </cell>
          <cell r="AD144">
            <v>6.2386348708260115</v>
          </cell>
          <cell r="AE144">
            <v>6.3946007425966611</v>
          </cell>
          <cell r="AF144">
            <v>6.5544657611615769</v>
          </cell>
          <cell r="AG144">
            <v>6.7183274051906157</v>
          </cell>
          <cell r="AH144">
            <v>6.8862855903203801</v>
          </cell>
          <cell r="AI144">
            <v>7.0584427300783892</v>
          </cell>
          <cell r="AJ144">
            <v>7.2349037983303486</v>
          </cell>
          <cell r="AK144">
            <v>7.4157763932886063</v>
          </cell>
          <cell r="AL144">
            <v>7.6011708031208212</v>
          </cell>
          <cell r="AM144">
            <v>7.7912000731988407</v>
          </cell>
          <cell r="AN144">
            <v>7.9859800750288112</v>
          </cell>
          <cell r="AO144">
            <v>8.18562957690453</v>
          </cell>
          <cell r="AP144">
            <v>8.3902703163271433</v>
          </cell>
          <cell r="AQ144">
            <v>8.6000270742353209</v>
          </cell>
          <cell r="AR144">
            <v>8.8150277510912023</v>
          </cell>
          <cell r="AS144">
            <v>9.0354034448684821</v>
          </cell>
          <cell r="AT144">
            <v>9.2612885309901927</v>
          </cell>
          <cell r="AU144">
            <v>9.4928207442649466</v>
          </cell>
        </row>
        <row r="145">
          <cell r="C145" t="str">
            <v>Spares and Sustainment Revenue</v>
          </cell>
          <cell r="G145">
            <v>200</v>
          </cell>
          <cell r="H145">
            <v>300</v>
          </cell>
          <cell r="I145">
            <v>500</v>
          </cell>
          <cell r="J145">
            <v>700</v>
          </cell>
          <cell r="K145">
            <v>850</v>
          </cell>
          <cell r="L145">
            <v>1000</v>
          </cell>
          <cell r="M145">
            <v>1668.6999999999998</v>
          </cell>
          <cell r="N145">
            <v>2298.7674999999999</v>
          </cell>
          <cell r="O145">
            <v>3045.4466874999998</v>
          </cell>
          <cell r="P145">
            <v>3916.3281359374992</v>
          </cell>
          <cell r="Q145">
            <v>4919.3629096484356</v>
          </cell>
          <cell r="R145">
            <v>5970.101716959959</v>
          </cell>
          <cell r="S145">
            <v>7070.3028628185266</v>
          </cell>
          <cell r="T145">
            <v>8221.7827523969227</v>
          </cell>
          <cell r="U145">
            <v>9426.4176971649777</v>
          </cell>
          <cell r="V145">
            <v>10686.145774951185</v>
          </cell>
          <cell r="W145">
            <v>11845.518346629826</v>
          </cell>
          <cell r="X145">
            <v>12919.002045709929</v>
          </cell>
          <cell r="Y145">
            <v>13919.239573188688</v>
          </cell>
          <cell r="Z145">
            <v>14857.285495026155</v>
          </cell>
          <cell r="AA145">
            <v>15684.879778189257</v>
          </cell>
          <cell r="AB145">
            <v>16423.959851058848</v>
          </cell>
          <cell r="AC145">
            <v>16664.763196411339</v>
          </cell>
          <cell r="AD145">
            <v>16769.45053278032</v>
          </cell>
          <cell r="AE145">
            <v>16709.091740405074</v>
          </cell>
          <cell r="AF145">
            <v>16471.372457799043</v>
          </cell>
          <cell r="AG145">
            <v>16076.957480621144</v>
          </cell>
          <cell r="AH145">
            <v>15514.801434991816</v>
          </cell>
          <cell r="AI145">
            <v>14773.320634054069</v>
          </cell>
          <cell r="AJ145">
            <v>13840.370966205957</v>
          </cell>
          <cell r="AK145">
            <v>12703.224961703383</v>
          </cell>
          <cell r="AL145">
            <v>11500.571425121803</v>
          </cell>
          <cell r="AM145">
            <v>10229.845696110078</v>
          </cell>
          <cell r="AN145">
            <v>8888.3958235070677</v>
          </cell>
          <cell r="AO145">
            <v>7473.4798037138362</v>
          </cell>
          <cell r="AP145">
            <v>5982.2627355412533</v>
          </cell>
          <cell r="AQ145">
            <v>4669.8147013097796</v>
          </cell>
          <cell r="AR145">
            <v>3512.7885588098443</v>
          </cell>
          <cell r="AS145">
            <v>2490.8348446641203</v>
          </cell>
          <cell r="AT145">
            <v>1586.2156165346801</v>
          </cell>
          <cell r="AU145">
            <v>783.46800797993683</v>
          </cell>
        </row>
        <row r="146">
          <cell r="C146" t="str">
            <v>Margin</v>
          </cell>
          <cell r="G146">
            <v>0.11</v>
          </cell>
          <cell r="H146">
            <v>0.11</v>
          </cell>
          <cell r="I146">
            <v>0.11</v>
          </cell>
          <cell r="J146">
            <v>0.11</v>
          </cell>
          <cell r="K146">
            <v>0.11</v>
          </cell>
          <cell r="L146">
            <v>0.11</v>
          </cell>
          <cell r="M146">
            <v>0.11</v>
          </cell>
          <cell r="N146">
            <v>0.11</v>
          </cell>
          <cell r="O146">
            <v>0.11</v>
          </cell>
          <cell r="P146">
            <v>0.11</v>
          </cell>
          <cell r="Q146">
            <v>0.11</v>
          </cell>
          <cell r="R146">
            <v>0.11</v>
          </cell>
          <cell r="S146">
            <v>0.11</v>
          </cell>
          <cell r="T146">
            <v>0.11</v>
          </cell>
          <cell r="U146">
            <v>0.11</v>
          </cell>
          <cell r="V146">
            <v>0.11</v>
          </cell>
          <cell r="W146">
            <v>0.11</v>
          </cell>
          <cell r="X146">
            <v>0.11</v>
          </cell>
          <cell r="Y146">
            <v>0.11</v>
          </cell>
          <cell r="Z146">
            <v>0.11</v>
          </cell>
          <cell r="AA146">
            <v>0.11</v>
          </cell>
          <cell r="AB146">
            <v>0.11</v>
          </cell>
          <cell r="AC146">
            <v>0.11</v>
          </cell>
          <cell r="AD146">
            <v>0.11</v>
          </cell>
          <cell r="AE146">
            <v>0.11</v>
          </cell>
          <cell r="AF146">
            <v>0.11</v>
          </cell>
          <cell r="AG146">
            <v>0.11</v>
          </cell>
          <cell r="AH146">
            <v>0.11</v>
          </cell>
          <cell r="AI146">
            <v>0.11</v>
          </cell>
          <cell r="AJ146">
            <v>0.11</v>
          </cell>
          <cell r="AK146">
            <v>0.11</v>
          </cell>
          <cell r="AL146">
            <v>0.11</v>
          </cell>
          <cell r="AM146">
            <v>0.11</v>
          </cell>
          <cell r="AN146">
            <v>0.11</v>
          </cell>
          <cell r="AO146">
            <v>0.11</v>
          </cell>
          <cell r="AP146">
            <v>0.11</v>
          </cell>
          <cell r="AQ146">
            <v>0.11</v>
          </cell>
          <cell r="AR146">
            <v>0.11</v>
          </cell>
          <cell r="AS146">
            <v>0.11</v>
          </cell>
          <cell r="AT146">
            <v>0.11</v>
          </cell>
          <cell r="AU146">
            <v>0.11</v>
          </cell>
        </row>
        <row r="147">
          <cell r="C147" t="str">
            <v>Spares and Sustainment EBIT</v>
          </cell>
          <cell r="G147">
            <v>22</v>
          </cell>
          <cell r="H147">
            <v>33</v>
          </cell>
          <cell r="I147">
            <v>55</v>
          </cell>
          <cell r="J147">
            <v>77</v>
          </cell>
          <cell r="K147">
            <v>93.5</v>
          </cell>
          <cell r="L147">
            <v>110</v>
          </cell>
          <cell r="M147">
            <v>183.55699999999999</v>
          </cell>
          <cell r="N147">
            <v>252.86442499999998</v>
          </cell>
          <cell r="O147">
            <v>334.99913562500001</v>
          </cell>
          <cell r="P147">
            <v>430.79609495312491</v>
          </cell>
          <cell r="Q147">
            <v>541.12992006132788</v>
          </cell>
          <cell r="R147">
            <v>656.71118886559555</v>
          </cell>
          <cell r="S147">
            <v>777.73331491003796</v>
          </cell>
          <cell r="T147">
            <v>904.39610276366147</v>
          </cell>
          <cell r="U147">
            <v>1036.9059466881477</v>
          </cell>
          <cell r="V147">
            <v>1175.4760352446303</v>
          </cell>
          <cell r="W147">
            <v>1303.0070181292808</v>
          </cell>
          <cell r="X147">
            <v>1421.0902250280922</v>
          </cell>
          <cell r="Y147">
            <v>1531.1163530507556</v>
          </cell>
          <cell r="Z147">
            <v>1634.301404452877</v>
          </cell>
          <cell r="AA147">
            <v>1725.3367756008183</v>
          </cell>
          <cell r="AB147">
            <v>1806.6355836164732</v>
          </cell>
          <cell r="AC147">
            <v>1833.1239516052474</v>
          </cell>
          <cell r="AD147">
            <v>1844.6395586058352</v>
          </cell>
          <cell r="AE147">
            <v>1838.0000914445582</v>
          </cell>
          <cell r="AF147">
            <v>1811.8509703578948</v>
          </cell>
          <cell r="AG147">
            <v>1768.4653228683258</v>
          </cell>
          <cell r="AH147">
            <v>1706.6281578490998</v>
          </cell>
          <cell r="AI147">
            <v>1625.0652697459477</v>
          </cell>
          <cell r="AJ147">
            <v>1522.4408062826553</v>
          </cell>
          <cell r="AK147">
            <v>1397.3547457873722</v>
          </cell>
          <cell r="AL147">
            <v>1265.0628567633983</v>
          </cell>
          <cell r="AM147">
            <v>1125.2830265721086</v>
          </cell>
          <cell r="AN147">
            <v>977.72354058577741</v>
          </cell>
          <cell r="AO147">
            <v>822.08277840852202</v>
          </cell>
          <cell r="AP147">
            <v>658.04890090953791</v>
          </cell>
          <cell r="AQ147">
            <v>513.67961714407579</v>
          </cell>
          <cell r="AR147">
            <v>386.40674146908287</v>
          </cell>
          <cell r="AS147">
            <v>273.99183291305326</v>
          </cell>
          <cell r="AT147">
            <v>174.4837178188148</v>
          </cell>
          <cell r="AU147">
            <v>86.181480877793049</v>
          </cell>
        </row>
        <row r="149">
          <cell r="C149" t="str">
            <v>Modernization and Upgrade</v>
          </cell>
        </row>
        <row r="150">
          <cell r="C150" t="str">
            <v>Annual Deliveries - 10 Yr Lag</v>
          </cell>
          <cell r="Q150">
            <v>10</v>
          </cell>
          <cell r="R150">
            <v>17</v>
          </cell>
          <cell r="S150">
            <v>35</v>
          </cell>
          <cell r="T150">
            <v>50</v>
          </cell>
          <cell r="U150">
            <v>75</v>
          </cell>
          <cell r="V150">
            <v>100</v>
          </cell>
          <cell r="W150">
            <v>120</v>
          </cell>
          <cell r="X150">
            <v>140</v>
          </cell>
          <cell r="Y150">
            <v>160</v>
          </cell>
          <cell r="Z150">
            <v>180</v>
          </cell>
          <cell r="AA150">
            <v>200</v>
          </cell>
          <cell r="AB150">
            <v>200</v>
          </cell>
          <cell r="AC150">
            <v>200</v>
          </cell>
          <cell r="AD150">
            <v>200</v>
          </cell>
          <cell r="AE150">
            <v>200</v>
          </cell>
          <cell r="AF150">
            <v>200</v>
          </cell>
          <cell r="AG150">
            <v>170</v>
          </cell>
          <cell r="AH150">
            <v>144.5</v>
          </cell>
          <cell r="AI150">
            <v>122.825</v>
          </cell>
          <cell r="AJ150">
            <v>104.40125</v>
          </cell>
          <cell r="AK150">
            <v>88.741062499999998</v>
          </cell>
          <cell r="AL150">
            <v>75.429903124999996</v>
          </cell>
          <cell r="AM150">
            <v>7.1027843749999988</v>
          </cell>
          <cell r="AN150">
            <v>0</v>
          </cell>
          <cell r="AO150">
            <v>0</v>
          </cell>
          <cell r="AP150">
            <v>0</v>
          </cell>
          <cell r="AQ150">
            <v>0</v>
          </cell>
          <cell r="AR150">
            <v>0</v>
          </cell>
          <cell r="AS150">
            <v>0</v>
          </cell>
          <cell r="AT150">
            <v>0</v>
          </cell>
          <cell r="AU150">
            <v>0</v>
          </cell>
        </row>
        <row r="151">
          <cell r="C151" t="str">
            <v>Participation</v>
          </cell>
          <cell r="L151">
            <v>0.5</v>
          </cell>
          <cell r="M151">
            <v>0.5</v>
          </cell>
          <cell r="N151">
            <v>0.5</v>
          </cell>
          <cell r="O151">
            <v>0.5</v>
          </cell>
          <cell r="P151">
            <v>0.5</v>
          </cell>
          <cell r="Q151">
            <v>0.5</v>
          </cell>
          <cell r="R151">
            <v>0.5</v>
          </cell>
          <cell r="S151">
            <v>0.5</v>
          </cell>
          <cell r="T151">
            <v>0.5</v>
          </cell>
          <cell r="U151">
            <v>0.5</v>
          </cell>
          <cell r="V151">
            <v>0.5</v>
          </cell>
          <cell r="W151">
            <v>0.5</v>
          </cell>
          <cell r="X151">
            <v>0.5</v>
          </cell>
          <cell r="Y151">
            <v>0.5</v>
          </cell>
          <cell r="Z151">
            <v>0.5</v>
          </cell>
          <cell r="AA151">
            <v>0.5</v>
          </cell>
          <cell r="AB151">
            <v>0.5</v>
          </cell>
          <cell r="AC151">
            <v>0.5</v>
          </cell>
          <cell r="AD151">
            <v>0.5</v>
          </cell>
          <cell r="AE151">
            <v>0.5</v>
          </cell>
          <cell r="AF151">
            <v>0.5</v>
          </cell>
          <cell r="AG151">
            <v>0.5</v>
          </cell>
          <cell r="AH151">
            <v>0.5</v>
          </cell>
          <cell r="AI151">
            <v>0.5</v>
          </cell>
          <cell r="AJ151">
            <v>0.5</v>
          </cell>
          <cell r="AK151">
            <v>0.5</v>
          </cell>
          <cell r="AL151">
            <v>0.5</v>
          </cell>
          <cell r="AM151">
            <v>0.5</v>
          </cell>
          <cell r="AN151">
            <v>0.5</v>
          </cell>
          <cell r="AO151">
            <v>0.5</v>
          </cell>
          <cell r="AP151">
            <v>0.5</v>
          </cell>
          <cell r="AQ151">
            <v>0.5</v>
          </cell>
          <cell r="AR151">
            <v>0.5</v>
          </cell>
          <cell r="AS151">
            <v>0.5</v>
          </cell>
          <cell r="AT151">
            <v>0.5</v>
          </cell>
          <cell r="AU151">
            <v>0.5</v>
          </cell>
        </row>
        <row r="152">
          <cell r="C152" t="str">
            <v>Upgrade Revenue ($MM per Plane)</v>
          </cell>
          <cell r="L152">
            <v>20</v>
          </cell>
          <cell r="M152">
            <v>20.5</v>
          </cell>
          <cell r="N152">
            <v>21.012499999999999</v>
          </cell>
          <cell r="O152">
            <v>21.537812499999998</v>
          </cell>
          <cell r="P152">
            <v>22.076257812499996</v>
          </cell>
          <cell r="Q152">
            <v>22.628164257812493</v>
          </cell>
          <cell r="R152">
            <v>23.193868364257803</v>
          </cell>
          <cell r="S152">
            <v>23.773715073364247</v>
          </cell>
          <cell r="T152">
            <v>24.368057950198352</v>
          </cell>
          <cell r="U152">
            <v>24.977259398953308</v>
          </cell>
          <cell r="V152">
            <v>25.601690883927137</v>
          </cell>
          <cell r="W152">
            <v>26.241733156025312</v>
          </cell>
          <cell r="X152">
            <v>26.897776484925942</v>
          </cell>
          <cell r="Y152">
            <v>27.570220897049087</v>
          </cell>
          <cell r="Z152">
            <v>28.259476419475313</v>
          </cell>
          <cell r="AA152">
            <v>28.965963329962193</v>
          </cell>
          <cell r="AB152">
            <v>29.690112413211246</v>
          </cell>
          <cell r="AC152">
            <v>30.432365223541524</v>
          </cell>
          <cell r="AD152">
            <v>31.193174354130058</v>
          </cell>
          <cell r="AE152">
            <v>31.973003712983306</v>
          </cell>
          <cell r="AF152">
            <v>32.772328805807888</v>
          </cell>
          <cell r="AG152">
            <v>33.591637025953084</v>
          </cell>
          <cell r="AH152">
            <v>34.431427951601911</v>
          </cell>
          <cell r="AI152">
            <v>35.292213650391957</v>
          </cell>
          <cell r="AJ152">
            <v>36.174518991651752</v>
          </cell>
          <cell r="AK152">
            <v>37.078881966443042</v>
          </cell>
          <cell r="AL152">
            <v>38.005854015604115</v>
          </cell>
          <cell r="AM152">
            <v>38.956000365994214</v>
          </cell>
          <cell r="AN152">
            <v>39.929900375144065</v>
          </cell>
          <cell r="AO152">
            <v>40.928147884522666</v>
          </cell>
          <cell r="AP152">
            <v>41.951351581635727</v>
          </cell>
          <cell r="AQ152">
            <v>43.000135371176619</v>
          </cell>
          <cell r="AR152">
            <v>44.075138755456031</v>
          </cell>
          <cell r="AS152">
            <v>45.177017224342428</v>
          </cell>
          <cell r="AT152">
            <v>46.306442654950985</v>
          </cell>
          <cell r="AU152">
            <v>47.464103721324754</v>
          </cell>
        </row>
        <row r="153">
          <cell r="C153" t="str">
            <v>Modernization and Upgrade Revenue</v>
          </cell>
          <cell r="G153">
            <v>0</v>
          </cell>
          <cell r="H153">
            <v>0</v>
          </cell>
          <cell r="I153">
            <v>0</v>
          </cell>
          <cell r="J153">
            <v>0</v>
          </cell>
          <cell r="K153">
            <v>0</v>
          </cell>
          <cell r="L153">
            <v>0</v>
          </cell>
          <cell r="M153">
            <v>0</v>
          </cell>
          <cell r="N153">
            <v>0</v>
          </cell>
          <cell r="O153">
            <v>0</v>
          </cell>
          <cell r="P153">
            <v>0</v>
          </cell>
          <cell r="Q153">
            <v>113.14082128906247</v>
          </cell>
          <cell r="R153">
            <v>197.14788109619133</v>
          </cell>
          <cell r="S153">
            <v>416.04001378387431</v>
          </cell>
          <cell r="T153">
            <v>609.20144875495885</v>
          </cell>
          <cell r="U153">
            <v>936.64722746074904</v>
          </cell>
          <cell r="V153">
            <v>1280.0845441963568</v>
          </cell>
          <cell r="W153">
            <v>1574.5039893615187</v>
          </cell>
          <cell r="X153">
            <v>1882.8443539448158</v>
          </cell>
          <cell r="Y153">
            <v>2205.6176717639269</v>
          </cell>
          <cell r="Z153">
            <v>2543.3528777527781</v>
          </cell>
          <cell r="AA153">
            <v>2896.5963329962192</v>
          </cell>
          <cell r="AB153">
            <v>2969.0112413211245</v>
          </cell>
          <cell r="AC153">
            <v>3043.2365223541524</v>
          </cell>
          <cell r="AD153">
            <v>3119.3174354130056</v>
          </cell>
          <cell r="AE153">
            <v>3197.3003712983304</v>
          </cell>
          <cell r="AF153">
            <v>3277.2328805807888</v>
          </cell>
          <cell r="AG153">
            <v>2855.2891472060123</v>
          </cell>
          <cell r="AH153">
            <v>2487.6706695032381</v>
          </cell>
          <cell r="AI153">
            <v>2167.3830708046962</v>
          </cell>
          <cell r="AJ153">
            <v>1888.3325004385913</v>
          </cell>
          <cell r="AK153">
            <v>1645.2096910071225</v>
          </cell>
          <cell r="AL153">
            <v>1433.3889432899553</v>
          </cell>
          <cell r="AM153">
            <v>138.34803535603896</v>
          </cell>
          <cell r="AN153">
            <v>0</v>
          </cell>
          <cell r="AO153">
            <v>0</v>
          </cell>
          <cell r="AP153">
            <v>0</v>
          </cell>
          <cell r="AQ153">
            <v>0</v>
          </cell>
          <cell r="AR153">
            <v>0</v>
          </cell>
          <cell r="AS153">
            <v>0</v>
          </cell>
          <cell r="AT153">
            <v>0</v>
          </cell>
          <cell r="AU153">
            <v>0</v>
          </cell>
        </row>
        <row r="154">
          <cell r="C154" t="str">
            <v>Margin</v>
          </cell>
          <cell r="G154">
            <v>0.12</v>
          </cell>
          <cell r="H154">
            <v>0.12</v>
          </cell>
          <cell r="I154">
            <v>0.12</v>
          </cell>
          <cell r="J154">
            <v>0.12</v>
          </cell>
          <cell r="K154">
            <v>0.12</v>
          </cell>
          <cell r="L154">
            <v>0.12</v>
          </cell>
          <cell r="M154">
            <v>0.12</v>
          </cell>
          <cell r="N154">
            <v>0.12</v>
          </cell>
          <cell r="O154">
            <v>0.12</v>
          </cell>
          <cell r="P154">
            <v>0.12</v>
          </cell>
          <cell r="Q154">
            <v>0.12</v>
          </cell>
          <cell r="R154">
            <v>0.12</v>
          </cell>
          <cell r="S154">
            <v>0.12</v>
          </cell>
          <cell r="T154">
            <v>0.12</v>
          </cell>
          <cell r="U154">
            <v>0.12</v>
          </cell>
          <cell r="V154">
            <v>0.12</v>
          </cell>
          <cell r="W154">
            <v>0.12</v>
          </cell>
          <cell r="X154">
            <v>0.12</v>
          </cell>
          <cell r="Y154">
            <v>0.12</v>
          </cell>
          <cell r="Z154">
            <v>0.12</v>
          </cell>
          <cell r="AA154">
            <v>0.12</v>
          </cell>
          <cell r="AB154">
            <v>0.12</v>
          </cell>
          <cell r="AC154">
            <v>0.12</v>
          </cell>
          <cell r="AD154">
            <v>0.12</v>
          </cell>
          <cell r="AE154">
            <v>0.12</v>
          </cell>
          <cell r="AF154">
            <v>0.12</v>
          </cell>
          <cell r="AG154">
            <v>0.12</v>
          </cell>
          <cell r="AH154">
            <v>0.12</v>
          </cell>
          <cell r="AI154">
            <v>0.12</v>
          </cell>
          <cell r="AJ154">
            <v>0.12</v>
          </cell>
          <cell r="AK154">
            <v>0.12</v>
          </cell>
          <cell r="AL154">
            <v>0.12</v>
          </cell>
          <cell r="AM154">
            <v>0.12</v>
          </cell>
          <cell r="AN154">
            <v>0.12</v>
          </cell>
          <cell r="AO154">
            <v>0.12</v>
          </cell>
          <cell r="AP154">
            <v>0.12</v>
          </cell>
          <cell r="AQ154">
            <v>0.12</v>
          </cell>
          <cell r="AR154">
            <v>0.12</v>
          </cell>
          <cell r="AS154">
            <v>0.12</v>
          </cell>
          <cell r="AT154">
            <v>0.12</v>
          </cell>
          <cell r="AU154">
            <v>0.12</v>
          </cell>
        </row>
        <row r="155">
          <cell r="C155" t="str">
            <v>Modernization and Upgrade EBIT</v>
          </cell>
          <cell r="G155">
            <v>0</v>
          </cell>
          <cell r="H155">
            <v>0</v>
          </cell>
          <cell r="I155">
            <v>0</v>
          </cell>
          <cell r="J155">
            <v>0</v>
          </cell>
          <cell r="K155">
            <v>0</v>
          </cell>
          <cell r="L155">
            <v>0</v>
          </cell>
          <cell r="M155">
            <v>0</v>
          </cell>
          <cell r="N155">
            <v>0</v>
          </cell>
          <cell r="O155">
            <v>0</v>
          </cell>
          <cell r="P155">
            <v>0</v>
          </cell>
          <cell r="Q155">
            <v>13.576898554687496</v>
          </cell>
          <cell r="R155">
            <v>23.65774573154296</v>
          </cell>
          <cell r="S155">
            <v>49.924801654064915</v>
          </cell>
          <cell r="T155">
            <v>73.10417385059506</v>
          </cell>
          <cell r="U155">
            <v>112.39766729528988</v>
          </cell>
          <cell r="V155">
            <v>153.6101453035628</v>
          </cell>
          <cell r="W155">
            <v>188.94047872338223</v>
          </cell>
          <cell r="X155">
            <v>225.94132247337788</v>
          </cell>
          <cell r="Y155">
            <v>264.67412061167124</v>
          </cell>
          <cell r="Z155">
            <v>305.20234533033334</v>
          </cell>
          <cell r="AA155">
            <v>347.59155995954632</v>
          </cell>
          <cell r="AB155">
            <v>356.28134895853492</v>
          </cell>
          <cell r="AC155">
            <v>365.18838268249829</v>
          </cell>
          <cell r="AD155">
            <v>374.31809224956066</v>
          </cell>
          <cell r="AE155">
            <v>383.67604455579965</v>
          </cell>
          <cell r="AF155">
            <v>393.26794566969465</v>
          </cell>
          <cell r="AG155">
            <v>342.63469766472144</v>
          </cell>
          <cell r="AH155">
            <v>298.52048034038853</v>
          </cell>
          <cell r="AI155">
            <v>260.08596849656351</v>
          </cell>
          <cell r="AJ155">
            <v>226.59990005263094</v>
          </cell>
          <cell r="AK155">
            <v>197.42516292085469</v>
          </cell>
          <cell r="AL155">
            <v>172.00667319479462</v>
          </cell>
          <cell r="AM155">
            <v>16.601764242724673</v>
          </cell>
          <cell r="AN155">
            <v>0</v>
          </cell>
          <cell r="AO155">
            <v>0</v>
          </cell>
          <cell r="AP155">
            <v>0</v>
          </cell>
          <cell r="AQ155">
            <v>0</v>
          </cell>
          <cell r="AR155">
            <v>0</v>
          </cell>
          <cell r="AS155">
            <v>0</v>
          </cell>
          <cell r="AT155">
            <v>0</v>
          </cell>
          <cell r="AU155">
            <v>0</v>
          </cell>
        </row>
        <row r="157">
          <cell r="C157" t="str">
            <v>Total JSF Revenue</v>
          </cell>
          <cell r="G157">
            <v>5650</v>
          </cell>
          <cell r="H157">
            <v>6800</v>
          </cell>
          <cell r="I157">
            <v>7800</v>
          </cell>
          <cell r="J157">
            <v>8800</v>
          </cell>
          <cell r="K157">
            <v>9750</v>
          </cell>
          <cell r="L157">
            <v>10500</v>
          </cell>
          <cell r="M157">
            <v>12830.949999999997</v>
          </cell>
          <cell r="N157">
            <v>15725.754999999997</v>
          </cell>
          <cell r="O157">
            <v>18843.432156249997</v>
          </cell>
          <cell r="P157">
            <v>22195.469604687492</v>
          </cell>
          <cell r="Q157">
            <v>25906.985258769524</v>
          </cell>
          <cell r="R157">
            <v>27563.59316408397</v>
          </cell>
          <cell r="S157">
            <v>29417.595031780915</v>
          </cell>
          <cell r="T157">
            <v>31310.517660209858</v>
          </cell>
          <cell r="U157">
            <v>33404.58672016015</v>
          </cell>
          <cell r="V157">
            <v>35583.790159570315</v>
          </cell>
          <cell r="W157">
            <v>33908.255497558108</v>
          </cell>
          <cell r="X157">
            <v>32561.439546033154</v>
          </cell>
          <cell r="Y157">
            <v>31504.853278207265</v>
          </cell>
          <cell r="Z157">
            <v>30705.084183836316</v>
          </cell>
          <cell r="AA157">
            <v>30148.592741251443</v>
          </cell>
          <cell r="AB157">
            <v>29812.657593707183</v>
          </cell>
          <cell r="AC157">
            <v>20729.329864529693</v>
          </cell>
          <cell r="AD157">
            <v>19888.767968193326</v>
          </cell>
          <cell r="AE157">
            <v>19906.392111703404</v>
          </cell>
          <cell r="AF157">
            <v>19748.605338379832</v>
          </cell>
          <cell r="AG157">
            <v>18932.246627827157</v>
          </cell>
          <cell r="AH157">
            <v>18002.472104495053</v>
          </cell>
          <cell r="AI157">
            <v>16940.703704858766</v>
          </cell>
          <cell r="AJ157">
            <v>15728.703466644549</v>
          </cell>
          <cell r="AK157">
            <v>14348.434652710506</v>
          </cell>
          <cell r="AL157">
            <v>12933.960368411759</v>
          </cell>
          <cell r="AM157">
            <v>10368.193731466117</v>
          </cell>
          <cell r="AN157">
            <v>8888.3958235070677</v>
          </cell>
          <cell r="AO157">
            <v>7473.4798037138362</v>
          </cell>
          <cell r="AP157">
            <v>5982.2627355412533</v>
          </cell>
          <cell r="AQ157">
            <v>4669.8147013097796</v>
          </cell>
          <cell r="AR157">
            <v>3512.7885588098443</v>
          </cell>
          <cell r="AS157">
            <v>2490.8348446641203</v>
          </cell>
          <cell r="AT157">
            <v>1586.2156165346801</v>
          </cell>
          <cell r="AU157">
            <v>783.46800797993683</v>
          </cell>
        </row>
        <row r="158">
          <cell r="C158" t="str">
            <v>Y/Y Change</v>
          </cell>
          <cell r="H158">
            <v>0.20353982300884965</v>
          </cell>
          <cell r="I158">
            <v>0.14705882352941169</v>
          </cell>
          <cell r="J158">
            <v>0.12820512820512819</v>
          </cell>
          <cell r="K158">
            <v>0.10795454545454541</v>
          </cell>
          <cell r="L158">
            <v>7.6923076923076872E-2</v>
          </cell>
          <cell r="M158">
            <v>0.22199523809523791</v>
          </cell>
          <cell r="N158">
            <v>0.22561111998721839</v>
          </cell>
          <cell r="O158">
            <v>0.19825293960448964</v>
          </cell>
          <cell r="P158">
            <v>0.17788890158875281</v>
          </cell>
          <cell r="Q158">
            <v>0.16721951462104645</v>
          </cell>
          <cell r="R158">
            <v>6.3944449296881478E-2</v>
          </cell>
          <cell r="S158">
            <v>6.7262706159542107E-2</v>
          </cell>
          <cell r="T158">
            <v>6.4346613867787283E-2</v>
          </cell>
          <cell r="U158">
            <v>6.6880691104366008E-2</v>
          </cell>
          <cell r="V158">
            <v>6.5236653207715989E-2</v>
          </cell>
          <cell r="W158">
            <v>-4.7087020648967304E-2</v>
          </cell>
          <cell r="X158">
            <v>-3.9719411446039854E-2</v>
          </cell>
          <cell r="Y158">
            <v>-3.2449003562393441E-2</v>
          </cell>
          <cell r="Z158">
            <v>-2.5385583843495318E-2</v>
          </cell>
          <cell r="AA158">
            <v>-1.8123755637765693E-2</v>
          </cell>
          <cell r="AB158">
            <v>-1.1142647699260877E-2</v>
          </cell>
          <cell r="AC158">
            <v>-0.30468024196188359</v>
          </cell>
          <cell r="AD158">
            <v>-4.0549400382434264E-2</v>
          </cell>
          <cell r="AE158">
            <v>8.8613550815530573E-4</v>
          </cell>
          <cell r="AF158">
            <v>-7.9264375200770454E-3</v>
          </cell>
          <cell r="AG158">
            <v>-4.1337537338201114E-2</v>
          </cell>
          <cell r="AH158">
            <v>-4.91106281050393E-2</v>
          </cell>
          <cell r="AI158">
            <v>-5.8979033183513274E-2</v>
          </cell>
          <cell r="AJ158">
            <v>-7.154367724798838E-2</v>
          </cell>
          <cell r="AK158">
            <v>-8.7754773739688208E-2</v>
          </cell>
          <cell r="AL158">
            <v>-9.8580390024046616E-2</v>
          </cell>
          <cell r="AM158">
            <v>-0.19837440071425771</v>
          </cell>
          <cell r="AN158">
            <v>-0.14272475479196112</v>
          </cell>
          <cell r="AO158">
            <v>-0.15918688230009004</v>
          </cell>
          <cell r="AP158">
            <v>-0.1995345016429354</v>
          </cell>
          <cell r="AQ158">
            <v>-0.219389901823282</v>
          </cell>
          <cell r="AR158">
            <v>-0.247767034990792</v>
          </cell>
          <cell r="AS158">
            <v>-0.29092377666248392</v>
          </cell>
          <cell r="AT158">
            <v>-0.36317912850276701</v>
          </cell>
          <cell r="AU158">
            <v>-0.50607723198972332</v>
          </cell>
        </row>
        <row r="159">
          <cell r="D159" t="str">
            <v>CHECK vs. Aero Model</v>
          </cell>
          <cell r="G159">
            <v>5650</v>
          </cell>
          <cell r="H159">
            <v>6800</v>
          </cell>
          <cell r="I159">
            <v>7800</v>
          </cell>
          <cell r="J159">
            <v>8800</v>
          </cell>
          <cell r="K159">
            <v>9750</v>
          </cell>
          <cell r="L159">
            <v>10500</v>
          </cell>
        </row>
        <row r="160">
          <cell r="D160" t="str">
            <v>Difference</v>
          </cell>
          <cell r="G160">
            <v>0</v>
          </cell>
          <cell r="H160">
            <v>0</v>
          </cell>
          <cell r="I160">
            <v>0</v>
          </cell>
          <cell r="J160">
            <v>0</v>
          </cell>
          <cell r="K160">
            <v>0</v>
          </cell>
          <cell r="L160">
            <v>0</v>
          </cell>
        </row>
        <row r="161">
          <cell r="C161" t="str">
            <v>Total JSF EBIT</v>
          </cell>
          <cell r="G161">
            <v>301</v>
          </cell>
          <cell r="H161">
            <v>408</v>
          </cell>
          <cell r="I161">
            <v>526</v>
          </cell>
          <cell r="J161">
            <v>656.00000000000011</v>
          </cell>
          <cell r="K161">
            <v>792.50000000000011</v>
          </cell>
          <cell r="L161">
            <v>935</v>
          </cell>
          <cell r="M161">
            <v>1274.5054999999998</v>
          </cell>
          <cell r="N161">
            <v>1662.1307749999999</v>
          </cell>
          <cell r="O161">
            <v>2102.2412646875</v>
          </cell>
          <cell r="P161">
            <v>2598.0664769218743</v>
          </cell>
          <cell r="Q161">
            <v>3166.5626780740222</v>
          </cell>
          <cell r="R161">
            <v>3357.5211905415949</v>
          </cell>
          <cell r="S161">
            <v>3571.7391789071708</v>
          </cell>
          <cell r="T161">
            <v>3790.1833655159012</v>
          </cell>
          <cell r="U161">
            <v>4032.3037801076225</v>
          </cell>
          <cell r="V161">
            <v>4284.1613508254823</v>
          </cell>
          <cell r="W161">
            <v>4037.3300086542276</v>
          </cell>
          <cell r="X161">
            <v>3834.7386623484972</v>
          </cell>
          <cell r="Y161">
            <v>3671.1239639488103</v>
          </cell>
          <cell r="Z161">
            <v>3541.9140613330314</v>
          </cell>
          <cell r="AA161">
            <v>3460.9823311682812</v>
          </cell>
          <cell r="AB161">
            <v>3485.0649015845429</v>
          </cell>
          <cell r="AC161">
            <v>2331.0852532370918</v>
          </cell>
          <cell r="AD161">
            <v>2218.957650855396</v>
          </cell>
          <cell r="AE161">
            <v>2221.6761360003579</v>
          </cell>
          <cell r="AF161">
            <v>2205.1189160275894</v>
          </cell>
          <cell r="AG161">
            <v>2111.1000205330474</v>
          </cell>
          <cell r="AH161">
            <v>2005.1486381894883</v>
          </cell>
          <cell r="AI161">
            <v>1885.1512382425112</v>
          </cell>
          <cell r="AJ161">
            <v>1749.0407063352864</v>
          </cell>
          <cell r="AK161">
            <v>1594.7799087082269</v>
          </cell>
          <cell r="AL161">
            <v>1437.0695299581928</v>
          </cell>
          <cell r="AM161">
            <v>1141.8847908148332</v>
          </cell>
          <cell r="AN161">
            <v>977.72354058577741</v>
          </cell>
          <cell r="AO161">
            <v>822.08277840852202</v>
          </cell>
          <cell r="AP161">
            <v>658.04890090953791</v>
          </cell>
          <cell r="AQ161">
            <v>513.67961714407579</v>
          </cell>
          <cell r="AR161">
            <v>386.40674146908287</v>
          </cell>
          <cell r="AS161">
            <v>273.99183291305326</v>
          </cell>
          <cell r="AT161">
            <v>174.4837178188148</v>
          </cell>
          <cell r="AU161">
            <v>86.181480877793049</v>
          </cell>
        </row>
        <row r="162">
          <cell r="C162" t="str">
            <v>Blended Margin</v>
          </cell>
          <cell r="G162">
            <v>5.3274336283185841E-2</v>
          </cell>
          <cell r="H162">
            <v>0.06</v>
          </cell>
          <cell r="I162">
            <v>6.7435897435897438E-2</v>
          </cell>
          <cell r="J162">
            <v>7.4545454545454554E-2</v>
          </cell>
          <cell r="K162">
            <v>8.1282051282051293E-2</v>
          </cell>
          <cell r="L162">
            <v>8.9047619047619042E-2</v>
          </cell>
          <cell r="M162">
            <v>9.9330563987857487E-2</v>
          </cell>
          <cell r="N162">
            <v>0.10569481560662748</v>
          </cell>
          <cell r="O162">
            <v>0.11156360726940223</v>
          </cell>
          <cell r="P162">
            <v>0.11705390889198329</v>
          </cell>
          <cell r="Q162">
            <v>0.12222814219582495</v>
          </cell>
          <cell r="R162">
            <v>0.12180999663412992</v>
          </cell>
          <cell r="S162">
            <v>0.12141506384354292</v>
          </cell>
          <cell r="T162">
            <v>0.12105144369211612</v>
          </cell>
          <cell r="U162">
            <v>0.12071108120233288</v>
          </cell>
          <cell r="V162">
            <v>0.12039643139794232</v>
          </cell>
          <cell r="W162">
            <v>0.11906628487404711</v>
          </cell>
          <cell r="X162">
            <v>0.11776932211265426</v>
          </cell>
          <cell r="Y162">
            <v>0.11652566452319342</v>
          </cell>
          <cell r="Z162">
            <v>0.11535269013193443</v>
          </cell>
          <cell r="AA162">
            <v>0.11479747532072102</v>
          </cell>
          <cell r="AB162">
            <v>0.11689883367929486</v>
          </cell>
          <cell r="AC162">
            <v>0.11245347864456783</v>
          </cell>
          <cell r="AD162">
            <v>0.11156838143036386</v>
          </cell>
          <cell r="AE162">
            <v>0.1116061676839062</v>
          </cell>
          <cell r="AF162">
            <v>0.1116594756057086</v>
          </cell>
          <cell r="AG162">
            <v>0.11150816181689141</v>
          </cell>
          <cell r="AH162">
            <v>0.11138184947881802</v>
          </cell>
          <cell r="AI162">
            <v>0.11127939376578735</v>
          </cell>
          <cell r="AJ162">
            <v>0.11120056462660328</v>
          </cell>
          <cell r="AK162">
            <v>0.111146612666</v>
          </cell>
          <cell r="AL162">
            <v>0.11110823669043447</v>
          </cell>
          <cell r="AM162">
            <v>0.11013343504079805</v>
          </cell>
          <cell r="AN162">
            <v>0.11</v>
          </cell>
          <cell r="AO162">
            <v>0.11</v>
          </cell>
          <cell r="AP162">
            <v>0.11000000000000001</v>
          </cell>
          <cell r="AQ162">
            <v>0.11000000000000001</v>
          </cell>
          <cell r="AR162">
            <v>0.11</v>
          </cell>
          <cell r="AS162">
            <v>0.11000000000000001</v>
          </cell>
          <cell r="AT162">
            <v>0.10999999999999999</v>
          </cell>
          <cell r="AU162">
            <v>0.11</v>
          </cell>
        </row>
        <row r="163">
          <cell r="D163" t="str">
            <v>CHECK vs. Aero Model</v>
          </cell>
          <cell r="G163">
            <v>310.75</v>
          </cell>
          <cell r="H163">
            <v>306</v>
          </cell>
          <cell r="I163">
            <v>389.99999999999994</v>
          </cell>
          <cell r="J163">
            <v>483.99999999999994</v>
          </cell>
          <cell r="K163">
            <v>584.99999999999989</v>
          </cell>
          <cell r="L163">
            <v>682.49999999999989</v>
          </cell>
        </row>
        <row r="164">
          <cell r="D164" t="str">
            <v>Difference</v>
          </cell>
          <cell r="G164">
            <v>-9.75</v>
          </cell>
          <cell r="H164">
            <v>102</v>
          </cell>
          <cell r="I164">
            <v>136.00000000000006</v>
          </cell>
          <cell r="J164">
            <v>172.00000000000017</v>
          </cell>
          <cell r="K164">
            <v>207.50000000000023</v>
          </cell>
          <cell r="L164">
            <v>252.50000000000011</v>
          </cell>
        </row>
        <row r="165">
          <cell r="C165" t="str">
            <v>Margin (for chart)</v>
          </cell>
          <cell r="G165">
            <v>5.3274336283185839</v>
          </cell>
          <cell r="H165">
            <v>6</v>
          </cell>
          <cell r="I165">
            <v>6.7435897435897436</v>
          </cell>
          <cell r="J165">
            <v>7.454545454545455</v>
          </cell>
          <cell r="K165">
            <v>8.1282051282051295</v>
          </cell>
          <cell r="L165">
            <v>8.9047619047619051</v>
          </cell>
          <cell r="M165">
            <v>9.9330563987857481</v>
          </cell>
          <cell r="N165">
            <v>10.569481560662748</v>
          </cell>
          <cell r="O165">
            <v>11.156360726940223</v>
          </cell>
          <cell r="P165">
            <v>11.705390889198329</v>
          </cell>
          <cell r="Q165">
            <v>12.222814219582496</v>
          </cell>
          <cell r="R165">
            <v>12.180999663412992</v>
          </cell>
          <cell r="S165">
            <v>12.141506384354292</v>
          </cell>
          <cell r="T165">
            <v>12.105144369211612</v>
          </cell>
          <cell r="U165">
            <v>12.071108120233289</v>
          </cell>
          <cell r="V165">
            <v>12.039643139794231</v>
          </cell>
          <cell r="W165">
            <v>11.90662848740471</v>
          </cell>
          <cell r="X165">
            <v>11.776932211265425</v>
          </cell>
          <cell r="Y165">
            <v>11.652566452319341</v>
          </cell>
          <cell r="Z165">
            <v>11.535269013193442</v>
          </cell>
          <cell r="AA165">
            <v>11.479747532072102</v>
          </cell>
          <cell r="AB165">
            <v>11.689883367929486</v>
          </cell>
          <cell r="AC165">
            <v>11.245347864456782</v>
          </cell>
          <cell r="AD165">
            <v>11.156838143036387</v>
          </cell>
          <cell r="AE165">
            <v>11.16061676839062</v>
          </cell>
          <cell r="AF165">
            <v>11.16594756057086</v>
          </cell>
          <cell r="AG165">
            <v>11.150816181689141</v>
          </cell>
          <cell r="AH165">
            <v>11.138184947881802</v>
          </cell>
          <cell r="AI165">
            <v>11.127939376578736</v>
          </cell>
          <cell r="AJ165">
            <v>11.120056462660328</v>
          </cell>
          <cell r="AK165">
            <v>11.114661266599999</v>
          </cell>
          <cell r="AL165">
            <v>11.110823669043448</v>
          </cell>
          <cell r="AM165">
            <v>11.013343504079804</v>
          </cell>
          <cell r="AN165">
            <v>11</v>
          </cell>
          <cell r="AO165">
            <v>11</v>
          </cell>
          <cell r="AP165">
            <v>11.000000000000002</v>
          </cell>
          <cell r="AQ165">
            <v>11.000000000000002</v>
          </cell>
          <cell r="AR165">
            <v>11</v>
          </cell>
          <cell r="AS165">
            <v>11.000000000000002</v>
          </cell>
        </row>
        <row r="167">
          <cell r="C167" t="str">
            <v>EPS (Constant 2010E Share Count)</v>
          </cell>
        </row>
        <row r="168">
          <cell r="C168" t="str">
            <v>Development</v>
          </cell>
          <cell r="G168">
            <v>8.4782608695652184E-2</v>
          </cell>
          <cell r="H168">
            <v>7.9483695652173905E-2</v>
          </cell>
          <cell r="I168">
            <v>6.8885869565217389E-2</v>
          </cell>
          <cell r="J168">
            <v>5.8288043478260866E-2</v>
          </cell>
          <cell r="K168">
            <v>4.769021739130435E-2</v>
          </cell>
          <cell r="L168">
            <v>2.6494565217391304E-2</v>
          </cell>
          <cell r="M168">
            <v>0</v>
          </cell>
          <cell r="N168">
            <v>0</v>
          </cell>
          <cell r="O168">
            <v>0</v>
          </cell>
          <cell r="P168">
            <v>0</v>
          </cell>
          <cell r="Q168">
            <v>0</v>
          </cell>
          <cell r="R168">
            <v>0</v>
          </cell>
          <cell r="S168">
            <v>0</v>
          </cell>
          <cell r="T168">
            <v>0</v>
          </cell>
          <cell r="U168">
            <v>0</v>
          </cell>
          <cell r="V168">
            <v>0</v>
          </cell>
          <cell r="W168">
            <v>0</v>
          </cell>
          <cell r="X168">
            <v>0</v>
          </cell>
          <cell r="Y168">
            <v>0</v>
          </cell>
          <cell r="Z168">
            <v>0</v>
          </cell>
          <cell r="AA168">
            <v>0</v>
          </cell>
          <cell r="AB168">
            <v>0</v>
          </cell>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row>
        <row r="169">
          <cell r="C169" t="str">
            <v>U.S. DoD Production</v>
          </cell>
          <cell r="G169">
            <v>0.4080163043478261</v>
          </cell>
          <cell r="H169">
            <v>0.58288043478260865</v>
          </cell>
          <cell r="I169">
            <v>0.76304347826086971</v>
          </cell>
          <cell r="J169">
            <v>0.96440217391304373</v>
          </cell>
          <cell r="K169">
            <v>1.1869565217391307</v>
          </cell>
          <cell r="L169">
            <v>1.4307065217391304</v>
          </cell>
          <cell r="M169">
            <v>1.5642391304347822</v>
          </cell>
          <cell r="N169">
            <v>1.7035541779891301</v>
          </cell>
          <cell r="O169">
            <v>1.8488573284646734</v>
          </cell>
          <cell r="P169">
            <v>2.0003609151027506</v>
          </cell>
          <cell r="Q169">
            <v>2.1582841452424408</v>
          </cell>
          <cell r="R169">
            <v>2.2122412488735019</v>
          </cell>
          <cell r="S169">
            <v>2.2675472800953393</v>
          </cell>
          <cell r="T169">
            <v>2.3242359620977222</v>
          </cell>
          <cell r="U169">
            <v>2.3823418611501652</v>
          </cell>
          <cell r="V169">
            <v>2.4419004076789186</v>
          </cell>
          <cell r="W169">
            <v>2.5029479178708915</v>
          </cell>
          <cell r="X169">
            <v>2.5655216158176635</v>
          </cell>
          <cell r="Y169">
            <v>2.6296596562131054</v>
          </cell>
          <cell r="Z169">
            <v>2.6954011476184325</v>
          </cell>
          <cell r="AA169">
            <v>2.4517258074596344</v>
          </cell>
          <cell r="AB169">
            <v>0.68697813606364955</v>
          </cell>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row>
        <row r="170">
          <cell r="C170" t="str">
            <v>International Production</v>
          </cell>
          <cell r="G170">
            <v>0</v>
          </cell>
          <cell r="H170">
            <v>0</v>
          </cell>
          <cell r="I170">
            <v>0</v>
          </cell>
          <cell r="J170">
            <v>0</v>
          </cell>
          <cell r="K170">
            <v>0</v>
          </cell>
          <cell r="L170">
            <v>0</v>
          </cell>
          <cell r="M170">
            <v>0.36270794836956521</v>
          </cell>
          <cell r="N170">
            <v>0.7856391032608695</v>
          </cell>
          <cell r="O170">
            <v>1.2726301277598506</v>
          </cell>
          <cell r="P170">
            <v>1.8276981834833554</v>
          </cell>
          <cell r="Q170">
            <v>2.4550482152132775</v>
          </cell>
          <cell r="R170">
            <v>2.5164244205936095</v>
          </cell>
          <cell r="S170">
            <v>2.5793350311084491</v>
          </cell>
          <cell r="T170">
            <v>2.6438184068861603</v>
          </cell>
          <cell r="U170">
            <v>2.7099138670583138</v>
          </cell>
          <cell r="V170">
            <v>2.7776617137347714</v>
          </cell>
          <cell r="W170">
            <v>1.9929722796046987</v>
          </cell>
          <cell r="X170">
            <v>1.2986349729067042</v>
          </cell>
          <cell r="Y170">
            <v>0.68275004130360484</v>
          </cell>
          <cell r="Z170">
            <v>0.13494315267337048</v>
          </cell>
          <cell r="AA170">
            <v>0</v>
          </cell>
          <cell r="AB170">
            <v>1.648337570067322</v>
          </cell>
          <cell r="AC170">
            <v>0.23451738401379113</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row>
        <row r="171">
          <cell r="C171" t="str">
            <v>Spares and Sustainment</v>
          </cell>
          <cell r="G171">
            <v>3.8858695652173911E-2</v>
          </cell>
          <cell r="H171">
            <v>5.8288043478260866E-2</v>
          </cell>
          <cell r="I171">
            <v>9.7146739130434784E-2</v>
          </cell>
          <cell r="J171">
            <v>0.13600543478260871</v>
          </cell>
          <cell r="K171">
            <v>0.16514945652173912</v>
          </cell>
          <cell r="L171">
            <v>0.19429347826086957</v>
          </cell>
          <cell r="M171">
            <v>0.32421752717391306</v>
          </cell>
          <cell r="N171">
            <v>0.44663553328804345</v>
          </cell>
          <cell r="O171">
            <v>0.5917104297724185</v>
          </cell>
          <cell r="P171">
            <v>0.76091701554220426</v>
          </cell>
          <cell r="Q171">
            <v>0.95580013054310631</v>
          </cell>
          <cell r="R171">
            <v>1.1599518281593399</v>
          </cell>
          <cell r="S171">
            <v>1.3737137355747953</v>
          </cell>
          <cell r="T171">
            <v>1.5974387684684239</v>
          </cell>
          <cell r="U171">
            <v>1.8314914819220001</v>
          </cell>
          <cell r="V171">
            <v>2.076248431817961</v>
          </cell>
          <cell r="W171">
            <v>2.3015069613696535</v>
          </cell>
          <cell r="X171">
            <v>2.5100778431202717</v>
          </cell>
          <cell r="Y171">
            <v>2.7044174714211717</v>
          </cell>
          <cell r="Z171">
            <v>2.8866736763433969</v>
          </cell>
          <cell r="AA171">
            <v>3.0474698482079674</v>
          </cell>
          <cell r="AB171">
            <v>3.1910682862790969</v>
          </cell>
          <cell r="AC171">
            <v>3.2378548058244863</v>
          </cell>
          <cell r="AD171">
            <v>3.258194872537481</v>
          </cell>
          <cell r="AE171">
            <v>3.2464675528232685</v>
          </cell>
          <cell r="AF171">
            <v>3.2002802465560642</v>
          </cell>
          <cell r="AG171">
            <v>3.1236479887619883</v>
          </cell>
          <cell r="AH171">
            <v>3.0144247353312905</v>
          </cell>
          <cell r="AI171">
            <v>2.8703598514534403</v>
          </cell>
          <cell r="AJ171">
            <v>2.6890938154449073</v>
          </cell>
          <cell r="AK171">
            <v>2.4681537629396519</v>
          </cell>
          <cell r="AL171">
            <v>2.2344860241744806</v>
          </cell>
          <cell r="AM171">
            <v>1.9875923023692137</v>
          </cell>
          <cell r="AN171">
            <v>1.7269573407085741</v>
          </cell>
          <cell r="AO171">
            <v>1.4520483857759221</v>
          </cell>
          <cell r="AP171">
            <v>1.1623146347586946</v>
          </cell>
          <cell r="AQ171">
            <v>0.9073145411512209</v>
          </cell>
          <cell r="AR171">
            <v>0.68251190748615187</v>
          </cell>
          <cell r="AS171">
            <v>0.48395296574316471</v>
          </cell>
          <cell r="AT171">
            <v>0.30819134940823267</v>
          </cell>
          <cell r="AU171">
            <v>0.15222272437653664</v>
          </cell>
        </row>
        <row r="172">
          <cell r="C172" t="str">
            <v>Modernization and Upgrade</v>
          </cell>
          <cell r="G172">
            <v>0</v>
          </cell>
          <cell r="H172">
            <v>0</v>
          </cell>
          <cell r="I172">
            <v>0</v>
          </cell>
          <cell r="J172">
            <v>0</v>
          </cell>
          <cell r="K172">
            <v>0</v>
          </cell>
          <cell r="L172">
            <v>0</v>
          </cell>
          <cell r="M172">
            <v>0</v>
          </cell>
          <cell r="N172">
            <v>0</v>
          </cell>
          <cell r="O172">
            <v>0</v>
          </cell>
          <cell r="P172">
            <v>0</v>
          </cell>
          <cell r="Q172">
            <v>2.3980934947138242E-2</v>
          </cell>
          <cell r="R172">
            <v>4.1786779145388378E-2</v>
          </cell>
          <cell r="S172">
            <v>8.8182394225929883E-2</v>
          </cell>
          <cell r="T172">
            <v>0.12912422011654021</v>
          </cell>
          <cell r="U172">
            <v>0.19852848842918047</v>
          </cell>
          <cell r="V172">
            <v>0.27132226751987992</v>
          </cell>
          <cell r="W172">
            <v>0.33372638904945229</v>
          </cell>
          <cell r="X172">
            <v>0.39908114023830332</v>
          </cell>
          <cell r="Y172">
            <v>0.46749504999344105</v>
          </cell>
          <cell r="Z172">
            <v>0.53908022952368662</v>
          </cell>
          <cell r="AA172">
            <v>0.61395248362419863</v>
          </cell>
          <cell r="AB172">
            <v>0.62930129571480353</v>
          </cell>
          <cell r="AC172">
            <v>0.64503382810767362</v>
          </cell>
          <cell r="AD172">
            <v>0.66115967381036533</v>
          </cell>
          <cell r="AE172">
            <v>0.67768866565562436</v>
          </cell>
          <cell r="AF172">
            <v>0.69463088229701497</v>
          </cell>
          <cell r="AG172">
            <v>0.60519715620127434</v>
          </cell>
          <cell r="AH172">
            <v>0.52727802234036014</v>
          </cell>
          <cell r="AI172">
            <v>0.4593909769640388</v>
          </cell>
          <cell r="AJ172">
            <v>0.40024438867991879</v>
          </cell>
          <cell r="AK172">
            <v>0.34871292363737921</v>
          </cell>
          <cell r="AL172">
            <v>0.3038161347190666</v>
          </cell>
          <cell r="AM172">
            <v>2.9323768363508255E-2</v>
          </cell>
          <cell r="AN172">
            <v>0</v>
          </cell>
          <cell r="AO172">
            <v>0</v>
          </cell>
          <cell r="AP172">
            <v>0</v>
          </cell>
          <cell r="AQ172">
            <v>0</v>
          </cell>
          <cell r="AR172">
            <v>0</v>
          </cell>
          <cell r="AS172">
            <v>0</v>
          </cell>
          <cell r="AT172">
            <v>0</v>
          </cell>
          <cell r="AU172">
            <v>0</v>
          </cell>
        </row>
        <row r="173">
          <cell r="C173" t="str">
            <v>F-35 EPS</v>
          </cell>
          <cell r="G173">
            <v>0.53165760869565215</v>
          </cell>
          <cell r="H173">
            <v>0.72065217391304348</v>
          </cell>
          <cell r="I173">
            <v>0.92907608695652188</v>
          </cell>
          <cell r="J173">
            <v>1.1586956521739133</v>
          </cell>
          <cell r="K173">
            <v>1.3997961956521741</v>
          </cell>
          <cell r="L173">
            <v>1.6514945652173914</v>
          </cell>
          <cell r="M173">
            <v>2.2511646059782606</v>
          </cell>
          <cell r="N173">
            <v>2.9358288145380431</v>
          </cell>
          <cell r="O173">
            <v>3.7131978859969426</v>
          </cell>
          <cell r="P173">
            <v>4.5889761141283101</v>
          </cell>
          <cell r="Q173">
            <v>5.5931134259459627</v>
          </cell>
          <cell r="R173">
            <v>5.9304042767718395</v>
          </cell>
          <cell r="S173">
            <v>6.308778441004514</v>
          </cell>
          <cell r="T173">
            <v>6.6946173575688457</v>
          </cell>
          <cell r="U173">
            <v>7.1222756985596591</v>
          </cell>
          <cell r="V173">
            <v>7.5671328207515298</v>
          </cell>
          <cell r="W173">
            <v>7.1311535478946961</v>
          </cell>
          <cell r="X173">
            <v>6.773315572082943</v>
          </cell>
          <cell r="Y173">
            <v>6.4843222189313225</v>
          </cell>
          <cell r="Z173">
            <v>6.2560982061588861</v>
          </cell>
          <cell r="AA173">
            <v>6.113148139291801</v>
          </cell>
          <cell r="AB173">
            <v>6.1556852881248716</v>
          </cell>
          <cell r="AC173">
            <v>4.1174060179459513</v>
          </cell>
          <cell r="AD173">
            <v>3.9193545463478463</v>
          </cell>
          <cell r="AE173">
            <v>3.9241562184788927</v>
          </cell>
          <cell r="AF173">
            <v>3.8949111288530793</v>
          </cell>
          <cell r="AG173">
            <v>3.7288451449632625</v>
          </cell>
          <cell r="AH173">
            <v>3.5417027576716507</v>
          </cell>
          <cell r="AI173">
            <v>3.3297508284174793</v>
          </cell>
          <cell r="AJ173">
            <v>3.0893382041248261</v>
          </cell>
          <cell r="AK173">
            <v>2.8168666865770313</v>
          </cell>
          <cell r="AL173">
            <v>2.538302158893547</v>
          </cell>
          <cell r="AM173">
            <v>2.0169160707327221</v>
          </cell>
          <cell r="AN173">
            <v>1.7269573407085741</v>
          </cell>
          <cell r="AO173">
            <v>1.4520483857759221</v>
          </cell>
          <cell r="AP173">
            <v>1.1623146347586946</v>
          </cell>
          <cell r="AQ173">
            <v>0.9073145411512209</v>
          </cell>
          <cell r="AR173">
            <v>0.68251190748615187</v>
          </cell>
          <cell r="AS173">
            <v>0.48395296574316471</v>
          </cell>
          <cell r="AT173">
            <v>0.30819134940823267</v>
          </cell>
          <cell r="AU173">
            <v>0.15222272437653664</v>
          </cell>
        </row>
        <row r="175">
          <cell r="C175" t="str">
            <v>Tax Rate</v>
          </cell>
          <cell r="G175">
            <v>0.35</v>
          </cell>
        </row>
        <row r="176">
          <cell r="C176" t="str">
            <v>Shares</v>
          </cell>
          <cell r="G176">
            <v>368</v>
          </cell>
        </row>
        <row r="178">
          <cell r="B178" t="str">
            <v>Valuation Summary</v>
          </cell>
        </row>
        <row r="180">
          <cell r="C180" t="str">
            <v>Calendar Year</v>
          </cell>
          <cell r="G180">
            <v>2010</v>
          </cell>
          <cell r="H180">
            <v>2011</v>
          </cell>
          <cell r="I180">
            <v>2012</v>
          </cell>
          <cell r="J180">
            <v>2013</v>
          </cell>
          <cell r="K180">
            <v>2014</v>
          </cell>
          <cell r="L180">
            <v>2015</v>
          </cell>
          <cell r="M180">
            <v>2016</v>
          </cell>
          <cell r="N180">
            <v>2017</v>
          </cell>
          <cell r="O180">
            <v>2018</v>
          </cell>
          <cell r="P180">
            <v>2019</v>
          </cell>
          <cell r="Q180">
            <v>2020</v>
          </cell>
          <cell r="R180">
            <v>2021</v>
          </cell>
          <cell r="S180">
            <v>2022</v>
          </cell>
          <cell r="T180">
            <v>2023</v>
          </cell>
          <cell r="U180">
            <v>2024</v>
          </cell>
          <cell r="V180">
            <v>2025</v>
          </cell>
          <cell r="W180">
            <v>2026</v>
          </cell>
          <cell r="X180">
            <v>2027</v>
          </cell>
          <cell r="Y180">
            <v>2028</v>
          </cell>
          <cell r="Z180">
            <v>2029</v>
          </cell>
          <cell r="AA180">
            <v>2030</v>
          </cell>
          <cell r="AB180">
            <v>2031</v>
          </cell>
          <cell r="AC180">
            <v>2032</v>
          </cell>
          <cell r="AD180">
            <v>2033</v>
          </cell>
          <cell r="AE180">
            <v>2034</v>
          </cell>
          <cell r="AF180">
            <v>2035</v>
          </cell>
          <cell r="AG180">
            <v>2036</v>
          </cell>
          <cell r="AH180">
            <v>2037</v>
          </cell>
          <cell r="AI180">
            <v>2038</v>
          </cell>
          <cell r="AJ180">
            <v>2039</v>
          </cell>
          <cell r="AK180">
            <v>2040</v>
          </cell>
          <cell r="AL180">
            <v>2041</v>
          </cell>
          <cell r="AM180">
            <v>2042</v>
          </cell>
          <cell r="AN180">
            <v>2043</v>
          </cell>
          <cell r="AO180">
            <v>2044</v>
          </cell>
          <cell r="AP180">
            <v>2045</v>
          </cell>
          <cell r="AQ180">
            <v>2046</v>
          </cell>
          <cell r="AR180">
            <v>2047</v>
          </cell>
          <cell r="AS180">
            <v>2048</v>
          </cell>
          <cell r="AT180">
            <v>2049</v>
          </cell>
          <cell r="AU180">
            <v>2050</v>
          </cell>
        </row>
        <row r="182">
          <cell r="C182" t="str">
            <v>Present Value of F-35 EPS</v>
          </cell>
        </row>
        <row r="184">
          <cell r="C184" t="str">
            <v>PV of Lifetime Program</v>
          </cell>
          <cell r="K184" t="str">
            <v>PV of Next Ten Years</v>
          </cell>
          <cell r="U184" t="str">
            <v>PV of Next Five Years</v>
          </cell>
        </row>
        <row r="185">
          <cell r="C185" t="str">
            <v>Cost of Equity</v>
          </cell>
          <cell r="E185">
            <v>0.09</v>
          </cell>
          <cell r="F185">
            <v>9.5000000000000001E-2</v>
          </cell>
          <cell r="G185">
            <v>0.1</v>
          </cell>
          <cell r="H185">
            <v>0.105</v>
          </cell>
          <cell r="I185">
            <v>0.11</v>
          </cell>
          <cell r="K185" t="str">
            <v>Cost of Equity</v>
          </cell>
          <cell r="O185">
            <v>0.09</v>
          </cell>
          <cell r="P185">
            <v>9.5000000000000001E-2</v>
          </cell>
          <cell r="Q185">
            <v>0.1</v>
          </cell>
          <cell r="R185">
            <v>0.105</v>
          </cell>
          <cell r="S185">
            <v>0.11</v>
          </cell>
          <cell r="U185" t="str">
            <v>Cost of Equity</v>
          </cell>
          <cell r="Y185">
            <v>0.09</v>
          </cell>
          <cell r="Z185">
            <v>9.5000000000000001E-2</v>
          </cell>
          <cell r="AA185">
            <v>0.1</v>
          </cell>
          <cell r="AB185">
            <v>0.105</v>
          </cell>
          <cell r="AC185">
            <v>0.11</v>
          </cell>
        </row>
        <row r="187">
          <cell r="C187" t="str">
            <v>Development</v>
          </cell>
          <cell r="E187">
            <v>0.22691434601234042</v>
          </cell>
          <cell r="F187">
            <v>0.22443690349367001</v>
          </cell>
          <cell r="G187">
            <v>0.22200514629041349</v>
          </cell>
          <cell r="H187">
            <v>0.21961794982444441</v>
          </cell>
          <cell r="I187">
            <v>0.21727422339078592</v>
          </cell>
          <cell r="K187" t="str">
            <v>Development</v>
          </cell>
          <cell r="O187">
            <v>0.22691434601234042</v>
          </cell>
          <cell r="P187">
            <v>0.22443690349367001</v>
          </cell>
          <cell r="Q187">
            <v>0.22200514629041349</v>
          </cell>
          <cell r="R187">
            <v>0.21961794982444441</v>
          </cell>
          <cell r="S187">
            <v>0.21727422339078592</v>
          </cell>
          <cell r="U187" t="str">
            <v>Development</v>
          </cell>
          <cell r="Y187">
            <v>0.22691434601234042</v>
          </cell>
          <cell r="Z187">
            <v>0.22443690349367001</v>
          </cell>
          <cell r="AA187">
            <v>0.22200514629041349</v>
          </cell>
          <cell r="AB187">
            <v>0.21961794982444441</v>
          </cell>
          <cell r="AC187">
            <v>0.21727422339078592</v>
          </cell>
        </row>
        <row r="188">
          <cell r="C188" t="str">
            <v>U.S. DoD Production</v>
          </cell>
          <cell r="E188">
            <v>14.97739396905882</v>
          </cell>
          <cell r="F188">
            <v>14.313811801368541</v>
          </cell>
          <cell r="G188">
            <v>13.690563412563034</v>
          </cell>
          <cell r="H188">
            <v>13.104746028368105</v>
          </cell>
          <cell r="I188">
            <v>12.553690900436289</v>
          </cell>
          <cell r="K188" t="str">
            <v>U.S. DoD Production</v>
          </cell>
          <cell r="O188">
            <v>8.3176081354011551</v>
          </cell>
          <cell r="P188">
            <v>8.0969152339789936</v>
          </cell>
          <cell r="Q188">
            <v>7.8842695614686784</v>
          </cell>
          <cell r="R188">
            <v>7.6793201091552943</v>
          </cell>
          <cell r="S188">
            <v>7.4817332899479361</v>
          </cell>
          <cell r="U188" t="str">
            <v>U.S. DoD Production</v>
          </cell>
          <cell r="Y188">
            <v>3.6924175464346916</v>
          </cell>
          <cell r="Z188">
            <v>3.6376789662362095</v>
          </cell>
          <cell r="AA188">
            <v>3.5841388381428176</v>
          </cell>
          <cell r="AB188">
            <v>3.5317641538423885</v>
          </cell>
          <cell r="AC188">
            <v>3.4805229822044792</v>
          </cell>
        </row>
        <row r="189">
          <cell r="C189" t="str">
            <v>International Production</v>
          </cell>
          <cell r="E189">
            <v>8.7694806542524084</v>
          </cell>
          <cell r="F189">
            <v>8.2995034255780205</v>
          </cell>
          <cell r="G189">
            <v>7.8585296622938543</v>
          </cell>
          <cell r="H189">
            <v>7.4445463763818225</v>
          </cell>
          <cell r="I189">
            <v>7.0556950060670083</v>
          </cell>
          <cell r="K189" t="str">
            <v>International Production</v>
          </cell>
          <cell r="O189">
            <v>3.1632944538054515</v>
          </cell>
          <cell r="P189">
            <v>3.0405742764434511</v>
          </cell>
          <cell r="Q189">
            <v>2.9232374231133789</v>
          </cell>
          <cell r="R189">
            <v>2.8110215850210181</v>
          </cell>
          <cell r="S189">
            <v>2.7036784658847779</v>
          </cell>
          <cell r="U189" t="str">
            <v>International Production</v>
          </cell>
          <cell r="Y189">
            <v>0</v>
          </cell>
          <cell r="Z189">
            <v>0</v>
          </cell>
          <cell r="AA189">
            <v>0</v>
          </cell>
          <cell r="AB189">
            <v>0</v>
          </cell>
          <cell r="AC189">
            <v>0</v>
          </cell>
        </row>
        <row r="190">
          <cell r="C190" t="str">
            <v>Spares and Sustainment</v>
          </cell>
          <cell r="E190">
            <v>11.535427555924514</v>
          </cell>
          <cell r="F190">
            <v>10.634911923129135</v>
          </cell>
          <cell r="G190">
            <v>9.8196941709320757</v>
          </cell>
          <cell r="H190">
            <v>9.0805973218824452</v>
          </cell>
          <cell r="I190">
            <v>8.4095312313876498</v>
          </cell>
          <cell r="K190" t="str">
            <v>Spares and Sustainment</v>
          </cell>
          <cell r="O190">
            <v>1.9722287523867066</v>
          </cell>
          <cell r="P190">
            <v>1.9090135708300247</v>
          </cell>
          <cell r="Q190">
            <v>1.8483485468153686</v>
          </cell>
          <cell r="R190">
            <v>1.7901151041286676</v>
          </cell>
          <cell r="S190">
            <v>1.7342008162815321</v>
          </cell>
          <cell r="U190" t="str">
            <v>Spares and Sustainment</v>
          </cell>
          <cell r="Y190">
            <v>0.48353635418946633</v>
          </cell>
          <cell r="Z190">
            <v>0.47613590812442907</v>
          </cell>
          <cell r="AA190">
            <v>0.46889885238891366</v>
          </cell>
          <cell r="AB190">
            <v>0.46182067478473643</v>
          </cell>
          <cell r="AC190">
            <v>0.45489701048032921</v>
          </cell>
        </row>
        <row r="191">
          <cell r="C191" t="str">
            <v>Modernization and Upgrade</v>
          </cell>
          <cell r="E191">
            <v>1.4196895600541874</v>
          </cell>
          <cell r="F191">
            <v>1.2926297968374183</v>
          </cell>
          <cell r="G191">
            <v>1.178011380472952</v>
          </cell>
          <cell r="H191">
            <v>1.0745194293146472</v>
          </cell>
          <cell r="I191">
            <v>0.98098746554643079</v>
          </cell>
          <cell r="K191" t="str">
            <v>Modernization and Upgrade</v>
          </cell>
          <cell r="O191">
            <v>1.0129806081133692E-2</v>
          </cell>
          <cell r="P191">
            <v>9.6766474624460138E-3</v>
          </cell>
          <cell r="Q191">
            <v>9.2456885431152838E-3</v>
          </cell>
          <cell r="R191">
            <v>8.8357481970764134E-3</v>
          </cell>
          <cell r="S191">
            <v>8.4457130748822815E-3</v>
          </cell>
          <cell r="U191" t="str">
            <v>Modernization and Upgrade</v>
          </cell>
          <cell r="Y191">
            <v>0</v>
          </cell>
          <cell r="Z191">
            <v>0</v>
          </cell>
          <cell r="AA191">
            <v>0</v>
          </cell>
          <cell r="AB191">
            <v>0</v>
          </cell>
          <cell r="AC191">
            <v>0</v>
          </cell>
        </row>
        <row r="192">
          <cell r="C192" t="str">
            <v>Total Value per Share</v>
          </cell>
          <cell r="E192">
            <v>36.928906085302273</v>
          </cell>
          <cell r="F192">
            <v>34.765293850406778</v>
          </cell>
          <cell r="G192">
            <v>32.768803772552332</v>
          </cell>
          <cell r="H192">
            <v>30.924027105771465</v>
          </cell>
          <cell r="I192">
            <v>29.217178826828164</v>
          </cell>
          <cell r="K192" t="str">
            <v>Total Value per Share</v>
          </cell>
          <cell r="O192">
            <v>13.690175493686787</v>
          </cell>
          <cell r="P192">
            <v>13.280616632208584</v>
          </cell>
          <cell r="Q192">
            <v>12.887106366230954</v>
          </cell>
          <cell r="R192">
            <v>12.508910496326502</v>
          </cell>
          <cell r="S192">
            <v>12.145332508579914</v>
          </cell>
          <cell r="U192" t="str">
            <v>Total Value per Share</v>
          </cell>
          <cell r="Y192">
            <v>4.4028682466364986</v>
          </cell>
          <cell r="Z192">
            <v>4.3382517778543086</v>
          </cell>
          <cell r="AA192">
            <v>4.2750428368221449</v>
          </cell>
          <cell r="AB192">
            <v>4.2132027784515689</v>
          </cell>
          <cell r="AC192">
            <v>4.1526942160755942</v>
          </cell>
        </row>
        <row r="195">
          <cell r="C195" t="str">
            <v>F-35 Valuation Sensitivities</v>
          </cell>
        </row>
        <row r="196">
          <cell r="G196">
            <v>0.54887907608695652</v>
          </cell>
          <cell r="H196">
            <v>0.54048913043478264</v>
          </cell>
          <cell r="I196">
            <v>0.68885869565217384</v>
          </cell>
          <cell r="K196" t="str">
            <v>&lt;--- aero model forecasts…should be similar to our f-35 model base case)</v>
          </cell>
        </row>
        <row r="197">
          <cell r="G197">
            <v>368</v>
          </cell>
          <cell r="H197">
            <v>368</v>
          </cell>
          <cell r="I197">
            <v>368</v>
          </cell>
        </row>
        <row r="198">
          <cell r="C198" t="str">
            <v>Current LMT Stock Price</v>
          </cell>
          <cell r="E198">
            <v>72</v>
          </cell>
        </row>
        <row r="199">
          <cell r="C199" t="str">
            <v>Annual Dividend</v>
          </cell>
          <cell r="E199">
            <v>2.52</v>
          </cell>
        </row>
        <row r="200">
          <cell r="G200" t="str">
            <v>2010E</v>
          </cell>
          <cell r="H200" t="str">
            <v>2011E</v>
          </cell>
          <cell r="I200" t="str">
            <v>2012E</v>
          </cell>
        </row>
        <row r="201">
          <cell r="C201" t="str">
            <v>EPS from Operations</v>
          </cell>
          <cell r="G201">
            <v>6.8313858695652172</v>
          </cell>
          <cell r="H201">
            <v>6.1005828089244849</v>
          </cell>
          <cell r="I201">
            <v>8.0465174485125868</v>
          </cell>
        </row>
        <row r="202">
          <cell r="C202" t="str">
            <v>Less: F-35 EPS</v>
          </cell>
          <cell r="G202">
            <v>-0.53165760869565215</v>
          </cell>
          <cell r="H202">
            <v>-0.72065217391304348</v>
          </cell>
          <cell r="I202">
            <v>-0.92907608695652188</v>
          </cell>
          <cell r="K202" t="str">
            <v>Check vs aero model</v>
          </cell>
          <cell r="M202">
            <v>48.419375715102973</v>
          </cell>
          <cell r="O202" t="str">
            <v>+</v>
          </cell>
        </row>
        <row r="203">
          <cell r="C203" t="str">
            <v>LMT EPS excl. F-35</v>
          </cell>
          <cell r="G203">
            <v>6.2997282608695651</v>
          </cell>
          <cell r="H203">
            <v>5.3799306350114415</v>
          </cell>
          <cell r="I203">
            <v>7.1174413615560645</v>
          </cell>
        </row>
        <row r="206">
          <cell r="C206" t="str">
            <v>RemainCo LMT Valuation Assuming a Value for F-35</v>
          </cell>
          <cell r="L206" t="str">
            <v>F-35 Value Assuming Peer Multiple on RemainCo</v>
          </cell>
          <cell r="T206" t="str">
            <v>Steady-State RemainCo Earnings + F-35 Intrinsic Value</v>
          </cell>
        </row>
        <row r="208">
          <cell r="G208" t="str">
            <v xml:space="preserve">JSF </v>
          </cell>
          <cell r="H208" t="str">
            <v>RemainCo LMT P/E</v>
          </cell>
          <cell r="U208" t="str">
            <v>Cost of</v>
          </cell>
          <cell r="W208" t="str">
            <v>Non F-35 Steady</v>
          </cell>
          <cell r="X208" t="str">
            <v>F-35</v>
          </cell>
          <cell r="Y208" t="str">
            <v>Full</v>
          </cell>
          <cell r="AB208" t="str">
            <v>F-35 In</v>
          </cell>
          <cell r="AD208" t="str">
            <v>Dividend</v>
          </cell>
        </row>
        <row r="209">
          <cell r="G209" t="str">
            <v xml:space="preserve">Value </v>
          </cell>
          <cell r="H209" t="str">
            <v>2010E</v>
          </cell>
          <cell r="I209" t="str">
            <v>2011E</v>
          </cell>
          <cell r="J209" t="str">
            <v>2012E</v>
          </cell>
          <cell r="P209" t="str">
            <v>2010E</v>
          </cell>
          <cell r="Q209" t="str">
            <v>2011E</v>
          </cell>
          <cell r="R209" t="str">
            <v>2012E</v>
          </cell>
          <cell r="U209" t="str">
            <v>Equity</v>
          </cell>
          <cell r="W209" t="str">
            <v>State Value</v>
          </cell>
          <cell r="X209" t="str">
            <v>Equity</v>
          </cell>
          <cell r="Y209" t="str">
            <v>Value</v>
          </cell>
          <cell r="Z209" t="str">
            <v>Upside</v>
          </cell>
          <cell r="AB209" t="str">
            <v>Price</v>
          </cell>
          <cell r="AD209" t="str">
            <v>Value</v>
          </cell>
        </row>
        <row r="210">
          <cell r="G210">
            <v>0</v>
          </cell>
          <cell r="H210">
            <v>11.429064400638399</v>
          </cell>
          <cell r="I210">
            <v>13.383072177815706</v>
          </cell>
          <cell r="J210">
            <v>10.115994827705734</v>
          </cell>
          <cell r="L210" t="str">
            <v>Defense Peer P/E Multiple</v>
          </cell>
          <cell r="P210">
            <v>9.5</v>
          </cell>
          <cell r="Q210">
            <v>8.5</v>
          </cell>
          <cell r="R210">
            <v>8</v>
          </cell>
          <cell r="U210">
            <v>0.09</v>
          </cell>
          <cell r="W210">
            <v>69.996980676328505</v>
          </cell>
          <cell r="X210">
            <v>36.928906085302273</v>
          </cell>
          <cell r="Y210">
            <v>106.92588676163078</v>
          </cell>
          <cell r="Z210">
            <v>0.48508176057820518</v>
          </cell>
          <cell r="AB210">
            <v>2.003019323671495</v>
          </cell>
          <cell r="AD210">
            <v>28</v>
          </cell>
          <cell r="AE210">
            <v>97.996980676328505</v>
          </cell>
        </row>
        <row r="211">
          <cell r="G211">
            <v>5</v>
          </cell>
          <cell r="H211">
            <v>10.635379372816288</v>
          </cell>
          <cell r="I211">
            <v>12.453692165467391</v>
          </cell>
          <cell r="J211">
            <v>9.4134951868928347</v>
          </cell>
          <cell r="L211" t="str">
            <v>LMT EPS excl. F-35</v>
          </cell>
          <cell r="P211">
            <v>6.2997282608695651</v>
          </cell>
          <cell r="Q211">
            <v>5.3799306350114415</v>
          </cell>
          <cell r="R211">
            <v>7.1174413615560645</v>
          </cell>
          <cell r="U211">
            <v>9.5000000000000001E-2</v>
          </cell>
          <cell r="W211">
            <v>66.312929061784899</v>
          </cell>
          <cell r="X211">
            <v>34.765293850406778</v>
          </cell>
          <cell r="Y211">
            <v>101.07822291219168</v>
          </cell>
          <cell r="Z211">
            <v>0.40386420711377324</v>
          </cell>
          <cell r="AB211">
            <v>5.6870709382151006</v>
          </cell>
          <cell r="AD211">
            <v>26.526315789473685</v>
          </cell>
          <cell r="AE211">
            <v>92.839244851258584</v>
          </cell>
        </row>
        <row r="212">
          <cell r="G212">
            <v>10</v>
          </cell>
          <cell r="H212">
            <v>9.8416943449941776</v>
          </cell>
          <cell r="I212">
            <v>11.524312153119078</v>
          </cell>
          <cell r="J212">
            <v>8.7109955460799373</v>
          </cell>
          <cell r="L212" t="str">
            <v>LMT Value excl. F-35</v>
          </cell>
          <cell r="P212">
            <v>59.84741847826087</v>
          </cell>
          <cell r="Q212">
            <v>45.729410397597256</v>
          </cell>
          <cell r="R212">
            <v>56.939530892448516</v>
          </cell>
          <cell r="U212">
            <v>0.1</v>
          </cell>
          <cell r="W212">
            <v>62.997282608695649</v>
          </cell>
          <cell r="X212">
            <v>32.768803772552332</v>
          </cell>
          <cell r="Y212">
            <v>95.766086381247987</v>
          </cell>
          <cell r="Z212">
            <v>0.33008453307288876</v>
          </cell>
          <cell r="AB212">
            <v>9.0027173913043512</v>
          </cell>
          <cell r="AD212">
            <v>25.2</v>
          </cell>
          <cell r="AE212">
            <v>88.197282608695645</v>
          </cell>
        </row>
        <row r="213">
          <cell r="G213">
            <v>15</v>
          </cell>
          <cell r="H213">
            <v>9.0480093171720668</v>
          </cell>
          <cell r="I213">
            <v>10.594932140770766</v>
          </cell>
          <cell r="J213">
            <v>8.0084959052670381</v>
          </cell>
          <cell r="U213">
            <v>0.105</v>
          </cell>
          <cell r="W213">
            <v>59.997412008281572</v>
          </cell>
          <cell r="X213">
            <v>30.924027105771465</v>
          </cell>
          <cell r="Y213">
            <v>90.921439114053044</v>
          </cell>
          <cell r="Z213">
            <v>0.26279776547295897</v>
          </cell>
          <cell r="AB213">
            <v>12.002587991718428</v>
          </cell>
          <cell r="AD213">
            <v>24</v>
          </cell>
          <cell r="AE213">
            <v>83.997412008281572</v>
          </cell>
        </row>
        <row r="214">
          <cell r="G214">
            <v>20</v>
          </cell>
          <cell r="H214">
            <v>8.2543242893499542</v>
          </cell>
          <cell r="I214">
            <v>9.665552128422453</v>
          </cell>
          <cell r="J214">
            <v>7.3059962644541407</v>
          </cell>
          <cell r="L214" t="str">
            <v>Implied F-35 Value</v>
          </cell>
          <cell r="P214">
            <v>12.15258152173913</v>
          </cell>
          <cell r="Q214">
            <v>26.270589602402744</v>
          </cell>
          <cell r="R214">
            <v>15.060469107551484</v>
          </cell>
          <cell r="U214">
            <v>0.11</v>
          </cell>
          <cell r="W214">
            <v>57.270256916996047</v>
          </cell>
          <cell r="X214">
            <v>29.217178826828164</v>
          </cell>
          <cell r="Y214">
            <v>86.487435743824207</v>
          </cell>
          <cell r="Z214">
            <v>0.20121438533089187</v>
          </cell>
          <cell r="AB214">
            <v>14.729743083003953</v>
          </cell>
          <cell r="AD214">
            <v>22.90909090909091</v>
          </cell>
          <cell r="AE214">
            <v>80.179347826086953</v>
          </cell>
        </row>
        <row r="215">
          <cell r="G215">
            <v>25</v>
          </cell>
          <cell r="H215">
            <v>7.4606392615278443</v>
          </cell>
          <cell r="I215">
            <v>8.7361721160741403</v>
          </cell>
          <cell r="J215">
            <v>6.6034966236412425</v>
          </cell>
          <cell r="L215" t="str">
            <v>F-35 EPS</v>
          </cell>
          <cell r="P215">
            <v>0.53165760869565215</v>
          </cell>
          <cell r="Q215">
            <v>0.72065217391304348</v>
          </cell>
          <cell r="R215">
            <v>0.92907608695652188</v>
          </cell>
        </row>
        <row r="216">
          <cell r="G216">
            <v>30</v>
          </cell>
          <cell r="H216">
            <v>6.6669542337057326</v>
          </cell>
          <cell r="I216">
            <v>7.8067921037258277</v>
          </cell>
          <cell r="J216">
            <v>5.9009969828283442</v>
          </cell>
          <cell r="L216" t="str">
            <v>P/E</v>
          </cell>
          <cell r="P216">
            <v>22.857909532328136</v>
          </cell>
          <cell r="Q216">
            <v>36.453910157180275</v>
          </cell>
          <cell r="R216">
            <v>16.210156863348772</v>
          </cell>
        </row>
        <row r="217">
          <cell r="G217">
            <v>35</v>
          </cell>
          <cell r="H217">
            <v>5.8732692058836218</v>
          </cell>
          <cell r="I217">
            <v>6.877412091377515</v>
          </cell>
          <cell r="J217">
            <v>5.1984973420154459</v>
          </cell>
        </row>
        <row r="221">
          <cell r="C221" t="str">
            <v>Official Program Delivery Schedule</v>
          </cell>
        </row>
        <row r="223">
          <cell r="C223" t="str">
            <v>Source:</v>
          </cell>
          <cell r="E223" t="str">
            <v>http://www.jsf.mil/downloads/documents/JSF_PSFD_MOU_-_Update_12_2009.PDF</v>
          </cell>
        </row>
        <row r="224">
          <cell r="D224" t="str">
            <v>NOTE 2 yrs forward</v>
          </cell>
        </row>
        <row r="226">
          <cell r="C226" t="str">
            <v>Total</v>
          </cell>
          <cell r="E226">
            <v>3172.9999999999995</v>
          </cell>
          <cell r="F226">
            <v>31</v>
          </cell>
          <cell r="G226">
            <v>32</v>
          </cell>
          <cell r="H226">
            <v>52</v>
          </cell>
          <cell r="I226">
            <v>70</v>
          </cell>
          <cell r="J226">
            <v>156</v>
          </cell>
          <cell r="K226">
            <v>177</v>
          </cell>
          <cell r="L226">
            <v>240</v>
          </cell>
          <cell r="M226">
            <v>227</v>
          </cell>
          <cell r="N226">
            <v>219</v>
          </cell>
          <cell r="O226">
            <v>212</v>
          </cell>
          <cell r="P226">
            <v>186</v>
          </cell>
          <cell r="Q226">
            <v>183</v>
          </cell>
          <cell r="R226">
            <v>171</v>
          </cell>
          <cell r="S226">
            <v>152</v>
          </cell>
          <cell r="T226">
            <v>158</v>
          </cell>
          <cell r="U226">
            <v>129</v>
          </cell>
          <cell r="V226">
            <v>119</v>
          </cell>
          <cell r="W226">
            <v>117</v>
          </cell>
          <cell r="X226">
            <v>93</v>
          </cell>
          <cell r="Y226">
            <v>80</v>
          </cell>
          <cell r="Z226">
            <v>33.545454545454547</v>
          </cell>
          <cell r="AA226">
            <v>33.545454545454547</v>
          </cell>
          <cell r="AB226">
            <v>33.545454545454547</v>
          </cell>
          <cell r="AC226">
            <v>33.545454545454547</v>
          </cell>
          <cell r="AD226">
            <v>33.545454545454547</v>
          </cell>
          <cell r="AE226">
            <v>33.545454545454547</v>
          </cell>
          <cell r="AF226">
            <v>33.545454545454547</v>
          </cell>
          <cell r="AG226">
            <v>33.545454545454547</v>
          </cell>
          <cell r="AH226">
            <v>33.545454545454547</v>
          </cell>
          <cell r="AI226">
            <v>33.545454545454547</v>
          </cell>
          <cell r="AJ226">
            <v>33.545454545454547</v>
          </cell>
        </row>
        <row r="228">
          <cell r="C228" t="str">
            <v>U.S. Deliveries</v>
          </cell>
          <cell r="F228">
            <v>1250</v>
          </cell>
        </row>
        <row r="229">
          <cell r="D229" t="str">
            <v>Air Force</v>
          </cell>
          <cell r="E229">
            <v>1763</v>
          </cell>
          <cell r="F229">
            <v>910</v>
          </cell>
        </row>
        <row r="230">
          <cell r="D230" t="str">
            <v>Navy</v>
          </cell>
          <cell r="E230">
            <v>339.99999999999977</v>
          </cell>
          <cell r="F230">
            <v>0</v>
          </cell>
        </row>
        <row r="231">
          <cell r="D231" t="str">
            <v>Marine Corps</v>
          </cell>
          <cell r="E231">
            <v>339.99999999999977</v>
          </cell>
          <cell r="F231">
            <v>340</v>
          </cell>
        </row>
        <row r="232">
          <cell r="C232" t="str">
            <v>Total Deliveries</v>
          </cell>
          <cell r="E232">
            <v>2442.9999999999995</v>
          </cell>
          <cell r="F232">
            <v>28</v>
          </cell>
          <cell r="G232">
            <v>30</v>
          </cell>
          <cell r="H232">
            <v>52</v>
          </cell>
          <cell r="I232">
            <v>62</v>
          </cell>
          <cell r="J232">
            <v>123</v>
          </cell>
          <cell r="K232">
            <v>110</v>
          </cell>
          <cell r="L232">
            <v>146</v>
          </cell>
          <cell r="M232">
            <v>130</v>
          </cell>
          <cell r="N232">
            <v>130</v>
          </cell>
          <cell r="O232">
            <v>130</v>
          </cell>
          <cell r="P232">
            <v>130</v>
          </cell>
          <cell r="Q232">
            <v>130</v>
          </cell>
          <cell r="R232">
            <v>130</v>
          </cell>
          <cell r="S232">
            <v>130</v>
          </cell>
          <cell r="T232">
            <v>130</v>
          </cell>
          <cell r="U232">
            <v>115</v>
          </cell>
          <cell r="V232">
            <v>105</v>
          </cell>
          <cell r="W232">
            <v>103</v>
          </cell>
          <cell r="X232">
            <v>80</v>
          </cell>
          <cell r="Y232">
            <v>80</v>
          </cell>
          <cell r="Z232">
            <v>33.545454545454547</v>
          </cell>
          <cell r="AA232">
            <v>33.545454545454547</v>
          </cell>
          <cell r="AB232">
            <v>33.545454545454547</v>
          </cell>
          <cell r="AC232">
            <v>33.545454545454547</v>
          </cell>
          <cell r="AD232">
            <v>33.545454545454547</v>
          </cell>
          <cell r="AE232">
            <v>33.545454545454547</v>
          </cell>
          <cell r="AF232">
            <v>33.545454545454547</v>
          </cell>
          <cell r="AG232">
            <v>33.545454545454547</v>
          </cell>
          <cell r="AH232">
            <v>33.545454545454547</v>
          </cell>
          <cell r="AI232">
            <v>33.545454545454547</v>
          </cell>
          <cell r="AJ232">
            <v>33.545454545454547</v>
          </cell>
        </row>
        <row r="233">
          <cell r="G233">
            <v>0.9375</v>
          </cell>
          <cell r="H233">
            <v>1</v>
          </cell>
          <cell r="I233">
            <v>0.88571428571428568</v>
          </cell>
          <cell r="J233">
            <v>0.78846153846153844</v>
          </cell>
          <cell r="K233">
            <v>0.62146892655367236</v>
          </cell>
          <cell r="L233">
            <v>0.60833333333333328</v>
          </cell>
          <cell r="M233">
            <v>0.57268722466960353</v>
          </cell>
          <cell r="N233">
            <v>0.59360730593607303</v>
          </cell>
          <cell r="O233">
            <v>0.6132075471698113</v>
          </cell>
          <cell r="P233">
            <v>0.69892473118279574</v>
          </cell>
          <cell r="Q233">
            <v>0.7103825136612022</v>
          </cell>
          <cell r="R233">
            <v>0.76023391812865493</v>
          </cell>
          <cell r="S233">
            <v>0.85526315789473684</v>
          </cell>
          <cell r="T233">
            <v>0.82278481012658233</v>
          </cell>
          <cell r="U233">
            <v>0.89147286821705429</v>
          </cell>
          <cell r="V233">
            <v>0.88235294117647056</v>
          </cell>
          <cell r="W233">
            <v>0.88034188034188032</v>
          </cell>
          <cell r="X233">
            <v>0.86021505376344087</v>
          </cell>
          <cell r="Y233">
            <v>1</v>
          </cell>
          <cell r="Z233">
            <v>1</v>
          </cell>
          <cell r="AA233">
            <v>1</v>
          </cell>
          <cell r="AB233">
            <v>1</v>
          </cell>
          <cell r="AC233">
            <v>1</v>
          </cell>
          <cell r="AD233">
            <v>1</v>
          </cell>
          <cell r="AE233">
            <v>1</v>
          </cell>
          <cell r="AF233">
            <v>1</v>
          </cell>
        </row>
        <row r="234">
          <cell r="C234" t="str">
            <v>International Deliveries (Existing)</v>
          </cell>
        </row>
        <row r="235">
          <cell r="D235" t="str">
            <v>Australia</v>
          </cell>
          <cell r="E235">
            <v>100</v>
          </cell>
          <cell r="F235">
            <v>0</v>
          </cell>
          <cell r="G235">
            <v>0</v>
          </cell>
          <cell r="H235">
            <v>0</v>
          </cell>
          <cell r="I235">
            <v>2</v>
          </cell>
          <cell r="J235">
            <v>4</v>
          </cell>
          <cell r="K235">
            <v>8</v>
          </cell>
          <cell r="L235">
            <v>15</v>
          </cell>
          <cell r="M235">
            <v>15</v>
          </cell>
          <cell r="N235">
            <v>15</v>
          </cell>
          <cell r="O235">
            <v>13</v>
          </cell>
          <cell r="P235">
            <v>0</v>
          </cell>
          <cell r="Q235">
            <v>15</v>
          </cell>
          <cell r="R235">
            <v>13</v>
          </cell>
          <cell r="S235">
            <v>0</v>
          </cell>
          <cell r="T235">
            <v>0</v>
          </cell>
          <cell r="U235">
            <v>0</v>
          </cell>
          <cell r="V235">
            <v>0</v>
          </cell>
          <cell r="W235">
            <v>0</v>
          </cell>
          <cell r="X235">
            <v>0</v>
          </cell>
          <cell r="Y235">
            <v>0</v>
          </cell>
          <cell r="Z235">
            <v>0</v>
          </cell>
          <cell r="AA235">
            <v>0</v>
          </cell>
          <cell r="AB235">
            <v>0</v>
          </cell>
          <cell r="AC235">
            <v>0</v>
          </cell>
          <cell r="AD235">
            <v>0</v>
          </cell>
          <cell r="AE235">
            <v>0</v>
          </cell>
          <cell r="AF235">
            <v>0</v>
          </cell>
          <cell r="AG235">
            <v>0</v>
          </cell>
          <cell r="AH235">
            <v>0</v>
          </cell>
          <cell r="AI235">
            <v>0</v>
          </cell>
          <cell r="AJ235">
            <v>0</v>
          </cell>
        </row>
        <row r="236">
          <cell r="D236" t="str">
            <v>Canada</v>
          </cell>
          <cell r="E236">
            <v>80</v>
          </cell>
          <cell r="F236">
            <v>0</v>
          </cell>
          <cell r="G236">
            <v>0</v>
          </cell>
          <cell r="H236">
            <v>0</v>
          </cell>
          <cell r="I236">
            <v>0</v>
          </cell>
          <cell r="J236">
            <v>0</v>
          </cell>
          <cell r="K236">
            <v>16</v>
          </cell>
          <cell r="L236">
            <v>16</v>
          </cell>
          <cell r="M236">
            <v>16</v>
          </cell>
          <cell r="N236">
            <v>16</v>
          </cell>
          <cell r="O236">
            <v>16</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row>
        <row r="237">
          <cell r="D237" t="str">
            <v>Denmark</v>
          </cell>
          <cell r="E237">
            <v>48</v>
          </cell>
          <cell r="F237">
            <v>0</v>
          </cell>
          <cell r="G237">
            <v>0</v>
          </cell>
          <cell r="H237">
            <v>0</v>
          </cell>
          <cell r="I237">
            <v>0</v>
          </cell>
          <cell r="J237">
            <v>0</v>
          </cell>
          <cell r="K237">
            <v>8</v>
          </cell>
          <cell r="L237">
            <v>8</v>
          </cell>
          <cell r="M237">
            <v>8</v>
          </cell>
          <cell r="N237">
            <v>8</v>
          </cell>
          <cell r="O237">
            <v>8</v>
          </cell>
          <cell r="P237">
            <v>8</v>
          </cell>
          <cell r="Q237">
            <v>0</v>
          </cell>
          <cell r="R237">
            <v>0</v>
          </cell>
          <cell r="S237">
            <v>0</v>
          </cell>
          <cell r="T237">
            <v>0</v>
          </cell>
          <cell r="U237">
            <v>0</v>
          </cell>
          <cell r="V237">
            <v>0</v>
          </cell>
          <cell r="W237">
            <v>0</v>
          </cell>
          <cell r="X237">
            <v>0</v>
          </cell>
          <cell r="Y237">
            <v>0</v>
          </cell>
          <cell r="Z237">
            <v>0</v>
          </cell>
          <cell r="AA237">
            <v>0</v>
          </cell>
          <cell r="AB237">
            <v>0</v>
          </cell>
          <cell r="AC237">
            <v>0</v>
          </cell>
          <cell r="AD237">
            <v>0</v>
          </cell>
          <cell r="AE237">
            <v>0</v>
          </cell>
          <cell r="AF237">
            <v>0</v>
          </cell>
          <cell r="AG237">
            <v>0</v>
          </cell>
          <cell r="AH237">
            <v>0</v>
          </cell>
          <cell r="AI237">
            <v>0</v>
          </cell>
          <cell r="AJ237">
            <v>0</v>
          </cell>
        </row>
        <row r="238">
          <cell r="D238" t="str">
            <v>Italy</v>
          </cell>
          <cell r="E238">
            <v>131</v>
          </cell>
          <cell r="F238">
            <v>0</v>
          </cell>
          <cell r="G238">
            <v>0</v>
          </cell>
          <cell r="H238">
            <v>0</v>
          </cell>
          <cell r="I238">
            <v>4</v>
          </cell>
          <cell r="J238">
            <v>12</v>
          </cell>
          <cell r="K238">
            <v>12</v>
          </cell>
          <cell r="L238">
            <v>12</v>
          </cell>
          <cell r="M238">
            <v>13</v>
          </cell>
          <cell r="N238">
            <v>13</v>
          </cell>
          <cell r="O238">
            <v>13</v>
          </cell>
          <cell r="P238">
            <v>12</v>
          </cell>
          <cell r="Q238">
            <v>10</v>
          </cell>
          <cell r="R238">
            <v>10</v>
          </cell>
          <cell r="S238">
            <v>10</v>
          </cell>
          <cell r="T238">
            <v>10</v>
          </cell>
          <cell r="U238">
            <v>0</v>
          </cell>
          <cell r="V238">
            <v>0</v>
          </cell>
          <cell r="W238">
            <v>0</v>
          </cell>
          <cell r="X238">
            <v>0</v>
          </cell>
          <cell r="Y238">
            <v>0</v>
          </cell>
          <cell r="Z238">
            <v>0</v>
          </cell>
          <cell r="AA238">
            <v>0</v>
          </cell>
          <cell r="AB238">
            <v>0</v>
          </cell>
          <cell r="AC238">
            <v>0</v>
          </cell>
          <cell r="AD238">
            <v>0</v>
          </cell>
          <cell r="AE238">
            <v>0</v>
          </cell>
          <cell r="AF238">
            <v>0</v>
          </cell>
          <cell r="AG238">
            <v>0</v>
          </cell>
          <cell r="AH238">
            <v>0</v>
          </cell>
          <cell r="AI238">
            <v>0</v>
          </cell>
          <cell r="AJ238">
            <v>0</v>
          </cell>
        </row>
        <row r="239">
          <cell r="D239" t="str">
            <v>Netherlands</v>
          </cell>
          <cell r="E239">
            <v>85</v>
          </cell>
          <cell r="F239">
            <v>1</v>
          </cell>
          <cell r="G239">
            <v>1</v>
          </cell>
          <cell r="H239">
            <v>0</v>
          </cell>
          <cell r="I239">
            <v>2</v>
          </cell>
          <cell r="J239">
            <v>4</v>
          </cell>
          <cell r="K239">
            <v>9</v>
          </cell>
          <cell r="L239">
            <v>10</v>
          </cell>
          <cell r="M239">
            <v>10</v>
          </cell>
          <cell r="N239">
            <v>10</v>
          </cell>
          <cell r="O239">
            <v>10</v>
          </cell>
          <cell r="P239">
            <v>10</v>
          </cell>
          <cell r="Q239">
            <v>10</v>
          </cell>
          <cell r="R239">
            <v>8</v>
          </cell>
          <cell r="S239">
            <v>0</v>
          </cell>
          <cell r="T239">
            <v>0</v>
          </cell>
          <cell r="U239">
            <v>0</v>
          </cell>
          <cell r="V239">
            <v>0</v>
          </cell>
          <cell r="W239">
            <v>0</v>
          </cell>
          <cell r="X239">
            <v>0</v>
          </cell>
          <cell r="Y239">
            <v>0</v>
          </cell>
          <cell r="Z239">
            <v>0</v>
          </cell>
          <cell r="AA239">
            <v>0</v>
          </cell>
          <cell r="AB239">
            <v>0</v>
          </cell>
          <cell r="AC239">
            <v>0</v>
          </cell>
          <cell r="AD239">
            <v>0</v>
          </cell>
          <cell r="AE239">
            <v>0</v>
          </cell>
          <cell r="AF239">
            <v>0</v>
          </cell>
          <cell r="AG239">
            <v>0</v>
          </cell>
          <cell r="AH239">
            <v>0</v>
          </cell>
          <cell r="AI239">
            <v>0</v>
          </cell>
          <cell r="AJ239">
            <v>0</v>
          </cell>
        </row>
        <row r="240">
          <cell r="D240" t="str">
            <v>Norway</v>
          </cell>
          <cell r="E240">
            <v>48</v>
          </cell>
          <cell r="F240">
            <v>0</v>
          </cell>
          <cell r="G240">
            <v>0</v>
          </cell>
          <cell r="H240">
            <v>0</v>
          </cell>
          <cell r="I240">
            <v>0</v>
          </cell>
          <cell r="J240">
            <v>0</v>
          </cell>
          <cell r="K240">
            <v>8</v>
          </cell>
          <cell r="L240">
            <v>12</v>
          </cell>
          <cell r="M240">
            <v>12</v>
          </cell>
          <cell r="N240">
            <v>12</v>
          </cell>
          <cell r="O240">
            <v>4</v>
          </cell>
          <cell r="P240">
            <v>0</v>
          </cell>
          <cell r="Q240">
            <v>0</v>
          </cell>
          <cell r="R240">
            <v>0</v>
          </cell>
          <cell r="S240">
            <v>0</v>
          </cell>
          <cell r="T240">
            <v>0</v>
          </cell>
          <cell r="U240">
            <v>0</v>
          </cell>
          <cell r="V240">
            <v>0</v>
          </cell>
          <cell r="W240">
            <v>0</v>
          </cell>
          <cell r="X240">
            <v>0</v>
          </cell>
          <cell r="Y240">
            <v>0</v>
          </cell>
          <cell r="Z240">
            <v>0</v>
          </cell>
          <cell r="AA240">
            <v>0</v>
          </cell>
          <cell r="AB240">
            <v>0</v>
          </cell>
          <cell r="AC240">
            <v>0</v>
          </cell>
          <cell r="AD240">
            <v>0</v>
          </cell>
          <cell r="AE240">
            <v>0</v>
          </cell>
          <cell r="AF240">
            <v>0</v>
          </cell>
          <cell r="AG240">
            <v>0</v>
          </cell>
          <cell r="AH240">
            <v>0</v>
          </cell>
          <cell r="AI240">
            <v>0</v>
          </cell>
          <cell r="AJ240">
            <v>0</v>
          </cell>
        </row>
        <row r="241">
          <cell r="D241" t="str">
            <v>Turkey</v>
          </cell>
          <cell r="E241">
            <v>100</v>
          </cell>
          <cell r="F241">
            <v>0</v>
          </cell>
          <cell r="G241">
            <v>0</v>
          </cell>
          <cell r="H241">
            <v>0</v>
          </cell>
          <cell r="I241">
            <v>0</v>
          </cell>
          <cell r="J241">
            <v>6</v>
          </cell>
          <cell r="K241">
            <v>6</v>
          </cell>
          <cell r="L241">
            <v>12</v>
          </cell>
          <cell r="M241">
            <v>12</v>
          </cell>
          <cell r="N241">
            <v>12</v>
          </cell>
          <cell r="O241">
            <v>12</v>
          </cell>
          <cell r="P241">
            <v>12</v>
          </cell>
          <cell r="Q241">
            <v>8</v>
          </cell>
          <cell r="R241">
            <v>8</v>
          </cell>
          <cell r="S241">
            <v>8</v>
          </cell>
          <cell r="T241">
            <v>4</v>
          </cell>
          <cell r="U241">
            <v>0</v>
          </cell>
          <cell r="V241">
            <v>0</v>
          </cell>
          <cell r="W241">
            <v>0</v>
          </cell>
          <cell r="X241">
            <v>0</v>
          </cell>
          <cell r="Y241">
            <v>0</v>
          </cell>
          <cell r="Z241">
            <v>0</v>
          </cell>
          <cell r="AA241">
            <v>0</v>
          </cell>
          <cell r="AB241">
            <v>0</v>
          </cell>
          <cell r="AC241">
            <v>0</v>
          </cell>
          <cell r="AD241">
            <v>0</v>
          </cell>
          <cell r="AE241">
            <v>0</v>
          </cell>
          <cell r="AF241">
            <v>0</v>
          </cell>
          <cell r="AG241">
            <v>0</v>
          </cell>
          <cell r="AH241">
            <v>0</v>
          </cell>
          <cell r="AI241">
            <v>0</v>
          </cell>
          <cell r="AJ241">
            <v>0</v>
          </cell>
        </row>
        <row r="242">
          <cell r="D242" t="str">
            <v>United Kingdom</v>
          </cell>
          <cell r="E242">
            <v>138</v>
          </cell>
          <cell r="F242">
            <v>2</v>
          </cell>
          <cell r="G242">
            <v>1</v>
          </cell>
          <cell r="H242">
            <v>0</v>
          </cell>
          <cell r="I242">
            <v>0</v>
          </cell>
          <cell r="J242">
            <v>7</v>
          </cell>
          <cell r="K242">
            <v>0</v>
          </cell>
          <cell r="L242">
            <v>9</v>
          </cell>
          <cell r="M242">
            <v>11</v>
          </cell>
          <cell r="N242">
            <v>3</v>
          </cell>
          <cell r="O242">
            <v>6</v>
          </cell>
          <cell r="P242">
            <v>14</v>
          </cell>
          <cell r="Q242">
            <v>10</v>
          </cell>
          <cell r="R242">
            <v>2</v>
          </cell>
          <cell r="S242">
            <v>4</v>
          </cell>
          <cell r="T242">
            <v>14</v>
          </cell>
          <cell r="U242">
            <v>14</v>
          </cell>
          <cell r="V242">
            <v>14</v>
          </cell>
          <cell r="W242">
            <v>14</v>
          </cell>
          <cell r="X242">
            <v>13</v>
          </cell>
          <cell r="Y242">
            <v>0</v>
          </cell>
          <cell r="Z242">
            <v>0</v>
          </cell>
          <cell r="AA242">
            <v>0</v>
          </cell>
          <cell r="AB242">
            <v>0</v>
          </cell>
          <cell r="AC242">
            <v>0</v>
          </cell>
          <cell r="AD242">
            <v>0</v>
          </cell>
          <cell r="AE242">
            <v>0</v>
          </cell>
          <cell r="AF242">
            <v>0</v>
          </cell>
          <cell r="AG242">
            <v>0</v>
          </cell>
          <cell r="AH242">
            <v>0</v>
          </cell>
          <cell r="AI242">
            <v>0</v>
          </cell>
          <cell r="AJ242">
            <v>0</v>
          </cell>
        </row>
        <row r="243">
          <cell r="C243" t="str">
            <v>Total Deliveries</v>
          </cell>
          <cell r="E243">
            <v>730</v>
          </cell>
          <cell r="F243">
            <v>3</v>
          </cell>
          <cell r="G243">
            <v>2</v>
          </cell>
          <cell r="H243">
            <v>0</v>
          </cell>
          <cell r="I243">
            <v>8</v>
          </cell>
          <cell r="J243">
            <v>33</v>
          </cell>
          <cell r="K243">
            <v>67</v>
          </cell>
          <cell r="L243">
            <v>94</v>
          </cell>
          <cell r="M243">
            <v>97</v>
          </cell>
          <cell r="N243">
            <v>89</v>
          </cell>
          <cell r="O243">
            <v>82</v>
          </cell>
          <cell r="P243">
            <v>56</v>
          </cell>
          <cell r="Q243">
            <v>53</v>
          </cell>
          <cell r="R243">
            <v>41</v>
          </cell>
          <cell r="S243">
            <v>22</v>
          </cell>
          <cell r="T243">
            <v>28</v>
          </cell>
          <cell r="U243">
            <v>14</v>
          </cell>
          <cell r="V243">
            <v>14</v>
          </cell>
          <cell r="W243">
            <v>14</v>
          </cell>
          <cell r="X243">
            <v>13</v>
          </cell>
          <cell r="Y243">
            <v>0</v>
          </cell>
          <cell r="Z243">
            <v>0</v>
          </cell>
          <cell r="AA243">
            <v>0</v>
          </cell>
          <cell r="AB243">
            <v>0</v>
          </cell>
          <cell r="AC243">
            <v>0</v>
          </cell>
          <cell r="AD243">
            <v>0</v>
          </cell>
          <cell r="AE243">
            <v>0</v>
          </cell>
          <cell r="AF243">
            <v>0</v>
          </cell>
          <cell r="AG243">
            <v>0</v>
          </cell>
          <cell r="AH243">
            <v>0</v>
          </cell>
          <cell r="AI243">
            <v>0</v>
          </cell>
          <cell r="AJ243">
            <v>0</v>
          </cell>
        </row>
        <row r="245">
          <cell r="C245" t="str">
            <v>International Deliveries (New Orders)</v>
          </cell>
        </row>
        <row r="246">
          <cell r="D246" t="str">
            <v>Singapore</v>
          </cell>
          <cell r="E246">
            <v>50</v>
          </cell>
          <cell r="F246">
            <v>0</v>
          </cell>
          <cell r="G246">
            <v>0</v>
          </cell>
          <cell r="H246">
            <v>0</v>
          </cell>
          <cell r="I246">
            <v>0</v>
          </cell>
          <cell r="J246">
            <v>0</v>
          </cell>
          <cell r="K246">
            <v>0</v>
          </cell>
          <cell r="L246">
            <v>0</v>
          </cell>
          <cell r="M246">
            <v>0</v>
          </cell>
          <cell r="N246">
            <v>0</v>
          </cell>
          <cell r="O246">
            <v>0</v>
          </cell>
          <cell r="P246">
            <v>0</v>
          </cell>
          <cell r="Q246">
            <v>0</v>
          </cell>
          <cell r="R246">
            <v>0</v>
          </cell>
          <cell r="S246">
            <v>0</v>
          </cell>
          <cell r="T246">
            <v>0</v>
          </cell>
          <cell r="U246">
            <v>0</v>
          </cell>
          <cell r="V246">
            <v>0</v>
          </cell>
          <cell r="W246">
            <v>0</v>
          </cell>
          <cell r="X246">
            <v>0</v>
          </cell>
          <cell r="Y246">
            <v>0</v>
          </cell>
          <cell r="Z246">
            <v>0</v>
          </cell>
          <cell r="AA246">
            <v>0</v>
          </cell>
          <cell r="AB246">
            <v>0</v>
          </cell>
          <cell r="AC246">
            <v>0</v>
          </cell>
          <cell r="AD246">
            <v>0</v>
          </cell>
          <cell r="AE246">
            <v>0</v>
          </cell>
          <cell r="AF246">
            <v>0</v>
          </cell>
          <cell r="AG246">
            <v>0</v>
          </cell>
          <cell r="AH246">
            <v>0</v>
          </cell>
          <cell r="AI246">
            <v>0</v>
          </cell>
          <cell r="AJ246">
            <v>0</v>
          </cell>
        </row>
        <row r="247">
          <cell r="D247" t="str">
            <v>Israel</v>
          </cell>
          <cell r="E247">
            <v>50</v>
          </cell>
          <cell r="F247">
            <v>0</v>
          </cell>
          <cell r="G247">
            <v>0</v>
          </cell>
          <cell r="H247">
            <v>0</v>
          </cell>
          <cell r="I247">
            <v>0</v>
          </cell>
          <cell r="J247">
            <v>0</v>
          </cell>
          <cell r="K247">
            <v>0</v>
          </cell>
          <cell r="L247">
            <v>0</v>
          </cell>
          <cell r="M247">
            <v>0</v>
          </cell>
          <cell r="N247">
            <v>0</v>
          </cell>
          <cell r="O247">
            <v>0</v>
          </cell>
          <cell r="P247">
            <v>0</v>
          </cell>
          <cell r="Q247">
            <v>0</v>
          </cell>
          <cell r="R247">
            <v>0</v>
          </cell>
          <cell r="S247">
            <v>0</v>
          </cell>
          <cell r="T247">
            <v>0</v>
          </cell>
          <cell r="U247">
            <v>0</v>
          </cell>
          <cell r="V247">
            <v>0</v>
          </cell>
          <cell r="W247">
            <v>0</v>
          </cell>
          <cell r="X247">
            <v>0</v>
          </cell>
          <cell r="Y247">
            <v>0</v>
          </cell>
          <cell r="Z247">
            <v>0</v>
          </cell>
          <cell r="AA247">
            <v>0</v>
          </cell>
          <cell r="AB247">
            <v>0</v>
          </cell>
          <cell r="AC247">
            <v>0</v>
          </cell>
          <cell r="AD247">
            <v>0</v>
          </cell>
          <cell r="AE247">
            <v>0</v>
          </cell>
          <cell r="AF247">
            <v>0</v>
          </cell>
          <cell r="AG247">
            <v>0</v>
          </cell>
          <cell r="AH247">
            <v>0</v>
          </cell>
          <cell r="AI247">
            <v>0</v>
          </cell>
          <cell r="AJ247">
            <v>0</v>
          </cell>
        </row>
        <row r="248">
          <cell r="D248" t="str">
            <v>Japan</v>
          </cell>
          <cell r="E248">
            <v>50</v>
          </cell>
          <cell r="F248">
            <v>0</v>
          </cell>
          <cell r="G248">
            <v>0</v>
          </cell>
          <cell r="H248">
            <v>0</v>
          </cell>
          <cell r="I248">
            <v>0</v>
          </cell>
          <cell r="J248">
            <v>0</v>
          </cell>
          <cell r="K248">
            <v>0</v>
          </cell>
          <cell r="L248">
            <v>0</v>
          </cell>
          <cell r="M248">
            <v>0</v>
          </cell>
          <cell r="N248">
            <v>0</v>
          </cell>
          <cell r="O248">
            <v>0</v>
          </cell>
          <cell r="P248">
            <v>0</v>
          </cell>
          <cell r="Q248">
            <v>0</v>
          </cell>
          <cell r="R248">
            <v>0</v>
          </cell>
          <cell r="S248">
            <v>0</v>
          </cell>
          <cell r="T248">
            <v>0</v>
          </cell>
          <cell r="U248">
            <v>0</v>
          </cell>
          <cell r="V248">
            <v>0</v>
          </cell>
          <cell r="W248">
            <v>0</v>
          </cell>
          <cell r="X248">
            <v>0</v>
          </cell>
          <cell r="Y248">
            <v>0</v>
          </cell>
          <cell r="Z248">
            <v>0</v>
          </cell>
          <cell r="AA248">
            <v>0</v>
          </cell>
          <cell r="AB248">
            <v>0</v>
          </cell>
          <cell r="AC248">
            <v>0</v>
          </cell>
          <cell r="AD248">
            <v>0</v>
          </cell>
          <cell r="AE248">
            <v>0</v>
          </cell>
          <cell r="AF248">
            <v>0</v>
          </cell>
          <cell r="AG248">
            <v>0</v>
          </cell>
          <cell r="AH248">
            <v>0</v>
          </cell>
          <cell r="AI248">
            <v>0</v>
          </cell>
          <cell r="AJ248">
            <v>0</v>
          </cell>
        </row>
        <row r="249">
          <cell r="C249" t="str">
            <v>Total Deliveries</v>
          </cell>
          <cell r="E249">
            <v>0</v>
          </cell>
          <cell r="F249">
            <v>0</v>
          </cell>
          <cell r="G249">
            <v>0</v>
          </cell>
          <cell r="H249">
            <v>0</v>
          </cell>
          <cell r="I249">
            <v>0</v>
          </cell>
          <cell r="J249">
            <v>0</v>
          </cell>
          <cell r="K249">
            <v>0</v>
          </cell>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0</v>
          </cell>
          <cell r="AA249">
            <v>0</v>
          </cell>
          <cell r="AB249">
            <v>0</v>
          </cell>
          <cell r="AC249">
            <v>0</v>
          </cell>
          <cell r="AD249">
            <v>0</v>
          </cell>
          <cell r="AE249">
            <v>0</v>
          </cell>
          <cell r="AF249">
            <v>0</v>
          </cell>
          <cell r="AG249">
            <v>0</v>
          </cell>
          <cell r="AH249">
            <v>0</v>
          </cell>
          <cell r="AI249">
            <v>0</v>
          </cell>
          <cell r="AJ249">
            <v>0</v>
          </cell>
        </row>
        <row r="256">
          <cell r="D256" t="str">
            <v>F-15</v>
          </cell>
          <cell r="E256">
            <v>1600</v>
          </cell>
        </row>
      </sheetData>
      <sheetData sheetId="1"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 of Contents"/>
      <sheetName val="__FDSCACHE__"/>
      <sheetName val="Instructions"/>
      <sheetName val="1. Order_Deliveries&gt;&gt;"/>
      <sheetName val="from AIRCAP"/>
      <sheetName val="Old Format"/>
      <sheetName val="Aftermarket Aggregation"/>
      <sheetName val="Deliveries LCA &amp; RJ"/>
      <sheetName val="Program Lifecycles"/>
      <sheetName val="QTR Comm Deliveries"/>
      <sheetName val="QTR Comm_Short Form"/>
      <sheetName val="RJ Deliveries_Orders"/>
      <sheetName val="WW Fleet Stats"/>
      <sheetName val="Boeing &amp; Airbus Delivs."/>
      <sheetName val="Boeing Monthly"/>
      <sheetName val="AFOSHEET"/>
      <sheetName val="Boeing Book to Bill"/>
      <sheetName val="Airbus Monthly"/>
      <sheetName val="Airbus Book to Bill"/>
      <sheetName val="B Delivs by Customer"/>
      <sheetName val="Boeing Backlog"/>
      <sheetName val="Boeing Charts"/>
      <sheetName val="A Delivs by Customer"/>
      <sheetName val="Years Backlog"/>
      <sheetName val="2. Stored Aircraft&gt;&gt;"/>
      <sheetName val="StoredAC"/>
      <sheetName val="StoredAC v2"/>
      <sheetName val="Storage Summary"/>
      <sheetName val="LinkingMetadata"/>
      <sheetName val="Deliveries Charts"/>
      <sheetName val="Production"/>
      <sheetName val="BA Deliveries vs. Backlog"/>
      <sheetName val="Backlog v Deliveries"/>
      <sheetName val="Sang-scratch"/>
      <sheetName val="Sang - Charts"/>
      <sheetName val="Storage Graphs"/>
      <sheetName val="#REF"/>
      <sheetName val="Boeing Book to Bill (2)"/>
      <sheetName val="Gross Backlog Charts"/>
      <sheetName val="Boeing Book to Bill (Total)"/>
      <sheetName val="Boeing Book to Bill (737)"/>
      <sheetName val="Boeing Book to Bill (747)"/>
      <sheetName val="Boeing Book to Bill (777)"/>
      <sheetName val="Boeing Book to Bill (787)"/>
      <sheetName val="Boeing&amp;Airbus Book to Bill"/>
      <sheetName val="Sheet1"/>
      <sheetName val="Deliveries"/>
    </sheetNames>
    <sheetDataSet>
      <sheetData sheetId="0">
        <row r="1">
          <cell r="A1" t="str">
            <v>Aerospace Data Pack</v>
          </cell>
        </row>
      </sheetData>
      <sheetData sheetId="1"/>
      <sheetData sheetId="2"/>
      <sheetData sheetId="3"/>
      <sheetData sheetId="4">
        <row r="1">
          <cell r="AG1" t="str">
            <v>OLD NUMBERS</v>
          </cell>
        </row>
      </sheetData>
      <sheetData sheetId="5">
        <row r="2">
          <cell r="A2" t="str">
            <v>Commercial Jet Transport</v>
          </cell>
        </row>
      </sheetData>
      <sheetData sheetId="6"/>
      <sheetData sheetId="7">
        <row r="1">
          <cell r="A1" t="str">
            <v>Annual Deliveries</v>
          </cell>
        </row>
      </sheetData>
      <sheetData sheetId="8">
        <row r="1">
          <cell r="A1" t="str">
            <v>Program Lifecycles</v>
          </cell>
        </row>
      </sheetData>
      <sheetData sheetId="9"/>
      <sheetData sheetId="10"/>
      <sheetData sheetId="11"/>
      <sheetData sheetId="12">
        <row r="1">
          <cell r="A1" t="str">
            <v>Worldwide Flight Stats</v>
          </cell>
        </row>
      </sheetData>
      <sheetData sheetId="13"/>
      <sheetData sheetId="14">
        <row r="1">
          <cell r="A1" t="str">
            <v>Boeing Monthly</v>
          </cell>
        </row>
      </sheetData>
      <sheetData sheetId="15"/>
      <sheetData sheetId="16" refreshError="1"/>
      <sheetData sheetId="17">
        <row r="1">
          <cell r="A1" t="str">
            <v>Airbus Monthly</v>
          </cell>
        </row>
      </sheetData>
      <sheetData sheetId="18" refreshError="1"/>
      <sheetData sheetId="19"/>
      <sheetData sheetId="20"/>
      <sheetData sheetId="21">
        <row r="4">
          <cell r="C4" t="str">
            <v xml:space="preserve">BA Gross </v>
          </cell>
        </row>
      </sheetData>
      <sheetData sheetId="22"/>
      <sheetData sheetId="23">
        <row r="3">
          <cell r="V3" t="str">
            <v>TOTAL</v>
          </cell>
        </row>
      </sheetData>
      <sheetData sheetId="24"/>
      <sheetData sheetId="25">
        <row r="3">
          <cell r="B3">
            <v>41639</v>
          </cell>
        </row>
      </sheetData>
      <sheetData sheetId="26">
        <row r="8">
          <cell r="B8" t="str">
            <v>Date</v>
          </cell>
        </row>
      </sheetData>
      <sheetData sheetId="27">
        <row r="1">
          <cell r="A1" t="str">
            <v>Stored Aircraft Summary</v>
          </cell>
        </row>
      </sheetData>
      <sheetData sheetId="28"/>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sheetData sheetId="39" refreshError="1"/>
      <sheetData sheetId="40" refreshError="1"/>
      <sheetData sheetId="41" refreshError="1"/>
      <sheetData sheetId="42" refreshError="1"/>
      <sheetData sheetId="43" refreshError="1"/>
      <sheetData sheetId="44" refreshError="1"/>
      <sheetData sheetId="45"/>
      <sheetData sheetId="46"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are_Cached"/>
      <sheetName val="Cons"/>
      <sheetName val="Variance"/>
      <sheetName val="Main"/>
      <sheetName val="Govt Systems"/>
      <sheetName val="Comm Networks"/>
      <sheetName val="Sat Services"/>
      <sheetName val="Valuation"/>
      <sheetName val="DCF"/>
      <sheetName val="SOTP"/>
      <sheetName val="__FDSCACHE__"/>
      <sheetName val="MW-Cache"/>
      <sheetName val="mStartup"/>
      <sheetName val="Scratch"/>
      <sheetName val="Output"/>
      <sheetName val="PR"/>
      <sheetName val="mwareDates"/>
      <sheetName val="MWA RR"/>
      <sheetName val="mwareSettings"/>
    </sheetNames>
    <sheetDataSet>
      <sheetData sheetId="0" refreshError="1"/>
      <sheetData sheetId="1" refreshError="1"/>
      <sheetData sheetId="2" refreshError="1">
        <row r="1">
          <cell r="A1" t="str">
            <v>ViaSat Inc.</v>
          </cell>
        </row>
        <row r="2">
          <cell r="A2" t="str">
            <v>Quarterly Analysis</v>
          </cell>
        </row>
        <row r="3">
          <cell r="A3" t="str">
            <v>Morgan Stanely Research</v>
          </cell>
        </row>
        <row r="4">
          <cell r="A4" t="str">
            <v>($ in Millions Except EPS)</v>
          </cell>
        </row>
        <row r="6">
          <cell r="D6" t="str">
            <v>offset value</v>
          </cell>
          <cell r="F6">
            <v>10</v>
          </cell>
          <cell r="I6">
            <v>6</v>
          </cell>
        </row>
        <row r="7">
          <cell r="D7" t="str">
            <v>Time Period</v>
          </cell>
          <cell r="F7" t="str">
            <v>2011-Q2</v>
          </cell>
          <cell r="I7" t="str">
            <v>2010-Q2</v>
          </cell>
        </row>
        <row r="9">
          <cell r="F9" t="str">
            <v>Actual</v>
          </cell>
          <cell r="G9" t="str">
            <v>Est.</v>
          </cell>
          <cell r="H9" t="str">
            <v>Cons.</v>
          </cell>
          <cell r="I9" t="str">
            <v>Actual</v>
          </cell>
          <cell r="J9" t="str">
            <v>Y/Y Variance</v>
          </cell>
          <cell r="L9" t="str">
            <v>A vs E Variance</v>
          </cell>
          <cell r="N9" t="str">
            <v>A vs C Variance</v>
          </cell>
        </row>
        <row r="10">
          <cell r="B10" t="str">
            <v>($USD in MM Ex EPS)</v>
          </cell>
          <cell r="F10" t="str">
            <v>2011-Q2</v>
          </cell>
          <cell r="G10" t="str">
            <v>2011-Q2E</v>
          </cell>
          <cell r="H10" t="str">
            <v>2011-Q2C</v>
          </cell>
          <cell r="I10" t="str">
            <v>2010-Q2</v>
          </cell>
          <cell r="J10" t="str">
            <v>Ch.</v>
          </cell>
          <cell r="K10" t="str">
            <v>%</v>
          </cell>
          <cell r="L10" t="str">
            <v>Ch.</v>
          </cell>
          <cell r="M10" t="str">
            <v>%</v>
          </cell>
          <cell r="N10" t="str">
            <v>Ch.</v>
          </cell>
          <cell r="O10" t="str">
            <v>%</v>
          </cell>
        </row>
        <row r="12">
          <cell r="B12" t="str">
            <v>Revenue</v>
          </cell>
        </row>
        <row r="13">
          <cell r="B13" t="e">
            <v>#REF!</v>
          </cell>
          <cell r="C13" t="str">
            <v>Government Systems</v>
          </cell>
          <cell r="F13">
            <v>94.936999999999998</v>
          </cell>
          <cell r="G13">
            <v>96.2</v>
          </cell>
          <cell r="I13">
            <v>102.798</v>
          </cell>
          <cell r="J13">
            <v>-7.8610000000000042</v>
          </cell>
          <cell r="K13">
            <v>-7.6470359345512606E-2</v>
          </cell>
          <cell r="L13">
            <v>-1.2630000000000052</v>
          </cell>
          <cell r="M13">
            <v>-1.312889812889817E-2</v>
          </cell>
        </row>
        <row r="14">
          <cell r="B14" t="e">
            <v>#REF!</v>
          </cell>
          <cell r="C14" t="str">
            <v>Commercial Networks</v>
          </cell>
          <cell r="F14">
            <v>44.311999999999998</v>
          </cell>
          <cell r="G14">
            <v>55.119</v>
          </cell>
          <cell r="I14">
            <v>54.37</v>
          </cell>
          <cell r="J14">
            <v>-10.058</v>
          </cell>
          <cell r="K14">
            <v>-0.1849917233768622</v>
          </cell>
          <cell r="L14">
            <v>-10.807000000000002</v>
          </cell>
          <cell r="M14">
            <v>-0.19606669206625671</v>
          </cell>
        </row>
        <row r="15">
          <cell r="C15" t="str">
            <v>Satellite Services</v>
          </cell>
          <cell r="F15">
            <v>58.64</v>
          </cell>
          <cell r="G15">
            <v>57.83783554288685</v>
          </cell>
          <cell r="I15">
            <v>3.4980000000000002</v>
          </cell>
          <cell r="J15">
            <v>55.142000000000003</v>
          </cell>
          <cell r="K15" t="str">
            <v xml:space="preserve">NM </v>
          </cell>
          <cell r="L15">
            <v>0.80216445711315032</v>
          </cell>
          <cell r="M15">
            <v>1.3869199107880537E-2</v>
          </cell>
        </row>
        <row r="16">
          <cell r="B16" t="str">
            <v>Total Revenue</v>
          </cell>
          <cell r="F16">
            <v>197.88900000000001</v>
          </cell>
          <cell r="G16">
            <v>209.15683554288688</v>
          </cell>
          <cell r="H16">
            <v>211.6343</v>
          </cell>
          <cell r="I16">
            <v>160.666</v>
          </cell>
          <cell r="J16">
            <v>37.223000000000013</v>
          </cell>
          <cell r="K16">
            <v>0.23167938456176174</v>
          </cell>
          <cell r="L16">
            <v>-11.267835542886871</v>
          </cell>
          <cell r="M16">
            <v>-5.3872662175444175E-2</v>
          </cell>
          <cell r="N16">
            <v>-13.745299999999986</v>
          </cell>
          <cell r="O16">
            <v>-6.4948356669972673E-2</v>
          </cell>
        </row>
        <row r="18">
          <cell r="B18" t="str">
            <v>Segment Profit</v>
          </cell>
        </row>
        <row r="19">
          <cell r="C19" t="str">
            <v>Government Systems</v>
          </cell>
          <cell r="F19">
            <v>12.808</v>
          </cell>
          <cell r="G19">
            <v>13.848000000000003</v>
          </cell>
          <cell r="I19">
            <v>14.259</v>
          </cell>
          <cell r="J19">
            <v>-1.4510000000000005</v>
          </cell>
          <cell r="K19">
            <v>-0.10176029174556422</v>
          </cell>
          <cell r="L19">
            <v>-1.0400000000000027</v>
          </cell>
          <cell r="M19">
            <v>-7.5101097631427138E-2</v>
          </cell>
        </row>
        <row r="20">
          <cell r="C20" t="str">
            <v>Commercial Networks</v>
          </cell>
          <cell r="F20">
            <v>-2.347</v>
          </cell>
          <cell r="G20">
            <v>-0.56400000000000006</v>
          </cell>
          <cell r="I20">
            <v>2.4500000000000002</v>
          </cell>
          <cell r="J20">
            <v>-4.7970000000000006</v>
          </cell>
          <cell r="K20" t="str">
            <v xml:space="preserve">NM </v>
          </cell>
          <cell r="L20">
            <v>-1.7829999999999999</v>
          </cell>
          <cell r="M20" t="str">
            <v xml:space="preserve">NM </v>
          </cell>
        </row>
        <row r="21">
          <cell r="C21" t="str">
            <v>Satellite Services</v>
          </cell>
          <cell r="F21">
            <v>7.7060000000000004</v>
          </cell>
          <cell r="G21">
            <v>10.725486537911769</v>
          </cell>
          <cell r="I21">
            <v>-3.335</v>
          </cell>
          <cell r="J21">
            <v>11.041</v>
          </cell>
          <cell r="K21" t="str">
            <v xml:space="preserve">NM </v>
          </cell>
          <cell r="L21">
            <v>-3.0194865379117681</v>
          </cell>
          <cell r="M21">
            <v>-0.28152443502107605</v>
          </cell>
        </row>
        <row r="22">
          <cell r="B22" t="str">
            <v>Total Segment Profit (EBITA)</v>
          </cell>
          <cell r="F22">
            <v>18.167000000000002</v>
          </cell>
          <cell r="G22">
            <v>24.009486537911769</v>
          </cell>
          <cell r="H22">
            <v>24.108149000000001</v>
          </cell>
          <cell r="I22">
            <v>13.373999999999999</v>
          </cell>
          <cell r="J22">
            <v>4.7930000000000028</v>
          </cell>
          <cell r="K22">
            <v>0.35838193509795158</v>
          </cell>
          <cell r="L22">
            <v>-5.8424865379117676</v>
          </cell>
          <cell r="M22">
            <v>-0.24334075319296355</v>
          </cell>
          <cell r="N22">
            <v>-5.9411489999999993</v>
          </cell>
          <cell r="O22">
            <v>-0.24643737683884392</v>
          </cell>
        </row>
        <row r="24">
          <cell r="C24" t="str">
            <v>Eliminations</v>
          </cell>
          <cell r="F24">
            <v>0</v>
          </cell>
          <cell r="G24">
            <v>0</v>
          </cell>
          <cell r="I24">
            <v>0</v>
          </cell>
        </row>
        <row r="25">
          <cell r="C25" t="str">
            <v>Corporate Expense</v>
          </cell>
          <cell r="F25">
            <v>0</v>
          </cell>
          <cell r="G25">
            <v>-5.0000000000000001E-4</v>
          </cell>
          <cell r="I25">
            <v>1.7000000000000001E-2</v>
          </cell>
        </row>
        <row r="26">
          <cell r="C26" t="str">
            <v>Amortization of Intangibles</v>
          </cell>
          <cell r="F26">
            <v>-5.0940000000000003</v>
          </cell>
          <cell r="G26">
            <v>-4.4517499999999997</v>
          </cell>
          <cell r="I26">
            <v>-1.3620000000000001</v>
          </cell>
        </row>
        <row r="27">
          <cell r="B27" t="str">
            <v>EBIT</v>
          </cell>
          <cell r="F27">
            <v>13.073</v>
          </cell>
          <cell r="G27">
            <v>19.55723653791177</v>
          </cell>
          <cell r="I27">
            <v>12.028999999999998</v>
          </cell>
          <cell r="J27">
            <v>1.0440000000000023</v>
          </cell>
          <cell r="K27">
            <v>7.9859251893215188E-2</v>
          </cell>
          <cell r="L27">
            <v>-6.4842365379117695</v>
          </cell>
          <cell r="M27">
            <v>-0.33155177753984078</v>
          </cell>
        </row>
        <row r="29">
          <cell r="B29" t="str">
            <v>Interest Income</v>
          </cell>
          <cell r="F29">
            <v>6.3E-2</v>
          </cell>
          <cell r="G29">
            <v>0.13900000000000001</v>
          </cell>
          <cell r="I29">
            <v>0.10100000000000001</v>
          </cell>
          <cell r="J29">
            <v>-3.8000000000000006E-2</v>
          </cell>
          <cell r="K29">
            <v>-0.37623762376237624</v>
          </cell>
          <cell r="L29">
            <v>-7.6000000000000012E-2</v>
          </cell>
          <cell r="M29">
            <v>-0.5467625899280576</v>
          </cell>
        </row>
        <row r="30">
          <cell r="B30" t="str">
            <v>Interest Expense</v>
          </cell>
          <cell r="F30">
            <v>-0.95</v>
          </cell>
          <cell r="G30">
            <v>-0.85610937499999995</v>
          </cell>
          <cell r="I30">
            <v>-0.23</v>
          </cell>
          <cell r="J30">
            <v>-0.72</v>
          </cell>
          <cell r="K30">
            <v>3.1304347826086953</v>
          </cell>
          <cell r="L30">
            <v>-9.3890625000000005E-2</v>
          </cell>
          <cell r="M30">
            <v>0.10967129638079243</v>
          </cell>
        </row>
        <row r="31">
          <cell r="B31" t="str">
            <v>Net Interest</v>
          </cell>
          <cell r="F31">
            <v>-0.88700000000000001</v>
          </cell>
          <cell r="G31">
            <v>-0.71710937499999994</v>
          </cell>
          <cell r="I31">
            <v>-0.129</v>
          </cell>
        </row>
        <row r="32">
          <cell r="B32" t="str">
            <v>Pre-Tax Income</v>
          </cell>
          <cell r="F32">
            <v>12.186000000000002</v>
          </cell>
          <cell r="G32">
            <v>18.84012716291177</v>
          </cell>
          <cell r="I32">
            <v>11.899999999999999</v>
          </cell>
          <cell r="J32">
            <v>0.28600000000000314</v>
          </cell>
          <cell r="K32">
            <v>2.4033613445378466E-2</v>
          </cell>
          <cell r="L32">
            <v>-6.6541271629117684</v>
          </cell>
          <cell r="M32">
            <v>-0.35318907910616049</v>
          </cell>
        </row>
        <row r="34">
          <cell r="B34" t="str">
            <v>Taxes</v>
          </cell>
          <cell r="F34">
            <v>-4.3849999999999998</v>
          </cell>
          <cell r="G34">
            <v>-6.9708470502773547</v>
          </cell>
          <cell r="I34">
            <v>-2.8079999999999998</v>
          </cell>
        </row>
        <row r="35">
          <cell r="B35" t="str">
            <v>Effective Tax Rate</v>
          </cell>
          <cell r="F35">
            <v>0.3598391596914492</v>
          </cell>
          <cell r="G35">
            <v>0.37</v>
          </cell>
          <cell r="I35">
            <v>0.23596638655462188</v>
          </cell>
        </row>
        <row r="37">
          <cell r="B37" t="str">
            <v>Non-controlling Interest</v>
          </cell>
          <cell r="F37">
            <v>-1.4999999999999999E-2</v>
          </cell>
          <cell r="G37">
            <v>7.4249999999999997E-2</v>
          </cell>
          <cell r="I37">
            <v>8.3000000000000004E-2</v>
          </cell>
        </row>
        <row r="38">
          <cell r="B38" t="str">
            <v>Discontinued Operations</v>
          </cell>
          <cell r="F38">
            <v>0</v>
          </cell>
          <cell r="G38">
            <v>0</v>
          </cell>
          <cell r="I38">
            <v>0</v>
          </cell>
        </row>
        <row r="39">
          <cell r="B39" t="str">
            <v>Net Income</v>
          </cell>
          <cell r="F39">
            <v>7.7860000000000023</v>
          </cell>
          <cell r="G39">
            <v>11.869280112634415</v>
          </cell>
          <cell r="H39">
            <v>11.674733</v>
          </cell>
          <cell r="I39">
            <v>9.1749999999999989</v>
          </cell>
          <cell r="J39">
            <v>-1.3889999999999967</v>
          </cell>
          <cell r="K39">
            <v>-0.15138964577656644</v>
          </cell>
          <cell r="L39">
            <v>-4.0832801126344132</v>
          </cell>
          <cell r="M39">
            <v>-0.34402087353957633</v>
          </cell>
          <cell r="N39">
            <v>-3.8887329999999976</v>
          </cell>
          <cell r="O39">
            <v>-0.33308967322850103</v>
          </cell>
        </row>
        <row r="41">
          <cell r="B41" t="str">
            <v>EPS, Cont. Ops</v>
          </cell>
          <cell r="F41">
            <v>0.18226935412131007</v>
          </cell>
          <cell r="G41">
            <v>0.28102423794433917</v>
          </cell>
          <cell r="I41">
            <v>0.27763488365055827</v>
          </cell>
          <cell r="J41">
            <v>-9.5365529529248205E-2</v>
          </cell>
          <cell r="K41">
            <v>-0.34349260537908077</v>
          </cell>
          <cell r="L41">
            <v>-9.8754883823029105E-2</v>
          </cell>
          <cell r="M41">
            <v>-0.35141055641822938</v>
          </cell>
        </row>
        <row r="42">
          <cell r="B42" t="str">
            <v>EPS, Non-recurring</v>
          </cell>
          <cell r="F42">
            <v>0</v>
          </cell>
          <cell r="G42">
            <v>0</v>
          </cell>
          <cell r="I42">
            <v>0</v>
          </cell>
        </row>
        <row r="43">
          <cell r="B43" t="str">
            <v>EPS, Reported</v>
          </cell>
          <cell r="F43">
            <v>0.18226935412131007</v>
          </cell>
          <cell r="G43">
            <v>0.28102423794433917</v>
          </cell>
          <cell r="I43">
            <v>0.27763488365055827</v>
          </cell>
          <cell r="J43">
            <v>-9.5365529529248205E-2</v>
          </cell>
          <cell r="K43">
            <v>-0.34349260537908077</v>
          </cell>
          <cell r="L43">
            <v>-9.8754883823029105E-2</v>
          </cell>
          <cell r="M43">
            <v>-0.35141055641822938</v>
          </cell>
        </row>
        <row r="45">
          <cell r="B45" t="str">
            <v>Shares Outstanding</v>
          </cell>
          <cell r="F45">
            <v>42.716999999999999</v>
          </cell>
          <cell r="G45">
            <v>42.5</v>
          </cell>
          <cell r="I45">
            <v>33.046999999999997</v>
          </cell>
        </row>
        <row r="47">
          <cell r="B47" t="str">
            <v>Segment Margins</v>
          </cell>
          <cell r="K47" t="str">
            <v>bps</v>
          </cell>
          <cell r="M47" t="str">
            <v>bps</v>
          </cell>
        </row>
        <row r="48">
          <cell r="C48" t="str">
            <v>Government Systems</v>
          </cell>
          <cell r="F48">
            <v>0.13491051960773986</v>
          </cell>
          <cell r="G48">
            <v>0.14395010395010396</v>
          </cell>
          <cell r="I48">
            <v>0.13870892429813811</v>
          </cell>
          <cell r="J48">
            <v>-3.7984046903982438E-3</v>
          </cell>
          <cell r="K48">
            <v>-37.984046903982438</v>
          </cell>
          <cell r="L48">
            <v>-9.0395843423640987E-3</v>
          </cell>
          <cell r="M48">
            <v>-90.395843423640983</v>
          </cell>
        </row>
        <row r="49">
          <cell r="C49" t="str">
            <v>Commercial Networks</v>
          </cell>
          <cell r="F49">
            <v>-5.2965336703376061E-2</v>
          </cell>
          <cell r="G49">
            <v>-1.0232406248299136E-2</v>
          </cell>
          <cell r="I49">
            <v>4.5061614861136662E-2</v>
          </cell>
          <cell r="J49">
            <v>-9.8026951564512715E-2</v>
          </cell>
          <cell r="K49">
            <v>-980.26951564512717</v>
          </cell>
          <cell r="L49">
            <v>-4.2732930455076923E-2</v>
          </cell>
          <cell r="M49">
            <v>-427.32930455076922</v>
          </cell>
        </row>
        <row r="50">
          <cell r="C50" t="str">
            <v>Satellite Services</v>
          </cell>
          <cell r="F50">
            <v>0.13141200545702592</v>
          </cell>
          <cell r="G50">
            <v>0.18544066245284718</v>
          </cell>
          <cell r="I50" t="str">
            <v xml:space="preserve">NM </v>
          </cell>
          <cell r="J50" t="str">
            <v xml:space="preserve">NM </v>
          </cell>
          <cell r="K50" t="str">
            <v xml:space="preserve">NM </v>
          </cell>
          <cell r="L50">
            <v>-5.4028656995821267E-2</v>
          </cell>
          <cell r="M50">
            <v>-540.28656995821268</v>
          </cell>
        </row>
        <row r="51">
          <cell r="B51" t="str">
            <v>Total Segment Margin</v>
          </cell>
          <cell r="F51">
            <v>9.1803991126338511E-2</v>
          </cell>
          <cell r="G51">
            <v>0.11479178519598852</v>
          </cell>
          <cell r="H51">
            <v>0.11391418593299858</v>
          </cell>
          <cell r="I51">
            <v>8.3241009298793758E-2</v>
          </cell>
          <cell r="J51">
            <v>8.5629818275447522E-3</v>
          </cell>
          <cell r="K51">
            <v>85.629818275447519</v>
          </cell>
          <cell r="L51">
            <v>-2.2987794069650014E-2</v>
          </cell>
          <cell r="M51">
            <v>-229.87794069650013</v>
          </cell>
        </row>
        <row r="52">
          <cell r="B52" t="str">
            <v>EBIT Margin</v>
          </cell>
          <cell r="F52">
            <v>6.6062287443971107E-2</v>
          </cell>
          <cell r="G52">
            <v>9.3505127322992154E-2</v>
          </cell>
          <cell r="I52">
            <v>7.486960526807164E-2</v>
          </cell>
          <cell r="J52">
            <v>-8.8073178241005329E-3</v>
          </cell>
          <cell r="K52">
            <v>-88.073178241005323</v>
          </cell>
          <cell r="L52">
            <v>-2.7442839879021047E-2</v>
          </cell>
          <cell r="M52">
            <v>-274.42839879021045</v>
          </cell>
        </row>
        <row r="54">
          <cell r="B54" t="str">
            <v>WildBlue Operating Statistics</v>
          </cell>
        </row>
        <row r="55">
          <cell r="B55" t="str">
            <v>Ending Subs</v>
          </cell>
          <cell r="F55">
            <v>416</v>
          </cell>
          <cell r="G55">
            <v>416.95</v>
          </cell>
          <cell r="I55">
            <v>405</v>
          </cell>
          <cell r="J55">
            <v>11</v>
          </cell>
          <cell r="K55">
            <v>2.716049382716057E-2</v>
          </cell>
          <cell r="L55">
            <v>-0.94999999999998863</v>
          </cell>
          <cell r="M55">
            <v>-2.278450653555586E-3</v>
          </cell>
          <cell r="S55">
            <v>29.46</v>
          </cell>
        </row>
        <row r="56">
          <cell r="B56" t="str">
            <v>Avg. Subs</v>
          </cell>
          <cell r="F56">
            <v>415.97500000000002</v>
          </cell>
          <cell r="G56">
            <v>415.97500000000002</v>
          </cell>
          <cell r="I56">
            <v>397.5</v>
          </cell>
          <cell r="J56">
            <v>18.475000000000023</v>
          </cell>
          <cell r="K56">
            <v>4.6477987421383649E-2</v>
          </cell>
          <cell r="L56">
            <v>0</v>
          </cell>
          <cell r="M56">
            <v>0</v>
          </cell>
          <cell r="S56">
            <v>28.4</v>
          </cell>
        </row>
        <row r="57">
          <cell r="B57" t="str">
            <v>ARPU</v>
          </cell>
          <cell r="F57">
            <v>42.904007687070013</v>
          </cell>
          <cell r="G57">
            <v>42.904007687070013</v>
          </cell>
          <cell r="I57">
            <v>41.820545102702191</v>
          </cell>
          <cell r="J57">
            <v>1.0834625843678225</v>
          </cell>
          <cell r="K57">
            <v>2.5907423772384419E-2</v>
          </cell>
          <cell r="L57">
            <v>0</v>
          </cell>
          <cell r="M57">
            <v>0</v>
          </cell>
          <cell r="S57">
            <v>1.0373239436619719</v>
          </cell>
        </row>
        <row r="59">
          <cell r="B59" t="str">
            <v>Adj. Net Income</v>
          </cell>
        </row>
        <row r="60">
          <cell r="B60" t="str">
            <v>GAAP Net Income</v>
          </cell>
          <cell r="F60">
            <v>7.7860000000000005</v>
          </cell>
          <cell r="G60">
            <v>11.943530112634415</v>
          </cell>
          <cell r="I60">
            <v>9.1749999999999989</v>
          </cell>
        </row>
        <row r="61">
          <cell r="B61" t="str">
            <v>Amortization of intangible assets</v>
          </cell>
          <cell r="F61">
            <v>5.0940000000000003</v>
          </cell>
          <cell r="G61">
            <v>4.4517499999999997</v>
          </cell>
          <cell r="I61">
            <v>1.3620000000000001</v>
          </cell>
        </row>
        <row r="62">
          <cell r="B62" t="str">
            <v>Stock-based compensation expense</v>
          </cell>
          <cell r="F62">
            <v>4.1460000000000008</v>
          </cell>
          <cell r="G62">
            <v>4.5</v>
          </cell>
          <cell r="I62">
            <v>2.5320000000000005</v>
          </cell>
        </row>
        <row r="63">
          <cell r="B63" t="str">
            <v>Acquisition related expenses</v>
          </cell>
          <cell r="F63">
            <v>0.19400000000000001</v>
          </cell>
          <cell r="G63">
            <v>0</v>
          </cell>
          <cell r="I63">
            <v>2.496</v>
          </cell>
        </row>
        <row r="64">
          <cell r="B64" t="str">
            <v>Income tax effect</v>
          </cell>
          <cell r="F64">
            <v>-3.5750000000000002</v>
          </cell>
          <cell r="G64">
            <v>-3.4016650000000004</v>
          </cell>
          <cell r="I64">
            <v>-2.42</v>
          </cell>
        </row>
        <row r="65">
          <cell r="B65" t="str">
            <v>Adj. Net Income</v>
          </cell>
          <cell r="F65">
            <v>13.645000000000003</v>
          </cell>
          <cell r="G65">
            <v>17.493615112634412</v>
          </cell>
          <cell r="I65">
            <v>13.145</v>
          </cell>
          <cell r="J65">
            <v>0.50000000000000355</v>
          </cell>
          <cell r="K65">
            <v>3.8037276531000641E-2</v>
          </cell>
          <cell r="L65">
            <v>-3.848615112634409</v>
          </cell>
          <cell r="M65">
            <v>-0.22000113114726205</v>
          </cell>
        </row>
        <row r="67">
          <cell r="B67" t="str">
            <v>Adj. EPS</v>
          </cell>
          <cell r="F67">
            <v>0.31942786244352372</v>
          </cell>
          <cell r="G67">
            <v>0.41161447323845674</v>
          </cell>
          <cell r="H67">
            <v>0.4</v>
          </cell>
          <cell r="I67">
            <v>0.39776681695766636</v>
          </cell>
          <cell r="J67">
            <v>-7.8338954514142634E-2</v>
          </cell>
          <cell r="K67">
            <v>-0.19694693266100205</v>
          </cell>
          <cell r="L67">
            <v>-9.218661079493301E-2</v>
          </cell>
          <cell r="M67">
            <v>-0.22396348230818264</v>
          </cell>
          <cell r="N67">
            <v>-8.0572137556476298E-2</v>
          </cell>
          <cell r="O67">
            <v>-0.20143034389119074</v>
          </cell>
        </row>
        <row r="68">
          <cell r="B68" t="str">
            <v>Check</v>
          </cell>
          <cell r="F68">
            <v>0.31942786244352372</v>
          </cell>
          <cell r="G68">
            <v>0.41161447323845674</v>
          </cell>
          <cell r="I68">
            <v>0.39776681695766636</v>
          </cell>
        </row>
        <row r="70">
          <cell r="B70" t="str">
            <v>Per Share:</v>
          </cell>
        </row>
        <row r="71">
          <cell r="B71" t="str">
            <v>GAAP EPS</v>
          </cell>
          <cell r="F71">
            <v>0.18226935412131004</v>
          </cell>
          <cell r="G71">
            <v>0.28102423794433917</v>
          </cell>
          <cell r="I71">
            <v>0.27763488365055827</v>
          </cell>
        </row>
        <row r="72">
          <cell r="B72" t="str">
            <v>Amortization of intangible assets</v>
          </cell>
          <cell r="F72">
            <v>7.4060360546253604E-2</v>
          </cell>
          <cell r="G72">
            <v>6.4943176470588226E-2</v>
          </cell>
          <cell r="I72">
            <v>2.5605585784707549E-2</v>
          </cell>
        </row>
        <row r="73">
          <cell r="B73" t="str">
            <v>Stock-based compensation expense</v>
          </cell>
          <cell r="F73">
            <v>6.0277631492887208E-2</v>
          </cell>
          <cell r="G73">
            <v>6.5647058823529419E-2</v>
          </cell>
          <cell r="I73">
            <v>4.760157357333298E-2</v>
          </cell>
        </row>
        <row r="74">
          <cell r="B74" t="str">
            <v>Acquisition related expenses</v>
          </cell>
          <cell r="F74">
            <v>2.8205162830728697E-3</v>
          </cell>
          <cell r="G74">
            <v>0</v>
          </cell>
          <cell r="I74">
            <v>4.6924773949067571E-2</v>
          </cell>
        </row>
        <row r="75">
          <cell r="B75" t="str">
            <v>Adj. EPS</v>
          </cell>
          <cell r="F75">
            <v>0.31942786244352378</v>
          </cell>
          <cell r="G75">
            <v>0.41161447323845679</v>
          </cell>
          <cell r="I75">
            <v>0.39776681695766641</v>
          </cell>
        </row>
        <row r="77">
          <cell r="B77" t="str">
            <v>Effective Tax Rate</v>
          </cell>
          <cell r="F77">
            <v>0.37894848420606309</v>
          </cell>
          <cell r="G77">
            <v>0.38</v>
          </cell>
          <cell r="I77">
            <v>0.37871674491392798</v>
          </cell>
        </row>
        <row r="79">
          <cell r="B79" t="str">
            <v>Adj. EBITDA</v>
          </cell>
        </row>
        <row r="80">
          <cell r="B80" t="str">
            <v>GAAP Net Income</v>
          </cell>
          <cell r="F80">
            <v>7.7860000000000005</v>
          </cell>
          <cell r="G80">
            <v>11.943530112634415</v>
          </cell>
          <cell r="I80">
            <v>9.1749999999999989</v>
          </cell>
        </row>
        <row r="81">
          <cell r="B81" t="str">
            <v>Provision for Income Taxes</v>
          </cell>
          <cell r="F81">
            <v>4.3849999999999998</v>
          </cell>
          <cell r="G81">
            <v>6.9708470502773547</v>
          </cell>
          <cell r="I81">
            <v>2.8079999999999998</v>
          </cell>
        </row>
        <row r="82">
          <cell r="B82" t="str">
            <v>Interest Expense (Income)</v>
          </cell>
          <cell r="F82">
            <v>0.88700000000000001</v>
          </cell>
          <cell r="G82">
            <v>0.71710937500000005</v>
          </cell>
          <cell r="I82">
            <v>0.129</v>
          </cell>
        </row>
        <row r="83">
          <cell r="B83" t="str">
            <v>Depreciation &amp; Amortization</v>
          </cell>
          <cell r="F83">
            <v>25.675999999999998</v>
          </cell>
          <cell r="G83">
            <v>24.860749999999999</v>
          </cell>
          <cell r="I83">
            <v>6.3769999999999998</v>
          </cell>
        </row>
        <row r="84">
          <cell r="B84" t="str">
            <v>Stock-based Compensation</v>
          </cell>
          <cell r="F84">
            <v>4.1460000000000008</v>
          </cell>
          <cell r="G84">
            <v>4.5</v>
          </cell>
          <cell r="I84">
            <v>2.5320000000000005</v>
          </cell>
        </row>
        <row r="85">
          <cell r="B85" t="str">
            <v>Acquisition related expenses</v>
          </cell>
          <cell r="F85">
            <v>0.19400000000000001</v>
          </cell>
          <cell r="G85">
            <v>0</v>
          </cell>
          <cell r="I85">
            <v>2.496</v>
          </cell>
        </row>
        <row r="86">
          <cell r="B86" t="str">
            <v>Adj. EBITDA</v>
          </cell>
          <cell r="F86">
            <v>43.073999999999998</v>
          </cell>
          <cell r="G86">
            <v>48.992236537911765</v>
          </cell>
          <cell r="H86">
            <v>43.197983000000001</v>
          </cell>
          <cell r="I86">
            <v>23.516999999999996</v>
          </cell>
          <cell r="J86">
            <v>19.557000000000002</v>
          </cell>
          <cell r="K86">
            <v>0.83161117489475722</v>
          </cell>
          <cell r="L86">
            <v>-5.918236537911767</v>
          </cell>
          <cell r="M86">
            <v>-0.12079947673611602</v>
          </cell>
          <cell r="N86">
            <v>-0.12398300000000262</v>
          </cell>
          <cell r="O86">
            <v>-2.8701108567963374E-3</v>
          </cell>
        </row>
        <row r="87">
          <cell r="C87" t="str">
            <v>% Margin</v>
          </cell>
          <cell r="F87">
            <v>0.21766748025408181</v>
          </cell>
          <cell r="G87">
            <v>0.23423684151057103</v>
          </cell>
          <cell r="H87">
            <v>0.20411617114995065</v>
          </cell>
          <cell r="I87">
            <v>0.14637197664720597</v>
          </cell>
        </row>
        <row r="92">
          <cell r="F92">
            <v>251.7</v>
          </cell>
        </row>
        <row r="93">
          <cell r="F93">
            <v>1.2719251701711565</v>
          </cell>
        </row>
        <row r="96">
          <cell r="F96">
            <v>0.18226935412131004</v>
          </cell>
          <cell r="I96">
            <v>0.27763488365055827</v>
          </cell>
        </row>
        <row r="97">
          <cell r="F97">
            <v>0.18226935412131004</v>
          </cell>
          <cell r="I97">
            <v>0.27763488365055827</v>
          </cell>
        </row>
        <row r="98">
          <cell r="B98" t="str">
            <v>Check</v>
          </cell>
        </row>
        <row r="99">
          <cell r="C99" t="str">
            <v>EPS Cont Ops</v>
          </cell>
          <cell r="F99" t="b">
            <v>1</v>
          </cell>
          <cell r="I99" t="b">
            <v>1</v>
          </cell>
        </row>
        <row r="100">
          <cell r="C100" t="str">
            <v>ESP Reported</v>
          </cell>
          <cell r="F100" t="b">
            <v>1</v>
          </cell>
          <cell r="I100" t="b">
            <v>1</v>
          </cell>
        </row>
      </sheetData>
      <sheetData sheetId="3" refreshError="1"/>
      <sheetData sheetId="4" refreshError="1">
        <row r="1">
          <cell r="A1" t="str">
            <v>ViaSat Inc.</v>
          </cell>
        </row>
        <row r="2">
          <cell r="A2" t="str">
            <v>Government Systems Segment Model</v>
          </cell>
        </row>
        <row r="3">
          <cell r="A3" t="str">
            <v>Morgan Stanley Research</v>
          </cell>
        </row>
        <row r="4">
          <cell r="A4" t="str">
            <v>($ in Millions Except EPS)</v>
          </cell>
        </row>
        <row r="5">
          <cell r="A5" t="str">
            <v>Fisacl Year Ends March 31</v>
          </cell>
        </row>
        <row r="6">
          <cell r="AA6" t="str">
            <v>2010A</v>
          </cell>
          <cell r="AE6" t="str">
            <v>2011E</v>
          </cell>
        </row>
        <row r="8">
          <cell r="AA8" t="str">
            <v>Q1A</v>
          </cell>
          <cell r="AB8" t="str">
            <v>Q2A</v>
          </cell>
          <cell r="AC8" t="str">
            <v>Q3A</v>
          </cell>
          <cell r="AD8" t="str">
            <v>Q4A</v>
          </cell>
          <cell r="AE8" t="str">
            <v>Q1A</v>
          </cell>
          <cell r="AF8" t="str">
            <v>Q2E</v>
          </cell>
          <cell r="AG8" t="str">
            <v>Q3E</v>
          </cell>
          <cell r="AH8" t="str">
            <v>Q4E</v>
          </cell>
        </row>
        <row r="9">
          <cell r="J9">
            <v>2001</v>
          </cell>
          <cell r="K9">
            <v>2002</v>
          </cell>
          <cell r="L9">
            <v>2003</v>
          </cell>
          <cell r="M9">
            <v>2004</v>
          </cell>
          <cell r="N9">
            <v>2005</v>
          </cell>
          <cell r="O9">
            <v>2006</v>
          </cell>
          <cell r="P9">
            <v>2007</v>
          </cell>
          <cell r="Q9">
            <v>2008</v>
          </cell>
          <cell r="R9">
            <v>2009</v>
          </cell>
          <cell r="S9" t="str">
            <v xml:space="preserve">2010A </v>
          </cell>
          <cell r="T9" t="str">
            <v xml:space="preserve">2011E </v>
          </cell>
          <cell r="U9" t="str">
            <v xml:space="preserve">2012E </v>
          </cell>
          <cell r="V9" t="str">
            <v xml:space="preserve">2013E </v>
          </cell>
          <cell r="W9" t="str">
            <v xml:space="preserve">2014E </v>
          </cell>
          <cell r="X9" t="str">
            <v xml:space="preserve">2015E </v>
          </cell>
          <cell r="Y9" t="str">
            <v xml:space="preserve">2016E </v>
          </cell>
          <cell r="AA9" t="str">
            <v>June</v>
          </cell>
          <cell r="AB9" t="str">
            <v>Sept</v>
          </cell>
          <cell r="AC9" t="str">
            <v>Dec</v>
          </cell>
          <cell r="AD9" t="str">
            <v>Mar</v>
          </cell>
          <cell r="AE9" t="str">
            <v>June</v>
          </cell>
          <cell r="AF9" t="str">
            <v>Sept</v>
          </cell>
          <cell r="AG9" t="str">
            <v>Dec</v>
          </cell>
          <cell r="AH9" t="str">
            <v>Mar</v>
          </cell>
        </row>
        <row r="10">
          <cell r="B10" t="str">
            <v>Summary Financials</v>
          </cell>
        </row>
        <row r="12">
          <cell r="C12" t="str">
            <v>Government Systems Revenue</v>
          </cell>
          <cell r="J12">
            <v>62.41</v>
          </cell>
          <cell r="K12">
            <v>62.738</v>
          </cell>
          <cell r="L12">
            <v>82.328000000000003</v>
          </cell>
          <cell r="M12">
            <v>128.351</v>
          </cell>
          <cell r="N12">
            <v>175.44200000000001</v>
          </cell>
          <cell r="O12">
            <v>210.64</v>
          </cell>
          <cell r="P12">
            <v>278.35199999999998</v>
          </cell>
          <cell r="Q12">
            <v>319.53800000000001</v>
          </cell>
          <cell r="R12">
            <v>388.65600000000001</v>
          </cell>
          <cell r="S12">
            <v>385.15100000000001</v>
          </cell>
          <cell r="T12">
            <v>392.745</v>
          </cell>
          <cell r="U12">
            <v>426.54300000000001</v>
          </cell>
          <cell r="V12">
            <v>463.31828999999999</v>
          </cell>
          <cell r="W12">
            <v>491.7984012</v>
          </cell>
          <cell r="X12">
            <v>511.13481573600006</v>
          </cell>
          <cell r="Y12">
            <v>531.28044583308019</v>
          </cell>
          <cell r="AA12">
            <v>92.576999999999998</v>
          </cell>
          <cell r="AB12">
            <v>102.798</v>
          </cell>
          <cell r="AC12">
            <v>89.078000000000003</v>
          </cell>
          <cell r="AD12">
            <v>100.69799999999999</v>
          </cell>
          <cell r="AE12">
            <v>88.844999999999999</v>
          </cell>
          <cell r="AF12">
            <v>96.2</v>
          </cell>
          <cell r="AG12">
            <v>100.2</v>
          </cell>
          <cell r="AH12">
            <v>107.5</v>
          </cell>
        </row>
        <row r="13">
          <cell r="D13" t="str">
            <v>Y/Y Growth</v>
          </cell>
          <cell r="J13" t="str">
            <v xml:space="preserve">NA </v>
          </cell>
          <cell r="K13">
            <v>5.2555680179457998E-3</v>
          </cell>
          <cell r="L13">
            <v>0.31225094838853651</v>
          </cell>
          <cell r="M13">
            <v>0.5590200174910116</v>
          </cell>
          <cell r="N13">
            <v>0.36689234988430175</v>
          </cell>
          <cell r="O13">
            <v>0.20062470788066689</v>
          </cell>
          <cell r="P13">
            <v>0.32145841245727302</v>
          </cell>
          <cell r="Q13">
            <v>0.14796372937862867</v>
          </cell>
          <cell r="R13">
            <v>0.21630604184791791</v>
          </cell>
          <cell r="S13">
            <v>-9.018257790951334E-3</v>
          </cell>
          <cell r="T13">
            <v>1.9716942186311259E-2</v>
          </cell>
          <cell r="U13">
            <v>8.6055837757323506E-2</v>
          </cell>
          <cell r="V13">
            <v>8.6217075417953204E-2</v>
          </cell>
          <cell r="W13">
            <v>6.1469861679753768E-2</v>
          </cell>
          <cell r="X13">
            <v>3.9317766159504997E-2</v>
          </cell>
          <cell r="Y13">
            <v>3.941353528828162E-2</v>
          </cell>
          <cell r="AE13">
            <v>-4.0312388606241312E-2</v>
          </cell>
          <cell r="AF13">
            <v>8.2784624908548654E-2</v>
          </cell>
          <cell r="AG13">
            <v>4.1580041580041582E-2</v>
          </cell>
          <cell r="AH13">
            <v>7.2854291417165706E-2</v>
          </cell>
        </row>
        <row r="15">
          <cell r="C15" t="str">
            <v>Government Systems Operating Profit</v>
          </cell>
          <cell r="J15">
            <v>9.2780000000000005</v>
          </cell>
          <cell r="K15">
            <v>8.4849999999999994</v>
          </cell>
          <cell r="L15">
            <v>11.613</v>
          </cell>
          <cell r="M15">
            <v>15.19</v>
          </cell>
          <cell r="N15">
            <v>28.06</v>
          </cell>
          <cell r="O15">
            <v>41.908000000000001</v>
          </cell>
          <cell r="P15">
            <v>42.795000000000002</v>
          </cell>
          <cell r="Q15">
            <v>45.792999999999999</v>
          </cell>
          <cell r="R15">
            <v>57.018999999999998</v>
          </cell>
          <cell r="S15">
            <v>55.72</v>
          </cell>
          <cell r="T15">
            <v>45.444000000000003</v>
          </cell>
          <cell r="U15">
            <v>61.848735000000005</v>
          </cell>
          <cell r="V15">
            <v>66.022856324999992</v>
          </cell>
          <cell r="W15">
            <v>68.851776167999986</v>
          </cell>
          <cell r="X15">
            <v>70.281037163700006</v>
          </cell>
          <cell r="Y15">
            <v>71.722860187465798</v>
          </cell>
          <cell r="AA15">
            <v>12.143000000000001</v>
          </cell>
          <cell r="AB15">
            <v>14.259</v>
          </cell>
          <cell r="AC15">
            <v>10.78</v>
          </cell>
          <cell r="AD15">
            <v>18.538</v>
          </cell>
          <cell r="AE15">
            <v>1.6579999999999999</v>
          </cell>
          <cell r="AF15">
            <v>13.848000000000003</v>
          </cell>
          <cell r="AG15">
            <v>14.448</v>
          </cell>
          <cell r="AH15">
            <v>15.470000000000002</v>
          </cell>
        </row>
        <row r="16">
          <cell r="D16" t="str">
            <v>% Margin</v>
          </cell>
          <cell r="J16">
            <v>0.14866207338567539</v>
          </cell>
          <cell r="K16">
            <v>0.13524498708916446</v>
          </cell>
          <cell r="L16">
            <v>0.14105772033815955</v>
          </cell>
          <cell r="M16">
            <v>0.11834734439155128</v>
          </cell>
          <cell r="N16">
            <v>0.15993889718539459</v>
          </cell>
          <cell r="O16">
            <v>0.19895556399544248</v>
          </cell>
          <cell r="P16">
            <v>0.15374418003103985</v>
          </cell>
          <cell r="Q16">
            <v>0.14331002885415819</v>
          </cell>
          <cell r="R16">
            <v>0.1467081429335968</v>
          </cell>
          <cell r="S16">
            <v>0.14467053181739109</v>
          </cell>
          <cell r="T16">
            <v>0.11570866592827407</v>
          </cell>
          <cell r="U16">
            <v>0.14500000000000002</v>
          </cell>
          <cell r="V16">
            <v>0.14249999999999999</v>
          </cell>
          <cell r="W16">
            <v>0.13999999999999999</v>
          </cell>
          <cell r="X16">
            <v>0.13749999999999998</v>
          </cell>
          <cell r="Y16">
            <v>0.13499999999999995</v>
          </cell>
          <cell r="AA16">
            <v>0.13116648843665274</v>
          </cell>
          <cell r="AB16">
            <v>0.13870892429813811</v>
          </cell>
          <cell r="AC16">
            <v>0.12101753519387502</v>
          </cell>
          <cell r="AD16">
            <v>0.18409501678285567</v>
          </cell>
          <cell r="AE16">
            <v>1.8661714221396813E-2</v>
          </cell>
          <cell r="AF16">
            <v>0.14395010395010396</v>
          </cell>
          <cell r="AG16">
            <v>0.14419161676646708</v>
          </cell>
          <cell r="AH16">
            <v>0.14390697674418607</v>
          </cell>
        </row>
        <row r="18">
          <cell r="C18" t="str">
            <v>Total ViaSat Revenue</v>
          </cell>
          <cell r="J18">
            <v>164.35199999999998</v>
          </cell>
          <cell r="K18">
            <v>195.62799999999999</v>
          </cell>
          <cell r="L18">
            <v>185.02199999999999</v>
          </cell>
          <cell r="M18">
            <v>278.57900000000001</v>
          </cell>
          <cell r="N18">
            <v>345.93900000000002</v>
          </cell>
          <cell r="O18">
            <v>433.82299999999998</v>
          </cell>
          <cell r="P18">
            <v>516.56600000000003</v>
          </cell>
          <cell r="Q18">
            <v>574.65000000000009</v>
          </cell>
          <cell r="R18">
            <v>628.17900000000009</v>
          </cell>
          <cell r="S18">
            <v>688.07999999999993</v>
          </cell>
          <cell r="T18">
            <v>852.40589391387971</v>
          </cell>
          <cell r="U18">
            <v>1008.3384950443954</v>
          </cell>
          <cell r="V18">
            <v>1151.0503551268525</v>
          </cell>
          <cell r="W18">
            <v>1290.9946941740877</v>
          </cell>
          <cell r="X18">
            <v>1393.2006559624019</v>
          </cell>
          <cell r="Y18">
            <v>1482.2260108628577</v>
          </cell>
          <cell r="AA18">
            <v>158.40799999999999</v>
          </cell>
          <cell r="AB18">
            <v>160.666</v>
          </cell>
          <cell r="AC18">
            <v>156.36399999999998</v>
          </cell>
          <cell r="AD18">
            <v>212.642</v>
          </cell>
          <cell r="AE18">
            <v>192.00399999999999</v>
          </cell>
          <cell r="AF18">
            <v>197.88900000000001</v>
          </cell>
          <cell r="AG18">
            <v>218.72049419065155</v>
          </cell>
          <cell r="AH18">
            <v>243.79239972322819</v>
          </cell>
        </row>
        <row r="19">
          <cell r="D19" t="str">
            <v>Government Systems % Total</v>
          </cell>
          <cell r="J19">
            <v>0.37973374221183803</v>
          </cell>
          <cell r="K19">
            <v>0.32070051321896664</v>
          </cell>
          <cell r="L19">
            <v>0.44496330166142406</v>
          </cell>
          <cell r="M19">
            <v>0.46073465695547761</v>
          </cell>
          <cell r="N19">
            <v>0.50714721381515238</v>
          </cell>
          <cell r="O19">
            <v>0.4855436433752936</v>
          </cell>
          <cell r="P19">
            <v>0.53885079544530601</v>
          </cell>
          <cell r="Q19">
            <v>0.55605673018358992</v>
          </cell>
          <cell r="R19">
            <v>0.61870263093799693</v>
          </cell>
          <cell r="S19">
            <v>0.55974741309150111</v>
          </cell>
          <cell r="T19">
            <v>0.46074880852440447</v>
          </cell>
          <cell r="U19">
            <v>0.42301568580025312</v>
          </cell>
          <cell r="V19">
            <v>0.40251782898667327</v>
          </cell>
          <cell r="W19">
            <v>0.38094533108412765</v>
          </cell>
          <cell r="X19">
            <v>0.36687810441986612</v>
          </cell>
          <cell r="Y19">
            <v>0.35843416721840043</v>
          </cell>
          <cell r="AA19">
            <v>0.58442124135144691</v>
          </cell>
          <cell r="AB19">
            <v>0.63982423163581592</v>
          </cell>
          <cell r="AC19">
            <v>0.56968355887544453</v>
          </cell>
          <cell r="AD19">
            <v>0.47355649401341221</v>
          </cell>
          <cell r="AE19">
            <v>0.46272473490135624</v>
          </cell>
          <cell r="AF19">
            <v>0.48613111390729147</v>
          </cell>
          <cell r="AG19">
            <v>0.45811893563416567</v>
          </cell>
          <cell r="AH19">
            <v>0.44094893902370313</v>
          </cell>
        </row>
        <row r="22">
          <cell r="B22" t="str">
            <v>Revenue Build</v>
          </cell>
        </row>
        <row r="24">
          <cell r="C24" t="str">
            <v>Tactical Data Links (MIDS / MIDS-JTRS)</v>
          </cell>
          <cell r="J24">
            <v>28</v>
          </cell>
          <cell r="K24">
            <v>30</v>
          </cell>
          <cell r="L24">
            <v>33.303959999999996</v>
          </cell>
          <cell r="M24">
            <v>41.786850000000001</v>
          </cell>
          <cell r="N24">
            <v>76.106580000000008</v>
          </cell>
          <cell r="O24">
            <v>104.11751999999998</v>
          </cell>
          <cell r="P24">
            <v>118.81018000000002</v>
          </cell>
          <cell r="Q24">
            <v>137.91600000000003</v>
          </cell>
          <cell r="R24">
            <v>131.91759000000002</v>
          </cell>
          <cell r="S24">
            <v>127.98287999999998</v>
          </cell>
          <cell r="T24">
            <v>112</v>
          </cell>
          <cell r="U24">
            <v>112</v>
          </cell>
          <cell r="V24">
            <v>115.36</v>
          </cell>
          <cell r="W24">
            <v>118.82080000000001</v>
          </cell>
          <cell r="X24">
            <v>122.38542400000001</v>
          </cell>
          <cell r="Y24">
            <v>126.05698672000001</v>
          </cell>
          <cell r="AA24">
            <v>29.6</v>
          </cell>
          <cell r="AB24">
            <v>31.995719999999995</v>
          </cell>
          <cell r="AC24">
            <v>31.995719999999995</v>
          </cell>
          <cell r="AD24">
            <v>34.391439999999989</v>
          </cell>
          <cell r="AE24">
            <v>26</v>
          </cell>
          <cell r="AF24">
            <v>28</v>
          </cell>
          <cell r="AG24">
            <v>28</v>
          </cell>
          <cell r="AH24">
            <v>30</v>
          </cell>
        </row>
        <row r="25">
          <cell r="D25" t="str">
            <v>Y/Y Chg.</v>
          </cell>
          <cell r="K25">
            <v>7.1428571428571397E-2</v>
          </cell>
          <cell r="L25">
            <v>0.1101319999999999</v>
          </cell>
          <cell r="M25">
            <v>0.25471115146667267</v>
          </cell>
          <cell r="N25">
            <v>0.82130454915840767</v>
          </cell>
          <cell r="O25">
            <v>0.36804885990146952</v>
          </cell>
          <cell r="P25">
            <v>0.14111611571232241</v>
          </cell>
          <cell r="Q25">
            <v>0.16080962085908812</v>
          </cell>
          <cell r="R25">
            <v>-4.3493213260245356E-2</v>
          </cell>
          <cell r="S25">
            <v>-2.9827030648452824E-2</v>
          </cell>
          <cell r="T25">
            <v>-0.12488295309497632</v>
          </cell>
          <cell r="U25">
            <v>0</v>
          </cell>
          <cell r="V25">
            <v>0.03</v>
          </cell>
          <cell r="W25">
            <v>0.03</v>
          </cell>
          <cell r="X25">
            <v>0.03</v>
          </cell>
          <cell r="Y25">
            <v>0.03</v>
          </cell>
          <cell r="AE25">
            <v>-0.12162162162162171</v>
          </cell>
          <cell r="AF25">
            <v>-0.12488295309497632</v>
          </cell>
          <cell r="AG25">
            <v>-0.12488295309497632</v>
          </cell>
          <cell r="AH25">
            <v>-0.12768991353662396</v>
          </cell>
        </row>
        <row r="26">
          <cell r="D26" t="str">
            <v>% Government Systems Revenue</v>
          </cell>
          <cell r="J26">
            <v>0.44864605031244997</v>
          </cell>
          <cell r="K26">
            <v>0.47817909401000991</v>
          </cell>
          <cell r="L26">
            <v>0.40452774268778541</v>
          </cell>
          <cell r="M26">
            <v>0.32556699986755072</v>
          </cell>
          <cell r="N26">
            <v>0.43379909029764824</v>
          </cell>
          <cell r="O26">
            <v>0.49429130269654381</v>
          </cell>
          <cell r="P26">
            <v>0.42683429614301327</v>
          </cell>
          <cell r="Q26">
            <v>0.43161063785840814</v>
          </cell>
          <cell r="R26">
            <v>0.33941992404594296</v>
          </cell>
          <cell r="S26">
            <v>0.33229273713426671</v>
          </cell>
          <cell r="T26">
            <v>0.28517231282384242</v>
          </cell>
          <cell r="U26">
            <v>0.26257610604323595</v>
          </cell>
          <cell r="V26">
            <v>0.24898650126676417</v>
          </cell>
          <cell r="W26">
            <v>0.24160468946233737</v>
          </cell>
          <cell r="X26">
            <v>0.23943863777655836</v>
          </cell>
          <cell r="Y26">
            <v>0.2372701418030452</v>
          </cell>
          <cell r="AA26">
            <v>0.3197338431791914</v>
          </cell>
          <cell r="AB26">
            <v>0.31124846786902466</v>
          </cell>
          <cell r="AC26">
            <v>0.35918767821459835</v>
          </cell>
          <cell r="AD26">
            <v>0.34153051699139991</v>
          </cell>
          <cell r="AE26">
            <v>0.29264449321852665</v>
          </cell>
          <cell r="AF26">
            <v>0.29106029106029108</v>
          </cell>
          <cell r="AG26">
            <v>0.27944111776447106</v>
          </cell>
          <cell r="AH26">
            <v>0.27906976744186046</v>
          </cell>
        </row>
        <row r="27">
          <cell r="D27" t="str">
            <v>TDL % Total Revenue</v>
          </cell>
          <cell r="J27">
            <v>0.17036604361370719</v>
          </cell>
          <cell r="K27">
            <v>0.15335228085959066</v>
          </cell>
          <cell r="L27">
            <v>0.18</v>
          </cell>
          <cell r="M27">
            <v>0.15</v>
          </cell>
          <cell r="N27">
            <v>0.22</v>
          </cell>
          <cell r="O27">
            <v>0.24</v>
          </cell>
          <cell r="P27">
            <v>0.23</v>
          </cell>
          <cell r="Q27">
            <v>0.24</v>
          </cell>
          <cell r="R27">
            <v>0.21</v>
          </cell>
          <cell r="S27">
            <v>0.186</v>
          </cell>
          <cell r="T27">
            <v>0.13139280335773415</v>
          </cell>
          <cell r="U27">
            <v>0.11107381157263944</v>
          </cell>
          <cell r="V27">
            <v>0.10022150593688549</v>
          </cell>
          <cell r="W27">
            <v>9.2038178418707955E-2</v>
          </cell>
          <cell r="X27">
            <v>8.7844793552338679E-2</v>
          </cell>
          <cell r="Y27">
            <v>8.5045725682966297E-2</v>
          </cell>
          <cell r="AA27">
            <v>0.18685924953285191</v>
          </cell>
          <cell r="AB27">
            <v>0.19914431180212364</v>
          </cell>
          <cell r="AC27">
            <v>0.20462331482950039</v>
          </cell>
          <cell r="AD27">
            <v>0.16173399422503545</v>
          </cell>
          <cell r="AE27">
            <v>0.13541384554488448</v>
          </cell>
          <cell r="AF27">
            <v>0.14149346350731976</v>
          </cell>
          <cell r="AG27">
            <v>0.12801726744268102</v>
          </cell>
          <cell r="AH27">
            <v>0.12305551786707994</v>
          </cell>
        </row>
        <row r="29">
          <cell r="C29" t="str">
            <v>Video Data Links (UAVs)</v>
          </cell>
          <cell r="J29">
            <v>0</v>
          </cell>
          <cell r="K29">
            <v>0</v>
          </cell>
          <cell r="L29">
            <v>0</v>
          </cell>
          <cell r="M29">
            <v>0</v>
          </cell>
          <cell r="N29">
            <v>0</v>
          </cell>
          <cell r="O29">
            <v>0</v>
          </cell>
          <cell r="P29">
            <v>9.1</v>
          </cell>
          <cell r="Q29">
            <v>13.2</v>
          </cell>
          <cell r="R29">
            <v>19.2</v>
          </cell>
          <cell r="S29">
            <v>20.5</v>
          </cell>
          <cell r="T29">
            <v>20.6</v>
          </cell>
          <cell r="U29">
            <v>21.218000000000004</v>
          </cell>
          <cell r="V29">
            <v>21.854540000000004</v>
          </cell>
          <cell r="W29">
            <v>22.510176200000004</v>
          </cell>
          <cell r="X29">
            <v>23.185481486000004</v>
          </cell>
          <cell r="Y29">
            <v>23.881045930580004</v>
          </cell>
          <cell r="AA29">
            <v>4.7</v>
          </cell>
          <cell r="AB29">
            <v>5.125</v>
          </cell>
          <cell r="AC29">
            <v>5.125</v>
          </cell>
          <cell r="AD29">
            <v>5.5500000000000007</v>
          </cell>
          <cell r="AE29">
            <v>4.7</v>
          </cell>
          <cell r="AF29">
            <v>5.2</v>
          </cell>
          <cell r="AG29">
            <v>5.2</v>
          </cell>
          <cell r="AH29">
            <v>5.5</v>
          </cell>
        </row>
        <row r="30">
          <cell r="D30" t="str">
            <v>Y/Y Chg.</v>
          </cell>
          <cell r="O30" t="str">
            <v xml:space="preserve">NM </v>
          </cell>
          <cell r="P30" t="str">
            <v xml:space="preserve">NM </v>
          </cell>
          <cell r="Q30">
            <v>0.4505494505494505</v>
          </cell>
          <cell r="R30">
            <v>0.45454545454545459</v>
          </cell>
          <cell r="S30">
            <v>6.7708333333333481E-2</v>
          </cell>
          <cell r="T30">
            <v>4.8780487804878092E-3</v>
          </cell>
          <cell r="U30">
            <v>0.03</v>
          </cell>
          <cell r="V30">
            <v>0.03</v>
          </cell>
          <cell r="W30">
            <v>0.03</v>
          </cell>
          <cell r="X30">
            <v>0.03</v>
          </cell>
          <cell r="Y30">
            <v>0.03</v>
          </cell>
          <cell r="AE30">
            <v>0</v>
          </cell>
          <cell r="AF30">
            <v>1.4634146341463428E-2</v>
          </cell>
          <cell r="AG30">
            <v>1.4634146341463428E-2</v>
          </cell>
          <cell r="AH30">
            <v>-9.009009009009139E-3</v>
          </cell>
        </row>
        <row r="31">
          <cell r="D31" t="str">
            <v>% Government Systems Revenue</v>
          </cell>
          <cell r="O31">
            <v>0</v>
          </cell>
          <cell r="P31">
            <v>3.2692418233028687E-2</v>
          </cell>
          <cell r="Q31">
            <v>4.1309640793896187E-2</v>
          </cell>
          <cell r="R31">
            <v>4.9401012720760765E-2</v>
          </cell>
          <cell r="S31">
            <v>5.3225877642794635E-2</v>
          </cell>
          <cell r="T31">
            <v>5.2451336108671025E-2</v>
          </cell>
          <cell r="U31">
            <v>4.9744105518083767E-2</v>
          </cell>
          <cell r="V31">
            <v>4.7169603427483955E-2</v>
          </cell>
          <cell r="W31">
            <v>4.5771145544748884E-2</v>
          </cell>
          <cell r="X31">
            <v>4.5360794788776922E-2</v>
          </cell>
          <cell r="Y31">
            <v>4.4949980971223338E-2</v>
          </cell>
          <cell r="AA31">
            <v>5.0768549423722956E-2</v>
          </cell>
          <cell r="AB31">
            <v>4.9855055545827739E-2</v>
          </cell>
          <cell r="AC31">
            <v>5.7533846741058395E-2</v>
          </cell>
          <cell r="AD31">
            <v>5.5115295239230179E-2</v>
          </cell>
          <cell r="AE31">
            <v>5.2901119927964438E-2</v>
          </cell>
          <cell r="AF31">
            <v>5.4054054054054057E-2</v>
          </cell>
          <cell r="AG31">
            <v>5.1896207584830337E-2</v>
          </cell>
          <cell r="AH31">
            <v>5.1162790697674418E-2</v>
          </cell>
        </row>
        <row r="33">
          <cell r="C33" t="str">
            <v>Total Data Links</v>
          </cell>
          <cell r="J33">
            <v>28</v>
          </cell>
          <cell r="K33">
            <v>30</v>
          </cell>
          <cell r="L33">
            <v>33.303959999999996</v>
          </cell>
          <cell r="M33">
            <v>41.786850000000001</v>
          </cell>
          <cell r="N33">
            <v>76.106580000000008</v>
          </cell>
          <cell r="O33">
            <v>104.11751999999998</v>
          </cell>
          <cell r="P33">
            <v>127.91018000000001</v>
          </cell>
          <cell r="Q33">
            <v>151.11600000000001</v>
          </cell>
          <cell r="R33">
            <v>151.11759000000001</v>
          </cell>
          <cell r="S33">
            <v>148.48287999999997</v>
          </cell>
          <cell r="T33">
            <v>132.6</v>
          </cell>
          <cell r="U33">
            <v>133.21800000000002</v>
          </cell>
          <cell r="V33">
            <v>137.21454</v>
          </cell>
          <cell r="W33">
            <v>141.33097620000001</v>
          </cell>
          <cell r="X33">
            <v>145.57090548600002</v>
          </cell>
          <cell r="Y33">
            <v>149.93803265058003</v>
          </cell>
          <cell r="AA33">
            <v>34.300000000000004</v>
          </cell>
          <cell r="AB33">
            <v>37.120719999999992</v>
          </cell>
          <cell r="AC33">
            <v>37.120719999999992</v>
          </cell>
          <cell r="AD33">
            <v>39.941439999999986</v>
          </cell>
          <cell r="AE33">
            <v>30.7</v>
          </cell>
          <cell r="AF33">
            <v>33.200000000000003</v>
          </cell>
          <cell r="AG33">
            <v>33.200000000000003</v>
          </cell>
          <cell r="AH33">
            <v>35.5</v>
          </cell>
        </row>
        <row r="34">
          <cell r="D34" t="str">
            <v>Y/Y Chg.</v>
          </cell>
          <cell r="P34">
            <v>0.22851735231496129</v>
          </cell>
          <cell r="Q34">
            <v>0.18142277651395688</v>
          </cell>
          <cell r="R34">
            <v>1.052171841497973E-5</v>
          </cell>
          <cell r="S34">
            <v>-1.7434833363872748E-2</v>
          </cell>
          <cell r="T34">
            <v>-0.10696775278065707</v>
          </cell>
          <cell r="U34">
            <v>4.6606334841630126E-3</v>
          </cell>
          <cell r="V34">
            <v>2.9999999999999805E-2</v>
          </cell>
          <cell r="W34">
            <v>3.0000000000000027E-2</v>
          </cell>
          <cell r="X34">
            <v>3.0000000000000027E-2</v>
          </cell>
          <cell r="Y34">
            <v>3.0000000000000027E-2</v>
          </cell>
          <cell r="AE34">
            <v>-0.10495626822157444</v>
          </cell>
          <cell r="AF34">
            <v>-0.10562079614835029</v>
          </cell>
          <cell r="AG34">
            <v>-0.10562079614835029</v>
          </cell>
          <cell r="AH34">
            <v>-0.11119879503593233</v>
          </cell>
        </row>
        <row r="35">
          <cell r="D35" t="str">
            <v>% Government Systems Revenue</v>
          </cell>
          <cell r="O35">
            <v>0.49429130269654381</v>
          </cell>
          <cell r="P35">
            <v>0.45952671437604192</v>
          </cell>
          <cell r="Q35">
            <v>0.47292027865230429</v>
          </cell>
          <cell r="R35">
            <v>0.38882093676670365</v>
          </cell>
          <cell r="S35">
            <v>0.38551861477706129</v>
          </cell>
          <cell r="T35">
            <v>0.33762364893251345</v>
          </cell>
          <cell r="U35">
            <v>0.31232021156131978</v>
          </cell>
          <cell r="V35">
            <v>0.29615610469424808</v>
          </cell>
          <cell r="W35">
            <v>0.28737583500708624</v>
          </cell>
          <cell r="X35">
            <v>0.28479943256533524</v>
          </cell>
          <cell r="Y35">
            <v>0.28222012277426856</v>
          </cell>
          <cell r="AA35">
            <v>0.3705023926029144</v>
          </cell>
          <cell r="AB35">
            <v>0.36110352341485236</v>
          </cell>
          <cell r="AC35">
            <v>0.41672152495565673</v>
          </cell>
          <cell r="AD35">
            <v>0.39664581223063006</v>
          </cell>
          <cell r="AE35">
            <v>0.34554561314649107</v>
          </cell>
          <cell r="AF35">
            <v>0.34511434511434513</v>
          </cell>
          <cell r="AG35">
            <v>0.33133732534930144</v>
          </cell>
          <cell r="AH35">
            <v>0.33023255813953489</v>
          </cell>
        </row>
        <row r="37">
          <cell r="C37" t="str">
            <v>Information Assurance</v>
          </cell>
          <cell r="J37">
            <v>5</v>
          </cell>
          <cell r="K37">
            <v>5</v>
          </cell>
          <cell r="L37">
            <v>7</v>
          </cell>
          <cell r="M37">
            <v>20</v>
          </cell>
          <cell r="N37">
            <v>47.6</v>
          </cell>
          <cell r="O37">
            <v>49.269919999999999</v>
          </cell>
          <cell r="P37">
            <v>76.469920000000002</v>
          </cell>
          <cell r="Q37">
            <v>78.869920000000008</v>
          </cell>
          <cell r="R37">
            <v>124.36992000000001</v>
          </cell>
          <cell r="S37">
            <v>107.96992</v>
          </cell>
          <cell r="T37">
            <v>102</v>
          </cell>
          <cell r="U37">
            <v>112.2</v>
          </cell>
          <cell r="V37">
            <v>117.81</v>
          </cell>
          <cell r="W37">
            <v>121.3443</v>
          </cell>
          <cell r="X37">
            <v>124.98462900000001</v>
          </cell>
          <cell r="Y37">
            <v>128.73416787000002</v>
          </cell>
          <cell r="AA37">
            <v>27.4</v>
          </cell>
          <cell r="AB37">
            <v>33</v>
          </cell>
          <cell r="AC37">
            <v>20</v>
          </cell>
          <cell r="AD37">
            <v>27.569919999999996</v>
          </cell>
          <cell r="AE37">
            <v>22</v>
          </cell>
          <cell r="AF37">
            <v>25</v>
          </cell>
          <cell r="AG37">
            <v>25</v>
          </cell>
          <cell r="AH37">
            <v>30</v>
          </cell>
        </row>
        <row r="38">
          <cell r="D38" t="str">
            <v>Y/Y Chg.</v>
          </cell>
          <cell r="K38">
            <v>0</v>
          </cell>
          <cell r="L38">
            <v>0.39999999999999991</v>
          </cell>
          <cell r="M38">
            <v>1.8571428571428572</v>
          </cell>
          <cell r="N38">
            <v>1.38</v>
          </cell>
          <cell r="O38">
            <v>3.5082352941176342E-2</v>
          </cell>
          <cell r="P38">
            <v>0.55206097351081551</v>
          </cell>
          <cell r="Q38">
            <v>3.1384889640266422E-2</v>
          </cell>
          <cell r="R38">
            <v>0.5768992792182368</v>
          </cell>
          <cell r="S38">
            <v>-0.13186468239265581</v>
          </cell>
          <cell r="T38">
            <v>-5.5292437004676898E-2</v>
          </cell>
          <cell r="U38">
            <v>0.1</v>
          </cell>
          <cell r="V38">
            <v>0.05</v>
          </cell>
          <cell r="W38">
            <v>0.03</v>
          </cell>
          <cell r="X38">
            <v>0.03</v>
          </cell>
          <cell r="Y38">
            <v>0.03</v>
          </cell>
          <cell r="AE38">
            <v>-0.1970802919708029</v>
          </cell>
          <cell r="AF38">
            <v>-0.24242424242424243</v>
          </cell>
          <cell r="AG38">
            <v>0.25</v>
          </cell>
          <cell r="AH38">
            <v>8.8142439296160502E-2</v>
          </cell>
        </row>
        <row r="39">
          <cell r="D39" t="str">
            <v>% Government Systems Revenue</v>
          </cell>
          <cell r="J39">
            <v>8.0115366127223211E-2</v>
          </cell>
          <cell r="K39">
            <v>7.969651566833498E-2</v>
          </cell>
          <cell r="L39">
            <v>8.5025750655912932E-2</v>
          </cell>
          <cell r="M39">
            <v>0.15582270492633482</v>
          </cell>
          <cell r="N39">
            <v>0.27131473649411203</v>
          </cell>
          <cell r="O39">
            <v>0.23390581086213447</v>
          </cell>
          <cell r="P39">
            <v>0.27472380295453241</v>
          </cell>
          <cell r="Q39">
            <v>0.24682485338207039</v>
          </cell>
          <cell r="R39">
            <v>0.32</v>
          </cell>
          <cell r="S39">
            <v>0.28033140248889393</v>
          </cell>
          <cell r="T39">
            <v>0.25971049917885652</v>
          </cell>
          <cell r="U39">
            <v>0.26304499194688463</v>
          </cell>
          <cell r="V39">
            <v>0.25427444273784228</v>
          </cell>
          <cell r="W39">
            <v>0.24673585701766612</v>
          </cell>
          <cell r="X39">
            <v>0.24452380302059934</v>
          </cell>
          <cell r="Y39">
            <v>0.24230925282434776</v>
          </cell>
          <cell r="AA39">
            <v>0.29596984132127852</v>
          </cell>
          <cell r="AB39">
            <v>0.32101791863654933</v>
          </cell>
          <cell r="AC39">
            <v>0.22452232874559375</v>
          </cell>
          <cell r="AD39">
            <v>0.27378815865260475</v>
          </cell>
          <cell r="AE39">
            <v>0.24762226349259947</v>
          </cell>
          <cell r="AF39">
            <v>0.25987525987525989</v>
          </cell>
          <cell r="AG39">
            <v>0.249500998003992</v>
          </cell>
          <cell r="AH39">
            <v>0.27906976744186046</v>
          </cell>
        </row>
        <row r="41">
          <cell r="C41" t="str">
            <v>Government SatCom</v>
          </cell>
          <cell r="J41">
            <v>19.8</v>
          </cell>
          <cell r="K41">
            <v>24.6</v>
          </cell>
          <cell r="L41">
            <v>31.8</v>
          </cell>
          <cell r="M41">
            <v>55.6</v>
          </cell>
          <cell r="N41">
            <v>51.710240000000006</v>
          </cell>
          <cell r="O41">
            <v>57.810240000000007</v>
          </cell>
          <cell r="P41">
            <v>57.810240000000007</v>
          </cell>
          <cell r="Q41">
            <v>83.110240000000005</v>
          </cell>
          <cell r="R41">
            <v>112.71024</v>
          </cell>
          <cell r="S41">
            <v>128.61024</v>
          </cell>
          <cell r="T41">
            <v>157.5</v>
          </cell>
          <cell r="U41">
            <v>181.125</v>
          </cell>
          <cell r="V41">
            <v>208.29374999999999</v>
          </cell>
          <cell r="W41">
            <v>229.12312500000002</v>
          </cell>
          <cell r="X41">
            <v>240.57928125000004</v>
          </cell>
          <cell r="Y41">
            <v>252.60824531250006</v>
          </cell>
          <cell r="AA41">
            <v>31.1</v>
          </cell>
          <cell r="AB41">
            <v>32.152560000000001</v>
          </cell>
          <cell r="AC41">
            <v>32.152560000000001</v>
          </cell>
          <cell r="AD41">
            <v>33.205119999999994</v>
          </cell>
          <cell r="AE41">
            <v>35.5</v>
          </cell>
          <cell r="AF41">
            <v>38</v>
          </cell>
          <cell r="AG41">
            <v>42</v>
          </cell>
          <cell r="AH41">
            <v>42</v>
          </cell>
        </row>
        <row r="42">
          <cell r="D42" t="str">
            <v>Y/Y Chg.</v>
          </cell>
          <cell r="K42">
            <v>0.24242424242424243</v>
          </cell>
          <cell r="L42">
            <v>0.29268292682926833</v>
          </cell>
          <cell r="M42">
            <v>0.7484276729559749</v>
          </cell>
          <cell r="N42">
            <v>-6.9959712230215798E-2</v>
          </cell>
          <cell r="O42">
            <v>0.1179650297503938</v>
          </cell>
          <cell r="P42">
            <v>0</v>
          </cell>
          <cell r="Q42">
            <v>0.4376387297475326</v>
          </cell>
          <cell r="R42">
            <v>0.35615346556573524</v>
          </cell>
          <cell r="S42">
            <v>0.14106970227372417</v>
          </cell>
          <cell r="T42">
            <v>0.22463032492591561</v>
          </cell>
          <cell r="U42">
            <v>0.15</v>
          </cell>
          <cell r="V42">
            <v>0.15</v>
          </cell>
          <cell r="W42">
            <v>0.1</v>
          </cell>
          <cell r="X42">
            <v>0.05</v>
          </cell>
          <cell r="Y42">
            <v>0.05</v>
          </cell>
          <cell r="AE42">
            <v>0.14147909967845651</v>
          </cell>
          <cell r="AF42">
            <v>0.18186545643643925</v>
          </cell>
          <cell r="AG42">
            <v>0.30627234658764335</v>
          </cell>
          <cell r="AH42">
            <v>0.26486517741842253</v>
          </cell>
        </row>
        <row r="43">
          <cell r="D43" t="str">
            <v>% Government Systems Revenue</v>
          </cell>
          <cell r="J43">
            <v>0.31725684986380392</v>
          </cell>
          <cell r="K43">
            <v>0.39210685708820814</v>
          </cell>
          <cell r="L43">
            <v>0.38625983869400449</v>
          </cell>
          <cell r="M43">
            <v>0.43318711969521079</v>
          </cell>
          <cell r="N43">
            <v>0.29474264999259014</v>
          </cell>
          <cell r="O43">
            <v>0.27445043676414743</v>
          </cell>
          <cell r="P43">
            <v>0.20768753233316092</v>
          </cell>
          <cell r="Q43">
            <v>0.26009501217382597</v>
          </cell>
          <cell r="R43">
            <v>0.28999999999999998</v>
          </cell>
          <cell r="S43">
            <v>0.33392160477319283</v>
          </cell>
          <cell r="T43">
            <v>0.40102356490852842</v>
          </cell>
          <cell r="U43">
            <v>0.42463479649179564</v>
          </cell>
          <cell r="V43">
            <v>0.44956945256790964</v>
          </cell>
          <cell r="W43">
            <v>0.46588830797524766</v>
          </cell>
          <cell r="X43">
            <v>0.47067676441406542</v>
          </cell>
          <cell r="Y43">
            <v>0.47547062440138355</v>
          </cell>
          <cell r="AA43">
            <v>0.33593657171867747</v>
          </cell>
          <cell r="AB43">
            <v>0.31277417848596278</v>
          </cell>
          <cell r="AC43">
            <v>0.36094838231662141</v>
          </cell>
          <cell r="AD43">
            <v>0.3297495481538858</v>
          </cell>
          <cell r="AE43">
            <v>0.3995722888176037</v>
          </cell>
          <cell r="AF43">
            <v>0.39501039501039498</v>
          </cell>
          <cell r="AG43">
            <v>0.41916167664670656</v>
          </cell>
          <cell r="AH43">
            <v>0.39069767441860465</v>
          </cell>
        </row>
        <row r="45">
          <cell r="C45" t="str">
            <v>Other</v>
          </cell>
          <cell r="J45">
            <v>9.6099999999999959</v>
          </cell>
          <cell r="K45">
            <v>3.1379999999999981</v>
          </cell>
          <cell r="L45">
            <v>10.224040000000006</v>
          </cell>
          <cell r="M45">
            <v>10.964149999999997</v>
          </cell>
          <cell r="N45">
            <v>2.5179999999991765E-2</v>
          </cell>
          <cell r="O45">
            <v>-0.55768000000000484</v>
          </cell>
          <cell r="P45">
            <v>16.161659999999941</v>
          </cell>
          <cell r="Q45">
            <v>6.4418399999999849</v>
          </cell>
          <cell r="R45">
            <v>0.4582499999999925</v>
          </cell>
          <cell r="S45">
            <v>8.7960000000038008E-2</v>
          </cell>
          <cell r="T45">
            <v>0.64499999999999602</v>
          </cell>
          <cell r="U45">
            <v>0</v>
          </cell>
          <cell r="V45">
            <v>0</v>
          </cell>
          <cell r="W45">
            <v>0</v>
          </cell>
          <cell r="X45">
            <v>0</v>
          </cell>
          <cell r="Y45">
            <v>0</v>
          </cell>
          <cell r="AA45">
            <v>-0.22300000000000608</v>
          </cell>
          <cell r="AB45">
            <v>0.52472000000000918</v>
          </cell>
          <cell r="AC45">
            <v>-0.19527999999998968</v>
          </cell>
          <cell r="AD45">
            <v>-1.8479999999975405E-2</v>
          </cell>
          <cell r="AE45">
            <v>0.64499999999999602</v>
          </cell>
          <cell r="AF45">
            <v>0</v>
          </cell>
          <cell r="AG45">
            <v>0</v>
          </cell>
          <cell r="AH45">
            <v>0</v>
          </cell>
        </row>
        <row r="47">
          <cell r="C47" t="str">
            <v>Total Government Systems Revenue</v>
          </cell>
          <cell r="J47">
            <v>62.41</v>
          </cell>
          <cell r="K47">
            <v>62.738</v>
          </cell>
          <cell r="L47">
            <v>82.328000000000003</v>
          </cell>
          <cell r="M47">
            <v>128.351</v>
          </cell>
          <cell r="N47">
            <v>175.44200000000001</v>
          </cell>
          <cell r="O47">
            <v>210.64</v>
          </cell>
          <cell r="P47">
            <v>278.35199999999998</v>
          </cell>
          <cell r="Q47">
            <v>319.53800000000001</v>
          </cell>
          <cell r="R47">
            <v>388.65600000000006</v>
          </cell>
          <cell r="S47">
            <v>385.15100000000007</v>
          </cell>
          <cell r="T47">
            <v>392.745</v>
          </cell>
          <cell r="U47">
            <v>426.54300000000001</v>
          </cell>
          <cell r="V47">
            <v>463.31828999999999</v>
          </cell>
          <cell r="W47">
            <v>491.7984012</v>
          </cell>
          <cell r="X47">
            <v>511.13481573600006</v>
          </cell>
          <cell r="Y47">
            <v>531.28044583308019</v>
          </cell>
          <cell r="AA47">
            <v>92.576999999999998</v>
          </cell>
          <cell r="AB47">
            <v>102.798</v>
          </cell>
          <cell r="AC47">
            <v>89.078000000000003</v>
          </cell>
          <cell r="AD47">
            <v>100.69800000000001</v>
          </cell>
          <cell r="AE47">
            <v>88.844999999999999</v>
          </cell>
          <cell r="AF47">
            <v>96.2</v>
          </cell>
          <cell r="AG47">
            <v>100.2</v>
          </cell>
          <cell r="AH47">
            <v>107.5</v>
          </cell>
        </row>
        <row r="48">
          <cell r="D48" t="str">
            <v>Y/Y Chg.</v>
          </cell>
          <cell r="K48">
            <v>5.2555680179457998E-3</v>
          </cell>
          <cell r="L48">
            <v>0.31225094838853651</v>
          </cell>
          <cell r="M48">
            <v>0.5590200174910116</v>
          </cell>
          <cell r="N48">
            <v>0.36689234988430175</v>
          </cell>
          <cell r="O48">
            <v>0.20062470788066689</v>
          </cell>
          <cell r="P48">
            <v>0.32145841245727302</v>
          </cell>
          <cell r="Q48">
            <v>0.14796372937862867</v>
          </cell>
          <cell r="R48">
            <v>0.21630604184791813</v>
          </cell>
          <cell r="S48">
            <v>-9.018257790951334E-3</v>
          </cell>
          <cell r="T48">
            <v>1.9716942186311259E-2</v>
          </cell>
          <cell r="U48">
            <v>8.6055837757323506E-2</v>
          </cell>
          <cell r="V48">
            <v>8.6217075417953204E-2</v>
          </cell>
          <cell r="W48">
            <v>6.1469861679753768E-2</v>
          </cell>
          <cell r="X48">
            <v>3.9317766159504997E-2</v>
          </cell>
          <cell r="Y48">
            <v>3.941353528828162E-2</v>
          </cell>
          <cell r="AE48">
            <v>-4.0312388606241312E-2</v>
          </cell>
          <cell r="AF48">
            <v>-6.4184128095877369E-2</v>
          </cell>
          <cell r="AG48">
            <v>0.12485686701542464</v>
          </cell>
          <cell r="AH48">
            <v>6.7548511390494337E-2</v>
          </cell>
        </row>
        <row r="49">
          <cell r="D49" t="str">
            <v>Check</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AA49">
            <v>0</v>
          </cell>
          <cell r="AB49">
            <v>0</v>
          </cell>
          <cell r="AC49">
            <v>0</v>
          </cell>
          <cell r="AD49">
            <v>0</v>
          </cell>
          <cell r="AE49">
            <v>0</v>
          </cell>
          <cell r="AF49">
            <v>0</v>
          </cell>
          <cell r="AG49">
            <v>0</v>
          </cell>
          <cell r="AH49">
            <v>0</v>
          </cell>
        </row>
        <row r="51">
          <cell r="C51" t="str">
            <v>Awards</v>
          </cell>
          <cell r="N51">
            <v>227.1</v>
          </cell>
          <cell r="O51">
            <v>199.6</v>
          </cell>
          <cell r="P51">
            <v>301.8</v>
          </cell>
          <cell r="Q51">
            <v>306.2</v>
          </cell>
          <cell r="R51">
            <v>407.3</v>
          </cell>
          <cell r="S51">
            <v>386.05100000000004</v>
          </cell>
          <cell r="AA51">
            <v>84.577000000000027</v>
          </cell>
          <cell r="AB51">
            <v>121.398</v>
          </cell>
          <cell r="AC51">
            <v>59.77800000000002</v>
          </cell>
          <cell r="AD51">
            <v>120.29799999999997</v>
          </cell>
          <cell r="AE51">
            <v>65.944999999999993</v>
          </cell>
        </row>
        <row r="52">
          <cell r="C52" t="str">
            <v>Book:Bill</v>
          </cell>
          <cell r="N52">
            <v>1.2944448877691772</v>
          </cell>
          <cell r="O52">
            <v>0.94758830231674895</v>
          </cell>
          <cell r="P52">
            <v>1.084238661838248</v>
          </cell>
          <cell r="Q52">
            <v>0.95825848568871297</v>
          </cell>
          <cell r="R52">
            <v>1.0479704417273885</v>
          </cell>
          <cell r="S52">
            <v>1.0023367458477324</v>
          </cell>
          <cell r="AA52">
            <v>0.91358544778940809</v>
          </cell>
          <cell r="AB52">
            <v>1.1809373723224186</v>
          </cell>
          <cell r="AC52">
            <v>0.6710747883877054</v>
          </cell>
          <cell r="AD52">
            <v>1.1946414030070107</v>
          </cell>
          <cell r="AE52">
            <v>0.74224773481906681</v>
          </cell>
        </row>
        <row r="54">
          <cell r="C54" t="str">
            <v>Beginning Backlog</v>
          </cell>
          <cell r="Q54">
            <v>193.2</v>
          </cell>
          <cell r="R54">
            <v>186.1</v>
          </cell>
          <cell r="S54">
            <v>209.1</v>
          </cell>
          <cell r="AA54">
            <v>209.1</v>
          </cell>
          <cell r="AB54">
            <v>201.1</v>
          </cell>
          <cell r="AC54">
            <v>219.7</v>
          </cell>
          <cell r="AD54">
            <v>190.4</v>
          </cell>
          <cell r="AE54">
            <v>210</v>
          </cell>
        </row>
        <row r="55">
          <cell r="C55" t="str">
            <v>Less: Revenue</v>
          </cell>
          <cell r="Q55">
            <v>-319.53800000000001</v>
          </cell>
          <cell r="R55">
            <v>-388.65600000000001</v>
          </cell>
          <cell r="S55">
            <v>-385.15100000000001</v>
          </cell>
          <cell r="AA55">
            <v>-92.576999999999998</v>
          </cell>
          <cell r="AB55">
            <v>-102.798</v>
          </cell>
          <cell r="AC55">
            <v>-89.078000000000003</v>
          </cell>
          <cell r="AD55">
            <v>-100.69799999999999</v>
          </cell>
          <cell r="AE55">
            <v>-88.844999999999999</v>
          </cell>
        </row>
        <row r="56">
          <cell r="C56" t="str">
            <v>Plus: Net Awards</v>
          </cell>
          <cell r="Q56">
            <v>312.43800000000005</v>
          </cell>
          <cell r="R56">
            <v>411.65599999999995</v>
          </cell>
          <cell r="S56">
            <v>386.05100000000004</v>
          </cell>
          <cell r="AA56">
            <v>84.577000000000027</v>
          </cell>
          <cell r="AB56">
            <v>121.398</v>
          </cell>
          <cell r="AC56">
            <v>59.77800000000002</v>
          </cell>
          <cell r="AD56">
            <v>120.29799999999997</v>
          </cell>
          <cell r="AE56">
            <v>65.944999999999993</v>
          </cell>
        </row>
        <row r="57">
          <cell r="C57" t="str">
            <v>Ending Backlog</v>
          </cell>
          <cell r="P57">
            <v>193.2</v>
          </cell>
          <cell r="Q57">
            <v>186.1</v>
          </cell>
          <cell r="R57">
            <v>209.1</v>
          </cell>
          <cell r="S57">
            <v>210</v>
          </cell>
          <cell r="Z57">
            <v>209.1</v>
          </cell>
          <cell r="AA57">
            <v>201.1</v>
          </cell>
          <cell r="AB57">
            <v>219.7</v>
          </cell>
          <cell r="AC57">
            <v>190.4</v>
          </cell>
          <cell r="AD57">
            <v>210</v>
          </cell>
          <cell r="AE57">
            <v>187.1</v>
          </cell>
        </row>
        <row r="59">
          <cell r="C59" t="str">
            <v>Incremental Revenue</v>
          </cell>
        </row>
        <row r="60">
          <cell r="C60" t="str">
            <v>Tactical Data Links (MIDS / MIDS-JTRS)</v>
          </cell>
          <cell r="N60">
            <v>33.700000000000003</v>
          </cell>
          <cell r="O60">
            <v>28.8</v>
          </cell>
          <cell r="P60">
            <v>21</v>
          </cell>
          <cell r="Q60">
            <v>5.9</v>
          </cell>
          <cell r="R60">
            <v>-10.8</v>
          </cell>
          <cell r="S60">
            <v>-4.3</v>
          </cell>
          <cell r="T60">
            <v>-15.98287999999998</v>
          </cell>
          <cell r="U60">
            <v>0</v>
          </cell>
          <cell r="V60">
            <v>3.3599999999999994</v>
          </cell>
          <cell r="W60">
            <v>3.4608000000000061</v>
          </cell>
          <cell r="X60">
            <v>3.5646240000000091</v>
          </cell>
          <cell r="Y60">
            <v>3.6715627199999972</v>
          </cell>
          <cell r="AA60">
            <v>1.5</v>
          </cell>
          <cell r="AB60">
            <v>-1.9</v>
          </cell>
          <cell r="AC60">
            <v>-6.8</v>
          </cell>
          <cell r="AD60">
            <v>2.8999999999999995</v>
          </cell>
          <cell r="AE60">
            <v>-3.6</v>
          </cell>
        </row>
        <row r="61">
          <cell r="C61" t="str">
            <v>Video Data Links (UAVs)</v>
          </cell>
          <cell r="N61" t="str">
            <v xml:space="preserve">NA </v>
          </cell>
          <cell r="O61" t="str">
            <v xml:space="preserve">NA </v>
          </cell>
          <cell r="P61">
            <v>9.1</v>
          </cell>
          <cell r="Q61">
            <v>4.0999999999999996</v>
          </cell>
          <cell r="R61">
            <v>6</v>
          </cell>
          <cell r="S61">
            <v>1.3</v>
          </cell>
          <cell r="T61">
            <v>0.10000000000000142</v>
          </cell>
          <cell r="U61">
            <v>0.6180000000000021</v>
          </cell>
          <cell r="V61">
            <v>0.63654000000000011</v>
          </cell>
          <cell r="W61">
            <v>0.6556362</v>
          </cell>
          <cell r="X61">
            <v>0.67530528600000039</v>
          </cell>
          <cell r="Y61">
            <v>0.69556444458000044</v>
          </cell>
          <cell r="AA61">
            <v>-1.3</v>
          </cell>
          <cell r="AB61">
            <v>1.9</v>
          </cell>
          <cell r="AC61">
            <v>-1.3</v>
          </cell>
          <cell r="AD61">
            <v>2</v>
          </cell>
          <cell r="AE61">
            <v>0</v>
          </cell>
        </row>
        <row r="62">
          <cell r="C62" t="str">
            <v>Information Assurance</v>
          </cell>
          <cell r="N62">
            <v>12.6</v>
          </cell>
          <cell r="P62">
            <v>27.2</v>
          </cell>
          <cell r="Q62">
            <v>2.4</v>
          </cell>
          <cell r="R62">
            <v>45.5</v>
          </cell>
          <cell r="S62">
            <v>-16.399999999999999</v>
          </cell>
          <cell r="T62">
            <v>-5.9699200000000019</v>
          </cell>
          <cell r="U62">
            <v>10.200000000000003</v>
          </cell>
          <cell r="V62">
            <v>5.6099999999999994</v>
          </cell>
          <cell r="W62">
            <v>3.5343000000000018</v>
          </cell>
          <cell r="X62">
            <v>3.6403290000000084</v>
          </cell>
          <cell r="Y62">
            <v>3.7495388700000092</v>
          </cell>
          <cell r="AB62">
            <v>-5.3</v>
          </cell>
          <cell r="AD62">
            <v>-11.099999999999998</v>
          </cell>
          <cell r="AE62">
            <v>-5.4</v>
          </cell>
        </row>
        <row r="63">
          <cell r="C63" t="str">
            <v>Government SatCom</v>
          </cell>
          <cell r="O63">
            <v>6.1</v>
          </cell>
          <cell r="Q63">
            <v>25.3</v>
          </cell>
          <cell r="R63">
            <v>29.6</v>
          </cell>
          <cell r="S63">
            <v>15.9</v>
          </cell>
          <cell r="T63">
            <v>28.889759999999995</v>
          </cell>
          <cell r="U63">
            <v>23.625</v>
          </cell>
          <cell r="V63">
            <v>27.168749999999989</v>
          </cell>
          <cell r="W63">
            <v>20.829375000000027</v>
          </cell>
          <cell r="X63">
            <v>11.456156250000021</v>
          </cell>
          <cell r="Y63">
            <v>12.028964062500023</v>
          </cell>
          <cell r="AA63">
            <v>2.6</v>
          </cell>
          <cell r="AB63">
            <v>10.199999999999999</v>
          </cell>
          <cell r="AC63">
            <v>4.0999999999999996</v>
          </cell>
          <cell r="AD63">
            <v>-0.99999999999999822</v>
          </cell>
          <cell r="AE63">
            <v>4.4000000000000004</v>
          </cell>
        </row>
        <row r="64">
          <cell r="C64" t="str">
            <v>Other</v>
          </cell>
          <cell r="Q64">
            <v>3.3</v>
          </cell>
          <cell r="R64">
            <v>-1.1000000000000001</v>
          </cell>
          <cell r="AD64">
            <v>0</v>
          </cell>
          <cell r="AE64">
            <v>0</v>
          </cell>
        </row>
        <row r="65">
          <cell r="C65" t="str">
            <v>Plug</v>
          </cell>
          <cell r="N65">
            <v>0.79100000000000392</v>
          </cell>
          <cell r="O65">
            <v>0.2979999999999805</v>
          </cell>
          <cell r="P65">
            <v>10.411999999999992</v>
          </cell>
          <cell r="Q65">
            <v>0.18600000000003547</v>
          </cell>
          <cell r="R65">
            <v>-8.2000000000022055E-2</v>
          </cell>
          <cell r="S65">
            <v>-4.9999999999972289E-3</v>
          </cell>
          <cell r="T65">
            <v>0.55703999999992249</v>
          </cell>
          <cell r="U65">
            <v>-0.64500000000000313</v>
          </cell>
          <cell r="V65">
            <v>0</v>
          </cell>
          <cell r="W65">
            <v>0</v>
          </cell>
          <cell r="X65">
            <v>0</v>
          </cell>
          <cell r="Y65">
            <v>9.9475983006414026E-14</v>
          </cell>
          <cell r="AA65">
            <v>1.1320000000000023</v>
          </cell>
          <cell r="AB65">
            <v>0.59599999999999564</v>
          </cell>
          <cell r="AC65">
            <v>-0.67900000000000205</v>
          </cell>
          <cell r="AD65">
            <v>-1.0540000000000083</v>
          </cell>
          <cell r="AE65">
            <v>0.86800000000000033</v>
          </cell>
        </row>
        <row r="66">
          <cell r="C66" t="str">
            <v>Total</v>
          </cell>
          <cell r="N66">
            <v>47.091000000000008</v>
          </cell>
          <cell r="O66">
            <v>35.197999999999979</v>
          </cell>
          <cell r="P66">
            <v>67.711999999999989</v>
          </cell>
          <cell r="Q66">
            <v>41.186000000000035</v>
          </cell>
          <cell r="R66">
            <v>69.117999999999995</v>
          </cell>
          <cell r="S66">
            <v>-3.5049999999999955</v>
          </cell>
          <cell r="T66">
            <v>7.5939999999999372</v>
          </cell>
          <cell r="U66">
            <v>33.798000000000002</v>
          </cell>
          <cell r="V66">
            <v>36.775289999999984</v>
          </cell>
          <cell r="W66">
            <v>28.480111200000035</v>
          </cell>
          <cell r="X66">
            <v>19.336414536000039</v>
          </cell>
          <cell r="Y66">
            <v>20.145630097080129</v>
          </cell>
          <cell r="AA66">
            <v>3.9320000000000022</v>
          </cell>
          <cell r="AB66">
            <v>5.4959999999999951</v>
          </cell>
          <cell r="AC66">
            <v>-4.679000000000002</v>
          </cell>
          <cell r="AD66">
            <v>-8.2540000000000049</v>
          </cell>
          <cell r="AE66">
            <v>-3.7319999999999993</v>
          </cell>
        </row>
        <row r="67">
          <cell r="C67" t="str">
            <v>Check</v>
          </cell>
          <cell r="N67">
            <v>47.091000000000008</v>
          </cell>
          <cell r="O67">
            <v>35.197999999999979</v>
          </cell>
          <cell r="P67">
            <v>67.711999999999989</v>
          </cell>
          <cell r="Q67">
            <v>41.186000000000035</v>
          </cell>
          <cell r="R67">
            <v>69.117999999999995</v>
          </cell>
          <cell r="S67">
            <v>-3.5049999999999955</v>
          </cell>
          <cell r="T67">
            <v>7.5939999999999941</v>
          </cell>
          <cell r="U67">
            <v>33.798000000000002</v>
          </cell>
          <cell r="V67">
            <v>36.775289999999984</v>
          </cell>
          <cell r="W67">
            <v>28.48011120000001</v>
          </cell>
          <cell r="X67">
            <v>19.336414536000063</v>
          </cell>
          <cell r="Y67">
            <v>20.145630097080129</v>
          </cell>
          <cell r="AA67">
            <v>3.9320000000000022</v>
          </cell>
          <cell r="AB67">
            <v>5.4959999999999951</v>
          </cell>
          <cell r="AC67">
            <v>-4.679000000000002</v>
          </cell>
          <cell r="AD67">
            <v>-8.2540000000000049</v>
          </cell>
          <cell r="AE67">
            <v>-3.7319999999999993</v>
          </cell>
        </row>
        <row r="69">
          <cell r="C69" t="str">
            <v>Blue Force Tracking</v>
          </cell>
          <cell r="T69">
            <v>12</v>
          </cell>
          <cell r="U69">
            <v>50</v>
          </cell>
          <cell r="V69">
            <v>95.4</v>
          </cell>
          <cell r="W69">
            <v>95.4</v>
          </cell>
          <cell r="X69">
            <v>95.4</v>
          </cell>
          <cell r="Y69">
            <v>95.4</v>
          </cell>
          <cell r="AG69">
            <v>6</v>
          </cell>
          <cell r="AH69">
            <v>6</v>
          </cell>
        </row>
        <row r="71">
          <cell r="B71" t="str">
            <v>Operating Profit Build</v>
          </cell>
        </row>
        <row r="73">
          <cell r="C73" t="str">
            <v>Total Data Links (MIDS + Video)</v>
          </cell>
          <cell r="R73">
            <v>21.156462600000005</v>
          </cell>
          <cell r="S73">
            <v>20.787603199999996</v>
          </cell>
          <cell r="T73">
            <v>18.564</v>
          </cell>
          <cell r="U73">
            <v>19.316610000000001</v>
          </cell>
          <cell r="V73">
            <v>19.55307195</v>
          </cell>
          <cell r="W73">
            <v>19.786336668000001</v>
          </cell>
          <cell r="X73">
            <v>20.015999504324999</v>
          </cell>
          <cell r="Y73">
            <v>20.2416344078283</v>
          </cell>
          <cell r="AE73">
            <v>4.298</v>
          </cell>
          <cell r="AF73">
            <v>4.6480000000000006</v>
          </cell>
          <cell r="AG73">
            <v>4.6480000000000006</v>
          </cell>
          <cell r="AH73">
            <v>4.9700000000000006</v>
          </cell>
        </row>
        <row r="74">
          <cell r="D74" t="str">
            <v>% Margin</v>
          </cell>
          <cell r="R74">
            <v>0.14000000000000001</v>
          </cell>
          <cell r="S74">
            <v>0.14000000000000001</v>
          </cell>
          <cell r="T74">
            <v>0.14000000000000001</v>
          </cell>
          <cell r="U74">
            <v>0.14499999999999999</v>
          </cell>
          <cell r="V74">
            <v>0.14249999999999999</v>
          </cell>
          <cell r="W74">
            <v>0.13999999999999999</v>
          </cell>
          <cell r="X74">
            <v>0.13749999999999998</v>
          </cell>
          <cell r="Y74">
            <v>0.13499999999999998</v>
          </cell>
          <cell r="AE74">
            <v>0.14000000000000001</v>
          </cell>
          <cell r="AF74">
            <v>0.14000000000000001</v>
          </cell>
          <cell r="AG74">
            <v>0.14000000000000001</v>
          </cell>
          <cell r="AH74">
            <v>0.14000000000000001</v>
          </cell>
        </row>
        <row r="76">
          <cell r="C76" t="str">
            <v>Information Assurance</v>
          </cell>
          <cell r="R76">
            <v>17.411788800000004</v>
          </cell>
          <cell r="S76">
            <v>15.115788800000002</v>
          </cell>
          <cell r="T76">
            <v>14.280000000000001</v>
          </cell>
          <cell r="U76">
            <v>16.268999999999998</v>
          </cell>
          <cell r="V76">
            <v>16.787924999999998</v>
          </cell>
          <cell r="W76">
            <v>16.988201999999998</v>
          </cell>
          <cell r="X76">
            <v>17.185386487500001</v>
          </cell>
          <cell r="Y76">
            <v>17.379112662450002</v>
          </cell>
          <cell r="AE76">
            <v>3.08</v>
          </cell>
          <cell r="AF76">
            <v>3.5000000000000004</v>
          </cell>
          <cell r="AG76">
            <v>3.5000000000000004</v>
          </cell>
          <cell r="AH76">
            <v>4.2</v>
          </cell>
        </row>
        <row r="77">
          <cell r="D77" t="str">
            <v>% Margin</v>
          </cell>
          <cell r="R77">
            <v>0.14000000000000001</v>
          </cell>
          <cell r="S77">
            <v>0.14000000000000001</v>
          </cell>
          <cell r="T77">
            <v>0.14000000000000001</v>
          </cell>
          <cell r="U77">
            <v>0.14499999999999999</v>
          </cell>
          <cell r="V77">
            <v>0.14249999999999999</v>
          </cell>
          <cell r="W77">
            <v>0.13999999999999999</v>
          </cell>
          <cell r="X77">
            <v>0.13749999999999998</v>
          </cell>
          <cell r="Y77">
            <v>0.13499999999999998</v>
          </cell>
          <cell r="AE77">
            <v>0.14000000000000001</v>
          </cell>
          <cell r="AF77">
            <v>0.14000000000000001</v>
          </cell>
          <cell r="AG77">
            <v>0.14000000000000001</v>
          </cell>
          <cell r="AH77">
            <v>0.14000000000000001</v>
          </cell>
        </row>
        <row r="79">
          <cell r="C79" t="str">
            <v>Government SatCom</v>
          </cell>
          <cell r="R79">
            <v>18.033638400000001</v>
          </cell>
          <cell r="S79">
            <v>20.577638400000001</v>
          </cell>
          <cell r="T79">
            <v>12.6</v>
          </cell>
          <cell r="U79">
            <v>26.263124999999999</v>
          </cell>
          <cell r="V79">
            <v>29.681859374999995</v>
          </cell>
          <cell r="W79">
            <v>32.077237499999995</v>
          </cell>
          <cell r="X79">
            <v>33.079651171875</v>
          </cell>
          <cell r="Y79">
            <v>34.1021131171875</v>
          </cell>
          <cell r="AE79">
            <v>-5.7</v>
          </cell>
          <cell r="AF79">
            <v>5.7</v>
          </cell>
          <cell r="AG79">
            <v>6.3</v>
          </cell>
          <cell r="AH79">
            <v>6.3</v>
          </cell>
        </row>
        <row r="80">
          <cell r="D80" t="str">
            <v>% Margin</v>
          </cell>
          <cell r="R80">
            <v>0.16</v>
          </cell>
          <cell r="S80">
            <v>0.16</v>
          </cell>
          <cell r="T80">
            <v>0.08</v>
          </cell>
          <cell r="U80">
            <v>0.14499999999999999</v>
          </cell>
          <cell r="V80">
            <v>0.14249999999999999</v>
          </cell>
          <cell r="W80">
            <v>0.13999999999999999</v>
          </cell>
          <cell r="X80">
            <v>0.13749999999999998</v>
          </cell>
          <cell r="Y80">
            <v>0.13499999999999998</v>
          </cell>
          <cell r="AE80">
            <v>-0.16056338028169015</v>
          </cell>
          <cell r="AF80">
            <v>0.15</v>
          </cell>
          <cell r="AG80">
            <v>0.15</v>
          </cell>
          <cell r="AH80">
            <v>0.15</v>
          </cell>
        </row>
        <row r="82">
          <cell r="C82" t="str">
            <v>Other / Plug</v>
          </cell>
          <cell r="R82">
            <v>0.41711019999998911</v>
          </cell>
          <cell r="S82">
            <v>-0.76103039999999922</v>
          </cell>
          <cell r="T82">
            <v>0</v>
          </cell>
          <cell r="U82">
            <v>0</v>
          </cell>
          <cell r="V82">
            <v>0</v>
          </cell>
          <cell r="W82">
            <v>0</v>
          </cell>
          <cell r="X82">
            <v>0</v>
          </cell>
          <cell r="Y82">
            <v>0</v>
          </cell>
          <cell r="AA82">
            <v>12.143000000000001</v>
          </cell>
          <cell r="AB82">
            <v>14.259</v>
          </cell>
          <cell r="AC82">
            <v>10.78</v>
          </cell>
          <cell r="AD82">
            <v>18.538</v>
          </cell>
          <cell r="AE82">
            <v>-2.0000000000000462E-2</v>
          </cell>
          <cell r="AF82">
            <v>0</v>
          </cell>
          <cell r="AG82">
            <v>0</v>
          </cell>
          <cell r="AH82">
            <v>0</v>
          </cell>
        </row>
        <row r="84">
          <cell r="C84" t="str">
            <v>Total Government Systems Revenue</v>
          </cell>
          <cell r="L84">
            <v>11.613</v>
          </cell>
          <cell r="M84">
            <v>15.19</v>
          </cell>
          <cell r="N84">
            <v>28.06</v>
          </cell>
          <cell r="O84">
            <v>41.908000000000001</v>
          </cell>
          <cell r="P84">
            <v>42.795000000000002</v>
          </cell>
          <cell r="Q84">
            <v>45.792999999999999</v>
          </cell>
          <cell r="R84">
            <v>57.018999999999998</v>
          </cell>
          <cell r="S84">
            <v>55.72</v>
          </cell>
          <cell r="T84">
            <v>45.444000000000003</v>
          </cell>
          <cell r="U84">
            <v>61.848735000000005</v>
          </cell>
          <cell r="V84">
            <v>66.022856324999992</v>
          </cell>
          <cell r="W84">
            <v>68.851776167999986</v>
          </cell>
          <cell r="X84">
            <v>70.281037163700006</v>
          </cell>
          <cell r="Y84">
            <v>71.722860187465798</v>
          </cell>
          <cell r="AA84">
            <v>12.143000000000001</v>
          </cell>
          <cell r="AB84">
            <v>14.259</v>
          </cell>
          <cell r="AC84">
            <v>10.78</v>
          </cell>
          <cell r="AD84">
            <v>18.538</v>
          </cell>
          <cell r="AE84">
            <v>1.6579999999999995</v>
          </cell>
          <cell r="AF84">
            <v>13.848000000000003</v>
          </cell>
          <cell r="AG84">
            <v>14.448</v>
          </cell>
          <cell r="AH84">
            <v>15.470000000000002</v>
          </cell>
        </row>
        <row r="85">
          <cell r="D85" t="str">
            <v>% Margin</v>
          </cell>
          <cell r="L85">
            <v>0.14105772033815955</v>
          </cell>
          <cell r="M85">
            <v>0.11834734439155128</v>
          </cell>
          <cell r="N85">
            <v>0.15993889718539459</v>
          </cell>
          <cell r="O85">
            <v>0.19895556399544248</v>
          </cell>
          <cell r="P85">
            <v>0.15374418003103985</v>
          </cell>
          <cell r="Q85">
            <v>0.14331002885415819</v>
          </cell>
          <cell r="R85">
            <v>0.14670814293359677</v>
          </cell>
          <cell r="S85">
            <v>0.14467053181739106</v>
          </cell>
          <cell r="T85">
            <v>0.11570866592827407</v>
          </cell>
          <cell r="U85">
            <v>0.14500000000000002</v>
          </cell>
          <cell r="V85">
            <v>0.14249999999999999</v>
          </cell>
          <cell r="W85">
            <v>0.13999999999999999</v>
          </cell>
          <cell r="X85">
            <v>0.13749999999999998</v>
          </cell>
          <cell r="Y85">
            <v>0.13499999999999995</v>
          </cell>
          <cell r="AE85">
            <v>1.866171422139681E-2</v>
          </cell>
          <cell r="AF85">
            <v>0.14395010395010396</v>
          </cell>
          <cell r="AG85">
            <v>0.14419161676646708</v>
          </cell>
          <cell r="AH85">
            <v>0.14390697674418607</v>
          </cell>
        </row>
        <row r="86">
          <cell r="D86" t="str">
            <v>Check</v>
          </cell>
          <cell r="L86">
            <v>0</v>
          </cell>
          <cell r="M86">
            <v>0</v>
          </cell>
          <cell r="N86">
            <v>0</v>
          </cell>
          <cell r="O86">
            <v>0</v>
          </cell>
          <cell r="P86">
            <v>0</v>
          </cell>
          <cell r="Q86">
            <v>0</v>
          </cell>
          <cell r="R86">
            <v>0</v>
          </cell>
          <cell r="S86">
            <v>0</v>
          </cell>
          <cell r="T86">
            <v>0</v>
          </cell>
          <cell r="U86">
            <v>0</v>
          </cell>
          <cell r="V86">
            <v>0</v>
          </cell>
          <cell r="W86">
            <v>0</v>
          </cell>
          <cell r="X86">
            <v>0</v>
          </cell>
          <cell r="Y86">
            <v>0</v>
          </cell>
          <cell r="AE86">
            <v>0</v>
          </cell>
          <cell r="AF86">
            <v>0</v>
          </cell>
          <cell r="AG86">
            <v>0</v>
          </cell>
          <cell r="AH86">
            <v>0</v>
          </cell>
        </row>
        <row r="88">
          <cell r="C88" t="str">
            <v>Incremental Expense</v>
          </cell>
        </row>
        <row r="89">
          <cell r="C89" t="str">
            <v>Selling, General and Administrative (SG&amp;A)</v>
          </cell>
          <cell r="R89">
            <v>0</v>
          </cell>
          <cell r="S89">
            <v>0</v>
          </cell>
          <cell r="AE89">
            <v>0</v>
          </cell>
        </row>
        <row r="90">
          <cell r="C90" t="str">
            <v>Internally-funded R&amp;D (IRAD)</v>
          </cell>
          <cell r="R90">
            <v>2.2000000000000002</v>
          </cell>
          <cell r="S90">
            <v>-3.4</v>
          </cell>
          <cell r="AE90">
            <v>0</v>
          </cell>
        </row>
        <row r="91">
          <cell r="C91" t="str">
            <v>Bid and Proposal (B&amp;P)</v>
          </cell>
          <cell r="R91">
            <v>0</v>
          </cell>
          <cell r="S91">
            <v>5.5</v>
          </cell>
          <cell r="AE91">
            <v>2.2999999999999998</v>
          </cell>
        </row>
        <row r="92">
          <cell r="C92" t="str">
            <v>Other / Plug</v>
          </cell>
          <cell r="R92">
            <v>9.0259999999999998</v>
          </cell>
          <cell r="S92">
            <v>-3.3989999999999996</v>
          </cell>
          <cell r="AE92">
            <v>-12.785</v>
          </cell>
        </row>
        <row r="93">
          <cell r="C93" t="str">
            <v>Total Change</v>
          </cell>
          <cell r="R93">
            <v>11.225999999999999</v>
          </cell>
          <cell r="S93">
            <v>-1.2989999999999995</v>
          </cell>
          <cell r="AE93">
            <v>-10.484999999999999</v>
          </cell>
        </row>
        <row r="94">
          <cell r="C94" t="str">
            <v>Check</v>
          </cell>
          <cell r="R94">
            <v>11.225999999999999</v>
          </cell>
          <cell r="S94">
            <v>-1.2989999999999995</v>
          </cell>
          <cell r="AE94">
            <v>-10.485000000000001</v>
          </cell>
        </row>
        <row r="97">
          <cell r="C97" t="str">
            <v>Consolidated Cost Structure</v>
          </cell>
        </row>
        <row r="98">
          <cell r="C98" t="str">
            <v>Cost of Goods Sold (COGS)</v>
          </cell>
          <cell r="P98">
            <v>0.73</v>
          </cell>
          <cell r="Q98">
            <v>0.73</v>
          </cell>
          <cell r="R98">
            <v>0.73</v>
          </cell>
          <cell r="S98">
            <v>0.73</v>
          </cell>
        </row>
        <row r="99">
          <cell r="C99" t="str">
            <v>Gross Profit</v>
          </cell>
          <cell r="P99">
            <v>0.27</v>
          </cell>
          <cell r="Q99">
            <v>0.27</v>
          </cell>
          <cell r="R99">
            <v>0.27</v>
          </cell>
          <cell r="S99">
            <v>0.27</v>
          </cell>
        </row>
        <row r="100">
          <cell r="C100" t="str">
            <v>Selling, General and Administrative (SG&amp;A)</v>
          </cell>
          <cell r="P100">
            <v>0.03</v>
          </cell>
          <cell r="Q100">
            <v>0.03</v>
          </cell>
          <cell r="R100">
            <v>0.03</v>
          </cell>
          <cell r="S100">
            <v>0.03</v>
          </cell>
        </row>
        <row r="101">
          <cell r="C101" t="str">
            <v>Bid and Proposal (B&amp;P)</v>
          </cell>
          <cell r="P101">
            <v>5.125581996896017E-2</v>
          </cell>
          <cell r="Q101">
            <v>6.1689971145841821E-2</v>
          </cell>
          <cell r="R101">
            <v>5.8291857066403219E-2</v>
          </cell>
          <cell r="S101">
            <v>6.0329468182608925E-2</v>
          </cell>
        </row>
        <row r="102">
          <cell r="C102" t="str">
            <v>Internal R&amp;D (IRAD)</v>
          </cell>
          <cell r="P102">
            <v>3.5000000000000003E-2</v>
          </cell>
          <cell r="Q102">
            <v>3.5000000000000003E-2</v>
          </cell>
          <cell r="R102">
            <v>3.5000000000000003E-2</v>
          </cell>
          <cell r="S102">
            <v>3.5000000000000003E-2</v>
          </cell>
        </row>
        <row r="103">
          <cell r="P103">
            <v>0.15374418003103985</v>
          </cell>
          <cell r="Q103">
            <v>0.14331002885415819</v>
          </cell>
          <cell r="R103">
            <v>0.1467081429335968</v>
          </cell>
          <cell r="S103">
            <v>0.14467053181739109</v>
          </cell>
        </row>
        <row r="104">
          <cell r="P104">
            <v>0.15374418003103985</v>
          </cell>
          <cell r="Q104">
            <v>0.14331002885415819</v>
          </cell>
          <cell r="R104">
            <v>0.1467081429335968</v>
          </cell>
          <cell r="S104">
            <v>0.14467053181739109</v>
          </cell>
        </row>
        <row r="106">
          <cell r="B106" t="str">
            <v>Scenario Drivers</v>
          </cell>
        </row>
        <row r="108">
          <cell r="E108" t="str">
            <v>Tactical Data Links (MIDS / MIDS-JTRS)</v>
          </cell>
        </row>
        <row r="109">
          <cell r="E109" t="str">
            <v>Bull Case</v>
          </cell>
          <cell r="U109">
            <v>0.05</v>
          </cell>
          <cell r="V109">
            <v>0.1</v>
          </cell>
          <cell r="W109">
            <v>0.1</v>
          </cell>
          <cell r="X109">
            <v>0.1</v>
          </cell>
          <cell r="Y109">
            <v>0.1</v>
          </cell>
        </row>
        <row r="110">
          <cell r="E110" t="str">
            <v>Base Case</v>
          </cell>
          <cell r="U110">
            <v>0</v>
          </cell>
          <cell r="V110">
            <v>0.03</v>
          </cell>
          <cell r="W110">
            <v>0.03</v>
          </cell>
          <cell r="X110">
            <v>0.03</v>
          </cell>
          <cell r="Y110">
            <v>0.03</v>
          </cell>
        </row>
        <row r="111">
          <cell r="E111" t="str">
            <v>Bear Case</v>
          </cell>
          <cell r="U111">
            <v>-0.1</v>
          </cell>
          <cell r="V111">
            <v>-0.1</v>
          </cell>
          <cell r="W111">
            <v>-0.05</v>
          </cell>
          <cell r="X111">
            <v>-0.05</v>
          </cell>
          <cell r="Y111">
            <v>-0.05</v>
          </cell>
        </row>
        <row r="112">
          <cell r="E112" t="str">
            <v>Using Base Case</v>
          </cell>
          <cell r="U112">
            <v>0</v>
          </cell>
          <cell r="V112">
            <v>0.03</v>
          </cell>
          <cell r="W112">
            <v>0.03</v>
          </cell>
          <cell r="X112">
            <v>0.03</v>
          </cell>
          <cell r="Y112">
            <v>0.03</v>
          </cell>
        </row>
        <row r="113">
          <cell r="E113">
            <v>2</v>
          </cell>
        </row>
        <row r="116">
          <cell r="E116" t="str">
            <v>Video Data Links (UAVs)</v>
          </cell>
        </row>
        <row r="117">
          <cell r="E117" t="str">
            <v>Bull Case</v>
          </cell>
          <cell r="U117">
            <v>0.05</v>
          </cell>
          <cell r="V117">
            <v>0.1</v>
          </cell>
          <cell r="W117">
            <v>0.1</v>
          </cell>
          <cell r="X117">
            <v>0.1</v>
          </cell>
          <cell r="Y117">
            <v>0.1</v>
          </cell>
        </row>
        <row r="118">
          <cell r="E118" t="str">
            <v>Base Case</v>
          </cell>
          <cell r="U118">
            <v>0.03</v>
          </cell>
          <cell r="V118">
            <v>0.03</v>
          </cell>
          <cell r="W118">
            <v>0.03</v>
          </cell>
          <cell r="X118">
            <v>0.03</v>
          </cell>
          <cell r="Y118">
            <v>0.03</v>
          </cell>
        </row>
        <row r="119">
          <cell r="E119" t="str">
            <v>Bear Case</v>
          </cell>
          <cell r="U119">
            <v>-0.05</v>
          </cell>
          <cell r="V119">
            <v>-0.1</v>
          </cell>
          <cell r="W119">
            <v>-0.1</v>
          </cell>
          <cell r="X119">
            <v>0</v>
          </cell>
          <cell r="Y119">
            <v>0</v>
          </cell>
        </row>
        <row r="120">
          <cell r="E120" t="str">
            <v>Using Base Case</v>
          </cell>
          <cell r="U120">
            <v>0.03</v>
          </cell>
          <cell r="V120">
            <v>0.03</v>
          </cell>
          <cell r="W120">
            <v>0.03</v>
          </cell>
          <cell r="X120">
            <v>0.03</v>
          </cell>
          <cell r="Y120">
            <v>0.03</v>
          </cell>
        </row>
        <row r="121">
          <cell r="E121">
            <v>2</v>
          </cell>
        </row>
        <row r="124">
          <cell r="E124" t="str">
            <v>Information Assurance</v>
          </cell>
        </row>
        <row r="125">
          <cell r="E125" t="str">
            <v>Bull Case</v>
          </cell>
          <cell r="U125">
            <v>0.15</v>
          </cell>
          <cell r="V125">
            <v>0.1</v>
          </cell>
          <cell r="W125">
            <v>0.05</v>
          </cell>
          <cell r="X125">
            <v>0.03</v>
          </cell>
          <cell r="Y125">
            <v>0.03</v>
          </cell>
        </row>
        <row r="126">
          <cell r="E126" t="str">
            <v>Base Case</v>
          </cell>
          <cell r="U126">
            <v>0.1</v>
          </cell>
          <cell r="V126">
            <v>0.05</v>
          </cell>
          <cell r="W126">
            <v>0.03</v>
          </cell>
          <cell r="X126">
            <v>0.03</v>
          </cell>
          <cell r="Y126">
            <v>0.03</v>
          </cell>
        </row>
        <row r="127">
          <cell r="E127" t="str">
            <v>Bear Case</v>
          </cell>
          <cell r="U127">
            <v>-0.1</v>
          </cell>
          <cell r="V127">
            <v>-0.1</v>
          </cell>
          <cell r="W127">
            <v>-0.05</v>
          </cell>
          <cell r="X127">
            <v>0</v>
          </cell>
          <cell r="Y127">
            <v>0</v>
          </cell>
        </row>
        <row r="128">
          <cell r="E128" t="str">
            <v>Using Base Case</v>
          </cell>
          <cell r="U128">
            <v>0.1</v>
          </cell>
          <cell r="V128">
            <v>0.05</v>
          </cell>
          <cell r="W128">
            <v>0.03</v>
          </cell>
          <cell r="X128">
            <v>0.03</v>
          </cell>
          <cell r="Y128">
            <v>0.03</v>
          </cell>
        </row>
        <row r="129">
          <cell r="E129">
            <v>2</v>
          </cell>
        </row>
        <row r="132">
          <cell r="E132" t="str">
            <v>Government SatCom</v>
          </cell>
        </row>
        <row r="133">
          <cell r="E133" t="str">
            <v>Bull Case</v>
          </cell>
          <cell r="U133">
            <v>0.25</v>
          </cell>
          <cell r="V133">
            <v>0.2</v>
          </cell>
          <cell r="W133">
            <v>0.2</v>
          </cell>
          <cell r="X133">
            <v>0.15</v>
          </cell>
          <cell r="Y133">
            <v>0.1</v>
          </cell>
        </row>
        <row r="134">
          <cell r="E134" t="str">
            <v>Base Case</v>
          </cell>
          <cell r="U134">
            <v>0.15</v>
          </cell>
          <cell r="V134">
            <v>0.15</v>
          </cell>
          <cell r="W134">
            <v>0.1</v>
          </cell>
          <cell r="X134">
            <v>0.05</v>
          </cell>
          <cell r="Y134">
            <v>0.05</v>
          </cell>
        </row>
        <row r="135">
          <cell r="E135" t="str">
            <v>Bear Case</v>
          </cell>
          <cell r="U135">
            <v>0.1</v>
          </cell>
          <cell r="V135">
            <v>0.05</v>
          </cell>
          <cell r="W135">
            <v>-0.05</v>
          </cell>
          <cell r="X135">
            <v>0</v>
          </cell>
          <cell r="Y135">
            <v>0</v>
          </cell>
        </row>
        <row r="136">
          <cell r="E136" t="str">
            <v>Using Base Case</v>
          </cell>
          <cell r="U136">
            <v>0.15</v>
          </cell>
          <cell r="V136">
            <v>0.15</v>
          </cell>
          <cell r="W136">
            <v>0.1</v>
          </cell>
          <cell r="X136">
            <v>0.05</v>
          </cell>
          <cell r="Y136">
            <v>0.05</v>
          </cell>
        </row>
        <row r="137">
          <cell r="E137">
            <v>2</v>
          </cell>
        </row>
        <row r="140">
          <cell r="E140" t="str">
            <v>Government Systems Margins</v>
          </cell>
        </row>
        <row r="141">
          <cell r="E141" t="str">
            <v>Bull Case</v>
          </cell>
          <cell r="U141">
            <v>0.14499999999999999</v>
          </cell>
          <cell r="V141">
            <v>0.14499999999999999</v>
          </cell>
          <cell r="W141">
            <v>0.14499999999999999</v>
          </cell>
          <cell r="X141">
            <v>0.14499999999999999</v>
          </cell>
          <cell r="Y141">
            <v>0.14499999999999999</v>
          </cell>
        </row>
        <row r="142">
          <cell r="E142" t="str">
            <v>Base Case</v>
          </cell>
          <cell r="U142">
            <v>0.14499999999999999</v>
          </cell>
          <cell r="V142">
            <v>0.14249999999999999</v>
          </cell>
          <cell r="W142">
            <v>0.13999999999999999</v>
          </cell>
          <cell r="X142">
            <v>0.13749999999999998</v>
          </cell>
          <cell r="Y142">
            <v>0.13499999999999998</v>
          </cell>
        </row>
        <row r="143">
          <cell r="E143" t="str">
            <v>Bear Case</v>
          </cell>
          <cell r="U143">
            <v>0.14000000000000001</v>
          </cell>
          <cell r="V143">
            <v>0.13500000000000001</v>
          </cell>
          <cell r="W143">
            <v>0.13</v>
          </cell>
          <cell r="X143">
            <v>0.125</v>
          </cell>
          <cell r="Y143">
            <v>0.12</v>
          </cell>
        </row>
        <row r="144">
          <cell r="E144" t="str">
            <v>Using Base Case</v>
          </cell>
          <cell r="U144">
            <v>0.14499999999999999</v>
          </cell>
          <cell r="V144">
            <v>0.14249999999999999</v>
          </cell>
          <cell r="W144">
            <v>0.13999999999999999</v>
          </cell>
          <cell r="X144">
            <v>0.13749999999999998</v>
          </cell>
          <cell r="Y144">
            <v>0.13499999999999998</v>
          </cell>
        </row>
        <row r="145">
          <cell r="E145">
            <v>2</v>
          </cell>
        </row>
      </sheetData>
      <sheetData sheetId="5" refreshError="1">
        <row r="1">
          <cell r="A1" t="str">
            <v>ViaSat Inc.</v>
          </cell>
        </row>
        <row r="2">
          <cell r="A2" t="str">
            <v>Commercial Networks Segment Model</v>
          </cell>
        </row>
        <row r="3">
          <cell r="A3" t="str">
            <v>Morgan Stanley Research</v>
          </cell>
        </row>
        <row r="4">
          <cell r="A4" t="str">
            <v>($ in Millions Except EPS)</v>
          </cell>
        </row>
        <row r="5">
          <cell r="A5" t="str">
            <v>Fisacl Year Ends March 31</v>
          </cell>
        </row>
        <row r="6">
          <cell r="AA6" t="str">
            <v>2010A</v>
          </cell>
          <cell r="AE6" t="str">
            <v>2011E</v>
          </cell>
        </row>
        <row r="8">
          <cell r="AA8" t="str">
            <v>Q1A</v>
          </cell>
          <cell r="AB8" t="str">
            <v>Q2A</v>
          </cell>
          <cell r="AC8" t="str">
            <v>Q3A</v>
          </cell>
          <cell r="AD8" t="str">
            <v>Q4A</v>
          </cell>
          <cell r="AE8" t="str">
            <v>Q1A</v>
          </cell>
          <cell r="AF8" t="str">
            <v>Q2E</v>
          </cell>
          <cell r="AG8" t="str">
            <v>Q3E</v>
          </cell>
          <cell r="AH8" t="str">
            <v>Q4E</v>
          </cell>
        </row>
        <row r="9">
          <cell r="J9">
            <v>2001</v>
          </cell>
          <cell r="K9">
            <v>2002</v>
          </cell>
          <cell r="L9">
            <v>2003</v>
          </cell>
          <cell r="M9">
            <v>2004</v>
          </cell>
          <cell r="N9">
            <v>2005</v>
          </cell>
          <cell r="O9">
            <v>2006</v>
          </cell>
          <cell r="P9">
            <v>2007</v>
          </cell>
          <cell r="Q9">
            <v>2008</v>
          </cell>
          <cell r="R9">
            <v>2009</v>
          </cell>
          <cell r="S9" t="str">
            <v xml:space="preserve">2010A </v>
          </cell>
          <cell r="T9" t="str">
            <v xml:space="preserve">2011E </v>
          </cell>
          <cell r="U9" t="str">
            <v xml:space="preserve">2012E </v>
          </cell>
          <cell r="V9" t="str">
            <v xml:space="preserve">2013E </v>
          </cell>
          <cell r="W9" t="str">
            <v xml:space="preserve">2014E </v>
          </cell>
          <cell r="X9" t="str">
            <v xml:space="preserve">2015E </v>
          </cell>
          <cell r="Y9" t="str">
            <v xml:space="preserve">2016E </v>
          </cell>
          <cell r="AA9" t="str">
            <v>June</v>
          </cell>
          <cell r="AB9" t="str">
            <v>Sept</v>
          </cell>
          <cell r="AC9" t="str">
            <v>Dec</v>
          </cell>
          <cell r="AD9" t="str">
            <v>Mar</v>
          </cell>
          <cell r="AE9" t="str">
            <v>June</v>
          </cell>
          <cell r="AF9" t="str">
            <v>Sept</v>
          </cell>
          <cell r="AG9" t="str">
            <v>Dec</v>
          </cell>
          <cell r="AH9" t="str">
            <v>Mar</v>
          </cell>
        </row>
        <row r="10">
          <cell r="B10" t="str">
            <v>Summary Financials</v>
          </cell>
        </row>
        <row r="12">
          <cell r="C12" t="str">
            <v>Commercial Networks Revenue</v>
          </cell>
          <cell r="J12">
            <v>101.94199999999999</v>
          </cell>
          <cell r="K12">
            <v>132.88999999999999</v>
          </cell>
          <cell r="L12">
            <v>102.694</v>
          </cell>
          <cell r="M12">
            <v>154.15600000000001</v>
          </cell>
          <cell r="N12">
            <v>177.39100000000002</v>
          </cell>
          <cell r="O12">
            <v>229.45599999999999</v>
          </cell>
          <cell r="P12">
            <v>231.52600000000001</v>
          </cell>
          <cell r="Q12">
            <v>248.297</v>
          </cell>
          <cell r="R12">
            <v>230.828</v>
          </cell>
          <cell r="S12">
            <v>227.12</v>
          </cell>
          <cell r="T12">
            <v>227.83699999999999</v>
          </cell>
          <cell r="U12">
            <v>290.04995500000001</v>
          </cell>
          <cell r="V12">
            <v>314.44844060000003</v>
          </cell>
          <cell r="W12">
            <v>350.09096778000003</v>
          </cell>
          <cell r="X12">
            <v>371.02291826000004</v>
          </cell>
          <cell r="Y12">
            <v>387.45202924300008</v>
          </cell>
          <cell r="AA12">
            <v>63.33</v>
          </cell>
          <cell r="AB12">
            <v>54.37</v>
          </cell>
          <cell r="AC12">
            <v>55.009</v>
          </cell>
          <cell r="AD12">
            <v>54.411000000000001</v>
          </cell>
          <cell r="AE12">
            <v>45.619</v>
          </cell>
          <cell r="AF12">
            <v>55.119</v>
          </cell>
          <cell r="AG12">
            <v>60.119</v>
          </cell>
          <cell r="AH12">
            <v>66.97999999999999</v>
          </cell>
        </row>
        <row r="13">
          <cell r="D13" t="str">
            <v>Y/Y Growth</v>
          </cell>
          <cell r="K13">
            <v>0.30358439112436475</v>
          </cell>
          <cell r="L13">
            <v>-0.22722552487019332</v>
          </cell>
          <cell r="M13">
            <v>0.50111983173311003</v>
          </cell>
          <cell r="N13">
            <v>0.1507239419808506</v>
          </cell>
          <cell r="O13">
            <v>0.29350418003168133</v>
          </cell>
          <cell r="P13">
            <v>9.0213374241685518E-3</v>
          </cell>
          <cell r="Q13">
            <v>7.2436788956747877E-2</v>
          </cell>
          <cell r="R13">
            <v>-7.0355260031333411E-2</v>
          </cell>
          <cell r="S13">
            <v>-1.606390905782662E-2</v>
          </cell>
          <cell r="T13">
            <v>3.1569214512150445E-3</v>
          </cell>
          <cell r="U13">
            <v>0.27305905098820649</v>
          </cell>
          <cell r="V13">
            <v>8.4118218877158535E-2</v>
          </cell>
          <cell r="W13">
            <v>0.11334935263787727</v>
          </cell>
          <cell r="X13">
            <v>5.9790032895546741E-2</v>
          </cell>
          <cell r="Y13">
            <v>4.4280582612115316E-2</v>
          </cell>
        </row>
        <row r="15">
          <cell r="C15" t="str">
            <v>Commercial Networks Operating Profit</v>
          </cell>
          <cell r="J15">
            <v>8.968</v>
          </cell>
          <cell r="K15">
            <v>3.4049999999999998</v>
          </cell>
          <cell r="L15">
            <v>-22.062000000000001</v>
          </cell>
          <cell r="M15">
            <v>9.3940000000000001</v>
          </cell>
          <cell r="N15">
            <v>1.8909999999999998</v>
          </cell>
          <cell r="O15">
            <v>-2.9239999999999999</v>
          </cell>
          <cell r="P15">
            <v>4.2789999999999999</v>
          </cell>
          <cell r="Q15">
            <v>9.8019999999999996</v>
          </cell>
          <cell r="R15">
            <v>6.3E-2</v>
          </cell>
          <cell r="S15">
            <v>6.0910000000000002</v>
          </cell>
          <cell r="T15">
            <v>-1.7543399999999991</v>
          </cell>
          <cell r="U15">
            <v>0.10050044999999841</v>
          </cell>
          <cell r="V15">
            <v>3.2295572030000024</v>
          </cell>
          <cell r="W15">
            <v>7.0270193556000002</v>
          </cell>
          <cell r="X15">
            <v>11.257604055599998</v>
          </cell>
          <cell r="Y15">
            <v>13.813851743715006</v>
          </cell>
          <cell r="AA15">
            <v>1.335</v>
          </cell>
          <cell r="AB15">
            <v>2.4500000000000002</v>
          </cell>
          <cell r="AC15">
            <v>-0.83499999999999996</v>
          </cell>
          <cell r="AD15">
            <v>3.141</v>
          </cell>
          <cell r="AE15">
            <v>-1.17</v>
          </cell>
          <cell r="AF15">
            <v>-0.56400000000000006</v>
          </cell>
          <cell r="AG15">
            <v>-0.2240000000000002</v>
          </cell>
          <cell r="AH15">
            <v>0.20366000000000106</v>
          </cell>
        </row>
        <row r="16">
          <cell r="D16" t="str">
            <v>% Margin</v>
          </cell>
          <cell r="J16">
            <v>8.7971591689392017E-2</v>
          </cell>
          <cell r="K16">
            <v>2.5622695462412522E-2</v>
          </cell>
          <cell r="L16">
            <v>-0.21483241474672329</v>
          </cell>
          <cell r="M16">
            <v>6.0938270323568335E-2</v>
          </cell>
          <cell r="N16">
            <v>1.0660067308939009E-2</v>
          </cell>
          <cell r="O16">
            <v>-1.2743183878390629E-2</v>
          </cell>
          <cell r="P16">
            <v>1.8481725594533659E-2</v>
          </cell>
          <cell r="Q16">
            <v>3.9476916756948331E-2</v>
          </cell>
          <cell r="R16">
            <v>2.729304937009375E-4</v>
          </cell>
          <cell r="S16">
            <v>2.6818421979570271E-2</v>
          </cell>
          <cell r="T16">
            <v>-7.6999784933965915E-3</v>
          </cell>
          <cell r="U16">
            <v>3.4649358935428349E-4</v>
          </cell>
          <cell r="V16">
            <v>1.0270546092827411E-2</v>
          </cell>
          <cell r="W16">
            <v>2.0071981291490605E-2</v>
          </cell>
          <cell r="X16">
            <v>3.0342071881691843E-2</v>
          </cell>
          <cell r="Y16">
            <v>3.5653063350072969E-2</v>
          </cell>
          <cell r="AA16">
            <v>2.108005684509711E-2</v>
          </cell>
          <cell r="AB16">
            <v>4.5061614861136662E-2</v>
          </cell>
          <cell r="AC16">
            <v>-1.5179334290752421E-2</v>
          </cell>
          <cell r="AD16">
            <v>5.772729778905001E-2</v>
          </cell>
          <cell r="AE16">
            <v>-2.5647208400008767E-2</v>
          </cell>
          <cell r="AF16">
            <v>-1.0232406248299136E-2</v>
          </cell>
          <cell r="AG16">
            <v>-3.7259435453018213E-3</v>
          </cell>
          <cell r="AH16">
            <v>3.0406091370558538E-3</v>
          </cell>
        </row>
        <row r="18">
          <cell r="C18" t="str">
            <v>Total ViaSat Revenue</v>
          </cell>
          <cell r="J18">
            <v>164.35199999999998</v>
          </cell>
          <cell r="K18">
            <v>195.62799999999999</v>
          </cell>
          <cell r="L18">
            <v>185.02199999999999</v>
          </cell>
          <cell r="M18">
            <v>278.57900000000001</v>
          </cell>
          <cell r="N18">
            <v>345.93900000000002</v>
          </cell>
          <cell r="O18">
            <v>433.82299999999998</v>
          </cell>
          <cell r="P18">
            <v>516.56600000000003</v>
          </cell>
          <cell r="Q18">
            <v>574.65000000000009</v>
          </cell>
          <cell r="R18">
            <v>628.17900000000009</v>
          </cell>
          <cell r="S18">
            <v>688.07999999999993</v>
          </cell>
          <cell r="T18">
            <v>852.40589391387971</v>
          </cell>
          <cell r="U18">
            <v>1008.3384950443954</v>
          </cell>
          <cell r="V18">
            <v>1151.0503551268525</v>
          </cell>
          <cell r="W18">
            <v>1290.9946941740877</v>
          </cell>
          <cell r="X18">
            <v>1393.2006559624019</v>
          </cell>
          <cell r="Y18">
            <v>1482.2260108628577</v>
          </cell>
          <cell r="AA18">
            <v>158.40799999999999</v>
          </cell>
          <cell r="AB18">
            <v>160.666</v>
          </cell>
          <cell r="AC18">
            <v>156.36399999999998</v>
          </cell>
          <cell r="AD18">
            <v>212.642</v>
          </cell>
          <cell r="AE18">
            <v>192.00399999999999</v>
          </cell>
          <cell r="AF18">
            <v>197.88900000000001</v>
          </cell>
          <cell r="AG18">
            <v>218.72049419065155</v>
          </cell>
          <cell r="AH18">
            <v>243.79239972322819</v>
          </cell>
        </row>
        <row r="19">
          <cell r="D19" t="str">
            <v>Commercial Networks % Total</v>
          </cell>
          <cell r="J19">
            <v>0.62026625778816202</v>
          </cell>
          <cell r="K19">
            <v>0.67929948678103336</v>
          </cell>
          <cell r="L19">
            <v>0.55503669833857594</v>
          </cell>
          <cell r="M19">
            <v>0.55336547263074387</v>
          </cell>
          <cell r="N19">
            <v>0.51278115505912891</v>
          </cell>
          <cell r="O19">
            <v>0.52891617088075094</v>
          </cell>
          <cell r="P19">
            <v>0.44820216584134459</v>
          </cell>
          <cell r="Q19">
            <v>0.43208387714260849</v>
          </cell>
          <cell r="R19">
            <v>0.36745577295643433</v>
          </cell>
          <cell r="S19">
            <v>0.33007789791884667</v>
          </cell>
          <cell r="T19">
            <v>0.26728698338050066</v>
          </cell>
          <cell r="U19">
            <v>0.28765137543145136</v>
          </cell>
          <cell r="V19">
            <v>0.2731839134573274</v>
          </cell>
          <cell r="W19">
            <v>0.27117924601848986</v>
          </cell>
          <cell r="X19">
            <v>0.26630974990727596</v>
          </cell>
          <cell r="Y19">
            <v>0.26139875187958017</v>
          </cell>
          <cell r="AA19">
            <v>0.399790414625524</v>
          </cell>
          <cell r="AB19">
            <v>0.3384038937920904</v>
          </cell>
          <cell r="AC19">
            <v>0.35180092604435809</v>
          </cell>
          <cell r="AD19">
            <v>0.25588077614017929</v>
          </cell>
          <cell r="AE19">
            <v>0.23759400845815712</v>
          </cell>
          <cell r="AF19">
            <v>0.27853493625214132</v>
          </cell>
          <cell r="AG19">
            <v>0.27486678933523356</v>
          </cell>
          <cell r="AH19">
            <v>0.27474195289123376</v>
          </cell>
        </row>
        <row r="22">
          <cell r="B22" t="str">
            <v>Revenue Build</v>
          </cell>
        </row>
        <row r="24">
          <cell r="C24" t="str">
            <v>Antenna Systems</v>
          </cell>
          <cell r="J24">
            <v>44</v>
          </cell>
          <cell r="K24">
            <v>43</v>
          </cell>
          <cell r="L24">
            <v>28.7</v>
          </cell>
          <cell r="M24">
            <v>42.606999999999999</v>
          </cell>
          <cell r="N24">
            <v>39.42</v>
          </cell>
          <cell r="O24">
            <v>47.191000000000003</v>
          </cell>
          <cell r="P24">
            <v>39.612000000000002</v>
          </cell>
          <cell r="Q24">
            <v>54.412000000000006</v>
          </cell>
          <cell r="R24">
            <v>50.782159999999998</v>
          </cell>
          <cell r="S24">
            <v>60.182159999999996</v>
          </cell>
          <cell r="T24">
            <v>80</v>
          </cell>
          <cell r="U24">
            <v>92</v>
          </cell>
          <cell r="V24">
            <v>101.2</v>
          </cell>
          <cell r="W24">
            <v>106.26</v>
          </cell>
          <cell r="X24">
            <v>111.57300000000001</v>
          </cell>
          <cell r="Y24">
            <v>117.15165000000002</v>
          </cell>
          <cell r="AA24">
            <v>11.2</v>
          </cell>
          <cell r="AB24">
            <v>14</v>
          </cell>
          <cell r="AC24">
            <v>16</v>
          </cell>
          <cell r="AD24">
            <v>18.982159999999993</v>
          </cell>
          <cell r="AE24">
            <v>20</v>
          </cell>
          <cell r="AF24">
            <v>20</v>
          </cell>
          <cell r="AG24">
            <v>20</v>
          </cell>
          <cell r="AH24">
            <v>20</v>
          </cell>
        </row>
        <row r="25">
          <cell r="D25" t="str">
            <v>Y/Y Growth</v>
          </cell>
          <cell r="N25">
            <v>-7.4799915506841508E-2</v>
          </cell>
          <cell r="O25">
            <v>0.19713343480466761</v>
          </cell>
          <cell r="P25">
            <v>-0.16060265728634693</v>
          </cell>
          <cell r="Q25">
            <v>0.37362415429667784</v>
          </cell>
          <cell r="R25">
            <v>-6.6710284496067196E-2</v>
          </cell>
          <cell r="S25">
            <v>0.18510437523728807</v>
          </cell>
          <cell r="T25">
            <v>0.32929758586265434</v>
          </cell>
          <cell r="U25">
            <v>0.15</v>
          </cell>
          <cell r="V25">
            <v>0.1</v>
          </cell>
          <cell r="W25">
            <v>0.05</v>
          </cell>
          <cell r="X25">
            <v>0.05</v>
          </cell>
          <cell r="Y25">
            <v>0.05</v>
          </cell>
          <cell r="AE25">
            <v>0.78571428571428581</v>
          </cell>
          <cell r="AF25">
            <v>0.4285714285714286</v>
          </cell>
          <cell r="AG25">
            <v>0.25</v>
          </cell>
          <cell r="AH25">
            <v>5.3620873493849253E-2</v>
          </cell>
        </row>
        <row r="26">
          <cell r="D26" t="str">
            <v>% Commercial Networks Revenue</v>
          </cell>
          <cell r="K26">
            <v>0.32357588983369706</v>
          </cell>
          <cell r="L26">
            <v>0.27947104991528227</v>
          </cell>
          <cell r="M26">
            <v>0.27638885285035936</v>
          </cell>
          <cell r="N26">
            <v>0.22222096949676137</v>
          </cell>
          <cell r="O26">
            <v>0.20566470260093442</v>
          </cell>
          <cell r="P26">
            <v>0.17109093579122864</v>
          </cell>
          <cell r="Q26">
            <v>0.21914078704132553</v>
          </cell>
          <cell r="R26">
            <v>0.22</v>
          </cell>
          <cell r="S26">
            <v>0.26497957027122226</v>
          </cell>
          <cell r="T26">
            <v>0.35112821885821882</v>
          </cell>
          <cell r="U26">
            <v>0.3171867411598116</v>
          </cell>
          <cell r="V26">
            <v>0.32183336577182564</v>
          </cell>
          <cell r="W26">
            <v>0.30352111245204888</v>
          </cell>
          <cell r="X26">
            <v>0.3007172724618955</v>
          </cell>
          <cell r="Y26">
            <v>0.30236427004625516</v>
          </cell>
        </row>
        <row r="28">
          <cell r="C28" t="str">
            <v>Enterprise VSAT Networks and Products</v>
          </cell>
          <cell r="J28">
            <v>47.662079999999989</v>
          </cell>
          <cell r="K28">
            <v>60.644679999999994</v>
          </cell>
          <cell r="L28">
            <v>62.90748</v>
          </cell>
          <cell r="M28">
            <v>78.002120000000005</v>
          </cell>
          <cell r="N28">
            <v>89.944140000000004</v>
          </cell>
          <cell r="O28">
            <v>82.426369999999991</v>
          </cell>
          <cell r="P28">
            <v>77.484899999999996</v>
          </cell>
          <cell r="Q28">
            <v>40.225500000000011</v>
          </cell>
          <cell r="R28">
            <v>43.972530000000013</v>
          </cell>
          <cell r="S28">
            <v>55.046399999999998</v>
          </cell>
          <cell r="T28">
            <v>35</v>
          </cell>
          <cell r="U28">
            <v>36.050000000000004</v>
          </cell>
          <cell r="V28">
            <v>37.131500000000003</v>
          </cell>
          <cell r="W28">
            <v>38.245445000000004</v>
          </cell>
          <cell r="X28">
            <v>39.392808350000003</v>
          </cell>
          <cell r="Y28">
            <v>40.574592600500004</v>
          </cell>
          <cell r="AA28">
            <v>19.600000000000001</v>
          </cell>
          <cell r="AB28">
            <v>12</v>
          </cell>
          <cell r="AC28">
            <v>12</v>
          </cell>
          <cell r="AD28">
            <v>11.446399999999997</v>
          </cell>
          <cell r="AE28">
            <v>5</v>
          </cell>
          <cell r="AF28">
            <v>8</v>
          </cell>
          <cell r="AG28">
            <v>10</v>
          </cell>
          <cell r="AH28">
            <v>12</v>
          </cell>
        </row>
        <row r="29">
          <cell r="D29" t="str">
            <v>Y/Y Growth</v>
          </cell>
          <cell r="K29">
            <v>0.27238844800730488</v>
          </cell>
          <cell r="L29">
            <v>3.7312423777320802E-2</v>
          </cell>
          <cell r="M29">
            <v>0.23994984380235862</v>
          </cell>
          <cell r="N29">
            <v>0.15309865936977096</v>
          </cell>
          <cell r="O29">
            <v>-8.3582654745489982E-2</v>
          </cell>
          <cell r="P29">
            <v>-5.9950110626004749E-2</v>
          </cell>
          <cell r="Q29">
            <v>-0.48086014178246328</v>
          </cell>
          <cell r="R29">
            <v>9.3150613416862482E-2</v>
          </cell>
          <cell r="S29">
            <v>0.25183608948586733</v>
          </cell>
          <cell r="T29">
            <v>-0.36417277060806885</v>
          </cell>
          <cell r="U29">
            <v>0.03</v>
          </cell>
          <cell r="V29">
            <v>0.03</v>
          </cell>
          <cell r="W29">
            <v>0.03</v>
          </cell>
          <cell r="X29">
            <v>0.03</v>
          </cell>
          <cell r="Y29">
            <v>0.03</v>
          </cell>
          <cell r="AE29">
            <v>-0.74489795918367352</v>
          </cell>
          <cell r="AF29">
            <v>-0.33333333333333337</v>
          </cell>
          <cell r="AG29">
            <v>-0.16666666666666663</v>
          </cell>
          <cell r="AH29">
            <v>4.8364551299972414E-2</v>
          </cell>
        </row>
        <row r="30">
          <cell r="D30" t="str">
            <v>% Commercial Networks Revenue</v>
          </cell>
          <cell r="K30">
            <v>0.4563524719692979</v>
          </cell>
          <cell r="L30">
            <v>0.61257210742594503</v>
          </cell>
          <cell r="M30">
            <v>0.50599470666078517</v>
          </cell>
          <cell r="N30">
            <v>0.50703891403735246</v>
          </cell>
          <cell r="O30">
            <v>0.35922516735234639</v>
          </cell>
          <cell r="P30">
            <v>0.33467040418786653</v>
          </cell>
          <cell r="Q30">
            <v>0.16200558202475265</v>
          </cell>
          <cell r="R30">
            <v>0.19049911622506807</v>
          </cell>
          <cell r="S30">
            <v>0.24236703064459317</v>
          </cell>
          <cell r="T30">
            <v>0.15361859575047074</v>
          </cell>
          <cell r="U30">
            <v>0.12428893498707835</v>
          </cell>
          <cell r="V30">
            <v>0.11808454171103305</v>
          </cell>
          <cell r="W30">
            <v>0.10924430653701911</v>
          </cell>
          <cell r="X30">
            <v>0.10617351762188147</v>
          </cell>
          <cell r="Y30">
            <v>0.10472159012761977</v>
          </cell>
        </row>
        <row r="31">
          <cell r="D31" t="str">
            <v>% Total Revenue</v>
          </cell>
          <cell r="J31">
            <v>0.28999999999999998</v>
          </cell>
          <cell r="K31">
            <v>0.31</v>
          </cell>
          <cell r="L31">
            <v>0.34</v>
          </cell>
          <cell r="M31">
            <v>0.28000000000000003</v>
          </cell>
          <cell r="N31">
            <v>0.26</v>
          </cell>
          <cell r="O31">
            <v>0.19</v>
          </cell>
          <cell r="P31">
            <v>0.15</v>
          </cell>
          <cell r="Q31">
            <v>7.0000000000000007E-2</v>
          </cell>
          <cell r="R31">
            <v>7.0000000000000007E-2</v>
          </cell>
          <cell r="S31">
            <v>0.08</v>
          </cell>
          <cell r="T31">
            <v>4.1060251049291924E-2</v>
          </cell>
          <cell r="U31">
            <v>3.5751883099943323E-2</v>
          </cell>
          <cell r="V31">
            <v>3.2258797223435019E-2</v>
          </cell>
          <cell r="W31">
            <v>2.9624788678521627E-2</v>
          </cell>
          <cell r="X31">
            <v>2.8275042924659009E-2</v>
          </cell>
          <cell r="Y31">
            <v>2.7374092954204777E-2</v>
          </cell>
        </row>
        <row r="33">
          <cell r="C33" t="str">
            <v>Consumer Broadband</v>
          </cell>
          <cell r="J33">
            <v>5</v>
          </cell>
          <cell r="K33">
            <v>15</v>
          </cell>
          <cell r="L33">
            <v>1</v>
          </cell>
          <cell r="M33">
            <v>6.5</v>
          </cell>
          <cell r="N33">
            <v>15</v>
          </cell>
          <cell r="O33">
            <v>49</v>
          </cell>
          <cell r="P33">
            <v>75.3</v>
          </cell>
          <cell r="Q33">
            <v>99</v>
          </cell>
          <cell r="R33">
            <v>65</v>
          </cell>
          <cell r="S33">
            <v>49.3</v>
          </cell>
          <cell r="T33">
            <v>42</v>
          </cell>
          <cell r="U33">
            <v>56.7</v>
          </cell>
          <cell r="V33">
            <v>85.050000000000011</v>
          </cell>
          <cell r="W33">
            <v>110.56500000000001</v>
          </cell>
          <cell r="X33">
            <v>121.62150000000003</v>
          </cell>
          <cell r="Y33">
            <v>133.78365000000005</v>
          </cell>
          <cell r="AA33">
            <v>12.5</v>
          </cell>
          <cell r="AB33">
            <v>12.5</v>
          </cell>
          <cell r="AC33">
            <v>12.5</v>
          </cell>
          <cell r="AD33">
            <v>11.799999999999997</v>
          </cell>
          <cell r="AE33">
            <v>5</v>
          </cell>
          <cell r="AF33">
            <v>10</v>
          </cell>
          <cell r="AG33">
            <v>12</v>
          </cell>
          <cell r="AH33">
            <v>15</v>
          </cell>
        </row>
        <row r="34">
          <cell r="D34" t="str">
            <v>Y/Y Growth</v>
          </cell>
          <cell r="K34">
            <v>2</v>
          </cell>
          <cell r="L34">
            <v>-0.93333333333333335</v>
          </cell>
          <cell r="M34">
            <v>5.5</v>
          </cell>
          <cell r="N34">
            <v>1.3076923076923075</v>
          </cell>
          <cell r="O34">
            <v>2.2666666666666666</v>
          </cell>
          <cell r="P34">
            <v>0.53673469387755102</v>
          </cell>
          <cell r="Q34">
            <v>0.31474103585657365</v>
          </cell>
          <cell r="R34">
            <v>-0.34343434343434343</v>
          </cell>
          <cell r="S34">
            <v>-0.24153846153846159</v>
          </cell>
          <cell r="T34">
            <v>-0.14807302231237318</v>
          </cell>
          <cell r="U34">
            <v>0.35</v>
          </cell>
          <cell r="V34">
            <v>0.5</v>
          </cell>
          <cell r="W34">
            <v>0.3</v>
          </cell>
          <cell r="X34">
            <v>0.1</v>
          </cell>
          <cell r="Y34">
            <v>0.1</v>
          </cell>
          <cell r="AE34">
            <v>-0.6</v>
          </cell>
          <cell r="AF34">
            <v>-0.19999999999999996</v>
          </cell>
          <cell r="AG34">
            <v>-4.0000000000000036E-2</v>
          </cell>
          <cell r="AH34">
            <v>0.27118644067796649</v>
          </cell>
        </row>
        <row r="35">
          <cell r="D35" t="str">
            <v>% Commercial Networks Revenue</v>
          </cell>
          <cell r="J35">
            <v>4.9047497596672623E-2</v>
          </cell>
          <cell r="K35">
            <v>0.11287531040710364</v>
          </cell>
          <cell r="L35">
            <v>9.7376672444349222E-3</v>
          </cell>
          <cell r="M35">
            <v>4.2165079529826927E-2</v>
          </cell>
          <cell r="N35">
            <v>8.4558968606073578E-2</v>
          </cell>
          <cell r="O35">
            <v>0.21354856704553379</v>
          </cell>
          <cell r="P35">
            <v>0.32523345110268392</v>
          </cell>
          <cell r="Q35">
            <v>0.39871605375820085</v>
          </cell>
          <cell r="R35">
            <v>0.28159495381842758</v>
          </cell>
          <cell r="S35">
            <v>0.21706586826347304</v>
          </cell>
          <cell r="T35">
            <v>0.18434231490056488</v>
          </cell>
          <cell r="U35">
            <v>0.19548356764957953</v>
          </cell>
          <cell r="V35">
            <v>0.27047359445547209</v>
          </cell>
          <cell r="W35">
            <v>0.31581791641502716</v>
          </cell>
          <cell r="X35">
            <v>0.32780050507492337</v>
          </cell>
          <cell r="Y35">
            <v>0.34529087448937928</v>
          </cell>
        </row>
        <row r="37">
          <cell r="C37" t="str">
            <v>Maritime</v>
          </cell>
          <cell r="T37">
            <v>25</v>
          </cell>
          <cell r="U37">
            <v>25</v>
          </cell>
          <cell r="V37">
            <v>25.005000000000003</v>
          </cell>
          <cell r="W37">
            <v>25.010000000000005</v>
          </cell>
          <cell r="X37">
            <v>25.015000000000004</v>
          </cell>
          <cell r="Y37">
            <v>25.020000000000007</v>
          </cell>
        </row>
        <row r="38">
          <cell r="C38" t="str">
            <v>Rails</v>
          </cell>
          <cell r="T38">
            <v>0</v>
          </cell>
          <cell r="U38">
            <v>6</v>
          </cell>
          <cell r="V38">
            <v>12</v>
          </cell>
          <cell r="W38">
            <v>12</v>
          </cell>
          <cell r="X38">
            <v>12</v>
          </cell>
          <cell r="Y38">
            <v>12</v>
          </cell>
        </row>
        <row r="39">
          <cell r="C39" t="str">
            <v>Business Jets</v>
          </cell>
          <cell r="T39">
            <v>11.361000000000002</v>
          </cell>
          <cell r="U39">
            <v>12.749955000000003</v>
          </cell>
          <cell r="V39">
            <v>16.061940600000007</v>
          </cell>
          <cell r="W39">
            <v>20.160522780000012</v>
          </cell>
          <cell r="X39">
            <v>23.120609910000013</v>
          </cell>
          <cell r="Y39">
            <v>22.722136642500018</v>
          </cell>
        </row>
        <row r="40">
          <cell r="C40" t="str">
            <v>Commercial Aircraft</v>
          </cell>
          <cell r="T40">
            <v>0</v>
          </cell>
          <cell r="U40">
            <v>26.55</v>
          </cell>
          <cell r="V40">
            <v>3</v>
          </cell>
          <cell r="W40">
            <v>2.85</v>
          </cell>
          <cell r="X40">
            <v>3.3</v>
          </cell>
          <cell r="Y40">
            <v>1.2</v>
          </cell>
        </row>
        <row r="41">
          <cell r="C41" t="str">
            <v>Mobile Broadband</v>
          </cell>
          <cell r="K41">
            <v>4</v>
          </cell>
          <cell r="L41">
            <v>6</v>
          </cell>
          <cell r="M41">
            <v>3</v>
          </cell>
          <cell r="N41">
            <v>11</v>
          </cell>
          <cell r="O41">
            <v>17.5</v>
          </cell>
          <cell r="P41">
            <v>7.7</v>
          </cell>
          <cell r="Q41">
            <v>20</v>
          </cell>
          <cell r="R41">
            <v>39.200000000000003</v>
          </cell>
          <cell r="S41">
            <v>27.400000000000002</v>
          </cell>
          <cell r="T41">
            <v>36.361000000000004</v>
          </cell>
          <cell r="U41">
            <v>70.299954999999997</v>
          </cell>
          <cell r="V41">
            <v>56.066940600000009</v>
          </cell>
          <cell r="W41">
            <v>60.020522780000015</v>
          </cell>
          <cell r="X41">
            <v>63.435609910000011</v>
          </cell>
          <cell r="Y41">
            <v>60.942136642500031</v>
          </cell>
          <cell r="AA41">
            <v>6.4110000000000014</v>
          </cell>
          <cell r="AB41">
            <v>7</v>
          </cell>
          <cell r="AC41">
            <v>7</v>
          </cell>
          <cell r="AD41">
            <v>6.9890000000000008</v>
          </cell>
          <cell r="AE41">
            <v>7</v>
          </cell>
          <cell r="AF41">
            <v>8.5</v>
          </cell>
          <cell r="AG41">
            <v>9.5</v>
          </cell>
          <cell r="AH41">
            <v>11.361000000000004</v>
          </cell>
        </row>
        <row r="42">
          <cell r="D42" t="str">
            <v>Y/Y Growth</v>
          </cell>
          <cell r="L42">
            <v>0.5</v>
          </cell>
          <cell r="M42">
            <v>-0.5</v>
          </cell>
          <cell r="N42">
            <v>2.6666666666666665</v>
          </cell>
          <cell r="O42">
            <v>0.59090909090909083</v>
          </cell>
          <cell r="P42">
            <v>-0.56000000000000005</v>
          </cell>
          <cell r="Q42">
            <v>1.5974025974025974</v>
          </cell>
          <cell r="R42">
            <v>0.96000000000000019</v>
          </cell>
          <cell r="S42">
            <v>-0.30102040816326525</v>
          </cell>
          <cell r="T42">
            <v>0.32704379562043795</v>
          </cell>
          <cell r="U42">
            <v>0.93338893319765659</v>
          </cell>
          <cell r="V42">
            <v>-0.20246121636919945</v>
          </cell>
          <cell r="W42">
            <v>7.0515389955128072E-2</v>
          </cell>
          <cell r="X42">
            <v>5.6898656856383845E-2</v>
          </cell>
          <cell r="Y42">
            <v>-3.9307153679733253E-2</v>
          </cell>
          <cell r="AE42">
            <v>9.1873342692247562E-2</v>
          </cell>
          <cell r="AF42">
            <v>0.21428571428571419</v>
          </cell>
          <cell r="AG42">
            <v>0.35714285714285721</v>
          </cell>
          <cell r="AH42">
            <v>0.62555444269566496</v>
          </cell>
        </row>
        <row r="43">
          <cell r="D43" t="str">
            <v>% Commercial Networks Revenue</v>
          </cell>
          <cell r="K43">
            <v>3.0100082775227636E-2</v>
          </cell>
          <cell r="L43">
            <v>5.842600346660954E-2</v>
          </cell>
          <cell r="M43">
            <v>1.9460805936843198E-2</v>
          </cell>
          <cell r="N43">
            <v>6.2009910311120624E-2</v>
          </cell>
          <cell r="O43">
            <v>7.6267345373404932E-2</v>
          </cell>
          <cell r="P43">
            <v>3.3257603897618407E-2</v>
          </cell>
          <cell r="Q43">
            <v>8.0548697728929475E-2</v>
          </cell>
          <cell r="R43">
            <v>0.16982341830280556</v>
          </cell>
          <cell r="S43">
            <v>0.12064107079957732</v>
          </cell>
          <cell r="T43">
            <v>0.15959216457379621</v>
          </cell>
          <cell r="U43">
            <v>0.24237188728403697</v>
          </cell>
          <cell r="V43">
            <v>0.17830249211291527</v>
          </cell>
          <cell r="W43">
            <v>0.17144264863673203</v>
          </cell>
          <cell r="X43">
            <v>0.17097490960260986</v>
          </cell>
          <cell r="Y43">
            <v>0.15728950177798312</v>
          </cell>
        </row>
        <row r="45">
          <cell r="C45" t="str">
            <v>Technology Labs and Other</v>
          </cell>
          <cell r="J45">
            <v>5.2799200000000042</v>
          </cell>
          <cell r="K45">
            <v>10.245319999999992</v>
          </cell>
          <cell r="L45">
            <v>4.0865200000000073</v>
          </cell>
          <cell r="M45">
            <v>24.046879999999987</v>
          </cell>
          <cell r="N45">
            <v>22.026859999999999</v>
          </cell>
          <cell r="O45">
            <v>33.338629999999995</v>
          </cell>
          <cell r="P45">
            <v>31.429100000000005</v>
          </cell>
          <cell r="Q45">
            <v>34.65949999999998</v>
          </cell>
          <cell r="R45">
            <v>31.873309999999975</v>
          </cell>
          <cell r="S45">
            <v>35.19144</v>
          </cell>
          <cell r="T45">
            <v>34.475999999999999</v>
          </cell>
          <cell r="U45">
            <v>35</v>
          </cell>
          <cell r="V45">
            <v>35</v>
          </cell>
          <cell r="W45">
            <v>35</v>
          </cell>
          <cell r="X45">
            <v>35</v>
          </cell>
          <cell r="Y45">
            <v>35</v>
          </cell>
          <cell r="AA45">
            <v>13.619</v>
          </cell>
          <cell r="AB45">
            <v>8.8699999999999974</v>
          </cell>
          <cell r="AC45">
            <v>7.5090000000000003</v>
          </cell>
          <cell r="AD45">
            <v>5.1934400000000096</v>
          </cell>
          <cell r="AE45">
            <v>8.6189999999999998</v>
          </cell>
          <cell r="AF45">
            <v>8.6189999999999998</v>
          </cell>
          <cell r="AG45">
            <v>8.6189999999999998</v>
          </cell>
          <cell r="AH45">
            <v>8.6189999999999998</v>
          </cell>
        </row>
        <row r="47">
          <cell r="C47" t="str">
            <v>Total Commercial Networks Revenue</v>
          </cell>
          <cell r="J47">
            <v>101.94199999999999</v>
          </cell>
          <cell r="K47">
            <v>132.88999999999999</v>
          </cell>
          <cell r="L47">
            <v>102.694</v>
          </cell>
          <cell r="M47">
            <v>154.15600000000001</v>
          </cell>
          <cell r="N47">
            <v>177.39100000000002</v>
          </cell>
          <cell r="O47">
            <v>229.45599999999999</v>
          </cell>
          <cell r="P47">
            <v>231.52600000000001</v>
          </cell>
          <cell r="Q47">
            <v>248.297</v>
          </cell>
          <cell r="R47">
            <v>230.828</v>
          </cell>
          <cell r="S47">
            <v>227.12</v>
          </cell>
          <cell r="T47">
            <v>227.83699999999999</v>
          </cell>
          <cell r="U47">
            <v>290.04995500000001</v>
          </cell>
          <cell r="V47">
            <v>314.44844060000003</v>
          </cell>
          <cell r="W47">
            <v>350.09096778000003</v>
          </cell>
          <cell r="X47">
            <v>371.02291826000004</v>
          </cell>
          <cell r="Y47">
            <v>387.45202924300008</v>
          </cell>
          <cell r="AA47">
            <v>63.33</v>
          </cell>
          <cell r="AB47">
            <v>54.37</v>
          </cell>
          <cell r="AC47">
            <v>55.009</v>
          </cell>
          <cell r="AD47">
            <v>54.411000000000001</v>
          </cell>
          <cell r="AE47">
            <v>45.619</v>
          </cell>
          <cell r="AF47">
            <v>55.119</v>
          </cell>
          <cell r="AG47">
            <v>60.119</v>
          </cell>
          <cell r="AH47">
            <v>66.98</v>
          </cell>
        </row>
        <row r="48">
          <cell r="D48" t="str">
            <v>Y/Y Growth</v>
          </cell>
          <cell r="K48">
            <v>0.30358439112436475</v>
          </cell>
          <cell r="L48">
            <v>-0.22722552487019332</v>
          </cell>
          <cell r="M48">
            <v>0.50111983173311003</v>
          </cell>
          <cell r="N48">
            <v>0.1507239419808506</v>
          </cell>
          <cell r="O48">
            <v>0.29350418003168133</v>
          </cell>
          <cell r="P48">
            <v>9.0213374241685518E-3</v>
          </cell>
          <cell r="Q48">
            <v>7.2436788956747877E-2</v>
          </cell>
          <cell r="R48">
            <v>-7.0355260031333411E-2</v>
          </cell>
          <cell r="S48">
            <v>-1.606390905782662E-2</v>
          </cell>
          <cell r="T48">
            <v>3.1569214512150445E-3</v>
          </cell>
          <cell r="U48">
            <v>0.27305905098820649</v>
          </cell>
          <cell r="V48">
            <v>8.4118218877158535E-2</v>
          </cell>
          <cell r="W48">
            <v>0.11334935263787727</v>
          </cell>
          <cell r="X48">
            <v>5.9790032895546741E-2</v>
          </cell>
          <cell r="Y48">
            <v>4.4280582612115316E-2</v>
          </cell>
          <cell r="AE48">
            <v>-0.27966208747828836</v>
          </cell>
          <cell r="AF48">
            <v>1.3775979400404648E-2</v>
          </cell>
          <cell r="AG48">
            <v>9.2893890090712361E-2</v>
          </cell>
          <cell r="AH48">
            <v>0.23100108433956379</v>
          </cell>
        </row>
        <row r="49">
          <cell r="D49" t="str">
            <v>Check</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AA49">
            <v>0</v>
          </cell>
          <cell r="AB49">
            <v>0</v>
          </cell>
          <cell r="AC49">
            <v>0</v>
          </cell>
          <cell r="AD49">
            <v>0</v>
          </cell>
          <cell r="AE49">
            <v>0</v>
          </cell>
          <cell r="AF49">
            <v>0</v>
          </cell>
          <cell r="AG49">
            <v>0</v>
          </cell>
          <cell r="AH49">
            <v>0</v>
          </cell>
        </row>
        <row r="52">
          <cell r="C52" t="str">
            <v>Incremental Revenue</v>
          </cell>
        </row>
        <row r="53">
          <cell r="C53" t="str">
            <v>Antenna Systems</v>
          </cell>
          <cell r="J53">
            <v>35.200000000000003</v>
          </cell>
          <cell r="K53">
            <v>60.182159999999996</v>
          </cell>
          <cell r="L53">
            <v>95.382159999999999</v>
          </cell>
          <cell r="O53">
            <v>7.7710000000000008</v>
          </cell>
          <cell r="P53">
            <v>-7.5790000000000006</v>
          </cell>
          <cell r="Q53">
            <v>14.8</v>
          </cell>
          <cell r="R53">
            <v>-3.6298400000000086</v>
          </cell>
          <cell r="S53">
            <v>9.4</v>
          </cell>
          <cell r="AA53">
            <v>-2.6</v>
          </cell>
          <cell r="AB53">
            <v>2.5</v>
          </cell>
          <cell r="AC53">
            <v>4.7</v>
          </cell>
          <cell r="AD53">
            <v>4.8000000000000007</v>
          </cell>
          <cell r="AE53">
            <v>8.8000000000000007</v>
          </cell>
        </row>
        <row r="54">
          <cell r="C54" t="str">
            <v>Enterprise VSAT Networks and Products</v>
          </cell>
          <cell r="J54">
            <v>-58.4</v>
          </cell>
          <cell r="K54">
            <v>55.046399999999998</v>
          </cell>
          <cell r="L54">
            <v>-3.3536000000000001</v>
          </cell>
          <cell r="Q54">
            <v>-25.3</v>
          </cell>
          <cell r="R54">
            <v>-2.2000000000000002</v>
          </cell>
          <cell r="S54">
            <v>13.5</v>
          </cell>
          <cell r="AA54">
            <v>7.6</v>
          </cell>
          <cell r="AB54">
            <v>0.8</v>
          </cell>
          <cell r="AC54">
            <v>6.6</v>
          </cell>
          <cell r="AD54">
            <v>-1.5</v>
          </cell>
          <cell r="AE54">
            <v>-14.6</v>
          </cell>
        </row>
        <row r="55">
          <cell r="C55" t="str">
            <v>Consumer Broadband</v>
          </cell>
          <cell r="J55">
            <v>-30</v>
          </cell>
          <cell r="K55">
            <v>49.3</v>
          </cell>
          <cell r="L55">
            <v>19.299999999999997</v>
          </cell>
          <cell r="P55">
            <v>26.3</v>
          </cell>
          <cell r="Q55">
            <v>23.7</v>
          </cell>
          <cell r="R55">
            <v>-34</v>
          </cell>
          <cell r="S55">
            <v>-15.7</v>
          </cell>
          <cell r="AA55">
            <v>-4.2</v>
          </cell>
          <cell r="AB55">
            <v>-4.3</v>
          </cell>
          <cell r="AC55">
            <v>-4.2</v>
          </cell>
          <cell r="AD55">
            <v>-3</v>
          </cell>
          <cell r="AE55">
            <v>-7.5</v>
          </cell>
        </row>
        <row r="56">
          <cell r="C56" t="str">
            <v>Mobile Broadband</v>
          </cell>
          <cell r="J56">
            <v>0</v>
          </cell>
          <cell r="K56">
            <v>27.400000000000002</v>
          </cell>
          <cell r="L56">
            <v>27.400000000000002</v>
          </cell>
          <cell r="P56">
            <v>-9.8000000000000007</v>
          </cell>
          <cell r="R56">
            <v>19.2</v>
          </cell>
          <cell r="S56">
            <v>-11.8</v>
          </cell>
          <cell r="AB56">
            <v>-3.9</v>
          </cell>
          <cell r="AC56">
            <v>-5.4</v>
          </cell>
          <cell r="AD56">
            <v>-2.5</v>
          </cell>
        </row>
        <row r="57">
          <cell r="C57" t="str">
            <v>Technology Labs and Other</v>
          </cell>
          <cell r="J57">
            <v>-20</v>
          </cell>
          <cell r="K57">
            <v>35.19144</v>
          </cell>
          <cell r="L57">
            <v>15.19144</v>
          </cell>
          <cell r="AD57">
            <v>0</v>
          </cell>
          <cell r="AE57">
            <v>-5</v>
          </cell>
        </row>
        <row r="58">
          <cell r="C58" t="str">
            <v>Plug</v>
          </cell>
          <cell r="J58">
            <v>2.3559999999999945</v>
          </cell>
          <cell r="N58">
            <v>23.235000000000014</v>
          </cell>
          <cell r="O58">
            <v>44.293999999999969</v>
          </cell>
          <cell r="P58">
            <v>-6.8509999999999778</v>
          </cell>
          <cell r="Q58">
            <v>3.5709999999999873</v>
          </cell>
          <cell r="R58">
            <v>3.1608400000000181</v>
          </cell>
          <cell r="S58">
            <v>0.89200000000000301</v>
          </cell>
          <cell r="T58">
            <v>0.71699999999998454</v>
          </cell>
          <cell r="U58">
            <v>62.212955000000022</v>
          </cell>
          <cell r="V58">
            <v>24.398485600000015</v>
          </cell>
          <cell r="W58">
            <v>35.642527180000002</v>
          </cell>
          <cell r="X58">
            <v>20.931950480000012</v>
          </cell>
          <cell r="Y58">
            <v>16.429110983000044</v>
          </cell>
          <cell r="AA58">
            <v>-0.41800000000000193</v>
          </cell>
          <cell r="AB58">
            <v>6.1999999999999389E-2</v>
          </cell>
          <cell r="AC58">
            <v>-0.89899999999999824</v>
          </cell>
          <cell r="AD58">
            <v>2.147000000000002</v>
          </cell>
          <cell r="AE58">
            <v>0.58899999999999864</v>
          </cell>
        </row>
        <row r="59">
          <cell r="C59" t="str">
            <v>Total</v>
          </cell>
          <cell r="N59">
            <v>23.235000000000014</v>
          </cell>
          <cell r="O59">
            <v>52.064999999999969</v>
          </cell>
          <cell r="P59">
            <v>2.0700000000000216</v>
          </cell>
          <cell r="Q59">
            <v>16.770999999999987</v>
          </cell>
          <cell r="R59">
            <v>-17.468999999999994</v>
          </cell>
          <cell r="S59">
            <v>-3.7079999999999984</v>
          </cell>
          <cell r="T59">
            <v>0.71699999999998454</v>
          </cell>
          <cell r="U59">
            <v>62.212955000000022</v>
          </cell>
          <cell r="V59">
            <v>24.398485600000015</v>
          </cell>
          <cell r="W59">
            <v>35.642527180000002</v>
          </cell>
          <cell r="X59">
            <v>20.931950480000012</v>
          </cell>
          <cell r="Y59">
            <v>16.429110983000044</v>
          </cell>
          <cell r="AA59">
            <v>0.3819999999999979</v>
          </cell>
          <cell r="AB59">
            <v>-4.838000000000001</v>
          </cell>
          <cell r="AC59">
            <v>0.80100000000000193</v>
          </cell>
          <cell r="AD59">
            <v>-5.2999999999997272E-2</v>
          </cell>
          <cell r="AE59">
            <v>-17.710999999999999</v>
          </cell>
        </row>
        <row r="60">
          <cell r="C60" t="str">
            <v>Check</v>
          </cell>
          <cell r="N60">
            <v>23.235000000000014</v>
          </cell>
          <cell r="O60">
            <v>52.064999999999969</v>
          </cell>
          <cell r="P60">
            <v>2.0700000000000216</v>
          </cell>
          <cell r="Q60">
            <v>16.770999999999987</v>
          </cell>
          <cell r="R60">
            <v>-17.468999999999994</v>
          </cell>
          <cell r="S60">
            <v>-3.7079999999999984</v>
          </cell>
          <cell r="T60">
            <v>0.71699999999998454</v>
          </cell>
          <cell r="AA60">
            <v>0.3819999999999979</v>
          </cell>
          <cell r="AB60">
            <v>-4.838000000000001</v>
          </cell>
          <cell r="AC60">
            <v>0.80100000000000193</v>
          </cell>
          <cell r="AD60">
            <v>-5.2999999999997272E-2</v>
          </cell>
          <cell r="AE60">
            <v>-17.710999999999999</v>
          </cell>
        </row>
        <row r="62">
          <cell r="C62" t="str">
            <v>Beginning Backlog</v>
          </cell>
          <cell r="AE62">
            <v>283.5</v>
          </cell>
        </row>
        <row r="63">
          <cell r="C63" t="str">
            <v>Less: Revenue</v>
          </cell>
          <cell r="AE63">
            <v>-45.619</v>
          </cell>
        </row>
        <row r="64">
          <cell r="C64" t="str">
            <v>Plus: Net Awards</v>
          </cell>
          <cell r="AE64">
            <v>24.519000000000005</v>
          </cell>
        </row>
        <row r="65">
          <cell r="C65" t="str">
            <v>Ending Backlog</v>
          </cell>
          <cell r="AD65">
            <v>283.5</v>
          </cell>
          <cell r="AE65">
            <v>262.39999999999998</v>
          </cell>
        </row>
        <row r="68">
          <cell r="B68" t="str">
            <v>Operating Profit Build</v>
          </cell>
        </row>
        <row r="70">
          <cell r="C70" t="str">
            <v>Antenna Systems</v>
          </cell>
          <cell r="L70">
            <v>0.53600000000000003</v>
          </cell>
          <cell r="M70">
            <v>2.093</v>
          </cell>
          <cell r="N70">
            <v>3.6389999999999998</v>
          </cell>
          <cell r="O70">
            <v>3.887</v>
          </cell>
          <cell r="P70">
            <v>3.7130000000000001</v>
          </cell>
          <cell r="Q70">
            <v>5.4412000000000011</v>
          </cell>
          <cell r="R70">
            <v>5.0782160000000003</v>
          </cell>
          <cell r="S70">
            <v>6.0182159999999998</v>
          </cell>
          <cell r="T70">
            <v>8</v>
          </cell>
          <cell r="U70">
            <v>9.2000000000000011</v>
          </cell>
          <cell r="V70">
            <v>10.120000000000001</v>
          </cell>
          <cell r="W70">
            <v>10.626000000000001</v>
          </cell>
          <cell r="X70">
            <v>11.157300000000001</v>
          </cell>
          <cell r="Y70">
            <v>11.715165000000002</v>
          </cell>
          <cell r="AE70">
            <v>2</v>
          </cell>
          <cell r="AF70">
            <v>2</v>
          </cell>
          <cell r="AG70">
            <v>2</v>
          </cell>
          <cell r="AH70">
            <v>2</v>
          </cell>
        </row>
        <row r="71">
          <cell r="D71" t="str">
            <v>% Margin</v>
          </cell>
          <cell r="L71">
            <v>1.8675958188153312E-2</v>
          </cell>
          <cell r="M71">
            <v>4.9123383481587533E-2</v>
          </cell>
          <cell r="N71">
            <v>9.2313546423135454E-2</v>
          </cell>
          <cell r="O71">
            <v>8.2367400563666801E-2</v>
          </cell>
          <cell r="P71">
            <v>9.373422195294355E-2</v>
          </cell>
          <cell r="Q71">
            <v>0.1</v>
          </cell>
          <cell r="R71">
            <v>0.1</v>
          </cell>
          <cell r="S71">
            <v>0.1</v>
          </cell>
          <cell r="T71">
            <v>0.1</v>
          </cell>
          <cell r="U71">
            <v>0.1</v>
          </cell>
          <cell r="V71">
            <v>0.1</v>
          </cell>
          <cell r="W71">
            <v>0.1</v>
          </cell>
          <cell r="X71">
            <v>0.1</v>
          </cell>
          <cell r="Y71">
            <v>0.1</v>
          </cell>
          <cell r="AE71">
            <v>0.1</v>
          </cell>
          <cell r="AF71">
            <v>0.1</v>
          </cell>
          <cell r="AG71">
            <v>0.1</v>
          </cell>
          <cell r="AH71">
            <v>0.1</v>
          </cell>
        </row>
        <row r="73">
          <cell r="C73" t="str">
            <v>Enterprise VSAT Networks and Products</v>
          </cell>
          <cell r="T73">
            <v>2.8</v>
          </cell>
          <cell r="U73">
            <v>2.8840000000000003</v>
          </cell>
          <cell r="V73">
            <v>2.97052</v>
          </cell>
          <cell r="W73">
            <v>3.0596356000000005</v>
          </cell>
          <cell r="X73">
            <v>3.1514246680000002</v>
          </cell>
          <cell r="Y73">
            <v>3.2459674080400003</v>
          </cell>
          <cell r="AE73">
            <v>0.4</v>
          </cell>
          <cell r="AF73">
            <v>0.64</v>
          </cell>
          <cell r="AG73">
            <v>0.8</v>
          </cell>
          <cell r="AH73">
            <v>0.96</v>
          </cell>
        </row>
        <row r="74">
          <cell r="D74" t="str">
            <v>% Margin</v>
          </cell>
          <cell r="T74">
            <v>0.08</v>
          </cell>
          <cell r="U74">
            <v>0.08</v>
          </cell>
          <cell r="V74">
            <v>0.08</v>
          </cell>
          <cell r="W74">
            <v>0.08</v>
          </cell>
          <cell r="X74">
            <v>0.08</v>
          </cell>
          <cell r="Y74">
            <v>0.08</v>
          </cell>
          <cell r="AE74">
            <v>0.08</v>
          </cell>
          <cell r="AF74">
            <v>0.08</v>
          </cell>
          <cell r="AG74">
            <v>0.08</v>
          </cell>
          <cell r="AH74">
            <v>0.08</v>
          </cell>
        </row>
        <row r="76">
          <cell r="C76" t="str">
            <v>Consumer Broadband</v>
          </cell>
          <cell r="T76">
            <v>2.5199999999999996</v>
          </cell>
          <cell r="U76">
            <v>3.4020000000000001</v>
          </cell>
          <cell r="V76">
            <v>5.9535000000000018</v>
          </cell>
          <cell r="W76">
            <v>8.8452000000000019</v>
          </cell>
          <cell r="X76">
            <v>10.945935000000002</v>
          </cell>
          <cell r="Y76">
            <v>12.040528500000004</v>
          </cell>
          <cell r="AE76">
            <v>0.3</v>
          </cell>
          <cell r="AF76">
            <v>0.6</v>
          </cell>
          <cell r="AG76">
            <v>0.72</v>
          </cell>
          <cell r="AH76">
            <v>0.89999999999999991</v>
          </cell>
        </row>
        <row r="77">
          <cell r="D77" t="str">
            <v>% Margin</v>
          </cell>
          <cell r="T77">
            <v>5.9999999999999991E-2</v>
          </cell>
          <cell r="U77">
            <v>0.06</v>
          </cell>
          <cell r="V77">
            <v>7.0000000000000007E-2</v>
          </cell>
          <cell r="W77">
            <v>0.08</v>
          </cell>
          <cell r="X77">
            <v>0.09</v>
          </cell>
          <cell r="Y77">
            <v>0.09</v>
          </cell>
          <cell r="AE77">
            <v>0.06</v>
          </cell>
          <cell r="AF77">
            <v>0.06</v>
          </cell>
          <cell r="AG77">
            <v>0.06</v>
          </cell>
          <cell r="AH77">
            <v>0.06</v>
          </cell>
        </row>
        <row r="79">
          <cell r="C79" t="str">
            <v>Mobile Broadband</v>
          </cell>
          <cell r="T79">
            <v>2.1816600000000004</v>
          </cell>
          <cell r="U79">
            <v>4.2179972999999995</v>
          </cell>
          <cell r="V79">
            <v>3.924685842000001</v>
          </cell>
          <cell r="W79">
            <v>4.8016418224000015</v>
          </cell>
          <cell r="X79">
            <v>5.7092048919000007</v>
          </cell>
          <cell r="Y79">
            <v>5.4847922978250025</v>
          </cell>
          <cell r="AE79">
            <v>0.42</v>
          </cell>
          <cell r="AF79">
            <v>0.51</v>
          </cell>
          <cell r="AG79">
            <v>0.56999999999999995</v>
          </cell>
          <cell r="AH79">
            <v>0.68166000000000027</v>
          </cell>
        </row>
        <row r="80">
          <cell r="D80" t="str">
            <v>% Margin</v>
          </cell>
          <cell r="T80">
            <v>6.0000000000000005E-2</v>
          </cell>
          <cell r="U80">
            <v>0.06</v>
          </cell>
          <cell r="V80">
            <v>7.0000000000000007E-2</v>
          </cell>
          <cell r="W80">
            <v>0.08</v>
          </cell>
          <cell r="X80">
            <v>0.09</v>
          </cell>
          <cell r="Y80">
            <v>0.09</v>
          </cell>
          <cell r="AE80">
            <v>0.06</v>
          </cell>
          <cell r="AF80">
            <v>0.06</v>
          </cell>
          <cell r="AG80">
            <v>0.06</v>
          </cell>
          <cell r="AH80">
            <v>0.06</v>
          </cell>
        </row>
        <row r="82">
          <cell r="C82" t="str">
            <v>Technology Labs and Other</v>
          </cell>
          <cell r="T82">
            <v>0</v>
          </cell>
          <cell r="U82">
            <v>0.70000000000000007</v>
          </cell>
          <cell r="V82">
            <v>0.70000000000000007</v>
          </cell>
          <cell r="W82">
            <v>0.70000000000000007</v>
          </cell>
          <cell r="X82">
            <v>0.70000000000000007</v>
          </cell>
          <cell r="Y82">
            <v>0.70000000000000007</v>
          </cell>
          <cell r="AE82">
            <v>0</v>
          </cell>
          <cell r="AF82">
            <v>0</v>
          </cell>
          <cell r="AG82">
            <v>0</v>
          </cell>
          <cell r="AH82">
            <v>0</v>
          </cell>
        </row>
        <row r="83">
          <cell r="D83" t="str">
            <v>% Margin</v>
          </cell>
          <cell r="T83">
            <v>0</v>
          </cell>
          <cell r="U83">
            <v>0.02</v>
          </cell>
          <cell r="V83">
            <v>0.02</v>
          </cell>
          <cell r="W83">
            <v>0.02</v>
          </cell>
          <cell r="X83">
            <v>0.02</v>
          </cell>
          <cell r="Y83">
            <v>0.02</v>
          </cell>
          <cell r="AE83">
            <v>0</v>
          </cell>
          <cell r="AF83">
            <v>0</v>
          </cell>
          <cell r="AG83">
            <v>0</v>
          </cell>
          <cell r="AH83">
            <v>0</v>
          </cell>
        </row>
        <row r="85">
          <cell r="C85" t="str">
            <v>Pre-R&amp;D Profit</v>
          </cell>
          <cell r="T85">
            <v>15.501660000000001</v>
          </cell>
          <cell r="U85">
            <v>20.4039973</v>
          </cell>
          <cell r="V85">
            <v>23.668705842000005</v>
          </cell>
          <cell r="W85">
            <v>28.032477422400003</v>
          </cell>
          <cell r="X85">
            <v>31.663864559900002</v>
          </cell>
          <cell r="Y85">
            <v>33.186453205865014</v>
          </cell>
          <cell r="AE85">
            <v>3.1199999999999997</v>
          </cell>
          <cell r="AF85">
            <v>3.75</v>
          </cell>
          <cell r="AG85">
            <v>4.09</v>
          </cell>
          <cell r="AH85">
            <v>4.5416600000000003</v>
          </cell>
        </row>
        <row r="86">
          <cell r="D86" t="str">
            <v>% Margin</v>
          </cell>
          <cell r="T86">
            <v>6.8038378314321205E-2</v>
          </cell>
          <cell r="U86">
            <v>7.0346493589354284E-2</v>
          </cell>
          <cell r="V86">
            <v>7.527054609282742E-2</v>
          </cell>
          <cell r="W86">
            <v>8.007198129149061E-2</v>
          </cell>
          <cell r="X86">
            <v>8.534207188169185E-2</v>
          </cell>
          <cell r="Y86">
            <v>8.5653063350072972E-2</v>
          </cell>
          <cell r="AE86">
            <v>6.8392555733356702E-2</v>
          </cell>
          <cell r="AF86">
            <v>6.8034616012627225E-2</v>
          </cell>
          <cell r="AG86">
            <v>6.8031737054841224E-2</v>
          </cell>
          <cell r="AH86">
            <v>6.7806210809196771E-2</v>
          </cell>
        </row>
        <row r="88">
          <cell r="C88" t="str">
            <v>Company-funded R&amp;D (IRAD)</v>
          </cell>
          <cell r="T88">
            <v>-17.256</v>
          </cell>
          <cell r="U88">
            <v>-20.303496850000002</v>
          </cell>
          <cell r="V88">
            <v>-20.439148639000003</v>
          </cell>
          <cell r="W88">
            <v>-21.005458066800003</v>
          </cell>
          <cell r="X88">
            <v>-20.406260504300004</v>
          </cell>
          <cell r="Y88">
            <v>-19.372601462150008</v>
          </cell>
          <cell r="AE88">
            <v>-4.3140000000000001</v>
          </cell>
          <cell r="AF88">
            <v>-4.3140000000000001</v>
          </cell>
          <cell r="AG88">
            <v>-4.3140000000000001</v>
          </cell>
          <cell r="AH88">
            <v>-4.3140000000000001</v>
          </cell>
        </row>
        <row r="89">
          <cell r="D89" t="str">
            <v>% Sales</v>
          </cell>
          <cell r="T89">
            <v>7.5738356807717802E-2</v>
          </cell>
          <cell r="U89">
            <v>7.0000000000000007E-2</v>
          </cell>
          <cell r="V89">
            <v>6.5000000000000002E-2</v>
          </cell>
          <cell r="W89">
            <v>6.0000000000000005E-2</v>
          </cell>
          <cell r="X89">
            <v>5.5000000000000007E-2</v>
          </cell>
          <cell r="Y89">
            <v>5.000000000000001E-2</v>
          </cell>
          <cell r="AE89">
            <v>9.4565860715929762E-2</v>
          </cell>
          <cell r="AF89">
            <v>7.8267022260926356E-2</v>
          </cell>
          <cell r="AG89">
            <v>7.1757680600143051E-2</v>
          </cell>
          <cell r="AH89">
            <v>6.4407285756942365E-2</v>
          </cell>
        </row>
        <row r="91">
          <cell r="C91" t="str">
            <v>Total Commercial Networks Revenue</v>
          </cell>
          <cell r="T91">
            <v>-1.7543399999999991</v>
          </cell>
          <cell r="U91">
            <v>0.10050044999999841</v>
          </cell>
          <cell r="V91">
            <v>3.2295572030000024</v>
          </cell>
          <cell r="W91">
            <v>7.0270193556000002</v>
          </cell>
          <cell r="X91">
            <v>11.257604055599998</v>
          </cell>
          <cell r="Y91">
            <v>13.813851743715006</v>
          </cell>
          <cell r="AE91">
            <v>-1.1940000000000004</v>
          </cell>
          <cell r="AF91">
            <v>-0.56400000000000006</v>
          </cell>
          <cell r="AG91">
            <v>-0.2240000000000002</v>
          </cell>
          <cell r="AH91">
            <v>0.2276600000000002</v>
          </cell>
        </row>
        <row r="92">
          <cell r="D92" t="str">
            <v>% Margin</v>
          </cell>
          <cell r="T92">
            <v>-7.6999784933965915E-3</v>
          </cell>
          <cell r="U92">
            <v>3.4649358935428349E-4</v>
          </cell>
          <cell r="V92">
            <v>1.0270546092827411E-2</v>
          </cell>
          <cell r="W92">
            <v>2.0071981291490605E-2</v>
          </cell>
          <cell r="X92">
            <v>3.0342071881691843E-2</v>
          </cell>
          <cell r="Y92">
            <v>3.5653063350072969E-2</v>
          </cell>
          <cell r="AE92">
            <v>-2.6173304982573059E-2</v>
          </cell>
          <cell r="AF92">
            <v>-1.0232406248299136E-2</v>
          </cell>
          <cell r="AG92">
            <v>-3.7259435453018213E-3</v>
          </cell>
          <cell r="AH92">
            <v>3.3989250522544071E-3</v>
          </cell>
        </row>
        <row r="93">
          <cell r="D93" t="str">
            <v>Check</v>
          </cell>
          <cell r="T93">
            <v>0</v>
          </cell>
          <cell r="U93">
            <v>0</v>
          </cell>
          <cell r="V93">
            <v>0</v>
          </cell>
          <cell r="W93">
            <v>0</v>
          </cell>
          <cell r="X93">
            <v>0</v>
          </cell>
          <cell r="Y93">
            <v>0</v>
          </cell>
          <cell r="AE93">
            <v>-2.4000000000000465E-2</v>
          </cell>
          <cell r="AF93">
            <v>0</v>
          </cell>
          <cell r="AG93">
            <v>0</v>
          </cell>
          <cell r="AH93">
            <v>2.3999999999999133E-2</v>
          </cell>
        </row>
        <row r="95">
          <cell r="D95" t="str">
            <v>Government Systems IRAD</v>
          </cell>
          <cell r="Q95">
            <v>14.824999999999999</v>
          </cell>
          <cell r="R95">
            <v>17.024999999999999</v>
          </cell>
          <cell r="S95">
            <v>13.625</v>
          </cell>
          <cell r="AA95">
            <v>4</v>
          </cell>
          <cell r="AE95">
            <v>3</v>
          </cell>
        </row>
        <row r="96">
          <cell r="E96" t="str">
            <v>% Government Systems Sales</v>
          </cell>
        </row>
        <row r="98">
          <cell r="D98" t="str">
            <v>Commercial Networks IRAD</v>
          </cell>
          <cell r="Q98">
            <v>17.324999999999999</v>
          </cell>
          <cell r="R98">
            <v>12.525</v>
          </cell>
          <cell r="S98">
            <v>13.625</v>
          </cell>
          <cell r="AA98">
            <v>3.1139999999999999</v>
          </cell>
          <cell r="AE98">
            <v>4.3140000000000001</v>
          </cell>
          <cell r="AF98">
            <v>4.3140000000000001</v>
          </cell>
          <cell r="AG98">
            <v>4.3140000000000001</v>
          </cell>
          <cell r="AH98">
            <v>4.3140000000000001</v>
          </cell>
        </row>
        <row r="99">
          <cell r="E99" t="str">
            <v>% Commercial Networks Sales</v>
          </cell>
          <cell r="Q99">
            <v>6.9775309407685143E-2</v>
          </cell>
          <cell r="R99">
            <v>5.4261181485781622E-2</v>
          </cell>
          <cell r="S99">
            <v>5.9990313490665727E-2</v>
          </cell>
        </row>
        <row r="101">
          <cell r="D101" t="str">
            <v>Total IRAD</v>
          </cell>
          <cell r="K101">
            <v>9.4149999999999991</v>
          </cell>
          <cell r="L101">
            <v>16.047999999999998</v>
          </cell>
          <cell r="M101">
            <v>9.9600000000000009</v>
          </cell>
          <cell r="N101">
            <v>8.0820000000000007</v>
          </cell>
          <cell r="O101">
            <v>15.571</v>
          </cell>
          <cell r="P101">
            <v>21.631</v>
          </cell>
          <cell r="Q101">
            <v>32.273000000000003</v>
          </cell>
          <cell r="R101">
            <v>29.622</v>
          </cell>
          <cell r="S101">
            <v>27.25</v>
          </cell>
          <cell r="T101">
            <v>28</v>
          </cell>
          <cell r="AA101">
            <v>7.0030000000000001</v>
          </cell>
          <cell r="AE101">
            <v>7.3140000000000001</v>
          </cell>
          <cell r="AF101">
            <v>4.3140000000000001</v>
          </cell>
          <cell r="AG101">
            <v>4.3140000000000001</v>
          </cell>
          <cell r="AH101">
            <v>4.3140000000000001</v>
          </cell>
        </row>
        <row r="102">
          <cell r="E102" t="str">
            <v>% Total ViaSat Sales</v>
          </cell>
          <cell r="K102">
            <v>4.8127057476434865E-2</v>
          </cell>
          <cell r="L102">
            <v>8.6735631438423527E-2</v>
          </cell>
          <cell r="M102">
            <v>3.5752874409054523E-2</v>
          </cell>
          <cell r="N102">
            <v>2.3362500325201842E-2</v>
          </cell>
          <cell r="O102">
            <v>3.5892518377310563E-2</v>
          </cell>
          <cell r="P102">
            <v>4.1874610407963357E-2</v>
          </cell>
          <cell r="Q102">
            <v>5.6161141564430521E-2</v>
          </cell>
          <cell r="R102">
            <v>4.715534903268017E-2</v>
          </cell>
          <cell r="S102">
            <v>3.9602953144983147E-2</v>
          </cell>
          <cell r="AA102">
            <v>4.4208625826978439E-2</v>
          </cell>
          <cell r="AE102">
            <v>3.8092956396741734E-2</v>
          </cell>
          <cell r="AF102">
            <v>2.180010005609205E-2</v>
          </cell>
          <cell r="AG102">
            <v>1.9723803276704498E-2</v>
          </cell>
          <cell r="AH102">
            <v>1.7695383469286095E-2</v>
          </cell>
        </row>
        <row r="104">
          <cell r="D104" t="str">
            <v>Change in Government Systems IRAD</v>
          </cell>
          <cell r="R104">
            <v>2.2000000000000002</v>
          </cell>
          <cell r="S104">
            <v>-3.4</v>
          </cell>
          <cell r="AE104">
            <v>-1</v>
          </cell>
        </row>
        <row r="105">
          <cell r="D105" t="str">
            <v>Change in Commercial Networks IRAD</v>
          </cell>
          <cell r="R105">
            <v>-4.8</v>
          </cell>
          <cell r="S105">
            <v>1.1000000000000001</v>
          </cell>
          <cell r="AE105">
            <v>1.2</v>
          </cell>
        </row>
        <row r="106">
          <cell r="D106" t="str">
            <v>Total</v>
          </cell>
          <cell r="R106">
            <v>-2.6510000000000034</v>
          </cell>
          <cell r="S106">
            <v>-2.3719999999999999</v>
          </cell>
          <cell r="AE106">
            <v>0.31099999999999994</v>
          </cell>
        </row>
        <row r="110">
          <cell r="E110" t="str">
            <v>Consumer Broadband Revenue Growth</v>
          </cell>
        </row>
        <row r="111">
          <cell r="E111" t="str">
            <v>Bull Case</v>
          </cell>
          <cell r="U111">
            <v>0.7</v>
          </cell>
          <cell r="V111">
            <v>0.6</v>
          </cell>
          <cell r="W111">
            <v>0.4</v>
          </cell>
          <cell r="X111">
            <v>0.2</v>
          </cell>
          <cell r="Y111">
            <v>0.2</v>
          </cell>
        </row>
        <row r="112">
          <cell r="E112" t="str">
            <v>Base Case</v>
          </cell>
          <cell r="U112">
            <v>0.35</v>
          </cell>
          <cell r="V112">
            <v>0.5</v>
          </cell>
          <cell r="W112">
            <v>0.3</v>
          </cell>
          <cell r="X112">
            <v>0.1</v>
          </cell>
          <cell r="Y112">
            <v>0.1</v>
          </cell>
        </row>
        <row r="113">
          <cell r="E113" t="str">
            <v>Bear Case</v>
          </cell>
          <cell r="U113">
            <v>0.24999999999999997</v>
          </cell>
          <cell r="V113">
            <v>0.4</v>
          </cell>
          <cell r="W113">
            <v>0.19999999999999998</v>
          </cell>
          <cell r="X113">
            <v>0.05</v>
          </cell>
          <cell r="Y113">
            <v>0.05</v>
          </cell>
        </row>
        <row r="114">
          <cell r="E114" t="str">
            <v>Using Base Case</v>
          </cell>
          <cell r="U114">
            <v>0.35</v>
          </cell>
          <cell r="V114">
            <v>0.5</v>
          </cell>
          <cell r="W114">
            <v>0.3</v>
          </cell>
          <cell r="X114">
            <v>0.1</v>
          </cell>
          <cell r="Y114">
            <v>0.1</v>
          </cell>
        </row>
        <row r="115">
          <cell r="E115">
            <v>2</v>
          </cell>
        </row>
        <row r="117">
          <cell r="E117" t="str">
            <v>Mobile Broadband Revenue Growth</v>
          </cell>
        </row>
        <row r="118">
          <cell r="E118" t="str">
            <v>Bull Case</v>
          </cell>
          <cell r="U118">
            <v>0.2</v>
          </cell>
          <cell r="V118">
            <v>0.4</v>
          </cell>
          <cell r="W118">
            <v>0.30000000000000004</v>
          </cell>
          <cell r="X118">
            <v>0.2</v>
          </cell>
          <cell r="Y118">
            <v>0.2</v>
          </cell>
        </row>
        <row r="119">
          <cell r="E119" t="str">
            <v>Base Case</v>
          </cell>
          <cell r="U119">
            <v>0.1</v>
          </cell>
          <cell r="V119">
            <v>0.3</v>
          </cell>
          <cell r="W119">
            <v>0.2</v>
          </cell>
          <cell r="X119">
            <v>0.1</v>
          </cell>
          <cell r="Y119">
            <v>0.1</v>
          </cell>
        </row>
        <row r="120">
          <cell r="E120" t="str">
            <v>Bear Case</v>
          </cell>
          <cell r="U120">
            <v>0.1</v>
          </cell>
          <cell r="V120">
            <v>0.1</v>
          </cell>
          <cell r="W120">
            <v>0.1</v>
          </cell>
          <cell r="X120">
            <v>0.1</v>
          </cell>
          <cell r="Y120">
            <v>0.1</v>
          </cell>
        </row>
        <row r="121">
          <cell r="E121" t="str">
            <v>Using Base Case</v>
          </cell>
          <cell r="U121">
            <v>0.1</v>
          </cell>
          <cell r="V121">
            <v>0.3</v>
          </cell>
          <cell r="W121">
            <v>0.2</v>
          </cell>
          <cell r="X121">
            <v>0.1</v>
          </cell>
          <cell r="Y121">
            <v>0.1</v>
          </cell>
        </row>
        <row r="122">
          <cell r="E122">
            <v>2</v>
          </cell>
        </row>
      </sheetData>
      <sheetData sheetId="6" refreshError="1">
        <row r="1">
          <cell r="A1" t="str">
            <v>ViaSat Inc.</v>
          </cell>
        </row>
        <row r="2">
          <cell r="A2" t="str">
            <v>Satellite Services Segment Model</v>
          </cell>
        </row>
        <row r="3">
          <cell r="A3" t="str">
            <v>Morgan Stanley Research</v>
          </cell>
        </row>
        <row r="4">
          <cell r="A4" t="str">
            <v>($ in Millions Except EPS)</v>
          </cell>
        </row>
        <row r="5">
          <cell r="A5" t="str">
            <v>Fisacl Year Ends March 31</v>
          </cell>
        </row>
        <row r="6">
          <cell r="AA6" t="str">
            <v>2010A</v>
          </cell>
          <cell r="AE6" t="str">
            <v>2011E</v>
          </cell>
        </row>
        <row r="8">
          <cell r="AA8" t="str">
            <v>Q1A</v>
          </cell>
          <cell r="AB8" t="str">
            <v>Q2A</v>
          </cell>
          <cell r="AC8" t="str">
            <v>Q3A</v>
          </cell>
          <cell r="AD8" t="str">
            <v>Q4A</v>
          </cell>
          <cell r="AE8" t="str">
            <v>Q1A</v>
          </cell>
          <cell r="AF8" t="str">
            <v>Q2E</v>
          </cell>
          <cell r="AG8" t="str">
            <v>Q3E</v>
          </cell>
          <cell r="AH8" t="str">
            <v>Q4E</v>
          </cell>
        </row>
        <row r="9">
          <cell r="J9">
            <v>2001</v>
          </cell>
          <cell r="K9">
            <v>2002</v>
          </cell>
          <cell r="L9">
            <v>2003</v>
          </cell>
          <cell r="M9">
            <v>2004</v>
          </cell>
          <cell r="N9">
            <v>2005</v>
          </cell>
          <cell r="O9">
            <v>2006</v>
          </cell>
          <cell r="P9">
            <v>2007</v>
          </cell>
          <cell r="Q9">
            <v>2008</v>
          </cell>
          <cell r="R9">
            <v>2009</v>
          </cell>
          <cell r="S9" t="str">
            <v xml:space="preserve">2010A </v>
          </cell>
          <cell r="T9" t="str">
            <v xml:space="preserve">2011E </v>
          </cell>
          <cell r="U9" t="str">
            <v xml:space="preserve">2012E </v>
          </cell>
          <cell r="V9" t="str">
            <v xml:space="preserve">2013E </v>
          </cell>
          <cell r="W9" t="str">
            <v xml:space="preserve">2014E </v>
          </cell>
          <cell r="X9" t="str">
            <v xml:space="preserve">2015E </v>
          </cell>
          <cell r="Y9" t="str">
            <v xml:space="preserve">2016E </v>
          </cell>
          <cell r="AA9" t="str">
            <v>June</v>
          </cell>
          <cell r="AB9" t="str">
            <v>Sept</v>
          </cell>
          <cell r="AC9" t="str">
            <v>Dec</v>
          </cell>
          <cell r="AD9" t="str">
            <v>Mar</v>
          </cell>
          <cell r="AE9" t="str">
            <v>June</v>
          </cell>
          <cell r="AF9" t="str">
            <v>Sept</v>
          </cell>
          <cell r="AG9" t="str">
            <v>Dec</v>
          </cell>
          <cell r="AH9" t="str">
            <v>Mar</v>
          </cell>
        </row>
        <row r="10">
          <cell r="B10" t="str">
            <v>Summary Financials</v>
          </cell>
        </row>
        <row r="12">
          <cell r="C12" t="str">
            <v>Satellite Services Total Revenue</v>
          </cell>
          <cell r="J12">
            <v>0</v>
          </cell>
          <cell r="K12">
            <v>0</v>
          </cell>
          <cell r="L12">
            <v>0</v>
          </cell>
          <cell r="M12">
            <v>0</v>
          </cell>
          <cell r="N12">
            <v>0</v>
          </cell>
          <cell r="O12">
            <v>0</v>
          </cell>
          <cell r="P12">
            <v>6.6879999999999997</v>
          </cell>
          <cell r="Q12">
            <v>6.8150000000000004</v>
          </cell>
          <cell r="R12">
            <v>8.6950000000000003</v>
          </cell>
          <cell r="S12">
            <v>75.808999999999997</v>
          </cell>
          <cell r="T12">
            <v>231.82389391387972</v>
          </cell>
          <cell r="U12">
            <v>291.74554004439523</v>
          </cell>
          <cell r="V12">
            <v>373.28362452685258</v>
          </cell>
          <cell r="W12">
            <v>449.1053251940877</v>
          </cell>
          <cell r="X12">
            <v>511.04292196640182</v>
          </cell>
          <cell r="Y12">
            <v>563.49353578677744</v>
          </cell>
          <cell r="AA12">
            <v>2.5009999999999999</v>
          </cell>
          <cell r="AB12">
            <v>3.4980000000000002</v>
          </cell>
          <cell r="AC12">
            <v>12.276999999999999</v>
          </cell>
          <cell r="AD12">
            <v>57.533000000000001</v>
          </cell>
          <cell r="AE12">
            <v>57.54</v>
          </cell>
          <cell r="AF12">
            <v>57.83783554288685</v>
          </cell>
          <cell r="AG12">
            <v>58.401494190651526</v>
          </cell>
          <cell r="AH12">
            <v>58.044564180341354</v>
          </cell>
        </row>
        <row r="13">
          <cell r="D13" t="str">
            <v>Y/Y Growth</v>
          </cell>
          <cell r="Q13">
            <v>1.8989234449760861E-2</v>
          </cell>
          <cell r="R13">
            <v>0.27586206896551713</v>
          </cell>
          <cell r="S13">
            <v>7.7186889016676243</v>
          </cell>
          <cell r="T13">
            <v>2.0579996295146978</v>
          </cell>
          <cell r="U13">
            <v>0.25847916329442655</v>
          </cell>
          <cell r="V13">
            <v>0.27948356800947027</v>
          </cell>
          <cell r="W13">
            <v>0.20312088633231973</v>
          </cell>
          <cell r="X13">
            <v>0.13791329850196465</v>
          </cell>
          <cell r="Y13">
            <v>0.10263445899721102</v>
          </cell>
        </row>
        <row r="15">
          <cell r="C15" t="str">
            <v>Satellite Services Operating Profit</v>
          </cell>
          <cell r="J15">
            <v>0</v>
          </cell>
          <cell r="K15">
            <v>0</v>
          </cell>
          <cell r="L15">
            <v>0</v>
          </cell>
          <cell r="M15">
            <v>0</v>
          </cell>
          <cell r="N15">
            <v>0</v>
          </cell>
          <cell r="O15">
            <v>0</v>
          </cell>
          <cell r="P15">
            <v>-1.6990000000000001</v>
          </cell>
          <cell r="Q15">
            <v>-2.851</v>
          </cell>
          <cell r="R15">
            <v>-3.9780000000000002</v>
          </cell>
          <cell r="S15">
            <v>-9.3049999999999997</v>
          </cell>
          <cell r="T15">
            <v>42.809286130225182</v>
          </cell>
          <cell r="U15">
            <v>53.22539523862882</v>
          </cell>
          <cell r="V15">
            <v>100.6503796802657</v>
          </cell>
          <cell r="W15">
            <v>147.36947909391128</v>
          </cell>
          <cell r="X15">
            <v>179.08820288163099</v>
          </cell>
          <cell r="Y15">
            <v>205.08275419644897</v>
          </cell>
          <cell r="AA15">
            <v>-0.70699999999999996</v>
          </cell>
          <cell r="AB15">
            <v>-3.335</v>
          </cell>
          <cell r="AC15">
            <v>-6.1769999999999996</v>
          </cell>
          <cell r="AD15">
            <v>0.91400000000000003</v>
          </cell>
          <cell r="AE15">
            <v>11.461</v>
          </cell>
          <cell r="AF15">
            <v>10.725486537911769</v>
          </cell>
          <cell r="AG15">
            <v>10.201125571070767</v>
          </cell>
          <cell r="AH15">
            <v>10.421674021242653</v>
          </cell>
        </row>
        <row r="16">
          <cell r="D16" t="str">
            <v>% Margin</v>
          </cell>
          <cell r="P16">
            <v>-0.25403708133971292</v>
          </cell>
          <cell r="Q16">
            <v>-0.41834189288334556</v>
          </cell>
          <cell r="R16">
            <v>-0.45750431282346177</v>
          </cell>
          <cell r="S16">
            <v>-0.12274268226727697</v>
          </cell>
          <cell r="T16">
            <v>0.18466295862551774</v>
          </cell>
          <cell r="U16">
            <v>0.18243773402852861</v>
          </cell>
          <cell r="V16">
            <v>0.2696351328238491</v>
          </cell>
          <cell r="W16">
            <v>0.32814012844364143</v>
          </cell>
          <cell r="X16">
            <v>0.35043671516382929</v>
          </cell>
          <cell r="Y16">
            <v>0.36394872553436186</v>
          </cell>
        </row>
        <row r="18">
          <cell r="C18" t="str">
            <v>Total ViaSat Revenue</v>
          </cell>
          <cell r="J18">
            <v>164.35199999999998</v>
          </cell>
          <cell r="K18">
            <v>195.62799999999999</v>
          </cell>
          <cell r="L18">
            <v>185.02199999999999</v>
          </cell>
          <cell r="M18">
            <v>278.57900000000001</v>
          </cell>
          <cell r="N18">
            <v>345.93900000000002</v>
          </cell>
          <cell r="O18">
            <v>433.82299999999998</v>
          </cell>
          <cell r="P18">
            <v>516.56600000000003</v>
          </cell>
          <cell r="Q18">
            <v>574.65000000000009</v>
          </cell>
          <cell r="R18">
            <v>628.17900000000009</v>
          </cell>
          <cell r="S18">
            <v>688.07999999999993</v>
          </cell>
          <cell r="T18">
            <v>852.40589391387971</v>
          </cell>
          <cell r="U18">
            <v>1008.3384950443954</v>
          </cell>
          <cell r="V18">
            <v>1151.0503551268525</v>
          </cell>
          <cell r="W18">
            <v>1290.9946941740877</v>
          </cell>
          <cell r="X18">
            <v>1393.2006559624019</v>
          </cell>
          <cell r="Y18">
            <v>1482.2260108628577</v>
          </cell>
          <cell r="AA18">
            <v>158.40799999999999</v>
          </cell>
          <cell r="AB18">
            <v>160.666</v>
          </cell>
          <cell r="AC18">
            <v>156.36399999999998</v>
          </cell>
          <cell r="AD18">
            <v>212.642</v>
          </cell>
          <cell r="AE18">
            <v>192.00399999999999</v>
          </cell>
          <cell r="AF18">
            <v>197.88900000000001</v>
          </cell>
          <cell r="AG18">
            <v>218.72049419065155</v>
          </cell>
          <cell r="AH18">
            <v>243.79239972322819</v>
          </cell>
        </row>
        <row r="19">
          <cell r="D19" t="str">
            <v>Satellite Services % Total</v>
          </cell>
          <cell r="J19">
            <v>0</v>
          </cell>
          <cell r="K19">
            <v>0</v>
          </cell>
          <cell r="L19">
            <v>0</v>
          </cell>
          <cell r="M19">
            <v>0</v>
          </cell>
          <cell r="N19">
            <v>0</v>
          </cell>
          <cell r="O19">
            <v>0</v>
          </cell>
          <cell r="P19">
            <v>1.2947038713349309E-2</v>
          </cell>
          <cell r="Q19">
            <v>1.1859392673801443E-2</v>
          </cell>
          <cell r="R19">
            <v>1.3841596105568635E-2</v>
          </cell>
          <cell r="S19">
            <v>0.11017468898965238</v>
          </cell>
          <cell r="T19">
            <v>0.27196420809509486</v>
          </cell>
          <cell r="U19">
            <v>0.28933293876829547</v>
          </cell>
          <cell r="V19">
            <v>0.32429825755599939</v>
          </cell>
          <cell r="W19">
            <v>0.34787542289738244</v>
          </cell>
          <cell r="X19">
            <v>0.36681214567285797</v>
          </cell>
          <cell r="Y19">
            <v>0.38016708090201934</v>
          </cell>
          <cell r="AA19">
            <v>1.578834402302914E-2</v>
          </cell>
          <cell r="AB19">
            <v>2.1771874572093661E-2</v>
          </cell>
          <cell r="AC19">
            <v>7.8515515080197495E-2</v>
          </cell>
          <cell r="AD19">
            <v>0.27056272984640856</v>
          </cell>
          <cell r="AE19">
            <v>0.29968125664048667</v>
          </cell>
          <cell r="AF19">
            <v>0.2922741311689222</v>
          </cell>
          <cell r="AG19">
            <v>0.26701427503060066</v>
          </cell>
          <cell r="AH19">
            <v>0.23809013015269545</v>
          </cell>
        </row>
        <row r="22">
          <cell r="B22" t="str">
            <v>Revenue Build</v>
          </cell>
        </row>
        <row r="24">
          <cell r="C24" t="str">
            <v>Period End Subscribers</v>
          </cell>
          <cell r="J24">
            <v>0</v>
          </cell>
          <cell r="K24">
            <v>0</v>
          </cell>
          <cell r="L24">
            <v>0</v>
          </cell>
          <cell r="M24">
            <v>0</v>
          </cell>
          <cell r="N24">
            <v>0</v>
          </cell>
          <cell r="O24">
            <v>95000</v>
          </cell>
          <cell r="P24">
            <v>140000</v>
          </cell>
          <cell r="Q24">
            <v>325000</v>
          </cell>
          <cell r="R24">
            <v>380000</v>
          </cell>
          <cell r="S24">
            <v>424000</v>
          </cell>
          <cell r="T24">
            <v>425400</v>
          </cell>
          <cell r="U24">
            <v>607400</v>
          </cell>
          <cell r="V24">
            <v>789400</v>
          </cell>
          <cell r="W24">
            <v>935000</v>
          </cell>
          <cell r="X24">
            <v>1036920</v>
          </cell>
          <cell r="Y24">
            <v>1108264</v>
          </cell>
          <cell r="AA24">
            <v>390000</v>
          </cell>
          <cell r="AB24">
            <v>405000</v>
          </cell>
          <cell r="AC24">
            <v>423000</v>
          </cell>
          <cell r="AD24">
            <v>424000</v>
          </cell>
          <cell r="AE24">
            <v>415000</v>
          </cell>
          <cell r="AF24">
            <v>416950</v>
          </cell>
          <cell r="AG24">
            <v>420850</v>
          </cell>
          <cell r="AH24">
            <v>425400</v>
          </cell>
        </row>
        <row r="25">
          <cell r="D25" t="str">
            <v>% Change</v>
          </cell>
          <cell r="P25">
            <v>0.47368421052631571</v>
          </cell>
          <cell r="Q25">
            <v>1.3214285714285716</v>
          </cell>
          <cell r="R25">
            <v>0.1692307692307693</v>
          </cell>
          <cell r="S25">
            <v>0.11578947368421044</v>
          </cell>
          <cell r="T25">
            <v>3.3018867924528017E-3</v>
          </cell>
          <cell r="U25">
            <v>0.42783262811471556</v>
          </cell>
          <cell r="V25">
            <v>0.29963780046098121</v>
          </cell>
          <cell r="W25">
            <v>0.18444388142893331</v>
          </cell>
          <cell r="X25">
            <v>0.10900534759358282</v>
          </cell>
          <cell r="Y25">
            <v>6.8803764996335337E-2</v>
          </cell>
        </row>
        <row r="27">
          <cell r="C27" t="str">
            <v>Average Subscribers</v>
          </cell>
          <cell r="J27">
            <v>0</v>
          </cell>
          <cell r="K27">
            <v>0</v>
          </cell>
          <cell r="L27">
            <v>0</v>
          </cell>
          <cell r="M27">
            <v>0</v>
          </cell>
          <cell r="N27">
            <v>0</v>
          </cell>
          <cell r="O27">
            <v>47500</v>
          </cell>
          <cell r="P27">
            <v>117500</v>
          </cell>
          <cell r="Q27">
            <v>232500</v>
          </cell>
          <cell r="R27">
            <v>352500</v>
          </cell>
          <cell r="S27">
            <v>402000</v>
          </cell>
          <cell r="T27">
            <v>424700</v>
          </cell>
          <cell r="U27">
            <v>516400</v>
          </cell>
          <cell r="V27">
            <v>698400</v>
          </cell>
          <cell r="W27">
            <v>862200</v>
          </cell>
          <cell r="X27">
            <v>985960</v>
          </cell>
          <cell r="Y27">
            <v>1072592</v>
          </cell>
          <cell r="AA27">
            <v>385000</v>
          </cell>
          <cell r="AB27">
            <v>397500</v>
          </cell>
          <cell r="AC27">
            <v>414000</v>
          </cell>
          <cell r="AD27">
            <v>423500</v>
          </cell>
          <cell r="AE27">
            <v>419500</v>
          </cell>
          <cell r="AF27">
            <v>415975</v>
          </cell>
          <cell r="AG27">
            <v>418900</v>
          </cell>
          <cell r="AH27">
            <v>423125</v>
          </cell>
        </row>
        <row r="28">
          <cell r="D28" t="str">
            <v>% Change</v>
          </cell>
          <cell r="P28">
            <v>1.4736842105263159</v>
          </cell>
          <cell r="Q28">
            <v>0.97872340425531923</v>
          </cell>
          <cell r="R28">
            <v>0.5161290322580645</v>
          </cell>
          <cell r="S28">
            <v>0.14042553191489371</v>
          </cell>
          <cell r="T28">
            <v>5.646766169154227E-2</v>
          </cell>
          <cell r="U28">
            <v>0.21591711796562274</v>
          </cell>
          <cell r="V28">
            <v>0.35243996901626651</v>
          </cell>
          <cell r="W28">
            <v>0.23453608247422686</v>
          </cell>
          <cell r="X28">
            <v>0.14353978195314321</v>
          </cell>
          <cell r="Y28">
            <v>8.7865633494259354E-2</v>
          </cell>
        </row>
        <row r="30">
          <cell r="C30" t="str">
            <v>Wholesale Revenue</v>
          </cell>
        </row>
        <row r="32">
          <cell r="C32" t="str">
            <v>Avg. Wholesale Subscribers</v>
          </cell>
          <cell r="J32">
            <v>0</v>
          </cell>
          <cell r="K32">
            <v>0</v>
          </cell>
          <cell r="L32">
            <v>0</v>
          </cell>
          <cell r="M32">
            <v>0</v>
          </cell>
          <cell r="N32">
            <v>0</v>
          </cell>
          <cell r="O32">
            <v>25000</v>
          </cell>
          <cell r="P32">
            <v>60000</v>
          </cell>
          <cell r="Q32">
            <v>121853.44827586207</v>
          </cell>
          <cell r="R32">
            <v>188405.1724137931</v>
          </cell>
          <cell r="S32">
            <v>215051.72413793104</v>
          </cell>
          <cell r="T32">
            <v>221000</v>
          </cell>
          <cell r="U32">
            <v>292350</v>
          </cell>
          <cell r="V32">
            <v>447050</v>
          </cell>
          <cell r="W32">
            <v>586280</v>
          </cell>
          <cell r="X32">
            <v>691476</v>
          </cell>
          <cell r="Y32">
            <v>765113.2</v>
          </cell>
          <cell r="AA32">
            <v>205775.86206896554</v>
          </cell>
          <cell r="AB32">
            <v>212456.89655172417</v>
          </cell>
          <cell r="AC32">
            <v>223232.75862068968</v>
          </cell>
          <cell r="AD32">
            <v>228500</v>
          </cell>
          <cell r="AE32">
            <v>220500</v>
          </cell>
          <cell r="AF32">
            <v>213500</v>
          </cell>
          <cell r="AG32">
            <v>213000</v>
          </cell>
          <cell r="AH32">
            <v>214000</v>
          </cell>
        </row>
        <row r="33">
          <cell r="D33" t="str">
            <v>% Change</v>
          </cell>
          <cell r="P33">
            <v>1.4</v>
          </cell>
          <cell r="Q33">
            <v>1.0308908045977012</v>
          </cell>
          <cell r="R33">
            <v>0.54616200919702851</v>
          </cell>
          <cell r="S33">
            <v>0.14143216655227642</v>
          </cell>
          <cell r="T33">
            <v>2.765974504930635E-2</v>
          </cell>
          <cell r="U33">
            <v>0.32285067873303164</v>
          </cell>
          <cell r="V33">
            <v>0.52916025312125869</v>
          </cell>
          <cell r="W33">
            <v>0.3114416731909182</v>
          </cell>
          <cell r="X33">
            <v>0.17942962407041008</v>
          </cell>
          <cell r="Y33">
            <v>0.10649277776813659</v>
          </cell>
        </row>
        <row r="35">
          <cell r="C35" t="str">
            <v>Wholesale ARPU</v>
          </cell>
          <cell r="J35">
            <v>0</v>
          </cell>
          <cell r="K35">
            <v>0</v>
          </cell>
          <cell r="L35">
            <v>0</v>
          </cell>
          <cell r="M35">
            <v>0</v>
          </cell>
          <cell r="N35">
            <v>0</v>
          </cell>
          <cell r="O35">
            <v>28.256823569113919</v>
          </cell>
          <cell r="P35">
            <v>28.256823569113919</v>
          </cell>
          <cell r="Q35">
            <v>28.256823569113919</v>
          </cell>
          <cell r="R35">
            <v>26.867816091954023</v>
          </cell>
          <cell r="S35">
            <v>27.317926260953545</v>
          </cell>
          <cell r="T35">
            <v>26.308706506475271</v>
          </cell>
          <cell r="U35">
            <v>26.308706506475264</v>
          </cell>
          <cell r="V35">
            <v>26.308706506475264</v>
          </cell>
          <cell r="W35">
            <v>26.308706506475264</v>
          </cell>
          <cell r="X35">
            <v>26.308706506475264</v>
          </cell>
          <cell r="Y35">
            <v>26.571793571540017</v>
          </cell>
          <cell r="AA35">
            <v>27.011494252873561</v>
          </cell>
          <cell r="AB35">
            <v>27.011494252873561</v>
          </cell>
          <cell r="AC35">
            <v>27.011494252873561</v>
          </cell>
          <cell r="AD35">
            <v>27.011494252873561</v>
          </cell>
          <cell r="AE35">
            <v>27.011494252873561</v>
          </cell>
          <cell r="AF35">
            <v>27.011494252873561</v>
          </cell>
          <cell r="AG35">
            <v>27.011494252873561</v>
          </cell>
          <cell r="AH35">
            <v>27.011494252873561</v>
          </cell>
        </row>
        <row r="36">
          <cell r="D36" t="str">
            <v>% Change</v>
          </cell>
          <cell r="P36">
            <v>0</v>
          </cell>
          <cell r="Q36">
            <v>0</v>
          </cell>
          <cell r="R36">
            <v>-4.9156532890630711E-2</v>
          </cell>
          <cell r="S36">
            <v>1.6752763509287005E-2</v>
          </cell>
          <cell r="T36">
            <v>-3.6943498010710507E-2</v>
          </cell>
          <cell r="U36">
            <v>0</v>
          </cell>
          <cell r="V36">
            <v>0</v>
          </cell>
          <cell r="W36">
            <v>0</v>
          </cell>
          <cell r="X36">
            <v>0</v>
          </cell>
          <cell r="Y36">
            <v>1.0000000000000009E-2</v>
          </cell>
        </row>
        <row r="38">
          <cell r="C38" t="str">
            <v>Wholesale Revenue</v>
          </cell>
          <cell r="J38">
            <v>0</v>
          </cell>
          <cell r="K38">
            <v>0</v>
          </cell>
          <cell r="L38">
            <v>0</v>
          </cell>
          <cell r="M38">
            <v>0</v>
          </cell>
          <cell r="N38">
            <v>0</v>
          </cell>
          <cell r="O38">
            <v>8.4770470707341765</v>
          </cell>
          <cell r="P38">
            <v>20.344912969762024</v>
          </cell>
          <cell r="Q38">
            <v>41.318296670630204</v>
          </cell>
          <cell r="R38">
            <v>60.744426278240191</v>
          </cell>
          <cell r="S38">
            <v>70.497205707491091</v>
          </cell>
          <cell r="T38">
            <v>69.770689655172418</v>
          </cell>
          <cell r="U38">
            <v>92.296204166016523</v>
          </cell>
          <cell r="V38">
            <v>141.13568692463718</v>
          </cell>
          <cell r="W38">
            <v>185.09122140739584</v>
          </cell>
          <cell r="X38">
            <v>218.30206968325788</v>
          </cell>
          <cell r="Y38">
            <v>243.9651601111249</v>
          </cell>
          <cell r="AA38">
            <v>16.674940546967896</v>
          </cell>
          <cell r="AB38">
            <v>17.21633472057075</v>
          </cell>
          <cell r="AC38">
            <v>18.08955112960761</v>
          </cell>
          <cell r="AD38">
            <v>18.516379310344828</v>
          </cell>
          <cell r="AE38">
            <v>17.868103448275861</v>
          </cell>
          <cell r="AF38">
            <v>17.300862068965518</v>
          </cell>
          <cell r="AG38">
            <v>17.260344827586209</v>
          </cell>
          <cell r="AH38">
            <v>17.341379310344827</v>
          </cell>
        </row>
        <row r="39">
          <cell r="D39" t="str">
            <v>% Change</v>
          </cell>
          <cell r="P39">
            <v>1.4</v>
          </cell>
          <cell r="Q39">
            <v>1.0308908045977012</v>
          </cell>
          <cell r="R39">
            <v>0.47015804553769103</v>
          </cell>
          <cell r="S39">
            <v>0.16055430970041984</v>
          </cell>
          <cell r="T39">
            <v>-1.0305600697609996E-2</v>
          </cell>
          <cell r="U39">
            <v>0.32285067873303142</v>
          </cell>
          <cell r="V39">
            <v>0.52916025312125847</v>
          </cell>
          <cell r="W39">
            <v>0.31144167319091864</v>
          </cell>
          <cell r="X39">
            <v>0.17942962407040985</v>
          </cell>
          <cell r="Y39">
            <v>0.11755770554581768</v>
          </cell>
          <cell r="AE39">
            <v>7.1554252199413249E-2</v>
          </cell>
          <cell r="AF39">
            <v>4.9097179955366332E-3</v>
          </cell>
          <cell r="AG39">
            <v>-4.5838965051168024E-2</v>
          </cell>
          <cell r="AH39">
            <v>-6.3457330415754964E-2</v>
          </cell>
        </row>
        <row r="41">
          <cell r="C41" t="str">
            <v>Retail Revenue</v>
          </cell>
        </row>
        <row r="43">
          <cell r="C43" t="str">
            <v>Avg. Retail Subscribers</v>
          </cell>
          <cell r="J43">
            <v>0</v>
          </cell>
          <cell r="K43">
            <v>0</v>
          </cell>
          <cell r="L43">
            <v>0</v>
          </cell>
          <cell r="M43">
            <v>0</v>
          </cell>
          <cell r="N43">
            <v>0</v>
          </cell>
          <cell r="O43">
            <v>22500</v>
          </cell>
          <cell r="P43">
            <v>57500</v>
          </cell>
          <cell r="Q43">
            <v>121271.55172413793</v>
          </cell>
          <cell r="R43">
            <v>162219.8275862069</v>
          </cell>
          <cell r="S43">
            <v>189948.27586206896</v>
          </cell>
          <cell r="T43">
            <v>198375</v>
          </cell>
          <cell r="U43">
            <v>224050</v>
          </cell>
          <cell r="V43">
            <v>251350</v>
          </cell>
          <cell r="W43">
            <v>275920</v>
          </cell>
          <cell r="X43">
            <v>294484</v>
          </cell>
          <cell r="Y43">
            <v>307478.80000000005</v>
          </cell>
          <cell r="AA43">
            <v>179224.13793103446</v>
          </cell>
          <cell r="AB43">
            <v>185043.10344827583</v>
          </cell>
          <cell r="AC43">
            <v>190767.24137931032</v>
          </cell>
          <cell r="AD43">
            <v>195000</v>
          </cell>
          <cell r="AE43">
            <v>199000</v>
          </cell>
          <cell r="AF43">
            <v>202475</v>
          </cell>
          <cell r="AG43">
            <v>205900</v>
          </cell>
          <cell r="AH43">
            <v>209125</v>
          </cell>
        </row>
        <row r="44">
          <cell r="D44" t="str">
            <v>% Change</v>
          </cell>
          <cell r="P44">
            <v>1.5555555555555554</v>
          </cell>
          <cell r="Q44">
            <v>1.1090704647676159</v>
          </cell>
          <cell r="R44">
            <v>0.33765772169895159</v>
          </cell>
          <cell r="S44">
            <v>0.17093131393649519</v>
          </cell>
          <cell r="T44">
            <v>4.4363256784968774E-2</v>
          </cell>
          <cell r="U44">
            <v>0.12942659105230003</v>
          </cell>
          <cell r="V44">
            <v>0.1218478018299487</v>
          </cell>
          <cell r="W44">
            <v>9.7752138452357196E-2</v>
          </cell>
          <cell r="X44">
            <v>6.728037112206442E-2</v>
          </cell>
          <cell r="Y44">
            <v>4.4127354966653654E-2</v>
          </cell>
        </row>
        <row r="46">
          <cell r="C46" t="str">
            <v>Retail ARPU</v>
          </cell>
          <cell r="J46">
            <v>0</v>
          </cell>
          <cell r="K46">
            <v>0</v>
          </cell>
          <cell r="L46">
            <v>0</v>
          </cell>
          <cell r="M46">
            <v>0</v>
          </cell>
          <cell r="N46">
            <v>0</v>
          </cell>
          <cell r="O46">
            <v>55.839666593490058</v>
          </cell>
          <cell r="P46">
            <v>55.839666593490058</v>
          </cell>
          <cell r="Q46">
            <v>55.839666593490058</v>
          </cell>
          <cell r="R46">
            <v>59.186927062574725</v>
          </cell>
          <cell r="S46">
            <v>57.614050160539271</v>
          </cell>
          <cell r="T46">
            <v>61.261475428988582</v>
          </cell>
          <cell r="U46">
            <v>61.261475428988582</v>
          </cell>
          <cell r="V46">
            <v>61.261475428988582</v>
          </cell>
          <cell r="W46">
            <v>61.261475428988582</v>
          </cell>
          <cell r="X46">
            <v>61.261475428988582</v>
          </cell>
          <cell r="Y46">
            <v>61.874090183278469</v>
          </cell>
          <cell r="AA46">
            <v>58.823529411764703</v>
          </cell>
          <cell r="AB46">
            <v>58.823529411764703</v>
          </cell>
          <cell r="AC46">
            <v>57.369124511809794</v>
          </cell>
          <cell r="AD46">
            <v>58.477556734453294</v>
          </cell>
          <cell r="AE46">
            <v>59.661887021313454</v>
          </cell>
          <cell r="AF46">
            <v>59.661887021313454</v>
          </cell>
          <cell r="AG46">
            <v>59.161887021313454</v>
          </cell>
          <cell r="AH46">
            <v>59.661887021313454</v>
          </cell>
        </row>
        <row r="47">
          <cell r="D47" t="str">
            <v>% Change</v>
          </cell>
          <cell r="P47">
            <v>0</v>
          </cell>
          <cell r="Q47">
            <v>0</v>
          </cell>
          <cell r="R47">
            <v>5.9944134220079714E-2</v>
          </cell>
          <cell r="S47">
            <v>-2.657473499802665E-2</v>
          </cell>
          <cell r="T47">
            <v>6.3307912883852291E-2</v>
          </cell>
          <cell r="U47">
            <v>0</v>
          </cell>
          <cell r="V47">
            <v>0</v>
          </cell>
          <cell r="W47">
            <v>0</v>
          </cell>
          <cell r="X47">
            <v>0</v>
          </cell>
          <cell r="Y47">
            <v>1.0000000000000009E-2</v>
          </cell>
        </row>
        <row r="49">
          <cell r="C49" t="str">
            <v>Retail Revenue</v>
          </cell>
          <cell r="J49">
            <v>0</v>
          </cell>
          <cell r="K49">
            <v>0</v>
          </cell>
          <cell r="L49">
            <v>0</v>
          </cell>
          <cell r="M49">
            <v>0</v>
          </cell>
          <cell r="N49">
            <v>0</v>
          </cell>
          <cell r="O49">
            <v>15.076709980242315</v>
          </cell>
          <cell r="P49">
            <v>38.529369949508137</v>
          </cell>
          <cell r="Q49">
            <v>81.261156186612567</v>
          </cell>
          <cell r="R49">
            <v>115.2155172413793</v>
          </cell>
          <cell r="S49">
            <v>131.3242739211023</v>
          </cell>
          <cell r="T49">
            <v>145.83294225870731</v>
          </cell>
          <cell r="U49">
            <v>164.7076028383787</v>
          </cell>
          <cell r="V49">
            <v>184.77686218891537</v>
          </cell>
          <cell r="W49">
            <v>202.83919560439833</v>
          </cell>
          <cell r="X49">
            <v>216.48629196276329</v>
          </cell>
          <cell r="Y49">
            <v>228.29965200775493</v>
          </cell>
          <cell r="AA49">
            <v>31.627789046653138</v>
          </cell>
          <cell r="AB49">
            <v>32.654665314401612</v>
          </cell>
          <cell r="AC49">
            <v>32.832448870392383</v>
          </cell>
          <cell r="AD49">
            <v>34.209370689655181</v>
          </cell>
          <cell r="AE49">
            <v>35.618146551724138</v>
          </cell>
          <cell r="AF49">
            <v>36.240121723921327</v>
          </cell>
          <cell r="AG49">
            <v>36.544297613065318</v>
          </cell>
          <cell r="AH49">
            <v>37.43037636999653</v>
          </cell>
        </row>
        <row r="50">
          <cell r="D50" t="str">
            <v>% Change</v>
          </cell>
          <cell r="P50">
            <v>1.5555555555555554</v>
          </cell>
          <cell r="Q50">
            <v>1.1090704647676164</v>
          </cell>
          <cell r="R50">
            <v>0.41784245570899925</v>
          </cell>
          <cell r="S50">
            <v>0.13981412456774178</v>
          </cell>
          <cell r="T50">
            <v>0.1104797148646075</v>
          </cell>
          <cell r="U50">
            <v>0.12942659105230003</v>
          </cell>
          <cell r="V50">
            <v>0.1218478018299487</v>
          </cell>
          <cell r="W50">
            <v>9.7752138452356974E-2</v>
          </cell>
          <cell r="X50">
            <v>6.7280371122064642E-2</v>
          </cell>
          <cell r="Y50">
            <v>5.456862851632005E-2</v>
          </cell>
          <cell r="AE50">
            <v>0.12616618566618576</v>
          </cell>
          <cell r="AF50">
            <v>0.10979920862757786</v>
          </cell>
          <cell r="AG50">
            <v>0.11305427619260544</v>
          </cell>
          <cell r="AH50">
            <v>9.4155654296071978E-2</v>
          </cell>
        </row>
        <row r="52">
          <cell r="C52" t="str">
            <v>WildBlue Revenue</v>
          </cell>
          <cell r="J52">
            <v>0</v>
          </cell>
          <cell r="K52">
            <v>0</v>
          </cell>
          <cell r="L52">
            <v>0</v>
          </cell>
          <cell r="M52">
            <v>0</v>
          </cell>
          <cell r="N52">
            <v>0</v>
          </cell>
          <cell r="O52">
            <v>23.55375705097649</v>
          </cell>
          <cell r="P52">
            <v>58.874282919270172</v>
          </cell>
          <cell r="Q52">
            <v>122.57945285724277</v>
          </cell>
          <cell r="R52">
            <v>175.95994351961949</v>
          </cell>
          <cell r="S52">
            <v>201.82147962859341</v>
          </cell>
          <cell r="T52">
            <v>215.60363191387972</v>
          </cell>
          <cell r="U52">
            <v>257.00380700439524</v>
          </cell>
          <cell r="V52">
            <v>325.91254911355259</v>
          </cell>
          <cell r="W52">
            <v>387.93041701179419</v>
          </cell>
          <cell r="X52">
            <v>434.78836164602114</v>
          </cell>
          <cell r="Y52">
            <v>472.26481211887989</v>
          </cell>
          <cell r="AA52">
            <v>48.302729593621038</v>
          </cell>
          <cell r="AB52">
            <v>49.871000034972361</v>
          </cell>
          <cell r="AC52">
            <v>50.921999999999997</v>
          </cell>
          <cell r="AD52">
            <v>52.725750000000005</v>
          </cell>
          <cell r="AE52">
            <v>53.486249999999998</v>
          </cell>
          <cell r="AF52">
            <v>53.540983792886848</v>
          </cell>
          <cell r="AG52">
            <v>53.804642440651527</v>
          </cell>
          <cell r="AH52">
            <v>54.771755680341357</v>
          </cell>
        </row>
        <row r="53">
          <cell r="D53" t="str">
            <v>% Change</v>
          </cell>
          <cell r="O53" t="str">
            <v>NM</v>
          </cell>
          <cell r="P53">
            <v>1.4995707815042341</v>
          </cell>
          <cell r="Q53">
            <v>1.0820542820933658</v>
          </cell>
          <cell r="R53">
            <v>0.43547665957152026</v>
          </cell>
          <cell r="S53">
            <v>0.14697399642032938</v>
          </cell>
          <cell r="T53">
            <v>6.8288827882191816E-2</v>
          </cell>
          <cell r="U53">
            <v>0.19201984086730195</v>
          </cell>
          <cell r="V53">
            <v>0.26812342942444767</v>
          </cell>
          <cell r="W53">
            <v>0.19028990465977325</v>
          </cell>
          <cell r="X53">
            <v>0.12078956065154944</v>
          </cell>
          <cell r="Y53">
            <v>8.6194695577821889E-2</v>
          </cell>
        </row>
        <row r="55">
          <cell r="C55" t="str">
            <v>Wholesale Broadband</v>
          </cell>
          <cell r="J55">
            <v>0</v>
          </cell>
          <cell r="K55">
            <v>0</v>
          </cell>
          <cell r="L55">
            <v>0</v>
          </cell>
          <cell r="M55">
            <v>0</v>
          </cell>
          <cell r="N55">
            <v>0</v>
          </cell>
          <cell r="O55">
            <v>0</v>
          </cell>
          <cell r="P55">
            <v>0</v>
          </cell>
          <cell r="Q55">
            <v>0</v>
          </cell>
          <cell r="R55">
            <v>0</v>
          </cell>
          <cell r="S55">
            <v>63.4</v>
          </cell>
          <cell r="T55">
            <v>215.60363191387972</v>
          </cell>
          <cell r="U55">
            <v>257.00380700439524</v>
          </cell>
          <cell r="V55">
            <v>325.91254911355259</v>
          </cell>
          <cell r="W55">
            <v>387.93041701179419</v>
          </cell>
          <cell r="X55">
            <v>434.78836164602114</v>
          </cell>
          <cell r="Y55">
            <v>472.26481211887989</v>
          </cell>
          <cell r="AA55">
            <v>0</v>
          </cell>
          <cell r="AB55">
            <v>0</v>
          </cell>
          <cell r="AC55">
            <v>9</v>
          </cell>
          <cell r="AD55">
            <v>54.4</v>
          </cell>
          <cell r="AE55">
            <v>53.486249999999998</v>
          </cell>
          <cell r="AF55">
            <v>53.540983792886848</v>
          </cell>
          <cell r="AG55">
            <v>53.804642440651527</v>
          </cell>
          <cell r="AH55">
            <v>54.771755680341357</v>
          </cell>
        </row>
        <row r="56">
          <cell r="D56" t="str">
            <v>% Satellite Service</v>
          </cell>
          <cell r="R56">
            <v>0</v>
          </cell>
          <cell r="S56">
            <v>0.8363123112031553</v>
          </cell>
          <cell r="T56">
            <v>0.93003196639417307</v>
          </cell>
          <cell r="U56">
            <v>0.88091768931681591</v>
          </cell>
          <cell r="V56">
            <v>0.87309629380784071</v>
          </cell>
          <cell r="W56">
            <v>0.86378494141467632</v>
          </cell>
          <cell r="X56">
            <v>0.85078638790854055</v>
          </cell>
          <cell r="Y56">
            <v>0.83810156128850788</v>
          </cell>
          <cell r="AC56">
            <v>0.73307811354565455</v>
          </cell>
          <cell r="AD56">
            <v>0.94554429631689629</v>
          </cell>
          <cell r="AE56">
            <v>0.9295490093847758</v>
          </cell>
          <cell r="AF56">
            <v>0.9257086350194782</v>
          </cell>
          <cell r="AG56">
            <v>0.92128879896473903</v>
          </cell>
          <cell r="AH56">
            <v>0.94361559008641094</v>
          </cell>
        </row>
        <row r="58">
          <cell r="C58" t="str">
            <v>Maritime</v>
          </cell>
          <cell r="T58">
            <v>7.5</v>
          </cell>
          <cell r="U58">
            <v>9</v>
          </cell>
          <cell r="V58">
            <v>10.500299999999999</v>
          </cell>
          <cell r="W58">
            <v>12.000900000000001</v>
          </cell>
          <cell r="X58">
            <v>13.501800000000001</v>
          </cell>
          <cell r="Y58">
            <v>15.003</v>
          </cell>
        </row>
        <row r="59">
          <cell r="C59" t="str">
            <v>Rails</v>
          </cell>
          <cell r="T59">
            <v>1.6220250000000001</v>
          </cell>
          <cell r="U59">
            <v>2.1627000000000001</v>
          </cell>
          <cell r="V59">
            <v>3.2440500000000001</v>
          </cell>
          <cell r="W59">
            <v>4.3254000000000001</v>
          </cell>
          <cell r="X59">
            <v>5.4067500000000006</v>
          </cell>
          <cell r="Y59">
            <v>6.4881000000000002</v>
          </cell>
        </row>
        <row r="60">
          <cell r="C60" t="str">
            <v>Business Jets</v>
          </cell>
          <cell r="T60">
            <v>1.5108300000000001</v>
          </cell>
          <cell r="U60">
            <v>1.8555579000000002</v>
          </cell>
          <cell r="V60">
            <v>2.2910271705</v>
          </cell>
          <cell r="W60">
            <v>2.8385671746375003</v>
          </cell>
          <cell r="X60">
            <v>3.4612212925715631</v>
          </cell>
          <cell r="Y60">
            <v>4.0563548595322745</v>
          </cell>
        </row>
        <row r="61">
          <cell r="C61" t="str">
            <v>Commercial Aircraft</v>
          </cell>
          <cell r="T61">
            <v>0</v>
          </cell>
          <cell r="U61">
            <v>16.024319999999999</v>
          </cell>
          <cell r="V61">
            <v>25.522560000000002</v>
          </cell>
          <cell r="W61">
            <v>36.080640000000002</v>
          </cell>
          <cell r="X61">
            <v>47.836800000000011</v>
          </cell>
          <cell r="Y61">
            <v>59.512320000000003</v>
          </cell>
        </row>
        <row r="62">
          <cell r="C62" t="str">
            <v>Mobile Broadband</v>
          </cell>
          <cell r="J62">
            <v>0</v>
          </cell>
          <cell r="K62">
            <v>0</v>
          </cell>
          <cell r="L62">
            <v>0</v>
          </cell>
          <cell r="M62">
            <v>0</v>
          </cell>
          <cell r="N62">
            <v>0</v>
          </cell>
          <cell r="O62">
            <v>0</v>
          </cell>
          <cell r="P62">
            <v>2.4745599999999999</v>
          </cell>
          <cell r="Q62">
            <v>2.52155</v>
          </cell>
          <cell r="R62">
            <v>3.2171500000000002</v>
          </cell>
          <cell r="S62">
            <v>6.9311500000000015</v>
          </cell>
          <cell r="T62">
            <v>10.632855000000001</v>
          </cell>
          <cell r="U62">
            <v>29.042577900000001</v>
          </cell>
          <cell r="V62">
            <v>41.557937170499997</v>
          </cell>
          <cell r="W62">
            <v>55.24550717463751</v>
          </cell>
          <cell r="X62">
            <v>70.206571292571567</v>
          </cell>
          <cell r="Y62">
            <v>85.059774859532268</v>
          </cell>
          <cell r="AA62">
            <v>1.1315374999999999</v>
          </cell>
          <cell r="AB62">
            <v>2.1285375000000002</v>
          </cell>
          <cell r="AC62">
            <v>1.9075374999999992</v>
          </cell>
          <cell r="AD62">
            <v>1.7635375000000026</v>
          </cell>
          <cell r="AE62">
            <v>2.6568982500000011</v>
          </cell>
          <cell r="AF62">
            <v>2.9</v>
          </cell>
          <cell r="AG62">
            <v>3.2</v>
          </cell>
          <cell r="AH62">
            <v>1.8759567499999994</v>
          </cell>
        </row>
        <row r="63">
          <cell r="D63" t="str">
            <v>% Satellite Service</v>
          </cell>
          <cell r="P63">
            <v>0.37</v>
          </cell>
          <cell r="Q63">
            <v>0.37</v>
          </cell>
          <cell r="R63">
            <v>0.37</v>
          </cell>
          <cell r="S63">
            <v>9.1429117914759481E-2</v>
          </cell>
          <cell r="T63">
            <v>4.5866087487728947E-2</v>
          </cell>
          <cell r="U63">
            <v>9.954763282955606E-2</v>
          </cell>
          <cell r="V63">
            <v>0.11133072666441193</v>
          </cell>
          <cell r="W63">
            <v>0.12301236274756333</v>
          </cell>
          <cell r="X63">
            <v>0.13737901118447982</v>
          </cell>
          <cell r="Y63">
            <v>0.15095075534587565</v>
          </cell>
          <cell r="AA63">
            <v>0.45243402638944419</v>
          </cell>
          <cell r="AB63">
            <v>0.60850128644939971</v>
          </cell>
          <cell r="AC63">
            <v>0.15537488800195481</v>
          </cell>
          <cell r="AD63">
            <v>3.0652625449741934E-2</v>
          </cell>
          <cell r="AE63">
            <v>4.6174804483837352E-2</v>
          </cell>
          <cell r="AF63">
            <v>5.0140188905403373E-2</v>
          </cell>
          <cell r="AG63">
            <v>5.4793118640999297E-2</v>
          </cell>
          <cell r="AH63">
            <v>3.2319249467900255E-2</v>
          </cell>
        </row>
        <row r="64">
          <cell r="D64" t="str">
            <v>% Change</v>
          </cell>
          <cell r="Q64">
            <v>1.8989234449760861E-2</v>
          </cell>
          <cell r="R64">
            <v>0.27586206896551735</v>
          </cell>
          <cell r="S64">
            <v>1.1544379341964164</v>
          </cell>
          <cell r="T64">
            <v>0.53406793966369204</v>
          </cell>
          <cell r="U64">
            <v>1.7313997886738792</v>
          </cell>
          <cell r="V64">
            <v>0.43093141778230359</v>
          </cell>
          <cell r="W64">
            <v>0.329361150626448</v>
          </cell>
          <cell r="X64">
            <v>0.2708105126203364</v>
          </cell>
          <cell r="Y64">
            <v>0.21156429225211704</v>
          </cell>
          <cell r="AE64">
            <v>1.3480425969090741</v>
          </cell>
          <cell r="AF64">
            <v>0.36243782409283343</v>
          </cell>
          <cell r="AG64">
            <v>0.67755548711362246</v>
          </cell>
          <cell r="AH64">
            <v>6.3746447126866723E-2</v>
          </cell>
        </row>
        <row r="66">
          <cell r="C66" t="str">
            <v>Managed Broadband</v>
          </cell>
          <cell r="J66">
            <v>0</v>
          </cell>
          <cell r="K66">
            <v>0</v>
          </cell>
          <cell r="L66">
            <v>0</v>
          </cell>
          <cell r="M66">
            <v>0</v>
          </cell>
          <cell r="N66">
            <v>0</v>
          </cell>
          <cell r="O66">
            <v>0</v>
          </cell>
          <cell r="P66">
            <v>4.2134400000000003</v>
          </cell>
          <cell r="Q66">
            <v>4.29345</v>
          </cell>
          <cell r="R66">
            <v>5.4778500000000001</v>
          </cell>
          <cell r="S66">
            <v>5.4778500000000001</v>
          </cell>
          <cell r="T66">
            <v>5.5874069999999998</v>
          </cell>
          <cell r="U66">
            <v>5.6991551400000002</v>
          </cell>
          <cell r="V66">
            <v>5.8131382428</v>
          </cell>
          <cell r="W66">
            <v>5.9294010076559998</v>
          </cell>
          <cell r="X66">
            <v>6.0479890278091197</v>
          </cell>
          <cell r="Y66">
            <v>6.1689488083653021</v>
          </cell>
          <cell r="AA66">
            <v>1.3694625</v>
          </cell>
          <cell r="AB66">
            <v>1.3694625</v>
          </cell>
          <cell r="AC66">
            <v>1.3694625</v>
          </cell>
          <cell r="AD66">
            <v>1.3694625</v>
          </cell>
          <cell r="AE66">
            <v>1.3968517499999999</v>
          </cell>
          <cell r="AF66">
            <v>1.3968517499999999</v>
          </cell>
          <cell r="AG66">
            <v>1.3968517499999999</v>
          </cell>
          <cell r="AH66">
            <v>1.3968517499999999</v>
          </cell>
        </row>
        <row r="67">
          <cell r="D67" t="str">
            <v>% Satellite Service</v>
          </cell>
          <cell r="P67">
            <v>0.63</v>
          </cell>
          <cell r="Q67">
            <v>0.63</v>
          </cell>
          <cell r="R67">
            <v>0.63</v>
          </cell>
          <cell r="S67">
            <v>7.2258570882085246E-2</v>
          </cell>
          <cell r="T67">
            <v>2.4101946118098017E-2</v>
          </cell>
          <cell r="U67">
            <v>1.953467785362804E-2</v>
          </cell>
          <cell r="V67">
            <v>1.557297952774734E-2</v>
          </cell>
          <cell r="W67">
            <v>1.3202695837760372E-2</v>
          </cell>
          <cell r="X67">
            <v>1.1834600906979671E-2</v>
          </cell>
          <cell r="Y67">
            <v>1.0947683365616452E-2</v>
          </cell>
          <cell r="AA67">
            <v>0.54756597361055581</v>
          </cell>
          <cell r="AB67">
            <v>0.39149871355060034</v>
          </cell>
          <cell r="AC67">
            <v>0.11154699845239066</v>
          </cell>
          <cell r="AD67">
            <v>2.3803078233361724E-2</v>
          </cell>
          <cell r="AE67">
            <v>2.4276186131386861E-2</v>
          </cell>
          <cell r="AF67">
            <v>2.4151176075118373E-2</v>
          </cell>
          <cell r="AG67">
            <v>2.3918082394261714E-2</v>
          </cell>
          <cell r="AH67">
            <v>2.4065160445688873E-2</v>
          </cell>
        </row>
        <row r="68">
          <cell r="D68" t="str">
            <v>% Change</v>
          </cell>
          <cell r="Q68">
            <v>1.8989234449760639E-2</v>
          </cell>
          <cell r="R68">
            <v>0.27586206896551735</v>
          </cell>
          <cell r="S68">
            <v>0</v>
          </cell>
          <cell r="T68">
            <v>2.0000000000000018E-2</v>
          </cell>
          <cell r="U68">
            <v>2.0000000000000018E-2</v>
          </cell>
          <cell r="V68">
            <v>2.0000000000000018E-2</v>
          </cell>
          <cell r="W68">
            <v>2.0000000000000018E-2</v>
          </cell>
          <cell r="X68">
            <v>2.0000000000000018E-2</v>
          </cell>
          <cell r="Y68">
            <v>2.0000000000000018E-2</v>
          </cell>
          <cell r="AE68">
            <v>0.02</v>
          </cell>
          <cell r="AF68">
            <v>0.02</v>
          </cell>
          <cell r="AG68">
            <v>0.02</v>
          </cell>
          <cell r="AH68">
            <v>0.02</v>
          </cell>
        </row>
        <row r="70">
          <cell r="C70" t="str">
            <v>Other Satellite Services</v>
          </cell>
          <cell r="J70">
            <v>0</v>
          </cell>
          <cell r="K70">
            <v>0</v>
          </cell>
          <cell r="L70">
            <v>0</v>
          </cell>
          <cell r="M70">
            <v>0</v>
          </cell>
          <cell r="N70">
            <v>0</v>
          </cell>
          <cell r="O70">
            <v>0</v>
          </cell>
          <cell r="P70">
            <v>6.6879999999999997</v>
          </cell>
          <cell r="Q70">
            <v>6.8150000000000004</v>
          </cell>
          <cell r="R70">
            <v>8.6950000000000003</v>
          </cell>
          <cell r="S70">
            <v>12.408999999999999</v>
          </cell>
          <cell r="T70">
            <v>16.220262000000002</v>
          </cell>
          <cell r="U70">
            <v>34.74173304</v>
          </cell>
          <cell r="V70">
            <v>47.371075413299998</v>
          </cell>
          <cell r="W70">
            <v>61.174908182293507</v>
          </cell>
          <cell r="X70">
            <v>76.254560320380691</v>
          </cell>
          <cell r="Y70">
            <v>91.228723667897569</v>
          </cell>
          <cell r="AA70">
            <v>2.5009999999999999</v>
          </cell>
          <cell r="AB70">
            <v>3.4980000000000002</v>
          </cell>
          <cell r="AC70">
            <v>3.2769999999999992</v>
          </cell>
          <cell r="AD70">
            <v>3.1330000000000027</v>
          </cell>
          <cell r="AE70">
            <v>4.0537500000000009</v>
          </cell>
          <cell r="AF70">
            <v>4.2968517500000001</v>
          </cell>
          <cell r="AG70">
            <v>4.5968517499999999</v>
          </cell>
          <cell r="AH70">
            <v>3.2728084999999991</v>
          </cell>
        </row>
        <row r="71">
          <cell r="D71" t="str">
            <v>% Change</v>
          </cell>
          <cell r="T71">
            <v>0.30713691675396926</v>
          </cell>
          <cell r="U71">
            <v>1.1418724950312145</v>
          </cell>
          <cell r="V71">
            <v>0.36352079381760172</v>
          </cell>
          <cell r="W71">
            <v>0.29139791842508855</v>
          </cell>
          <cell r="X71">
            <v>0.24650060925554196</v>
          </cell>
          <cell r="Y71">
            <v>0.19637072569304048</v>
          </cell>
        </row>
        <row r="73">
          <cell r="C73" t="str">
            <v>Satellite Services Revenue</v>
          </cell>
          <cell r="J73">
            <v>0</v>
          </cell>
          <cell r="K73">
            <v>0</v>
          </cell>
          <cell r="L73">
            <v>0</v>
          </cell>
          <cell r="M73">
            <v>0</v>
          </cell>
          <cell r="N73">
            <v>0</v>
          </cell>
          <cell r="O73">
            <v>0</v>
          </cell>
          <cell r="P73">
            <v>6.6879999999999997</v>
          </cell>
          <cell r="Q73">
            <v>6.8150000000000004</v>
          </cell>
          <cell r="R73">
            <v>8.6950000000000003</v>
          </cell>
          <cell r="S73">
            <v>75.808999999999997</v>
          </cell>
          <cell r="T73">
            <v>231.82389391387972</v>
          </cell>
          <cell r="U73">
            <v>291.74554004439523</v>
          </cell>
          <cell r="V73">
            <v>373.28362452685258</v>
          </cell>
          <cell r="W73">
            <v>449.1053251940877</v>
          </cell>
          <cell r="X73">
            <v>511.04292196640182</v>
          </cell>
          <cell r="Y73">
            <v>563.49353578677744</v>
          </cell>
          <cell r="AA73">
            <v>2.5009999999999999</v>
          </cell>
          <cell r="AB73">
            <v>3.4980000000000002</v>
          </cell>
          <cell r="AC73">
            <v>12.276999999999999</v>
          </cell>
          <cell r="AD73">
            <v>57.533000000000001</v>
          </cell>
          <cell r="AE73">
            <v>57.54</v>
          </cell>
          <cell r="AF73">
            <v>57.83783554288685</v>
          </cell>
          <cell r="AG73">
            <v>58.401494190651526</v>
          </cell>
          <cell r="AH73">
            <v>58.044564180341354</v>
          </cell>
        </row>
        <row r="74">
          <cell r="D74" t="str">
            <v>% Change</v>
          </cell>
          <cell r="Q74">
            <v>1.8989234449760861E-2</v>
          </cell>
          <cell r="R74">
            <v>0.27586206896551713</v>
          </cell>
          <cell r="S74">
            <v>7.7186889016676243</v>
          </cell>
          <cell r="T74">
            <v>2.0579996295146978</v>
          </cell>
          <cell r="U74">
            <v>0.25847916329442655</v>
          </cell>
          <cell r="V74">
            <v>0.27948356800947027</v>
          </cell>
          <cell r="W74">
            <v>0.20312088633231973</v>
          </cell>
          <cell r="X74">
            <v>0.13791329850196465</v>
          </cell>
          <cell r="Y74">
            <v>0.10263445899721102</v>
          </cell>
        </row>
        <row r="75">
          <cell r="D75" t="str">
            <v>Check</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AA75">
            <v>0</v>
          </cell>
          <cell r="AB75">
            <v>0</v>
          </cell>
          <cell r="AC75">
            <v>0</v>
          </cell>
          <cell r="AD75">
            <v>0</v>
          </cell>
          <cell r="AE75">
            <v>0</v>
          </cell>
          <cell r="AF75">
            <v>0</v>
          </cell>
          <cell r="AG75">
            <v>0</v>
          </cell>
          <cell r="AH75">
            <v>0</v>
          </cell>
        </row>
        <row r="77">
          <cell r="B77" t="str">
            <v>Operating Profit Build</v>
          </cell>
        </row>
        <row r="79">
          <cell r="C79" t="str">
            <v>Uplink/Direct Network Expense</v>
          </cell>
          <cell r="J79">
            <v>0</v>
          </cell>
          <cell r="K79">
            <v>0</v>
          </cell>
          <cell r="L79">
            <v>0</v>
          </cell>
          <cell r="M79">
            <v>0</v>
          </cell>
          <cell r="N79">
            <v>0</v>
          </cell>
          <cell r="O79">
            <v>0</v>
          </cell>
          <cell r="P79">
            <v>17.662284875781054</v>
          </cell>
          <cell r="Q79">
            <v>36.773835857172834</v>
          </cell>
          <cell r="R79">
            <v>52.787983055885846</v>
          </cell>
          <cell r="S79">
            <v>60.546443888578018</v>
          </cell>
          <cell r="T79">
            <v>64.68108957416392</v>
          </cell>
          <cell r="U79">
            <v>70.676046926208684</v>
          </cell>
          <cell r="V79">
            <v>78.219011787252612</v>
          </cell>
          <cell r="W79">
            <v>87.284343827653686</v>
          </cell>
          <cell r="X79">
            <v>97.827381370354743</v>
          </cell>
          <cell r="Y79">
            <v>106.25958272674796</v>
          </cell>
          <cell r="AA79">
            <v>14.49081887808631</v>
          </cell>
          <cell r="AB79">
            <v>14.961300010491708</v>
          </cell>
          <cell r="AC79">
            <v>15.276599999999998</v>
          </cell>
          <cell r="AD79">
            <v>15.817725000000001</v>
          </cell>
          <cell r="AE79">
            <v>16.045874999999999</v>
          </cell>
          <cell r="AF79">
            <v>16.062295137866055</v>
          </cell>
          <cell r="AG79">
            <v>16.141392732195456</v>
          </cell>
          <cell r="AH79">
            <v>16.431526704102406</v>
          </cell>
        </row>
        <row r="80">
          <cell r="D80" t="str">
            <v>% of Service Rev.</v>
          </cell>
          <cell r="P80">
            <v>0.30000000000000004</v>
          </cell>
          <cell r="Q80">
            <v>0.30000000000000004</v>
          </cell>
          <cell r="R80">
            <v>0.3</v>
          </cell>
          <cell r="S80">
            <v>0.3</v>
          </cell>
          <cell r="T80">
            <v>0.3</v>
          </cell>
          <cell r="U80">
            <v>0.27499999999999997</v>
          </cell>
          <cell r="V80">
            <v>0.23999999999999996</v>
          </cell>
          <cell r="W80">
            <v>0.22499999999999998</v>
          </cell>
          <cell r="X80">
            <v>0.22499999999999998</v>
          </cell>
          <cell r="Y80">
            <v>0.22499999999999998</v>
          </cell>
          <cell r="AA80">
            <v>0.3</v>
          </cell>
          <cell r="AB80">
            <v>0.3</v>
          </cell>
          <cell r="AC80">
            <v>0.3</v>
          </cell>
          <cell r="AD80">
            <v>0.3</v>
          </cell>
          <cell r="AE80">
            <v>0.3</v>
          </cell>
          <cell r="AF80">
            <v>0.3</v>
          </cell>
          <cell r="AG80">
            <v>0.3</v>
          </cell>
          <cell r="AH80">
            <v>0.3</v>
          </cell>
        </row>
        <row r="82">
          <cell r="C82" t="str">
            <v>WildBlue Gross Margin</v>
          </cell>
          <cell r="J82">
            <v>0</v>
          </cell>
          <cell r="K82">
            <v>0</v>
          </cell>
          <cell r="L82">
            <v>0</v>
          </cell>
          <cell r="M82">
            <v>0</v>
          </cell>
          <cell r="N82">
            <v>0</v>
          </cell>
          <cell r="O82">
            <v>0</v>
          </cell>
          <cell r="P82">
            <v>41.211998043489118</v>
          </cell>
          <cell r="Q82">
            <v>85.80561700006993</v>
          </cell>
          <cell r="R82">
            <v>123.17196046373364</v>
          </cell>
          <cell r="S82">
            <v>141.2750357400154</v>
          </cell>
          <cell r="T82">
            <v>150.92254233971579</v>
          </cell>
          <cell r="U82">
            <v>186.32776007818654</v>
          </cell>
          <cell r="V82">
            <v>247.69353732629997</v>
          </cell>
          <cell r="W82">
            <v>300.6460731841405</v>
          </cell>
          <cell r="X82">
            <v>336.96098027566643</v>
          </cell>
          <cell r="Y82">
            <v>366.00522939213192</v>
          </cell>
          <cell r="AA82">
            <v>33.811910715534729</v>
          </cell>
          <cell r="AB82">
            <v>34.909700024480657</v>
          </cell>
          <cell r="AC82">
            <v>35.645399999999995</v>
          </cell>
          <cell r="AD82">
            <v>36.908025000000002</v>
          </cell>
          <cell r="AE82">
            <v>37.440375000000003</v>
          </cell>
          <cell r="AF82">
            <v>37.47868865502079</v>
          </cell>
          <cell r="AG82">
            <v>37.663249708456071</v>
          </cell>
          <cell r="AH82">
            <v>38.340228976238947</v>
          </cell>
        </row>
        <row r="83">
          <cell r="D83" t="str">
            <v>Gross Margin %</v>
          </cell>
          <cell r="P83">
            <v>0.7</v>
          </cell>
          <cell r="Q83">
            <v>0.7</v>
          </cell>
          <cell r="R83">
            <v>0.7</v>
          </cell>
          <cell r="S83">
            <v>0.70000000000000007</v>
          </cell>
          <cell r="T83">
            <v>0.7</v>
          </cell>
          <cell r="U83">
            <v>0.72499999999999998</v>
          </cell>
          <cell r="V83">
            <v>0.76</v>
          </cell>
          <cell r="W83">
            <v>0.77500000000000002</v>
          </cell>
          <cell r="X83">
            <v>0.77500000000000013</v>
          </cell>
          <cell r="Y83">
            <v>0.77500000000000002</v>
          </cell>
          <cell r="AA83">
            <v>0.70000000000000007</v>
          </cell>
          <cell r="AB83">
            <v>0.70000000000000007</v>
          </cell>
          <cell r="AC83">
            <v>0.7</v>
          </cell>
          <cell r="AD83">
            <v>0.7</v>
          </cell>
          <cell r="AE83">
            <v>0.70000000000000007</v>
          </cell>
          <cell r="AF83">
            <v>0.7</v>
          </cell>
          <cell r="AG83">
            <v>0.70000000000000007</v>
          </cell>
          <cell r="AH83">
            <v>0.7</v>
          </cell>
        </row>
        <row r="85">
          <cell r="C85" t="str">
            <v>WildBlue SG&amp;A</v>
          </cell>
          <cell r="J85">
            <v>0</v>
          </cell>
          <cell r="K85">
            <v>0</v>
          </cell>
          <cell r="L85">
            <v>0</v>
          </cell>
          <cell r="M85">
            <v>0</v>
          </cell>
          <cell r="N85">
            <v>0</v>
          </cell>
          <cell r="O85">
            <v>0</v>
          </cell>
          <cell r="P85">
            <v>32.152949082203023</v>
          </cell>
          <cell r="Q85">
            <v>42.13308016399256</v>
          </cell>
          <cell r="R85">
            <v>46.278129422218328</v>
          </cell>
          <cell r="S85">
            <v>50.904672306550438</v>
          </cell>
          <cell r="T85">
            <v>53.092935896990625</v>
          </cell>
          <cell r="U85">
            <v>60.186096526643276</v>
          </cell>
          <cell r="V85">
            <v>67.203275902874694</v>
          </cell>
          <cell r="W85">
            <v>73.339579008857299</v>
          </cell>
          <cell r="X85">
            <v>79.187333289298635</v>
          </cell>
          <cell r="Y85">
            <v>84.405603171387185</v>
          </cell>
          <cell r="AA85">
            <v>11.319286190992866</v>
          </cell>
          <cell r="AB85">
            <v>12.640941611994647</v>
          </cell>
          <cell r="AC85">
            <v>13.096599653073723</v>
          </cell>
          <cell r="AD85">
            <v>13.847844850489206</v>
          </cell>
          <cell r="AE85">
            <v>12.1</v>
          </cell>
          <cell r="AF85">
            <v>13.039553679609019</v>
          </cell>
          <cell r="AG85">
            <v>13.748475699885304</v>
          </cell>
          <cell r="AH85">
            <v>14.204906517496294</v>
          </cell>
        </row>
        <row r="86">
          <cell r="D86" t="str">
            <v>% of Service Rev.</v>
          </cell>
          <cell r="P86">
            <v>0.54612892909951727</v>
          </cell>
          <cell r="Q86">
            <v>0.34372057618058677</v>
          </cell>
          <cell r="R86">
            <v>0.26300377515782919</v>
          </cell>
          <cell r="S86">
            <v>0.252226236772364</v>
          </cell>
          <cell r="T86">
            <v>0.24625251173040516</v>
          </cell>
          <cell r="U86">
            <v>0.23418367699749282</v>
          </cell>
          <cell r="V86">
            <v>0.20620033222304709</v>
          </cell>
          <cell r="W86">
            <v>0.18905343791752108</v>
          </cell>
          <cell r="X86">
            <v>0.18212845668065111</v>
          </cell>
          <cell r="Y86">
            <v>0.17872515801609279</v>
          </cell>
          <cell r="AA86">
            <v>0.23434050800490819</v>
          </cell>
          <cell r="AB86">
            <v>0.25347279186561539</v>
          </cell>
          <cell r="AC86">
            <v>0.25718942015383772</v>
          </cell>
          <cell r="AD86">
            <v>0.26263912510470133</v>
          </cell>
          <cell r="AE86">
            <v>0.22622636658954404</v>
          </cell>
          <cell r="AF86">
            <v>0.24354340835517821</v>
          </cell>
          <cell r="AG86">
            <v>0.25552582595545303</v>
          </cell>
          <cell r="AH86">
            <v>0.25934729206781132</v>
          </cell>
        </row>
        <row r="88">
          <cell r="C88" t="str">
            <v>WildBlue EBITDA</v>
          </cell>
          <cell r="J88">
            <v>0</v>
          </cell>
          <cell r="K88">
            <v>0</v>
          </cell>
          <cell r="L88">
            <v>0</v>
          </cell>
          <cell r="M88">
            <v>0</v>
          </cell>
          <cell r="N88">
            <v>0</v>
          </cell>
          <cell r="O88">
            <v>0</v>
          </cell>
          <cell r="P88">
            <v>9.0590489612860949</v>
          </cell>
          <cell r="Q88">
            <v>43.67253683607737</v>
          </cell>
          <cell r="R88">
            <v>76.893831041515313</v>
          </cell>
          <cell r="S88">
            <v>90.370363433464959</v>
          </cell>
          <cell r="T88">
            <v>97.829606442725165</v>
          </cell>
          <cell r="U88">
            <v>126.14166355154327</v>
          </cell>
          <cell r="V88">
            <v>180.4902614234253</v>
          </cell>
          <cell r="W88">
            <v>227.30649417528321</v>
          </cell>
          <cell r="X88">
            <v>257.77364698636779</v>
          </cell>
          <cell r="Y88">
            <v>281.59962622074477</v>
          </cell>
          <cell r="AA88">
            <v>22.492624524541863</v>
          </cell>
          <cell r="AB88">
            <v>22.268758412486008</v>
          </cell>
          <cell r="AC88">
            <v>22.548800346926271</v>
          </cell>
          <cell r="AD88">
            <v>23.060180149510796</v>
          </cell>
          <cell r="AE88">
            <v>25.340375000000002</v>
          </cell>
          <cell r="AF88">
            <v>24.439134975411768</v>
          </cell>
          <cell r="AG88">
            <v>23.914774008570767</v>
          </cell>
          <cell r="AH88">
            <v>24.135322458742653</v>
          </cell>
        </row>
        <row r="89">
          <cell r="D89" t="str">
            <v>% Margins</v>
          </cell>
          <cell r="P89">
            <v>0.15387107090048263</v>
          </cell>
          <cell r="Q89">
            <v>0.35627942381941313</v>
          </cell>
          <cell r="R89">
            <v>0.43699622484217082</v>
          </cell>
          <cell r="S89">
            <v>0.44777376322763607</v>
          </cell>
          <cell r="T89">
            <v>0.45374748826959477</v>
          </cell>
          <cell r="U89">
            <v>0.49081632300250722</v>
          </cell>
          <cell r="V89">
            <v>0.553799667776953</v>
          </cell>
          <cell r="W89">
            <v>0.58594656208247897</v>
          </cell>
          <cell r="X89">
            <v>0.59287154331934899</v>
          </cell>
          <cell r="Y89">
            <v>0.59627484198390723</v>
          </cell>
          <cell r="AA89">
            <v>0.46565949199509188</v>
          </cell>
          <cell r="AB89">
            <v>0.44652720813438468</v>
          </cell>
          <cell r="AC89">
            <v>0.44281057984616223</v>
          </cell>
          <cell r="AD89">
            <v>0.43736087489529868</v>
          </cell>
          <cell r="AE89">
            <v>0.47377363341045603</v>
          </cell>
          <cell r="AF89">
            <v>0.45645659164482166</v>
          </cell>
          <cell r="AG89">
            <v>0.44447417404454698</v>
          </cell>
          <cell r="AH89">
            <v>0.44065270793218864</v>
          </cell>
        </row>
        <row r="91">
          <cell r="C91" t="str">
            <v>Wholesale Broadband EBITDA</v>
          </cell>
          <cell r="J91">
            <v>0</v>
          </cell>
          <cell r="K91">
            <v>0</v>
          </cell>
          <cell r="L91">
            <v>0</v>
          </cell>
          <cell r="M91">
            <v>0</v>
          </cell>
          <cell r="N91">
            <v>0</v>
          </cell>
          <cell r="O91">
            <v>0</v>
          </cell>
          <cell r="P91">
            <v>0</v>
          </cell>
          <cell r="Q91">
            <v>0</v>
          </cell>
          <cell r="R91">
            <v>0</v>
          </cell>
          <cell r="S91">
            <v>26.818313540665173</v>
          </cell>
          <cell r="T91">
            <v>97.829606442725179</v>
          </cell>
          <cell r="U91">
            <v>126.14166355154327</v>
          </cell>
          <cell r="V91">
            <v>180.4902614234253</v>
          </cell>
          <cell r="W91">
            <v>227.30649417528321</v>
          </cell>
          <cell r="X91">
            <v>257.77364698636779</v>
          </cell>
          <cell r="Y91">
            <v>281.59962622074477</v>
          </cell>
          <cell r="AA91">
            <v>0</v>
          </cell>
          <cell r="AB91">
            <v>0</v>
          </cell>
          <cell r="AC91">
            <v>3.7581333911543782</v>
          </cell>
          <cell r="AD91">
            <v>23.060180149510796</v>
          </cell>
          <cell r="AE91">
            <v>25.340375000000002</v>
          </cell>
          <cell r="AF91">
            <v>24.439134975411768</v>
          </cell>
          <cell r="AG91">
            <v>23.914774008570767</v>
          </cell>
          <cell r="AH91">
            <v>24.135322458742653</v>
          </cell>
        </row>
        <row r="92">
          <cell r="D92" t="str">
            <v>% Margins</v>
          </cell>
          <cell r="S92">
            <v>0.42300179086222672</v>
          </cell>
          <cell r="T92">
            <v>0.45374748826959482</v>
          </cell>
          <cell r="U92">
            <v>0.49081632300250722</v>
          </cell>
          <cell r="V92">
            <v>0.553799667776953</v>
          </cell>
          <cell r="W92">
            <v>0.58594656208247897</v>
          </cell>
          <cell r="X92">
            <v>0.59287154331934899</v>
          </cell>
          <cell r="Y92">
            <v>0.59627484198390723</v>
          </cell>
        </row>
        <row r="94">
          <cell r="C94" t="str">
            <v>Other Satellite Services EBITDA</v>
          </cell>
          <cell r="J94">
            <v>0</v>
          </cell>
          <cell r="K94">
            <v>0</v>
          </cell>
          <cell r="L94">
            <v>0</v>
          </cell>
          <cell r="M94">
            <v>0</v>
          </cell>
          <cell r="N94">
            <v>0</v>
          </cell>
          <cell r="O94">
            <v>0</v>
          </cell>
          <cell r="P94">
            <v>-1.6990000000000001</v>
          </cell>
          <cell r="Q94">
            <v>-2.851</v>
          </cell>
          <cell r="R94">
            <v>-3.9780000000000002</v>
          </cell>
          <cell r="S94">
            <v>-13.09594895733184</v>
          </cell>
          <cell r="T94">
            <v>0.33427343749999849</v>
          </cell>
          <cell r="U94">
            <v>0</v>
          </cell>
          <cell r="V94">
            <v>0.23685537706650001</v>
          </cell>
          <cell r="W94">
            <v>0.61174908182293508</v>
          </cell>
          <cell r="X94">
            <v>1.1438184048057103</v>
          </cell>
          <cell r="Y94">
            <v>1.8245744733579514</v>
          </cell>
          <cell r="AA94">
            <v>-0.70699999999999996</v>
          </cell>
          <cell r="AB94">
            <v>-0.83499999999999908</v>
          </cell>
          <cell r="AC94">
            <v>-0.97408130782104596</v>
          </cell>
          <cell r="AD94">
            <v>-10.579867649510797</v>
          </cell>
          <cell r="AE94">
            <v>0.33427343749999849</v>
          </cell>
          <cell r="AF94">
            <v>0</v>
          </cell>
          <cell r="AG94">
            <v>0</v>
          </cell>
          <cell r="AH94">
            <v>0</v>
          </cell>
        </row>
        <row r="95">
          <cell r="D95" t="str">
            <v>% Margins</v>
          </cell>
          <cell r="U95">
            <v>0</v>
          </cell>
          <cell r="V95">
            <v>5.0000000000000001E-3</v>
          </cell>
          <cell r="W95">
            <v>0.01</v>
          </cell>
          <cell r="X95">
            <v>1.4999999999999999E-2</v>
          </cell>
          <cell r="Y95">
            <v>0.02</v>
          </cell>
          <cell r="AE95">
            <v>-1.4728054278642129</v>
          </cell>
          <cell r="AF95">
            <v>0</v>
          </cell>
          <cell r="AG95">
            <v>0</v>
          </cell>
          <cell r="AH95">
            <v>0</v>
          </cell>
        </row>
        <row r="97">
          <cell r="C97" t="str">
            <v>Transaction Related Expenses</v>
          </cell>
          <cell r="J97">
            <v>0</v>
          </cell>
          <cell r="K97">
            <v>0</v>
          </cell>
          <cell r="L97">
            <v>0</v>
          </cell>
          <cell r="M97">
            <v>0</v>
          </cell>
          <cell r="N97">
            <v>0</v>
          </cell>
          <cell r="O97">
            <v>0</v>
          </cell>
          <cell r="P97">
            <v>0</v>
          </cell>
          <cell r="Q97">
            <v>0</v>
          </cell>
          <cell r="R97">
            <v>0</v>
          </cell>
          <cell r="S97">
            <v>-11.4</v>
          </cell>
          <cell r="T97">
            <v>-0.5</v>
          </cell>
          <cell r="U97">
            <v>0</v>
          </cell>
          <cell r="V97">
            <v>0</v>
          </cell>
          <cell r="W97">
            <v>0</v>
          </cell>
          <cell r="X97">
            <v>0</v>
          </cell>
          <cell r="Y97">
            <v>0</v>
          </cell>
          <cell r="AA97">
            <v>0</v>
          </cell>
          <cell r="AB97">
            <v>-2.5000000000000009</v>
          </cell>
          <cell r="AC97">
            <v>-7.3</v>
          </cell>
          <cell r="AD97">
            <v>-1.6</v>
          </cell>
          <cell r="AE97">
            <v>-0.5</v>
          </cell>
          <cell r="AF97">
            <v>0</v>
          </cell>
          <cell r="AG97">
            <v>0</v>
          </cell>
          <cell r="AH97">
            <v>0</v>
          </cell>
        </row>
        <row r="99">
          <cell r="C99" t="str">
            <v>Total Satellite Services EBITDA</v>
          </cell>
          <cell r="P99">
            <v>-1.6990000000000001</v>
          </cell>
          <cell r="Q99">
            <v>-2.851</v>
          </cell>
          <cell r="R99">
            <v>-3.9780000000000002</v>
          </cell>
          <cell r="S99">
            <v>2.3223645833333322</v>
          </cell>
          <cell r="T99">
            <v>97.663879880225181</v>
          </cell>
          <cell r="U99">
            <v>126.14166355154327</v>
          </cell>
          <cell r="V99">
            <v>180.72711680049179</v>
          </cell>
          <cell r="W99">
            <v>227.91824325710613</v>
          </cell>
          <cell r="X99">
            <v>258.91746539117349</v>
          </cell>
          <cell r="Y99">
            <v>283.42420069410269</v>
          </cell>
          <cell r="AA99">
            <v>-0.70699999999999996</v>
          </cell>
          <cell r="AB99">
            <v>-3.335</v>
          </cell>
          <cell r="AC99">
            <v>-4.5159479166666667</v>
          </cell>
          <cell r="AD99">
            <v>10.880312499999999</v>
          </cell>
          <cell r="AE99">
            <v>25.1746484375</v>
          </cell>
          <cell r="AF99">
            <v>24.439134975411768</v>
          </cell>
          <cell r="AG99">
            <v>23.914774008570767</v>
          </cell>
          <cell r="AH99">
            <v>24.135322458742653</v>
          </cell>
        </row>
        <row r="100">
          <cell r="D100" t="str">
            <v>% Margins</v>
          </cell>
          <cell r="T100">
            <v>0.42128478747969933</v>
          </cell>
          <cell r="U100">
            <v>0.43236878113834459</v>
          </cell>
          <cell r="V100">
            <v>0.48415495597903191</v>
          </cell>
          <cell r="W100">
            <v>0.50749396738639829</v>
          </cell>
          <cell r="X100">
            <v>0.5066452430158026</v>
          </cell>
          <cell r="Y100">
            <v>0.50297684479800087</v>
          </cell>
        </row>
        <row r="102">
          <cell r="C102" t="str">
            <v>Satellite Depreciation Expense</v>
          </cell>
          <cell r="J102">
            <v>0</v>
          </cell>
          <cell r="K102">
            <v>0</v>
          </cell>
          <cell r="L102">
            <v>0</v>
          </cell>
          <cell r="M102">
            <v>0</v>
          </cell>
          <cell r="N102">
            <v>0</v>
          </cell>
          <cell r="O102">
            <v>0</v>
          </cell>
          <cell r="P102">
            <v>0</v>
          </cell>
          <cell r="Q102">
            <v>0</v>
          </cell>
          <cell r="R102">
            <v>0</v>
          </cell>
          <cell r="S102">
            <v>11.627364583333332</v>
          </cell>
          <cell r="T102">
            <v>54.854593749999999</v>
          </cell>
          <cell r="U102">
            <v>72.916268312914454</v>
          </cell>
          <cell r="V102">
            <v>80.076737120226085</v>
          </cell>
          <cell r="W102">
            <v>80.548764163194846</v>
          </cell>
          <cell r="X102">
            <v>79.829262509542488</v>
          </cell>
          <cell r="Y102">
            <v>78.34144649765372</v>
          </cell>
          <cell r="AA102">
            <v>0</v>
          </cell>
          <cell r="AB102">
            <v>0</v>
          </cell>
          <cell r="AC102">
            <v>1.6610520833333333</v>
          </cell>
          <cell r="AD102">
            <v>9.966312499999999</v>
          </cell>
          <cell r="AE102">
            <v>13.7136484375</v>
          </cell>
          <cell r="AF102">
            <v>13.7136484375</v>
          </cell>
          <cell r="AG102">
            <v>13.7136484375</v>
          </cell>
          <cell r="AH102">
            <v>13.7136484375</v>
          </cell>
        </row>
        <row r="104">
          <cell r="C104" t="str">
            <v>Satellite Services EBITA</v>
          </cell>
          <cell r="N104">
            <v>0</v>
          </cell>
          <cell r="O104">
            <v>0</v>
          </cell>
          <cell r="P104">
            <v>-1.6990000000000001</v>
          </cell>
          <cell r="Q104">
            <v>-2.851</v>
          </cell>
          <cell r="R104">
            <v>-3.9780000000000002</v>
          </cell>
          <cell r="S104">
            <v>-9.3049999999999997</v>
          </cell>
          <cell r="T104">
            <v>42.809286130225182</v>
          </cell>
          <cell r="U104">
            <v>53.22539523862882</v>
          </cell>
          <cell r="V104">
            <v>100.6503796802657</v>
          </cell>
          <cell r="W104">
            <v>147.36947909391128</v>
          </cell>
          <cell r="X104">
            <v>179.08820288163099</v>
          </cell>
          <cell r="Y104">
            <v>205.08275419644897</v>
          </cell>
          <cell r="AA104">
            <v>-0.70699999999999996</v>
          </cell>
          <cell r="AB104">
            <v>-3.335</v>
          </cell>
          <cell r="AC104">
            <v>-6.1769999999999996</v>
          </cell>
          <cell r="AD104">
            <v>0.91400000000000003</v>
          </cell>
          <cell r="AE104">
            <v>11.461</v>
          </cell>
          <cell r="AF104">
            <v>10.725486537911769</v>
          </cell>
          <cell r="AG104">
            <v>10.201125571070767</v>
          </cell>
          <cell r="AH104">
            <v>10.421674021242653</v>
          </cell>
        </row>
        <row r="105">
          <cell r="D105" t="str">
            <v>% Margin</v>
          </cell>
          <cell r="P105">
            <v>-0.25403708133971292</v>
          </cell>
          <cell r="Q105">
            <v>-0.41834189288334556</v>
          </cell>
          <cell r="R105">
            <v>-0.45750431282346177</v>
          </cell>
          <cell r="S105">
            <v>-0.12274268226727697</v>
          </cell>
          <cell r="T105">
            <v>0.18466295862551774</v>
          </cell>
          <cell r="U105">
            <v>0.18243773402852861</v>
          </cell>
          <cell r="V105">
            <v>0.2696351328238491</v>
          </cell>
          <cell r="W105">
            <v>0.32814012844364143</v>
          </cell>
          <cell r="X105">
            <v>0.35043671516382929</v>
          </cell>
          <cell r="Y105">
            <v>0.36394872553436186</v>
          </cell>
          <cell r="AA105">
            <v>-0.28268692522990801</v>
          </cell>
          <cell r="AB105">
            <v>-0.95340194396798161</v>
          </cell>
          <cell r="AC105">
            <v>-0.50313594526350081</v>
          </cell>
          <cell r="AD105">
            <v>1.5886534684441973E-2</v>
          </cell>
          <cell r="AE105">
            <v>0.19918317692040322</v>
          </cell>
          <cell r="AF105">
            <v>0.18544066245284718</v>
          </cell>
          <cell r="AG105">
            <v>0.17467233865231629</v>
          </cell>
          <cell r="AH105">
            <v>0.17954608098810201</v>
          </cell>
        </row>
        <row r="110">
          <cell r="B110" t="str">
            <v>Satellite Capex</v>
          </cell>
        </row>
        <row r="111">
          <cell r="C111" t="str">
            <v>WildBlue-1</v>
          </cell>
          <cell r="P111">
            <v>0</v>
          </cell>
          <cell r="Q111">
            <v>0</v>
          </cell>
          <cell r="R111">
            <v>0</v>
          </cell>
          <cell r="S111">
            <v>0</v>
          </cell>
          <cell r="T111">
            <v>0</v>
          </cell>
          <cell r="U111">
            <v>0</v>
          </cell>
          <cell r="V111">
            <v>0</v>
          </cell>
          <cell r="W111">
            <v>0</v>
          </cell>
          <cell r="X111">
            <v>0</v>
          </cell>
          <cell r="Y111">
            <v>0</v>
          </cell>
        </row>
        <row r="112">
          <cell r="C112" t="str">
            <v>Anik F2</v>
          </cell>
          <cell r="P112">
            <v>0</v>
          </cell>
          <cell r="Q112">
            <v>0</v>
          </cell>
          <cell r="R112">
            <v>0</v>
          </cell>
          <cell r="S112">
            <v>0</v>
          </cell>
          <cell r="T112">
            <v>0</v>
          </cell>
          <cell r="U112">
            <v>0</v>
          </cell>
          <cell r="V112">
            <v>0</v>
          </cell>
          <cell r="W112">
            <v>0</v>
          </cell>
          <cell r="X112">
            <v>0</v>
          </cell>
          <cell r="Y112">
            <v>0</v>
          </cell>
        </row>
        <row r="113">
          <cell r="C113" t="str">
            <v>ViaSat-1</v>
          </cell>
          <cell r="P113">
            <v>0</v>
          </cell>
          <cell r="Q113">
            <v>8.1359999999999992</v>
          </cell>
          <cell r="R113">
            <v>102.452</v>
          </cell>
          <cell r="S113">
            <v>98.843999999999994</v>
          </cell>
          <cell r="T113">
            <v>102</v>
          </cell>
          <cell r="U113">
            <v>34</v>
          </cell>
          <cell r="V113">
            <v>0</v>
          </cell>
          <cell r="W113">
            <v>0</v>
          </cell>
          <cell r="X113">
            <v>0</v>
          </cell>
          <cell r="Y113">
            <v>0</v>
          </cell>
        </row>
        <row r="114">
          <cell r="C114" t="str">
            <v>Total Satellite Capital Expenditures</v>
          </cell>
          <cell r="P114">
            <v>0</v>
          </cell>
          <cell r="Q114">
            <v>8.1359999999999992</v>
          </cell>
          <cell r="R114">
            <v>102.452</v>
          </cell>
          <cell r="S114">
            <v>98.843999999999994</v>
          </cell>
          <cell r="T114">
            <v>102</v>
          </cell>
          <cell r="U114">
            <v>34</v>
          </cell>
          <cell r="V114">
            <v>0</v>
          </cell>
          <cell r="W114">
            <v>0</v>
          </cell>
          <cell r="X114">
            <v>0</v>
          </cell>
          <cell r="Y114">
            <v>0</v>
          </cell>
        </row>
        <row r="115">
          <cell r="C115" t="str">
            <v>Non-Satellite CapEx</v>
          </cell>
          <cell r="Q115">
            <v>0</v>
          </cell>
          <cell r="R115">
            <v>0</v>
          </cell>
          <cell r="S115">
            <v>3.5581896551724164</v>
          </cell>
          <cell r="T115">
            <v>24.547499999999999</v>
          </cell>
          <cell r="U115">
            <v>33.478687499999999</v>
          </cell>
          <cell r="V115">
            <v>32.554753125000005</v>
          </cell>
          <cell r="W115">
            <v>28.341612374999997</v>
          </cell>
          <cell r="X115">
            <v>23.872172229375</v>
          </cell>
          <cell r="Y115">
            <v>60.899994532534365</v>
          </cell>
        </row>
        <row r="116">
          <cell r="C116" t="str">
            <v>Total Capital Expenditures</v>
          </cell>
          <cell r="P116">
            <v>0</v>
          </cell>
          <cell r="Q116">
            <v>8.1359999999999992</v>
          </cell>
          <cell r="R116">
            <v>102.452</v>
          </cell>
          <cell r="S116">
            <v>102.40218965517241</v>
          </cell>
          <cell r="T116">
            <v>126.5475</v>
          </cell>
          <cell r="U116">
            <v>67.478687500000007</v>
          </cell>
          <cell r="V116">
            <v>32.554753125000005</v>
          </cell>
          <cell r="W116">
            <v>28.341612374999997</v>
          </cell>
          <cell r="X116">
            <v>23.872172229375</v>
          </cell>
          <cell r="Y116">
            <v>60.899994532534365</v>
          </cell>
        </row>
        <row r="121">
          <cell r="B121" t="str">
            <v>Mobile Broadband Build - Maritime</v>
          </cell>
        </row>
        <row r="123">
          <cell r="C123" t="str">
            <v>Service Revenue Model</v>
          </cell>
        </row>
        <row r="125">
          <cell r="C125" t="str">
            <v>BOP Subs</v>
          </cell>
          <cell r="T125">
            <v>500</v>
          </cell>
          <cell r="U125">
            <v>625</v>
          </cell>
          <cell r="V125">
            <v>750</v>
          </cell>
          <cell r="W125">
            <v>875.02499999999998</v>
          </cell>
          <cell r="X125">
            <v>1000.075</v>
          </cell>
          <cell r="Y125">
            <v>1125.1500000000001</v>
          </cell>
        </row>
        <row r="126">
          <cell r="C126" t="str">
            <v>Additions</v>
          </cell>
          <cell r="T126">
            <v>250</v>
          </cell>
          <cell r="U126">
            <v>250</v>
          </cell>
          <cell r="V126">
            <v>250.05</v>
          </cell>
          <cell r="W126">
            <v>250.10000000000002</v>
          </cell>
          <cell r="X126">
            <v>250.15000000000003</v>
          </cell>
          <cell r="Y126">
            <v>250.20000000000005</v>
          </cell>
        </row>
        <row r="127">
          <cell r="C127" t="str">
            <v>Disconnects</v>
          </cell>
        </row>
        <row r="128">
          <cell r="C128" t="str">
            <v>Net Additions</v>
          </cell>
          <cell r="T128">
            <v>250</v>
          </cell>
          <cell r="U128">
            <v>250</v>
          </cell>
          <cell r="V128">
            <v>250.05</v>
          </cell>
          <cell r="W128">
            <v>250.10000000000002</v>
          </cell>
          <cell r="X128">
            <v>250.15000000000003</v>
          </cell>
          <cell r="Y128">
            <v>250.20000000000005</v>
          </cell>
        </row>
        <row r="129">
          <cell r="C129" t="str">
            <v>EOP Subs</v>
          </cell>
          <cell r="T129">
            <v>750</v>
          </cell>
          <cell r="U129">
            <v>875</v>
          </cell>
          <cell r="V129">
            <v>1000.05</v>
          </cell>
          <cell r="W129">
            <v>1125.125</v>
          </cell>
          <cell r="X129">
            <v>1250.2250000000001</v>
          </cell>
          <cell r="Y129">
            <v>1375.3500000000001</v>
          </cell>
        </row>
        <row r="130">
          <cell r="C130" t="str">
            <v>Avg. Subs</v>
          </cell>
          <cell r="S130">
            <v>500</v>
          </cell>
          <cell r="T130">
            <v>625</v>
          </cell>
          <cell r="U130">
            <v>750</v>
          </cell>
          <cell r="V130">
            <v>875.02499999999998</v>
          </cell>
          <cell r="W130">
            <v>1000.075</v>
          </cell>
          <cell r="X130">
            <v>1125.1500000000001</v>
          </cell>
          <cell r="Y130">
            <v>1250.25</v>
          </cell>
        </row>
        <row r="131">
          <cell r="D131" t="str">
            <v>Y/Y Chg.</v>
          </cell>
          <cell r="T131">
            <v>0.25</v>
          </cell>
          <cell r="U131">
            <v>0.19999999999999996</v>
          </cell>
          <cell r="V131">
            <v>0.16670000000000007</v>
          </cell>
          <cell r="W131">
            <v>0.14291020256564102</v>
          </cell>
          <cell r="X131">
            <v>0.12506562007849409</v>
          </cell>
          <cell r="Y131">
            <v>0.11118517530995864</v>
          </cell>
        </row>
        <row r="133">
          <cell r="C133" t="str">
            <v>ARPU (Monthly $)</v>
          </cell>
          <cell r="T133">
            <v>2000</v>
          </cell>
          <cell r="U133">
            <v>2000</v>
          </cell>
          <cell r="V133">
            <v>2000</v>
          </cell>
          <cell r="W133">
            <v>2000</v>
          </cell>
          <cell r="X133">
            <v>2000</v>
          </cell>
          <cell r="Y133">
            <v>2000</v>
          </cell>
        </row>
        <row r="134">
          <cell r="D134" t="str">
            <v>Y/Y Chg.</v>
          </cell>
          <cell r="U134">
            <v>0</v>
          </cell>
          <cell r="V134">
            <v>0</v>
          </cell>
          <cell r="W134">
            <v>0</v>
          </cell>
          <cell r="X134">
            <v>0</v>
          </cell>
          <cell r="Y134">
            <v>0</v>
          </cell>
        </row>
        <row r="136">
          <cell r="C136" t="str">
            <v>% ViaSat Share</v>
          </cell>
          <cell r="T136">
            <v>0.5</v>
          </cell>
          <cell r="U136">
            <v>0.5</v>
          </cell>
          <cell r="V136">
            <v>0.5</v>
          </cell>
          <cell r="W136">
            <v>0.5</v>
          </cell>
          <cell r="X136">
            <v>0.5</v>
          </cell>
          <cell r="Y136">
            <v>0.5</v>
          </cell>
        </row>
        <row r="137">
          <cell r="C137" t="str">
            <v>Total Service Revenue ($MM)</v>
          </cell>
          <cell r="T137">
            <v>7.5</v>
          </cell>
          <cell r="U137">
            <v>9</v>
          </cell>
          <cell r="V137">
            <v>10.500299999999999</v>
          </cell>
          <cell r="W137">
            <v>12.000900000000001</v>
          </cell>
          <cell r="X137">
            <v>13.501800000000001</v>
          </cell>
          <cell r="Y137">
            <v>15.003</v>
          </cell>
        </row>
        <row r="140">
          <cell r="C140" t="str">
            <v>Equipment Cost</v>
          </cell>
          <cell r="T140">
            <v>0.05</v>
          </cell>
          <cell r="U140">
            <v>0.05</v>
          </cell>
          <cell r="V140">
            <v>0.05</v>
          </cell>
          <cell r="W140">
            <v>0.05</v>
          </cell>
          <cell r="X140">
            <v>0.05</v>
          </cell>
          <cell r="Y140">
            <v>0.05</v>
          </cell>
        </row>
        <row r="141">
          <cell r="C141" t="str">
            <v>Installation Cost</v>
          </cell>
          <cell r="T141">
            <v>0.05</v>
          </cell>
          <cell r="U141">
            <v>0.05</v>
          </cell>
          <cell r="V141">
            <v>0.05</v>
          </cell>
          <cell r="W141">
            <v>0.05</v>
          </cell>
          <cell r="X141">
            <v>0.05</v>
          </cell>
          <cell r="Y141">
            <v>0.05</v>
          </cell>
        </row>
        <row r="142">
          <cell r="C142" t="str">
            <v>Total Product Revenue per Intsall</v>
          </cell>
          <cell r="T142">
            <v>0.1</v>
          </cell>
          <cell r="U142">
            <v>0.1</v>
          </cell>
          <cell r="V142">
            <v>0.1</v>
          </cell>
          <cell r="W142">
            <v>0.1</v>
          </cell>
          <cell r="X142">
            <v>0.1</v>
          </cell>
          <cell r="Y142">
            <v>0.1</v>
          </cell>
        </row>
        <row r="143">
          <cell r="C143" t="str">
            <v>Total Commercial Networks Revenue ($MM)</v>
          </cell>
          <cell r="T143">
            <v>25</v>
          </cell>
          <cell r="U143">
            <v>25</v>
          </cell>
          <cell r="V143">
            <v>25.005000000000003</v>
          </cell>
          <cell r="W143">
            <v>25.010000000000005</v>
          </cell>
          <cell r="X143">
            <v>25.015000000000004</v>
          </cell>
          <cell r="Y143">
            <v>25.020000000000007</v>
          </cell>
        </row>
        <row r="146">
          <cell r="C146" t="str">
            <v>Merchant Vessels (Less 10% have VSAT today)</v>
          </cell>
          <cell r="T146">
            <v>42000</v>
          </cell>
        </row>
        <row r="147">
          <cell r="C147" t="str">
            <v>Other Commercial Vessels (Fishing, Ferries, CG)</v>
          </cell>
          <cell r="T147">
            <v>40000</v>
          </cell>
        </row>
        <row r="148">
          <cell r="C148" t="str">
            <v>Large Yachts</v>
          </cell>
          <cell r="T148">
            <v>125000</v>
          </cell>
        </row>
        <row r="151">
          <cell r="E151" t="str">
            <v>Additions</v>
          </cell>
        </row>
        <row r="152">
          <cell r="E152" t="str">
            <v>Bull Case</v>
          </cell>
          <cell r="T152">
            <v>750</v>
          </cell>
          <cell r="U152">
            <v>500</v>
          </cell>
          <cell r="V152">
            <v>500</v>
          </cell>
          <cell r="W152">
            <v>500</v>
          </cell>
          <cell r="X152">
            <v>500</v>
          </cell>
          <cell r="Y152">
            <v>500</v>
          </cell>
        </row>
        <row r="153">
          <cell r="E153" t="str">
            <v>Base Case</v>
          </cell>
          <cell r="T153">
            <v>250</v>
          </cell>
          <cell r="U153">
            <v>250</v>
          </cell>
          <cell r="V153">
            <v>250.05</v>
          </cell>
          <cell r="W153">
            <v>250.10000000000002</v>
          </cell>
          <cell r="X153">
            <v>250.15000000000003</v>
          </cell>
          <cell r="Y153">
            <v>250.20000000000005</v>
          </cell>
        </row>
        <row r="154">
          <cell r="E154" t="str">
            <v>Bear Case</v>
          </cell>
          <cell r="T154">
            <v>200</v>
          </cell>
          <cell r="U154">
            <v>200</v>
          </cell>
          <cell r="V154">
            <v>150</v>
          </cell>
          <cell r="W154">
            <v>100</v>
          </cell>
          <cell r="X154">
            <v>100</v>
          </cell>
          <cell r="Y154">
            <v>100</v>
          </cell>
        </row>
        <row r="155">
          <cell r="E155" t="str">
            <v>Using Base Case</v>
          </cell>
          <cell r="T155">
            <v>250</v>
          </cell>
          <cell r="U155">
            <v>250</v>
          </cell>
          <cell r="V155">
            <v>250.05</v>
          </cell>
          <cell r="W155">
            <v>250.10000000000002</v>
          </cell>
          <cell r="X155">
            <v>250.15000000000003</v>
          </cell>
          <cell r="Y155">
            <v>250.20000000000005</v>
          </cell>
        </row>
        <row r="156">
          <cell r="E156">
            <v>2</v>
          </cell>
        </row>
        <row r="158">
          <cell r="E158" t="str">
            <v>Y/Y Chg. ARPU</v>
          </cell>
        </row>
        <row r="159">
          <cell r="E159" t="str">
            <v>Bull Case</v>
          </cell>
          <cell r="U159">
            <v>0.02</v>
          </cell>
          <cell r="V159">
            <v>0.02</v>
          </cell>
          <cell r="W159">
            <v>0.02</v>
          </cell>
          <cell r="X159">
            <v>0.02</v>
          </cell>
          <cell r="Y159">
            <v>0.02</v>
          </cell>
        </row>
        <row r="160">
          <cell r="E160" t="str">
            <v>Base Case</v>
          </cell>
          <cell r="U160">
            <v>0</v>
          </cell>
          <cell r="V160">
            <v>0</v>
          </cell>
          <cell r="W160">
            <v>0</v>
          </cell>
          <cell r="X160">
            <v>0</v>
          </cell>
          <cell r="Y160">
            <v>0</v>
          </cell>
        </row>
        <row r="161">
          <cell r="E161" t="str">
            <v>Bear Case</v>
          </cell>
          <cell r="U161">
            <v>-0.02</v>
          </cell>
          <cell r="V161">
            <v>-0.02</v>
          </cell>
          <cell r="W161">
            <v>-0.02</v>
          </cell>
          <cell r="X161">
            <v>-0.02</v>
          </cell>
          <cell r="Y161">
            <v>-0.02</v>
          </cell>
        </row>
        <row r="162">
          <cell r="E162" t="str">
            <v>Using Base Case</v>
          </cell>
          <cell r="U162">
            <v>0</v>
          </cell>
          <cell r="V162">
            <v>0</v>
          </cell>
          <cell r="W162">
            <v>0</v>
          </cell>
          <cell r="X162">
            <v>0</v>
          </cell>
          <cell r="Y162">
            <v>0</v>
          </cell>
        </row>
        <row r="163">
          <cell r="E163">
            <v>2</v>
          </cell>
        </row>
        <row r="165">
          <cell r="B165" t="str">
            <v>Mobile Broadband Build - Rails</v>
          </cell>
        </row>
        <row r="167">
          <cell r="C167" t="str">
            <v>TGV Model</v>
          </cell>
        </row>
        <row r="169">
          <cell r="C169" t="str">
            <v>Total TGV Fleet</v>
          </cell>
          <cell r="S169">
            <v>400</v>
          </cell>
          <cell r="T169">
            <v>400</v>
          </cell>
          <cell r="U169">
            <v>400</v>
          </cell>
          <cell r="V169">
            <v>400</v>
          </cell>
          <cell r="W169">
            <v>400</v>
          </cell>
          <cell r="X169">
            <v>400</v>
          </cell>
          <cell r="Y169">
            <v>400</v>
          </cell>
        </row>
        <row r="170">
          <cell r="C170" t="str">
            <v>% Fleet Penetration</v>
          </cell>
          <cell r="S170">
            <v>0.15</v>
          </cell>
          <cell r="T170">
            <v>0.15</v>
          </cell>
          <cell r="U170">
            <v>0.2</v>
          </cell>
          <cell r="V170">
            <v>0.3</v>
          </cell>
          <cell r="W170">
            <v>0.4</v>
          </cell>
          <cell r="X170">
            <v>0.5</v>
          </cell>
          <cell r="Y170">
            <v>0.6</v>
          </cell>
        </row>
        <row r="171">
          <cell r="C171" t="str">
            <v>ViaSat WiFi Equipped</v>
          </cell>
          <cell r="S171">
            <v>60</v>
          </cell>
          <cell r="T171">
            <v>60</v>
          </cell>
          <cell r="U171">
            <v>80</v>
          </cell>
          <cell r="V171">
            <v>120</v>
          </cell>
          <cell r="W171">
            <v>160</v>
          </cell>
          <cell r="X171">
            <v>200</v>
          </cell>
          <cell r="Y171">
            <v>240</v>
          </cell>
        </row>
        <row r="172">
          <cell r="C172" t="str">
            <v>Avg. Daily Pax per Train</v>
          </cell>
          <cell r="S172">
            <v>900</v>
          </cell>
          <cell r="T172">
            <v>900</v>
          </cell>
          <cell r="U172">
            <v>900</v>
          </cell>
          <cell r="V172">
            <v>900</v>
          </cell>
          <cell r="W172">
            <v>900</v>
          </cell>
          <cell r="X172">
            <v>900</v>
          </cell>
          <cell r="Y172">
            <v>900</v>
          </cell>
        </row>
        <row r="173">
          <cell r="C173" t="str">
            <v>% Pax Particpation</v>
          </cell>
          <cell r="S173">
            <v>0.05</v>
          </cell>
          <cell r="T173">
            <v>0.05</v>
          </cell>
          <cell r="U173">
            <v>0.05</v>
          </cell>
          <cell r="V173">
            <v>0.05</v>
          </cell>
          <cell r="W173">
            <v>0.05</v>
          </cell>
          <cell r="X173">
            <v>0.05</v>
          </cell>
          <cell r="Y173">
            <v>0.05</v>
          </cell>
        </row>
        <row r="174">
          <cell r="C174" t="str">
            <v>ARPU (Euros Per Useage)</v>
          </cell>
          <cell r="S174">
            <v>5</v>
          </cell>
          <cell r="T174">
            <v>5</v>
          </cell>
          <cell r="U174">
            <v>5</v>
          </cell>
          <cell r="V174">
            <v>5</v>
          </cell>
          <cell r="W174">
            <v>5</v>
          </cell>
          <cell r="X174">
            <v>5</v>
          </cell>
          <cell r="Y174">
            <v>5</v>
          </cell>
        </row>
        <row r="175">
          <cell r="C175" t="str">
            <v>EUR/USD Exchange Rate</v>
          </cell>
          <cell r="S175">
            <v>1.35</v>
          </cell>
          <cell r="T175">
            <v>1.35</v>
          </cell>
          <cell r="U175">
            <v>1.35</v>
          </cell>
          <cell r="V175">
            <v>1.35</v>
          </cell>
          <cell r="W175">
            <v>1.35</v>
          </cell>
          <cell r="X175">
            <v>1.35</v>
          </cell>
          <cell r="Y175">
            <v>1.35</v>
          </cell>
        </row>
        <row r="176">
          <cell r="C176" t="str">
            <v>% ViaSat Revenue Share</v>
          </cell>
          <cell r="S176">
            <v>0.25</v>
          </cell>
          <cell r="T176">
            <v>0.25</v>
          </cell>
          <cell r="U176">
            <v>0.25</v>
          </cell>
          <cell r="V176">
            <v>0.25</v>
          </cell>
          <cell r="W176">
            <v>0.25</v>
          </cell>
          <cell r="X176">
            <v>0.25</v>
          </cell>
          <cell r="Y176">
            <v>0.25</v>
          </cell>
        </row>
        <row r="177">
          <cell r="C177" t="str">
            <v>Total Service Revenue ($MM)</v>
          </cell>
          <cell r="S177">
            <v>1.6220250000000001</v>
          </cell>
          <cell r="T177">
            <v>1.6220250000000001</v>
          </cell>
          <cell r="U177">
            <v>2.1627000000000001</v>
          </cell>
          <cell r="V177">
            <v>3.2440500000000001</v>
          </cell>
          <cell r="W177">
            <v>4.3254000000000001</v>
          </cell>
          <cell r="X177">
            <v>5.4067500000000006</v>
          </cell>
          <cell r="Y177">
            <v>6.4881000000000002</v>
          </cell>
        </row>
        <row r="179">
          <cell r="C179" t="str">
            <v>Installations</v>
          </cell>
          <cell r="T179">
            <v>0</v>
          </cell>
          <cell r="U179">
            <v>20</v>
          </cell>
          <cell r="V179">
            <v>40</v>
          </cell>
          <cell r="W179">
            <v>40</v>
          </cell>
          <cell r="X179">
            <v>40</v>
          </cell>
          <cell r="Y179">
            <v>40</v>
          </cell>
        </row>
        <row r="180">
          <cell r="C180" t="str">
            <v>Revenue per Installation</v>
          </cell>
          <cell r="T180">
            <v>0.3</v>
          </cell>
          <cell r="U180">
            <v>0.3</v>
          </cell>
          <cell r="V180">
            <v>0.3</v>
          </cell>
          <cell r="W180">
            <v>0.3</v>
          </cell>
          <cell r="X180">
            <v>0.3</v>
          </cell>
          <cell r="Y180">
            <v>0.3</v>
          </cell>
        </row>
        <row r="181">
          <cell r="C181" t="str">
            <v>Total Commercial Networks Revenue ($MM)</v>
          </cell>
          <cell r="T181">
            <v>0</v>
          </cell>
          <cell r="U181">
            <v>6</v>
          </cell>
          <cell r="V181">
            <v>12</v>
          </cell>
          <cell r="W181">
            <v>12</v>
          </cell>
          <cell r="X181">
            <v>12</v>
          </cell>
          <cell r="Y181">
            <v>12</v>
          </cell>
        </row>
        <row r="183">
          <cell r="C183" t="str">
            <v>Total Annual TGV System Pax (MM)</v>
          </cell>
          <cell r="J183">
            <v>79.7</v>
          </cell>
          <cell r="K183">
            <v>83.5</v>
          </cell>
          <cell r="L183">
            <v>87.9</v>
          </cell>
          <cell r="M183">
            <v>86.7</v>
          </cell>
          <cell r="N183">
            <v>90.8</v>
          </cell>
          <cell r="O183">
            <v>94</v>
          </cell>
          <cell r="P183">
            <v>97</v>
          </cell>
          <cell r="Q183">
            <v>120</v>
          </cell>
          <cell r="R183">
            <v>128</v>
          </cell>
        </row>
        <row r="184">
          <cell r="D184" t="str">
            <v>Y/Y Chg.</v>
          </cell>
          <cell r="K184">
            <v>4.7678795483061531E-2</v>
          </cell>
          <cell r="L184">
            <v>5.2694610778443174E-2</v>
          </cell>
          <cell r="M184">
            <v>-1.3651877133105783E-2</v>
          </cell>
          <cell r="N184">
            <v>4.7289504036908792E-2</v>
          </cell>
          <cell r="O184">
            <v>3.524229074889873E-2</v>
          </cell>
          <cell r="P184">
            <v>3.1914893617021267E-2</v>
          </cell>
          <cell r="Q184">
            <v>0.23711340206185572</v>
          </cell>
          <cell r="R184">
            <v>6.6666666666666652E-2</v>
          </cell>
        </row>
        <row r="186">
          <cell r="C186" t="str">
            <v>Avg. Daily TGV System Pax</v>
          </cell>
          <cell r="R186">
            <v>359550.5617977528</v>
          </cell>
        </row>
        <row r="187">
          <cell r="C187" t="str">
            <v>Total TGV Fleet</v>
          </cell>
          <cell r="R187">
            <v>400</v>
          </cell>
        </row>
        <row r="188">
          <cell r="C188" t="str">
            <v>Avg. Daily Pax per Train</v>
          </cell>
          <cell r="R188">
            <v>898.87640449438197</v>
          </cell>
        </row>
        <row r="191">
          <cell r="E191" t="str">
            <v>% Fleet Penetration</v>
          </cell>
        </row>
        <row r="192">
          <cell r="E192" t="str">
            <v>Bull Case</v>
          </cell>
          <cell r="T192">
            <v>0.2</v>
          </cell>
          <cell r="U192">
            <v>0.4</v>
          </cell>
          <cell r="V192">
            <v>0.60000000000000009</v>
          </cell>
          <cell r="W192">
            <v>0.8</v>
          </cell>
          <cell r="X192">
            <v>1</v>
          </cell>
          <cell r="Y192">
            <v>1</v>
          </cell>
        </row>
        <row r="193">
          <cell r="E193" t="str">
            <v>Base Case</v>
          </cell>
          <cell r="T193">
            <v>0.15</v>
          </cell>
          <cell r="U193">
            <v>0.2</v>
          </cell>
          <cell r="V193">
            <v>0.3</v>
          </cell>
          <cell r="W193">
            <v>0.4</v>
          </cell>
          <cell r="X193">
            <v>0.5</v>
          </cell>
          <cell r="Y193">
            <v>0.6</v>
          </cell>
        </row>
        <row r="194">
          <cell r="E194" t="str">
            <v>Bear Case</v>
          </cell>
          <cell r="T194">
            <v>0.15</v>
          </cell>
          <cell r="U194">
            <v>0.15</v>
          </cell>
          <cell r="V194">
            <v>0</v>
          </cell>
          <cell r="W194">
            <v>0</v>
          </cell>
          <cell r="X194">
            <v>0</v>
          </cell>
          <cell r="Y194">
            <v>0</v>
          </cell>
        </row>
        <row r="195">
          <cell r="E195" t="str">
            <v>Using Base Case</v>
          </cell>
          <cell r="T195">
            <v>0.15</v>
          </cell>
          <cell r="U195">
            <v>0.2</v>
          </cell>
          <cell r="V195">
            <v>0.3</v>
          </cell>
          <cell r="W195">
            <v>0.4</v>
          </cell>
          <cell r="X195">
            <v>0.5</v>
          </cell>
          <cell r="Y195">
            <v>0.6</v>
          </cell>
        </row>
        <row r="196">
          <cell r="E196">
            <v>2</v>
          </cell>
        </row>
        <row r="198">
          <cell r="E198" t="str">
            <v>Avg. Daily Pax per Train</v>
          </cell>
        </row>
        <row r="199">
          <cell r="E199" t="str">
            <v>Bull Case</v>
          </cell>
          <cell r="S199">
            <v>1000</v>
          </cell>
          <cell r="T199">
            <v>1000</v>
          </cell>
          <cell r="U199">
            <v>1000</v>
          </cell>
          <cell r="V199">
            <v>1000</v>
          </cell>
          <cell r="W199">
            <v>1000</v>
          </cell>
          <cell r="X199">
            <v>1000</v>
          </cell>
          <cell r="Y199">
            <v>1000</v>
          </cell>
        </row>
        <row r="200">
          <cell r="E200" t="str">
            <v>Base Case</v>
          </cell>
          <cell r="S200">
            <v>900</v>
          </cell>
          <cell r="T200">
            <v>900</v>
          </cell>
          <cell r="U200">
            <v>900</v>
          </cell>
          <cell r="V200">
            <v>900</v>
          </cell>
          <cell r="W200">
            <v>900</v>
          </cell>
          <cell r="X200">
            <v>900</v>
          </cell>
          <cell r="Y200">
            <v>900</v>
          </cell>
        </row>
        <row r="201">
          <cell r="E201" t="str">
            <v>Bear Case</v>
          </cell>
          <cell r="S201">
            <v>800</v>
          </cell>
          <cell r="T201">
            <v>800</v>
          </cell>
          <cell r="U201">
            <v>800</v>
          </cell>
          <cell r="V201">
            <v>800</v>
          </cell>
          <cell r="W201">
            <v>800</v>
          </cell>
          <cell r="X201">
            <v>800</v>
          </cell>
          <cell r="Y201">
            <v>800</v>
          </cell>
        </row>
        <row r="202">
          <cell r="E202" t="str">
            <v>Using Base Case</v>
          </cell>
          <cell r="S202">
            <v>900</v>
          </cell>
          <cell r="T202">
            <v>900</v>
          </cell>
          <cell r="U202">
            <v>900</v>
          </cell>
          <cell r="V202">
            <v>900</v>
          </cell>
          <cell r="W202">
            <v>900</v>
          </cell>
          <cell r="X202">
            <v>900</v>
          </cell>
          <cell r="Y202">
            <v>900</v>
          </cell>
        </row>
        <row r="203">
          <cell r="E203">
            <v>2</v>
          </cell>
        </row>
        <row r="205">
          <cell r="E205" t="str">
            <v>% Pax Particpation</v>
          </cell>
        </row>
        <row r="206">
          <cell r="E206" t="str">
            <v>Bull Case</v>
          </cell>
          <cell r="T206">
            <v>0.1</v>
          </cell>
          <cell r="U206">
            <v>0.15000000000000002</v>
          </cell>
          <cell r="V206">
            <v>0.2</v>
          </cell>
          <cell r="W206">
            <v>0.25</v>
          </cell>
          <cell r="X206">
            <v>0.25</v>
          </cell>
          <cell r="Y206">
            <v>0.25</v>
          </cell>
        </row>
        <row r="207">
          <cell r="E207" t="str">
            <v>Base Case</v>
          </cell>
          <cell r="T207">
            <v>0.05</v>
          </cell>
          <cell r="U207">
            <v>0.05</v>
          </cell>
          <cell r="V207">
            <v>0.05</v>
          </cell>
          <cell r="W207">
            <v>0.05</v>
          </cell>
          <cell r="X207">
            <v>0.05</v>
          </cell>
          <cell r="Y207">
            <v>0.05</v>
          </cell>
        </row>
        <row r="208">
          <cell r="E208" t="str">
            <v>Bear Case</v>
          </cell>
          <cell r="T208">
            <v>0.02</v>
          </cell>
          <cell r="U208">
            <v>0.02</v>
          </cell>
          <cell r="V208">
            <v>0.02</v>
          </cell>
          <cell r="W208">
            <v>0.02</v>
          </cell>
          <cell r="X208">
            <v>0.02</v>
          </cell>
          <cell r="Y208">
            <v>0.02</v>
          </cell>
        </row>
        <row r="209">
          <cell r="E209" t="str">
            <v>Using Base Case</v>
          </cell>
          <cell r="T209">
            <v>0.05</v>
          </cell>
          <cell r="U209">
            <v>0.05</v>
          </cell>
          <cell r="V209">
            <v>0.05</v>
          </cell>
          <cell r="W209">
            <v>0.05</v>
          </cell>
          <cell r="X209">
            <v>0.05</v>
          </cell>
          <cell r="Y209">
            <v>0.05</v>
          </cell>
        </row>
        <row r="210">
          <cell r="E210">
            <v>2</v>
          </cell>
        </row>
        <row r="212">
          <cell r="E212" t="str">
            <v>ARPU (Euros Per Useage)</v>
          </cell>
        </row>
        <row r="213">
          <cell r="E213" t="str">
            <v>Bull Case</v>
          </cell>
          <cell r="T213">
            <v>7.5</v>
          </cell>
          <cell r="U213">
            <v>7.5</v>
          </cell>
          <cell r="V213">
            <v>7.5</v>
          </cell>
          <cell r="W213">
            <v>7.5</v>
          </cell>
          <cell r="X213">
            <v>7.5</v>
          </cell>
          <cell r="Y213">
            <v>7.5</v>
          </cell>
        </row>
        <row r="214">
          <cell r="E214" t="str">
            <v>Base Case</v>
          </cell>
          <cell r="T214">
            <v>5</v>
          </cell>
          <cell r="U214">
            <v>5</v>
          </cell>
          <cell r="V214">
            <v>5</v>
          </cell>
          <cell r="W214">
            <v>5</v>
          </cell>
          <cell r="X214">
            <v>5</v>
          </cell>
          <cell r="Y214">
            <v>5</v>
          </cell>
        </row>
        <row r="215">
          <cell r="E215" t="str">
            <v>Bear Case</v>
          </cell>
          <cell r="T215">
            <v>2.5</v>
          </cell>
          <cell r="U215">
            <v>2.5</v>
          </cell>
          <cell r="V215">
            <v>2.5</v>
          </cell>
          <cell r="W215">
            <v>2.5</v>
          </cell>
          <cell r="X215">
            <v>2.5</v>
          </cell>
          <cell r="Y215">
            <v>2.5</v>
          </cell>
        </row>
        <row r="216">
          <cell r="E216" t="str">
            <v>Using Base Case</v>
          </cell>
          <cell r="T216">
            <v>5</v>
          </cell>
          <cell r="U216">
            <v>5</v>
          </cell>
          <cell r="V216">
            <v>5</v>
          </cell>
          <cell r="W216">
            <v>5</v>
          </cell>
          <cell r="X216">
            <v>5</v>
          </cell>
          <cell r="Y216">
            <v>5</v>
          </cell>
        </row>
        <row r="217">
          <cell r="E217">
            <v>2</v>
          </cell>
        </row>
        <row r="220">
          <cell r="B220" t="str">
            <v>Mobile Broadband Build - Business Jets</v>
          </cell>
        </row>
        <row r="222">
          <cell r="C222" t="str">
            <v>Service Revenue Model</v>
          </cell>
        </row>
        <row r="224">
          <cell r="C224" t="str">
            <v>BOP Subs</v>
          </cell>
          <cell r="T224">
            <v>100</v>
          </cell>
          <cell r="U224">
            <v>125.9025</v>
          </cell>
          <cell r="V224">
            <v>154.62982500000001</v>
          </cell>
          <cell r="W224">
            <v>190.918930875</v>
          </cell>
          <cell r="X224">
            <v>236.54726455312502</v>
          </cell>
          <cell r="Y224">
            <v>288.43510771429692</v>
          </cell>
        </row>
        <row r="225">
          <cell r="C225" t="str">
            <v>Additions</v>
          </cell>
          <cell r="T225">
            <v>56.805000000000007</v>
          </cell>
          <cell r="U225">
            <v>63.749775000000014</v>
          </cell>
          <cell r="V225">
            <v>80.309703000000027</v>
          </cell>
          <cell r="W225">
            <v>100.80261390000005</v>
          </cell>
          <cell r="X225">
            <v>115.60304955000007</v>
          </cell>
          <cell r="Y225">
            <v>113.61068321250008</v>
          </cell>
        </row>
        <row r="226">
          <cell r="C226" t="str">
            <v>Disconnects</v>
          </cell>
          <cell r="T226">
            <v>-5</v>
          </cell>
          <cell r="U226">
            <v>-6.2951250000000005</v>
          </cell>
          <cell r="V226">
            <v>-7.7314912500000013</v>
          </cell>
          <cell r="W226">
            <v>-9.5459465437500004</v>
          </cell>
          <cell r="X226">
            <v>-11.827363227656251</v>
          </cell>
          <cell r="Y226">
            <v>-14.421755385714846</v>
          </cell>
        </row>
        <row r="227">
          <cell r="C227" t="str">
            <v>Net Additions</v>
          </cell>
          <cell r="T227">
            <v>51.805000000000007</v>
          </cell>
          <cell r="U227">
            <v>57.454650000000015</v>
          </cell>
          <cell r="V227">
            <v>72.578211750000023</v>
          </cell>
          <cell r="W227">
            <v>91.256667356250048</v>
          </cell>
          <cell r="X227">
            <v>103.77568632234382</v>
          </cell>
          <cell r="Y227">
            <v>99.188927826785232</v>
          </cell>
        </row>
        <row r="228">
          <cell r="C228" t="str">
            <v>EOP Subs</v>
          </cell>
          <cell r="T228">
            <v>151.80500000000001</v>
          </cell>
          <cell r="U228">
            <v>183.35715000000002</v>
          </cell>
          <cell r="V228">
            <v>227.20803675000002</v>
          </cell>
          <cell r="W228">
            <v>282.17559823125004</v>
          </cell>
          <cell r="X228">
            <v>340.32295087546885</v>
          </cell>
          <cell r="Y228">
            <v>387.62403554108215</v>
          </cell>
        </row>
        <row r="229">
          <cell r="C229" t="str">
            <v>Avg. Subs</v>
          </cell>
          <cell r="S229">
            <v>100</v>
          </cell>
          <cell r="T229">
            <v>125.9025</v>
          </cell>
          <cell r="U229">
            <v>154.62982500000001</v>
          </cell>
          <cell r="V229">
            <v>190.918930875</v>
          </cell>
          <cell r="W229">
            <v>236.54726455312502</v>
          </cell>
          <cell r="X229">
            <v>288.43510771429692</v>
          </cell>
          <cell r="Y229">
            <v>338.02957162768951</v>
          </cell>
        </row>
        <row r="230">
          <cell r="D230" t="str">
            <v>Y/Y Chg.</v>
          </cell>
          <cell r="T230">
            <v>0.25902500000000006</v>
          </cell>
          <cell r="U230">
            <v>0.22817120390778589</v>
          </cell>
          <cell r="V230">
            <v>0.23468374147742832</v>
          </cell>
          <cell r="W230">
            <v>0.2389932390099081</v>
          </cell>
          <cell r="X230">
            <v>0.21935507586272962</v>
          </cell>
          <cell r="Y230">
            <v>0.17194322947162632</v>
          </cell>
        </row>
        <row r="232">
          <cell r="C232" t="str">
            <v>ARPU (Monthly $)</v>
          </cell>
          <cell r="T232">
            <v>2000</v>
          </cell>
          <cell r="U232">
            <v>2000</v>
          </cell>
          <cell r="V232">
            <v>2000</v>
          </cell>
          <cell r="W232">
            <v>2000</v>
          </cell>
          <cell r="X232">
            <v>2000</v>
          </cell>
          <cell r="Y232">
            <v>2000</v>
          </cell>
        </row>
        <row r="233">
          <cell r="D233" t="str">
            <v>Y/Y Chg.</v>
          </cell>
          <cell r="U233">
            <v>0</v>
          </cell>
          <cell r="V233">
            <v>0</v>
          </cell>
          <cell r="W233">
            <v>0</v>
          </cell>
          <cell r="X233">
            <v>0</v>
          </cell>
          <cell r="Y233">
            <v>0</v>
          </cell>
        </row>
        <row r="235">
          <cell r="C235" t="str">
            <v>% ViaSat Share</v>
          </cell>
          <cell r="T235">
            <v>0.5</v>
          </cell>
          <cell r="U235">
            <v>0.5</v>
          </cell>
          <cell r="V235">
            <v>0.5</v>
          </cell>
          <cell r="W235">
            <v>0.5</v>
          </cell>
          <cell r="X235">
            <v>0.5</v>
          </cell>
          <cell r="Y235">
            <v>0.5</v>
          </cell>
        </row>
        <row r="236">
          <cell r="C236" t="str">
            <v>Total Service Revenue ($MM)</v>
          </cell>
          <cell r="T236">
            <v>1.5108300000000001</v>
          </cell>
          <cell r="U236">
            <v>1.8555579000000002</v>
          </cell>
          <cell r="V236">
            <v>2.2910271705</v>
          </cell>
          <cell r="W236">
            <v>2.8385671746375003</v>
          </cell>
          <cell r="X236">
            <v>3.4612212925715631</v>
          </cell>
          <cell r="Y236">
            <v>4.0563548595322745</v>
          </cell>
        </row>
        <row r="239">
          <cell r="C239" t="str">
            <v>Installation Model</v>
          </cell>
        </row>
        <row r="241">
          <cell r="C241" t="str">
            <v>Total Biz Jet Industry Deliveries</v>
          </cell>
          <cell r="J241">
            <v>752</v>
          </cell>
          <cell r="K241">
            <v>784</v>
          </cell>
          <cell r="L241">
            <v>676</v>
          </cell>
          <cell r="M241">
            <v>518</v>
          </cell>
          <cell r="N241">
            <v>591</v>
          </cell>
          <cell r="O241">
            <v>750</v>
          </cell>
          <cell r="P241">
            <v>886</v>
          </cell>
          <cell r="Q241">
            <v>1136</v>
          </cell>
          <cell r="R241">
            <v>1313</v>
          </cell>
          <cell r="S241">
            <v>870</v>
          </cell>
          <cell r="T241">
            <v>896.1</v>
          </cell>
          <cell r="U241">
            <v>940.90500000000009</v>
          </cell>
          <cell r="V241">
            <v>1034.9955000000002</v>
          </cell>
          <cell r="W241">
            <v>1138.4950500000004</v>
          </cell>
          <cell r="X241">
            <v>1138.4950500000004</v>
          </cell>
          <cell r="Y241">
            <v>967.72079250000036</v>
          </cell>
        </row>
        <row r="242">
          <cell r="D242" t="str">
            <v>Y/Y Chg</v>
          </cell>
          <cell r="K242">
            <v>4.2553191489361764E-2</v>
          </cell>
          <cell r="L242">
            <v>-0.13775510204081631</v>
          </cell>
          <cell r="M242">
            <v>-0.23372781065088755</v>
          </cell>
          <cell r="N242">
            <v>0.14092664092664098</v>
          </cell>
          <cell r="O242">
            <v>0.26903553299492389</v>
          </cell>
          <cell r="P242">
            <v>0.18133333333333335</v>
          </cell>
          <cell r="Q242">
            <v>0.28216704288939054</v>
          </cell>
          <cell r="R242">
            <v>0.15580985915492951</v>
          </cell>
          <cell r="S242">
            <v>-0.33739527798933744</v>
          </cell>
          <cell r="T242">
            <v>0.03</v>
          </cell>
          <cell r="U242">
            <v>0.05</v>
          </cell>
          <cell r="V242">
            <v>0.1</v>
          </cell>
          <cell r="W242">
            <v>0.1</v>
          </cell>
          <cell r="X242">
            <v>0</v>
          </cell>
          <cell r="Y242">
            <v>-0.15</v>
          </cell>
        </row>
        <row r="244">
          <cell r="C244" t="str">
            <v>% Adopting Mobile Broadband</v>
          </cell>
          <cell r="T244">
            <v>0.5</v>
          </cell>
          <cell r="U244">
            <v>0.55000000000000004</v>
          </cell>
          <cell r="V244">
            <v>0.60000000000000009</v>
          </cell>
          <cell r="W244">
            <v>0.65000000000000013</v>
          </cell>
          <cell r="X244">
            <v>0.70000000000000018</v>
          </cell>
          <cell r="Y244">
            <v>0.75000000000000022</v>
          </cell>
        </row>
        <row r="245">
          <cell r="C245" t="str">
            <v>Addressable Market</v>
          </cell>
          <cell r="T245">
            <v>448.05</v>
          </cell>
          <cell r="U245">
            <v>517.49775000000011</v>
          </cell>
          <cell r="V245">
            <v>620.99730000000022</v>
          </cell>
          <cell r="W245">
            <v>740.02178250000043</v>
          </cell>
          <cell r="X245">
            <v>796.94653500000049</v>
          </cell>
          <cell r="Y245">
            <v>725.79059437500052</v>
          </cell>
        </row>
        <row r="246">
          <cell r="C246" t="str">
            <v>% Yonder Market Share</v>
          </cell>
          <cell r="T246">
            <v>0.1</v>
          </cell>
          <cell r="U246">
            <v>0.1</v>
          </cell>
          <cell r="V246">
            <v>0.11</v>
          </cell>
          <cell r="W246">
            <v>0.12</v>
          </cell>
          <cell r="X246">
            <v>0.13</v>
          </cell>
          <cell r="Y246">
            <v>0.14000000000000001</v>
          </cell>
        </row>
        <row r="247">
          <cell r="C247" t="str">
            <v>Yonder OEM Installations</v>
          </cell>
          <cell r="T247">
            <v>44.805000000000007</v>
          </cell>
          <cell r="U247">
            <v>51.749775000000014</v>
          </cell>
          <cell r="V247">
            <v>68.309703000000027</v>
          </cell>
          <cell r="W247">
            <v>88.802613900000054</v>
          </cell>
          <cell r="X247">
            <v>103.60304955000007</v>
          </cell>
          <cell r="Y247">
            <v>101.61068321250008</v>
          </cell>
        </row>
        <row r="248">
          <cell r="C248" t="str">
            <v>Yonder Aftermarket Installations</v>
          </cell>
          <cell r="T248">
            <v>12</v>
          </cell>
          <cell r="U248">
            <v>12</v>
          </cell>
          <cell r="V248">
            <v>12</v>
          </cell>
          <cell r="W248">
            <v>12</v>
          </cell>
          <cell r="X248">
            <v>12</v>
          </cell>
          <cell r="Y248">
            <v>12</v>
          </cell>
        </row>
        <row r="249">
          <cell r="C249" t="str">
            <v>Total Yonder Installations</v>
          </cell>
          <cell r="T249">
            <v>56.805000000000007</v>
          </cell>
          <cell r="U249">
            <v>63.749775000000014</v>
          </cell>
          <cell r="V249">
            <v>80.309703000000027</v>
          </cell>
          <cell r="W249">
            <v>100.80261390000005</v>
          </cell>
          <cell r="X249">
            <v>115.60304955000007</v>
          </cell>
          <cell r="Y249">
            <v>113.61068321250008</v>
          </cell>
        </row>
        <row r="252">
          <cell r="C252" t="str">
            <v>Equipment Cost</v>
          </cell>
          <cell r="T252">
            <v>0.1</v>
          </cell>
          <cell r="U252">
            <v>0.1</v>
          </cell>
          <cell r="V252">
            <v>0.1</v>
          </cell>
          <cell r="W252">
            <v>0.1</v>
          </cell>
          <cell r="X252">
            <v>0.1</v>
          </cell>
          <cell r="Y252">
            <v>0.1</v>
          </cell>
        </row>
        <row r="253">
          <cell r="C253" t="str">
            <v>Installation Cost</v>
          </cell>
          <cell r="T253">
            <v>0.1</v>
          </cell>
          <cell r="U253">
            <v>0.1</v>
          </cell>
          <cell r="V253">
            <v>0.1</v>
          </cell>
          <cell r="W253">
            <v>0.1</v>
          </cell>
          <cell r="X253">
            <v>0.1</v>
          </cell>
          <cell r="Y253">
            <v>0.1</v>
          </cell>
        </row>
        <row r="254">
          <cell r="C254" t="str">
            <v>Total Product Revenue per Intsall</v>
          </cell>
          <cell r="T254">
            <v>0.2</v>
          </cell>
          <cell r="U254">
            <v>0.2</v>
          </cell>
          <cell r="V254">
            <v>0.2</v>
          </cell>
          <cell r="W254">
            <v>0.2</v>
          </cell>
          <cell r="X254">
            <v>0.2</v>
          </cell>
          <cell r="Y254">
            <v>0.2</v>
          </cell>
        </row>
        <row r="255">
          <cell r="C255" t="str">
            <v>Total Commercial Networks Revenue ($MM)</v>
          </cell>
          <cell r="T255">
            <v>11.361000000000002</v>
          </cell>
          <cell r="U255">
            <v>12.749955000000003</v>
          </cell>
          <cell r="V255">
            <v>16.061940600000007</v>
          </cell>
          <cell r="W255">
            <v>20.160522780000012</v>
          </cell>
          <cell r="X255">
            <v>23.120609910000013</v>
          </cell>
          <cell r="Y255">
            <v>22.722136642500018</v>
          </cell>
        </row>
        <row r="259">
          <cell r="E259" t="str">
            <v>Y/Y Chg. ARPU</v>
          </cell>
        </row>
        <row r="260">
          <cell r="E260" t="str">
            <v>Bull Case</v>
          </cell>
          <cell r="U260">
            <v>0.02</v>
          </cell>
          <cell r="V260">
            <v>0.02</v>
          </cell>
          <cell r="W260">
            <v>0.02</v>
          </cell>
          <cell r="X260">
            <v>0.02</v>
          </cell>
          <cell r="Y260">
            <v>0.02</v>
          </cell>
        </row>
        <row r="261">
          <cell r="E261" t="str">
            <v>Base Case</v>
          </cell>
          <cell r="U261">
            <v>0</v>
          </cell>
          <cell r="V261">
            <v>0</v>
          </cell>
          <cell r="W261">
            <v>0</v>
          </cell>
          <cell r="X261">
            <v>0</v>
          </cell>
          <cell r="Y261">
            <v>0</v>
          </cell>
        </row>
        <row r="262">
          <cell r="E262" t="str">
            <v>Bear Case</v>
          </cell>
          <cell r="U262">
            <v>-0.02</v>
          </cell>
          <cell r="V262">
            <v>-0.02</v>
          </cell>
          <cell r="W262">
            <v>-0.02</v>
          </cell>
          <cell r="X262">
            <v>-0.02</v>
          </cell>
          <cell r="Y262">
            <v>-0.02</v>
          </cell>
        </row>
        <row r="263">
          <cell r="E263" t="str">
            <v>Using Base Case</v>
          </cell>
          <cell r="U263">
            <v>0</v>
          </cell>
          <cell r="V263">
            <v>0</v>
          </cell>
          <cell r="W263">
            <v>0</v>
          </cell>
          <cell r="X263">
            <v>0</v>
          </cell>
          <cell r="Y263">
            <v>0</v>
          </cell>
        </row>
        <row r="264">
          <cell r="E264">
            <v>2</v>
          </cell>
        </row>
        <row r="268">
          <cell r="B268" t="str">
            <v>Mobile Broadband Build - Commercial Aircraft</v>
          </cell>
        </row>
        <row r="270">
          <cell r="C270" t="str">
            <v>JetBlue Fleet</v>
          </cell>
        </row>
        <row r="272">
          <cell r="U272" t="str">
            <v xml:space="preserve">2012E </v>
          </cell>
          <cell r="V272" t="str">
            <v xml:space="preserve">2013E </v>
          </cell>
          <cell r="W272" t="str">
            <v xml:space="preserve">2014E </v>
          </cell>
          <cell r="X272" t="str">
            <v xml:space="preserve">2015E </v>
          </cell>
          <cell r="Y272" t="str">
            <v xml:space="preserve">2016E </v>
          </cell>
        </row>
        <row r="274">
          <cell r="C274" t="str">
            <v>Airbus 320</v>
          </cell>
        </row>
        <row r="275">
          <cell r="C275" t="str">
            <v>BOP Fleet</v>
          </cell>
          <cell r="U275">
            <v>191</v>
          </cell>
          <cell r="V275">
            <v>202</v>
          </cell>
          <cell r="W275">
            <v>215</v>
          </cell>
          <cell r="X275">
            <v>227</v>
          </cell>
          <cell r="Y275">
            <v>242</v>
          </cell>
        </row>
        <row r="276">
          <cell r="C276" t="str">
            <v>Firm Orders</v>
          </cell>
          <cell r="U276">
            <v>11</v>
          </cell>
          <cell r="V276">
            <v>13</v>
          </cell>
          <cell r="W276">
            <v>12</v>
          </cell>
          <cell r="X276">
            <v>15</v>
          </cell>
          <cell r="Y276">
            <v>0</v>
          </cell>
        </row>
        <row r="277">
          <cell r="C277" t="str">
            <v>Retirements</v>
          </cell>
          <cell r="U277">
            <v>0</v>
          </cell>
          <cell r="V277">
            <v>0</v>
          </cell>
          <cell r="W277">
            <v>0</v>
          </cell>
          <cell r="X277">
            <v>0</v>
          </cell>
          <cell r="Y277">
            <v>0</v>
          </cell>
        </row>
        <row r="278">
          <cell r="C278" t="str">
            <v>EOP Fleet</v>
          </cell>
          <cell r="U278">
            <v>202</v>
          </cell>
          <cell r="V278">
            <v>215</v>
          </cell>
          <cell r="W278">
            <v>227</v>
          </cell>
          <cell r="X278">
            <v>242</v>
          </cell>
          <cell r="Y278">
            <v>242</v>
          </cell>
        </row>
        <row r="279">
          <cell r="C279" t="str">
            <v>Avg. Fleet</v>
          </cell>
          <cell r="U279">
            <v>196.5</v>
          </cell>
          <cell r="V279">
            <v>208.5</v>
          </cell>
          <cell r="W279">
            <v>221</v>
          </cell>
          <cell r="X279">
            <v>234.5</v>
          </cell>
          <cell r="Y279">
            <v>242</v>
          </cell>
        </row>
        <row r="280">
          <cell r="C280" t="str">
            <v>Seats</v>
          </cell>
          <cell r="U280">
            <v>150</v>
          </cell>
          <cell r="V280">
            <v>150</v>
          </cell>
          <cell r="W280">
            <v>150</v>
          </cell>
          <cell r="X280">
            <v>150</v>
          </cell>
          <cell r="Y280">
            <v>150</v>
          </cell>
        </row>
        <row r="281">
          <cell r="C281" t="str">
            <v>Avg. Daily Flights</v>
          </cell>
          <cell r="U281">
            <v>4</v>
          </cell>
          <cell r="V281">
            <v>4</v>
          </cell>
          <cell r="W281">
            <v>4</v>
          </cell>
          <cell r="X281">
            <v>4</v>
          </cell>
          <cell r="Y281">
            <v>4</v>
          </cell>
        </row>
        <row r="282">
          <cell r="C282" t="str">
            <v>Load Factor</v>
          </cell>
          <cell r="U282">
            <v>0.8</v>
          </cell>
          <cell r="V282">
            <v>0.8</v>
          </cell>
          <cell r="W282">
            <v>0.8</v>
          </cell>
          <cell r="X282">
            <v>0.8</v>
          </cell>
          <cell r="Y282">
            <v>0.8</v>
          </cell>
        </row>
        <row r="283">
          <cell r="C283" t="str">
            <v>% Pax Participation</v>
          </cell>
          <cell r="U283">
            <v>0.1</v>
          </cell>
          <cell r="V283">
            <v>0.15000000000000002</v>
          </cell>
          <cell r="W283">
            <v>0.2</v>
          </cell>
          <cell r="X283">
            <v>0.25</v>
          </cell>
          <cell r="Y283">
            <v>0.3</v>
          </cell>
        </row>
        <row r="284">
          <cell r="C284" t="str">
            <v>Monthly Pax Subs (000s)</v>
          </cell>
          <cell r="U284">
            <v>282.95999999999998</v>
          </cell>
          <cell r="V284">
            <v>450.36000000000007</v>
          </cell>
          <cell r="W284">
            <v>636.48</v>
          </cell>
          <cell r="X284">
            <v>844.2</v>
          </cell>
          <cell r="Y284">
            <v>1045.44</v>
          </cell>
        </row>
        <row r="285">
          <cell r="C285" t="str">
            <v>ARPU (Per Flight)</v>
          </cell>
          <cell r="U285">
            <v>8</v>
          </cell>
          <cell r="V285">
            <v>8</v>
          </cell>
          <cell r="W285">
            <v>8</v>
          </cell>
          <cell r="X285">
            <v>8</v>
          </cell>
          <cell r="Y285">
            <v>8</v>
          </cell>
        </row>
        <row r="286">
          <cell r="C286" t="str">
            <v>% ViaSat Revenue Share (Illustrative)</v>
          </cell>
          <cell r="U286">
            <v>0.5</v>
          </cell>
          <cell r="V286">
            <v>0.5</v>
          </cell>
          <cell r="W286">
            <v>0.5</v>
          </cell>
          <cell r="X286">
            <v>0.5</v>
          </cell>
          <cell r="Y286">
            <v>0.5</v>
          </cell>
        </row>
        <row r="287">
          <cell r="C287" t="str">
            <v>Annual ViaSat Service Revenue ($MM) - A320</v>
          </cell>
          <cell r="U287">
            <v>13.582079999999998</v>
          </cell>
          <cell r="V287">
            <v>21.617280000000001</v>
          </cell>
          <cell r="W287">
            <v>30.55104</v>
          </cell>
          <cell r="X287">
            <v>40.521600000000007</v>
          </cell>
          <cell r="Y287">
            <v>50.18112</v>
          </cell>
        </row>
        <row r="288">
          <cell r="D288" t="str">
            <v>Y/Y Chg.</v>
          </cell>
          <cell r="V288">
            <v>0.59160305343511488</v>
          </cell>
          <cell r="W288">
            <v>0.41326938449240602</v>
          </cell>
          <cell r="X288">
            <v>0.32635746606334859</v>
          </cell>
          <cell r="Y288">
            <v>0.23837953091684416</v>
          </cell>
        </row>
        <row r="290">
          <cell r="C290" t="str">
            <v>Embraer 190</v>
          </cell>
        </row>
        <row r="291">
          <cell r="C291" t="str">
            <v>BOP Fleet</v>
          </cell>
          <cell r="U291">
            <v>100</v>
          </cell>
          <cell r="V291">
            <v>106</v>
          </cell>
          <cell r="W291">
            <v>113</v>
          </cell>
          <cell r="X291">
            <v>120</v>
          </cell>
          <cell r="Y291">
            <v>127</v>
          </cell>
        </row>
        <row r="292">
          <cell r="C292" t="str">
            <v>Firm Orders</v>
          </cell>
          <cell r="U292">
            <v>6</v>
          </cell>
          <cell r="V292">
            <v>7</v>
          </cell>
          <cell r="W292">
            <v>7</v>
          </cell>
          <cell r="X292">
            <v>7</v>
          </cell>
          <cell r="Y292">
            <v>8</v>
          </cell>
        </row>
        <row r="293">
          <cell r="C293" t="str">
            <v>Retirements</v>
          </cell>
          <cell r="U293">
            <v>0</v>
          </cell>
          <cell r="V293">
            <v>0</v>
          </cell>
          <cell r="W293">
            <v>0</v>
          </cell>
          <cell r="X293">
            <v>0</v>
          </cell>
          <cell r="Y293">
            <v>0</v>
          </cell>
        </row>
        <row r="294">
          <cell r="C294" t="str">
            <v>EOP Fleet</v>
          </cell>
          <cell r="U294">
            <v>106</v>
          </cell>
          <cell r="V294">
            <v>113</v>
          </cell>
          <cell r="W294">
            <v>120</v>
          </cell>
          <cell r="X294">
            <v>127</v>
          </cell>
          <cell r="Y294">
            <v>135</v>
          </cell>
        </row>
        <row r="295">
          <cell r="C295" t="str">
            <v>Avg. Fleet</v>
          </cell>
          <cell r="U295">
            <v>53</v>
          </cell>
          <cell r="V295">
            <v>56.5</v>
          </cell>
          <cell r="W295">
            <v>60</v>
          </cell>
          <cell r="X295">
            <v>63.5</v>
          </cell>
          <cell r="Y295">
            <v>67.5</v>
          </cell>
        </row>
        <row r="296">
          <cell r="C296" t="str">
            <v>Seats</v>
          </cell>
          <cell r="U296">
            <v>100</v>
          </cell>
          <cell r="V296">
            <v>100</v>
          </cell>
          <cell r="W296">
            <v>100</v>
          </cell>
          <cell r="X296">
            <v>100</v>
          </cell>
          <cell r="Y296">
            <v>100</v>
          </cell>
        </row>
        <row r="297">
          <cell r="C297" t="str">
            <v>Avg. Daily Flights</v>
          </cell>
          <cell r="U297">
            <v>4</v>
          </cell>
          <cell r="V297">
            <v>4</v>
          </cell>
          <cell r="W297">
            <v>4</v>
          </cell>
          <cell r="X297">
            <v>4</v>
          </cell>
          <cell r="Y297">
            <v>4</v>
          </cell>
        </row>
        <row r="298">
          <cell r="C298" t="str">
            <v>Load Factor</v>
          </cell>
          <cell r="U298">
            <v>0.8</v>
          </cell>
          <cell r="V298">
            <v>0.8</v>
          </cell>
          <cell r="W298">
            <v>0.8</v>
          </cell>
          <cell r="X298">
            <v>0.8</v>
          </cell>
          <cell r="Y298">
            <v>0.8</v>
          </cell>
        </row>
        <row r="299">
          <cell r="C299" t="str">
            <v>% Pax Participation</v>
          </cell>
          <cell r="U299">
            <v>0.1</v>
          </cell>
          <cell r="V299">
            <v>0.15000000000000002</v>
          </cell>
          <cell r="W299">
            <v>0.2</v>
          </cell>
          <cell r="X299">
            <v>0.25</v>
          </cell>
          <cell r="Y299">
            <v>0.3</v>
          </cell>
        </row>
        <row r="300">
          <cell r="C300" t="str">
            <v>Monthly Pax Subs (000s)</v>
          </cell>
          <cell r="U300">
            <v>50.88</v>
          </cell>
          <cell r="V300">
            <v>81.360000000000014</v>
          </cell>
          <cell r="W300">
            <v>115.2</v>
          </cell>
          <cell r="X300">
            <v>152.4</v>
          </cell>
          <cell r="Y300">
            <v>194.4</v>
          </cell>
        </row>
        <row r="301">
          <cell r="C301" t="str">
            <v>ARPU (Per Flight)</v>
          </cell>
          <cell r="U301">
            <v>8</v>
          </cell>
          <cell r="V301">
            <v>8</v>
          </cell>
          <cell r="W301">
            <v>8</v>
          </cell>
          <cell r="X301">
            <v>8</v>
          </cell>
          <cell r="Y301">
            <v>8</v>
          </cell>
        </row>
        <row r="302">
          <cell r="C302" t="str">
            <v>% ViaSat Revenue Share (Illustrative)</v>
          </cell>
          <cell r="U302">
            <v>0.5</v>
          </cell>
          <cell r="V302">
            <v>0.5</v>
          </cell>
          <cell r="W302">
            <v>0.5</v>
          </cell>
          <cell r="X302">
            <v>0.5</v>
          </cell>
          <cell r="Y302">
            <v>0.5</v>
          </cell>
        </row>
        <row r="303">
          <cell r="C303" t="str">
            <v>Annual ViaSat Service Revenue ($MM) - E190</v>
          </cell>
          <cell r="U303">
            <v>2.4422400000000004</v>
          </cell>
          <cell r="V303">
            <v>3.9052800000000008</v>
          </cell>
          <cell r="W303">
            <v>5.5296000000000003</v>
          </cell>
          <cell r="X303">
            <v>7.3152000000000008</v>
          </cell>
          <cell r="Y303">
            <v>9.3312000000000008</v>
          </cell>
        </row>
        <row r="304">
          <cell r="D304" t="str">
            <v>Y/Y Chg.</v>
          </cell>
          <cell r="V304">
            <v>0.59905660377358494</v>
          </cell>
          <cell r="W304">
            <v>0.41592920353982277</v>
          </cell>
          <cell r="X304">
            <v>0.32291666666666674</v>
          </cell>
          <cell r="Y304">
            <v>0.27559055118110232</v>
          </cell>
        </row>
        <row r="306">
          <cell r="C306" t="str">
            <v>Total Service Revenue ($MM)</v>
          </cell>
          <cell r="U306">
            <v>16.024319999999999</v>
          </cell>
          <cell r="V306">
            <v>25.522560000000002</v>
          </cell>
          <cell r="W306">
            <v>36.080640000000002</v>
          </cell>
          <cell r="X306">
            <v>47.836800000000011</v>
          </cell>
          <cell r="Y306">
            <v>59.512320000000003</v>
          </cell>
        </row>
        <row r="307">
          <cell r="D307" t="str">
            <v>Y/Y Chg.</v>
          </cell>
          <cell r="V307">
            <v>0.59273903666427041</v>
          </cell>
          <cell r="W307">
            <v>0.41367637102234256</v>
          </cell>
          <cell r="X307">
            <v>0.325830140485313</v>
          </cell>
          <cell r="Y307">
            <v>0.24406983744732069</v>
          </cell>
        </row>
        <row r="309">
          <cell r="C309" t="str">
            <v>Equipment/Installation Revenue ($000s)</v>
          </cell>
        </row>
        <row r="310">
          <cell r="C310" t="str">
            <v>Ka-band Antenna</v>
          </cell>
          <cell r="U310">
            <v>50</v>
          </cell>
          <cell r="V310">
            <v>50</v>
          </cell>
          <cell r="W310">
            <v>50</v>
          </cell>
          <cell r="X310">
            <v>50</v>
          </cell>
          <cell r="Y310">
            <v>50</v>
          </cell>
        </row>
        <row r="311">
          <cell r="C311" t="str">
            <v>SurfBeam Modem</v>
          </cell>
          <cell r="U311">
            <v>50</v>
          </cell>
          <cell r="V311">
            <v>50</v>
          </cell>
          <cell r="W311">
            <v>50</v>
          </cell>
          <cell r="X311">
            <v>50</v>
          </cell>
          <cell r="Y311">
            <v>50</v>
          </cell>
        </row>
        <row r="312">
          <cell r="C312" t="str">
            <v>Installation Fee</v>
          </cell>
          <cell r="U312">
            <v>50</v>
          </cell>
          <cell r="V312">
            <v>50</v>
          </cell>
          <cell r="W312">
            <v>50</v>
          </cell>
          <cell r="X312">
            <v>50</v>
          </cell>
          <cell r="Y312">
            <v>50</v>
          </cell>
        </row>
        <row r="313">
          <cell r="C313" t="str">
            <v>Total per Aircraft ($000s)</v>
          </cell>
          <cell r="U313">
            <v>150</v>
          </cell>
          <cell r="V313">
            <v>150</v>
          </cell>
          <cell r="W313">
            <v>150</v>
          </cell>
          <cell r="X313">
            <v>150</v>
          </cell>
          <cell r="Y313">
            <v>150</v>
          </cell>
        </row>
        <row r="315">
          <cell r="C315" t="str">
            <v>New Planes</v>
          </cell>
          <cell r="U315">
            <v>177</v>
          </cell>
          <cell r="V315">
            <v>20</v>
          </cell>
          <cell r="W315">
            <v>19</v>
          </cell>
          <cell r="X315">
            <v>22</v>
          </cell>
          <cell r="Y315">
            <v>8</v>
          </cell>
        </row>
        <row r="316">
          <cell r="C316" t="str">
            <v>Total Commercial Networks Revenue ($MM)</v>
          </cell>
          <cell r="U316">
            <v>26.55</v>
          </cell>
          <cell r="V316">
            <v>3</v>
          </cell>
          <cell r="W316">
            <v>2.85</v>
          </cell>
          <cell r="X316">
            <v>3.3</v>
          </cell>
          <cell r="Y316">
            <v>1.2</v>
          </cell>
        </row>
        <row r="319">
          <cell r="E319" t="str">
            <v>% Pax Participation</v>
          </cell>
        </row>
        <row r="320">
          <cell r="E320" t="str">
            <v>Bull Case</v>
          </cell>
          <cell r="U320">
            <v>0.1</v>
          </cell>
          <cell r="V320">
            <v>0.2</v>
          </cell>
          <cell r="W320">
            <v>0.30000000000000004</v>
          </cell>
          <cell r="X320">
            <v>0.4</v>
          </cell>
          <cell r="Y320">
            <v>0.5</v>
          </cell>
        </row>
        <row r="321">
          <cell r="E321" t="str">
            <v>Base Case</v>
          </cell>
          <cell r="U321">
            <v>0.1</v>
          </cell>
          <cell r="V321">
            <v>0.15000000000000002</v>
          </cell>
          <cell r="W321">
            <v>0.2</v>
          </cell>
          <cell r="X321">
            <v>0.25</v>
          </cell>
          <cell r="Y321">
            <v>0.3</v>
          </cell>
        </row>
        <row r="322">
          <cell r="E322" t="str">
            <v>Bear Case</v>
          </cell>
          <cell r="U322">
            <v>0.05</v>
          </cell>
          <cell r="V322">
            <v>0.1</v>
          </cell>
          <cell r="W322">
            <v>0.15000000000000002</v>
          </cell>
          <cell r="X322">
            <v>0.2</v>
          </cell>
          <cell r="Y322">
            <v>0.2</v>
          </cell>
        </row>
        <row r="323">
          <cell r="E323" t="str">
            <v>Using Base Case</v>
          </cell>
          <cell r="U323">
            <v>0.1</v>
          </cell>
          <cell r="V323">
            <v>0.15000000000000002</v>
          </cell>
          <cell r="W323">
            <v>0.2</v>
          </cell>
          <cell r="X323">
            <v>0.25</v>
          </cell>
          <cell r="Y323">
            <v>0.3</v>
          </cell>
        </row>
        <row r="324">
          <cell r="E324">
            <v>2</v>
          </cell>
        </row>
        <row r="326">
          <cell r="E326" t="str">
            <v>ARPU (Per Flight)</v>
          </cell>
        </row>
        <row r="327">
          <cell r="E327" t="str">
            <v>Bull Case</v>
          </cell>
          <cell r="U327">
            <v>10</v>
          </cell>
          <cell r="V327">
            <v>10</v>
          </cell>
          <cell r="W327">
            <v>10</v>
          </cell>
          <cell r="X327">
            <v>10</v>
          </cell>
          <cell r="Y327">
            <v>10</v>
          </cell>
        </row>
        <row r="328">
          <cell r="E328" t="str">
            <v>Base Case</v>
          </cell>
          <cell r="U328">
            <v>8</v>
          </cell>
          <cell r="V328">
            <v>8</v>
          </cell>
          <cell r="W328">
            <v>8</v>
          </cell>
          <cell r="X328">
            <v>8</v>
          </cell>
          <cell r="Y328">
            <v>8</v>
          </cell>
        </row>
        <row r="329">
          <cell r="E329" t="str">
            <v>Bear Case</v>
          </cell>
          <cell r="U329">
            <v>5</v>
          </cell>
          <cell r="V329">
            <v>5</v>
          </cell>
          <cell r="W329">
            <v>5</v>
          </cell>
          <cell r="X329">
            <v>5</v>
          </cell>
          <cell r="Y329">
            <v>5</v>
          </cell>
        </row>
        <row r="330">
          <cell r="E330" t="str">
            <v>Using Base Case</v>
          </cell>
          <cell r="U330">
            <v>8</v>
          </cell>
          <cell r="V330">
            <v>8</v>
          </cell>
          <cell r="W330">
            <v>8</v>
          </cell>
          <cell r="X330">
            <v>8</v>
          </cell>
          <cell r="Y330">
            <v>8</v>
          </cell>
        </row>
        <row r="331">
          <cell r="E331">
            <v>2</v>
          </cell>
        </row>
      </sheetData>
      <sheetData sheetId="7" refreshError="1"/>
      <sheetData sheetId="8" refreshError="1"/>
      <sheetData sheetId="9" refreshError="1"/>
      <sheetData sheetId="10" refreshError="1"/>
      <sheetData sheetId="11" refreshError="1"/>
      <sheetData sheetId="12" refreshError="1"/>
      <sheetData sheetId="13" refreshError="1">
        <row r="4">
          <cell r="R4">
            <v>0.15</v>
          </cell>
        </row>
        <row r="5">
          <cell r="L5" t="str">
            <v>ViaSat-1 Capitalization</v>
          </cell>
          <cell r="Q5" t="str">
            <v>Gross</v>
          </cell>
          <cell r="R5" t="str">
            <v>Loral</v>
          </cell>
          <cell r="S5" t="str">
            <v>VSAT</v>
          </cell>
        </row>
        <row r="7">
          <cell r="L7" t="str">
            <v>Purchase Price</v>
          </cell>
          <cell r="Q7">
            <v>246</v>
          </cell>
          <cell r="R7">
            <v>-36.9</v>
          </cell>
          <cell r="S7">
            <v>209.1</v>
          </cell>
        </row>
        <row r="9">
          <cell r="L9" t="str">
            <v xml:space="preserve">    International Launch Services</v>
          </cell>
          <cell r="Q9">
            <v>80</v>
          </cell>
          <cell r="R9">
            <v>-12</v>
          </cell>
          <cell r="S9">
            <v>68</v>
          </cell>
        </row>
        <row r="11">
          <cell r="L11" t="str">
            <v xml:space="preserve">    Launch Insurance</v>
          </cell>
          <cell r="Q11">
            <v>70</v>
          </cell>
          <cell r="R11">
            <v>-10.5</v>
          </cell>
          <cell r="S11">
            <v>59.5</v>
          </cell>
        </row>
        <row r="13">
          <cell r="L13" t="str">
            <v>Total Launch and Launch Insurance</v>
          </cell>
          <cell r="Q13">
            <v>150</v>
          </cell>
          <cell r="R13">
            <v>-22.5</v>
          </cell>
          <cell r="S13">
            <v>127.5</v>
          </cell>
        </row>
        <row r="14">
          <cell r="I14" t="str">
            <v>adj for stock comp etc</v>
          </cell>
        </row>
        <row r="15">
          <cell r="L15" t="str">
            <v>Total ViaSat-1 Cost</v>
          </cell>
          <cell r="Q15">
            <v>400</v>
          </cell>
          <cell r="R15">
            <v>-60</v>
          </cell>
          <cell r="S15">
            <v>340</v>
          </cell>
        </row>
        <row r="20">
          <cell r="I20" t="str">
            <v>VSAT stock performance since announcement of ViaSat-1 (prestock drop)</v>
          </cell>
        </row>
        <row r="21">
          <cell r="I21">
            <v>39454</v>
          </cell>
          <cell r="J21">
            <v>32.15</v>
          </cell>
          <cell r="K21">
            <v>375.09</v>
          </cell>
        </row>
        <row r="22">
          <cell r="I22">
            <v>40464</v>
          </cell>
          <cell r="J22">
            <v>41.89</v>
          </cell>
          <cell r="K22">
            <v>375</v>
          </cell>
        </row>
        <row r="23">
          <cell r="I23" t="str">
            <v>Abs</v>
          </cell>
          <cell r="J23">
            <v>0.30295489891135308</v>
          </cell>
          <cell r="K23">
            <v>-2.3994241382063741E-4</v>
          </cell>
        </row>
        <row r="24">
          <cell r="I24" t="str">
            <v>Rel</v>
          </cell>
          <cell r="J24">
            <v>0.30319484132517371</v>
          </cell>
        </row>
        <row r="26">
          <cell r="I26" t="str">
            <v>VSAT stock performance since announcement of ViaSat-1 (post stock drop)</v>
          </cell>
        </row>
        <row r="27">
          <cell r="I27">
            <v>39458</v>
          </cell>
          <cell r="J27">
            <v>22.72</v>
          </cell>
          <cell r="K27">
            <v>364.54</v>
          </cell>
        </row>
        <row r="28">
          <cell r="I28">
            <v>40464</v>
          </cell>
          <cell r="J28">
            <v>41.89</v>
          </cell>
          <cell r="K28">
            <v>375</v>
          </cell>
        </row>
        <row r="29">
          <cell r="I29" t="str">
            <v>Abs</v>
          </cell>
          <cell r="J29">
            <v>0.84375000000000022</v>
          </cell>
          <cell r="K29">
            <v>2.8693696165029925E-2</v>
          </cell>
        </row>
        <row r="30">
          <cell r="I30" t="str">
            <v>Rel</v>
          </cell>
          <cell r="J30">
            <v>0.8150563038349703</v>
          </cell>
        </row>
        <row r="32">
          <cell r="I32" t="str">
            <v>VSAT stock performance since announcement of WildBlue acquisition</v>
          </cell>
        </row>
        <row r="33">
          <cell r="I33">
            <v>40087</v>
          </cell>
          <cell r="J33">
            <v>27</v>
          </cell>
          <cell r="K33">
            <v>307.52999999999997</v>
          </cell>
        </row>
        <row r="34">
          <cell r="E34" t="str">
            <v>VSAT</v>
          </cell>
          <cell r="I34">
            <v>40464</v>
          </cell>
          <cell r="J34">
            <v>41.89</v>
          </cell>
          <cell r="K34">
            <v>375</v>
          </cell>
        </row>
        <row r="35">
          <cell r="D35">
            <v>39454</v>
          </cell>
          <cell r="E35">
            <v>977.27359999999999</v>
          </cell>
          <cell r="I35" t="str">
            <v>Abs</v>
          </cell>
          <cell r="J35">
            <v>0.55148148148148146</v>
          </cell>
          <cell r="K35">
            <v>0.21939322992878751</v>
          </cell>
        </row>
        <row r="36">
          <cell r="D36">
            <v>39455</v>
          </cell>
          <cell r="E36">
            <v>811.91219999999998</v>
          </cell>
          <cell r="F36">
            <v>-165.3614</v>
          </cell>
          <cell r="I36" t="str">
            <v>Rel</v>
          </cell>
          <cell r="J36">
            <v>0.33208825155269395</v>
          </cell>
        </row>
        <row r="37">
          <cell r="D37">
            <v>39456</v>
          </cell>
          <cell r="E37">
            <v>744.12616000000003</v>
          </cell>
          <cell r="F37">
            <v>-233.14743999999996</v>
          </cell>
        </row>
        <row r="38">
          <cell r="D38">
            <v>39457</v>
          </cell>
          <cell r="E38">
            <v>714.64080000000001</v>
          </cell>
          <cell r="F38">
            <v>-262.63279999999997</v>
          </cell>
          <cell r="I38" t="str">
            <v>VSAT stock performance since disclosure of 25% Baupost stake</v>
          </cell>
        </row>
        <row r="39">
          <cell r="D39">
            <v>39458</v>
          </cell>
          <cell r="E39">
            <v>690.62689999999998</v>
          </cell>
          <cell r="F39">
            <v>-286.64670000000001</v>
          </cell>
          <cell r="J39" t="str">
            <v>VSAT</v>
          </cell>
          <cell r="K39" t="str">
            <v>SML</v>
          </cell>
        </row>
        <row r="40">
          <cell r="D40">
            <v>39461</v>
          </cell>
          <cell r="E40">
            <v>692.45079999999996</v>
          </cell>
          <cell r="F40">
            <v>-284.82280000000003</v>
          </cell>
          <cell r="I40">
            <v>40087</v>
          </cell>
          <cell r="J40">
            <v>27</v>
          </cell>
          <cell r="K40">
            <v>307.52999999999997</v>
          </cell>
        </row>
        <row r="41">
          <cell r="D41">
            <v>39462</v>
          </cell>
          <cell r="E41">
            <v>683.63556000000005</v>
          </cell>
          <cell r="F41">
            <v>-293.63803999999993</v>
          </cell>
          <cell r="I41">
            <v>40493</v>
          </cell>
        </row>
        <row r="42">
          <cell r="I42" t="str">
            <v>Abs</v>
          </cell>
          <cell r="J42">
            <v>-1</v>
          </cell>
          <cell r="K42">
            <v>-1</v>
          </cell>
        </row>
        <row r="43">
          <cell r="E43" t="str">
            <v>VSAT</v>
          </cell>
          <cell r="I43" t="str">
            <v>Rel</v>
          </cell>
          <cell r="J43">
            <v>0</v>
          </cell>
        </row>
        <row r="44">
          <cell r="D44">
            <v>39454</v>
          </cell>
          <cell r="E44">
            <v>32.15</v>
          </cell>
        </row>
        <row r="45">
          <cell r="D45">
            <v>39455</v>
          </cell>
          <cell r="E45">
            <v>26.71</v>
          </cell>
          <cell r="F45">
            <v>-0.16920684292379462</v>
          </cell>
          <cell r="I45" t="str">
            <v>Past Year</v>
          </cell>
        </row>
        <row r="46">
          <cell r="D46">
            <v>39456</v>
          </cell>
          <cell r="E46">
            <v>24.48</v>
          </cell>
          <cell r="F46">
            <v>-0.23856920684292371</v>
          </cell>
          <cell r="J46" t="str">
            <v>VSAT</v>
          </cell>
          <cell r="K46" t="str">
            <v>SML</v>
          </cell>
        </row>
        <row r="47">
          <cell r="D47">
            <v>39457</v>
          </cell>
          <cell r="E47">
            <v>23.51</v>
          </cell>
          <cell r="F47">
            <v>-0.26874027993779148</v>
          </cell>
          <cell r="I47">
            <v>39734</v>
          </cell>
          <cell r="J47">
            <v>19.8</v>
          </cell>
          <cell r="K47">
            <v>306.08999999999997</v>
          </cell>
        </row>
        <row r="48">
          <cell r="D48">
            <v>39458</v>
          </cell>
          <cell r="E48">
            <v>22.72</v>
          </cell>
          <cell r="F48">
            <v>-0.29331259720062208</v>
          </cell>
          <cell r="I48">
            <v>40464</v>
          </cell>
          <cell r="J48">
            <v>41.89</v>
          </cell>
          <cell r="K48">
            <v>375</v>
          </cell>
        </row>
        <row r="49">
          <cell r="D49">
            <v>39461</v>
          </cell>
          <cell r="E49">
            <v>22.78</v>
          </cell>
          <cell r="F49">
            <v>-0.29144634525660962</v>
          </cell>
          <cell r="I49" t="str">
            <v>Abs</v>
          </cell>
          <cell r="J49">
            <v>1.1156565656565656</v>
          </cell>
          <cell r="K49">
            <v>0.22512986376555921</v>
          </cell>
        </row>
        <row r="50">
          <cell r="D50">
            <v>39462</v>
          </cell>
          <cell r="E50">
            <v>22.49</v>
          </cell>
          <cell r="F50">
            <v>-0.30046656298600316</v>
          </cell>
          <cell r="I50" t="str">
            <v>Rel</v>
          </cell>
          <cell r="J50">
            <v>0.89052670189100636</v>
          </cell>
        </row>
        <row r="51">
          <cell r="D51">
            <v>39463</v>
          </cell>
          <cell r="E51">
            <v>23.15</v>
          </cell>
          <cell r="F51">
            <v>-0.27993779160186627</v>
          </cell>
        </row>
        <row r="52">
          <cell r="D52">
            <v>39464</v>
          </cell>
          <cell r="E52">
            <v>22.35</v>
          </cell>
          <cell r="F52">
            <v>-0.30482115085536543</v>
          </cell>
          <cell r="I52" t="str">
            <v xml:space="preserve">CY13 Valuation - Market Implied Satellite Value </v>
          </cell>
          <cell r="R52" t="str">
            <v xml:space="preserve">CY13 Valuation - Market Implied Satellite Value </v>
          </cell>
        </row>
        <row r="53">
          <cell r="M53" t="str">
            <v>Firm</v>
          </cell>
          <cell r="V53" t="str">
            <v>Firm</v>
          </cell>
        </row>
        <row r="54">
          <cell r="M54" t="str">
            <v>Value</v>
          </cell>
          <cell r="N54" t="str">
            <v xml:space="preserve">Debt </v>
          </cell>
          <cell r="O54" t="str">
            <v>Equity</v>
          </cell>
          <cell r="P54" t="str">
            <v>Per Share</v>
          </cell>
          <cell r="V54" t="str">
            <v>Value</v>
          </cell>
          <cell r="W54" t="str">
            <v xml:space="preserve">Debt </v>
          </cell>
          <cell r="X54" t="str">
            <v>Equity</v>
          </cell>
          <cell r="Y54" t="str">
            <v>Per Share</v>
          </cell>
        </row>
        <row r="56">
          <cell r="I56" t="str">
            <v>Current VSAT Market Value</v>
          </cell>
          <cell r="M56">
            <v>2070.9677743900002</v>
          </cell>
          <cell r="N56">
            <v>268.923</v>
          </cell>
          <cell r="O56">
            <v>1802.0447743900002</v>
          </cell>
          <cell r="P56">
            <v>41.52</v>
          </cell>
          <cell r="R56" t="str">
            <v>Current VSAT Market Value</v>
          </cell>
          <cell r="V56">
            <v>2439.015454708574</v>
          </cell>
          <cell r="W56">
            <v>268.923</v>
          </cell>
          <cell r="X56">
            <v>2170.0924547085742</v>
          </cell>
          <cell r="Y56">
            <v>50</v>
          </cell>
        </row>
        <row r="58">
          <cell r="I58" t="str">
            <v>Assuming a peer value for Government Systems…</v>
          </cell>
          <cell r="R58" t="str">
            <v>Assuming a peer value for Government Systems…</v>
          </cell>
        </row>
        <row r="59">
          <cell r="I59" t="str">
            <v>Government Systems EBITDA</v>
          </cell>
          <cell r="M59">
            <v>94.801856744249989</v>
          </cell>
          <cell r="R59" t="str">
            <v>Government Systems EBITDA</v>
          </cell>
          <cell r="V59">
            <v>94.801856744249989</v>
          </cell>
        </row>
        <row r="60">
          <cell r="I60" t="str">
            <v>Harris Corp EV / EBITDA</v>
          </cell>
          <cell r="M60" t="e">
            <v>#VALUE!</v>
          </cell>
          <cell r="R60" t="str">
            <v>Harris Corp EV / EBITDA</v>
          </cell>
          <cell r="V60">
            <v>5</v>
          </cell>
        </row>
        <row r="61">
          <cell r="I61" t="str">
            <v>Government Systems Value</v>
          </cell>
          <cell r="M61" t="e">
            <v>#VALUE!</v>
          </cell>
          <cell r="N61">
            <v>0</v>
          </cell>
          <cell r="O61" t="e">
            <v>#VALUE!</v>
          </cell>
          <cell r="P61" t="e">
            <v>#VALUE!</v>
          </cell>
          <cell r="R61" t="str">
            <v>Government Systems Value</v>
          </cell>
          <cell r="V61">
            <v>474.00928372124997</v>
          </cell>
          <cell r="W61">
            <v>0</v>
          </cell>
          <cell r="X61">
            <v>474.00928372124997</v>
          </cell>
          <cell r="Y61">
            <v>10.921407580878981</v>
          </cell>
        </row>
        <row r="63">
          <cell r="I63" t="str">
            <v>...How is the market valuing the satellite businesses?</v>
          </cell>
          <cell r="R63" t="str">
            <v>...How is the market valuing the satellite businesses?</v>
          </cell>
        </row>
        <row r="64">
          <cell r="I64" t="str">
            <v>Implied Satellite Business Value</v>
          </cell>
          <cell r="M64" t="e">
            <v>#VALUE!</v>
          </cell>
          <cell r="N64">
            <v>268.923</v>
          </cell>
          <cell r="O64" t="e">
            <v>#VALUE!</v>
          </cell>
          <cell r="P64" t="e">
            <v>#VALUE!</v>
          </cell>
          <cell r="R64" t="str">
            <v>Implied Satellite Business Value</v>
          </cell>
          <cell r="V64">
            <v>1965.0061709873239</v>
          </cell>
          <cell r="W64">
            <v>268.923</v>
          </cell>
          <cell r="X64">
            <v>1696.0831709873239</v>
          </cell>
          <cell r="Y64">
            <v>39.078592419121016</v>
          </cell>
        </row>
        <row r="65">
          <cell r="I65" t="str">
            <v>Satellite Business EBITDA</v>
          </cell>
          <cell r="M65">
            <v>254.68373697989813</v>
          </cell>
          <cell r="R65" t="str">
            <v>Satellite Business EBITDA</v>
          </cell>
          <cell r="V65">
            <v>254.68373697989813</v>
          </cell>
        </row>
        <row r="66">
          <cell r="I66" t="str">
            <v>Satellite Business EV / EBITDA</v>
          </cell>
          <cell r="M66" t="e">
            <v>#VALUE!</v>
          </cell>
          <cell r="R66" t="str">
            <v>Satellite Business EV / EBITDA</v>
          </cell>
          <cell r="V66">
            <v>7.7154756494813777</v>
          </cell>
        </row>
        <row r="68">
          <cell r="I68" t="str">
            <v>Diluted Shares</v>
          </cell>
          <cell r="M68">
            <v>43.401849094171482</v>
          </cell>
          <cell r="R68" t="str">
            <v>Diluted Shares</v>
          </cell>
          <cell r="V68">
            <v>43.401849094171482</v>
          </cell>
        </row>
        <row r="69">
          <cell r="F69">
            <v>0.21091822697804849</v>
          </cell>
        </row>
        <row r="70">
          <cell r="F70">
            <v>22</v>
          </cell>
          <cell r="M70" t="str">
            <v>FY11</v>
          </cell>
        </row>
        <row r="71">
          <cell r="F71">
            <v>2.3918659999999998</v>
          </cell>
        </row>
        <row r="72">
          <cell r="F72">
            <v>52.621051999999999</v>
          </cell>
          <cell r="M72">
            <v>67.830465000000004</v>
          </cell>
          <cell r="N72">
            <v>85.308600000000013</v>
          </cell>
          <cell r="O72">
            <v>91.505362274999996</v>
          </cell>
          <cell r="P72">
            <v>95.900688233999986</v>
          </cell>
        </row>
        <row r="73">
          <cell r="F73">
            <v>41.384967989086448</v>
          </cell>
          <cell r="M73">
            <v>14.649923999999999</v>
          </cell>
          <cell r="N73">
            <v>20.4039973</v>
          </cell>
          <cell r="O73">
            <v>25.240948045000003</v>
          </cell>
          <cell r="P73">
            <v>31.533387100200002</v>
          </cell>
        </row>
        <row r="74">
          <cell r="M74">
            <v>102.76400554633054</v>
          </cell>
          <cell r="N74">
            <v>131.97657435243119</v>
          </cell>
          <cell r="O74">
            <v>188.19278929102884</v>
          </cell>
          <cell r="P74">
            <v>236.90034976098789</v>
          </cell>
        </row>
        <row r="76">
          <cell r="N76" t="str">
            <v>CY11</v>
          </cell>
          <cell r="O76" t="str">
            <v>CY12</v>
          </cell>
          <cell r="P76" t="str">
            <v>CY13</v>
          </cell>
        </row>
        <row r="77">
          <cell r="F77">
            <v>41274</v>
          </cell>
          <cell r="N77">
            <v>80.93906625000001</v>
          </cell>
          <cell r="O77">
            <v>89.956171706250004</v>
          </cell>
          <cell r="P77">
            <v>94.801856744249989</v>
          </cell>
        </row>
        <row r="78">
          <cell r="F78">
            <v>40493</v>
          </cell>
          <cell r="N78">
            <v>18.965478975</v>
          </cell>
          <cell r="O78">
            <v>24.031710358750001</v>
          </cell>
          <cell r="P78">
            <v>29.960277336400004</v>
          </cell>
        </row>
        <row r="79">
          <cell r="F79">
            <v>0.11879999999999999</v>
          </cell>
          <cell r="N79">
            <v>124.67343215090602</v>
          </cell>
          <cell r="O79">
            <v>174.13873555637943</v>
          </cell>
          <cell r="P79">
            <v>224.72345964349813</v>
          </cell>
        </row>
        <row r="110">
          <cell r="H110" t="str">
            <v>1Q08</v>
          </cell>
        </row>
        <row r="111">
          <cell r="H111" t="str">
            <v>2Q08</v>
          </cell>
        </row>
        <row r="112">
          <cell r="H112" t="str">
            <v>3Q08</v>
          </cell>
        </row>
        <row r="113">
          <cell r="H113" t="str">
            <v>4Q08</v>
          </cell>
        </row>
        <row r="114">
          <cell r="H114" t="str">
            <v>1Q09</v>
          </cell>
        </row>
        <row r="115">
          <cell r="H115" t="str">
            <v>2Q09</v>
          </cell>
        </row>
        <row r="116">
          <cell r="H116" t="str">
            <v>3Q09</v>
          </cell>
        </row>
        <row r="117">
          <cell r="H117" t="str">
            <v>4Q09</v>
          </cell>
        </row>
        <row r="118">
          <cell r="H118" t="str">
            <v>1Q10</v>
          </cell>
        </row>
        <row r="119">
          <cell r="H119" t="str">
            <v>2Q10</v>
          </cell>
        </row>
        <row r="120">
          <cell r="H120" t="str">
            <v>3Q10</v>
          </cell>
        </row>
        <row r="121">
          <cell r="H121" t="str">
            <v>4Q10</v>
          </cell>
        </row>
        <row r="122">
          <cell r="H122" t="str">
            <v>1Q11</v>
          </cell>
        </row>
        <row r="123">
          <cell r="H123" t="str">
            <v>2Q11E</v>
          </cell>
        </row>
        <row r="124">
          <cell r="H124" t="str">
            <v>3Q11E</v>
          </cell>
        </row>
        <row r="125">
          <cell r="H125" t="str">
            <v>4Q11E</v>
          </cell>
        </row>
        <row r="134">
          <cell r="H134" t="str">
            <v>FYE March 31</v>
          </cell>
        </row>
        <row r="135">
          <cell r="H135" t="str">
            <v xml:space="preserve">FY08 </v>
          </cell>
          <cell r="I135" t="str">
            <v xml:space="preserve">FY09 </v>
          </cell>
          <cell r="J135" t="str">
            <v xml:space="preserve">FY10 </v>
          </cell>
          <cell r="K135" t="str">
            <v xml:space="preserve">FY11 </v>
          </cell>
          <cell r="L135" t="str">
            <v xml:space="preserve">FY12 </v>
          </cell>
        </row>
        <row r="137">
          <cell r="F137" t="str">
            <v>Tactical Data Links</v>
          </cell>
          <cell r="H137">
            <v>137.91600000000003</v>
          </cell>
          <cell r="I137">
            <v>131.91759000000002</v>
          </cell>
          <cell r="J137">
            <v>127.98287999999998</v>
          </cell>
          <cell r="K137">
            <v>112</v>
          </cell>
          <cell r="L137">
            <v>112</v>
          </cell>
          <cell r="N137">
            <v>118.81018000000002</v>
          </cell>
        </row>
        <row r="138">
          <cell r="F138" t="str">
            <v xml:space="preserve">  Y/Y Chg.</v>
          </cell>
          <cell r="H138">
            <v>0.16080962085908812</v>
          </cell>
          <cell r="I138">
            <v>-4.3493213260245356E-2</v>
          </cell>
          <cell r="J138">
            <v>-2.9827030648452824E-2</v>
          </cell>
          <cell r="K138">
            <v>-0.12488295309497632</v>
          </cell>
          <cell r="L138">
            <v>0</v>
          </cell>
        </row>
        <row r="140">
          <cell r="F140" t="str">
            <v>UAV Video Links</v>
          </cell>
          <cell r="H140">
            <v>13.2</v>
          </cell>
          <cell r="I140">
            <v>19.2</v>
          </cell>
          <cell r="J140">
            <v>20.5</v>
          </cell>
          <cell r="K140">
            <v>20.6</v>
          </cell>
          <cell r="L140">
            <v>21.218000000000004</v>
          </cell>
          <cell r="N140">
            <v>9.1</v>
          </cell>
        </row>
        <row r="141">
          <cell r="F141" t="str">
            <v xml:space="preserve">  Y/Y Chg.</v>
          </cell>
          <cell r="H141">
            <v>0.4505494505494505</v>
          </cell>
          <cell r="I141">
            <v>0.45454545454545459</v>
          </cell>
          <cell r="J141">
            <v>6.7708333333333481E-2</v>
          </cell>
          <cell r="K141">
            <v>4.8780487804878092E-3</v>
          </cell>
          <cell r="L141">
            <v>3.0000000000000027E-2</v>
          </cell>
        </row>
        <row r="143">
          <cell r="F143" t="str">
            <v>Info Assurance</v>
          </cell>
          <cell r="H143">
            <v>78.869920000000008</v>
          </cell>
          <cell r="I143">
            <v>124.36992000000001</v>
          </cell>
          <cell r="J143">
            <v>107.96992</v>
          </cell>
          <cell r="K143">
            <v>102</v>
          </cell>
          <cell r="L143">
            <v>112.2</v>
          </cell>
          <cell r="N143">
            <v>76.469920000000002</v>
          </cell>
        </row>
        <row r="144">
          <cell r="F144" t="str">
            <v xml:space="preserve">  Y/Y Chg.</v>
          </cell>
          <cell r="H144">
            <v>3.1384889640266422E-2</v>
          </cell>
          <cell r="I144">
            <v>0.5768992792182368</v>
          </cell>
          <cell r="J144">
            <v>-0.13186468239265581</v>
          </cell>
          <cell r="K144">
            <v>-5.5292437004676898E-2</v>
          </cell>
          <cell r="L144">
            <v>0.10000000000000009</v>
          </cell>
        </row>
        <row r="146">
          <cell r="F146" t="str">
            <v>Govt SatCom</v>
          </cell>
          <cell r="H146">
            <v>83.110240000000005</v>
          </cell>
          <cell r="I146">
            <v>112.71024</v>
          </cell>
          <cell r="J146">
            <v>128.61024</v>
          </cell>
          <cell r="K146">
            <v>157.5</v>
          </cell>
          <cell r="L146">
            <v>181.125</v>
          </cell>
          <cell r="N146">
            <v>57.810240000000007</v>
          </cell>
        </row>
        <row r="147">
          <cell r="F147" t="str">
            <v xml:space="preserve">  Y/Y Chg.</v>
          </cell>
          <cell r="H147">
            <v>0.4376387297475326</v>
          </cell>
          <cell r="I147">
            <v>0.35615346556573524</v>
          </cell>
          <cell r="J147">
            <v>0.14106970227372417</v>
          </cell>
          <cell r="K147">
            <v>0.22463032492591561</v>
          </cell>
          <cell r="L147">
            <v>0.14999999999999991</v>
          </cell>
        </row>
        <row r="149">
          <cell r="F149" t="str">
            <v>Other/Rounding</v>
          </cell>
          <cell r="H149">
            <v>6.4418399999999849</v>
          </cell>
          <cell r="I149">
            <v>0.45825000000004934</v>
          </cell>
          <cell r="J149">
            <v>8.7960000000094851E-2</v>
          </cell>
          <cell r="K149">
            <v>0.64499999999998181</v>
          </cell>
          <cell r="L149">
            <v>0</v>
          </cell>
        </row>
        <row r="150">
          <cell r="F150" t="str">
            <v>Total</v>
          </cell>
          <cell r="H150">
            <v>319.53800000000001</v>
          </cell>
          <cell r="I150">
            <v>388.65600000000006</v>
          </cell>
          <cell r="J150">
            <v>385.15100000000007</v>
          </cell>
          <cell r="K150">
            <v>392.745</v>
          </cell>
          <cell r="L150">
            <v>426.54300000000001</v>
          </cell>
          <cell r="N150">
            <v>278.35199999999998</v>
          </cell>
        </row>
        <row r="151">
          <cell r="F151" t="str">
            <v xml:space="preserve">  Y/Y Chg.</v>
          </cell>
          <cell r="H151">
            <v>0.14796372937862867</v>
          </cell>
          <cell r="I151">
            <v>0.21630604184791813</v>
          </cell>
          <cell r="J151">
            <v>-9.018257790951334E-3</v>
          </cell>
          <cell r="K151">
            <v>1.9716942186311259E-2</v>
          </cell>
          <cell r="L151">
            <v>8.6055837757323506E-2</v>
          </cell>
        </row>
      </sheetData>
      <sheetData sheetId="14" refreshError="1"/>
      <sheetData sheetId="15" refreshError="1"/>
      <sheetData sheetId="16" refreshError="1"/>
      <sheetData sheetId="17" refreshError="1"/>
      <sheetData sheetId="18"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C"/>
      <sheetName val="__FDSCACHE__"/>
      <sheetName val="Main"/>
      <sheetName val="Earnings Analysis"/>
      <sheetName val="QTR Analysis"/>
      <sheetName val="Valuation"/>
      <sheetName val="Act &amp; Landing"/>
      <sheetName val="Nac &amp; Interior"/>
      <sheetName val="Electronic Systems"/>
      <sheetName val="Revs by Market Channel"/>
      <sheetName val="Large Aircraft Build-Up"/>
      <sheetName val="Ship Set Values"/>
      <sheetName val="Bull Base Bear"/>
      <sheetName val="Aftermarket"/>
      <sheetName val="Aircraft Content"/>
      <sheetName val="DCF"/>
      <sheetName val="Output"/>
      <sheetName val="Guidance History"/>
      <sheetName val="MW-Cache"/>
      <sheetName val="MWA RR"/>
      <sheetName val="mwareDates"/>
      <sheetName val="mwareSettings"/>
      <sheetName val="P"/>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1">
          <cell r="A1" t="str">
            <v>Goodrich Corp.</v>
          </cell>
        </row>
        <row r="2">
          <cell r="A2" t="str">
            <v>DCF</v>
          </cell>
        </row>
        <row r="3">
          <cell r="A3" t="str">
            <v>Morgan Stanley Research</v>
          </cell>
        </row>
        <row r="4">
          <cell r="A4" t="str">
            <v>Model Updated: 4/10</v>
          </cell>
          <cell r="J4" t="str">
            <v>red = factset code</v>
          </cell>
        </row>
        <row r="5">
          <cell r="A5" t="str">
            <v>GR</v>
          </cell>
        </row>
        <row r="6">
          <cell r="G6">
            <v>39447</v>
          </cell>
          <cell r="H6">
            <v>39813</v>
          </cell>
          <cell r="I6">
            <v>40178</v>
          </cell>
          <cell r="J6">
            <v>40543</v>
          </cell>
        </row>
        <row r="7">
          <cell r="B7" t="str">
            <v>($ in Millions)</v>
          </cell>
          <cell r="G7">
            <v>2007</v>
          </cell>
          <cell r="H7">
            <v>2008</v>
          </cell>
          <cell r="I7" t="str">
            <v>2009A</v>
          </cell>
          <cell r="J7" t="str">
            <v>2010E</v>
          </cell>
          <cell r="K7" t="str">
            <v>2011E</v>
          </cell>
          <cell r="L7" t="str">
            <v>2012E</v>
          </cell>
          <cell r="M7" t="str">
            <v>2013E</v>
          </cell>
        </row>
        <row r="9">
          <cell r="B9" t="str">
            <v>EBITDA</v>
          </cell>
        </row>
        <row r="10">
          <cell r="C10" t="str">
            <v>Operating Profit</v>
          </cell>
          <cell r="G10">
            <v>881.3</v>
          </cell>
          <cell r="H10">
            <v>1100.9000000000001</v>
          </cell>
          <cell r="I10">
            <v>929.19999999999982</v>
          </cell>
          <cell r="J10">
            <v>1012.7673172403875</v>
          </cell>
          <cell r="K10">
            <v>1180.3258922403872</v>
          </cell>
          <cell r="L10">
            <v>1297.7783044903874</v>
          </cell>
          <cell r="M10">
            <v>1392.5415591078875</v>
          </cell>
        </row>
        <row r="11">
          <cell r="C11" t="str">
            <v>D&amp;A</v>
          </cell>
          <cell r="G11">
            <v>250.2</v>
          </cell>
          <cell r="H11">
            <v>257.2</v>
          </cell>
          <cell r="I11">
            <v>249.3</v>
          </cell>
          <cell r="J11">
            <v>282.14499999999998</v>
          </cell>
          <cell r="K11">
            <v>300.14499999999998</v>
          </cell>
          <cell r="L11">
            <v>318.14499999999998</v>
          </cell>
          <cell r="M11">
            <v>336.14499999999998</v>
          </cell>
        </row>
        <row r="12">
          <cell r="B12" t="str">
            <v>Total</v>
          </cell>
          <cell r="G12">
            <v>1131.5</v>
          </cell>
          <cell r="H12">
            <v>1358.1000000000001</v>
          </cell>
          <cell r="I12">
            <v>1178.4999999999998</v>
          </cell>
          <cell r="J12">
            <v>1294.9123172403874</v>
          </cell>
          <cell r="K12">
            <v>1480.4708922403872</v>
          </cell>
          <cell r="L12">
            <v>1615.9233044903874</v>
          </cell>
          <cell r="M12">
            <v>1728.6865591078874</v>
          </cell>
        </row>
        <row r="14">
          <cell r="B14" t="str">
            <v>Enterprise Value</v>
          </cell>
        </row>
        <row r="15">
          <cell r="C15" t="str">
            <v>Equity Market Cap</v>
          </cell>
          <cell r="G15">
            <v>7713.3689999999997</v>
          </cell>
          <cell r="H15">
            <v>6101.0950000000003</v>
          </cell>
          <cell r="I15">
            <v>8786.5360000000019</v>
          </cell>
          <cell r="J15">
            <v>8772.5</v>
          </cell>
          <cell r="K15">
            <v>8655.9559901674966</v>
          </cell>
          <cell r="L15">
            <v>8491.9533266582257</v>
          </cell>
          <cell r="M15">
            <v>8329.2866217802275</v>
          </cell>
        </row>
        <row r="16">
          <cell r="C16" t="str">
            <v xml:space="preserve">Average/Current Net/Debt </v>
          </cell>
          <cell r="G16">
            <v>1437.65</v>
          </cell>
          <cell r="H16">
            <v>1270.4000000000001</v>
          </cell>
          <cell r="I16">
            <v>956.30000000000018</v>
          </cell>
          <cell r="J16">
            <v>985.90014700921961</v>
          </cell>
          <cell r="K16">
            <v>786.30251518595628</v>
          </cell>
          <cell r="L16">
            <v>424.08717862148092</v>
          </cell>
          <cell r="M16">
            <v>-64.488348509995149</v>
          </cell>
        </row>
        <row r="17">
          <cell r="B17" t="str">
            <v>Total</v>
          </cell>
          <cell r="G17">
            <v>9151.0190000000002</v>
          </cell>
          <cell r="H17">
            <v>7371.4950000000008</v>
          </cell>
          <cell r="I17">
            <v>9742.836000000003</v>
          </cell>
          <cell r="J17">
            <v>9758.4001470092189</v>
          </cell>
          <cell r="K17">
            <v>9442.2585053534531</v>
          </cell>
          <cell r="L17">
            <v>8916.0405052797068</v>
          </cell>
          <cell r="M17">
            <v>8264.798273270233</v>
          </cell>
        </row>
        <row r="19">
          <cell r="B19" t="str">
            <v>EV / EBITDA</v>
          </cell>
          <cell r="G19">
            <v>8.0875112682280168</v>
          </cell>
          <cell r="H19">
            <v>5.4277998674618955</v>
          </cell>
          <cell r="I19">
            <v>8.267149766652528</v>
          </cell>
          <cell r="J19">
            <v>7.5359543785988024</v>
          </cell>
          <cell r="K19">
            <v>6.3778751442147863</v>
          </cell>
          <cell r="L19">
            <v>5.5176136642769391</v>
          </cell>
          <cell r="M19">
            <v>4.7809698234336917</v>
          </cell>
        </row>
        <row r="20">
          <cell r="B20" t="str">
            <v>P/E Ratio (Cont. Ops.)</v>
          </cell>
          <cell r="G20">
            <v>15.551147177419354</v>
          </cell>
          <cell r="H20">
            <v>9.057176152727056</v>
          </cell>
          <cell r="I20">
            <v>15.831596396396403</v>
          </cell>
          <cell r="J20">
            <v>15.775110226807117</v>
          </cell>
          <cell r="K20">
            <v>12.76315945368774</v>
          </cell>
          <cell r="L20">
            <v>11.136637311832281</v>
          </cell>
          <cell r="M20">
            <v>10.027795841372653</v>
          </cell>
        </row>
        <row r="22">
          <cell r="B22" t="str">
            <v>52w High</v>
          </cell>
          <cell r="G22">
            <v>75.739999999999995</v>
          </cell>
          <cell r="H22">
            <v>71.350000000000009</v>
          </cell>
        </row>
        <row r="23">
          <cell r="B23" t="str">
            <v>52w Low</v>
          </cell>
          <cell r="G23">
            <v>44.97</v>
          </cell>
          <cell r="H23">
            <v>25.11</v>
          </cell>
        </row>
        <row r="24">
          <cell r="B24" t="str">
            <v>Current / Average Price</v>
          </cell>
          <cell r="G24">
            <v>60.354999999999997</v>
          </cell>
          <cell r="H24">
            <v>48.230000000000004</v>
          </cell>
          <cell r="I24">
            <v>70.180000000000007</v>
          </cell>
          <cell r="J24">
            <v>70.180000000000007</v>
          </cell>
          <cell r="K24">
            <v>70.180000000000007</v>
          </cell>
          <cell r="L24">
            <v>70.180000000000007</v>
          </cell>
          <cell r="M24">
            <v>70.180000000000007</v>
          </cell>
        </row>
        <row r="27">
          <cell r="A27" t="str">
            <v>DCF</v>
          </cell>
        </row>
        <row r="29">
          <cell r="G29">
            <v>2010</v>
          </cell>
          <cell r="H29">
            <v>2011</v>
          </cell>
          <cell r="I29">
            <v>2012</v>
          </cell>
          <cell r="J29">
            <v>2013</v>
          </cell>
          <cell r="K29">
            <v>2014</v>
          </cell>
        </row>
        <row r="31">
          <cell r="B31" t="str">
            <v>Revenue</v>
          </cell>
          <cell r="F31">
            <v>6685.5999999999995</v>
          </cell>
          <cell r="G31">
            <v>7146.35</v>
          </cell>
          <cell r="H31">
            <v>7769.9804999999997</v>
          </cell>
          <cell r="I31">
            <v>8381.1399149999997</v>
          </cell>
          <cell r="J31">
            <v>8800.1969107500008</v>
          </cell>
          <cell r="K31">
            <v>9064.202818072501</v>
          </cell>
        </row>
        <row r="32">
          <cell r="B32" t="str">
            <v>% Growth</v>
          </cell>
          <cell r="G32">
            <v>6.8916776355151477E-2</v>
          </cell>
          <cell r="H32">
            <v>8.7265597123006744E-2</v>
          </cell>
          <cell r="I32">
            <v>7.8656492767259945E-2</v>
          </cell>
          <cell r="J32">
            <v>0.05</v>
          </cell>
          <cell r="K32">
            <v>0.03</v>
          </cell>
        </row>
        <row r="34">
          <cell r="B34" t="str">
            <v>EBITDA</v>
          </cell>
          <cell r="G34">
            <v>1260.5123172403873</v>
          </cell>
          <cell r="H34">
            <v>1448.4708922403872</v>
          </cell>
          <cell r="I34">
            <v>1583.9233044903874</v>
          </cell>
          <cell r="J34">
            <v>1663.1194697149069</v>
          </cell>
          <cell r="K34">
            <v>1713.0130538063543</v>
          </cell>
        </row>
        <row r="35">
          <cell r="B35" t="str">
            <v>% Margin</v>
          </cell>
          <cell r="G35">
            <v>0.17638547191788637</v>
          </cell>
          <cell r="H35">
            <v>0.18641885809628317</v>
          </cell>
          <cell r="I35">
            <v>0.18898662002475203</v>
          </cell>
          <cell r="J35">
            <v>0.18898662002475203</v>
          </cell>
          <cell r="K35">
            <v>0.18898662002475203</v>
          </cell>
        </row>
        <row r="37">
          <cell r="B37" t="str">
            <v>EBIT</v>
          </cell>
          <cell r="G37">
            <v>978.36731724038748</v>
          </cell>
          <cell r="H37">
            <v>1148.3258922403872</v>
          </cell>
          <cell r="I37">
            <v>1265.7783044903874</v>
          </cell>
          <cell r="J37">
            <v>1329.067219714907</v>
          </cell>
          <cell r="K37">
            <v>1368.9392363063541</v>
          </cell>
        </row>
        <row r="38">
          <cell r="B38" t="str">
            <v>% Margin</v>
          </cell>
          <cell r="G38">
            <v>0.13690447812385168</v>
          </cell>
          <cell r="H38">
            <v>0.14779006102272552</v>
          </cell>
          <cell r="I38">
            <v>0.15102698646337864</v>
          </cell>
          <cell r="J38">
            <v>0.15102698646337864</v>
          </cell>
          <cell r="K38">
            <v>0.15102698646337864</v>
          </cell>
        </row>
        <row r="40">
          <cell r="B40" t="str">
            <v>Taxes</v>
          </cell>
          <cell r="G40">
            <v>-303.29386834452009</v>
          </cell>
          <cell r="H40">
            <v>-344.49776767211614</v>
          </cell>
          <cell r="I40">
            <v>-386.06238286956818</v>
          </cell>
          <cell r="J40">
            <v>-405.36550201304664</v>
          </cell>
          <cell r="K40">
            <v>-417.52646707343803</v>
          </cell>
        </row>
        <row r="41">
          <cell r="B41" t="str">
            <v>Tax-Effected EBIT</v>
          </cell>
          <cell r="G41">
            <v>675.07344889586739</v>
          </cell>
          <cell r="H41">
            <v>803.82812456827105</v>
          </cell>
          <cell r="I41">
            <v>879.71592162081924</v>
          </cell>
          <cell r="J41">
            <v>923.70171770186039</v>
          </cell>
          <cell r="K41">
            <v>951.41276923291616</v>
          </cell>
        </row>
        <row r="42">
          <cell r="B42" t="str">
            <v>Effective Tax Rate</v>
          </cell>
          <cell r="G42">
            <v>0.31</v>
          </cell>
          <cell r="H42">
            <v>0.3</v>
          </cell>
          <cell r="I42">
            <v>0.30499999999999999</v>
          </cell>
          <cell r="J42">
            <v>0.30499999999999999</v>
          </cell>
          <cell r="K42">
            <v>0.30499999999999999</v>
          </cell>
        </row>
        <row r="44">
          <cell r="B44" t="str">
            <v>Plus:  D&amp;A</v>
          </cell>
          <cell r="G44">
            <v>282.14499999999987</v>
          </cell>
          <cell r="H44">
            <v>300.14499999999998</v>
          </cell>
          <cell r="I44">
            <v>318.14499999999998</v>
          </cell>
          <cell r="J44">
            <v>334.05224999999996</v>
          </cell>
          <cell r="K44">
            <v>344.07381750000013</v>
          </cell>
        </row>
        <row r="45">
          <cell r="B45" t="str">
            <v>Less:  Capex</v>
          </cell>
          <cell r="G45">
            <v>-275</v>
          </cell>
          <cell r="H45">
            <v>-275</v>
          </cell>
          <cell r="I45">
            <v>-275</v>
          </cell>
          <cell r="J45">
            <v>-288.75000000000006</v>
          </cell>
          <cell r="K45">
            <v>-297.41250000000002</v>
          </cell>
        </row>
        <row r="46">
          <cell r="B46" t="str">
            <v>Less:  Change in WC</v>
          </cell>
          <cell r="G46">
            <v>64.856713025219335</v>
          </cell>
          <cell r="H46">
            <v>-130.43461654093767</v>
          </cell>
          <cell r="I46">
            <v>-61.327295758393291</v>
          </cell>
          <cell r="J46">
            <v>-41.905699575000114</v>
          </cell>
          <cell r="K46">
            <v>-26.400590732250024</v>
          </cell>
        </row>
        <row r="47">
          <cell r="B47" t="str">
            <v>Unlevered Free Cash Flow</v>
          </cell>
          <cell r="G47">
            <v>747.07516192108665</v>
          </cell>
          <cell r="H47">
            <v>698.53850802733336</v>
          </cell>
          <cell r="I47">
            <v>861.53362586242588</v>
          </cell>
          <cell r="J47">
            <v>927.09826812686015</v>
          </cell>
          <cell r="K47">
            <v>971.6734960006662</v>
          </cell>
        </row>
        <row r="49">
          <cell r="B49" t="str">
            <v>D&amp;A % of Sales</v>
          </cell>
          <cell r="G49">
            <v>3.9480993794034698E-2</v>
          </cell>
          <cell r="H49">
            <v>3.8628797073557646E-2</v>
          </cell>
          <cell r="I49">
            <v>3.7959633561373378E-2</v>
          </cell>
          <cell r="J49">
            <v>3.7959633561373378E-2</v>
          </cell>
          <cell r="K49">
            <v>3.7959633561373378E-2</v>
          </cell>
        </row>
        <row r="50">
          <cell r="B50" t="str">
            <v>CapEx % of Sales</v>
          </cell>
          <cell r="G50">
            <v>-3.8481182701658886E-2</v>
          </cell>
          <cell r="H50">
            <v>-3.5392624215723582E-2</v>
          </cell>
          <cell r="I50">
            <v>-3.2811765796657746E-2</v>
          </cell>
          <cell r="J50">
            <v>-3.2811765796657746E-2</v>
          </cell>
          <cell r="K50">
            <v>-3.2811765796657746E-2</v>
          </cell>
        </row>
        <row r="51">
          <cell r="B51" t="str">
            <v>Working Capital % Change in Rev</v>
          </cell>
          <cell r="H51">
            <v>0.20915368401792056</v>
          </cell>
          <cell r="I51">
            <v>0.10034582508786727</v>
          </cell>
          <cell r="J51">
            <v>0.1</v>
          </cell>
          <cell r="K51">
            <v>0.1</v>
          </cell>
        </row>
        <row r="53">
          <cell r="B53" t="str">
            <v>Discount Factor</v>
          </cell>
          <cell r="G53">
            <v>0.5</v>
          </cell>
          <cell r="H53">
            <v>1.5</v>
          </cell>
          <cell r="I53">
            <v>2.5</v>
          </cell>
          <cell r="J53">
            <v>3.5</v>
          </cell>
          <cell r="K53">
            <v>4.5</v>
          </cell>
        </row>
        <row r="54">
          <cell r="D54">
            <v>8.5000000000000006E-2</v>
          </cell>
          <cell r="G54">
            <v>717.21510669488327</v>
          </cell>
          <cell r="H54">
            <v>618.08150031271759</v>
          </cell>
          <cell r="I54">
            <v>702.58340454149902</v>
          </cell>
          <cell r="J54">
            <v>696.82173112349778</v>
          </cell>
          <cell r="K54">
            <v>673.11076301112791</v>
          </cell>
        </row>
        <row r="55">
          <cell r="D55">
            <v>9.0000000000000011E-2</v>
          </cell>
          <cell r="G55">
            <v>715.56822712386452</v>
          </cell>
          <cell r="H55">
            <v>613.83352681444592</v>
          </cell>
          <cell r="I55">
            <v>694.55395375213914</v>
          </cell>
          <cell r="J55">
            <v>685.69822775776697</v>
          </cell>
          <cell r="K55">
            <v>659.32738747012093</v>
          </cell>
        </row>
        <row r="56">
          <cell r="D56">
            <v>9.5000000000000015E-2</v>
          </cell>
          <cell r="G56">
            <v>713.93264046600086</v>
          </cell>
          <cell r="H56">
            <v>609.63399072252685</v>
          </cell>
          <cell r="I56">
            <v>686.65238804938633</v>
          </cell>
          <cell r="J56">
            <v>674.8019869147189</v>
          </cell>
          <cell r="K56">
            <v>645.88741206089378</v>
          </cell>
        </row>
        <row r="58">
          <cell r="F58" t="str">
            <v>PV of</v>
          </cell>
          <cell r="G58" t="str">
            <v>PV of Terminal Value at</v>
          </cell>
          <cell r="M58" t="str">
            <v>Implied Terminal</v>
          </cell>
        </row>
        <row r="59">
          <cell r="D59" t="str">
            <v>Discount</v>
          </cell>
          <cell r="F59" t="str">
            <v>Cash Flows</v>
          </cell>
          <cell r="G59" t="str">
            <v>Terminal EBITDA Multiple</v>
          </cell>
          <cell r="J59" t="str">
            <v>Enterprise Value</v>
          </cell>
          <cell r="M59" t="str">
            <v>Growth Rate</v>
          </cell>
        </row>
        <row r="60">
          <cell r="D60" t="str">
            <v>Rate</v>
          </cell>
          <cell r="F60" t="str">
            <v>'FY10-'14</v>
          </cell>
          <cell r="G60" t="str">
            <v>6.0x</v>
          </cell>
          <cell r="H60" t="str">
            <v>7.0x</v>
          </cell>
          <cell r="I60" t="str">
            <v>8.0x</v>
          </cell>
          <cell r="J60" t="str">
            <v>6.0x</v>
          </cell>
          <cell r="K60" t="str">
            <v>7.0x</v>
          </cell>
          <cell r="L60" t="str">
            <v>8.0x</v>
          </cell>
          <cell r="M60" t="str">
            <v>6.0x</v>
          </cell>
          <cell r="O60" t="str">
            <v>7.0x</v>
          </cell>
          <cell r="P60" t="str">
            <v>8.0x</v>
          </cell>
        </row>
        <row r="61">
          <cell r="D61">
            <v>8.5000000000000006E-2</v>
          </cell>
          <cell r="F61">
            <v>3407.8125056837257</v>
          </cell>
          <cell r="G61">
            <v>7119.9689717264473</v>
          </cell>
          <cell r="H61">
            <v>8306.6304670141872</v>
          </cell>
          <cell r="I61">
            <v>9493.2919623019297</v>
          </cell>
          <cell r="J61">
            <v>10527.781477410173</v>
          </cell>
          <cell r="K61">
            <v>11714.442972697912</v>
          </cell>
          <cell r="L61">
            <v>12901.104467985655</v>
          </cell>
          <cell r="M61">
            <v>-8.7145778980877858E-3</v>
          </cell>
          <cell r="O61">
            <v>3.6696855556254317E-3</v>
          </cell>
          <cell r="P61">
            <v>1.3162871607608416E-2</v>
          </cell>
        </row>
        <row r="62">
          <cell r="D62">
            <v>9.0000000000000011E-2</v>
          </cell>
          <cell r="F62">
            <v>3368.9813229183374</v>
          </cell>
          <cell r="G62">
            <v>6974.1724526831149</v>
          </cell>
          <cell r="H62">
            <v>8136.5345281303007</v>
          </cell>
          <cell r="I62">
            <v>9298.8966035774865</v>
          </cell>
          <cell r="J62">
            <v>10343.153775601451</v>
          </cell>
          <cell r="K62">
            <v>11505.515851048638</v>
          </cell>
          <cell r="L62">
            <v>12667.877926495825</v>
          </cell>
          <cell r="M62">
            <v>-4.1464423123646846E-3</v>
          </cell>
          <cell r="O62">
            <v>8.2948914798449108E-3</v>
          </cell>
          <cell r="P62">
            <v>1.7831824932989102E-2</v>
          </cell>
        </row>
        <row r="63">
          <cell r="D63">
            <v>9.5000000000000015E-2</v>
          </cell>
          <cell r="F63">
            <v>3330.9084182135266</v>
          </cell>
          <cell r="G63">
            <v>6832.0083198940492</v>
          </cell>
          <cell r="H63">
            <v>7970.6763732097234</v>
          </cell>
          <cell r="I63">
            <v>9109.3444265253984</v>
          </cell>
          <cell r="J63">
            <v>10162.916738107575</v>
          </cell>
          <cell r="K63">
            <v>11301.584791423251</v>
          </cell>
          <cell r="L63">
            <v>12440.252844738925</v>
          </cell>
          <cell r="M63">
            <v>4.216932733584155E-4</v>
          </cell>
          <cell r="O63">
            <v>1.2920097404064372E-2</v>
          </cell>
          <cell r="P63">
            <v>2.250077825836979E-2</v>
          </cell>
        </row>
        <row r="65">
          <cell r="D65" t="str">
            <v>Discount</v>
          </cell>
          <cell r="H65" t="str">
            <v>Equity Value</v>
          </cell>
          <cell r="K65" t="str">
            <v>Equity Value Per Share</v>
          </cell>
        </row>
        <row r="66">
          <cell r="D66" t="str">
            <v>Rate</v>
          </cell>
          <cell r="G66" t="str">
            <v>Net Debt</v>
          </cell>
          <cell r="H66" t="str">
            <v>6.0x</v>
          </cell>
          <cell r="I66" t="str">
            <v>7.0x</v>
          </cell>
          <cell r="J66" t="str">
            <v>8.0x</v>
          </cell>
          <cell r="K66" t="str">
            <v>6.0x</v>
          </cell>
          <cell r="L66" t="str">
            <v>7.0x</v>
          </cell>
          <cell r="M66" t="str">
            <v>8.0x</v>
          </cell>
        </row>
        <row r="67">
          <cell r="D67">
            <v>8.5000000000000006E-2</v>
          </cell>
          <cell r="G67">
            <v>-1200.6799999999996</v>
          </cell>
          <cell r="H67">
            <v>9327.1014774101732</v>
          </cell>
          <cell r="I67">
            <v>10513.762972697912</v>
          </cell>
          <cell r="J67">
            <v>11700.424467985655</v>
          </cell>
          <cell r="K67">
            <v>74.083411258222185</v>
          </cell>
          <cell r="L67">
            <v>83.508840132628364</v>
          </cell>
          <cell r="M67">
            <v>92.934269007034587</v>
          </cell>
        </row>
        <row r="68">
          <cell r="D68">
            <v>9.0000000000000011E-2</v>
          </cell>
          <cell r="G68">
            <v>-1200.6799999999996</v>
          </cell>
          <cell r="H68">
            <v>9142.4737756014511</v>
          </cell>
          <cell r="I68">
            <v>10304.835851048638</v>
          </cell>
          <cell r="J68">
            <v>11467.197926495825</v>
          </cell>
          <cell r="K68">
            <v>72.61694817793051</v>
          </cell>
          <cell r="L68">
            <v>81.849371334778695</v>
          </cell>
          <cell r="M68">
            <v>91.08179449162688</v>
          </cell>
        </row>
        <row r="69">
          <cell r="D69">
            <v>9.5000000000000015E-2</v>
          </cell>
          <cell r="G69">
            <v>-1200.6799999999996</v>
          </cell>
          <cell r="H69">
            <v>8962.2367381075746</v>
          </cell>
          <cell r="I69">
            <v>10100.904791423251</v>
          </cell>
          <cell r="J69">
            <v>11239.572844738925</v>
          </cell>
          <cell r="K69">
            <v>71.185359317772637</v>
          </cell>
          <cell r="L69">
            <v>80.22958531710286</v>
          </cell>
          <cell r="M69">
            <v>89.273811316433068</v>
          </cell>
        </row>
        <row r="71">
          <cell r="F71" t="str">
            <v>PV of</v>
          </cell>
          <cell r="G71" t="str">
            <v>PV of Terminal Value at</v>
          </cell>
          <cell r="M71" t="str">
            <v>Implied Terminal 2014E</v>
          </cell>
        </row>
        <row r="72">
          <cell r="D72" t="str">
            <v>Discount</v>
          </cell>
          <cell r="F72" t="str">
            <v>Cash Flows</v>
          </cell>
          <cell r="G72" t="str">
            <v>FCF Perpetual Growth Rate</v>
          </cell>
          <cell r="J72" t="str">
            <v>Enterprise Value</v>
          </cell>
          <cell r="M72" t="str">
            <v>EBITDA Multiple</v>
          </cell>
        </row>
        <row r="73">
          <cell r="D73" t="str">
            <v>Rate</v>
          </cell>
          <cell r="F73" t="str">
            <v>'FY10-'14</v>
          </cell>
          <cell r="G73" t="str">
            <v>1.5%</v>
          </cell>
          <cell r="H73" t="str">
            <v>2.0%</v>
          </cell>
          <cell r="I73" t="str">
            <v>2.5%</v>
          </cell>
          <cell r="J73" t="str">
            <v>1.5%</v>
          </cell>
          <cell r="K73" t="str">
            <v>2.0%</v>
          </cell>
          <cell r="L73" t="str">
            <v>2.5%</v>
          </cell>
          <cell r="M73" t="str">
            <v>1.5%</v>
          </cell>
          <cell r="O73" t="str">
            <v>2.0%</v>
          </cell>
          <cell r="P73" t="str">
            <v>2.5%</v>
          </cell>
        </row>
        <row r="74">
          <cell r="D74">
            <v>8.5000000000000006E-2</v>
          </cell>
          <cell r="F74">
            <v>3407.8125056837257</v>
          </cell>
          <cell r="G74">
            <v>9760.1060636613547</v>
          </cell>
          <cell r="H74">
            <v>10562.661204174623</v>
          </cell>
          <cell r="I74">
            <v>11498.975534773434</v>
          </cell>
          <cell r="J74">
            <v>13167.91856934508</v>
          </cell>
          <cell r="K74">
            <v>13970.473709858348</v>
          </cell>
          <cell r="L74">
            <v>14906.788040457159</v>
          </cell>
          <cell r="M74">
            <v>8.2248443236920963</v>
          </cell>
          <cell r="O74">
            <v>8.9011577826694328</v>
          </cell>
          <cell r="P74">
            <v>9.6901901514763207</v>
          </cell>
        </row>
        <row r="75">
          <cell r="D75">
            <v>9.0000000000000011E-2</v>
          </cell>
          <cell r="F75">
            <v>3368.9813229183374</v>
          </cell>
          <cell r="G75">
            <v>8922.8973104289671</v>
          </cell>
          <cell r="H75">
            <v>9607.3419317074749</v>
          </cell>
          <cell r="I75">
            <v>10397.085725490368</v>
          </cell>
          <cell r="J75">
            <v>12291.878633347304</v>
          </cell>
          <cell r="K75">
            <v>12976.323254625811</v>
          </cell>
          <cell r="L75">
            <v>13766.067048408706</v>
          </cell>
          <cell r="M75">
            <v>7.6765213687792899</v>
          </cell>
          <cell r="O75">
            <v>8.2653607981930435</v>
          </cell>
          <cell r="P75">
            <v>8.944790909055067</v>
          </cell>
        </row>
        <row r="76">
          <cell r="D76">
            <v>9.5000000000000015E-2</v>
          </cell>
          <cell r="F76">
            <v>3330.9084182135266</v>
          </cell>
          <cell r="G76">
            <v>8194.6965405225892</v>
          </cell>
          <cell r="H76">
            <v>8784.0688040281548</v>
          </cell>
          <cell r="I76">
            <v>9457.6371051773713</v>
          </cell>
          <cell r="J76">
            <v>11525.604958736116</v>
          </cell>
          <cell r="K76">
            <v>12114.977222241681</v>
          </cell>
          <cell r="L76">
            <v>12788.545523390898</v>
          </cell>
          <cell r="M76">
            <v>7.196738783230586</v>
          </cell>
          <cell r="O76">
            <v>7.7143367449801739</v>
          </cell>
          <cell r="P76">
            <v>8.3058772726939889</v>
          </cell>
        </row>
        <row r="78">
          <cell r="D78" t="str">
            <v>Discount</v>
          </cell>
          <cell r="H78" t="str">
            <v>Equity Value</v>
          </cell>
          <cell r="K78" t="str">
            <v>Equity Value Per Share</v>
          </cell>
        </row>
        <row r="79">
          <cell r="D79" t="str">
            <v>Rate</v>
          </cell>
          <cell r="G79" t="str">
            <v>Net Debt</v>
          </cell>
          <cell r="H79" t="str">
            <v>1.5%</v>
          </cell>
          <cell r="I79" t="str">
            <v>2.0%</v>
          </cell>
          <cell r="J79" t="str">
            <v>2.5%</v>
          </cell>
          <cell r="K79" t="str">
            <v>1.5%</v>
          </cell>
          <cell r="L79" t="str">
            <v>2.0%</v>
          </cell>
          <cell r="M79" t="str">
            <v>2.5%</v>
          </cell>
        </row>
        <row r="80">
          <cell r="D80">
            <v>8.5000000000000006E-2</v>
          </cell>
          <cell r="G80">
            <v>-1200.6799999999996</v>
          </cell>
          <cell r="H80">
            <v>11967.23856934508</v>
          </cell>
          <cell r="I80">
            <v>12769.793709858348</v>
          </cell>
          <cell r="J80">
            <v>13706.108040457158</v>
          </cell>
          <cell r="K80">
            <v>95.053523187808409</v>
          </cell>
          <cell r="L80">
            <v>101.42806759220292</v>
          </cell>
          <cell r="M80">
            <v>108.86503606399648</v>
          </cell>
        </row>
        <row r="81">
          <cell r="D81">
            <v>9.0000000000000011E-2</v>
          </cell>
          <cell r="G81">
            <v>-1200.6799999999996</v>
          </cell>
          <cell r="H81">
            <v>11091.198633347303</v>
          </cell>
          <cell r="I81">
            <v>11775.643254625811</v>
          </cell>
          <cell r="J81">
            <v>12565.387048408706</v>
          </cell>
          <cell r="K81">
            <v>88.095302885999232</v>
          </cell>
          <cell r="L81">
            <v>93.531717669784044</v>
          </cell>
          <cell r="M81">
            <v>99.804503958766517</v>
          </cell>
        </row>
        <row r="82">
          <cell r="D82">
            <v>9.5000000000000015E-2</v>
          </cell>
          <cell r="G82">
            <v>-1200.6799999999996</v>
          </cell>
          <cell r="H82">
            <v>10324.924958736116</v>
          </cell>
          <cell r="I82">
            <v>10914.297222241681</v>
          </cell>
          <cell r="J82">
            <v>11587.865523390898</v>
          </cell>
          <cell r="K82">
            <v>82.00893533547351</v>
          </cell>
          <cell r="L82">
            <v>86.690208278329479</v>
          </cell>
          <cell r="M82">
            <v>92.040234498736268</v>
          </cell>
        </row>
        <row r="84">
          <cell r="D84" t="str">
            <v>Terminal Multiple</v>
          </cell>
          <cell r="G84">
            <v>6</v>
          </cell>
          <cell r="H84">
            <v>7</v>
          </cell>
          <cell r="I84">
            <v>8</v>
          </cell>
        </row>
        <row r="85">
          <cell r="D85" t="str">
            <v>Terminal Growth Rate</v>
          </cell>
          <cell r="G85">
            <v>1.4999999999999999E-2</v>
          </cell>
          <cell r="H85">
            <v>0.02</v>
          </cell>
          <cell r="I85">
            <v>2.5000000000000001E-2</v>
          </cell>
        </row>
        <row r="86">
          <cell r="D86" t="str">
            <v>Sharecount</v>
          </cell>
          <cell r="G86">
            <v>125.9</v>
          </cell>
        </row>
        <row r="87">
          <cell r="D87" t="str">
            <v>Implied Terminal Value</v>
          </cell>
          <cell r="G87">
            <v>10278.078322838126</v>
          </cell>
          <cell r="H87">
            <v>11991.091376644479</v>
          </cell>
          <cell r="I87">
            <v>13704.104430450834</v>
          </cell>
        </row>
        <row r="88">
          <cell r="D88" t="str">
            <v>Mult. Of Revenue</v>
          </cell>
          <cell r="G88">
            <v>1.1339197201485123</v>
          </cell>
          <cell r="H88">
            <v>1.3229063401732641</v>
          </cell>
          <cell r="I88">
            <v>1.5118929601980162</v>
          </cell>
        </row>
        <row r="92">
          <cell r="D92" t="str">
            <v>Discount Rate</v>
          </cell>
          <cell r="F92" t="str">
            <v>Comments</v>
          </cell>
        </row>
        <row r="94">
          <cell r="D94" t="str">
            <v>Cost of Debt</v>
          </cell>
          <cell r="E94">
            <v>7.0000000000000007E-2</v>
          </cell>
        </row>
        <row r="95">
          <cell r="D95" t="str">
            <v>Corporate Tax Rate</v>
          </cell>
          <cell r="E95">
            <v>0.315</v>
          </cell>
        </row>
        <row r="96">
          <cell r="D96" t="str">
            <v>Beta</v>
          </cell>
          <cell r="E96">
            <v>1.24</v>
          </cell>
        </row>
        <row r="97">
          <cell r="D97" t="str">
            <v>E(RM)-RF</v>
          </cell>
          <cell r="E97">
            <v>0.05</v>
          </cell>
        </row>
        <row r="98">
          <cell r="D98" t="str">
            <v>RF</v>
          </cell>
          <cell r="E98">
            <v>3.6799999999999999E-2</v>
          </cell>
        </row>
        <row r="99">
          <cell r="D99" t="str">
            <v>Cost of Equity</v>
          </cell>
          <cell r="E99">
            <v>9.8799999999999999E-2</v>
          </cell>
        </row>
        <row r="100">
          <cell r="D100" t="str">
            <v>Target Debt ratio</v>
          </cell>
          <cell r="E100">
            <v>0.3</v>
          </cell>
        </row>
        <row r="101">
          <cell r="D101" t="str">
            <v>Target Equity ratio</v>
          </cell>
          <cell r="E101">
            <v>0.7</v>
          </cell>
        </row>
        <row r="103">
          <cell r="D103" t="str">
            <v>Cost of Capital</v>
          </cell>
          <cell r="E103">
            <v>8.3545000000000008E-2</v>
          </cell>
        </row>
      </sheetData>
      <sheetData sheetId="16"/>
      <sheetData sheetId="17"/>
      <sheetData sheetId="18"/>
      <sheetData sheetId="19">
        <row r="1">
          <cell r="A1" t="str">
            <v>RRS-5.13</v>
          </cell>
          <cell r="D1" t="str">
            <v>RISK-REWARD SNAPSHOT
(You must upload your model to ModelWare to capture changes to your scenario values and NOT delete this worksheet.)</v>
          </cell>
          <cell r="I1" t="str">
            <v>Select Language</v>
          </cell>
          <cell r="N1" t="str">
            <v>http://ChartGallery</v>
          </cell>
          <cell r="O1" t="str">
            <v>http://ChartGallery</v>
          </cell>
          <cell r="AA1" t="str">
            <v>ElementName</v>
          </cell>
          <cell r="AB1" t="str">
            <v>ScaleOverride</v>
          </cell>
          <cell r="AC1" t="str">
            <v>UnitOverride</v>
          </cell>
          <cell r="AD1" t="str">
            <v>ReverseSign</v>
          </cell>
          <cell r="AE1" t="str">
            <v>IsDrivingAssumption</v>
          </cell>
          <cell r="AF1" t="str">
            <v>SegmentID</v>
          </cell>
        </row>
        <row r="2">
          <cell r="B2" t="str">
            <v>Instructions:</v>
          </cell>
          <cell r="G2" t="str">
            <v>Is refreshing chart data too slow? Read below to improve performance.</v>
          </cell>
          <cell r="AQ2" t="str">
            <v>Refer to cell G2 to learn about improving chart refresh performance</v>
          </cell>
        </row>
        <row r="4">
          <cell r="B4" t="str">
            <v>Ticker:</v>
          </cell>
          <cell r="C4" t="str">
            <v>GR.N</v>
          </cell>
          <cell r="E4" t="str">
            <v>Company Name:</v>
          </cell>
          <cell r="F4" t="str">
            <v>Goodrich Corp</v>
          </cell>
          <cell r="I4" t="str">
            <v>Sedol:</v>
          </cell>
          <cell r="J4">
            <v>2377809</v>
          </cell>
          <cell r="K4">
            <v>2377809</v>
          </cell>
        </row>
        <row r="5">
          <cell r="B5" t="str">
            <v xml:space="preserve">Chart Data Inputs (decimal formats will reflect on chart): </v>
          </cell>
          <cell r="H5" t="str">
            <v>Risk Reward Chart Gallery 
(Click on the below image for other Risk-Reward Charts)</v>
          </cell>
        </row>
        <row r="6">
          <cell r="B6" t="str">
            <v>Bull Case</v>
          </cell>
          <cell r="C6">
            <v>105</v>
          </cell>
          <cell r="AA6" t="str">
            <v>mstag:bullCaseValueEstimatePerShare</v>
          </cell>
          <cell r="AB6">
            <v>0</v>
          </cell>
          <cell r="AC6" t="str">
            <v>ISO4217:USD</v>
          </cell>
          <cell r="AD6" t="b">
            <v>0</v>
          </cell>
        </row>
        <row r="7">
          <cell r="B7" t="str">
            <v>Base Case</v>
          </cell>
          <cell r="C7">
            <v>90</v>
          </cell>
          <cell r="AA7" t="str">
            <v>mstag:met_12monthIntrinsicValueEstimate</v>
          </cell>
          <cell r="AB7">
            <v>0</v>
          </cell>
          <cell r="AC7" t="str">
            <v>ISO4217:USD</v>
          </cell>
          <cell r="AD7" t="b">
            <v>0</v>
          </cell>
        </row>
        <row r="8">
          <cell r="B8" t="str">
            <v>Bear Case</v>
          </cell>
          <cell r="C8">
            <v>55</v>
          </cell>
          <cell r="K8" t="str">
            <v>日本語</v>
          </cell>
          <cell r="M8" t="str">
            <v>-</v>
          </cell>
          <cell r="AA8" t="str">
            <v>mstag:bearCaseValueEstimatePerShare</v>
          </cell>
          <cell r="AB8">
            <v>0</v>
          </cell>
          <cell r="AC8" t="str">
            <v>ISO4217:USD</v>
          </cell>
          <cell r="AD8" t="b">
            <v>0</v>
          </cell>
        </row>
        <row r="9">
          <cell r="B9" t="str">
            <v>Extreme Upside</v>
          </cell>
          <cell r="K9" t="str">
            <v>English</v>
          </cell>
          <cell r="L9" t="str">
            <v>年</v>
          </cell>
          <cell r="M9" t="str">
            <v>月</v>
          </cell>
          <cell r="N9" t="str">
            <v>-</v>
          </cell>
          <cell r="AA9" t="str">
            <v>mstag:extremeBullCaseValueEstimatePerShare</v>
          </cell>
          <cell r="AB9">
            <v>0</v>
          </cell>
          <cell r="AC9" t="str">
            <v>ISO4217:USD</v>
          </cell>
          <cell r="AD9" t="b">
            <v>0</v>
          </cell>
          <cell r="AH9" t="str">
            <v>Other Refresh Chart Option</v>
          </cell>
        </row>
        <row r="10">
          <cell r="B10" t="str">
            <v>Extreme Downside</v>
          </cell>
          <cell r="O10" t="b">
            <v>0</v>
          </cell>
          <cell r="AA10" t="str">
            <v>mstag:extremeBearCaseValueEstimatePerShare</v>
          </cell>
          <cell r="AB10">
            <v>0</v>
          </cell>
          <cell r="AC10" t="str">
            <v>ISO4217:USD</v>
          </cell>
          <cell r="AD10" t="b">
            <v>0</v>
          </cell>
        </row>
        <row r="11">
          <cell r="B11" t="str">
            <v>Price Target</v>
          </cell>
          <cell r="O11" t="b">
            <v>1</v>
          </cell>
        </row>
        <row r="12">
          <cell r="B12" t="str">
            <v>Currency</v>
          </cell>
          <cell r="C12" t="str">
            <v>USD American Dollar</v>
          </cell>
          <cell r="F12">
            <v>0</v>
          </cell>
        </row>
        <row r="13">
          <cell r="B13" t="str">
            <v>Currency Symbol</v>
          </cell>
          <cell r="C13" t="str">
            <v>$</v>
          </cell>
          <cell r="F13">
            <v>0</v>
          </cell>
          <cell r="I13" t="str">
            <v xml:space="preserve">WARNINGDONOTEDIT_RRS4RL~GR.N~ </v>
          </cell>
        </row>
        <row r="14">
          <cell r="B14" t="str">
            <v>"Refresh RR Chart" updates chart dates below, as of today. If your PT time horizon is &gt; 1yr. or price history is &lt; 2yrs., adjust Start/End dates and select "Apply Manually Adjusted Dates" option.</v>
          </cell>
        </row>
        <row r="15">
          <cell r="B15" t="str">
            <v>Start Date (-2 Yrs)</v>
          </cell>
          <cell r="C15">
            <v>39547</v>
          </cell>
          <cell r="E15" t="str">
            <v>NA</v>
          </cell>
          <cell r="F15" t="str">
            <v>USD</v>
          </cell>
        </row>
        <row r="16">
          <cell r="B16" t="str">
            <v>End Date (+1 Yr)</v>
          </cell>
          <cell r="C16">
            <v>40642</v>
          </cell>
          <cell r="E16" t="str">
            <v>USD</v>
          </cell>
          <cell r="F16" t="str">
            <v>USD</v>
          </cell>
        </row>
        <row r="17">
          <cell r="B17">
            <v>71.03</v>
          </cell>
          <cell r="C17" t="str">
            <v>Hand entert Share Price</v>
          </cell>
          <cell r="H17" t="str">
            <v>2007-FY</v>
          </cell>
        </row>
        <row r="18">
          <cell r="B18" t="b">
            <v>0</v>
          </cell>
          <cell r="C18">
            <v>40277</v>
          </cell>
        </row>
        <row r="19">
          <cell r="C19" t="str">
            <v>2009-FY</v>
          </cell>
        </row>
        <row r="34">
          <cell r="A34" t="str">
            <v>BullCase</v>
          </cell>
        </row>
        <row r="52">
          <cell r="A52">
            <v>40642</v>
          </cell>
          <cell r="B52">
            <v>758</v>
          </cell>
          <cell r="N52" t="str">
            <v>Apr-11</v>
          </cell>
          <cell r="R52" t="b">
            <v>1</v>
          </cell>
        </row>
        <row r="53">
          <cell r="A53" t="str">
            <v>Header</v>
          </cell>
          <cell r="B53" t="str">
            <v>Date</v>
          </cell>
          <cell r="C53" t="str">
            <v>Past/Future</v>
          </cell>
          <cell r="D53" t="str">
            <v>Historical Stock Performance</v>
          </cell>
          <cell r="E53" t="str">
            <v>Extreme Upside Cone</v>
          </cell>
          <cell r="F53" t="str">
            <v>Blue Cone</v>
          </cell>
          <cell r="G53" t="str">
            <v>Extreme Downside Cone</v>
          </cell>
          <cell r="H53" t="str">
            <v>White Mask</v>
          </cell>
          <cell r="I53" t="str">
            <v>Current Stock Price</v>
          </cell>
          <cell r="J53" t="str">
            <v>Extreme Upside Price(Apr-11)</v>
          </cell>
          <cell r="K53" t="str">
            <v>Bull Price(Apr-11)</v>
          </cell>
          <cell r="L53" t="str">
            <v>Bear Price(Apr-11)</v>
          </cell>
          <cell r="M53" t="str">
            <v>Extreme Downside Price(Apr-11)</v>
          </cell>
          <cell r="N53" t="str">
            <v>Base Case  (Apr-11)</v>
          </cell>
          <cell r="O53" t="str">
            <v>Gray Line</v>
          </cell>
          <cell r="P53" t="str">
            <v>Prices</v>
          </cell>
          <cell r="Q53" t="str">
            <v>Volume</v>
          </cell>
          <cell r="R53" t="str">
            <v>Base Case(Apr-11)</v>
          </cell>
          <cell r="S53" t="str">
            <v>Header Row</v>
          </cell>
          <cell r="T53">
            <v>53</v>
          </cell>
          <cell r="U53">
            <v>0</v>
          </cell>
          <cell r="AI53" t="str">
            <v xml:space="preserve">Display </v>
          </cell>
          <cell r="AJ53" t="str">
            <v>Symbol</v>
          </cell>
          <cell r="AK53" t="str">
            <v>Unit</v>
          </cell>
          <cell r="AL53" t="str">
            <v>FactsetUnit</v>
          </cell>
          <cell r="AM53" t="str">
            <v>Right alligned</v>
          </cell>
          <cell r="AN53" t="str">
            <v>Display 2 Decimal Places for Currency Amount</v>
          </cell>
        </row>
        <row r="54">
          <cell r="A54">
            <v>39547</v>
          </cell>
          <cell r="B54">
            <v>39547</v>
          </cell>
          <cell r="C54" t="str">
            <v>Past</v>
          </cell>
          <cell r="D54">
            <v>59.28</v>
          </cell>
          <cell r="E54" t="e">
            <v>#N/A</v>
          </cell>
          <cell r="F54" t="e">
            <v>#N/A</v>
          </cell>
          <cell r="G54" t="e">
            <v>#N/A</v>
          </cell>
          <cell r="H54" t="e">
            <v>#N/A</v>
          </cell>
          <cell r="I54" t="e">
            <v>#N/A</v>
          </cell>
          <cell r="J54" t="e">
            <v>#N/A</v>
          </cell>
          <cell r="K54" t="e">
            <v>#N/A</v>
          </cell>
          <cell r="L54" t="e">
            <v>#N/A</v>
          </cell>
          <cell r="M54" t="e">
            <v>#N/A</v>
          </cell>
          <cell r="N54" t="e">
            <v>#N/A</v>
          </cell>
          <cell r="O54" t="e">
            <v>#N/A</v>
          </cell>
          <cell r="P54">
            <v>59.28</v>
          </cell>
          <cell r="Q54">
            <v>1.614668</v>
          </cell>
          <cell r="R54" t="e">
            <v>#N/A</v>
          </cell>
          <cell r="S54" t="str">
            <v>Count</v>
          </cell>
          <cell r="T54">
            <v>758</v>
          </cell>
          <cell r="U54">
            <v>105</v>
          </cell>
          <cell r="AI54" t="str">
            <v>AED UAE Dirham</v>
          </cell>
          <cell r="AJ54" t="str">
            <v>AED</v>
          </cell>
          <cell r="AK54" t="str">
            <v>AED</v>
          </cell>
          <cell r="AL54" t="str">
            <v>AED</v>
          </cell>
          <cell r="AM54">
            <v>0</v>
          </cell>
          <cell r="AN54">
            <v>2</v>
          </cell>
        </row>
        <row r="55">
          <cell r="A55">
            <v>39548</v>
          </cell>
          <cell r="B55">
            <v>39548</v>
          </cell>
          <cell r="C55" t="str">
            <v>Past</v>
          </cell>
          <cell r="D55">
            <v>59.77</v>
          </cell>
          <cell r="E55" t="e">
            <v>#N/A</v>
          </cell>
          <cell r="F55" t="e">
            <v>#N/A</v>
          </cell>
          <cell r="G55" t="e">
            <v>#N/A</v>
          </cell>
          <cell r="H55" t="e">
            <v>#N/A</v>
          </cell>
          <cell r="I55" t="e">
            <v>#N/A</v>
          </cell>
          <cell r="J55" t="e">
            <v>#N/A</v>
          </cell>
          <cell r="K55" t="e">
            <v>#N/A</v>
          </cell>
          <cell r="L55" t="e">
            <v>#N/A</v>
          </cell>
          <cell r="M55" t="e">
            <v>#N/A</v>
          </cell>
          <cell r="N55" t="e">
            <v>#N/A</v>
          </cell>
          <cell r="O55" t="e">
            <v>#N/A</v>
          </cell>
          <cell r="P55">
            <v>59.77</v>
          </cell>
          <cell r="Q55">
            <v>1.5319039999999999</v>
          </cell>
          <cell r="R55" t="e">
            <v>#N/A</v>
          </cell>
          <cell r="S55" t="str">
            <v>Curr Price</v>
          </cell>
          <cell r="T55">
            <v>71.03</v>
          </cell>
          <cell r="U55">
            <v>505</v>
          </cell>
          <cell r="V55">
            <v>36.378945000000002</v>
          </cell>
          <cell r="AI55" t="str">
            <v>ARS Argentinian Pesos</v>
          </cell>
          <cell r="AJ55" t="str">
            <v>Ar$</v>
          </cell>
          <cell r="AK55" t="str">
            <v>ARS</v>
          </cell>
          <cell r="AL55" t="str">
            <v>ARS</v>
          </cell>
          <cell r="AM55">
            <v>0</v>
          </cell>
          <cell r="AN55">
            <v>2</v>
          </cell>
        </row>
        <row r="56">
          <cell r="A56">
            <v>39549</v>
          </cell>
          <cell r="B56">
            <v>39549</v>
          </cell>
          <cell r="C56" t="str">
            <v>Past</v>
          </cell>
          <cell r="D56">
            <v>58.39</v>
          </cell>
          <cell r="E56" t="e">
            <v>#N/A</v>
          </cell>
          <cell r="F56" t="e">
            <v>#N/A</v>
          </cell>
          <cell r="G56" t="e">
            <v>#N/A</v>
          </cell>
          <cell r="H56" t="e">
            <v>#N/A</v>
          </cell>
          <cell r="I56" t="e">
            <v>#N/A</v>
          </cell>
          <cell r="J56" t="e">
            <v>#N/A</v>
          </cell>
          <cell r="K56" t="e">
            <v>#N/A</v>
          </cell>
          <cell r="L56" t="e">
            <v>#N/A</v>
          </cell>
          <cell r="M56" t="e">
            <v>#N/A</v>
          </cell>
          <cell r="N56" t="e">
            <v>#N/A</v>
          </cell>
          <cell r="O56" t="e">
            <v>#N/A</v>
          </cell>
          <cell r="P56">
            <v>58.39</v>
          </cell>
          <cell r="Q56">
            <v>1.363524</v>
          </cell>
          <cell r="R56" t="e">
            <v>#N/A</v>
          </cell>
          <cell r="S56" t="str">
            <v>Curr Price Date</v>
          </cell>
          <cell r="T56">
            <v>40277</v>
          </cell>
          <cell r="U56">
            <v>40276.740370370368</v>
          </cell>
          <cell r="AI56" t="str">
            <v>AUD Australian Dollar</v>
          </cell>
          <cell r="AJ56" t="str">
            <v>A$</v>
          </cell>
          <cell r="AK56" t="str">
            <v>AUD</v>
          </cell>
          <cell r="AL56" t="str">
            <v>AUD</v>
          </cell>
          <cell r="AM56">
            <v>0</v>
          </cell>
          <cell r="AN56">
            <v>2</v>
          </cell>
        </row>
        <row r="57">
          <cell r="A57">
            <v>39552</v>
          </cell>
          <cell r="B57">
            <v>39552</v>
          </cell>
          <cell r="C57" t="str">
            <v>Past</v>
          </cell>
          <cell r="D57">
            <v>58.5</v>
          </cell>
          <cell r="E57" t="e">
            <v>#N/A</v>
          </cell>
          <cell r="F57" t="e">
            <v>#N/A</v>
          </cell>
          <cell r="G57" t="e">
            <v>#N/A</v>
          </cell>
          <cell r="H57" t="e">
            <v>#N/A</v>
          </cell>
          <cell r="I57" t="e">
            <v>#N/A</v>
          </cell>
          <cell r="J57" t="e">
            <v>#N/A</v>
          </cell>
          <cell r="K57" t="e">
            <v>#N/A</v>
          </cell>
          <cell r="L57" t="e">
            <v>#N/A</v>
          </cell>
          <cell r="M57" t="e">
            <v>#N/A</v>
          </cell>
          <cell r="N57" t="e">
            <v>#N/A</v>
          </cell>
          <cell r="O57" t="e">
            <v>#N/A</v>
          </cell>
          <cell r="P57">
            <v>58.5</v>
          </cell>
          <cell r="Q57">
            <v>1.358312</v>
          </cell>
          <cell r="R57" t="e">
            <v>#N/A</v>
          </cell>
          <cell r="S57" t="str">
            <v>Bull-Curr</v>
          </cell>
          <cell r="T57">
            <v>33.97</v>
          </cell>
          <cell r="U57">
            <v>0.13374015748031495</v>
          </cell>
          <cell r="AI57" t="str">
            <v>BGL Bulgarian levs</v>
          </cell>
          <cell r="AJ57" t="str">
            <v>BGL</v>
          </cell>
          <cell r="AK57" t="str">
            <v>BGL</v>
          </cell>
          <cell r="AL57" t="str">
            <v>BGN</v>
          </cell>
          <cell r="AM57">
            <v>0</v>
          </cell>
          <cell r="AN57">
            <v>2</v>
          </cell>
        </row>
        <row r="58">
          <cell r="A58">
            <v>39553</v>
          </cell>
          <cell r="B58">
            <v>39553</v>
          </cell>
          <cell r="C58" t="str">
            <v>Past</v>
          </cell>
          <cell r="D58">
            <v>58.66</v>
          </cell>
          <cell r="E58" t="e">
            <v>#N/A</v>
          </cell>
          <cell r="F58" t="e">
            <v>#N/A</v>
          </cell>
          <cell r="G58" t="e">
            <v>#N/A</v>
          </cell>
          <cell r="H58" t="e">
            <v>#N/A</v>
          </cell>
          <cell r="I58" t="e">
            <v>#N/A</v>
          </cell>
          <cell r="J58" t="e">
            <v>#N/A</v>
          </cell>
          <cell r="K58" t="e">
            <v>#N/A</v>
          </cell>
          <cell r="L58" t="e">
            <v>#N/A</v>
          </cell>
          <cell r="M58" t="e">
            <v>#N/A</v>
          </cell>
          <cell r="N58" t="e">
            <v>#N/A</v>
          </cell>
          <cell r="O58" t="e">
            <v>#N/A</v>
          </cell>
          <cell r="P58">
            <v>58.66</v>
          </cell>
          <cell r="Q58">
            <v>2.153565</v>
          </cell>
          <cell r="R58" t="e">
            <v>#N/A</v>
          </cell>
          <cell r="S58" t="str">
            <v>Upp-Cur</v>
          </cell>
          <cell r="T58">
            <v>-71.03</v>
          </cell>
          <cell r="U58">
            <v>-0.27964566929133861</v>
          </cell>
          <cell r="AI58" t="str">
            <v>BMD Bermudan Dollars</v>
          </cell>
          <cell r="AJ58" t="str">
            <v>BMD</v>
          </cell>
          <cell r="AK58" t="str">
            <v>BMD</v>
          </cell>
          <cell r="AL58" t="str">
            <v>BMD</v>
          </cell>
          <cell r="AM58">
            <v>0</v>
          </cell>
          <cell r="AN58">
            <v>2</v>
          </cell>
        </row>
        <row r="59">
          <cell r="A59">
            <v>39554</v>
          </cell>
          <cell r="B59">
            <v>39554</v>
          </cell>
          <cell r="C59" t="str">
            <v>Past</v>
          </cell>
          <cell r="D59">
            <v>60.33</v>
          </cell>
          <cell r="E59" t="e">
            <v>#N/A</v>
          </cell>
          <cell r="F59" t="e">
            <v>#N/A</v>
          </cell>
          <cell r="G59" t="e">
            <v>#N/A</v>
          </cell>
          <cell r="H59" t="e">
            <v>#N/A</v>
          </cell>
          <cell r="I59" t="e">
            <v>#N/A</v>
          </cell>
          <cell r="J59" t="e">
            <v>#N/A</v>
          </cell>
          <cell r="K59" t="e">
            <v>#N/A</v>
          </cell>
          <cell r="L59" t="e">
            <v>#N/A</v>
          </cell>
          <cell r="M59" t="e">
            <v>#N/A</v>
          </cell>
          <cell r="N59" t="e">
            <v>#N/A</v>
          </cell>
          <cell r="O59" t="e">
            <v>#N/A</v>
          </cell>
          <cell r="P59">
            <v>60.33</v>
          </cell>
          <cell r="Q59">
            <v>1.2908200000000001</v>
          </cell>
          <cell r="R59" t="e">
            <v>#N/A</v>
          </cell>
          <cell r="S59" t="str">
            <v>Curr-Bear</v>
          </cell>
          <cell r="T59">
            <v>16.03</v>
          </cell>
          <cell r="U59">
            <v>6.3110236220472446E-2</v>
          </cell>
          <cell r="AI59" t="str">
            <v>BRL Brazilian Real</v>
          </cell>
          <cell r="AJ59" t="str">
            <v>R$</v>
          </cell>
          <cell r="AK59" t="str">
            <v>BRL</v>
          </cell>
          <cell r="AL59" t="str">
            <v>BRL</v>
          </cell>
          <cell r="AM59">
            <v>0</v>
          </cell>
          <cell r="AN59">
            <v>2</v>
          </cell>
        </row>
        <row r="60">
          <cell r="A60">
            <v>39555</v>
          </cell>
          <cell r="B60">
            <v>39555</v>
          </cell>
          <cell r="C60" t="str">
            <v>Past</v>
          </cell>
          <cell r="D60">
            <v>59.59</v>
          </cell>
          <cell r="E60" t="e">
            <v>#N/A</v>
          </cell>
          <cell r="F60" t="e">
            <v>#N/A</v>
          </cell>
          <cell r="G60" t="e">
            <v>#N/A</v>
          </cell>
          <cell r="H60" t="e">
            <v>#N/A</v>
          </cell>
          <cell r="I60" t="e">
            <v>#N/A</v>
          </cell>
          <cell r="J60" t="e">
            <v>#N/A</v>
          </cell>
          <cell r="K60" t="e">
            <v>#N/A</v>
          </cell>
          <cell r="L60" t="e">
            <v>#N/A</v>
          </cell>
          <cell r="M60" t="e">
            <v>#N/A</v>
          </cell>
          <cell r="N60" t="e">
            <v>#N/A</v>
          </cell>
          <cell r="O60" t="e">
            <v>#N/A</v>
          </cell>
          <cell r="P60">
            <v>59.59</v>
          </cell>
          <cell r="Q60">
            <v>1.2312619999999999</v>
          </cell>
          <cell r="R60" t="e">
            <v>#N/A</v>
          </cell>
          <cell r="S60" t="str">
            <v>Curr-Lower</v>
          </cell>
          <cell r="T60">
            <v>71.03</v>
          </cell>
          <cell r="U60">
            <v>0.27964566929133861</v>
          </cell>
          <cell r="AI60" t="str">
            <v>CAD Canadian Dollars</v>
          </cell>
          <cell r="AJ60" t="str">
            <v>C$</v>
          </cell>
          <cell r="AK60" t="str">
            <v>CAD</v>
          </cell>
          <cell r="AL60" t="str">
            <v>CAD</v>
          </cell>
          <cell r="AM60">
            <v>0</v>
          </cell>
          <cell r="AN60">
            <v>2</v>
          </cell>
        </row>
        <row r="61">
          <cell r="A61">
            <v>39556</v>
          </cell>
          <cell r="B61">
            <v>39556</v>
          </cell>
          <cell r="C61" t="str">
            <v>Past</v>
          </cell>
          <cell r="D61">
            <v>61.75</v>
          </cell>
          <cell r="E61" t="e">
            <v>#N/A</v>
          </cell>
          <cell r="F61" t="e">
            <v>#N/A</v>
          </cell>
          <cell r="G61" t="e">
            <v>#N/A</v>
          </cell>
          <cell r="H61" t="e">
            <v>#N/A</v>
          </cell>
          <cell r="I61" t="e">
            <v>#N/A</v>
          </cell>
          <cell r="J61" t="e">
            <v>#N/A</v>
          </cell>
          <cell r="K61" t="e">
            <v>#N/A</v>
          </cell>
          <cell r="L61" t="e">
            <v>#N/A</v>
          </cell>
          <cell r="M61" t="e">
            <v>#N/A</v>
          </cell>
          <cell r="N61" t="e">
            <v>#N/A</v>
          </cell>
          <cell r="O61" t="e">
            <v>#N/A</v>
          </cell>
          <cell r="P61">
            <v>61.75</v>
          </cell>
          <cell r="Q61">
            <v>1.858247</v>
          </cell>
          <cell r="R61" t="e">
            <v>#N/A</v>
          </cell>
          <cell r="S61" t="str">
            <v>PriceFoundAt</v>
          </cell>
          <cell r="T61">
            <v>505</v>
          </cell>
          <cell r="AI61" t="str">
            <v>CHF Swiss Francs</v>
          </cell>
          <cell r="AJ61" t="str">
            <v>SFr</v>
          </cell>
          <cell r="AK61" t="str">
            <v>CHF</v>
          </cell>
          <cell r="AL61" t="str">
            <v>CHF</v>
          </cell>
          <cell r="AM61">
            <v>0</v>
          </cell>
          <cell r="AN61">
            <v>2</v>
          </cell>
        </row>
        <row r="62">
          <cell r="A62">
            <v>39559</v>
          </cell>
          <cell r="B62">
            <v>39559</v>
          </cell>
          <cell r="C62" t="str">
            <v>Past</v>
          </cell>
          <cell r="D62">
            <v>60.66</v>
          </cell>
          <cell r="E62" t="e">
            <v>#N/A</v>
          </cell>
          <cell r="F62" t="e">
            <v>#N/A</v>
          </cell>
          <cell r="G62" t="e">
            <v>#N/A</v>
          </cell>
          <cell r="H62" t="e">
            <v>#N/A</v>
          </cell>
          <cell r="I62" t="e">
            <v>#N/A</v>
          </cell>
          <cell r="J62" t="e">
            <v>#N/A</v>
          </cell>
          <cell r="K62" t="e">
            <v>#N/A</v>
          </cell>
          <cell r="L62" t="e">
            <v>#N/A</v>
          </cell>
          <cell r="M62" t="e">
            <v>#N/A</v>
          </cell>
          <cell r="N62" t="e">
            <v>#N/A</v>
          </cell>
          <cell r="O62" t="e">
            <v>#N/A</v>
          </cell>
          <cell r="P62">
            <v>60.66</v>
          </cell>
          <cell r="Q62">
            <v>1.0490729999999999</v>
          </cell>
          <cell r="R62" t="e">
            <v>#N/A</v>
          </cell>
          <cell r="S62" t="str">
            <v>Starting Point</v>
          </cell>
          <cell r="T62">
            <v>558</v>
          </cell>
          <cell r="AI62" t="str">
            <v>CLP Chilean Pesos</v>
          </cell>
          <cell r="AJ62" t="str">
            <v>CLP</v>
          </cell>
          <cell r="AK62" t="str">
            <v>CLP</v>
          </cell>
          <cell r="AL62" t="str">
            <v>CLP</v>
          </cell>
          <cell r="AM62">
            <v>0</v>
          </cell>
          <cell r="AN62">
            <v>2</v>
          </cell>
        </row>
        <row r="63">
          <cell r="A63">
            <v>39560</v>
          </cell>
          <cell r="B63">
            <v>39560</v>
          </cell>
          <cell r="C63" t="str">
            <v>Past</v>
          </cell>
          <cell r="D63">
            <v>60.28</v>
          </cell>
          <cell r="E63" t="e">
            <v>#N/A</v>
          </cell>
          <cell r="F63" t="e">
            <v>#N/A</v>
          </cell>
          <cell r="G63" t="e">
            <v>#N/A</v>
          </cell>
          <cell r="H63" t="e">
            <v>#N/A</v>
          </cell>
          <cell r="I63" t="e">
            <v>#N/A</v>
          </cell>
          <cell r="J63" t="e">
            <v>#N/A</v>
          </cell>
          <cell r="K63" t="e">
            <v>#N/A</v>
          </cell>
          <cell r="L63" t="e">
            <v>#N/A</v>
          </cell>
          <cell r="M63" t="e">
            <v>#N/A</v>
          </cell>
          <cell r="N63" t="e">
            <v>#N/A</v>
          </cell>
          <cell r="O63" t="e">
            <v>#N/A</v>
          </cell>
          <cell r="P63">
            <v>60.28</v>
          </cell>
          <cell r="Q63">
            <v>1.2401469999999999</v>
          </cell>
          <cell r="R63" t="e">
            <v>#N/A</v>
          </cell>
          <cell r="S63" t="str">
            <v>Saved</v>
          </cell>
          <cell r="T63">
            <v>254</v>
          </cell>
          <cell r="AI63" t="str">
            <v>CNY Chinese Renminbi Yuan</v>
          </cell>
          <cell r="AJ63" t="str">
            <v>Rmb</v>
          </cell>
          <cell r="AK63" t="str">
            <v>CNY</v>
          </cell>
          <cell r="AL63" t="str">
            <v>CNY</v>
          </cell>
          <cell r="AM63">
            <v>0</v>
          </cell>
          <cell r="AN63">
            <v>2</v>
          </cell>
        </row>
        <row r="64">
          <cell r="A64">
            <v>39561</v>
          </cell>
          <cell r="B64">
            <v>39561</v>
          </cell>
          <cell r="C64" t="str">
            <v>Past</v>
          </cell>
          <cell r="D64">
            <v>61.66</v>
          </cell>
          <cell r="E64" t="e">
            <v>#N/A</v>
          </cell>
          <cell r="F64" t="e">
            <v>#N/A</v>
          </cell>
          <cell r="G64" t="e">
            <v>#N/A</v>
          </cell>
          <cell r="H64" t="e">
            <v>#N/A</v>
          </cell>
          <cell r="I64" t="e">
            <v>#N/A</v>
          </cell>
          <cell r="J64" t="e">
            <v>#N/A</v>
          </cell>
          <cell r="K64" t="e">
            <v>#N/A</v>
          </cell>
          <cell r="L64" t="e">
            <v>#N/A</v>
          </cell>
          <cell r="M64" t="e">
            <v>#N/A</v>
          </cell>
          <cell r="N64" t="e">
            <v>#N/A</v>
          </cell>
          <cell r="O64" t="e">
            <v>#N/A</v>
          </cell>
          <cell r="P64">
            <v>61.66</v>
          </cell>
          <cell r="Q64">
            <v>1.4397179999999998</v>
          </cell>
          <cell r="R64" t="e">
            <v>#N/A</v>
          </cell>
          <cell r="S64" t="str">
            <v>Right alligned</v>
          </cell>
          <cell r="T64">
            <v>0</v>
          </cell>
          <cell r="AI64" t="str">
            <v>COP Colombian Peso</v>
          </cell>
          <cell r="AJ64" t="str">
            <v>COP</v>
          </cell>
          <cell r="AK64" t="str">
            <v>COP</v>
          </cell>
          <cell r="AL64" t="str">
            <v>COP</v>
          </cell>
          <cell r="AM64">
            <v>0</v>
          </cell>
          <cell r="AN64">
            <v>2</v>
          </cell>
        </row>
        <row r="65">
          <cell r="A65">
            <v>39562</v>
          </cell>
          <cell r="B65">
            <v>39562</v>
          </cell>
          <cell r="C65" t="str">
            <v>Past</v>
          </cell>
          <cell r="D65">
            <v>67.66</v>
          </cell>
          <cell r="E65" t="e">
            <v>#N/A</v>
          </cell>
          <cell r="F65" t="e">
            <v>#N/A</v>
          </cell>
          <cell r="G65" t="e">
            <v>#N/A</v>
          </cell>
          <cell r="H65" t="e">
            <v>#N/A</v>
          </cell>
          <cell r="I65" t="e">
            <v>#N/A</v>
          </cell>
          <cell r="J65" t="e">
            <v>#N/A</v>
          </cell>
          <cell r="K65" t="e">
            <v>#N/A</v>
          </cell>
          <cell r="L65" t="e">
            <v>#N/A</v>
          </cell>
          <cell r="M65" t="e">
            <v>#N/A</v>
          </cell>
          <cell r="N65" t="e">
            <v>#N/A</v>
          </cell>
          <cell r="O65" t="e">
            <v>#N/A</v>
          </cell>
          <cell r="P65">
            <v>67.66</v>
          </cell>
          <cell r="Q65">
            <v>2.9815619999999998</v>
          </cell>
          <cell r="R65" t="e">
            <v>#N/A</v>
          </cell>
          <cell r="S65" t="str">
            <v>Decimal</v>
          </cell>
          <cell r="T65">
            <v>2</v>
          </cell>
          <cell r="AI65" t="str">
            <v>CZK Czech Krona</v>
          </cell>
          <cell r="AJ65" t="str">
            <v>Kcs</v>
          </cell>
          <cell r="AK65" t="str">
            <v>CZK</v>
          </cell>
          <cell r="AL65" t="str">
            <v>CZK</v>
          </cell>
          <cell r="AM65">
            <v>0</v>
          </cell>
          <cell r="AN65">
            <v>2</v>
          </cell>
        </row>
        <row r="66">
          <cell r="A66">
            <v>39563</v>
          </cell>
          <cell r="B66">
            <v>39563</v>
          </cell>
          <cell r="C66" t="str">
            <v>Past</v>
          </cell>
          <cell r="D66">
            <v>67.61</v>
          </cell>
          <cell r="E66" t="e">
            <v>#N/A</v>
          </cell>
          <cell r="F66" t="e">
            <v>#N/A</v>
          </cell>
          <cell r="G66" t="e">
            <v>#N/A</v>
          </cell>
          <cell r="H66" t="e">
            <v>#N/A</v>
          </cell>
          <cell r="I66" t="e">
            <v>#N/A</v>
          </cell>
          <cell r="J66" t="e">
            <v>#N/A</v>
          </cell>
          <cell r="K66" t="e">
            <v>#N/A</v>
          </cell>
          <cell r="L66" t="e">
            <v>#N/A</v>
          </cell>
          <cell r="M66" t="e">
            <v>#N/A</v>
          </cell>
          <cell r="N66" t="e">
            <v>#N/A</v>
          </cell>
          <cell r="O66" t="e">
            <v>#N/A</v>
          </cell>
          <cell r="P66">
            <v>67.61</v>
          </cell>
          <cell r="Q66">
            <v>1.900412</v>
          </cell>
          <cell r="R66" t="e">
            <v>#N/A</v>
          </cell>
          <cell r="S66" t="str">
            <v>default StartDate</v>
          </cell>
          <cell r="T66">
            <v>39547</v>
          </cell>
          <cell r="AI66" t="str">
            <v>DKK Danish Krone</v>
          </cell>
          <cell r="AJ66" t="str">
            <v>DKr</v>
          </cell>
          <cell r="AK66" t="str">
            <v>DKK</v>
          </cell>
          <cell r="AL66" t="str">
            <v>DKK</v>
          </cell>
          <cell r="AM66">
            <v>0</v>
          </cell>
          <cell r="AN66">
            <v>2</v>
          </cell>
        </row>
        <row r="67">
          <cell r="A67">
            <v>39566</v>
          </cell>
          <cell r="B67">
            <v>39566</v>
          </cell>
          <cell r="C67" t="str">
            <v>Past</v>
          </cell>
          <cell r="D67">
            <v>67.81</v>
          </cell>
          <cell r="E67" t="e">
            <v>#N/A</v>
          </cell>
          <cell r="F67" t="e">
            <v>#N/A</v>
          </cell>
          <cell r="G67" t="e">
            <v>#N/A</v>
          </cell>
          <cell r="H67" t="e">
            <v>#N/A</v>
          </cell>
          <cell r="I67" t="e">
            <v>#N/A</v>
          </cell>
          <cell r="J67" t="e">
            <v>#N/A</v>
          </cell>
          <cell r="K67" t="e">
            <v>#N/A</v>
          </cell>
          <cell r="L67" t="e">
            <v>#N/A</v>
          </cell>
          <cell r="M67" t="e">
            <v>#N/A</v>
          </cell>
          <cell r="N67" t="e">
            <v>#N/A</v>
          </cell>
          <cell r="O67" t="e">
            <v>#N/A</v>
          </cell>
          <cell r="P67">
            <v>67.81</v>
          </cell>
          <cell r="Q67">
            <v>1.6659309999999998</v>
          </cell>
          <cell r="R67" t="e">
            <v>#N/A</v>
          </cell>
          <cell r="S67" t="str">
            <v>default EndDate</v>
          </cell>
          <cell r="T67">
            <v>40642</v>
          </cell>
          <cell r="AI67" t="str">
            <v>DZD Algerian Dinar</v>
          </cell>
          <cell r="AJ67" t="str">
            <v>DZD</v>
          </cell>
          <cell r="AK67" t="str">
            <v>DZD</v>
          </cell>
          <cell r="AL67" t="str">
            <v>DZD</v>
          </cell>
          <cell r="AM67">
            <v>0</v>
          </cell>
          <cell r="AN67">
            <v>2</v>
          </cell>
        </row>
        <row r="68">
          <cell r="A68">
            <v>39567</v>
          </cell>
          <cell r="B68">
            <v>39567</v>
          </cell>
          <cell r="C68" t="str">
            <v>Past</v>
          </cell>
          <cell r="D68">
            <v>67.790000000000006</v>
          </cell>
          <cell r="E68" t="e">
            <v>#N/A</v>
          </cell>
          <cell r="F68" t="e">
            <v>#N/A</v>
          </cell>
          <cell r="G68" t="e">
            <v>#N/A</v>
          </cell>
          <cell r="H68" t="e">
            <v>#N/A</v>
          </cell>
          <cell r="I68" t="e">
            <v>#N/A</v>
          </cell>
          <cell r="J68" t="e">
            <v>#N/A</v>
          </cell>
          <cell r="K68" t="e">
            <v>#N/A</v>
          </cell>
          <cell r="L68" t="e">
            <v>#N/A</v>
          </cell>
          <cell r="M68" t="e">
            <v>#N/A</v>
          </cell>
          <cell r="N68" t="e">
            <v>#N/A</v>
          </cell>
          <cell r="O68" t="e">
            <v>#N/A</v>
          </cell>
          <cell r="P68">
            <v>67.790000000000006</v>
          </cell>
          <cell r="Q68">
            <v>0.99023600000000001</v>
          </cell>
          <cell r="R68" t="e">
            <v>#N/A</v>
          </cell>
          <cell r="S68" t="str">
            <v>Max sharePrice</v>
          </cell>
          <cell r="T68">
            <v>72.650000000000006</v>
          </cell>
          <cell r="AI68" t="str">
            <v>EGP Egyptian Pound</v>
          </cell>
          <cell r="AJ68" t="str">
            <v>EGP</v>
          </cell>
          <cell r="AK68" t="str">
            <v>EGP</v>
          </cell>
          <cell r="AL68" t="str">
            <v>EGP</v>
          </cell>
          <cell r="AM68">
            <v>0</v>
          </cell>
          <cell r="AN68">
            <v>2</v>
          </cell>
        </row>
        <row r="69">
          <cell r="A69">
            <v>39568</v>
          </cell>
          <cell r="B69">
            <v>39568</v>
          </cell>
          <cell r="C69" t="str">
            <v>Past</v>
          </cell>
          <cell r="D69">
            <v>68.150000000000006</v>
          </cell>
          <cell r="E69" t="e">
            <v>#N/A</v>
          </cell>
          <cell r="F69" t="e">
            <v>#N/A</v>
          </cell>
          <cell r="G69" t="e">
            <v>#N/A</v>
          </cell>
          <cell r="H69" t="e">
            <v>#N/A</v>
          </cell>
          <cell r="I69" t="e">
            <v>#N/A</v>
          </cell>
          <cell r="J69" t="e">
            <v>#N/A</v>
          </cell>
          <cell r="K69" t="e">
            <v>#N/A</v>
          </cell>
          <cell r="L69" t="e">
            <v>#N/A</v>
          </cell>
          <cell r="M69" t="e">
            <v>#N/A</v>
          </cell>
          <cell r="N69" t="e">
            <v>#N/A</v>
          </cell>
          <cell r="O69" t="e">
            <v>#N/A</v>
          </cell>
          <cell r="P69">
            <v>68.150000000000006</v>
          </cell>
          <cell r="Q69">
            <v>1.49946</v>
          </cell>
          <cell r="R69" t="e">
            <v>#N/A</v>
          </cell>
          <cell r="AI69" t="str">
            <v>EUR Euro</v>
          </cell>
          <cell r="AJ69" t="str">
            <v>€</v>
          </cell>
          <cell r="AK69" t="str">
            <v>EUR</v>
          </cell>
          <cell r="AL69" t="str">
            <v>EUR</v>
          </cell>
          <cell r="AM69">
            <v>0</v>
          </cell>
          <cell r="AN69">
            <v>2</v>
          </cell>
        </row>
        <row r="70">
          <cell r="A70">
            <v>39569</v>
          </cell>
          <cell r="B70">
            <v>39569</v>
          </cell>
          <cell r="C70" t="str">
            <v>Past</v>
          </cell>
          <cell r="D70">
            <v>69.39</v>
          </cell>
          <cell r="E70" t="e">
            <v>#N/A</v>
          </cell>
          <cell r="F70" t="e">
            <v>#N/A</v>
          </cell>
          <cell r="G70" t="e">
            <v>#N/A</v>
          </cell>
          <cell r="H70" t="e">
            <v>#N/A</v>
          </cell>
          <cell r="I70" t="e">
            <v>#N/A</v>
          </cell>
          <cell r="J70" t="e">
            <v>#N/A</v>
          </cell>
          <cell r="K70" t="e">
            <v>#N/A</v>
          </cell>
          <cell r="L70" t="e">
            <v>#N/A</v>
          </cell>
          <cell r="M70" t="e">
            <v>#N/A</v>
          </cell>
          <cell r="N70" t="e">
            <v>#N/A</v>
          </cell>
          <cell r="O70" t="e">
            <v>#N/A</v>
          </cell>
          <cell r="P70">
            <v>69.39</v>
          </cell>
          <cell r="Q70">
            <v>1.146895</v>
          </cell>
          <cell r="R70" t="e">
            <v>#N/A</v>
          </cell>
          <cell r="AI70" t="str">
            <v>GBp British Pence</v>
          </cell>
          <cell r="AJ70" t="str">
            <v>p</v>
          </cell>
          <cell r="AK70" t="str">
            <v>GBp</v>
          </cell>
          <cell r="AL70" t="str">
            <v>GBX</v>
          </cell>
          <cell r="AM70">
            <v>1</v>
          </cell>
          <cell r="AN70">
            <v>0</v>
          </cell>
        </row>
        <row r="71">
          <cell r="A71">
            <v>39570</v>
          </cell>
          <cell r="B71">
            <v>39570</v>
          </cell>
          <cell r="C71" t="str">
            <v>Past</v>
          </cell>
          <cell r="D71">
            <v>68.489999999999995</v>
          </cell>
          <cell r="E71" t="e">
            <v>#N/A</v>
          </cell>
          <cell r="F71" t="e">
            <v>#N/A</v>
          </cell>
          <cell r="G71" t="e">
            <v>#N/A</v>
          </cell>
          <cell r="H71" t="e">
            <v>#N/A</v>
          </cell>
          <cell r="I71" t="e">
            <v>#N/A</v>
          </cell>
          <cell r="J71" t="e">
            <v>#N/A</v>
          </cell>
          <cell r="K71" t="e">
            <v>#N/A</v>
          </cell>
          <cell r="L71" t="e">
            <v>#N/A</v>
          </cell>
          <cell r="M71" t="e">
            <v>#N/A</v>
          </cell>
          <cell r="N71" t="e">
            <v>#N/A</v>
          </cell>
          <cell r="O71" t="e">
            <v>#N/A</v>
          </cell>
          <cell r="P71">
            <v>68.489999999999995</v>
          </cell>
          <cell r="Q71">
            <v>1.781042</v>
          </cell>
          <cell r="R71" t="e">
            <v>#N/A</v>
          </cell>
          <cell r="AI71" t="str">
            <v>GBP British Pound</v>
          </cell>
          <cell r="AJ71" t="str">
            <v>₤</v>
          </cell>
          <cell r="AK71" t="str">
            <v>GBP</v>
          </cell>
          <cell r="AL71" t="str">
            <v>GBP</v>
          </cell>
          <cell r="AM71">
            <v>0</v>
          </cell>
          <cell r="AN71">
            <v>2</v>
          </cell>
        </row>
        <row r="72">
          <cell r="A72">
            <v>39573</v>
          </cell>
          <cell r="B72">
            <v>39573</v>
          </cell>
          <cell r="C72" t="str">
            <v>Past</v>
          </cell>
          <cell r="D72">
            <v>68.48</v>
          </cell>
          <cell r="E72" t="e">
            <v>#N/A</v>
          </cell>
          <cell r="F72" t="e">
            <v>#N/A</v>
          </cell>
          <cell r="G72" t="e">
            <v>#N/A</v>
          </cell>
          <cell r="H72" t="e">
            <v>#N/A</v>
          </cell>
          <cell r="I72" t="e">
            <v>#N/A</v>
          </cell>
          <cell r="J72" t="e">
            <v>#N/A</v>
          </cell>
          <cell r="K72" t="e">
            <v>#N/A</v>
          </cell>
          <cell r="L72" t="e">
            <v>#N/A</v>
          </cell>
          <cell r="M72" t="e">
            <v>#N/A</v>
          </cell>
          <cell r="N72" t="e">
            <v>#N/A</v>
          </cell>
          <cell r="O72" t="e">
            <v>#N/A</v>
          </cell>
          <cell r="P72">
            <v>68.48</v>
          </cell>
          <cell r="Q72">
            <v>0.58542099999999997</v>
          </cell>
          <cell r="R72" t="e">
            <v>#N/A</v>
          </cell>
          <cell r="AI72" t="str">
            <v>HKD Hong Kong Dollar</v>
          </cell>
          <cell r="AJ72" t="str">
            <v>HK$</v>
          </cell>
          <cell r="AK72" t="str">
            <v>HKD</v>
          </cell>
          <cell r="AL72" t="str">
            <v>HKD</v>
          </cell>
          <cell r="AM72">
            <v>0</v>
          </cell>
          <cell r="AN72">
            <v>2</v>
          </cell>
        </row>
        <row r="73">
          <cell r="A73">
            <v>39574</v>
          </cell>
          <cell r="B73">
            <v>39574</v>
          </cell>
          <cell r="C73" t="str">
            <v>Past</v>
          </cell>
          <cell r="D73">
            <v>68.209999999999994</v>
          </cell>
          <cell r="E73" t="e">
            <v>#N/A</v>
          </cell>
          <cell r="F73" t="e">
            <v>#N/A</v>
          </cell>
          <cell r="G73" t="e">
            <v>#N/A</v>
          </cell>
          <cell r="H73" t="e">
            <v>#N/A</v>
          </cell>
          <cell r="I73" t="e">
            <v>#N/A</v>
          </cell>
          <cell r="J73" t="e">
            <v>#N/A</v>
          </cell>
          <cell r="K73" t="e">
            <v>#N/A</v>
          </cell>
          <cell r="L73" t="e">
            <v>#N/A</v>
          </cell>
          <cell r="M73" t="e">
            <v>#N/A</v>
          </cell>
          <cell r="N73" t="e">
            <v>#N/A</v>
          </cell>
          <cell r="O73" t="e">
            <v>#N/A</v>
          </cell>
          <cell r="P73">
            <v>68.209999999999994</v>
          </cell>
          <cell r="Q73">
            <v>0.82417799999999997</v>
          </cell>
          <cell r="R73" t="e">
            <v>#N/A</v>
          </cell>
          <cell r="AI73" t="str">
            <v>HUF Hungarian forint</v>
          </cell>
          <cell r="AJ73" t="str">
            <v>Ft</v>
          </cell>
          <cell r="AK73" t="str">
            <v>HUF</v>
          </cell>
          <cell r="AL73" t="str">
            <v>HUF</v>
          </cell>
          <cell r="AM73">
            <v>0</v>
          </cell>
          <cell r="AN73">
            <v>2</v>
          </cell>
        </row>
        <row r="74">
          <cell r="A74">
            <v>39575</v>
          </cell>
          <cell r="B74">
            <v>39575</v>
          </cell>
          <cell r="C74" t="str">
            <v>Past</v>
          </cell>
          <cell r="D74">
            <v>66.7</v>
          </cell>
          <cell r="E74" t="e">
            <v>#N/A</v>
          </cell>
          <cell r="F74" t="e">
            <v>#N/A</v>
          </cell>
          <cell r="G74" t="e">
            <v>#N/A</v>
          </cell>
          <cell r="H74" t="e">
            <v>#N/A</v>
          </cell>
          <cell r="I74" t="e">
            <v>#N/A</v>
          </cell>
          <cell r="J74" t="e">
            <v>#N/A</v>
          </cell>
          <cell r="K74" t="e">
            <v>#N/A</v>
          </cell>
          <cell r="L74" t="e">
            <v>#N/A</v>
          </cell>
          <cell r="M74" t="e">
            <v>#N/A</v>
          </cell>
          <cell r="N74" t="e">
            <v>#N/A</v>
          </cell>
          <cell r="O74" t="e">
            <v>#N/A</v>
          </cell>
          <cell r="P74">
            <v>66.7</v>
          </cell>
          <cell r="Q74">
            <v>0.75180899999999995</v>
          </cell>
          <cell r="R74" t="e">
            <v>#N/A</v>
          </cell>
          <cell r="AI74" t="str">
            <v>IDR Indonesian Rupiah</v>
          </cell>
          <cell r="AJ74" t="str">
            <v>Rp</v>
          </cell>
          <cell r="AK74" t="str">
            <v>IDR</v>
          </cell>
          <cell r="AL74" t="str">
            <v>IDR</v>
          </cell>
          <cell r="AM74">
            <v>0</v>
          </cell>
          <cell r="AN74">
            <v>0</v>
          </cell>
        </row>
        <row r="75">
          <cell r="A75">
            <v>39576</v>
          </cell>
          <cell r="B75">
            <v>39576</v>
          </cell>
          <cell r="C75" t="str">
            <v>Past</v>
          </cell>
          <cell r="D75">
            <v>67.599999999999994</v>
          </cell>
          <cell r="E75" t="e">
            <v>#N/A</v>
          </cell>
          <cell r="F75" t="e">
            <v>#N/A</v>
          </cell>
          <cell r="G75" t="e">
            <v>#N/A</v>
          </cell>
          <cell r="H75" t="e">
            <v>#N/A</v>
          </cell>
          <cell r="I75" t="e">
            <v>#N/A</v>
          </cell>
          <cell r="J75" t="e">
            <v>#N/A</v>
          </cell>
          <cell r="K75" t="e">
            <v>#N/A</v>
          </cell>
          <cell r="L75" t="e">
            <v>#N/A</v>
          </cell>
          <cell r="M75" t="e">
            <v>#N/A</v>
          </cell>
          <cell r="N75" t="e">
            <v>#N/A</v>
          </cell>
          <cell r="O75" t="e">
            <v>#N/A</v>
          </cell>
          <cell r="P75">
            <v>67.599999999999994</v>
          </cell>
          <cell r="Q75">
            <v>0.81272299999999997</v>
          </cell>
          <cell r="R75" t="e">
            <v>#N/A</v>
          </cell>
          <cell r="AI75" t="str">
            <v>ILS Israeli shekel</v>
          </cell>
          <cell r="AJ75" t="str">
            <v>ILS</v>
          </cell>
          <cell r="AK75" t="str">
            <v>ILS</v>
          </cell>
          <cell r="AL75" t="str">
            <v>ILS</v>
          </cell>
          <cell r="AM75">
            <v>0</v>
          </cell>
          <cell r="AN75">
            <v>2</v>
          </cell>
        </row>
        <row r="76">
          <cell r="A76">
            <v>39577</v>
          </cell>
          <cell r="B76">
            <v>39577</v>
          </cell>
          <cell r="C76" t="str">
            <v>Past</v>
          </cell>
          <cell r="D76">
            <v>67.069999999999993</v>
          </cell>
          <cell r="E76" t="e">
            <v>#N/A</v>
          </cell>
          <cell r="F76" t="e">
            <v>#N/A</v>
          </cell>
          <cell r="G76" t="e">
            <v>#N/A</v>
          </cell>
          <cell r="H76" t="e">
            <v>#N/A</v>
          </cell>
          <cell r="I76" t="e">
            <v>#N/A</v>
          </cell>
          <cell r="J76" t="e">
            <v>#N/A</v>
          </cell>
          <cell r="K76" t="e">
            <v>#N/A</v>
          </cell>
          <cell r="L76" t="e">
            <v>#N/A</v>
          </cell>
          <cell r="M76" t="e">
            <v>#N/A</v>
          </cell>
          <cell r="N76" t="e">
            <v>#N/A</v>
          </cell>
          <cell r="O76" t="e">
            <v>#N/A</v>
          </cell>
          <cell r="P76">
            <v>67.069999999999993</v>
          </cell>
          <cell r="Q76">
            <v>0.47185299999999997</v>
          </cell>
          <cell r="R76" t="e">
            <v>#N/A</v>
          </cell>
          <cell r="AI76" t="str">
            <v>INR Indian Rupee</v>
          </cell>
          <cell r="AJ76" t="str">
            <v>Rs.</v>
          </cell>
          <cell r="AK76" t="str">
            <v>INR</v>
          </cell>
          <cell r="AL76" t="str">
            <v>INR</v>
          </cell>
          <cell r="AM76">
            <v>0</v>
          </cell>
          <cell r="AN76">
            <v>2</v>
          </cell>
        </row>
        <row r="77">
          <cell r="A77">
            <v>39580</v>
          </cell>
          <cell r="B77">
            <v>39580</v>
          </cell>
          <cell r="C77" t="str">
            <v>Past</v>
          </cell>
          <cell r="D77">
            <v>67.47</v>
          </cell>
          <cell r="E77" t="e">
            <v>#N/A</v>
          </cell>
          <cell r="F77" t="e">
            <v>#N/A</v>
          </cell>
          <cell r="G77" t="e">
            <v>#N/A</v>
          </cell>
          <cell r="H77" t="e">
            <v>#N/A</v>
          </cell>
          <cell r="I77" t="e">
            <v>#N/A</v>
          </cell>
          <cell r="J77" t="e">
            <v>#N/A</v>
          </cell>
          <cell r="K77" t="e">
            <v>#N/A</v>
          </cell>
          <cell r="L77" t="e">
            <v>#N/A</v>
          </cell>
          <cell r="M77" t="e">
            <v>#N/A</v>
          </cell>
          <cell r="N77" t="e">
            <v>#N/A</v>
          </cell>
          <cell r="O77" t="e">
            <v>#N/A</v>
          </cell>
          <cell r="P77">
            <v>67.47</v>
          </cell>
          <cell r="Q77">
            <v>0.54441200000000001</v>
          </cell>
          <cell r="R77" t="e">
            <v>#N/A</v>
          </cell>
          <cell r="AI77" t="str">
            <v>IQD Iraqi Dinar</v>
          </cell>
          <cell r="AJ77" t="str">
            <v>IQD</v>
          </cell>
          <cell r="AK77" t="str">
            <v>IQD</v>
          </cell>
          <cell r="AL77" t="str">
            <v>IQD</v>
          </cell>
          <cell r="AM77">
            <v>0</v>
          </cell>
          <cell r="AN77">
            <v>2</v>
          </cell>
        </row>
        <row r="78">
          <cell r="A78">
            <v>39581</v>
          </cell>
          <cell r="B78">
            <v>39581</v>
          </cell>
          <cell r="C78" t="str">
            <v>Past</v>
          </cell>
          <cell r="D78">
            <v>67.84</v>
          </cell>
          <cell r="E78" t="e">
            <v>#N/A</v>
          </cell>
          <cell r="F78" t="e">
            <v>#N/A</v>
          </cell>
          <cell r="G78" t="e">
            <v>#N/A</v>
          </cell>
          <cell r="H78" t="e">
            <v>#N/A</v>
          </cell>
          <cell r="I78" t="e">
            <v>#N/A</v>
          </cell>
          <cell r="J78" t="e">
            <v>#N/A</v>
          </cell>
          <cell r="K78" t="e">
            <v>#N/A</v>
          </cell>
          <cell r="L78" t="e">
            <v>#N/A</v>
          </cell>
          <cell r="M78" t="e">
            <v>#N/A</v>
          </cell>
          <cell r="N78" t="e">
            <v>#N/A</v>
          </cell>
          <cell r="O78" t="e">
            <v>#N/A</v>
          </cell>
          <cell r="P78">
            <v>67.84</v>
          </cell>
          <cell r="Q78">
            <v>0.67736600000000002</v>
          </cell>
          <cell r="R78" t="e">
            <v>#N/A</v>
          </cell>
          <cell r="AI78" t="str">
            <v>IRR Iranian Rial</v>
          </cell>
          <cell r="AJ78" t="str">
            <v>IRR</v>
          </cell>
          <cell r="AK78" t="str">
            <v>IRR</v>
          </cell>
          <cell r="AL78" t="str">
            <v>IRR</v>
          </cell>
          <cell r="AM78">
            <v>0</v>
          </cell>
          <cell r="AN78">
            <v>2</v>
          </cell>
        </row>
        <row r="79">
          <cell r="A79">
            <v>39582</v>
          </cell>
          <cell r="B79">
            <v>39582</v>
          </cell>
          <cell r="C79" t="str">
            <v>Past</v>
          </cell>
          <cell r="D79">
            <v>68.13</v>
          </cell>
          <cell r="E79" t="e">
            <v>#N/A</v>
          </cell>
          <cell r="F79" t="e">
            <v>#N/A</v>
          </cell>
          <cell r="G79" t="e">
            <v>#N/A</v>
          </cell>
          <cell r="H79" t="e">
            <v>#N/A</v>
          </cell>
          <cell r="I79" t="e">
            <v>#N/A</v>
          </cell>
          <cell r="J79" t="e">
            <v>#N/A</v>
          </cell>
          <cell r="K79" t="e">
            <v>#N/A</v>
          </cell>
          <cell r="L79" t="e">
            <v>#N/A</v>
          </cell>
          <cell r="M79" t="e">
            <v>#N/A</v>
          </cell>
          <cell r="N79" t="e">
            <v>#N/A</v>
          </cell>
          <cell r="O79" t="e">
            <v>#N/A</v>
          </cell>
          <cell r="P79">
            <v>68.13</v>
          </cell>
          <cell r="Q79">
            <v>0.79796199999999995</v>
          </cell>
          <cell r="R79" t="e">
            <v>#N/A</v>
          </cell>
          <cell r="AI79" t="str">
            <v>ISK Iceland Krona</v>
          </cell>
          <cell r="AJ79" t="str">
            <v>kr</v>
          </cell>
          <cell r="AK79" t="str">
            <v>ISK</v>
          </cell>
          <cell r="AL79" t="str">
            <v>ISK</v>
          </cell>
          <cell r="AM79">
            <v>0</v>
          </cell>
          <cell r="AN79">
            <v>2</v>
          </cell>
        </row>
        <row r="80">
          <cell r="A80">
            <v>39583</v>
          </cell>
          <cell r="B80">
            <v>39583</v>
          </cell>
          <cell r="C80" t="str">
            <v>Past</v>
          </cell>
          <cell r="D80">
            <v>67.55</v>
          </cell>
          <cell r="E80" t="e">
            <v>#N/A</v>
          </cell>
          <cell r="F80" t="e">
            <v>#N/A</v>
          </cell>
          <cell r="G80" t="e">
            <v>#N/A</v>
          </cell>
          <cell r="H80" t="e">
            <v>#N/A</v>
          </cell>
          <cell r="I80" t="e">
            <v>#N/A</v>
          </cell>
          <cell r="J80" t="e">
            <v>#N/A</v>
          </cell>
          <cell r="K80" t="e">
            <v>#N/A</v>
          </cell>
          <cell r="L80" t="e">
            <v>#N/A</v>
          </cell>
          <cell r="M80" t="e">
            <v>#N/A</v>
          </cell>
          <cell r="N80" t="e">
            <v>#N/A</v>
          </cell>
          <cell r="O80" t="e">
            <v>#N/A</v>
          </cell>
          <cell r="P80">
            <v>67.55</v>
          </cell>
          <cell r="Q80">
            <v>0.88713699999999995</v>
          </cell>
          <cell r="R80" t="e">
            <v>#N/A</v>
          </cell>
          <cell r="AI80" t="str">
            <v>JMD Jamaican Dollars</v>
          </cell>
          <cell r="AJ80" t="str">
            <v>JMD</v>
          </cell>
          <cell r="AK80" t="str">
            <v>JMD</v>
          </cell>
          <cell r="AL80" t="str">
            <v>JMD</v>
          </cell>
          <cell r="AM80">
            <v>0</v>
          </cell>
          <cell r="AN80">
            <v>2</v>
          </cell>
        </row>
        <row r="81">
          <cell r="A81">
            <v>39584</v>
          </cell>
          <cell r="B81">
            <v>39584</v>
          </cell>
          <cell r="C81" t="str">
            <v>Past</v>
          </cell>
          <cell r="D81">
            <v>67.19</v>
          </cell>
          <cell r="E81" t="e">
            <v>#N/A</v>
          </cell>
          <cell r="F81" t="e">
            <v>#N/A</v>
          </cell>
          <cell r="G81" t="e">
            <v>#N/A</v>
          </cell>
          <cell r="H81" t="e">
            <v>#N/A</v>
          </cell>
          <cell r="I81" t="e">
            <v>#N/A</v>
          </cell>
          <cell r="J81" t="e">
            <v>#N/A</v>
          </cell>
          <cell r="K81" t="e">
            <v>#N/A</v>
          </cell>
          <cell r="L81" t="e">
            <v>#N/A</v>
          </cell>
          <cell r="M81" t="e">
            <v>#N/A</v>
          </cell>
          <cell r="N81" t="e">
            <v>#N/A</v>
          </cell>
          <cell r="O81" t="e">
            <v>#N/A</v>
          </cell>
          <cell r="P81">
            <v>67.19</v>
          </cell>
          <cell r="Q81">
            <v>0.79061700000000001</v>
          </cell>
          <cell r="R81" t="e">
            <v>#N/A</v>
          </cell>
          <cell r="AI81" t="str">
            <v>JPY Japanese Yen</v>
          </cell>
          <cell r="AJ81" t="str">
            <v>¥</v>
          </cell>
          <cell r="AK81" t="str">
            <v>JPY</v>
          </cell>
          <cell r="AL81" t="str">
            <v>JPY</v>
          </cell>
          <cell r="AM81">
            <v>0</v>
          </cell>
          <cell r="AN81">
            <v>0</v>
          </cell>
        </row>
        <row r="82">
          <cell r="A82">
            <v>39587</v>
          </cell>
          <cell r="B82">
            <v>39587</v>
          </cell>
          <cell r="C82" t="str">
            <v>Past</v>
          </cell>
          <cell r="D82">
            <v>67.31</v>
          </cell>
          <cell r="E82" t="e">
            <v>#N/A</v>
          </cell>
          <cell r="F82" t="e">
            <v>#N/A</v>
          </cell>
          <cell r="G82" t="e">
            <v>#N/A</v>
          </cell>
          <cell r="H82" t="e">
            <v>#N/A</v>
          </cell>
          <cell r="I82" t="e">
            <v>#N/A</v>
          </cell>
          <cell r="J82" t="e">
            <v>#N/A</v>
          </cell>
          <cell r="K82" t="e">
            <v>#N/A</v>
          </cell>
          <cell r="L82" t="e">
            <v>#N/A</v>
          </cell>
          <cell r="M82" t="e">
            <v>#N/A</v>
          </cell>
          <cell r="N82" t="e">
            <v>#N/A</v>
          </cell>
          <cell r="O82" t="e">
            <v>#N/A</v>
          </cell>
          <cell r="P82">
            <v>67.31</v>
          </cell>
          <cell r="Q82">
            <v>0.81963799999999998</v>
          </cell>
          <cell r="R82" t="e">
            <v>#N/A</v>
          </cell>
          <cell r="AI82" t="str">
            <v>KES Kenyan Shilling</v>
          </cell>
          <cell r="AJ82" t="str">
            <v>KES</v>
          </cell>
          <cell r="AK82" t="str">
            <v>KES</v>
          </cell>
          <cell r="AL82" t="str">
            <v>KES</v>
          </cell>
          <cell r="AM82">
            <v>0</v>
          </cell>
          <cell r="AN82">
            <v>0</v>
          </cell>
        </row>
        <row r="83">
          <cell r="A83">
            <v>39588</v>
          </cell>
          <cell r="B83">
            <v>39588</v>
          </cell>
          <cell r="C83" t="str">
            <v>Past</v>
          </cell>
          <cell r="D83">
            <v>67.349999999999994</v>
          </cell>
          <cell r="E83" t="e">
            <v>#N/A</v>
          </cell>
          <cell r="F83" t="e">
            <v>#N/A</v>
          </cell>
          <cell r="G83" t="e">
            <v>#N/A</v>
          </cell>
          <cell r="H83" t="e">
            <v>#N/A</v>
          </cell>
          <cell r="I83" t="e">
            <v>#N/A</v>
          </cell>
          <cell r="J83" t="e">
            <v>#N/A</v>
          </cell>
          <cell r="K83" t="e">
            <v>#N/A</v>
          </cell>
          <cell r="L83" t="e">
            <v>#N/A</v>
          </cell>
          <cell r="M83" t="e">
            <v>#N/A</v>
          </cell>
          <cell r="N83" t="e">
            <v>#N/A</v>
          </cell>
          <cell r="O83" t="e">
            <v>#N/A</v>
          </cell>
          <cell r="P83">
            <v>67.349999999999994</v>
          </cell>
          <cell r="Q83">
            <v>0.70514699999999997</v>
          </cell>
          <cell r="R83" t="e">
            <v>#N/A</v>
          </cell>
          <cell r="AI83" t="str">
            <v>KRW South Korean Won</v>
          </cell>
          <cell r="AJ83" t="str">
            <v>₩</v>
          </cell>
          <cell r="AK83" t="str">
            <v>KRW</v>
          </cell>
          <cell r="AL83" t="str">
            <v>KRW</v>
          </cell>
          <cell r="AM83">
            <v>0</v>
          </cell>
          <cell r="AN83">
            <v>0</v>
          </cell>
        </row>
        <row r="84">
          <cell r="A84">
            <v>39589</v>
          </cell>
          <cell r="B84">
            <v>39589</v>
          </cell>
          <cell r="C84" t="str">
            <v>Past</v>
          </cell>
          <cell r="D84">
            <v>65.86</v>
          </cell>
          <cell r="E84" t="e">
            <v>#N/A</v>
          </cell>
          <cell r="F84" t="e">
            <v>#N/A</v>
          </cell>
          <cell r="G84" t="e">
            <v>#N/A</v>
          </cell>
          <cell r="H84" t="e">
            <v>#N/A</v>
          </cell>
          <cell r="I84" t="e">
            <v>#N/A</v>
          </cell>
          <cell r="J84" t="e">
            <v>#N/A</v>
          </cell>
          <cell r="K84" t="e">
            <v>#N/A</v>
          </cell>
          <cell r="L84" t="e">
            <v>#N/A</v>
          </cell>
          <cell r="M84" t="e">
            <v>#N/A</v>
          </cell>
          <cell r="N84" t="e">
            <v>#N/A</v>
          </cell>
          <cell r="O84" t="e">
            <v>#N/A</v>
          </cell>
          <cell r="P84">
            <v>65.86</v>
          </cell>
          <cell r="Q84">
            <v>1.3927429999999998</v>
          </cell>
          <cell r="R84" t="e">
            <v>#N/A</v>
          </cell>
          <cell r="AI84" t="str">
            <v>KWD Kuwaiti Dinar</v>
          </cell>
          <cell r="AJ84" t="str">
            <v>KWD</v>
          </cell>
          <cell r="AK84" t="str">
            <v>KWD</v>
          </cell>
          <cell r="AL84" t="str">
            <v>KWD</v>
          </cell>
          <cell r="AM84">
            <v>0</v>
          </cell>
          <cell r="AN84">
            <v>2</v>
          </cell>
        </row>
        <row r="85">
          <cell r="A85">
            <v>39590</v>
          </cell>
          <cell r="B85">
            <v>39590</v>
          </cell>
          <cell r="C85" t="str">
            <v>Past</v>
          </cell>
          <cell r="D85">
            <v>64.8</v>
          </cell>
          <cell r="E85" t="e">
            <v>#N/A</v>
          </cell>
          <cell r="F85" t="e">
            <v>#N/A</v>
          </cell>
          <cell r="G85" t="e">
            <v>#N/A</v>
          </cell>
          <cell r="H85" t="e">
            <v>#N/A</v>
          </cell>
          <cell r="I85" t="e">
            <v>#N/A</v>
          </cell>
          <cell r="J85" t="e">
            <v>#N/A</v>
          </cell>
          <cell r="K85" t="e">
            <v>#N/A</v>
          </cell>
          <cell r="L85" t="e">
            <v>#N/A</v>
          </cell>
          <cell r="M85" t="e">
            <v>#N/A</v>
          </cell>
          <cell r="N85" t="e">
            <v>#N/A</v>
          </cell>
          <cell r="O85" t="e">
            <v>#N/A</v>
          </cell>
          <cell r="P85">
            <v>64.8</v>
          </cell>
          <cell r="Q85">
            <v>1.485079</v>
          </cell>
          <cell r="R85" t="e">
            <v>#N/A</v>
          </cell>
          <cell r="AI85" t="str">
            <v>KYD Cayman Dollars</v>
          </cell>
          <cell r="AJ85" t="str">
            <v>KYD</v>
          </cell>
          <cell r="AK85" t="str">
            <v>KYD</v>
          </cell>
          <cell r="AL85" t="str">
            <v>KYD</v>
          </cell>
          <cell r="AM85">
            <v>0</v>
          </cell>
          <cell r="AN85">
            <v>2</v>
          </cell>
        </row>
        <row r="86">
          <cell r="A86">
            <v>39591</v>
          </cell>
          <cell r="B86">
            <v>39591</v>
          </cell>
          <cell r="C86" t="str">
            <v>Past</v>
          </cell>
          <cell r="D86">
            <v>64.010000000000005</v>
          </cell>
          <cell r="E86" t="e">
            <v>#N/A</v>
          </cell>
          <cell r="F86" t="e">
            <v>#N/A</v>
          </cell>
          <cell r="G86" t="e">
            <v>#N/A</v>
          </cell>
          <cell r="H86" t="e">
            <v>#N/A</v>
          </cell>
          <cell r="I86" t="e">
            <v>#N/A</v>
          </cell>
          <cell r="J86" t="e">
            <v>#N/A</v>
          </cell>
          <cell r="K86" t="e">
            <v>#N/A</v>
          </cell>
          <cell r="L86" t="e">
            <v>#N/A</v>
          </cell>
          <cell r="M86" t="e">
            <v>#N/A</v>
          </cell>
          <cell r="N86" t="e">
            <v>#N/A</v>
          </cell>
          <cell r="O86" t="e">
            <v>#N/A</v>
          </cell>
          <cell r="P86">
            <v>64.010000000000005</v>
          </cell>
          <cell r="Q86">
            <v>1.287188</v>
          </cell>
          <cell r="R86" t="e">
            <v>#N/A</v>
          </cell>
          <cell r="AI86" t="str">
            <v>LKR Sri Lankan Rupee</v>
          </cell>
          <cell r="AJ86" t="str">
            <v>LKR</v>
          </cell>
          <cell r="AK86" t="str">
            <v>LKR</v>
          </cell>
          <cell r="AL86" t="str">
            <v>LKR</v>
          </cell>
          <cell r="AM86">
            <v>0</v>
          </cell>
          <cell r="AN86">
            <v>2</v>
          </cell>
        </row>
        <row r="87">
          <cell r="A87">
            <v>39595</v>
          </cell>
          <cell r="B87">
            <v>39595</v>
          </cell>
          <cell r="C87" t="str">
            <v>Past</v>
          </cell>
          <cell r="D87">
            <v>63.85</v>
          </cell>
          <cell r="E87" t="e">
            <v>#N/A</v>
          </cell>
          <cell r="F87" t="e">
            <v>#N/A</v>
          </cell>
          <cell r="G87" t="e">
            <v>#N/A</v>
          </cell>
          <cell r="H87" t="e">
            <v>#N/A</v>
          </cell>
          <cell r="I87" t="e">
            <v>#N/A</v>
          </cell>
          <cell r="J87" t="e">
            <v>#N/A</v>
          </cell>
          <cell r="K87" t="e">
            <v>#N/A</v>
          </cell>
          <cell r="L87" t="e">
            <v>#N/A</v>
          </cell>
          <cell r="M87" t="e">
            <v>#N/A</v>
          </cell>
          <cell r="N87" t="e">
            <v>#N/A</v>
          </cell>
          <cell r="O87" t="e">
            <v>#N/A</v>
          </cell>
          <cell r="P87">
            <v>63.85</v>
          </cell>
          <cell r="Q87">
            <v>1.5544229999999999</v>
          </cell>
          <cell r="R87" t="e">
            <v>#N/A</v>
          </cell>
          <cell r="AI87" t="str">
            <v>MAD Moroccan Dirham</v>
          </cell>
          <cell r="AJ87" t="str">
            <v>MAD</v>
          </cell>
          <cell r="AK87" t="str">
            <v>MAD</v>
          </cell>
          <cell r="AL87" t="str">
            <v>MAD</v>
          </cell>
          <cell r="AM87">
            <v>0</v>
          </cell>
          <cell r="AN87">
            <v>2</v>
          </cell>
        </row>
        <row r="88">
          <cell r="A88">
            <v>39596</v>
          </cell>
          <cell r="B88">
            <v>39596</v>
          </cell>
          <cell r="C88" t="str">
            <v>Past</v>
          </cell>
          <cell r="D88">
            <v>63.49</v>
          </cell>
          <cell r="E88" t="e">
            <v>#N/A</v>
          </cell>
          <cell r="F88" t="e">
            <v>#N/A</v>
          </cell>
          <cell r="G88" t="e">
            <v>#N/A</v>
          </cell>
          <cell r="H88" t="e">
            <v>#N/A</v>
          </cell>
          <cell r="I88" t="e">
            <v>#N/A</v>
          </cell>
          <cell r="J88" t="e">
            <v>#N/A</v>
          </cell>
          <cell r="K88" t="e">
            <v>#N/A</v>
          </cell>
          <cell r="L88" t="e">
            <v>#N/A</v>
          </cell>
          <cell r="M88" t="e">
            <v>#N/A</v>
          </cell>
          <cell r="N88" t="e">
            <v>#N/A</v>
          </cell>
          <cell r="O88" t="e">
            <v>#N/A</v>
          </cell>
          <cell r="P88">
            <v>63.49</v>
          </cell>
          <cell r="Q88">
            <v>1.9485509999999999</v>
          </cell>
          <cell r="R88" t="e">
            <v>#N/A</v>
          </cell>
          <cell r="AI88" t="str">
            <v>MXN Mexican Pesos (new)</v>
          </cell>
          <cell r="AJ88" t="str">
            <v>M$</v>
          </cell>
          <cell r="AK88" t="str">
            <v>MXN</v>
          </cell>
          <cell r="AL88" t="str">
            <v>MXN</v>
          </cell>
          <cell r="AM88">
            <v>0</v>
          </cell>
          <cell r="AN88">
            <v>2</v>
          </cell>
        </row>
        <row r="89">
          <cell r="A89">
            <v>39597</v>
          </cell>
          <cell r="B89">
            <v>39597</v>
          </cell>
          <cell r="C89" t="str">
            <v>Past</v>
          </cell>
          <cell r="D89">
            <v>62.2</v>
          </cell>
          <cell r="E89" t="e">
            <v>#N/A</v>
          </cell>
          <cell r="F89" t="e">
            <v>#N/A</v>
          </cell>
          <cell r="G89" t="e">
            <v>#N/A</v>
          </cell>
          <cell r="H89" t="e">
            <v>#N/A</v>
          </cell>
          <cell r="I89" t="e">
            <v>#N/A</v>
          </cell>
          <cell r="J89" t="e">
            <v>#N/A</v>
          </cell>
          <cell r="K89" t="e">
            <v>#N/A</v>
          </cell>
          <cell r="L89" t="e">
            <v>#N/A</v>
          </cell>
          <cell r="M89" t="e">
            <v>#N/A</v>
          </cell>
          <cell r="N89" t="e">
            <v>#N/A</v>
          </cell>
          <cell r="O89" t="e">
            <v>#N/A</v>
          </cell>
          <cell r="P89">
            <v>62.2</v>
          </cell>
          <cell r="Q89">
            <v>2.1770359999999997</v>
          </cell>
          <cell r="R89" t="e">
            <v>#N/A</v>
          </cell>
          <cell r="AI89" t="str">
            <v>MYR Malaysian Ringgit</v>
          </cell>
          <cell r="AJ89" t="str">
            <v>RM</v>
          </cell>
          <cell r="AK89" t="str">
            <v>MYR</v>
          </cell>
          <cell r="AL89" t="str">
            <v>MYR</v>
          </cell>
          <cell r="AM89">
            <v>0</v>
          </cell>
          <cell r="AN89">
            <v>2</v>
          </cell>
        </row>
        <row r="90">
          <cell r="A90">
            <v>39598</v>
          </cell>
          <cell r="B90">
            <v>39598</v>
          </cell>
          <cell r="C90" t="str">
            <v>Past</v>
          </cell>
          <cell r="D90">
            <v>64.81</v>
          </cell>
          <cell r="E90" t="e">
            <v>#N/A</v>
          </cell>
          <cell r="F90" t="e">
            <v>#N/A</v>
          </cell>
          <cell r="G90" t="e">
            <v>#N/A</v>
          </cell>
          <cell r="H90" t="e">
            <v>#N/A</v>
          </cell>
          <cell r="I90" t="e">
            <v>#N/A</v>
          </cell>
          <cell r="J90" t="e">
            <v>#N/A</v>
          </cell>
          <cell r="K90" t="e">
            <v>#N/A</v>
          </cell>
          <cell r="L90" t="e">
            <v>#N/A</v>
          </cell>
          <cell r="M90" t="e">
            <v>#N/A</v>
          </cell>
          <cell r="N90" t="e">
            <v>#N/A</v>
          </cell>
          <cell r="O90" t="e">
            <v>#N/A</v>
          </cell>
          <cell r="P90">
            <v>64.81</v>
          </cell>
          <cell r="Q90">
            <v>2.3512029999999999</v>
          </cell>
          <cell r="R90" t="e">
            <v>#N/A</v>
          </cell>
          <cell r="AI90" t="str">
            <v>NOK Norwegian Krone</v>
          </cell>
          <cell r="AJ90" t="str">
            <v>NKr</v>
          </cell>
          <cell r="AK90" t="str">
            <v>NOK</v>
          </cell>
          <cell r="AL90" t="str">
            <v>NOK</v>
          </cell>
          <cell r="AM90">
            <v>0</v>
          </cell>
          <cell r="AN90">
            <v>2</v>
          </cell>
        </row>
        <row r="91">
          <cell r="A91">
            <v>39601</v>
          </cell>
          <cell r="B91">
            <v>39601</v>
          </cell>
          <cell r="C91" t="str">
            <v>Past</v>
          </cell>
          <cell r="D91">
            <v>63.74</v>
          </cell>
          <cell r="E91" t="e">
            <v>#N/A</v>
          </cell>
          <cell r="F91" t="e">
            <v>#N/A</v>
          </cell>
          <cell r="G91" t="e">
            <v>#N/A</v>
          </cell>
          <cell r="H91" t="e">
            <v>#N/A</v>
          </cell>
          <cell r="I91" t="e">
            <v>#N/A</v>
          </cell>
          <cell r="J91" t="e">
            <v>#N/A</v>
          </cell>
          <cell r="K91" t="e">
            <v>#N/A</v>
          </cell>
          <cell r="L91" t="e">
            <v>#N/A</v>
          </cell>
          <cell r="M91" t="e">
            <v>#N/A</v>
          </cell>
          <cell r="N91" t="e">
            <v>#N/A</v>
          </cell>
          <cell r="O91" t="e">
            <v>#N/A</v>
          </cell>
          <cell r="P91">
            <v>63.74</v>
          </cell>
          <cell r="Q91">
            <v>1.1864000000000001</v>
          </cell>
          <cell r="R91" t="e">
            <v>#N/A</v>
          </cell>
          <cell r="AI91" t="str">
            <v>NZD New Zealand Dollars</v>
          </cell>
          <cell r="AJ91" t="str">
            <v>NZ$</v>
          </cell>
          <cell r="AK91" t="str">
            <v>NZD</v>
          </cell>
          <cell r="AL91" t="str">
            <v>NZD</v>
          </cell>
          <cell r="AM91">
            <v>0</v>
          </cell>
          <cell r="AN91">
            <v>2</v>
          </cell>
        </row>
        <row r="92">
          <cell r="A92">
            <v>39602</v>
          </cell>
          <cell r="B92">
            <v>39602</v>
          </cell>
          <cell r="C92" t="str">
            <v>Past</v>
          </cell>
          <cell r="D92">
            <v>59.5</v>
          </cell>
          <cell r="E92" t="e">
            <v>#N/A</v>
          </cell>
          <cell r="F92" t="e">
            <v>#N/A</v>
          </cell>
          <cell r="G92" t="e">
            <v>#N/A</v>
          </cell>
          <cell r="H92" t="e">
            <v>#N/A</v>
          </cell>
          <cell r="I92" t="e">
            <v>#N/A</v>
          </cell>
          <cell r="J92" t="e">
            <v>#N/A</v>
          </cell>
          <cell r="K92" t="e">
            <v>#N/A</v>
          </cell>
          <cell r="L92" t="e">
            <v>#N/A</v>
          </cell>
          <cell r="M92" t="e">
            <v>#N/A</v>
          </cell>
          <cell r="N92" t="e">
            <v>#N/A</v>
          </cell>
          <cell r="O92" t="e">
            <v>#N/A</v>
          </cell>
          <cell r="P92">
            <v>59.5</v>
          </cell>
          <cell r="Q92">
            <v>3.6609089999999997</v>
          </cell>
          <cell r="R92" t="e">
            <v>#N/A</v>
          </cell>
          <cell r="AI92" t="str">
            <v>OMR Rial Omani</v>
          </cell>
          <cell r="AJ92" t="str">
            <v>OMR</v>
          </cell>
          <cell r="AK92" t="str">
            <v>OMR</v>
          </cell>
          <cell r="AL92" t="str">
            <v>OMR</v>
          </cell>
          <cell r="AM92">
            <v>0</v>
          </cell>
          <cell r="AN92">
            <v>2</v>
          </cell>
        </row>
        <row r="93">
          <cell r="A93">
            <v>39603</v>
          </cell>
          <cell r="B93">
            <v>39603</v>
          </cell>
          <cell r="C93" t="str">
            <v>Past</v>
          </cell>
          <cell r="D93">
            <v>57.96</v>
          </cell>
          <cell r="E93" t="e">
            <v>#N/A</v>
          </cell>
          <cell r="F93" t="e">
            <v>#N/A</v>
          </cell>
          <cell r="G93" t="e">
            <v>#N/A</v>
          </cell>
          <cell r="H93" t="e">
            <v>#N/A</v>
          </cell>
          <cell r="I93" t="e">
            <v>#N/A</v>
          </cell>
          <cell r="J93" t="e">
            <v>#N/A</v>
          </cell>
          <cell r="K93" t="e">
            <v>#N/A</v>
          </cell>
          <cell r="L93" t="e">
            <v>#N/A</v>
          </cell>
          <cell r="M93" t="e">
            <v>#N/A</v>
          </cell>
          <cell r="N93" t="e">
            <v>#N/A</v>
          </cell>
          <cell r="O93" t="e">
            <v>#N/A</v>
          </cell>
          <cell r="P93">
            <v>57.96</v>
          </cell>
          <cell r="Q93">
            <v>3.3803179999999999</v>
          </cell>
          <cell r="R93" t="e">
            <v>#N/A</v>
          </cell>
          <cell r="AI93" t="str">
            <v>PAB Panamanian Balboa</v>
          </cell>
          <cell r="AJ93" t="str">
            <v>PAB</v>
          </cell>
          <cell r="AK93" t="str">
            <v>PAB</v>
          </cell>
          <cell r="AL93" t="str">
            <v>PAB</v>
          </cell>
          <cell r="AM93">
            <v>0</v>
          </cell>
          <cell r="AN93">
            <v>2</v>
          </cell>
        </row>
        <row r="94">
          <cell r="A94">
            <v>39604</v>
          </cell>
          <cell r="B94">
            <v>39604</v>
          </cell>
          <cell r="C94" t="str">
            <v>Past</v>
          </cell>
          <cell r="D94">
            <v>57.75</v>
          </cell>
          <cell r="E94" t="e">
            <v>#N/A</v>
          </cell>
          <cell r="F94" t="e">
            <v>#N/A</v>
          </cell>
          <cell r="G94" t="e">
            <v>#N/A</v>
          </cell>
          <cell r="H94" t="e">
            <v>#N/A</v>
          </cell>
          <cell r="I94" t="e">
            <v>#N/A</v>
          </cell>
          <cell r="J94" t="e">
            <v>#N/A</v>
          </cell>
          <cell r="K94" t="e">
            <v>#N/A</v>
          </cell>
          <cell r="L94" t="e">
            <v>#N/A</v>
          </cell>
          <cell r="M94" t="e">
            <v>#N/A</v>
          </cell>
          <cell r="N94" t="e">
            <v>#N/A</v>
          </cell>
          <cell r="O94" t="e">
            <v>#N/A</v>
          </cell>
          <cell r="P94">
            <v>57.75</v>
          </cell>
          <cell r="Q94">
            <v>2.5220849999999997</v>
          </cell>
          <cell r="R94" t="e">
            <v>#N/A</v>
          </cell>
          <cell r="AI94" t="str">
            <v>PEN Peruvian PEN</v>
          </cell>
          <cell r="AJ94" t="str">
            <v>PEN</v>
          </cell>
          <cell r="AK94" t="str">
            <v>PEN</v>
          </cell>
          <cell r="AL94" t="str">
            <v>PEN</v>
          </cell>
          <cell r="AM94">
            <v>0</v>
          </cell>
          <cell r="AN94">
            <v>2</v>
          </cell>
        </row>
        <row r="95">
          <cell r="A95">
            <v>39605</v>
          </cell>
          <cell r="B95">
            <v>39605</v>
          </cell>
          <cell r="C95" t="str">
            <v>Past</v>
          </cell>
          <cell r="D95">
            <v>55.89</v>
          </cell>
          <cell r="E95" t="e">
            <v>#N/A</v>
          </cell>
          <cell r="F95" t="e">
            <v>#N/A</v>
          </cell>
          <cell r="G95" t="e">
            <v>#N/A</v>
          </cell>
          <cell r="H95" t="e">
            <v>#N/A</v>
          </cell>
          <cell r="I95" t="e">
            <v>#N/A</v>
          </cell>
          <cell r="J95" t="e">
            <v>#N/A</v>
          </cell>
          <cell r="K95" t="e">
            <v>#N/A</v>
          </cell>
          <cell r="L95" t="e">
            <v>#N/A</v>
          </cell>
          <cell r="M95" t="e">
            <v>#N/A</v>
          </cell>
          <cell r="N95" t="e">
            <v>#N/A</v>
          </cell>
          <cell r="O95" t="e">
            <v>#N/A</v>
          </cell>
          <cell r="P95">
            <v>55.89</v>
          </cell>
          <cell r="Q95">
            <v>2.8522529999999997</v>
          </cell>
          <cell r="R95" t="e">
            <v>#N/A</v>
          </cell>
          <cell r="AI95" t="str">
            <v>PHP Philippino Peso</v>
          </cell>
          <cell r="AJ95" t="str">
            <v>PP</v>
          </cell>
          <cell r="AK95" t="str">
            <v>PHP</v>
          </cell>
          <cell r="AL95" t="str">
            <v>PHP</v>
          </cell>
          <cell r="AM95">
            <v>0</v>
          </cell>
          <cell r="AN95">
            <v>2</v>
          </cell>
        </row>
        <row r="96">
          <cell r="A96">
            <v>39608</v>
          </cell>
          <cell r="B96">
            <v>39608</v>
          </cell>
          <cell r="C96" t="str">
            <v>Past</v>
          </cell>
          <cell r="D96">
            <v>55.75</v>
          </cell>
          <cell r="E96" t="e">
            <v>#N/A</v>
          </cell>
          <cell r="F96" t="e">
            <v>#N/A</v>
          </cell>
          <cell r="G96" t="e">
            <v>#N/A</v>
          </cell>
          <cell r="H96" t="e">
            <v>#N/A</v>
          </cell>
          <cell r="I96" t="e">
            <v>#N/A</v>
          </cell>
          <cell r="J96" t="e">
            <v>#N/A</v>
          </cell>
          <cell r="K96" t="e">
            <v>#N/A</v>
          </cell>
          <cell r="L96" t="e">
            <v>#N/A</v>
          </cell>
          <cell r="M96" t="e">
            <v>#N/A</v>
          </cell>
          <cell r="N96" t="e">
            <v>#N/A</v>
          </cell>
          <cell r="O96" t="e">
            <v>#N/A</v>
          </cell>
          <cell r="P96">
            <v>55.75</v>
          </cell>
          <cell r="Q96">
            <v>1.777026</v>
          </cell>
          <cell r="R96" t="e">
            <v>#N/A</v>
          </cell>
          <cell r="AI96" t="str">
            <v>PKR Pakistani Rupee</v>
          </cell>
          <cell r="AJ96" t="str">
            <v>Rs.</v>
          </cell>
          <cell r="AK96" t="str">
            <v>PKR</v>
          </cell>
          <cell r="AL96" t="str">
            <v>PKR</v>
          </cell>
          <cell r="AM96">
            <v>0</v>
          </cell>
          <cell r="AN96">
            <v>2</v>
          </cell>
        </row>
        <row r="97">
          <cell r="A97">
            <v>39609</v>
          </cell>
          <cell r="B97">
            <v>39609</v>
          </cell>
          <cell r="C97" t="str">
            <v>Past</v>
          </cell>
          <cell r="D97">
            <v>54.96</v>
          </cell>
          <cell r="E97" t="e">
            <v>#N/A</v>
          </cell>
          <cell r="F97" t="e">
            <v>#N/A</v>
          </cell>
          <cell r="G97" t="e">
            <v>#N/A</v>
          </cell>
          <cell r="H97" t="e">
            <v>#N/A</v>
          </cell>
          <cell r="I97" t="e">
            <v>#N/A</v>
          </cell>
          <cell r="J97" t="e">
            <v>#N/A</v>
          </cell>
          <cell r="K97" t="e">
            <v>#N/A</v>
          </cell>
          <cell r="L97" t="e">
            <v>#N/A</v>
          </cell>
          <cell r="M97" t="e">
            <v>#N/A</v>
          </cell>
          <cell r="N97" t="e">
            <v>#N/A</v>
          </cell>
          <cell r="O97" t="e">
            <v>#N/A</v>
          </cell>
          <cell r="P97">
            <v>54.96</v>
          </cell>
          <cell r="Q97">
            <v>1.8523269999999998</v>
          </cell>
          <cell r="R97" t="e">
            <v>#N/A</v>
          </cell>
          <cell r="AI97" t="str">
            <v>PLN Polish Zloty</v>
          </cell>
          <cell r="AJ97" t="str">
            <v>zł</v>
          </cell>
          <cell r="AK97" t="str">
            <v>PLN</v>
          </cell>
          <cell r="AL97" t="str">
            <v>PLN</v>
          </cell>
          <cell r="AM97">
            <v>0</v>
          </cell>
          <cell r="AN97">
            <v>2</v>
          </cell>
        </row>
        <row r="98">
          <cell r="A98">
            <v>39610</v>
          </cell>
          <cell r="B98">
            <v>39610</v>
          </cell>
          <cell r="C98" t="str">
            <v>Past</v>
          </cell>
          <cell r="D98">
            <v>53.71</v>
          </cell>
          <cell r="E98" t="e">
            <v>#N/A</v>
          </cell>
          <cell r="F98" t="e">
            <v>#N/A</v>
          </cell>
          <cell r="G98" t="e">
            <v>#N/A</v>
          </cell>
          <cell r="H98" t="e">
            <v>#N/A</v>
          </cell>
          <cell r="I98" t="e">
            <v>#N/A</v>
          </cell>
          <cell r="J98" t="e">
            <v>#N/A</v>
          </cell>
          <cell r="K98" t="e">
            <v>#N/A</v>
          </cell>
          <cell r="L98" t="e">
            <v>#N/A</v>
          </cell>
          <cell r="M98" t="e">
            <v>#N/A</v>
          </cell>
          <cell r="N98" t="e">
            <v>#N/A</v>
          </cell>
          <cell r="O98" t="e">
            <v>#N/A</v>
          </cell>
          <cell r="P98">
            <v>53.71</v>
          </cell>
          <cell r="Q98">
            <v>2.134744</v>
          </cell>
          <cell r="R98" t="e">
            <v>#N/A</v>
          </cell>
          <cell r="AI98" t="str">
            <v>QAR Qatari Riyal</v>
          </cell>
          <cell r="AJ98" t="str">
            <v>QAR</v>
          </cell>
          <cell r="AK98" t="str">
            <v>QAR</v>
          </cell>
          <cell r="AL98" t="str">
            <v>QAR</v>
          </cell>
          <cell r="AM98">
            <v>0</v>
          </cell>
          <cell r="AN98">
            <v>2</v>
          </cell>
        </row>
        <row r="99">
          <cell r="A99">
            <v>39611</v>
          </cell>
          <cell r="B99">
            <v>39611</v>
          </cell>
          <cell r="C99" t="str">
            <v>Past</v>
          </cell>
          <cell r="D99">
            <v>53.81</v>
          </cell>
          <cell r="E99" t="e">
            <v>#N/A</v>
          </cell>
          <cell r="F99" t="e">
            <v>#N/A</v>
          </cell>
          <cell r="G99" t="e">
            <v>#N/A</v>
          </cell>
          <cell r="H99" t="e">
            <v>#N/A</v>
          </cell>
          <cell r="I99" t="e">
            <v>#N/A</v>
          </cell>
          <cell r="J99" t="e">
            <v>#N/A</v>
          </cell>
          <cell r="K99" t="e">
            <v>#N/A</v>
          </cell>
          <cell r="L99" t="e">
            <v>#N/A</v>
          </cell>
          <cell r="M99" t="e">
            <v>#N/A</v>
          </cell>
          <cell r="N99" t="e">
            <v>#N/A</v>
          </cell>
          <cell r="O99" t="e">
            <v>#N/A</v>
          </cell>
          <cell r="P99">
            <v>53.81</v>
          </cell>
          <cell r="Q99">
            <v>3.229787</v>
          </cell>
          <cell r="R99" t="e">
            <v>#N/A</v>
          </cell>
          <cell r="AI99" t="str">
            <v>RUB Russian Rouble</v>
          </cell>
          <cell r="AJ99" t="str">
            <v>RUB</v>
          </cell>
          <cell r="AK99" t="str">
            <v>RUB</v>
          </cell>
          <cell r="AL99" t="str">
            <v>RUB</v>
          </cell>
          <cell r="AM99">
            <v>0</v>
          </cell>
          <cell r="AN99">
            <v>2</v>
          </cell>
        </row>
        <row r="100">
          <cell r="A100">
            <v>39612</v>
          </cell>
          <cell r="B100">
            <v>39612</v>
          </cell>
          <cell r="C100" t="str">
            <v>Past</v>
          </cell>
          <cell r="D100">
            <v>54.19</v>
          </cell>
          <cell r="E100" t="e">
            <v>#N/A</v>
          </cell>
          <cell r="F100" t="e">
            <v>#N/A</v>
          </cell>
          <cell r="G100" t="e">
            <v>#N/A</v>
          </cell>
          <cell r="H100" t="e">
            <v>#N/A</v>
          </cell>
          <cell r="I100" t="e">
            <v>#N/A</v>
          </cell>
          <cell r="J100" t="e">
            <v>#N/A</v>
          </cell>
          <cell r="K100" t="e">
            <v>#N/A</v>
          </cell>
          <cell r="L100" t="e">
            <v>#N/A</v>
          </cell>
          <cell r="M100" t="e">
            <v>#N/A</v>
          </cell>
          <cell r="N100" t="e">
            <v>#N/A</v>
          </cell>
          <cell r="O100" t="e">
            <v>#N/A</v>
          </cell>
          <cell r="P100">
            <v>54.19</v>
          </cell>
          <cell r="Q100">
            <v>2.7294489999999998</v>
          </cell>
          <cell r="R100" t="e">
            <v>#N/A</v>
          </cell>
          <cell r="AI100" t="str">
            <v>SAR Saudi Riyal</v>
          </cell>
          <cell r="AJ100" t="str">
            <v>SAR</v>
          </cell>
          <cell r="AK100" t="str">
            <v>SAR</v>
          </cell>
          <cell r="AL100" t="str">
            <v>SAR</v>
          </cell>
          <cell r="AM100">
            <v>0</v>
          </cell>
          <cell r="AN100">
            <v>2</v>
          </cell>
        </row>
        <row r="101">
          <cell r="A101">
            <v>39615</v>
          </cell>
          <cell r="B101">
            <v>39615</v>
          </cell>
          <cell r="C101" t="str">
            <v>Past</v>
          </cell>
          <cell r="D101">
            <v>53.99</v>
          </cell>
          <cell r="E101" t="e">
            <v>#N/A</v>
          </cell>
          <cell r="F101" t="e">
            <v>#N/A</v>
          </cell>
          <cell r="G101" t="e">
            <v>#N/A</v>
          </cell>
          <cell r="H101" t="e">
            <v>#N/A</v>
          </cell>
          <cell r="I101" t="e">
            <v>#N/A</v>
          </cell>
          <cell r="J101" t="e">
            <v>#N/A</v>
          </cell>
          <cell r="K101" t="e">
            <v>#N/A</v>
          </cell>
          <cell r="L101" t="e">
            <v>#N/A</v>
          </cell>
          <cell r="M101" t="e">
            <v>#N/A</v>
          </cell>
          <cell r="N101" t="e">
            <v>#N/A</v>
          </cell>
          <cell r="O101" t="e">
            <v>#N/A</v>
          </cell>
          <cell r="P101">
            <v>53.99</v>
          </cell>
          <cell r="Q101">
            <v>1.8608629999999999</v>
          </cell>
          <cell r="R101" t="e">
            <v>#N/A</v>
          </cell>
          <cell r="AI101" t="str">
            <v>SEK Swedish Krona</v>
          </cell>
          <cell r="AJ101" t="str">
            <v>SKr</v>
          </cell>
          <cell r="AK101" t="str">
            <v>SEK</v>
          </cell>
          <cell r="AL101" t="str">
            <v>SEK</v>
          </cell>
          <cell r="AM101">
            <v>0</v>
          </cell>
          <cell r="AN101">
            <v>2</v>
          </cell>
        </row>
        <row r="102">
          <cell r="A102">
            <v>39616</v>
          </cell>
          <cell r="B102">
            <v>39616</v>
          </cell>
          <cell r="C102" t="str">
            <v>Past</v>
          </cell>
          <cell r="D102">
            <v>52.1</v>
          </cell>
          <cell r="E102" t="e">
            <v>#N/A</v>
          </cell>
          <cell r="F102" t="e">
            <v>#N/A</v>
          </cell>
          <cell r="G102" t="e">
            <v>#N/A</v>
          </cell>
          <cell r="H102" t="e">
            <v>#N/A</v>
          </cell>
          <cell r="I102" t="e">
            <v>#N/A</v>
          </cell>
          <cell r="J102" t="e">
            <v>#N/A</v>
          </cell>
          <cell r="K102" t="e">
            <v>#N/A</v>
          </cell>
          <cell r="L102" t="e">
            <v>#N/A</v>
          </cell>
          <cell r="M102" t="e">
            <v>#N/A</v>
          </cell>
          <cell r="N102" t="e">
            <v>#N/A</v>
          </cell>
          <cell r="O102" t="e">
            <v>#N/A</v>
          </cell>
          <cell r="P102">
            <v>52.1</v>
          </cell>
          <cell r="Q102">
            <v>3.3241559999999999</v>
          </cell>
          <cell r="R102" t="e">
            <v>#N/A</v>
          </cell>
          <cell r="AI102" t="str">
            <v>SGD Singapore Dollar</v>
          </cell>
          <cell r="AJ102" t="str">
            <v>S$</v>
          </cell>
          <cell r="AK102" t="str">
            <v>SGD</v>
          </cell>
          <cell r="AL102" t="str">
            <v>SGD</v>
          </cell>
          <cell r="AM102">
            <v>0</v>
          </cell>
          <cell r="AN102">
            <v>2</v>
          </cell>
        </row>
        <row r="103">
          <cell r="A103">
            <v>39617</v>
          </cell>
          <cell r="B103">
            <v>39617</v>
          </cell>
          <cell r="C103" t="str">
            <v>Past</v>
          </cell>
          <cell r="D103">
            <v>52.78</v>
          </cell>
          <cell r="E103" t="e">
            <v>#N/A</v>
          </cell>
          <cell r="F103" t="e">
            <v>#N/A</v>
          </cell>
          <cell r="G103" t="e">
            <v>#N/A</v>
          </cell>
          <cell r="H103" t="e">
            <v>#N/A</v>
          </cell>
          <cell r="I103" t="e">
            <v>#N/A</v>
          </cell>
          <cell r="J103" t="e">
            <v>#N/A</v>
          </cell>
          <cell r="K103" t="e">
            <v>#N/A</v>
          </cell>
          <cell r="L103" t="e">
            <v>#N/A</v>
          </cell>
          <cell r="M103" t="e">
            <v>#N/A</v>
          </cell>
          <cell r="N103" t="e">
            <v>#N/A</v>
          </cell>
          <cell r="O103" t="e">
            <v>#N/A</v>
          </cell>
          <cell r="P103">
            <v>52.78</v>
          </cell>
          <cell r="Q103">
            <v>2.2811879999999998</v>
          </cell>
          <cell r="R103" t="e">
            <v>#N/A</v>
          </cell>
          <cell r="AI103" t="str">
            <v>THB Thailand Baht</v>
          </cell>
          <cell r="AJ103" t="str">
            <v>Bt</v>
          </cell>
          <cell r="AK103" t="str">
            <v>THB</v>
          </cell>
          <cell r="AL103" t="str">
            <v>THB</v>
          </cell>
          <cell r="AM103">
            <v>0</v>
          </cell>
          <cell r="AN103">
            <v>2</v>
          </cell>
        </row>
        <row r="104">
          <cell r="A104">
            <v>39618</v>
          </cell>
          <cell r="B104">
            <v>39618</v>
          </cell>
          <cell r="C104" t="str">
            <v>Past</v>
          </cell>
          <cell r="D104">
            <v>52.62</v>
          </cell>
          <cell r="E104" t="e">
            <v>#N/A</v>
          </cell>
          <cell r="F104" t="e">
            <v>#N/A</v>
          </cell>
          <cell r="G104" t="e">
            <v>#N/A</v>
          </cell>
          <cell r="H104" t="e">
            <v>#N/A</v>
          </cell>
          <cell r="I104" t="e">
            <v>#N/A</v>
          </cell>
          <cell r="J104" t="e">
            <v>#N/A</v>
          </cell>
          <cell r="K104" t="e">
            <v>#N/A</v>
          </cell>
          <cell r="L104" t="e">
            <v>#N/A</v>
          </cell>
          <cell r="M104" t="e">
            <v>#N/A</v>
          </cell>
          <cell r="N104" t="e">
            <v>#N/A</v>
          </cell>
          <cell r="O104" t="e">
            <v>#N/A</v>
          </cell>
          <cell r="P104">
            <v>52.62</v>
          </cell>
          <cell r="Q104">
            <v>1.6197219999999999</v>
          </cell>
          <cell r="R104" t="e">
            <v>#N/A</v>
          </cell>
          <cell r="AI104" t="str">
            <v>TND Tunisian Dinar</v>
          </cell>
          <cell r="AJ104" t="str">
            <v>TND</v>
          </cell>
          <cell r="AK104" t="str">
            <v>TND</v>
          </cell>
          <cell r="AL104" t="str">
            <v>TND</v>
          </cell>
          <cell r="AM104">
            <v>0</v>
          </cell>
          <cell r="AN104">
            <v>2</v>
          </cell>
        </row>
        <row r="105">
          <cell r="A105">
            <v>39619</v>
          </cell>
          <cell r="B105">
            <v>39619</v>
          </cell>
          <cell r="C105" t="str">
            <v>Past</v>
          </cell>
          <cell r="D105">
            <v>52.15</v>
          </cell>
          <cell r="E105" t="e">
            <v>#N/A</v>
          </cell>
          <cell r="F105" t="e">
            <v>#N/A</v>
          </cell>
          <cell r="G105" t="e">
            <v>#N/A</v>
          </cell>
          <cell r="H105" t="e">
            <v>#N/A</v>
          </cell>
          <cell r="I105" t="e">
            <v>#N/A</v>
          </cell>
          <cell r="J105" t="e">
            <v>#N/A</v>
          </cell>
          <cell r="K105" t="e">
            <v>#N/A</v>
          </cell>
          <cell r="L105" t="e">
            <v>#N/A</v>
          </cell>
          <cell r="M105" t="e">
            <v>#N/A</v>
          </cell>
          <cell r="N105" t="e">
            <v>#N/A</v>
          </cell>
          <cell r="O105" t="e">
            <v>#N/A</v>
          </cell>
          <cell r="P105">
            <v>52.15</v>
          </cell>
          <cell r="Q105">
            <v>2.097534</v>
          </cell>
          <cell r="R105" t="e">
            <v>#N/A</v>
          </cell>
          <cell r="AI105" t="str">
            <v>TRY Turkish Lira</v>
          </cell>
          <cell r="AJ105" t="str">
            <v>TL</v>
          </cell>
          <cell r="AK105" t="str">
            <v>TRY</v>
          </cell>
          <cell r="AL105" t="str">
            <v>TRY</v>
          </cell>
          <cell r="AM105">
            <v>0</v>
          </cell>
          <cell r="AN105">
            <v>2</v>
          </cell>
        </row>
        <row r="106">
          <cell r="A106">
            <v>39622</v>
          </cell>
          <cell r="B106">
            <v>39622</v>
          </cell>
          <cell r="C106" t="str">
            <v>Past</v>
          </cell>
          <cell r="D106">
            <v>51.87</v>
          </cell>
          <cell r="E106" t="e">
            <v>#N/A</v>
          </cell>
          <cell r="F106" t="e">
            <v>#N/A</v>
          </cell>
          <cell r="G106" t="e">
            <v>#N/A</v>
          </cell>
          <cell r="H106" t="e">
            <v>#N/A</v>
          </cell>
          <cell r="I106" t="e">
            <v>#N/A</v>
          </cell>
          <cell r="J106" t="e">
            <v>#N/A</v>
          </cell>
          <cell r="K106" t="e">
            <v>#N/A</v>
          </cell>
          <cell r="L106" t="e">
            <v>#N/A</v>
          </cell>
          <cell r="M106" t="e">
            <v>#N/A</v>
          </cell>
          <cell r="N106" t="e">
            <v>#N/A</v>
          </cell>
          <cell r="O106" t="e">
            <v>#N/A</v>
          </cell>
          <cell r="P106">
            <v>51.87</v>
          </cell>
          <cell r="Q106">
            <v>1.374647</v>
          </cell>
          <cell r="R106" t="e">
            <v>#N/A</v>
          </cell>
          <cell r="AI106" t="str">
            <v>TWD New Taiwan Dollar</v>
          </cell>
          <cell r="AJ106" t="str">
            <v>NT$</v>
          </cell>
          <cell r="AK106" t="str">
            <v>TWD</v>
          </cell>
          <cell r="AL106" t="str">
            <v>TWD</v>
          </cell>
          <cell r="AM106">
            <v>0</v>
          </cell>
          <cell r="AN106">
            <v>2</v>
          </cell>
        </row>
        <row r="107">
          <cell r="A107">
            <v>39623</v>
          </cell>
          <cell r="B107">
            <v>39623</v>
          </cell>
          <cell r="C107" t="str">
            <v>Past</v>
          </cell>
          <cell r="D107">
            <v>51.78</v>
          </cell>
          <cell r="E107" t="e">
            <v>#N/A</v>
          </cell>
          <cell r="F107" t="e">
            <v>#N/A</v>
          </cell>
          <cell r="G107" t="e">
            <v>#N/A</v>
          </cell>
          <cell r="H107" t="e">
            <v>#N/A</v>
          </cell>
          <cell r="I107" t="e">
            <v>#N/A</v>
          </cell>
          <cell r="J107" t="e">
            <v>#N/A</v>
          </cell>
          <cell r="K107" t="e">
            <v>#N/A</v>
          </cell>
          <cell r="L107" t="e">
            <v>#N/A</v>
          </cell>
          <cell r="M107" t="e">
            <v>#N/A</v>
          </cell>
          <cell r="N107" t="e">
            <v>#N/A</v>
          </cell>
          <cell r="O107" t="e">
            <v>#N/A</v>
          </cell>
          <cell r="P107">
            <v>51.78</v>
          </cell>
          <cell r="Q107">
            <v>1.6075429999999999</v>
          </cell>
          <cell r="R107" t="e">
            <v>#N/A</v>
          </cell>
          <cell r="AI107" t="str">
            <v>UAH Ukrainian Hryvnia</v>
          </cell>
          <cell r="AJ107" t="str">
            <v>UAH</v>
          </cell>
          <cell r="AK107" t="str">
            <v>UAH</v>
          </cell>
          <cell r="AL107" t="str">
            <v>UAH</v>
          </cell>
          <cell r="AM107">
            <v>0</v>
          </cell>
          <cell r="AN107">
            <v>2</v>
          </cell>
        </row>
        <row r="108">
          <cell r="A108">
            <v>39624</v>
          </cell>
          <cell r="B108">
            <v>39624</v>
          </cell>
          <cell r="C108" t="str">
            <v>Past</v>
          </cell>
          <cell r="D108">
            <v>50.29</v>
          </cell>
          <cell r="E108" t="e">
            <v>#N/A</v>
          </cell>
          <cell r="F108" t="e">
            <v>#N/A</v>
          </cell>
          <cell r="G108" t="e">
            <v>#N/A</v>
          </cell>
          <cell r="H108" t="e">
            <v>#N/A</v>
          </cell>
          <cell r="I108" t="e">
            <v>#N/A</v>
          </cell>
          <cell r="J108" t="e">
            <v>#N/A</v>
          </cell>
          <cell r="K108" t="e">
            <v>#N/A</v>
          </cell>
          <cell r="L108" t="e">
            <v>#N/A</v>
          </cell>
          <cell r="M108" t="e">
            <v>#N/A</v>
          </cell>
          <cell r="N108" t="e">
            <v>#N/A</v>
          </cell>
          <cell r="O108" t="e">
            <v>#N/A</v>
          </cell>
          <cell r="P108">
            <v>50.29</v>
          </cell>
          <cell r="Q108">
            <v>2.872887</v>
          </cell>
          <cell r="R108" t="e">
            <v>#N/A</v>
          </cell>
          <cell r="AI108" t="str">
            <v>USD American Dollar</v>
          </cell>
          <cell r="AJ108" t="str">
            <v>$</v>
          </cell>
          <cell r="AK108" t="str">
            <v>USD</v>
          </cell>
          <cell r="AL108" t="str">
            <v>USD</v>
          </cell>
          <cell r="AM108">
            <v>0</v>
          </cell>
          <cell r="AN108">
            <v>2</v>
          </cell>
        </row>
        <row r="109">
          <cell r="A109">
            <v>39625</v>
          </cell>
          <cell r="B109">
            <v>39625</v>
          </cell>
          <cell r="C109" t="str">
            <v>Past</v>
          </cell>
          <cell r="D109">
            <v>49.25</v>
          </cell>
          <cell r="E109" t="e">
            <v>#N/A</v>
          </cell>
          <cell r="F109" t="e">
            <v>#N/A</v>
          </cell>
          <cell r="G109" t="e">
            <v>#N/A</v>
          </cell>
          <cell r="H109" t="e">
            <v>#N/A</v>
          </cell>
          <cell r="I109" t="e">
            <v>#N/A</v>
          </cell>
          <cell r="J109" t="e">
            <v>#N/A</v>
          </cell>
          <cell r="K109" t="e">
            <v>#N/A</v>
          </cell>
          <cell r="L109" t="e">
            <v>#N/A</v>
          </cell>
          <cell r="M109" t="e">
            <v>#N/A</v>
          </cell>
          <cell r="N109" t="e">
            <v>#N/A</v>
          </cell>
          <cell r="O109" t="e">
            <v>#N/A</v>
          </cell>
          <cell r="P109">
            <v>49.25</v>
          </cell>
          <cell r="Q109">
            <v>2.0091730000000001</v>
          </cell>
          <cell r="R109" t="e">
            <v>#N/A</v>
          </cell>
          <cell r="AI109" t="str">
            <v>VEB Venezuelan Bolivar</v>
          </cell>
          <cell r="AJ109" t="str">
            <v>VEB</v>
          </cell>
          <cell r="AK109" t="str">
            <v>VEB</v>
          </cell>
          <cell r="AL109" t="str">
            <v>VEB</v>
          </cell>
          <cell r="AM109">
            <v>0</v>
          </cell>
          <cell r="AN109">
            <v>2</v>
          </cell>
        </row>
        <row r="110">
          <cell r="A110">
            <v>39626</v>
          </cell>
          <cell r="B110">
            <v>39626</v>
          </cell>
          <cell r="C110" t="str">
            <v>Past</v>
          </cell>
          <cell r="D110">
            <v>48.33</v>
          </cell>
          <cell r="E110" t="e">
            <v>#N/A</v>
          </cell>
          <cell r="F110" t="e">
            <v>#N/A</v>
          </cell>
          <cell r="G110" t="e">
            <v>#N/A</v>
          </cell>
          <cell r="H110" t="e">
            <v>#N/A</v>
          </cell>
          <cell r="I110" t="e">
            <v>#N/A</v>
          </cell>
          <cell r="J110" t="e">
            <v>#N/A</v>
          </cell>
          <cell r="K110" t="e">
            <v>#N/A</v>
          </cell>
          <cell r="L110" t="e">
            <v>#N/A</v>
          </cell>
          <cell r="M110" t="e">
            <v>#N/A</v>
          </cell>
          <cell r="N110" t="e">
            <v>#N/A</v>
          </cell>
          <cell r="O110" t="e">
            <v>#N/A</v>
          </cell>
          <cell r="P110">
            <v>48.33</v>
          </cell>
          <cell r="Q110">
            <v>2.0914809999999999</v>
          </cell>
          <cell r="R110" t="e">
            <v>#N/A</v>
          </cell>
          <cell r="AI110" t="str">
            <v>ZAc South African Cent</v>
          </cell>
          <cell r="AJ110" t="str">
            <v>ZAc</v>
          </cell>
          <cell r="AK110" t="str">
            <v>ZAc</v>
          </cell>
          <cell r="AL110" t="str">
            <v>ZAc</v>
          </cell>
          <cell r="AM110">
            <v>0</v>
          </cell>
          <cell r="AN110">
            <v>0</v>
          </cell>
        </row>
        <row r="111">
          <cell r="A111">
            <v>39629</v>
          </cell>
          <cell r="B111">
            <v>39629</v>
          </cell>
          <cell r="C111" t="str">
            <v>Past</v>
          </cell>
          <cell r="D111">
            <v>47.46</v>
          </cell>
          <cell r="E111" t="e">
            <v>#N/A</v>
          </cell>
          <cell r="F111" t="e">
            <v>#N/A</v>
          </cell>
          <cell r="G111" t="e">
            <v>#N/A</v>
          </cell>
          <cell r="H111" t="e">
            <v>#N/A</v>
          </cell>
          <cell r="I111" t="e">
            <v>#N/A</v>
          </cell>
          <cell r="J111" t="e">
            <v>#N/A</v>
          </cell>
          <cell r="K111" t="e">
            <v>#N/A</v>
          </cell>
          <cell r="L111" t="e">
            <v>#N/A</v>
          </cell>
          <cell r="M111" t="e">
            <v>#N/A</v>
          </cell>
          <cell r="N111" t="e">
            <v>#N/A</v>
          </cell>
          <cell r="O111" t="e">
            <v>#N/A</v>
          </cell>
          <cell r="P111">
            <v>47.46</v>
          </cell>
          <cell r="Q111">
            <v>2.2978000000000001</v>
          </cell>
          <cell r="R111" t="e">
            <v>#N/A</v>
          </cell>
          <cell r="AI111" t="str">
            <v>ZAR South African rand</v>
          </cell>
          <cell r="AJ111" t="str">
            <v>ZAR</v>
          </cell>
          <cell r="AK111" t="str">
            <v>ZAR</v>
          </cell>
          <cell r="AL111" t="str">
            <v>ZAR</v>
          </cell>
          <cell r="AM111">
            <v>0</v>
          </cell>
          <cell r="AN111">
            <v>2</v>
          </cell>
        </row>
        <row r="112">
          <cell r="A112">
            <v>39630</v>
          </cell>
          <cell r="B112">
            <v>39630</v>
          </cell>
          <cell r="C112" t="str">
            <v>Past</v>
          </cell>
          <cell r="D112">
            <v>47.67</v>
          </cell>
          <cell r="E112" t="e">
            <v>#N/A</v>
          </cell>
          <cell r="F112" t="e">
            <v>#N/A</v>
          </cell>
          <cell r="G112" t="e">
            <v>#N/A</v>
          </cell>
          <cell r="H112" t="e">
            <v>#N/A</v>
          </cell>
          <cell r="I112" t="e">
            <v>#N/A</v>
          </cell>
          <cell r="J112" t="e">
            <v>#N/A</v>
          </cell>
          <cell r="K112" t="e">
            <v>#N/A</v>
          </cell>
          <cell r="L112" t="e">
            <v>#N/A</v>
          </cell>
          <cell r="M112" t="e">
            <v>#N/A</v>
          </cell>
          <cell r="N112" t="e">
            <v>#N/A</v>
          </cell>
          <cell r="O112" t="e">
            <v>#N/A</v>
          </cell>
          <cell r="P112">
            <v>47.67</v>
          </cell>
          <cell r="Q112">
            <v>2.2609269999999997</v>
          </cell>
          <cell r="R112" t="e">
            <v>#N/A</v>
          </cell>
          <cell r="AI112" t="str">
            <v xml:space="preserve">ZMK Zambian Kwacha </v>
          </cell>
          <cell r="AJ112" t="str">
            <v>ZMK</v>
          </cell>
          <cell r="AK112" t="str">
            <v>ZMK</v>
          </cell>
          <cell r="AL112" t="str">
            <v>ZMK</v>
          </cell>
          <cell r="AM112">
            <v>0</v>
          </cell>
          <cell r="AN112">
            <v>2</v>
          </cell>
        </row>
        <row r="113">
          <cell r="A113">
            <v>39631</v>
          </cell>
          <cell r="B113">
            <v>39631</v>
          </cell>
          <cell r="C113" t="str">
            <v>Past</v>
          </cell>
          <cell r="D113">
            <v>46.07</v>
          </cell>
          <cell r="E113" t="e">
            <v>#N/A</v>
          </cell>
          <cell r="F113" t="e">
            <v>#N/A</v>
          </cell>
          <cell r="G113" t="e">
            <v>#N/A</v>
          </cell>
          <cell r="H113" t="e">
            <v>#N/A</v>
          </cell>
          <cell r="I113" t="e">
            <v>#N/A</v>
          </cell>
          <cell r="J113" t="e">
            <v>#N/A</v>
          </cell>
          <cell r="K113" t="e">
            <v>#N/A</v>
          </cell>
          <cell r="L113" t="e">
            <v>#N/A</v>
          </cell>
          <cell r="M113" t="e">
            <v>#N/A</v>
          </cell>
          <cell r="N113" t="e">
            <v>#N/A</v>
          </cell>
          <cell r="O113" t="e">
            <v>#N/A</v>
          </cell>
          <cell r="P113">
            <v>46.07</v>
          </cell>
          <cell r="Q113">
            <v>1.8350629999999999</v>
          </cell>
          <cell r="R113" t="e">
            <v>#N/A</v>
          </cell>
        </row>
        <row r="114">
          <cell r="A114">
            <v>39632</v>
          </cell>
          <cell r="B114">
            <v>39632</v>
          </cell>
          <cell r="C114" t="str">
            <v>Past</v>
          </cell>
          <cell r="D114">
            <v>46.26</v>
          </cell>
          <cell r="E114" t="e">
            <v>#N/A</v>
          </cell>
          <cell r="F114" t="e">
            <v>#N/A</v>
          </cell>
          <cell r="G114" t="e">
            <v>#N/A</v>
          </cell>
          <cell r="H114" t="e">
            <v>#N/A</v>
          </cell>
          <cell r="I114" t="e">
            <v>#N/A</v>
          </cell>
          <cell r="J114" t="e">
            <v>#N/A</v>
          </cell>
          <cell r="K114" t="e">
            <v>#N/A</v>
          </cell>
          <cell r="L114" t="e">
            <v>#N/A</v>
          </cell>
          <cell r="M114" t="e">
            <v>#N/A</v>
          </cell>
          <cell r="N114" t="e">
            <v>#N/A</v>
          </cell>
          <cell r="O114" t="e">
            <v>#N/A</v>
          </cell>
          <cell r="P114">
            <v>46.26</v>
          </cell>
          <cell r="Q114">
            <v>1.0363419999999999</v>
          </cell>
          <cell r="R114" t="e">
            <v>#N/A</v>
          </cell>
        </row>
        <row r="115">
          <cell r="A115">
            <v>39636</v>
          </cell>
          <cell r="B115">
            <v>39636</v>
          </cell>
          <cell r="C115" t="str">
            <v>Past</v>
          </cell>
          <cell r="D115">
            <v>46.17</v>
          </cell>
          <cell r="E115" t="e">
            <v>#N/A</v>
          </cell>
          <cell r="F115" t="e">
            <v>#N/A</v>
          </cell>
          <cell r="G115" t="e">
            <v>#N/A</v>
          </cell>
          <cell r="H115" t="e">
            <v>#N/A</v>
          </cell>
          <cell r="I115" t="e">
            <v>#N/A</v>
          </cell>
          <cell r="J115" t="e">
            <v>#N/A</v>
          </cell>
          <cell r="K115" t="e">
            <v>#N/A</v>
          </cell>
          <cell r="L115" t="e">
            <v>#N/A</v>
          </cell>
          <cell r="M115" t="e">
            <v>#N/A</v>
          </cell>
          <cell r="N115" t="e">
            <v>#N/A</v>
          </cell>
          <cell r="O115" t="e">
            <v>#N/A</v>
          </cell>
          <cell r="P115">
            <v>46.17</v>
          </cell>
          <cell r="Q115">
            <v>1.9667629999999998</v>
          </cell>
          <cell r="R115" t="e">
            <v>#N/A</v>
          </cell>
        </row>
        <row r="116">
          <cell r="A116">
            <v>39637</v>
          </cell>
          <cell r="B116">
            <v>39637</v>
          </cell>
          <cell r="C116" t="str">
            <v>Past</v>
          </cell>
          <cell r="D116">
            <v>48</v>
          </cell>
          <cell r="E116" t="e">
            <v>#N/A</v>
          </cell>
          <cell r="F116" t="e">
            <v>#N/A</v>
          </cell>
          <cell r="G116" t="e">
            <v>#N/A</v>
          </cell>
          <cell r="H116" t="e">
            <v>#N/A</v>
          </cell>
          <cell r="I116" t="e">
            <v>#N/A</v>
          </cell>
          <cell r="J116" t="e">
            <v>#N/A</v>
          </cell>
          <cell r="K116" t="e">
            <v>#N/A</v>
          </cell>
          <cell r="L116" t="e">
            <v>#N/A</v>
          </cell>
          <cell r="M116" t="e">
            <v>#N/A</v>
          </cell>
          <cell r="N116" t="e">
            <v>#N/A</v>
          </cell>
          <cell r="O116" t="e">
            <v>#N/A</v>
          </cell>
          <cell r="P116">
            <v>48</v>
          </cell>
          <cell r="Q116">
            <v>2.1820360000000001</v>
          </cell>
          <cell r="R116" t="e">
            <v>#N/A</v>
          </cell>
        </row>
        <row r="117">
          <cell r="A117">
            <v>39638</v>
          </cell>
          <cell r="B117">
            <v>39638</v>
          </cell>
          <cell r="C117" t="str">
            <v>Past</v>
          </cell>
          <cell r="D117">
            <v>46.04</v>
          </cell>
          <cell r="E117" t="e">
            <v>#N/A</v>
          </cell>
          <cell r="F117" t="e">
            <v>#N/A</v>
          </cell>
          <cell r="G117" t="e">
            <v>#N/A</v>
          </cell>
          <cell r="H117" t="e">
            <v>#N/A</v>
          </cell>
          <cell r="I117" t="e">
            <v>#N/A</v>
          </cell>
          <cell r="J117" t="e">
            <v>#N/A</v>
          </cell>
          <cell r="K117" t="e">
            <v>#N/A</v>
          </cell>
          <cell r="L117" t="e">
            <v>#N/A</v>
          </cell>
          <cell r="M117" t="e">
            <v>#N/A</v>
          </cell>
          <cell r="N117" t="e">
            <v>#N/A</v>
          </cell>
          <cell r="O117" t="e">
            <v>#N/A</v>
          </cell>
          <cell r="P117">
            <v>46.04</v>
          </cell>
          <cell r="Q117">
            <v>2.0910159999999998</v>
          </cell>
          <cell r="R117" t="e">
            <v>#N/A</v>
          </cell>
        </row>
        <row r="118">
          <cell r="A118">
            <v>39639</v>
          </cell>
          <cell r="B118">
            <v>39639</v>
          </cell>
          <cell r="C118" t="str">
            <v>Past</v>
          </cell>
          <cell r="D118">
            <v>46.24</v>
          </cell>
          <cell r="E118" t="e">
            <v>#N/A</v>
          </cell>
          <cell r="F118" t="e">
            <v>#N/A</v>
          </cell>
          <cell r="G118" t="e">
            <v>#N/A</v>
          </cell>
          <cell r="H118" t="e">
            <v>#N/A</v>
          </cell>
          <cell r="I118" t="e">
            <v>#N/A</v>
          </cell>
          <cell r="J118" t="e">
            <v>#N/A</v>
          </cell>
          <cell r="K118" t="e">
            <v>#N/A</v>
          </cell>
          <cell r="L118" t="e">
            <v>#N/A</v>
          </cell>
          <cell r="M118" t="e">
            <v>#N/A</v>
          </cell>
          <cell r="N118" t="e">
            <v>#N/A</v>
          </cell>
          <cell r="O118" t="e">
            <v>#N/A</v>
          </cell>
          <cell r="P118">
            <v>46.24</v>
          </cell>
          <cell r="Q118">
            <v>1.1955900000000002</v>
          </cell>
          <cell r="R118" t="e">
            <v>#N/A</v>
          </cell>
        </row>
        <row r="119">
          <cell r="A119">
            <v>39640</v>
          </cell>
          <cell r="B119">
            <v>39640</v>
          </cell>
          <cell r="C119" t="str">
            <v>Past</v>
          </cell>
          <cell r="D119">
            <v>43.48</v>
          </cell>
          <cell r="E119" t="e">
            <v>#N/A</v>
          </cell>
          <cell r="F119" t="e">
            <v>#N/A</v>
          </cell>
          <cell r="G119" t="e">
            <v>#N/A</v>
          </cell>
          <cell r="H119" t="e">
            <v>#N/A</v>
          </cell>
          <cell r="I119" t="e">
            <v>#N/A</v>
          </cell>
          <cell r="J119" t="e">
            <v>#N/A</v>
          </cell>
          <cell r="K119" t="e">
            <v>#N/A</v>
          </cell>
          <cell r="L119" t="e">
            <v>#N/A</v>
          </cell>
          <cell r="M119" t="e">
            <v>#N/A</v>
          </cell>
          <cell r="N119" t="e">
            <v>#N/A</v>
          </cell>
          <cell r="O119" t="e">
            <v>#N/A</v>
          </cell>
          <cell r="P119">
            <v>43.48</v>
          </cell>
          <cell r="Q119">
            <v>2.7890630000000001</v>
          </cell>
          <cell r="R119" t="e">
            <v>#N/A</v>
          </cell>
        </row>
        <row r="120">
          <cell r="A120">
            <v>39643</v>
          </cell>
          <cell r="B120">
            <v>39643</v>
          </cell>
          <cell r="C120" t="str">
            <v>Past</v>
          </cell>
          <cell r="D120">
            <v>43.59</v>
          </cell>
          <cell r="E120" t="e">
            <v>#N/A</v>
          </cell>
          <cell r="F120" t="e">
            <v>#N/A</v>
          </cell>
          <cell r="G120" t="e">
            <v>#N/A</v>
          </cell>
          <cell r="H120" t="e">
            <v>#N/A</v>
          </cell>
          <cell r="I120" t="e">
            <v>#N/A</v>
          </cell>
          <cell r="J120" t="e">
            <v>#N/A</v>
          </cell>
          <cell r="K120" t="e">
            <v>#N/A</v>
          </cell>
          <cell r="L120" t="e">
            <v>#N/A</v>
          </cell>
          <cell r="M120" t="e">
            <v>#N/A</v>
          </cell>
          <cell r="N120" t="e">
            <v>#N/A</v>
          </cell>
          <cell r="O120" t="e">
            <v>#N/A</v>
          </cell>
          <cell r="P120">
            <v>43.59</v>
          </cell>
          <cell r="Q120">
            <v>1.566654</v>
          </cell>
          <cell r="R120" t="e">
            <v>#N/A</v>
          </cell>
        </row>
        <row r="121">
          <cell r="A121">
            <v>39644</v>
          </cell>
          <cell r="B121">
            <v>39644</v>
          </cell>
          <cell r="C121" t="str">
            <v>Past</v>
          </cell>
          <cell r="D121">
            <v>42.14</v>
          </cell>
          <cell r="E121" t="e">
            <v>#N/A</v>
          </cell>
          <cell r="F121" t="e">
            <v>#N/A</v>
          </cell>
          <cell r="G121" t="e">
            <v>#N/A</v>
          </cell>
          <cell r="H121" t="e">
            <v>#N/A</v>
          </cell>
          <cell r="I121" t="e">
            <v>#N/A</v>
          </cell>
          <cell r="J121" t="e">
            <v>#N/A</v>
          </cell>
          <cell r="K121" t="e">
            <v>#N/A</v>
          </cell>
          <cell r="L121" t="e">
            <v>#N/A</v>
          </cell>
          <cell r="M121" t="e">
            <v>#N/A</v>
          </cell>
          <cell r="N121" t="e">
            <v>#N/A</v>
          </cell>
          <cell r="O121" t="e">
            <v>#N/A</v>
          </cell>
          <cell r="P121">
            <v>42.14</v>
          </cell>
          <cell r="Q121">
            <v>3.0899200000000002</v>
          </cell>
          <cell r="R121" t="e">
            <v>#N/A</v>
          </cell>
        </row>
        <row r="122">
          <cell r="A122">
            <v>39645</v>
          </cell>
          <cell r="B122">
            <v>39645</v>
          </cell>
          <cell r="C122" t="str">
            <v>Past</v>
          </cell>
          <cell r="D122">
            <v>43.97</v>
          </cell>
          <cell r="E122" t="e">
            <v>#N/A</v>
          </cell>
          <cell r="F122" t="e">
            <v>#N/A</v>
          </cell>
          <cell r="G122" t="e">
            <v>#N/A</v>
          </cell>
          <cell r="H122" t="e">
            <v>#N/A</v>
          </cell>
          <cell r="I122" t="e">
            <v>#N/A</v>
          </cell>
          <cell r="J122" t="e">
            <v>#N/A</v>
          </cell>
          <cell r="K122" t="e">
            <v>#N/A</v>
          </cell>
          <cell r="L122" t="e">
            <v>#N/A</v>
          </cell>
          <cell r="M122" t="e">
            <v>#N/A</v>
          </cell>
          <cell r="N122" t="e">
            <v>#N/A</v>
          </cell>
          <cell r="O122" t="e">
            <v>#N/A</v>
          </cell>
          <cell r="P122">
            <v>43.97</v>
          </cell>
          <cell r="Q122">
            <v>1.901397</v>
          </cell>
          <cell r="R122" t="e">
            <v>#N/A</v>
          </cell>
        </row>
        <row r="123">
          <cell r="A123">
            <v>39646</v>
          </cell>
          <cell r="B123">
            <v>39646</v>
          </cell>
          <cell r="C123" t="str">
            <v>Past</v>
          </cell>
          <cell r="D123">
            <v>42.74</v>
          </cell>
          <cell r="E123" t="e">
            <v>#N/A</v>
          </cell>
          <cell r="F123" t="e">
            <v>#N/A</v>
          </cell>
          <cell r="G123" t="e">
            <v>#N/A</v>
          </cell>
          <cell r="H123" t="e">
            <v>#N/A</v>
          </cell>
          <cell r="I123" t="e">
            <v>#N/A</v>
          </cell>
          <cell r="J123" t="e">
            <v>#N/A</v>
          </cell>
          <cell r="K123" t="e">
            <v>#N/A</v>
          </cell>
          <cell r="L123" t="e">
            <v>#N/A</v>
          </cell>
          <cell r="M123" t="e">
            <v>#N/A</v>
          </cell>
          <cell r="N123" t="e">
            <v>#N/A</v>
          </cell>
          <cell r="O123" t="e">
            <v>#N/A</v>
          </cell>
          <cell r="P123">
            <v>42.74</v>
          </cell>
          <cell r="Q123">
            <v>3.1988939999999997</v>
          </cell>
          <cell r="R123" t="e">
            <v>#N/A</v>
          </cell>
        </row>
        <row r="124">
          <cell r="A124">
            <v>39647</v>
          </cell>
          <cell r="B124">
            <v>39647</v>
          </cell>
          <cell r="C124" t="str">
            <v>Past</v>
          </cell>
          <cell r="D124">
            <v>42.62</v>
          </cell>
          <cell r="E124" t="e">
            <v>#N/A</v>
          </cell>
          <cell r="F124" t="e">
            <v>#N/A</v>
          </cell>
          <cell r="G124" t="e">
            <v>#N/A</v>
          </cell>
          <cell r="H124" t="e">
            <v>#N/A</v>
          </cell>
          <cell r="I124" t="e">
            <v>#N/A</v>
          </cell>
          <cell r="J124" t="e">
            <v>#N/A</v>
          </cell>
          <cell r="K124" t="e">
            <v>#N/A</v>
          </cell>
          <cell r="L124" t="e">
            <v>#N/A</v>
          </cell>
          <cell r="M124" t="e">
            <v>#N/A</v>
          </cell>
          <cell r="N124" t="e">
            <v>#N/A</v>
          </cell>
          <cell r="O124" t="e">
            <v>#N/A</v>
          </cell>
          <cell r="P124">
            <v>42.62</v>
          </cell>
          <cell r="Q124">
            <v>2.8046880000000001</v>
          </cell>
          <cell r="R124" t="e">
            <v>#N/A</v>
          </cell>
        </row>
        <row r="125">
          <cell r="A125">
            <v>39650</v>
          </cell>
          <cell r="B125">
            <v>39650</v>
          </cell>
          <cell r="C125" t="str">
            <v>Past</v>
          </cell>
          <cell r="D125">
            <v>42.67</v>
          </cell>
          <cell r="E125" t="e">
            <v>#N/A</v>
          </cell>
          <cell r="F125" t="e">
            <v>#N/A</v>
          </cell>
          <cell r="G125" t="e">
            <v>#N/A</v>
          </cell>
          <cell r="H125" t="e">
            <v>#N/A</v>
          </cell>
          <cell r="I125" t="e">
            <v>#N/A</v>
          </cell>
          <cell r="J125" t="e">
            <v>#N/A</v>
          </cell>
          <cell r="K125" t="e">
            <v>#N/A</v>
          </cell>
          <cell r="L125" t="e">
            <v>#N/A</v>
          </cell>
          <cell r="M125" t="e">
            <v>#N/A</v>
          </cell>
          <cell r="N125" t="e">
            <v>#N/A</v>
          </cell>
          <cell r="O125" t="e">
            <v>#N/A</v>
          </cell>
          <cell r="P125">
            <v>42.67</v>
          </cell>
          <cell r="Q125">
            <v>3.6007889999999998</v>
          </cell>
          <cell r="R125" t="e">
            <v>#N/A</v>
          </cell>
        </row>
        <row r="126">
          <cell r="A126">
            <v>39651</v>
          </cell>
          <cell r="B126">
            <v>39651</v>
          </cell>
          <cell r="C126" t="str">
            <v>Past</v>
          </cell>
          <cell r="D126">
            <v>44.11</v>
          </cell>
          <cell r="E126" t="e">
            <v>#N/A</v>
          </cell>
          <cell r="F126" t="e">
            <v>#N/A</v>
          </cell>
          <cell r="G126" t="e">
            <v>#N/A</v>
          </cell>
          <cell r="H126" t="e">
            <v>#N/A</v>
          </cell>
          <cell r="I126" t="e">
            <v>#N/A</v>
          </cell>
          <cell r="J126" t="e">
            <v>#N/A</v>
          </cell>
          <cell r="K126" t="e">
            <v>#N/A</v>
          </cell>
          <cell r="L126" t="e">
            <v>#N/A</v>
          </cell>
          <cell r="M126" t="e">
            <v>#N/A</v>
          </cell>
          <cell r="N126" t="e">
            <v>#N/A</v>
          </cell>
          <cell r="O126" t="e">
            <v>#N/A</v>
          </cell>
          <cell r="P126">
            <v>44.11</v>
          </cell>
          <cell r="Q126">
            <v>2.4683519999999999</v>
          </cell>
          <cell r="R126" t="e">
            <v>#N/A</v>
          </cell>
        </row>
        <row r="127">
          <cell r="A127">
            <v>39652</v>
          </cell>
          <cell r="B127">
            <v>39652</v>
          </cell>
          <cell r="C127" t="str">
            <v>Past</v>
          </cell>
          <cell r="D127">
            <v>46.35</v>
          </cell>
          <cell r="E127" t="e">
            <v>#N/A</v>
          </cell>
          <cell r="F127" t="e">
            <v>#N/A</v>
          </cell>
          <cell r="G127" t="e">
            <v>#N/A</v>
          </cell>
          <cell r="H127" t="e">
            <v>#N/A</v>
          </cell>
          <cell r="I127" t="e">
            <v>#N/A</v>
          </cell>
          <cell r="J127" t="e">
            <v>#N/A</v>
          </cell>
          <cell r="K127" t="e">
            <v>#N/A</v>
          </cell>
          <cell r="L127" t="e">
            <v>#N/A</v>
          </cell>
          <cell r="M127" t="e">
            <v>#N/A</v>
          </cell>
          <cell r="N127" t="e">
            <v>#N/A</v>
          </cell>
          <cell r="O127" t="e">
            <v>#N/A</v>
          </cell>
          <cell r="P127">
            <v>46.35</v>
          </cell>
          <cell r="Q127">
            <v>3.661559</v>
          </cell>
          <cell r="R127" t="e">
            <v>#N/A</v>
          </cell>
        </row>
        <row r="128">
          <cell r="A128">
            <v>39653</v>
          </cell>
          <cell r="B128">
            <v>39653</v>
          </cell>
          <cell r="C128" t="str">
            <v>Past</v>
          </cell>
          <cell r="D128">
            <v>47.68</v>
          </cell>
          <cell r="E128" t="e">
            <v>#N/A</v>
          </cell>
          <cell r="F128" t="e">
            <v>#N/A</v>
          </cell>
          <cell r="G128" t="e">
            <v>#N/A</v>
          </cell>
          <cell r="H128" t="e">
            <v>#N/A</v>
          </cell>
          <cell r="I128" t="e">
            <v>#N/A</v>
          </cell>
          <cell r="J128" t="e">
            <v>#N/A</v>
          </cell>
          <cell r="K128" t="e">
            <v>#N/A</v>
          </cell>
          <cell r="L128" t="e">
            <v>#N/A</v>
          </cell>
          <cell r="M128" t="e">
            <v>#N/A</v>
          </cell>
          <cell r="N128" t="e">
            <v>#N/A</v>
          </cell>
          <cell r="O128" t="e">
            <v>#N/A</v>
          </cell>
          <cell r="P128">
            <v>47.68</v>
          </cell>
          <cell r="Q128">
            <v>6.552772</v>
          </cell>
          <cell r="R128" t="e">
            <v>#N/A</v>
          </cell>
        </row>
        <row r="129">
          <cell r="A129">
            <v>39654</v>
          </cell>
          <cell r="B129">
            <v>39654</v>
          </cell>
          <cell r="C129" t="str">
            <v>Past</v>
          </cell>
          <cell r="D129">
            <v>49.22</v>
          </cell>
          <cell r="E129" t="e">
            <v>#N/A</v>
          </cell>
          <cell r="F129" t="e">
            <v>#N/A</v>
          </cell>
          <cell r="G129" t="e">
            <v>#N/A</v>
          </cell>
          <cell r="H129" t="e">
            <v>#N/A</v>
          </cell>
          <cell r="I129" t="e">
            <v>#N/A</v>
          </cell>
          <cell r="J129" t="e">
            <v>#N/A</v>
          </cell>
          <cell r="K129" t="e">
            <v>#N/A</v>
          </cell>
          <cell r="L129" t="e">
            <v>#N/A</v>
          </cell>
          <cell r="M129" t="e">
            <v>#N/A</v>
          </cell>
          <cell r="N129" t="e">
            <v>#N/A</v>
          </cell>
          <cell r="O129" t="e">
            <v>#N/A</v>
          </cell>
          <cell r="P129">
            <v>49.22</v>
          </cell>
          <cell r="Q129">
            <v>2.7003309999999998</v>
          </cell>
          <cell r="R129" t="e">
            <v>#N/A</v>
          </cell>
        </row>
        <row r="130">
          <cell r="A130">
            <v>39657</v>
          </cell>
          <cell r="B130">
            <v>39657</v>
          </cell>
          <cell r="C130" t="str">
            <v>Past</v>
          </cell>
          <cell r="D130">
            <v>47.02</v>
          </cell>
          <cell r="E130" t="e">
            <v>#N/A</v>
          </cell>
          <cell r="F130" t="e">
            <v>#N/A</v>
          </cell>
          <cell r="G130" t="e">
            <v>#N/A</v>
          </cell>
          <cell r="H130" t="e">
            <v>#N/A</v>
          </cell>
          <cell r="I130" t="e">
            <v>#N/A</v>
          </cell>
          <cell r="J130" t="e">
            <v>#N/A</v>
          </cell>
          <cell r="K130" t="e">
            <v>#N/A</v>
          </cell>
          <cell r="L130" t="e">
            <v>#N/A</v>
          </cell>
          <cell r="M130" t="e">
            <v>#N/A</v>
          </cell>
          <cell r="N130" t="e">
            <v>#N/A</v>
          </cell>
          <cell r="O130" t="e">
            <v>#N/A</v>
          </cell>
          <cell r="P130">
            <v>47.02</v>
          </cell>
          <cell r="Q130">
            <v>3.4010289999999999</v>
          </cell>
          <cell r="R130" t="e">
            <v>#N/A</v>
          </cell>
        </row>
        <row r="131">
          <cell r="A131">
            <v>39658</v>
          </cell>
          <cell r="B131">
            <v>39658</v>
          </cell>
          <cell r="C131" t="str">
            <v>Past</v>
          </cell>
          <cell r="D131">
            <v>50.76</v>
          </cell>
          <cell r="E131" t="e">
            <v>#N/A</v>
          </cell>
          <cell r="F131" t="e">
            <v>#N/A</v>
          </cell>
          <cell r="G131" t="e">
            <v>#N/A</v>
          </cell>
          <cell r="H131" t="e">
            <v>#N/A</v>
          </cell>
          <cell r="I131" t="e">
            <v>#N/A</v>
          </cell>
          <cell r="J131" t="e">
            <v>#N/A</v>
          </cell>
          <cell r="K131" t="e">
            <v>#N/A</v>
          </cell>
          <cell r="L131" t="e">
            <v>#N/A</v>
          </cell>
          <cell r="M131" t="e">
            <v>#N/A</v>
          </cell>
          <cell r="N131" t="e">
            <v>#N/A</v>
          </cell>
          <cell r="O131" t="e">
            <v>#N/A</v>
          </cell>
          <cell r="P131">
            <v>50.76</v>
          </cell>
          <cell r="Q131">
            <v>2.8442800000000004</v>
          </cell>
          <cell r="R131" t="e">
            <v>#N/A</v>
          </cell>
        </row>
        <row r="132">
          <cell r="A132">
            <v>39659</v>
          </cell>
          <cell r="B132">
            <v>39659</v>
          </cell>
          <cell r="C132" t="str">
            <v>Past</v>
          </cell>
          <cell r="D132">
            <v>50.77</v>
          </cell>
          <cell r="E132" t="e">
            <v>#N/A</v>
          </cell>
          <cell r="F132" t="e">
            <v>#N/A</v>
          </cell>
          <cell r="G132" t="e">
            <v>#N/A</v>
          </cell>
          <cell r="H132" t="e">
            <v>#N/A</v>
          </cell>
          <cell r="I132" t="e">
            <v>#N/A</v>
          </cell>
          <cell r="J132" t="e">
            <v>#N/A</v>
          </cell>
          <cell r="K132" t="e">
            <v>#N/A</v>
          </cell>
          <cell r="L132" t="e">
            <v>#N/A</v>
          </cell>
          <cell r="M132" t="e">
            <v>#N/A</v>
          </cell>
          <cell r="N132" t="e">
            <v>#N/A</v>
          </cell>
          <cell r="O132" t="e">
            <v>#N/A</v>
          </cell>
          <cell r="P132">
            <v>50.77</v>
          </cell>
          <cell r="Q132">
            <v>2.630627</v>
          </cell>
          <cell r="R132" t="e">
            <v>#N/A</v>
          </cell>
        </row>
        <row r="133">
          <cell r="A133">
            <v>39660</v>
          </cell>
          <cell r="B133">
            <v>39660</v>
          </cell>
          <cell r="C133" t="str">
            <v>Past</v>
          </cell>
          <cell r="D133">
            <v>49.14</v>
          </cell>
          <cell r="E133" t="e">
            <v>#N/A</v>
          </cell>
          <cell r="F133" t="e">
            <v>#N/A</v>
          </cell>
          <cell r="G133" t="e">
            <v>#N/A</v>
          </cell>
          <cell r="H133" t="e">
            <v>#N/A</v>
          </cell>
          <cell r="I133" t="e">
            <v>#N/A</v>
          </cell>
          <cell r="J133" t="e">
            <v>#N/A</v>
          </cell>
          <cell r="K133" t="e">
            <v>#N/A</v>
          </cell>
          <cell r="L133" t="e">
            <v>#N/A</v>
          </cell>
          <cell r="M133" t="e">
            <v>#N/A</v>
          </cell>
          <cell r="N133" t="e">
            <v>#N/A</v>
          </cell>
          <cell r="O133" t="e">
            <v>#N/A</v>
          </cell>
          <cell r="P133">
            <v>49.14</v>
          </cell>
          <cell r="Q133">
            <v>2.5825519999999997</v>
          </cell>
          <cell r="R133" t="e">
            <v>#N/A</v>
          </cell>
        </row>
        <row r="134">
          <cell r="A134">
            <v>39661</v>
          </cell>
          <cell r="B134">
            <v>39661</v>
          </cell>
          <cell r="C134" t="str">
            <v>Past</v>
          </cell>
          <cell r="D134">
            <v>49.17</v>
          </cell>
          <cell r="E134" t="e">
            <v>#N/A</v>
          </cell>
          <cell r="F134" t="e">
            <v>#N/A</v>
          </cell>
          <cell r="G134" t="e">
            <v>#N/A</v>
          </cell>
          <cell r="H134" t="e">
            <v>#N/A</v>
          </cell>
          <cell r="I134" t="e">
            <v>#N/A</v>
          </cell>
          <cell r="J134" t="e">
            <v>#N/A</v>
          </cell>
          <cell r="K134" t="e">
            <v>#N/A</v>
          </cell>
          <cell r="L134" t="e">
            <v>#N/A</v>
          </cell>
          <cell r="M134" t="e">
            <v>#N/A</v>
          </cell>
          <cell r="N134" t="e">
            <v>#N/A</v>
          </cell>
          <cell r="O134" t="e">
            <v>#N/A</v>
          </cell>
          <cell r="P134">
            <v>49.17</v>
          </cell>
          <cell r="Q134">
            <v>1.8063469999999999</v>
          </cell>
          <cell r="R134" t="e">
            <v>#N/A</v>
          </cell>
        </row>
        <row r="135">
          <cell r="A135">
            <v>39664</v>
          </cell>
          <cell r="B135">
            <v>39664</v>
          </cell>
          <cell r="C135" t="str">
            <v>Past</v>
          </cell>
          <cell r="D135">
            <v>49.72</v>
          </cell>
          <cell r="E135" t="e">
            <v>#N/A</v>
          </cell>
          <cell r="F135" t="e">
            <v>#N/A</v>
          </cell>
          <cell r="G135" t="e">
            <v>#N/A</v>
          </cell>
          <cell r="H135" t="e">
            <v>#N/A</v>
          </cell>
          <cell r="I135" t="e">
            <v>#N/A</v>
          </cell>
          <cell r="J135" t="e">
            <v>#N/A</v>
          </cell>
          <cell r="K135" t="e">
            <v>#N/A</v>
          </cell>
          <cell r="L135" t="e">
            <v>#N/A</v>
          </cell>
          <cell r="M135" t="e">
            <v>#N/A</v>
          </cell>
          <cell r="N135" t="e">
            <v>#N/A</v>
          </cell>
          <cell r="O135" t="e">
            <v>#N/A</v>
          </cell>
          <cell r="P135">
            <v>49.72</v>
          </cell>
          <cell r="Q135">
            <v>1.5504749999999998</v>
          </cell>
          <cell r="R135" t="e">
            <v>#N/A</v>
          </cell>
        </row>
        <row r="136">
          <cell r="A136">
            <v>39665</v>
          </cell>
          <cell r="B136">
            <v>39665</v>
          </cell>
          <cell r="C136" t="str">
            <v>Past</v>
          </cell>
          <cell r="D136">
            <v>51.31</v>
          </cell>
          <cell r="E136" t="e">
            <v>#N/A</v>
          </cell>
          <cell r="F136" t="e">
            <v>#N/A</v>
          </cell>
          <cell r="G136" t="e">
            <v>#N/A</v>
          </cell>
          <cell r="H136" t="e">
            <v>#N/A</v>
          </cell>
          <cell r="I136" t="e">
            <v>#N/A</v>
          </cell>
          <cell r="J136" t="e">
            <v>#N/A</v>
          </cell>
          <cell r="K136" t="e">
            <v>#N/A</v>
          </cell>
          <cell r="L136" t="e">
            <v>#N/A</v>
          </cell>
          <cell r="M136" t="e">
            <v>#N/A</v>
          </cell>
          <cell r="N136" t="e">
            <v>#N/A</v>
          </cell>
          <cell r="O136" t="e">
            <v>#N/A</v>
          </cell>
          <cell r="P136">
            <v>51.31</v>
          </cell>
          <cell r="Q136">
            <v>2.6487529999999997</v>
          </cell>
          <cell r="R136" t="e">
            <v>#N/A</v>
          </cell>
        </row>
        <row r="137">
          <cell r="A137">
            <v>39666</v>
          </cell>
          <cell r="B137">
            <v>39666</v>
          </cell>
          <cell r="C137" t="str">
            <v>Past</v>
          </cell>
          <cell r="D137">
            <v>51.7</v>
          </cell>
          <cell r="E137" t="e">
            <v>#N/A</v>
          </cell>
          <cell r="F137" t="e">
            <v>#N/A</v>
          </cell>
          <cell r="G137" t="e">
            <v>#N/A</v>
          </cell>
          <cell r="H137" t="e">
            <v>#N/A</v>
          </cell>
          <cell r="I137" t="e">
            <v>#N/A</v>
          </cell>
          <cell r="J137" t="e">
            <v>#N/A</v>
          </cell>
          <cell r="K137" t="e">
            <v>#N/A</v>
          </cell>
          <cell r="L137" t="e">
            <v>#N/A</v>
          </cell>
          <cell r="M137" t="e">
            <v>#N/A</v>
          </cell>
          <cell r="N137" t="e">
            <v>#N/A</v>
          </cell>
          <cell r="O137" t="e">
            <v>#N/A</v>
          </cell>
          <cell r="P137">
            <v>51.7</v>
          </cell>
          <cell r="Q137">
            <v>2.6074000000000002</v>
          </cell>
          <cell r="R137" t="e">
            <v>#N/A</v>
          </cell>
        </row>
        <row r="138">
          <cell r="A138">
            <v>39667</v>
          </cell>
          <cell r="B138">
            <v>39667</v>
          </cell>
          <cell r="C138" t="str">
            <v>Past</v>
          </cell>
          <cell r="D138">
            <v>49.94</v>
          </cell>
          <cell r="E138" t="e">
            <v>#N/A</v>
          </cell>
          <cell r="F138" t="e">
            <v>#N/A</v>
          </cell>
          <cell r="G138" t="e">
            <v>#N/A</v>
          </cell>
          <cell r="H138" t="e">
            <v>#N/A</v>
          </cell>
          <cell r="I138" t="e">
            <v>#N/A</v>
          </cell>
          <cell r="J138" t="e">
            <v>#N/A</v>
          </cell>
          <cell r="K138" t="e">
            <v>#N/A</v>
          </cell>
          <cell r="L138" t="e">
            <v>#N/A</v>
          </cell>
          <cell r="M138" t="e">
            <v>#N/A</v>
          </cell>
          <cell r="N138" t="e">
            <v>#N/A</v>
          </cell>
          <cell r="O138" t="e">
            <v>#N/A</v>
          </cell>
          <cell r="P138">
            <v>49.94</v>
          </cell>
          <cell r="Q138">
            <v>2.3710649999999998</v>
          </cell>
          <cell r="R138" t="e">
            <v>#N/A</v>
          </cell>
        </row>
        <row r="139">
          <cell r="A139">
            <v>39668</v>
          </cell>
          <cell r="B139">
            <v>39668</v>
          </cell>
          <cell r="C139" t="str">
            <v>Past</v>
          </cell>
          <cell r="D139">
            <v>53.94</v>
          </cell>
          <cell r="E139" t="e">
            <v>#N/A</v>
          </cell>
          <cell r="F139" t="e">
            <v>#N/A</v>
          </cell>
          <cell r="G139" t="e">
            <v>#N/A</v>
          </cell>
          <cell r="H139" t="e">
            <v>#N/A</v>
          </cell>
          <cell r="I139" t="e">
            <v>#N/A</v>
          </cell>
          <cell r="J139" t="e">
            <v>#N/A</v>
          </cell>
          <cell r="K139" t="e">
            <v>#N/A</v>
          </cell>
          <cell r="L139" t="e">
            <v>#N/A</v>
          </cell>
          <cell r="M139" t="e">
            <v>#N/A</v>
          </cell>
          <cell r="N139" t="e">
            <v>#N/A</v>
          </cell>
          <cell r="O139" t="e">
            <v>#N/A</v>
          </cell>
          <cell r="P139">
            <v>53.94</v>
          </cell>
          <cell r="Q139">
            <v>2.273733</v>
          </cell>
          <cell r="R139" t="e">
            <v>#N/A</v>
          </cell>
        </row>
        <row r="140">
          <cell r="A140">
            <v>39671</v>
          </cell>
          <cell r="B140">
            <v>39671</v>
          </cell>
          <cell r="C140" t="str">
            <v>Past</v>
          </cell>
          <cell r="D140">
            <v>53.11</v>
          </cell>
          <cell r="E140" t="e">
            <v>#N/A</v>
          </cell>
          <cell r="F140" t="e">
            <v>#N/A</v>
          </cell>
          <cell r="G140" t="e">
            <v>#N/A</v>
          </cell>
          <cell r="H140" t="e">
            <v>#N/A</v>
          </cell>
          <cell r="I140" t="e">
            <v>#N/A</v>
          </cell>
          <cell r="J140" t="e">
            <v>#N/A</v>
          </cell>
          <cell r="K140" t="e">
            <v>#N/A</v>
          </cell>
          <cell r="L140" t="e">
            <v>#N/A</v>
          </cell>
          <cell r="M140" t="e">
            <v>#N/A</v>
          </cell>
          <cell r="N140" t="e">
            <v>#N/A</v>
          </cell>
          <cell r="O140" t="e">
            <v>#N/A</v>
          </cell>
          <cell r="P140">
            <v>53.11</v>
          </cell>
          <cell r="Q140">
            <v>1.9462969999999999</v>
          </cell>
          <cell r="R140" t="e">
            <v>#N/A</v>
          </cell>
        </row>
        <row r="141">
          <cell r="A141">
            <v>39672</v>
          </cell>
          <cell r="B141">
            <v>39672</v>
          </cell>
          <cell r="C141" t="str">
            <v>Past</v>
          </cell>
          <cell r="D141">
            <v>53.18</v>
          </cell>
          <cell r="E141" t="e">
            <v>#N/A</v>
          </cell>
          <cell r="F141" t="e">
            <v>#N/A</v>
          </cell>
          <cell r="G141" t="e">
            <v>#N/A</v>
          </cell>
          <cell r="H141" t="e">
            <v>#N/A</v>
          </cell>
          <cell r="I141" t="e">
            <v>#N/A</v>
          </cell>
          <cell r="J141" t="e">
            <v>#N/A</v>
          </cell>
          <cell r="K141" t="e">
            <v>#N/A</v>
          </cell>
          <cell r="L141" t="e">
            <v>#N/A</v>
          </cell>
          <cell r="M141" t="e">
            <v>#N/A</v>
          </cell>
          <cell r="N141" t="e">
            <v>#N/A</v>
          </cell>
          <cell r="O141" t="e">
            <v>#N/A</v>
          </cell>
          <cell r="P141">
            <v>53.18</v>
          </cell>
          <cell r="Q141">
            <v>2.39161</v>
          </cell>
          <cell r="R141" t="e">
            <v>#N/A</v>
          </cell>
        </row>
        <row r="142">
          <cell r="A142">
            <v>39673</v>
          </cell>
          <cell r="B142">
            <v>39673</v>
          </cell>
          <cell r="C142" t="str">
            <v>Past</v>
          </cell>
          <cell r="D142">
            <v>52.38</v>
          </cell>
          <cell r="E142" t="e">
            <v>#N/A</v>
          </cell>
          <cell r="F142" t="e">
            <v>#N/A</v>
          </cell>
          <cell r="G142" t="e">
            <v>#N/A</v>
          </cell>
          <cell r="H142" t="e">
            <v>#N/A</v>
          </cell>
          <cell r="I142" t="e">
            <v>#N/A</v>
          </cell>
          <cell r="J142" t="e">
            <v>#N/A</v>
          </cell>
          <cell r="K142" t="e">
            <v>#N/A</v>
          </cell>
          <cell r="L142" t="e">
            <v>#N/A</v>
          </cell>
          <cell r="M142" t="e">
            <v>#N/A</v>
          </cell>
          <cell r="N142" t="e">
            <v>#N/A</v>
          </cell>
          <cell r="O142" t="e">
            <v>#N/A</v>
          </cell>
          <cell r="P142">
            <v>52.38</v>
          </cell>
          <cell r="Q142">
            <v>1.833836</v>
          </cell>
          <cell r="R142" t="e">
            <v>#N/A</v>
          </cell>
        </row>
        <row r="143">
          <cell r="A143">
            <v>39674</v>
          </cell>
          <cell r="B143">
            <v>39674</v>
          </cell>
          <cell r="C143" t="str">
            <v>Past</v>
          </cell>
          <cell r="D143">
            <v>53.04</v>
          </cell>
          <cell r="E143" t="e">
            <v>#N/A</v>
          </cell>
          <cell r="F143" t="e">
            <v>#N/A</v>
          </cell>
          <cell r="G143" t="e">
            <v>#N/A</v>
          </cell>
          <cell r="H143" t="e">
            <v>#N/A</v>
          </cell>
          <cell r="I143" t="e">
            <v>#N/A</v>
          </cell>
          <cell r="J143" t="e">
            <v>#N/A</v>
          </cell>
          <cell r="K143" t="e">
            <v>#N/A</v>
          </cell>
          <cell r="L143" t="e">
            <v>#N/A</v>
          </cell>
          <cell r="M143" t="e">
            <v>#N/A</v>
          </cell>
          <cell r="N143" t="e">
            <v>#N/A</v>
          </cell>
          <cell r="O143" t="e">
            <v>#N/A</v>
          </cell>
          <cell r="P143">
            <v>53.04</v>
          </cell>
          <cell r="Q143">
            <v>1.9626459999999999</v>
          </cell>
          <cell r="R143" t="e">
            <v>#N/A</v>
          </cell>
        </row>
        <row r="144">
          <cell r="A144">
            <v>39675</v>
          </cell>
          <cell r="B144">
            <v>39675</v>
          </cell>
          <cell r="C144" t="str">
            <v>Past</v>
          </cell>
          <cell r="D144">
            <v>53.33</v>
          </cell>
          <cell r="E144" t="e">
            <v>#N/A</v>
          </cell>
          <cell r="F144" t="e">
            <v>#N/A</v>
          </cell>
          <cell r="G144" t="e">
            <v>#N/A</v>
          </cell>
          <cell r="H144" t="e">
            <v>#N/A</v>
          </cell>
          <cell r="I144" t="e">
            <v>#N/A</v>
          </cell>
          <cell r="J144" t="e">
            <v>#N/A</v>
          </cell>
          <cell r="K144" t="e">
            <v>#N/A</v>
          </cell>
          <cell r="L144" t="e">
            <v>#N/A</v>
          </cell>
          <cell r="M144" t="e">
            <v>#N/A</v>
          </cell>
          <cell r="N144" t="e">
            <v>#N/A</v>
          </cell>
          <cell r="O144" t="e">
            <v>#N/A</v>
          </cell>
          <cell r="P144">
            <v>53.33</v>
          </cell>
          <cell r="Q144">
            <v>1.0385119999999999</v>
          </cell>
          <cell r="R144" t="e">
            <v>#N/A</v>
          </cell>
        </row>
        <row r="145">
          <cell r="A145">
            <v>39678</v>
          </cell>
          <cell r="B145">
            <v>39678</v>
          </cell>
          <cell r="C145" t="str">
            <v>Past</v>
          </cell>
          <cell r="D145">
            <v>53.22</v>
          </cell>
          <cell r="E145" t="e">
            <v>#N/A</v>
          </cell>
          <cell r="F145" t="e">
            <v>#N/A</v>
          </cell>
          <cell r="G145" t="e">
            <v>#N/A</v>
          </cell>
          <cell r="H145" t="e">
            <v>#N/A</v>
          </cell>
          <cell r="I145" t="e">
            <v>#N/A</v>
          </cell>
          <cell r="J145" t="e">
            <v>#N/A</v>
          </cell>
          <cell r="K145" t="e">
            <v>#N/A</v>
          </cell>
          <cell r="L145" t="e">
            <v>#N/A</v>
          </cell>
          <cell r="M145" t="e">
            <v>#N/A</v>
          </cell>
          <cell r="N145" t="e">
            <v>#N/A</v>
          </cell>
          <cell r="O145" t="e">
            <v>#N/A</v>
          </cell>
          <cell r="P145">
            <v>53.22</v>
          </cell>
          <cell r="Q145">
            <v>1.4589829999999999</v>
          </cell>
          <cell r="R145" t="e">
            <v>#N/A</v>
          </cell>
        </row>
        <row r="146">
          <cell r="A146">
            <v>39679</v>
          </cell>
          <cell r="B146">
            <v>39679</v>
          </cell>
          <cell r="C146" t="str">
            <v>Past</v>
          </cell>
          <cell r="D146">
            <v>52.26</v>
          </cell>
          <cell r="E146" t="e">
            <v>#N/A</v>
          </cell>
          <cell r="F146" t="e">
            <v>#N/A</v>
          </cell>
          <cell r="G146" t="e">
            <v>#N/A</v>
          </cell>
          <cell r="H146" t="e">
            <v>#N/A</v>
          </cell>
          <cell r="I146" t="e">
            <v>#N/A</v>
          </cell>
          <cell r="J146" t="e">
            <v>#N/A</v>
          </cell>
          <cell r="K146" t="e">
            <v>#N/A</v>
          </cell>
          <cell r="L146" t="e">
            <v>#N/A</v>
          </cell>
          <cell r="M146" t="e">
            <v>#N/A</v>
          </cell>
          <cell r="N146" t="e">
            <v>#N/A</v>
          </cell>
          <cell r="O146" t="e">
            <v>#N/A</v>
          </cell>
          <cell r="P146">
            <v>52.26</v>
          </cell>
          <cell r="Q146">
            <v>1.398128</v>
          </cell>
          <cell r="R146" t="e">
            <v>#N/A</v>
          </cell>
        </row>
        <row r="147">
          <cell r="A147">
            <v>39680</v>
          </cell>
          <cell r="B147">
            <v>39680</v>
          </cell>
          <cell r="C147" t="str">
            <v>Past</v>
          </cell>
          <cell r="D147">
            <v>51.58</v>
          </cell>
          <cell r="E147" t="e">
            <v>#N/A</v>
          </cell>
          <cell r="F147" t="e">
            <v>#N/A</v>
          </cell>
          <cell r="G147" t="e">
            <v>#N/A</v>
          </cell>
          <cell r="H147" t="e">
            <v>#N/A</v>
          </cell>
          <cell r="I147" t="e">
            <v>#N/A</v>
          </cell>
          <cell r="J147" t="e">
            <v>#N/A</v>
          </cell>
          <cell r="K147" t="e">
            <v>#N/A</v>
          </cell>
          <cell r="L147" t="e">
            <v>#N/A</v>
          </cell>
          <cell r="M147" t="e">
            <v>#N/A</v>
          </cell>
          <cell r="N147" t="e">
            <v>#N/A</v>
          </cell>
          <cell r="O147" t="e">
            <v>#N/A</v>
          </cell>
          <cell r="P147">
            <v>51.58</v>
          </cell>
          <cell r="Q147">
            <v>1.3759889999999999</v>
          </cell>
          <cell r="R147" t="e">
            <v>#N/A</v>
          </cell>
        </row>
        <row r="148">
          <cell r="A148">
            <v>39681</v>
          </cell>
          <cell r="B148">
            <v>39681</v>
          </cell>
          <cell r="C148" t="str">
            <v>Past</v>
          </cell>
          <cell r="D148">
            <v>50.82</v>
          </cell>
          <cell r="E148" t="e">
            <v>#N/A</v>
          </cell>
          <cell r="F148" t="e">
            <v>#N/A</v>
          </cell>
          <cell r="G148" t="e">
            <v>#N/A</v>
          </cell>
          <cell r="H148" t="e">
            <v>#N/A</v>
          </cell>
          <cell r="I148" t="e">
            <v>#N/A</v>
          </cell>
          <cell r="J148" t="e">
            <v>#N/A</v>
          </cell>
          <cell r="K148" t="e">
            <v>#N/A</v>
          </cell>
          <cell r="L148" t="e">
            <v>#N/A</v>
          </cell>
          <cell r="M148" t="e">
            <v>#N/A</v>
          </cell>
          <cell r="N148" t="e">
            <v>#N/A</v>
          </cell>
          <cell r="O148" t="e">
            <v>#N/A</v>
          </cell>
          <cell r="P148">
            <v>50.82</v>
          </cell>
          <cell r="Q148">
            <v>1.258874</v>
          </cell>
          <cell r="R148" t="e">
            <v>#N/A</v>
          </cell>
        </row>
        <row r="149">
          <cell r="A149">
            <v>39682</v>
          </cell>
          <cell r="B149">
            <v>39682</v>
          </cell>
          <cell r="C149" t="str">
            <v>Past</v>
          </cell>
          <cell r="D149">
            <v>51.64</v>
          </cell>
          <cell r="E149" t="e">
            <v>#N/A</v>
          </cell>
          <cell r="F149" t="e">
            <v>#N/A</v>
          </cell>
          <cell r="G149" t="e">
            <v>#N/A</v>
          </cell>
          <cell r="H149" t="e">
            <v>#N/A</v>
          </cell>
          <cell r="I149" t="e">
            <v>#N/A</v>
          </cell>
          <cell r="J149" t="e">
            <v>#N/A</v>
          </cell>
          <cell r="K149" t="e">
            <v>#N/A</v>
          </cell>
          <cell r="L149" t="e">
            <v>#N/A</v>
          </cell>
          <cell r="M149" t="e">
            <v>#N/A</v>
          </cell>
          <cell r="N149" t="e">
            <v>#N/A</v>
          </cell>
          <cell r="O149" t="e">
            <v>#N/A</v>
          </cell>
          <cell r="P149">
            <v>51.64</v>
          </cell>
          <cell r="Q149">
            <v>1.1504839999999998</v>
          </cell>
          <cell r="R149" t="e">
            <v>#N/A</v>
          </cell>
        </row>
        <row r="150">
          <cell r="A150">
            <v>39685</v>
          </cell>
          <cell r="B150">
            <v>39685</v>
          </cell>
          <cell r="C150" t="str">
            <v>Past</v>
          </cell>
          <cell r="D150">
            <v>50.42</v>
          </cell>
          <cell r="E150" t="e">
            <v>#N/A</v>
          </cell>
          <cell r="F150" t="e">
            <v>#N/A</v>
          </cell>
          <cell r="G150" t="e">
            <v>#N/A</v>
          </cell>
          <cell r="H150" t="e">
            <v>#N/A</v>
          </cell>
          <cell r="I150" t="e">
            <v>#N/A</v>
          </cell>
          <cell r="J150" t="e">
            <v>#N/A</v>
          </cell>
          <cell r="K150" t="e">
            <v>#N/A</v>
          </cell>
          <cell r="L150" t="e">
            <v>#N/A</v>
          </cell>
          <cell r="M150" t="e">
            <v>#N/A</v>
          </cell>
          <cell r="N150" t="e">
            <v>#N/A</v>
          </cell>
          <cell r="O150" t="e">
            <v>#N/A</v>
          </cell>
          <cell r="P150">
            <v>50.42</v>
          </cell>
          <cell r="Q150">
            <v>0.9549979999999999</v>
          </cell>
          <cell r="R150" t="e">
            <v>#N/A</v>
          </cell>
        </row>
        <row r="151">
          <cell r="A151">
            <v>39686</v>
          </cell>
          <cell r="B151">
            <v>39686</v>
          </cell>
          <cell r="C151" t="str">
            <v>Past</v>
          </cell>
          <cell r="D151">
            <v>50.33</v>
          </cell>
          <cell r="E151" t="e">
            <v>#N/A</v>
          </cell>
          <cell r="F151" t="e">
            <v>#N/A</v>
          </cell>
          <cell r="G151" t="e">
            <v>#N/A</v>
          </cell>
          <cell r="H151" t="e">
            <v>#N/A</v>
          </cell>
          <cell r="I151" t="e">
            <v>#N/A</v>
          </cell>
          <cell r="J151" t="e">
            <v>#N/A</v>
          </cell>
          <cell r="K151" t="e">
            <v>#N/A</v>
          </cell>
          <cell r="L151" t="e">
            <v>#N/A</v>
          </cell>
          <cell r="M151" t="e">
            <v>#N/A</v>
          </cell>
          <cell r="N151" t="e">
            <v>#N/A</v>
          </cell>
          <cell r="O151" t="e">
            <v>#N/A</v>
          </cell>
          <cell r="P151">
            <v>50.33</v>
          </cell>
          <cell r="Q151">
            <v>0.71795100000000001</v>
          </cell>
          <cell r="R151" t="e">
            <v>#N/A</v>
          </cell>
        </row>
        <row r="152">
          <cell r="A152">
            <v>39687</v>
          </cell>
          <cell r="B152">
            <v>39687</v>
          </cell>
          <cell r="C152" t="str">
            <v>Past</v>
          </cell>
          <cell r="D152">
            <v>50.4</v>
          </cell>
          <cell r="E152" t="e">
            <v>#N/A</v>
          </cell>
          <cell r="F152" t="e">
            <v>#N/A</v>
          </cell>
          <cell r="G152" t="e">
            <v>#N/A</v>
          </cell>
          <cell r="H152" t="e">
            <v>#N/A</v>
          </cell>
          <cell r="I152" t="e">
            <v>#N/A</v>
          </cell>
          <cell r="J152" t="e">
            <v>#N/A</v>
          </cell>
          <cell r="K152" t="e">
            <v>#N/A</v>
          </cell>
          <cell r="L152" t="e">
            <v>#N/A</v>
          </cell>
          <cell r="M152" t="e">
            <v>#N/A</v>
          </cell>
          <cell r="N152" t="e">
            <v>#N/A</v>
          </cell>
          <cell r="O152" t="e">
            <v>#N/A</v>
          </cell>
          <cell r="P152">
            <v>50.4</v>
          </cell>
          <cell r="Q152">
            <v>0.690639</v>
          </cell>
          <cell r="R152" t="e">
            <v>#N/A</v>
          </cell>
        </row>
        <row r="153">
          <cell r="A153">
            <v>39688</v>
          </cell>
          <cell r="B153">
            <v>39688</v>
          </cell>
          <cell r="C153" t="str">
            <v>Past</v>
          </cell>
          <cell r="D153">
            <v>51.86</v>
          </cell>
          <cell r="E153" t="e">
            <v>#N/A</v>
          </cell>
          <cell r="F153" t="e">
            <v>#N/A</v>
          </cell>
          <cell r="G153" t="e">
            <v>#N/A</v>
          </cell>
          <cell r="H153" t="e">
            <v>#N/A</v>
          </cell>
          <cell r="I153" t="e">
            <v>#N/A</v>
          </cell>
          <cell r="J153" t="e">
            <v>#N/A</v>
          </cell>
          <cell r="K153" t="e">
            <v>#N/A</v>
          </cell>
          <cell r="L153" t="e">
            <v>#N/A</v>
          </cell>
          <cell r="M153" t="e">
            <v>#N/A</v>
          </cell>
          <cell r="N153" t="e">
            <v>#N/A</v>
          </cell>
          <cell r="O153" t="e">
            <v>#N/A</v>
          </cell>
          <cell r="P153">
            <v>51.86</v>
          </cell>
          <cell r="Q153">
            <v>0.83037499999999997</v>
          </cell>
          <cell r="R153" t="e">
            <v>#N/A</v>
          </cell>
        </row>
        <row r="154">
          <cell r="A154">
            <v>39689</v>
          </cell>
          <cell r="B154">
            <v>39689</v>
          </cell>
          <cell r="C154" t="str">
            <v>Past</v>
          </cell>
          <cell r="D154">
            <v>51.25</v>
          </cell>
          <cell r="E154" t="e">
            <v>#N/A</v>
          </cell>
          <cell r="F154" t="e">
            <v>#N/A</v>
          </cell>
          <cell r="G154" t="e">
            <v>#N/A</v>
          </cell>
          <cell r="H154" t="e">
            <v>#N/A</v>
          </cell>
          <cell r="I154" t="e">
            <v>#N/A</v>
          </cell>
          <cell r="J154" t="e">
            <v>#N/A</v>
          </cell>
          <cell r="K154" t="e">
            <v>#N/A</v>
          </cell>
          <cell r="L154" t="e">
            <v>#N/A</v>
          </cell>
          <cell r="M154" t="e">
            <v>#N/A</v>
          </cell>
          <cell r="N154" t="e">
            <v>#N/A</v>
          </cell>
          <cell r="O154" t="e">
            <v>#N/A</v>
          </cell>
          <cell r="P154">
            <v>51.25</v>
          </cell>
          <cell r="Q154">
            <v>0.65447599999999995</v>
          </cell>
          <cell r="R154" t="e">
            <v>#N/A</v>
          </cell>
        </row>
        <row r="155">
          <cell r="A155">
            <v>39693</v>
          </cell>
          <cell r="B155">
            <v>39693</v>
          </cell>
          <cell r="C155" t="str">
            <v>Past</v>
          </cell>
          <cell r="D155">
            <v>51.42</v>
          </cell>
          <cell r="E155" t="e">
            <v>#N/A</v>
          </cell>
          <cell r="F155" t="e">
            <v>#N/A</v>
          </cell>
          <cell r="G155" t="e">
            <v>#N/A</v>
          </cell>
          <cell r="H155" t="e">
            <v>#N/A</v>
          </cell>
          <cell r="I155" t="e">
            <v>#N/A</v>
          </cell>
          <cell r="J155" t="e">
            <v>#N/A</v>
          </cell>
          <cell r="K155" t="e">
            <v>#N/A</v>
          </cell>
          <cell r="L155" t="e">
            <v>#N/A</v>
          </cell>
          <cell r="M155" t="e">
            <v>#N/A</v>
          </cell>
          <cell r="N155" t="e">
            <v>#N/A</v>
          </cell>
          <cell r="O155" t="e">
            <v>#N/A</v>
          </cell>
          <cell r="P155">
            <v>51.42</v>
          </cell>
          <cell r="Q155">
            <v>1.7591639999999999</v>
          </cell>
          <cell r="R155" t="e">
            <v>#N/A</v>
          </cell>
        </row>
        <row r="156">
          <cell r="A156">
            <v>39694</v>
          </cell>
          <cell r="B156">
            <v>39694</v>
          </cell>
          <cell r="C156" t="str">
            <v>Past</v>
          </cell>
          <cell r="D156">
            <v>51.89</v>
          </cell>
          <cell r="E156" t="e">
            <v>#N/A</v>
          </cell>
          <cell r="F156" t="e">
            <v>#N/A</v>
          </cell>
          <cell r="G156" t="e">
            <v>#N/A</v>
          </cell>
          <cell r="H156" t="e">
            <v>#N/A</v>
          </cell>
          <cell r="I156" t="e">
            <v>#N/A</v>
          </cell>
          <cell r="J156" t="e">
            <v>#N/A</v>
          </cell>
          <cell r="K156" t="e">
            <v>#N/A</v>
          </cell>
          <cell r="L156" t="e">
            <v>#N/A</v>
          </cell>
          <cell r="M156" t="e">
            <v>#N/A</v>
          </cell>
          <cell r="N156" t="e">
            <v>#N/A</v>
          </cell>
          <cell r="O156" t="e">
            <v>#N/A</v>
          </cell>
          <cell r="P156">
            <v>51.89</v>
          </cell>
          <cell r="Q156">
            <v>1.8927</v>
          </cell>
          <cell r="R156" t="e">
            <v>#N/A</v>
          </cell>
        </row>
        <row r="157">
          <cell r="A157">
            <v>39695</v>
          </cell>
          <cell r="B157">
            <v>39695</v>
          </cell>
          <cell r="C157" t="str">
            <v>Past</v>
          </cell>
          <cell r="D157">
            <v>48.92</v>
          </cell>
          <cell r="E157" t="e">
            <v>#N/A</v>
          </cell>
          <cell r="F157" t="e">
            <v>#N/A</v>
          </cell>
          <cell r="G157" t="e">
            <v>#N/A</v>
          </cell>
          <cell r="H157" t="e">
            <v>#N/A</v>
          </cell>
          <cell r="I157" t="e">
            <v>#N/A</v>
          </cell>
          <cell r="J157" t="e">
            <v>#N/A</v>
          </cell>
          <cell r="K157" t="e">
            <v>#N/A</v>
          </cell>
          <cell r="L157" t="e">
            <v>#N/A</v>
          </cell>
          <cell r="M157" t="e">
            <v>#N/A</v>
          </cell>
          <cell r="N157" t="e">
            <v>#N/A</v>
          </cell>
          <cell r="O157" t="e">
            <v>#N/A</v>
          </cell>
          <cell r="P157">
            <v>48.92</v>
          </cell>
          <cell r="Q157">
            <v>1.6315109999999999</v>
          </cell>
          <cell r="R157" t="e">
            <v>#N/A</v>
          </cell>
        </row>
        <row r="158">
          <cell r="A158">
            <v>39696</v>
          </cell>
          <cell r="B158">
            <v>39696</v>
          </cell>
          <cell r="C158" t="str">
            <v>Past</v>
          </cell>
          <cell r="D158">
            <v>49.48</v>
          </cell>
          <cell r="E158" t="e">
            <v>#N/A</v>
          </cell>
          <cell r="F158" t="e">
            <v>#N/A</v>
          </cell>
          <cell r="G158" t="e">
            <v>#N/A</v>
          </cell>
          <cell r="H158" t="e">
            <v>#N/A</v>
          </cell>
          <cell r="I158" t="e">
            <v>#N/A</v>
          </cell>
          <cell r="J158" t="e">
            <v>#N/A</v>
          </cell>
          <cell r="K158" t="e">
            <v>#N/A</v>
          </cell>
          <cell r="L158" t="e">
            <v>#N/A</v>
          </cell>
          <cell r="M158" t="e">
            <v>#N/A</v>
          </cell>
          <cell r="N158" t="e">
            <v>#N/A</v>
          </cell>
          <cell r="O158" t="e">
            <v>#N/A</v>
          </cell>
          <cell r="P158">
            <v>49.48</v>
          </cell>
          <cell r="Q158">
            <v>1.5611919999999999</v>
          </cell>
          <cell r="R158" t="e">
            <v>#N/A</v>
          </cell>
        </row>
        <row r="159">
          <cell r="A159">
            <v>39699</v>
          </cell>
          <cell r="B159">
            <v>39699</v>
          </cell>
          <cell r="C159" t="str">
            <v>Past</v>
          </cell>
          <cell r="D159">
            <v>50.54</v>
          </cell>
          <cell r="E159" t="e">
            <v>#N/A</v>
          </cell>
          <cell r="F159" t="e">
            <v>#N/A</v>
          </cell>
          <cell r="G159" t="e">
            <v>#N/A</v>
          </cell>
          <cell r="H159" t="e">
            <v>#N/A</v>
          </cell>
          <cell r="I159" t="e">
            <v>#N/A</v>
          </cell>
          <cell r="J159" t="e">
            <v>#N/A</v>
          </cell>
          <cell r="K159" t="e">
            <v>#N/A</v>
          </cell>
          <cell r="L159" t="e">
            <v>#N/A</v>
          </cell>
          <cell r="M159" t="e">
            <v>#N/A</v>
          </cell>
          <cell r="N159" t="e">
            <v>#N/A</v>
          </cell>
          <cell r="O159" t="e">
            <v>#N/A</v>
          </cell>
          <cell r="P159">
            <v>50.54</v>
          </cell>
          <cell r="Q159">
            <v>1.5907629999999999</v>
          </cell>
          <cell r="R159" t="e">
            <v>#N/A</v>
          </cell>
        </row>
        <row r="160">
          <cell r="A160">
            <v>39700</v>
          </cell>
          <cell r="B160">
            <v>39700</v>
          </cell>
          <cell r="C160" t="str">
            <v>Past</v>
          </cell>
          <cell r="D160">
            <v>50.04</v>
          </cell>
          <cell r="E160" t="e">
            <v>#N/A</v>
          </cell>
          <cell r="F160" t="e">
            <v>#N/A</v>
          </cell>
          <cell r="G160" t="e">
            <v>#N/A</v>
          </cell>
          <cell r="H160" t="e">
            <v>#N/A</v>
          </cell>
          <cell r="I160" t="e">
            <v>#N/A</v>
          </cell>
          <cell r="J160" t="e">
            <v>#N/A</v>
          </cell>
          <cell r="K160" t="e">
            <v>#N/A</v>
          </cell>
          <cell r="L160" t="e">
            <v>#N/A</v>
          </cell>
          <cell r="M160" t="e">
            <v>#N/A</v>
          </cell>
          <cell r="N160" t="e">
            <v>#N/A</v>
          </cell>
          <cell r="O160" t="e">
            <v>#N/A</v>
          </cell>
          <cell r="P160">
            <v>50.04</v>
          </cell>
          <cell r="Q160">
            <v>1.533196</v>
          </cell>
          <cell r="R160" t="e">
            <v>#N/A</v>
          </cell>
        </row>
        <row r="161">
          <cell r="A161">
            <v>39701</v>
          </cell>
          <cell r="B161">
            <v>39701</v>
          </cell>
          <cell r="C161" t="str">
            <v>Past</v>
          </cell>
          <cell r="D161">
            <v>50</v>
          </cell>
          <cell r="E161" t="e">
            <v>#N/A</v>
          </cell>
          <cell r="F161" t="e">
            <v>#N/A</v>
          </cell>
          <cell r="G161" t="e">
            <v>#N/A</v>
          </cell>
          <cell r="H161" t="e">
            <v>#N/A</v>
          </cell>
          <cell r="I161" t="e">
            <v>#N/A</v>
          </cell>
          <cell r="J161" t="e">
            <v>#N/A</v>
          </cell>
          <cell r="K161" t="e">
            <v>#N/A</v>
          </cell>
          <cell r="L161" t="e">
            <v>#N/A</v>
          </cell>
          <cell r="M161" t="e">
            <v>#N/A</v>
          </cell>
          <cell r="N161" t="e">
            <v>#N/A</v>
          </cell>
          <cell r="O161" t="e">
            <v>#N/A</v>
          </cell>
          <cell r="P161">
            <v>50</v>
          </cell>
          <cell r="Q161">
            <v>1.310595</v>
          </cell>
          <cell r="R161" t="e">
            <v>#N/A</v>
          </cell>
        </row>
        <row r="162">
          <cell r="A162">
            <v>39702</v>
          </cell>
          <cell r="B162">
            <v>39702</v>
          </cell>
          <cell r="C162" t="str">
            <v>Past</v>
          </cell>
          <cell r="D162">
            <v>51.45</v>
          </cell>
          <cell r="E162" t="e">
            <v>#N/A</v>
          </cell>
          <cell r="F162" t="e">
            <v>#N/A</v>
          </cell>
          <cell r="G162" t="e">
            <v>#N/A</v>
          </cell>
          <cell r="H162" t="e">
            <v>#N/A</v>
          </cell>
          <cell r="I162" t="e">
            <v>#N/A</v>
          </cell>
          <cell r="J162" t="e">
            <v>#N/A</v>
          </cell>
          <cell r="K162" t="e">
            <v>#N/A</v>
          </cell>
          <cell r="L162" t="e">
            <v>#N/A</v>
          </cell>
          <cell r="M162" t="e">
            <v>#N/A</v>
          </cell>
          <cell r="N162" t="e">
            <v>#N/A</v>
          </cell>
          <cell r="O162" t="e">
            <v>#N/A</v>
          </cell>
          <cell r="P162">
            <v>51.45</v>
          </cell>
          <cell r="Q162">
            <v>1.7966900000000001</v>
          </cell>
          <cell r="R162" t="e">
            <v>#N/A</v>
          </cell>
        </row>
        <row r="163">
          <cell r="A163">
            <v>39703</v>
          </cell>
          <cell r="B163">
            <v>39703</v>
          </cell>
          <cell r="C163" t="str">
            <v>Past</v>
          </cell>
          <cell r="D163">
            <v>52.08</v>
          </cell>
          <cell r="E163" t="e">
            <v>#N/A</v>
          </cell>
          <cell r="F163" t="e">
            <v>#N/A</v>
          </cell>
          <cell r="G163" t="e">
            <v>#N/A</v>
          </cell>
          <cell r="H163" t="e">
            <v>#N/A</v>
          </cell>
          <cell r="I163" t="e">
            <v>#N/A</v>
          </cell>
          <cell r="J163" t="e">
            <v>#N/A</v>
          </cell>
          <cell r="K163" t="e">
            <v>#N/A</v>
          </cell>
          <cell r="L163" t="e">
            <v>#N/A</v>
          </cell>
          <cell r="M163" t="e">
            <v>#N/A</v>
          </cell>
          <cell r="N163" t="e">
            <v>#N/A</v>
          </cell>
          <cell r="O163" t="e">
            <v>#N/A</v>
          </cell>
          <cell r="P163">
            <v>52.08</v>
          </cell>
          <cell r="Q163">
            <v>0.92091000000000012</v>
          </cell>
          <cell r="R163" t="e">
            <v>#N/A</v>
          </cell>
        </row>
        <row r="164">
          <cell r="A164">
            <v>39706</v>
          </cell>
          <cell r="B164">
            <v>39706</v>
          </cell>
          <cell r="C164" t="str">
            <v>Past</v>
          </cell>
          <cell r="D164">
            <v>50.12</v>
          </cell>
          <cell r="E164" t="e">
            <v>#N/A</v>
          </cell>
          <cell r="F164" t="e">
            <v>#N/A</v>
          </cell>
          <cell r="G164" t="e">
            <v>#N/A</v>
          </cell>
          <cell r="H164" t="e">
            <v>#N/A</v>
          </cell>
          <cell r="I164" t="e">
            <v>#N/A</v>
          </cell>
          <cell r="J164" t="e">
            <v>#N/A</v>
          </cell>
          <cell r="K164" t="e">
            <v>#N/A</v>
          </cell>
          <cell r="L164" t="e">
            <v>#N/A</v>
          </cell>
          <cell r="M164" t="e">
            <v>#N/A</v>
          </cell>
          <cell r="N164" t="e">
            <v>#N/A</v>
          </cell>
          <cell r="O164" t="e">
            <v>#N/A</v>
          </cell>
          <cell r="P164">
            <v>50.12</v>
          </cell>
          <cell r="Q164">
            <v>1.912766</v>
          </cell>
          <cell r="R164" t="e">
            <v>#N/A</v>
          </cell>
        </row>
        <row r="165">
          <cell r="A165">
            <v>39707</v>
          </cell>
          <cell r="B165">
            <v>39707</v>
          </cell>
          <cell r="C165" t="str">
            <v>Past</v>
          </cell>
          <cell r="D165">
            <v>47.6</v>
          </cell>
          <cell r="E165" t="e">
            <v>#N/A</v>
          </cell>
          <cell r="F165" t="e">
            <v>#N/A</v>
          </cell>
          <cell r="G165" t="e">
            <v>#N/A</v>
          </cell>
          <cell r="H165" t="e">
            <v>#N/A</v>
          </cell>
          <cell r="I165" t="e">
            <v>#N/A</v>
          </cell>
          <cell r="J165" t="e">
            <v>#N/A</v>
          </cell>
          <cell r="K165" t="e">
            <v>#N/A</v>
          </cell>
          <cell r="L165" t="e">
            <v>#N/A</v>
          </cell>
          <cell r="M165" t="e">
            <v>#N/A</v>
          </cell>
          <cell r="N165" t="e">
            <v>#N/A</v>
          </cell>
          <cell r="O165" t="e">
            <v>#N/A</v>
          </cell>
          <cell r="P165">
            <v>47.6</v>
          </cell>
          <cell r="Q165">
            <v>3.2736700000000001</v>
          </cell>
          <cell r="R165" t="e">
            <v>#N/A</v>
          </cell>
        </row>
        <row r="166">
          <cell r="A166">
            <v>39708</v>
          </cell>
          <cell r="B166">
            <v>39708</v>
          </cell>
          <cell r="C166" t="str">
            <v>Past</v>
          </cell>
          <cell r="D166">
            <v>44.27</v>
          </cell>
          <cell r="E166" t="e">
            <v>#N/A</v>
          </cell>
          <cell r="F166" t="e">
            <v>#N/A</v>
          </cell>
          <cell r="G166" t="e">
            <v>#N/A</v>
          </cell>
          <cell r="H166" t="e">
            <v>#N/A</v>
          </cell>
          <cell r="I166" t="e">
            <v>#N/A</v>
          </cell>
          <cell r="J166" t="e">
            <v>#N/A</v>
          </cell>
          <cell r="K166" t="e">
            <v>#N/A</v>
          </cell>
          <cell r="L166" t="e">
            <v>#N/A</v>
          </cell>
          <cell r="M166" t="e">
            <v>#N/A</v>
          </cell>
          <cell r="N166" t="e">
            <v>#N/A</v>
          </cell>
          <cell r="O166" t="e">
            <v>#N/A</v>
          </cell>
          <cell r="P166">
            <v>44.27</v>
          </cell>
          <cell r="Q166">
            <v>1.9026179999999999</v>
          </cell>
          <cell r="R166" t="e">
            <v>#N/A</v>
          </cell>
        </row>
        <row r="167">
          <cell r="A167">
            <v>39709</v>
          </cell>
          <cell r="B167">
            <v>39709</v>
          </cell>
          <cell r="C167" t="str">
            <v>Past</v>
          </cell>
          <cell r="D167">
            <v>46.33</v>
          </cell>
          <cell r="E167" t="e">
            <v>#N/A</v>
          </cell>
          <cell r="F167" t="e">
            <v>#N/A</v>
          </cell>
          <cell r="G167" t="e">
            <v>#N/A</v>
          </cell>
          <cell r="H167" t="e">
            <v>#N/A</v>
          </cell>
          <cell r="I167" t="e">
            <v>#N/A</v>
          </cell>
          <cell r="J167" t="e">
            <v>#N/A</v>
          </cell>
          <cell r="K167" t="e">
            <v>#N/A</v>
          </cell>
          <cell r="L167" t="e">
            <v>#N/A</v>
          </cell>
          <cell r="M167" t="e">
            <v>#N/A</v>
          </cell>
          <cell r="N167" t="e">
            <v>#N/A</v>
          </cell>
          <cell r="O167" t="e">
            <v>#N/A</v>
          </cell>
          <cell r="P167">
            <v>46.33</v>
          </cell>
          <cell r="Q167">
            <v>2.5361449999999999</v>
          </cell>
          <cell r="R167" t="e">
            <v>#N/A</v>
          </cell>
        </row>
        <row r="168">
          <cell r="A168">
            <v>39710</v>
          </cell>
          <cell r="B168">
            <v>39710</v>
          </cell>
          <cell r="C168" t="str">
            <v>Past</v>
          </cell>
          <cell r="D168">
            <v>47.52</v>
          </cell>
          <cell r="E168" t="e">
            <v>#N/A</v>
          </cell>
          <cell r="F168" t="e">
            <v>#N/A</v>
          </cell>
          <cell r="G168" t="e">
            <v>#N/A</v>
          </cell>
          <cell r="H168" t="e">
            <v>#N/A</v>
          </cell>
          <cell r="I168" t="e">
            <v>#N/A</v>
          </cell>
          <cell r="J168" t="e">
            <v>#N/A</v>
          </cell>
          <cell r="K168" t="e">
            <v>#N/A</v>
          </cell>
          <cell r="L168" t="e">
            <v>#N/A</v>
          </cell>
          <cell r="M168" t="e">
            <v>#N/A</v>
          </cell>
          <cell r="N168" t="e">
            <v>#N/A</v>
          </cell>
          <cell r="O168" t="e">
            <v>#N/A</v>
          </cell>
          <cell r="P168">
            <v>47.52</v>
          </cell>
          <cell r="Q168">
            <v>1.758321</v>
          </cell>
          <cell r="R168" t="e">
            <v>#N/A</v>
          </cell>
        </row>
        <row r="169">
          <cell r="A169">
            <v>39713</v>
          </cell>
          <cell r="B169">
            <v>39713</v>
          </cell>
          <cell r="C169" t="str">
            <v>Past</v>
          </cell>
          <cell r="D169">
            <v>45.51</v>
          </cell>
          <cell r="E169" t="e">
            <v>#N/A</v>
          </cell>
          <cell r="F169" t="e">
            <v>#N/A</v>
          </cell>
          <cell r="G169" t="e">
            <v>#N/A</v>
          </cell>
          <cell r="H169" t="e">
            <v>#N/A</v>
          </cell>
          <cell r="I169" t="e">
            <v>#N/A</v>
          </cell>
          <cell r="J169" t="e">
            <v>#N/A</v>
          </cell>
          <cell r="K169" t="e">
            <v>#N/A</v>
          </cell>
          <cell r="L169" t="e">
            <v>#N/A</v>
          </cell>
          <cell r="M169" t="e">
            <v>#N/A</v>
          </cell>
          <cell r="N169" t="e">
            <v>#N/A</v>
          </cell>
          <cell r="O169" t="e">
            <v>#N/A</v>
          </cell>
          <cell r="P169">
            <v>45.51</v>
          </cell>
          <cell r="Q169">
            <v>1.1481600000000001</v>
          </cell>
          <cell r="R169" t="e">
            <v>#N/A</v>
          </cell>
        </row>
        <row r="170">
          <cell r="A170">
            <v>39714</v>
          </cell>
          <cell r="B170">
            <v>39714</v>
          </cell>
          <cell r="C170" t="str">
            <v>Past</v>
          </cell>
          <cell r="D170">
            <v>43.75</v>
          </cell>
          <cell r="E170" t="e">
            <v>#N/A</v>
          </cell>
          <cell r="F170" t="e">
            <v>#N/A</v>
          </cell>
          <cell r="G170" t="e">
            <v>#N/A</v>
          </cell>
          <cell r="H170" t="e">
            <v>#N/A</v>
          </cell>
          <cell r="I170" t="e">
            <v>#N/A</v>
          </cell>
          <cell r="J170" t="e">
            <v>#N/A</v>
          </cell>
          <cell r="K170" t="e">
            <v>#N/A</v>
          </cell>
          <cell r="L170" t="e">
            <v>#N/A</v>
          </cell>
          <cell r="M170" t="e">
            <v>#N/A</v>
          </cell>
          <cell r="N170" t="e">
            <v>#N/A</v>
          </cell>
          <cell r="O170" t="e">
            <v>#N/A</v>
          </cell>
          <cell r="P170">
            <v>43.75</v>
          </cell>
          <cell r="Q170">
            <v>1.4097279999999999</v>
          </cell>
          <cell r="R170" t="e">
            <v>#N/A</v>
          </cell>
        </row>
        <row r="171">
          <cell r="A171">
            <v>39715</v>
          </cell>
          <cell r="B171">
            <v>39715</v>
          </cell>
          <cell r="C171" t="str">
            <v>Past</v>
          </cell>
          <cell r="D171">
            <v>43.41</v>
          </cell>
          <cell r="E171" t="e">
            <v>#N/A</v>
          </cell>
          <cell r="F171" t="e">
            <v>#N/A</v>
          </cell>
          <cell r="G171" t="e">
            <v>#N/A</v>
          </cell>
          <cell r="H171" t="e">
            <v>#N/A</v>
          </cell>
          <cell r="I171" t="e">
            <v>#N/A</v>
          </cell>
          <cell r="J171" t="e">
            <v>#N/A</v>
          </cell>
          <cell r="K171" t="e">
            <v>#N/A</v>
          </cell>
          <cell r="L171" t="e">
            <v>#N/A</v>
          </cell>
          <cell r="M171" t="e">
            <v>#N/A</v>
          </cell>
          <cell r="N171" t="e">
            <v>#N/A</v>
          </cell>
          <cell r="O171" t="e">
            <v>#N/A</v>
          </cell>
          <cell r="P171">
            <v>43.41</v>
          </cell>
          <cell r="Q171">
            <v>1.3012889999999999</v>
          </cell>
          <cell r="R171" t="e">
            <v>#N/A</v>
          </cell>
        </row>
        <row r="172">
          <cell r="A172">
            <v>39716</v>
          </cell>
          <cell r="B172">
            <v>39716</v>
          </cell>
          <cell r="C172" t="str">
            <v>Past</v>
          </cell>
          <cell r="D172">
            <v>44.33</v>
          </cell>
          <cell r="E172" t="e">
            <v>#N/A</v>
          </cell>
          <cell r="F172" t="e">
            <v>#N/A</v>
          </cell>
          <cell r="G172" t="e">
            <v>#N/A</v>
          </cell>
          <cell r="H172" t="e">
            <v>#N/A</v>
          </cell>
          <cell r="I172" t="e">
            <v>#N/A</v>
          </cell>
          <cell r="J172" t="e">
            <v>#N/A</v>
          </cell>
          <cell r="K172" t="e">
            <v>#N/A</v>
          </cell>
          <cell r="L172" t="e">
            <v>#N/A</v>
          </cell>
          <cell r="M172" t="e">
            <v>#N/A</v>
          </cell>
          <cell r="N172" t="e">
            <v>#N/A</v>
          </cell>
          <cell r="O172" t="e">
            <v>#N/A</v>
          </cell>
          <cell r="P172">
            <v>44.33</v>
          </cell>
          <cell r="Q172">
            <v>1.4339189999999999</v>
          </cell>
          <cell r="R172" t="e">
            <v>#N/A</v>
          </cell>
        </row>
        <row r="173">
          <cell r="A173">
            <v>39717</v>
          </cell>
          <cell r="B173">
            <v>39717</v>
          </cell>
          <cell r="C173" t="str">
            <v>Past</v>
          </cell>
          <cell r="D173">
            <v>43.94</v>
          </cell>
          <cell r="E173" t="e">
            <v>#N/A</v>
          </cell>
          <cell r="F173" t="e">
            <v>#N/A</v>
          </cell>
          <cell r="G173" t="e">
            <v>#N/A</v>
          </cell>
          <cell r="H173" t="e">
            <v>#N/A</v>
          </cell>
          <cell r="I173" t="e">
            <v>#N/A</v>
          </cell>
          <cell r="J173" t="e">
            <v>#N/A</v>
          </cell>
          <cell r="K173" t="e">
            <v>#N/A</v>
          </cell>
          <cell r="L173" t="e">
            <v>#N/A</v>
          </cell>
          <cell r="M173" t="e">
            <v>#N/A</v>
          </cell>
          <cell r="N173" t="e">
            <v>#N/A</v>
          </cell>
          <cell r="O173" t="e">
            <v>#N/A</v>
          </cell>
          <cell r="P173">
            <v>43.94</v>
          </cell>
          <cell r="Q173">
            <v>1.2503</v>
          </cell>
          <cell r="R173" t="e">
            <v>#N/A</v>
          </cell>
        </row>
        <row r="174">
          <cell r="A174">
            <v>39720</v>
          </cell>
          <cell r="B174">
            <v>39720</v>
          </cell>
          <cell r="C174" t="str">
            <v>Past</v>
          </cell>
          <cell r="D174">
            <v>39.35</v>
          </cell>
          <cell r="E174" t="e">
            <v>#N/A</v>
          </cell>
          <cell r="F174" t="e">
            <v>#N/A</v>
          </cell>
          <cell r="G174" t="e">
            <v>#N/A</v>
          </cell>
          <cell r="H174" t="e">
            <v>#N/A</v>
          </cell>
          <cell r="I174" t="e">
            <v>#N/A</v>
          </cell>
          <cell r="J174" t="e">
            <v>#N/A</v>
          </cell>
          <cell r="K174" t="e">
            <v>#N/A</v>
          </cell>
          <cell r="L174" t="e">
            <v>#N/A</v>
          </cell>
          <cell r="M174" t="e">
            <v>#N/A</v>
          </cell>
          <cell r="N174" t="e">
            <v>#N/A</v>
          </cell>
          <cell r="O174" t="e">
            <v>#N/A</v>
          </cell>
          <cell r="P174">
            <v>39.35</v>
          </cell>
          <cell r="Q174">
            <v>2.166563</v>
          </cell>
          <cell r="R174" t="e">
            <v>#N/A</v>
          </cell>
        </row>
        <row r="175">
          <cell r="A175">
            <v>39721</v>
          </cell>
          <cell r="B175">
            <v>39721</v>
          </cell>
          <cell r="C175" t="str">
            <v>Past</v>
          </cell>
          <cell r="D175">
            <v>41.6</v>
          </cell>
          <cell r="E175" t="e">
            <v>#N/A</v>
          </cell>
          <cell r="F175" t="e">
            <v>#N/A</v>
          </cell>
          <cell r="G175" t="e">
            <v>#N/A</v>
          </cell>
          <cell r="H175" t="e">
            <v>#N/A</v>
          </cell>
          <cell r="I175" t="e">
            <v>#N/A</v>
          </cell>
          <cell r="J175" t="e">
            <v>#N/A</v>
          </cell>
          <cell r="K175" t="e">
            <v>#N/A</v>
          </cell>
          <cell r="L175" t="e">
            <v>#N/A</v>
          </cell>
          <cell r="M175" t="e">
            <v>#N/A</v>
          </cell>
          <cell r="N175" t="e">
            <v>#N/A</v>
          </cell>
          <cell r="O175" t="e">
            <v>#N/A</v>
          </cell>
          <cell r="P175">
            <v>41.6</v>
          </cell>
          <cell r="Q175">
            <v>1.641805</v>
          </cell>
          <cell r="R175" t="e">
            <v>#N/A</v>
          </cell>
        </row>
        <row r="176">
          <cell r="A176">
            <v>39722</v>
          </cell>
          <cell r="B176">
            <v>39722</v>
          </cell>
          <cell r="C176" t="str">
            <v>Past</v>
          </cell>
          <cell r="D176">
            <v>40.119999999999997</v>
          </cell>
          <cell r="E176" t="e">
            <v>#N/A</v>
          </cell>
          <cell r="F176" t="e">
            <v>#N/A</v>
          </cell>
          <cell r="G176" t="e">
            <v>#N/A</v>
          </cell>
          <cell r="H176" t="e">
            <v>#N/A</v>
          </cell>
          <cell r="I176" t="e">
            <v>#N/A</v>
          </cell>
          <cell r="J176" t="e">
            <v>#N/A</v>
          </cell>
          <cell r="K176" t="e">
            <v>#N/A</v>
          </cell>
          <cell r="L176" t="e">
            <v>#N/A</v>
          </cell>
          <cell r="M176" t="e">
            <v>#N/A</v>
          </cell>
          <cell r="N176" t="e">
            <v>#N/A</v>
          </cell>
          <cell r="O176" t="e">
            <v>#N/A</v>
          </cell>
          <cell r="P176">
            <v>40.119999999999997</v>
          </cell>
          <cell r="Q176">
            <v>3.9727239999999999</v>
          </cell>
          <cell r="R176" t="e">
            <v>#N/A</v>
          </cell>
        </row>
        <row r="177">
          <cell r="A177">
            <v>39723</v>
          </cell>
          <cell r="B177">
            <v>39723</v>
          </cell>
          <cell r="C177" t="str">
            <v>Past</v>
          </cell>
          <cell r="D177">
            <v>37.130000000000003</v>
          </cell>
          <cell r="E177" t="e">
            <v>#N/A</v>
          </cell>
          <cell r="F177" t="e">
            <v>#N/A</v>
          </cell>
          <cell r="G177" t="e">
            <v>#N/A</v>
          </cell>
          <cell r="H177" t="e">
            <v>#N/A</v>
          </cell>
          <cell r="I177" t="e">
            <v>#N/A</v>
          </cell>
          <cell r="J177" t="e">
            <v>#N/A</v>
          </cell>
          <cell r="K177" t="e">
            <v>#N/A</v>
          </cell>
          <cell r="L177" t="e">
            <v>#N/A</v>
          </cell>
          <cell r="M177" t="e">
            <v>#N/A</v>
          </cell>
          <cell r="N177" t="e">
            <v>#N/A</v>
          </cell>
          <cell r="O177" t="e">
            <v>#N/A</v>
          </cell>
          <cell r="P177">
            <v>37.130000000000003</v>
          </cell>
          <cell r="Q177">
            <v>1.875475</v>
          </cell>
          <cell r="R177" t="e">
            <v>#N/A</v>
          </cell>
        </row>
        <row r="178">
          <cell r="A178">
            <v>39724</v>
          </cell>
          <cell r="B178">
            <v>39724</v>
          </cell>
          <cell r="C178" t="str">
            <v>Past</v>
          </cell>
          <cell r="D178">
            <v>37.090000000000003</v>
          </cell>
          <cell r="E178" t="e">
            <v>#N/A</v>
          </cell>
          <cell r="F178" t="e">
            <v>#N/A</v>
          </cell>
          <cell r="G178" t="e">
            <v>#N/A</v>
          </cell>
          <cell r="H178" t="e">
            <v>#N/A</v>
          </cell>
          <cell r="I178" t="e">
            <v>#N/A</v>
          </cell>
          <cell r="J178" t="e">
            <v>#N/A</v>
          </cell>
          <cell r="K178" t="e">
            <v>#N/A</v>
          </cell>
          <cell r="L178" t="e">
            <v>#N/A</v>
          </cell>
          <cell r="M178" t="e">
            <v>#N/A</v>
          </cell>
          <cell r="N178" t="e">
            <v>#N/A</v>
          </cell>
          <cell r="O178" t="e">
            <v>#N/A</v>
          </cell>
          <cell r="P178">
            <v>37.090000000000003</v>
          </cell>
          <cell r="Q178">
            <v>1.938688</v>
          </cell>
          <cell r="R178" t="e">
            <v>#N/A</v>
          </cell>
        </row>
        <row r="179">
          <cell r="A179">
            <v>39727</v>
          </cell>
          <cell r="B179">
            <v>39727</v>
          </cell>
          <cell r="C179" t="str">
            <v>Past</v>
          </cell>
          <cell r="D179">
            <v>33.86</v>
          </cell>
          <cell r="E179" t="e">
            <v>#N/A</v>
          </cell>
          <cell r="F179" t="e">
            <v>#N/A</v>
          </cell>
          <cell r="G179" t="e">
            <v>#N/A</v>
          </cell>
          <cell r="H179" t="e">
            <v>#N/A</v>
          </cell>
          <cell r="I179" t="e">
            <v>#N/A</v>
          </cell>
          <cell r="J179" t="e">
            <v>#N/A</v>
          </cell>
          <cell r="K179" t="e">
            <v>#N/A</v>
          </cell>
          <cell r="L179" t="e">
            <v>#N/A</v>
          </cell>
          <cell r="M179" t="e">
            <v>#N/A</v>
          </cell>
          <cell r="N179" t="e">
            <v>#N/A</v>
          </cell>
          <cell r="O179" t="e">
            <v>#N/A</v>
          </cell>
          <cell r="P179">
            <v>33.86</v>
          </cell>
          <cell r="Q179">
            <v>2.655106</v>
          </cell>
          <cell r="R179" t="e">
            <v>#N/A</v>
          </cell>
        </row>
        <row r="180">
          <cell r="A180">
            <v>39728</v>
          </cell>
          <cell r="B180">
            <v>39728</v>
          </cell>
          <cell r="C180" t="str">
            <v>Past</v>
          </cell>
          <cell r="D180">
            <v>34.22</v>
          </cell>
          <cell r="E180" t="e">
            <v>#N/A</v>
          </cell>
          <cell r="F180" t="e">
            <v>#N/A</v>
          </cell>
          <cell r="G180" t="e">
            <v>#N/A</v>
          </cell>
          <cell r="H180" t="e">
            <v>#N/A</v>
          </cell>
          <cell r="I180" t="e">
            <v>#N/A</v>
          </cell>
          <cell r="J180" t="e">
            <v>#N/A</v>
          </cell>
          <cell r="K180" t="e">
            <v>#N/A</v>
          </cell>
          <cell r="L180" t="e">
            <v>#N/A</v>
          </cell>
          <cell r="M180" t="e">
            <v>#N/A</v>
          </cell>
          <cell r="N180" t="e">
            <v>#N/A</v>
          </cell>
          <cell r="O180" t="e">
            <v>#N/A</v>
          </cell>
          <cell r="P180">
            <v>34.22</v>
          </cell>
          <cell r="Q180">
            <v>3.9290909999999997</v>
          </cell>
          <cell r="R180" t="e">
            <v>#N/A</v>
          </cell>
        </row>
        <row r="181">
          <cell r="A181">
            <v>39729</v>
          </cell>
          <cell r="B181">
            <v>39729</v>
          </cell>
          <cell r="C181" t="str">
            <v>Past</v>
          </cell>
          <cell r="D181">
            <v>33.74</v>
          </cell>
          <cell r="E181" t="e">
            <v>#N/A</v>
          </cell>
          <cell r="F181" t="e">
            <v>#N/A</v>
          </cell>
          <cell r="G181" t="e">
            <v>#N/A</v>
          </cell>
          <cell r="H181" t="e">
            <v>#N/A</v>
          </cell>
          <cell r="I181" t="e">
            <v>#N/A</v>
          </cell>
          <cell r="J181" t="e">
            <v>#N/A</v>
          </cell>
          <cell r="K181" t="e">
            <v>#N/A</v>
          </cell>
          <cell r="L181" t="e">
            <v>#N/A</v>
          </cell>
          <cell r="M181" t="e">
            <v>#N/A</v>
          </cell>
          <cell r="N181" t="e">
            <v>#N/A</v>
          </cell>
          <cell r="O181" t="e">
            <v>#N/A</v>
          </cell>
          <cell r="P181">
            <v>33.74</v>
          </cell>
          <cell r="Q181">
            <v>2.1836900000000004</v>
          </cell>
          <cell r="R181" t="e">
            <v>#N/A</v>
          </cell>
        </row>
        <row r="182">
          <cell r="A182">
            <v>39730</v>
          </cell>
          <cell r="B182">
            <v>39730</v>
          </cell>
          <cell r="C182" t="str">
            <v>Past</v>
          </cell>
          <cell r="D182">
            <v>31.82</v>
          </cell>
          <cell r="E182" t="e">
            <v>#N/A</v>
          </cell>
          <cell r="F182" t="e">
            <v>#N/A</v>
          </cell>
          <cell r="G182" t="e">
            <v>#N/A</v>
          </cell>
          <cell r="H182" t="e">
            <v>#N/A</v>
          </cell>
          <cell r="I182" t="e">
            <v>#N/A</v>
          </cell>
          <cell r="J182" t="e">
            <v>#N/A</v>
          </cell>
          <cell r="K182" t="e">
            <v>#N/A</v>
          </cell>
          <cell r="L182" t="e">
            <v>#N/A</v>
          </cell>
          <cell r="M182" t="e">
            <v>#N/A</v>
          </cell>
          <cell r="N182" t="e">
            <v>#N/A</v>
          </cell>
          <cell r="O182" t="e">
            <v>#N/A</v>
          </cell>
          <cell r="P182">
            <v>31.82</v>
          </cell>
          <cell r="Q182">
            <v>1.6622000000000001</v>
          </cell>
          <cell r="R182" t="e">
            <v>#N/A</v>
          </cell>
        </row>
        <row r="183">
          <cell r="A183">
            <v>39731</v>
          </cell>
          <cell r="B183">
            <v>39731</v>
          </cell>
          <cell r="C183" t="str">
            <v>Past</v>
          </cell>
          <cell r="D183">
            <v>31.94</v>
          </cell>
          <cell r="E183" t="e">
            <v>#N/A</v>
          </cell>
          <cell r="F183" t="e">
            <v>#N/A</v>
          </cell>
          <cell r="G183" t="e">
            <v>#N/A</v>
          </cell>
          <cell r="H183" t="e">
            <v>#N/A</v>
          </cell>
          <cell r="I183" t="e">
            <v>#N/A</v>
          </cell>
          <cell r="J183" t="e">
            <v>#N/A</v>
          </cell>
          <cell r="K183" t="e">
            <v>#N/A</v>
          </cell>
          <cell r="L183" t="e">
            <v>#N/A</v>
          </cell>
          <cell r="M183" t="e">
            <v>#N/A</v>
          </cell>
          <cell r="N183" t="e">
            <v>#N/A</v>
          </cell>
          <cell r="O183" t="e">
            <v>#N/A</v>
          </cell>
          <cell r="P183">
            <v>31.94</v>
          </cell>
          <cell r="Q183">
            <v>2.6307749999999999</v>
          </cell>
          <cell r="R183" t="e">
            <v>#N/A</v>
          </cell>
        </row>
        <row r="184">
          <cell r="A184">
            <v>39734</v>
          </cell>
          <cell r="B184">
            <v>39734</v>
          </cell>
          <cell r="C184" t="str">
            <v>Past</v>
          </cell>
          <cell r="D184">
            <v>35.119999999999997</v>
          </cell>
          <cell r="E184" t="e">
            <v>#N/A</v>
          </cell>
          <cell r="F184" t="e">
            <v>#N/A</v>
          </cell>
          <cell r="G184" t="e">
            <v>#N/A</v>
          </cell>
          <cell r="H184" t="e">
            <v>#N/A</v>
          </cell>
          <cell r="I184" t="e">
            <v>#N/A</v>
          </cell>
          <cell r="J184" t="e">
            <v>#N/A</v>
          </cell>
          <cell r="K184" t="e">
            <v>#N/A</v>
          </cell>
          <cell r="L184" t="e">
            <v>#N/A</v>
          </cell>
          <cell r="M184" t="e">
            <v>#N/A</v>
          </cell>
          <cell r="N184" t="e">
            <v>#N/A</v>
          </cell>
          <cell r="O184" t="e">
            <v>#N/A</v>
          </cell>
          <cell r="P184">
            <v>35.119999999999997</v>
          </cell>
          <cell r="Q184">
            <v>2.0106859999999998</v>
          </cell>
          <cell r="R184" t="e">
            <v>#N/A</v>
          </cell>
        </row>
        <row r="185">
          <cell r="A185">
            <v>39735</v>
          </cell>
          <cell r="B185">
            <v>39735</v>
          </cell>
          <cell r="C185" t="str">
            <v>Past</v>
          </cell>
          <cell r="D185">
            <v>34.46</v>
          </cell>
          <cell r="E185" t="e">
            <v>#N/A</v>
          </cell>
          <cell r="F185" t="e">
            <v>#N/A</v>
          </cell>
          <cell r="G185" t="e">
            <v>#N/A</v>
          </cell>
          <cell r="H185" t="e">
            <v>#N/A</v>
          </cell>
          <cell r="I185" t="e">
            <v>#N/A</v>
          </cell>
          <cell r="J185" t="e">
            <v>#N/A</v>
          </cell>
          <cell r="K185" t="e">
            <v>#N/A</v>
          </cell>
          <cell r="L185" t="e">
            <v>#N/A</v>
          </cell>
          <cell r="M185" t="e">
            <v>#N/A</v>
          </cell>
          <cell r="N185" t="e">
            <v>#N/A</v>
          </cell>
          <cell r="O185" t="e">
            <v>#N/A</v>
          </cell>
          <cell r="P185">
            <v>34.46</v>
          </cell>
          <cell r="Q185">
            <v>1.8610609999999999</v>
          </cell>
          <cell r="R185" t="e">
            <v>#N/A</v>
          </cell>
        </row>
        <row r="186">
          <cell r="A186">
            <v>39736</v>
          </cell>
          <cell r="B186">
            <v>39736</v>
          </cell>
          <cell r="C186" t="str">
            <v>Past</v>
          </cell>
          <cell r="D186">
            <v>30</v>
          </cell>
          <cell r="E186" t="e">
            <v>#N/A</v>
          </cell>
          <cell r="F186" t="e">
            <v>#N/A</v>
          </cell>
          <cell r="G186" t="e">
            <v>#N/A</v>
          </cell>
          <cell r="H186" t="e">
            <v>#N/A</v>
          </cell>
          <cell r="I186" t="e">
            <v>#N/A</v>
          </cell>
          <cell r="J186" t="e">
            <v>#N/A</v>
          </cell>
          <cell r="K186" t="e">
            <v>#N/A</v>
          </cell>
          <cell r="L186" t="e">
            <v>#N/A</v>
          </cell>
          <cell r="M186" t="e">
            <v>#N/A</v>
          </cell>
          <cell r="N186" t="e">
            <v>#N/A</v>
          </cell>
          <cell r="O186" t="e">
            <v>#N/A</v>
          </cell>
          <cell r="P186">
            <v>30</v>
          </cell>
          <cell r="Q186">
            <v>2.449557</v>
          </cell>
          <cell r="R186" t="e">
            <v>#N/A</v>
          </cell>
        </row>
        <row r="187">
          <cell r="A187">
            <v>39737</v>
          </cell>
          <cell r="B187">
            <v>39737</v>
          </cell>
          <cell r="C187" t="str">
            <v>Past</v>
          </cell>
          <cell r="D187">
            <v>33.19</v>
          </cell>
          <cell r="E187" t="e">
            <v>#N/A</v>
          </cell>
          <cell r="F187" t="e">
            <v>#N/A</v>
          </cell>
          <cell r="G187" t="e">
            <v>#N/A</v>
          </cell>
          <cell r="H187" t="e">
            <v>#N/A</v>
          </cell>
          <cell r="I187" t="e">
            <v>#N/A</v>
          </cell>
          <cell r="J187" t="e">
            <v>#N/A</v>
          </cell>
          <cell r="K187" t="e">
            <v>#N/A</v>
          </cell>
          <cell r="L187" t="e">
            <v>#N/A</v>
          </cell>
          <cell r="M187" t="e">
            <v>#N/A</v>
          </cell>
          <cell r="N187" t="e">
            <v>#N/A</v>
          </cell>
          <cell r="O187" t="e">
            <v>#N/A</v>
          </cell>
          <cell r="P187">
            <v>33.19</v>
          </cell>
          <cell r="Q187">
            <v>3.2420949999999999</v>
          </cell>
          <cell r="R187" t="e">
            <v>#N/A</v>
          </cell>
        </row>
        <row r="188">
          <cell r="A188">
            <v>39738</v>
          </cell>
          <cell r="B188">
            <v>39738</v>
          </cell>
          <cell r="C188" t="str">
            <v>Past</v>
          </cell>
          <cell r="D188">
            <v>31.97</v>
          </cell>
          <cell r="E188" t="e">
            <v>#N/A</v>
          </cell>
          <cell r="F188" t="e">
            <v>#N/A</v>
          </cell>
          <cell r="G188" t="e">
            <v>#N/A</v>
          </cell>
          <cell r="H188" t="e">
            <v>#N/A</v>
          </cell>
          <cell r="I188" t="e">
            <v>#N/A</v>
          </cell>
          <cell r="J188" t="e">
            <v>#N/A</v>
          </cell>
          <cell r="K188" t="e">
            <v>#N/A</v>
          </cell>
          <cell r="L188" t="e">
            <v>#N/A</v>
          </cell>
          <cell r="M188" t="e">
            <v>#N/A</v>
          </cell>
          <cell r="N188" t="e">
            <v>#N/A</v>
          </cell>
          <cell r="O188" t="e">
            <v>#N/A</v>
          </cell>
          <cell r="P188">
            <v>31.97</v>
          </cell>
          <cell r="Q188">
            <v>1.7620800000000001</v>
          </cell>
          <cell r="R188" t="e">
            <v>#N/A</v>
          </cell>
        </row>
        <row r="189">
          <cell r="A189">
            <v>39741</v>
          </cell>
          <cell r="B189">
            <v>39741</v>
          </cell>
          <cell r="C189" t="str">
            <v>Past</v>
          </cell>
          <cell r="D189">
            <v>34.85</v>
          </cell>
          <cell r="E189" t="e">
            <v>#N/A</v>
          </cell>
          <cell r="F189" t="e">
            <v>#N/A</v>
          </cell>
          <cell r="G189" t="e">
            <v>#N/A</v>
          </cell>
          <cell r="H189" t="e">
            <v>#N/A</v>
          </cell>
          <cell r="I189" t="e">
            <v>#N/A</v>
          </cell>
          <cell r="J189" t="e">
            <v>#N/A</v>
          </cell>
          <cell r="K189" t="e">
            <v>#N/A</v>
          </cell>
          <cell r="L189" t="e">
            <v>#N/A</v>
          </cell>
          <cell r="M189" t="e">
            <v>#N/A</v>
          </cell>
          <cell r="N189" t="e">
            <v>#N/A</v>
          </cell>
          <cell r="O189" t="e">
            <v>#N/A</v>
          </cell>
          <cell r="P189">
            <v>34.85</v>
          </cell>
          <cell r="Q189">
            <v>1.801806</v>
          </cell>
          <cell r="R189" t="e">
            <v>#N/A</v>
          </cell>
        </row>
        <row r="190">
          <cell r="A190">
            <v>39742</v>
          </cell>
          <cell r="B190">
            <v>39742</v>
          </cell>
          <cell r="C190" t="str">
            <v>Past</v>
          </cell>
          <cell r="D190">
            <v>33.18</v>
          </cell>
          <cell r="E190" t="e">
            <v>#N/A</v>
          </cell>
          <cell r="F190" t="e">
            <v>#N/A</v>
          </cell>
          <cell r="G190" t="e">
            <v>#N/A</v>
          </cell>
          <cell r="H190" t="e">
            <v>#N/A</v>
          </cell>
          <cell r="I190" t="e">
            <v>#N/A</v>
          </cell>
          <cell r="J190" t="e">
            <v>#N/A</v>
          </cell>
          <cell r="K190" t="e">
            <v>#N/A</v>
          </cell>
          <cell r="L190" t="e">
            <v>#N/A</v>
          </cell>
          <cell r="M190" t="e">
            <v>#N/A</v>
          </cell>
          <cell r="N190" t="e">
            <v>#N/A</v>
          </cell>
          <cell r="O190" t="e">
            <v>#N/A</v>
          </cell>
          <cell r="P190">
            <v>33.18</v>
          </cell>
          <cell r="Q190">
            <v>1.4458519999999999</v>
          </cell>
          <cell r="R190" t="e">
            <v>#N/A</v>
          </cell>
        </row>
        <row r="191">
          <cell r="A191">
            <v>39743</v>
          </cell>
          <cell r="B191">
            <v>39743</v>
          </cell>
          <cell r="C191" t="str">
            <v>Past</v>
          </cell>
          <cell r="D191">
            <v>32.03</v>
          </cell>
          <cell r="E191" t="e">
            <v>#N/A</v>
          </cell>
          <cell r="F191" t="e">
            <v>#N/A</v>
          </cell>
          <cell r="G191" t="e">
            <v>#N/A</v>
          </cell>
          <cell r="H191" t="e">
            <v>#N/A</v>
          </cell>
          <cell r="I191" t="e">
            <v>#N/A</v>
          </cell>
          <cell r="J191" t="e">
            <v>#N/A</v>
          </cell>
          <cell r="K191" t="e">
            <v>#N/A</v>
          </cell>
          <cell r="L191" t="e">
            <v>#N/A</v>
          </cell>
          <cell r="M191" t="e">
            <v>#N/A</v>
          </cell>
          <cell r="N191" t="e">
            <v>#N/A</v>
          </cell>
          <cell r="O191" t="e">
            <v>#N/A</v>
          </cell>
          <cell r="P191">
            <v>32.03</v>
          </cell>
          <cell r="Q191">
            <v>2.0923339999999997</v>
          </cell>
          <cell r="R191" t="e">
            <v>#N/A</v>
          </cell>
        </row>
        <row r="192">
          <cell r="A192">
            <v>39744</v>
          </cell>
          <cell r="B192">
            <v>39744</v>
          </cell>
          <cell r="C192" t="str">
            <v>Past</v>
          </cell>
          <cell r="D192">
            <v>34.799999999999997</v>
          </cell>
          <cell r="E192" t="e">
            <v>#N/A</v>
          </cell>
          <cell r="F192" t="e">
            <v>#N/A</v>
          </cell>
          <cell r="G192" t="e">
            <v>#N/A</v>
          </cell>
          <cell r="H192" t="e">
            <v>#N/A</v>
          </cell>
          <cell r="I192" t="e">
            <v>#N/A</v>
          </cell>
          <cell r="J192" t="e">
            <v>#N/A</v>
          </cell>
          <cell r="K192" t="e">
            <v>#N/A</v>
          </cell>
          <cell r="L192" t="e">
            <v>#N/A</v>
          </cell>
          <cell r="M192" t="e">
            <v>#N/A</v>
          </cell>
          <cell r="N192" t="e">
            <v>#N/A</v>
          </cell>
          <cell r="O192" t="e">
            <v>#N/A</v>
          </cell>
          <cell r="P192">
            <v>34.799999999999997</v>
          </cell>
          <cell r="Q192">
            <v>2.8823000000000003</v>
          </cell>
          <cell r="R192" t="e">
            <v>#N/A</v>
          </cell>
        </row>
        <row r="193">
          <cell r="A193">
            <v>39745</v>
          </cell>
          <cell r="B193">
            <v>39745</v>
          </cell>
          <cell r="C193" t="str">
            <v>Past</v>
          </cell>
          <cell r="D193">
            <v>33.03</v>
          </cell>
          <cell r="E193" t="e">
            <v>#N/A</v>
          </cell>
          <cell r="F193" t="e">
            <v>#N/A</v>
          </cell>
          <cell r="G193" t="e">
            <v>#N/A</v>
          </cell>
          <cell r="H193" t="e">
            <v>#N/A</v>
          </cell>
          <cell r="I193" t="e">
            <v>#N/A</v>
          </cell>
          <cell r="J193" t="e">
            <v>#N/A</v>
          </cell>
          <cell r="K193" t="e">
            <v>#N/A</v>
          </cell>
          <cell r="L193" t="e">
            <v>#N/A</v>
          </cell>
          <cell r="M193" t="e">
            <v>#N/A</v>
          </cell>
          <cell r="N193" t="e">
            <v>#N/A</v>
          </cell>
          <cell r="O193" t="e">
            <v>#N/A</v>
          </cell>
          <cell r="P193">
            <v>33.03</v>
          </cell>
          <cell r="Q193">
            <v>2.5827789999999999</v>
          </cell>
          <cell r="R193" t="e">
            <v>#N/A</v>
          </cell>
        </row>
        <row r="194">
          <cell r="A194">
            <v>39748</v>
          </cell>
          <cell r="B194">
            <v>39748</v>
          </cell>
          <cell r="C194" t="str">
            <v>Past</v>
          </cell>
          <cell r="D194">
            <v>30.9</v>
          </cell>
          <cell r="E194" t="e">
            <v>#N/A</v>
          </cell>
          <cell r="F194" t="e">
            <v>#N/A</v>
          </cell>
          <cell r="G194" t="e">
            <v>#N/A</v>
          </cell>
          <cell r="H194" t="e">
            <v>#N/A</v>
          </cell>
          <cell r="I194" t="e">
            <v>#N/A</v>
          </cell>
          <cell r="J194" t="e">
            <v>#N/A</v>
          </cell>
          <cell r="K194" t="e">
            <v>#N/A</v>
          </cell>
          <cell r="L194" t="e">
            <v>#N/A</v>
          </cell>
          <cell r="M194" t="e">
            <v>#N/A</v>
          </cell>
          <cell r="N194" t="e">
            <v>#N/A</v>
          </cell>
          <cell r="O194" t="e">
            <v>#N/A</v>
          </cell>
          <cell r="P194">
            <v>30.9</v>
          </cell>
          <cell r="Q194">
            <v>2.1401429999999997</v>
          </cell>
          <cell r="R194" t="e">
            <v>#N/A</v>
          </cell>
        </row>
        <row r="195">
          <cell r="A195">
            <v>39749</v>
          </cell>
          <cell r="B195">
            <v>39749</v>
          </cell>
          <cell r="C195" t="str">
            <v>Past</v>
          </cell>
          <cell r="D195">
            <v>35.770000000000003</v>
          </cell>
          <cell r="E195" t="e">
            <v>#N/A</v>
          </cell>
          <cell r="F195" t="e">
            <v>#N/A</v>
          </cell>
          <cell r="G195" t="e">
            <v>#N/A</v>
          </cell>
          <cell r="H195" t="e">
            <v>#N/A</v>
          </cell>
          <cell r="I195" t="e">
            <v>#N/A</v>
          </cell>
          <cell r="J195" t="e">
            <v>#N/A</v>
          </cell>
          <cell r="K195" t="e">
            <v>#N/A</v>
          </cell>
          <cell r="L195" t="e">
            <v>#N/A</v>
          </cell>
          <cell r="M195" t="e">
            <v>#N/A</v>
          </cell>
          <cell r="N195" t="e">
            <v>#N/A</v>
          </cell>
          <cell r="O195" t="e">
            <v>#N/A</v>
          </cell>
          <cell r="P195">
            <v>35.770000000000003</v>
          </cell>
          <cell r="Q195">
            <v>2.4503879999999998</v>
          </cell>
          <cell r="R195" t="e">
            <v>#N/A</v>
          </cell>
        </row>
        <row r="196">
          <cell r="A196">
            <v>39750</v>
          </cell>
          <cell r="B196">
            <v>39750</v>
          </cell>
          <cell r="C196" t="str">
            <v>Past</v>
          </cell>
          <cell r="D196">
            <v>35.869999999999997</v>
          </cell>
          <cell r="E196" t="e">
            <v>#N/A</v>
          </cell>
          <cell r="F196" t="e">
            <v>#N/A</v>
          </cell>
          <cell r="G196" t="e">
            <v>#N/A</v>
          </cell>
          <cell r="H196" t="e">
            <v>#N/A</v>
          </cell>
          <cell r="I196" t="e">
            <v>#N/A</v>
          </cell>
          <cell r="J196" t="e">
            <v>#N/A</v>
          </cell>
          <cell r="K196" t="e">
            <v>#N/A</v>
          </cell>
          <cell r="L196" t="e">
            <v>#N/A</v>
          </cell>
          <cell r="M196" t="e">
            <v>#N/A</v>
          </cell>
          <cell r="N196" t="e">
            <v>#N/A</v>
          </cell>
          <cell r="O196" t="e">
            <v>#N/A</v>
          </cell>
          <cell r="P196">
            <v>35.869999999999997</v>
          </cell>
          <cell r="Q196">
            <v>1.902604</v>
          </cell>
          <cell r="R196" t="e">
            <v>#N/A</v>
          </cell>
        </row>
        <row r="197">
          <cell r="A197">
            <v>39751</v>
          </cell>
          <cell r="B197">
            <v>39751</v>
          </cell>
          <cell r="C197" t="str">
            <v>Past</v>
          </cell>
          <cell r="D197">
            <v>36.950000000000003</v>
          </cell>
          <cell r="E197" t="e">
            <v>#N/A</v>
          </cell>
          <cell r="F197" t="e">
            <v>#N/A</v>
          </cell>
          <cell r="G197" t="e">
            <v>#N/A</v>
          </cell>
          <cell r="H197" t="e">
            <v>#N/A</v>
          </cell>
          <cell r="I197" t="e">
            <v>#N/A</v>
          </cell>
          <cell r="J197" t="e">
            <v>#N/A</v>
          </cell>
          <cell r="K197" t="e">
            <v>#N/A</v>
          </cell>
          <cell r="L197" t="e">
            <v>#N/A</v>
          </cell>
          <cell r="M197" t="e">
            <v>#N/A</v>
          </cell>
          <cell r="N197" t="e">
            <v>#N/A</v>
          </cell>
          <cell r="O197" t="e">
            <v>#N/A</v>
          </cell>
          <cell r="P197">
            <v>36.950000000000003</v>
          </cell>
          <cell r="Q197">
            <v>1.9679800000000001</v>
          </cell>
          <cell r="R197" t="e">
            <v>#N/A</v>
          </cell>
        </row>
        <row r="198">
          <cell r="A198">
            <v>39752</v>
          </cell>
          <cell r="B198">
            <v>39752</v>
          </cell>
          <cell r="C198" t="str">
            <v>Past</v>
          </cell>
          <cell r="D198">
            <v>36.56</v>
          </cell>
          <cell r="E198" t="e">
            <v>#N/A</v>
          </cell>
          <cell r="F198" t="e">
            <v>#N/A</v>
          </cell>
          <cell r="G198" t="e">
            <v>#N/A</v>
          </cell>
          <cell r="H198" t="e">
            <v>#N/A</v>
          </cell>
          <cell r="I198" t="e">
            <v>#N/A</v>
          </cell>
          <cell r="J198" t="e">
            <v>#N/A</v>
          </cell>
          <cell r="K198" t="e">
            <v>#N/A</v>
          </cell>
          <cell r="L198" t="e">
            <v>#N/A</v>
          </cell>
          <cell r="M198" t="e">
            <v>#N/A</v>
          </cell>
          <cell r="N198" t="e">
            <v>#N/A</v>
          </cell>
          <cell r="O198" t="e">
            <v>#N/A</v>
          </cell>
          <cell r="P198">
            <v>36.56</v>
          </cell>
          <cell r="Q198">
            <v>2.4284089999999998</v>
          </cell>
          <cell r="R198" t="e">
            <v>#N/A</v>
          </cell>
        </row>
        <row r="199">
          <cell r="A199">
            <v>39755</v>
          </cell>
          <cell r="B199">
            <v>39755</v>
          </cell>
          <cell r="C199" t="str">
            <v>Past</v>
          </cell>
          <cell r="D199">
            <v>38.049999999999997</v>
          </cell>
          <cell r="E199" t="e">
            <v>#N/A</v>
          </cell>
          <cell r="F199" t="e">
            <v>#N/A</v>
          </cell>
          <cell r="G199" t="e">
            <v>#N/A</v>
          </cell>
          <cell r="H199" t="e">
            <v>#N/A</v>
          </cell>
          <cell r="I199" t="e">
            <v>#N/A</v>
          </cell>
          <cell r="J199" t="e">
            <v>#N/A</v>
          </cell>
          <cell r="K199" t="e">
            <v>#N/A</v>
          </cell>
          <cell r="L199" t="e">
            <v>#N/A</v>
          </cell>
          <cell r="M199" t="e">
            <v>#N/A</v>
          </cell>
          <cell r="N199" t="e">
            <v>#N/A</v>
          </cell>
          <cell r="O199" t="e">
            <v>#N/A</v>
          </cell>
          <cell r="P199">
            <v>38.049999999999997</v>
          </cell>
          <cell r="Q199">
            <v>1.9575200000000001</v>
          </cell>
          <cell r="R199" t="e">
            <v>#N/A</v>
          </cell>
        </row>
        <row r="200">
          <cell r="A200">
            <v>39756</v>
          </cell>
          <cell r="B200">
            <v>39756</v>
          </cell>
          <cell r="C200" t="str">
            <v>Past</v>
          </cell>
          <cell r="D200">
            <v>39.85</v>
          </cell>
          <cell r="E200" t="e">
            <v>#N/A</v>
          </cell>
          <cell r="F200" t="e">
            <v>#N/A</v>
          </cell>
          <cell r="G200" t="e">
            <v>#N/A</v>
          </cell>
          <cell r="H200" t="e">
            <v>#N/A</v>
          </cell>
          <cell r="I200" t="e">
            <v>#N/A</v>
          </cell>
          <cell r="J200" t="e">
            <v>#N/A</v>
          </cell>
          <cell r="K200" t="e">
            <v>#N/A</v>
          </cell>
          <cell r="L200" t="e">
            <v>#N/A</v>
          </cell>
          <cell r="M200" t="e">
            <v>#N/A</v>
          </cell>
          <cell r="N200" t="e">
            <v>#N/A</v>
          </cell>
          <cell r="O200" t="e">
            <v>#N/A</v>
          </cell>
          <cell r="P200">
            <v>39.85</v>
          </cell>
          <cell r="Q200">
            <v>2.2860500000000004</v>
          </cell>
          <cell r="R200" t="e">
            <v>#N/A</v>
          </cell>
        </row>
        <row r="201">
          <cell r="A201">
            <v>39757</v>
          </cell>
          <cell r="B201">
            <v>39757</v>
          </cell>
          <cell r="C201" t="str">
            <v>Past</v>
          </cell>
          <cell r="D201">
            <v>36.93</v>
          </cell>
          <cell r="E201" t="e">
            <v>#N/A</v>
          </cell>
          <cell r="F201" t="e">
            <v>#N/A</v>
          </cell>
          <cell r="G201" t="e">
            <v>#N/A</v>
          </cell>
          <cell r="H201" t="e">
            <v>#N/A</v>
          </cell>
          <cell r="I201" t="e">
            <v>#N/A</v>
          </cell>
          <cell r="J201" t="e">
            <v>#N/A</v>
          </cell>
          <cell r="K201" t="e">
            <v>#N/A</v>
          </cell>
          <cell r="L201" t="e">
            <v>#N/A</v>
          </cell>
          <cell r="M201" t="e">
            <v>#N/A</v>
          </cell>
          <cell r="N201" t="e">
            <v>#N/A</v>
          </cell>
          <cell r="O201" t="e">
            <v>#N/A</v>
          </cell>
          <cell r="P201">
            <v>36.93</v>
          </cell>
          <cell r="Q201">
            <v>1.948888</v>
          </cell>
          <cell r="R201" t="e">
            <v>#N/A</v>
          </cell>
        </row>
        <row r="202">
          <cell r="A202">
            <v>39758</v>
          </cell>
          <cell r="B202">
            <v>39758</v>
          </cell>
          <cell r="C202" t="str">
            <v>Past</v>
          </cell>
          <cell r="D202">
            <v>34.29</v>
          </cell>
          <cell r="E202" t="e">
            <v>#N/A</v>
          </cell>
          <cell r="F202" t="e">
            <v>#N/A</v>
          </cell>
          <cell r="G202" t="e">
            <v>#N/A</v>
          </cell>
          <cell r="H202" t="e">
            <v>#N/A</v>
          </cell>
          <cell r="I202" t="e">
            <v>#N/A</v>
          </cell>
          <cell r="J202" t="e">
            <v>#N/A</v>
          </cell>
          <cell r="K202" t="e">
            <v>#N/A</v>
          </cell>
          <cell r="L202" t="e">
            <v>#N/A</v>
          </cell>
          <cell r="M202" t="e">
            <v>#N/A</v>
          </cell>
          <cell r="N202" t="e">
            <v>#N/A</v>
          </cell>
          <cell r="O202" t="e">
            <v>#N/A</v>
          </cell>
          <cell r="P202">
            <v>34.29</v>
          </cell>
          <cell r="Q202">
            <v>1.5476669999999999</v>
          </cell>
          <cell r="R202" t="e">
            <v>#N/A</v>
          </cell>
        </row>
        <row r="203">
          <cell r="A203">
            <v>39759</v>
          </cell>
          <cell r="B203">
            <v>39759</v>
          </cell>
          <cell r="C203" t="str">
            <v>Past</v>
          </cell>
          <cell r="D203">
            <v>35.19</v>
          </cell>
          <cell r="E203" t="e">
            <v>#N/A</v>
          </cell>
          <cell r="F203" t="e">
            <v>#N/A</v>
          </cell>
          <cell r="G203" t="e">
            <v>#N/A</v>
          </cell>
          <cell r="H203" t="e">
            <v>#N/A</v>
          </cell>
          <cell r="I203" t="e">
            <v>#N/A</v>
          </cell>
          <cell r="J203" t="e">
            <v>#N/A</v>
          </cell>
          <cell r="K203" t="e">
            <v>#N/A</v>
          </cell>
          <cell r="L203" t="e">
            <v>#N/A</v>
          </cell>
          <cell r="M203" t="e">
            <v>#N/A</v>
          </cell>
          <cell r="N203" t="e">
            <v>#N/A</v>
          </cell>
          <cell r="O203" t="e">
            <v>#N/A</v>
          </cell>
          <cell r="P203">
            <v>35.19</v>
          </cell>
          <cell r="Q203">
            <v>0.99650699999999992</v>
          </cell>
          <cell r="R203" t="e">
            <v>#N/A</v>
          </cell>
        </row>
        <row r="204">
          <cell r="A204">
            <v>39762</v>
          </cell>
          <cell r="B204">
            <v>39762</v>
          </cell>
          <cell r="C204" t="str">
            <v>Past</v>
          </cell>
          <cell r="D204">
            <v>34.5</v>
          </cell>
          <cell r="E204" t="e">
            <v>#N/A</v>
          </cell>
          <cell r="F204" t="e">
            <v>#N/A</v>
          </cell>
          <cell r="G204" t="e">
            <v>#N/A</v>
          </cell>
          <cell r="H204" t="e">
            <v>#N/A</v>
          </cell>
          <cell r="I204" t="e">
            <v>#N/A</v>
          </cell>
          <cell r="J204" t="e">
            <v>#N/A</v>
          </cell>
          <cell r="K204" t="e">
            <v>#N/A</v>
          </cell>
          <cell r="L204" t="e">
            <v>#N/A</v>
          </cell>
          <cell r="M204" t="e">
            <v>#N/A</v>
          </cell>
          <cell r="N204" t="e">
            <v>#N/A</v>
          </cell>
          <cell r="O204" t="e">
            <v>#N/A</v>
          </cell>
          <cell r="P204">
            <v>34.5</v>
          </cell>
          <cell r="Q204">
            <v>1.0579369999999999</v>
          </cell>
          <cell r="R204" t="e">
            <v>#N/A</v>
          </cell>
        </row>
        <row r="205">
          <cell r="A205">
            <v>39763</v>
          </cell>
          <cell r="B205">
            <v>39763</v>
          </cell>
          <cell r="C205" t="str">
            <v>Past</v>
          </cell>
          <cell r="D205">
            <v>33.369999999999997</v>
          </cell>
          <cell r="E205" t="e">
            <v>#N/A</v>
          </cell>
          <cell r="F205" t="e">
            <v>#N/A</v>
          </cell>
          <cell r="G205" t="e">
            <v>#N/A</v>
          </cell>
          <cell r="H205" t="e">
            <v>#N/A</v>
          </cell>
          <cell r="I205" t="e">
            <v>#N/A</v>
          </cell>
          <cell r="J205" t="e">
            <v>#N/A</v>
          </cell>
          <cell r="K205" t="e">
            <v>#N/A</v>
          </cell>
          <cell r="L205" t="e">
            <v>#N/A</v>
          </cell>
          <cell r="M205" t="e">
            <v>#N/A</v>
          </cell>
          <cell r="N205" t="e">
            <v>#N/A</v>
          </cell>
          <cell r="O205" t="e">
            <v>#N/A</v>
          </cell>
          <cell r="P205">
            <v>33.369999999999997</v>
          </cell>
          <cell r="Q205">
            <v>1.1043000000000001</v>
          </cell>
          <cell r="R205" t="e">
            <v>#N/A</v>
          </cell>
        </row>
        <row r="206">
          <cell r="A206">
            <v>39764</v>
          </cell>
          <cell r="B206">
            <v>39764</v>
          </cell>
          <cell r="C206" t="str">
            <v>Past</v>
          </cell>
          <cell r="D206">
            <v>32.29</v>
          </cell>
          <cell r="E206" t="e">
            <v>#N/A</v>
          </cell>
          <cell r="F206" t="e">
            <v>#N/A</v>
          </cell>
          <cell r="G206" t="e">
            <v>#N/A</v>
          </cell>
          <cell r="H206" t="e">
            <v>#N/A</v>
          </cell>
          <cell r="I206" t="e">
            <v>#N/A</v>
          </cell>
          <cell r="J206" t="e">
            <v>#N/A</v>
          </cell>
          <cell r="K206" t="e">
            <v>#N/A</v>
          </cell>
          <cell r="L206" t="e">
            <v>#N/A</v>
          </cell>
          <cell r="M206" t="e">
            <v>#N/A</v>
          </cell>
          <cell r="N206" t="e">
            <v>#N/A</v>
          </cell>
          <cell r="O206" t="e">
            <v>#N/A</v>
          </cell>
          <cell r="P206">
            <v>32.29</v>
          </cell>
          <cell r="Q206">
            <v>1.080794</v>
          </cell>
          <cell r="R206" t="e">
            <v>#N/A</v>
          </cell>
        </row>
        <row r="207">
          <cell r="A207">
            <v>39765</v>
          </cell>
          <cell r="B207">
            <v>39765</v>
          </cell>
          <cell r="C207" t="str">
            <v>Past</v>
          </cell>
          <cell r="D207">
            <v>33.49</v>
          </cell>
          <cell r="E207" t="e">
            <v>#N/A</v>
          </cell>
          <cell r="F207" t="e">
            <v>#N/A</v>
          </cell>
          <cell r="G207" t="e">
            <v>#N/A</v>
          </cell>
          <cell r="H207" t="e">
            <v>#N/A</v>
          </cell>
          <cell r="I207" t="e">
            <v>#N/A</v>
          </cell>
          <cell r="J207" t="e">
            <v>#N/A</v>
          </cell>
          <cell r="K207" t="e">
            <v>#N/A</v>
          </cell>
          <cell r="L207" t="e">
            <v>#N/A</v>
          </cell>
          <cell r="M207" t="e">
            <v>#N/A</v>
          </cell>
          <cell r="N207" t="e">
            <v>#N/A</v>
          </cell>
          <cell r="O207" t="e">
            <v>#N/A</v>
          </cell>
          <cell r="P207">
            <v>33.49</v>
          </cell>
          <cell r="Q207">
            <v>2.1120950000000001</v>
          </cell>
          <cell r="R207" t="e">
            <v>#N/A</v>
          </cell>
        </row>
        <row r="208">
          <cell r="A208">
            <v>39766</v>
          </cell>
          <cell r="B208">
            <v>39766</v>
          </cell>
          <cell r="C208" t="str">
            <v>Past</v>
          </cell>
          <cell r="D208">
            <v>32.08</v>
          </cell>
          <cell r="E208" t="e">
            <v>#N/A</v>
          </cell>
          <cell r="F208" t="e">
            <v>#N/A</v>
          </cell>
          <cell r="G208" t="e">
            <v>#N/A</v>
          </cell>
          <cell r="H208" t="e">
            <v>#N/A</v>
          </cell>
          <cell r="I208" t="e">
            <v>#N/A</v>
          </cell>
          <cell r="J208" t="e">
            <v>#N/A</v>
          </cell>
          <cell r="K208" t="e">
            <v>#N/A</v>
          </cell>
          <cell r="L208" t="e">
            <v>#N/A</v>
          </cell>
          <cell r="M208" t="e">
            <v>#N/A</v>
          </cell>
          <cell r="N208" t="e">
            <v>#N/A</v>
          </cell>
          <cell r="O208" t="e">
            <v>#N/A</v>
          </cell>
          <cell r="P208">
            <v>32.08</v>
          </cell>
          <cell r="Q208">
            <v>1.119764</v>
          </cell>
          <cell r="R208" t="e">
            <v>#N/A</v>
          </cell>
        </row>
        <row r="209">
          <cell r="A209">
            <v>39769</v>
          </cell>
          <cell r="B209">
            <v>39769</v>
          </cell>
          <cell r="C209" t="str">
            <v>Past</v>
          </cell>
          <cell r="D209">
            <v>30.83</v>
          </cell>
          <cell r="E209" t="e">
            <v>#N/A</v>
          </cell>
          <cell r="F209" t="e">
            <v>#N/A</v>
          </cell>
          <cell r="G209" t="e">
            <v>#N/A</v>
          </cell>
          <cell r="H209" t="e">
            <v>#N/A</v>
          </cell>
          <cell r="I209" t="e">
            <v>#N/A</v>
          </cell>
          <cell r="J209" t="e">
            <v>#N/A</v>
          </cell>
          <cell r="K209" t="e">
            <v>#N/A</v>
          </cell>
          <cell r="L209" t="e">
            <v>#N/A</v>
          </cell>
          <cell r="M209" t="e">
            <v>#N/A</v>
          </cell>
          <cell r="N209" t="e">
            <v>#N/A</v>
          </cell>
          <cell r="O209" t="e">
            <v>#N/A</v>
          </cell>
          <cell r="P209">
            <v>30.83</v>
          </cell>
          <cell r="Q209">
            <v>0.99315199999999992</v>
          </cell>
          <cell r="R209" t="e">
            <v>#N/A</v>
          </cell>
        </row>
        <row r="210">
          <cell r="A210">
            <v>39770</v>
          </cell>
          <cell r="B210">
            <v>39770</v>
          </cell>
          <cell r="C210" t="str">
            <v>Past</v>
          </cell>
          <cell r="D210">
            <v>30.09</v>
          </cell>
          <cell r="E210" t="e">
            <v>#N/A</v>
          </cell>
          <cell r="F210" t="e">
            <v>#N/A</v>
          </cell>
          <cell r="G210" t="e">
            <v>#N/A</v>
          </cell>
          <cell r="H210" t="e">
            <v>#N/A</v>
          </cell>
          <cell r="I210" t="e">
            <v>#N/A</v>
          </cell>
          <cell r="J210" t="e">
            <v>#N/A</v>
          </cell>
          <cell r="K210" t="e">
            <v>#N/A</v>
          </cell>
          <cell r="L210" t="e">
            <v>#N/A</v>
          </cell>
          <cell r="M210" t="e">
            <v>#N/A</v>
          </cell>
          <cell r="N210" t="e">
            <v>#N/A</v>
          </cell>
          <cell r="O210" t="e">
            <v>#N/A</v>
          </cell>
          <cell r="P210">
            <v>30.09</v>
          </cell>
          <cell r="Q210">
            <v>2.2322000000000002</v>
          </cell>
          <cell r="R210" t="e">
            <v>#N/A</v>
          </cell>
        </row>
        <row r="211">
          <cell r="A211">
            <v>39771</v>
          </cell>
          <cell r="B211">
            <v>39771</v>
          </cell>
          <cell r="C211" t="str">
            <v>Past</v>
          </cell>
          <cell r="D211">
            <v>27.84</v>
          </cell>
          <cell r="E211" t="e">
            <v>#N/A</v>
          </cell>
          <cell r="F211" t="e">
            <v>#N/A</v>
          </cell>
          <cell r="G211" t="e">
            <v>#N/A</v>
          </cell>
          <cell r="H211" t="e">
            <v>#N/A</v>
          </cell>
          <cell r="I211" t="e">
            <v>#N/A</v>
          </cell>
          <cell r="J211" t="e">
            <v>#N/A</v>
          </cell>
          <cell r="K211" t="e">
            <v>#N/A</v>
          </cell>
          <cell r="L211" t="e">
            <v>#N/A</v>
          </cell>
          <cell r="M211" t="e">
            <v>#N/A</v>
          </cell>
          <cell r="N211" t="e">
            <v>#N/A</v>
          </cell>
          <cell r="O211" t="e">
            <v>#N/A</v>
          </cell>
          <cell r="P211">
            <v>27.84</v>
          </cell>
          <cell r="Q211">
            <v>1.8709669999999998</v>
          </cell>
          <cell r="R211" t="e">
            <v>#N/A</v>
          </cell>
        </row>
        <row r="212">
          <cell r="A212">
            <v>39772</v>
          </cell>
          <cell r="B212">
            <v>39772</v>
          </cell>
          <cell r="C212" t="str">
            <v>Past</v>
          </cell>
          <cell r="D212">
            <v>26.51</v>
          </cell>
          <cell r="E212" t="e">
            <v>#N/A</v>
          </cell>
          <cell r="F212" t="e">
            <v>#N/A</v>
          </cell>
          <cell r="G212" t="e">
            <v>#N/A</v>
          </cell>
          <cell r="H212" t="e">
            <v>#N/A</v>
          </cell>
          <cell r="I212" t="e">
            <v>#N/A</v>
          </cell>
          <cell r="J212" t="e">
            <v>#N/A</v>
          </cell>
          <cell r="K212" t="e">
            <v>#N/A</v>
          </cell>
          <cell r="L212" t="e">
            <v>#N/A</v>
          </cell>
          <cell r="M212" t="e">
            <v>#N/A</v>
          </cell>
          <cell r="N212" t="e">
            <v>#N/A</v>
          </cell>
          <cell r="O212" t="e">
            <v>#N/A</v>
          </cell>
          <cell r="P212">
            <v>26.51</v>
          </cell>
          <cell r="Q212">
            <v>1.778789</v>
          </cell>
          <cell r="R212" t="e">
            <v>#N/A</v>
          </cell>
        </row>
        <row r="213">
          <cell r="A213">
            <v>39773</v>
          </cell>
          <cell r="B213">
            <v>39773</v>
          </cell>
          <cell r="C213" t="str">
            <v>Past</v>
          </cell>
          <cell r="D213">
            <v>28.13</v>
          </cell>
          <cell r="E213" t="e">
            <v>#N/A</v>
          </cell>
          <cell r="F213" t="e">
            <v>#N/A</v>
          </cell>
          <cell r="G213" t="e">
            <v>#N/A</v>
          </cell>
          <cell r="H213" t="e">
            <v>#N/A</v>
          </cell>
          <cell r="I213" t="e">
            <v>#N/A</v>
          </cell>
          <cell r="J213" t="e">
            <v>#N/A</v>
          </cell>
          <cell r="K213" t="e">
            <v>#N/A</v>
          </cell>
          <cell r="L213" t="e">
            <v>#N/A</v>
          </cell>
          <cell r="M213" t="e">
            <v>#N/A</v>
          </cell>
          <cell r="N213" t="e">
            <v>#N/A</v>
          </cell>
          <cell r="O213" t="e">
            <v>#N/A</v>
          </cell>
          <cell r="P213">
            <v>28.13</v>
          </cell>
          <cell r="Q213">
            <v>1.9406029999999999</v>
          </cell>
          <cell r="R213" t="e">
            <v>#N/A</v>
          </cell>
        </row>
        <row r="214">
          <cell r="A214">
            <v>39776</v>
          </cell>
          <cell r="B214">
            <v>39776</v>
          </cell>
          <cell r="C214" t="str">
            <v>Past</v>
          </cell>
          <cell r="D214">
            <v>30.08</v>
          </cell>
          <cell r="E214" t="e">
            <v>#N/A</v>
          </cell>
          <cell r="F214" t="e">
            <v>#N/A</v>
          </cell>
          <cell r="G214" t="e">
            <v>#N/A</v>
          </cell>
          <cell r="H214" t="e">
            <v>#N/A</v>
          </cell>
          <cell r="I214" t="e">
            <v>#N/A</v>
          </cell>
          <cell r="J214" t="e">
            <v>#N/A</v>
          </cell>
          <cell r="K214" t="e">
            <v>#N/A</v>
          </cell>
          <cell r="L214" t="e">
            <v>#N/A</v>
          </cell>
          <cell r="M214" t="e">
            <v>#N/A</v>
          </cell>
          <cell r="N214" t="e">
            <v>#N/A</v>
          </cell>
          <cell r="O214" t="e">
            <v>#N/A</v>
          </cell>
          <cell r="P214">
            <v>30.08</v>
          </cell>
          <cell r="Q214">
            <v>2.3064939999999998</v>
          </cell>
          <cell r="R214" t="e">
            <v>#N/A</v>
          </cell>
        </row>
        <row r="215">
          <cell r="A215">
            <v>39777</v>
          </cell>
          <cell r="B215">
            <v>39777</v>
          </cell>
          <cell r="C215" t="str">
            <v>Past</v>
          </cell>
          <cell r="D215">
            <v>30.7</v>
          </cell>
          <cell r="E215" t="e">
            <v>#N/A</v>
          </cell>
          <cell r="F215" t="e">
            <v>#N/A</v>
          </cell>
          <cell r="G215" t="e">
            <v>#N/A</v>
          </cell>
          <cell r="H215" t="e">
            <v>#N/A</v>
          </cell>
          <cell r="I215" t="e">
            <v>#N/A</v>
          </cell>
          <cell r="J215" t="e">
            <v>#N/A</v>
          </cell>
          <cell r="K215" t="e">
            <v>#N/A</v>
          </cell>
          <cell r="L215" t="e">
            <v>#N/A</v>
          </cell>
          <cell r="M215" t="e">
            <v>#N/A</v>
          </cell>
          <cell r="N215" t="e">
            <v>#N/A</v>
          </cell>
          <cell r="O215" t="e">
            <v>#N/A</v>
          </cell>
          <cell r="P215">
            <v>30.7</v>
          </cell>
          <cell r="Q215">
            <v>1.7402949999999999</v>
          </cell>
          <cell r="R215" t="e">
            <v>#N/A</v>
          </cell>
        </row>
        <row r="216">
          <cell r="A216">
            <v>39778</v>
          </cell>
          <cell r="B216">
            <v>39778</v>
          </cell>
          <cell r="C216" t="str">
            <v>Past</v>
          </cell>
          <cell r="D216">
            <v>32.479999999999997</v>
          </cell>
          <cell r="E216" t="e">
            <v>#N/A</v>
          </cell>
          <cell r="F216" t="e">
            <v>#N/A</v>
          </cell>
          <cell r="G216" t="e">
            <v>#N/A</v>
          </cell>
          <cell r="H216" t="e">
            <v>#N/A</v>
          </cell>
          <cell r="I216" t="e">
            <v>#N/A</v>
          </cell>
          <cell r="J216" t="e">
            <v>#N/A</v>
          </cell>
          <cell r="K216" t="e">
            <v>#N/A</v>
          </cell>
          <cell r="L216" t="e">
            <v>#N/A</v>
          </cell>
          <cell r="M216" t="e">
            <v>#N/A</v>
          </cell>
          <cell r="N216" t="e">
            <v>#N/A</v>
          </cell>
          <cell r="O216" t="e">
            <v>#N/A</v>
          </cell>
          <cell r="P216">
            <v>32.479999999999997</v>
          </cell>
          <cell r="Q216">
            <v>1.9790189999999999</v>
          </cell>
          <cell r="R216" t="e">
            <v>#N/A</v>
          </cell>
        </row>
        <row r="217">
          <cell r="A217">
            <v>39780</v>
          </cell>
          <cell r="B217">
            <v>39780</v>
          </cell>
          <cell r="C217" t="str">
            <v>Past</v>
          </cell>
          <cell r="D217">
            <v>33.65</v>
          </cell>
          <cell r="E217" t="e">
            <v>#N/A</v>
          </cell>
          <cell r="F217" t="e">
            <v>#N/A</v>
          </cell>
          <cell r="G217" t="e">
            <v>#N/A</v>
          </cell>
          <cell r="H217" t="e">
            <v>#N/A</v>
          </cell>
          <cell r="I217" t="e">
            <v>#N/A</v>
          </cell>
          <cell r="J217" t="e">
            <v>#N/A</v>
          </cell>
          <cell r="K217" t="e">
            <v>#N/A</v>
          </cell>
          <cell r="L217" t="e">
            <v>#N/A</v>
          </cell>
          <cell r="M217" t="e">
            <v>#N/A</v>
          </cell>
          <cell r="N217" t="e">
            <v>#N/A</v>
          </cell>
          <cell r="O217" t="e">
            <v>#N/A</v>
          </cell>
          <cell r="P217">
            <v>33.65</v>
          </cell>
          <cell r="Q217">
            <v>0.53634000000000004</v>
          </cell>
          <cell r="R217" t="e">
            <v>#N/A</v>
          </cell>
        </row>
        <row r="218">
          <cell r="A218">
            <v>39783</v>
          </cell>
          <cell r="B218">
            <v>39783</v>
          </cell>
          <cell r="C218" t="str">
            <v>Past</v>
          </cell>
          <cell r="D218">
            <v>30.95</v>
          </cell>
          <cell r="E218" t="e">
            <v>#N/A</v>
          </cell>
          <cell r="F218" t="e">
            <v>#N/A</v>
          </cell>
          <cell r="G218" t="e">
            <v>#N/A</v>
          </cell>
          <cell r="H218" t="e">
            <v>#N/A</v>
          </cell>
          <cell r="I218" t="e">
            <v>#N/A</v>
          </cell>
          <cell r="J218" t="e">
            <v>#N/A</v>
          </cell>
          <cell r="K218" t="e">
            <v>#N/A</v>
          </cell>
          <cell r="L218" t="e">
            <v>#N/A</v>
          </cell>
          <cell r="M218" t="e">
            <v>#N/A</v>
          </cell>
          <cell r="N218" t="e">
            <v>#N/A</v>
          </cell>
          <cell r="O218" t="e">
            <v>#N/A</v>
          </cell>
          <cell r="P218">
            <v>30.95</v>
          </cell>
          <cell r="Q218">
            <v>2.0541419999999997</v>
          </cell>
          <cell r="R218" t="e">
            <v>#N/A</v>
          </cell>
        </row>
        <row r="219">
          <cell r="A219">
            <v>39784</v>
          </cell>
          <cell r="B219">
            <v>39784</v>
          </cell>
          <cell r="C219" t="str">
            <v>Past</v>
          </cell>
          <cell r="D219">
            <v>32.15</v>
          </cell>
          <cell r="E219" t="e">
            <v>#N/A</v>
          </cell>
          <cell r="F219" t="e">
            <v>#N/A</v>
          </cell>
          <cell r="G219" t="e">
            <v>#N/A</v>
          </cell>
          <cell r="H219" t="e">
            <v>#N/A</v>
          </cell>
          <cell r="I219" t="e">
            <v>#N/A</v>
          </cell>
          <cell r="J219" t="e">
            <v>#N/A</v>
          </cell>
          <cell r="K219" t="e">
            <v>#N/A</v>
          </cell>
          <cell r="L219" t="e">
            <v>#N/A</v>
          </cell>
          <cell r="M219" t="e">
            <v>#N/A</v>
          </cell>
          <cell r="N219" t="e">
            <v>#N/A</v>
          </cell>
          <cell r="O219" t="e">
            <v>#N/A</v>
          </cell>
          <cell r="P219">
            <v>32.15</v>
          </cell>
          <cell r="Q219">
            <v>2.6506189999999998</v>
          </cell>
          <cell r="R219" t="e">
            <v>#N/A</v>
          </cell>
        </row>
        <row r="220">
          <cell r="A220">
            <v>39785</v>
          </cell>
          <cell r="B220">
            <v>39785</v>
          </cell>
          <cell r="C220" t="str">
            <v>Past</v>
          </cell>
          <cell r="D220">
            <v>32.64</v>
          </cell>
          <cell r="E220" t="e">
            <v>#N/A</v>
          </cell>
          <cell r="F220" t="e">
            <v>#N/A</v>
          </cell>
          <cell r="G220" t="e">
            <v>#N/A</v>
          </cell>
          <cell r="H220" t="e">
            <v>#N/A</v>
          </cell>
          <cell r="I220" t="e">
            <v>#N/A</v>
          </cell>
          <cell r="J220" t="e">
            <v>#N/A</v>
          </cell>
          <cell r="K220" t="e">
            <v>#N/A</v>
          </cell>
          <cell r="L220" t="e">
            <v>#N/A</v>
          </cell>
          <cell r="M220" t="e">
            <v>#N/A</v>
          </cell>
          <cell r="N220" t="e">
            <v>#N/A</v>
          </cell>
          <cell r="O220" t="e">
            <v>#N/A</v>
          </cell>
          <cell r="P220">
            <v>32.64</v>
          </cell>
          <cell r="Q220">
            <v>1.7129100000000002</v>
          </cell>
          <cell r="R220" t="e">
            <v>#N/A</v>
          </cell>
        </row>
        <row r="221">
          <cell r="A221">
            <v>39786</v>
          </cell>
          <cell r="B221">
            <v>39786</v>
          </cell>
          <cell r="C221" t="str">
            <v>Past</v>
          </cell>
          <cell r="D221">
            <v>31.93</v>
          </cell>
          <cell r="E221" t="e">
            <v>#N/A</v>
          </cell>
          <cell r="F221" t="e">
            <v>#N/A</v>
          </cell>
          <cell r="G221" t="e">
            <v>#N/A</v>
          </cell>
          <cell r="H221" t="e">
            <v>#N/A</v>
          </cell>
          <cell r="I221" t="e">
            <v>#N/A</v>
          </cell>
          <cell r="J221" t="e">
            <v>#N/A</v>
          </cell>
          <cell r="K221" t="e">
            <v>#N/A</v>
          </cell>
          <cell r="L221" t="e">
            <v>#N/A</v>
          </cell>
          <cell r="M221" t="e">
            <v>#N/A</v>
          </cell>
          <cell r="N221" t="e">
            <v>#N/A</v>
          </cell>
          <cell r="O221" t="e">
            <v>#N/A</v>
          </cell>
          <cell r="P221">
            <v>31.93</v>
          </cell>
          <cell r="Q221">
            <v>1.701263</v>
          </cell>
          <cell r="R221" t="e">
            <v>#N/A</v>
          </cell>
        </row>
        <row r="222">
          <cell r="A222">
            <v>39787</v>
          </cell>
          <cell r="B222">
            <v>39787</v>
          </cell>
          <cell r="C222" t="str">
            <v>Past</v>
          </cell>
          <cell r="D222">
            <v>33.46</v>
          </cell>
          <cell r="E222" t="e">
            <v>#N/A</v>
          </cell>
          <cell r="F222" t="e">
            <v>#N/A</v>
          </cell>
          <cell r="G222" t="e">
            <v>#N/A</v>
          </cell>
          <cell r="H222" t="e">
            <v>#N/A</v>
          </cell>
          <cell r="I222" t="e">
            <v>#N/A</v>
          </cell>
          <cell r="J222" t="e">
            <v>#N/A</v>
          </cell>
          <cell r="K222" t="e">
            <v>#N/A</v>
          </cell>
          <cell r="L222" t="e">
            <v>#N/A</v>
          </cell>
          <cell r="M222" t="e">
            <v>#N/A</v>
          </cell>
          <cell r="N222" t="e">
            <v>#N/A</v>
          </cell>
          <cell r="O222" t="e">
            <v>#N/A</v>
          </cell>
          <cell r="P222">
            <v>33.46</v>
          </cell>
          <cell r="Q222">
            <v>1.635526</v>
          </cell>
          <cell r="R222" t="e">
            <v>#N/A</v>
          </cell>
        </row>
        <row r="223">
          <cell r="A223">
            <v>39790</v>
          </cell>
          <cell r="B223">
            <v>39790</v>
          </cell>
          <cell r="C223" t="str">
            <v>Past</v>
          </cell>
          <cell r="D223">
            <v>34.89</v>
          </cell>
          <cell r="E223" t="e">
            <v>#N/A</v>
          </cell>
          <cell r="F223" t="e">
            <v>#N/A</v>
          </cell>
          <cell r="G223" t="e">
            <v>#N/A</v>
          </cell>
          <cell r="H223" t="e">
            <v>#N/A</v>
          </cell>
          <cell r="I223" t="e">
            <v>#N/A</v>
          </cell>
          <cell r="J223" t="e">
            <v>#N/A</v>
          </cell>
          <cell r="K223" t="e">
            <v>#N/A</v>
          </cell>
          <cell r="L223" t="e">
            <v>#N/A</v>
          </cell>
          <cell r="M223" t="e">
            <v>#N/A</v>
          </cell>
          <cell r="N223" t="e">
            <v>#N/A</v>
          </cell>
          <cell r="O223" t="e">
            <v>#N/A</v>
          </cell>
          <cell r="P223">
            <v>34.89</v>
          </cell>
          <cell r="Q223">
            <v>1.4074800000000001</v>
          </cell>
          <cell r="R223" t="e">
            <v>#N/A</v>
          </cell>
        </row>
        <row r="224">
          <cell r="A224">
            <v>39791</v>
          </cell>
          <cell r="B224">
            <v>39791</v>
          </cell>
          <cell r="C224" t="str">
            <v>Past</v>
          </cell>
          <cell r="D224">
            <v>34.94</v>
          </cell>
          <cell r="E224" t="e">
            <v>#N/A</v>
          </cell>
          <cell r="F224" t="e">
            <v>#N/A</v>
          </cell>
          <cell r="G224" t="e">
            <v>#N/A</v>
          </cell>
          <cell r="H224" t="e">
            <v>#N/A</v>
          </cell>
          <cell r="I224" t="e">
            <v>#N/A</v>
          </cell>
          <cell r="J224" t="e">
            <v>#N/A</v>
          </cell>
          <cell r="K224" t="e">
            <v>#N/A</v>
          </cell>
          <cell r="L224" t="e">
            <v>#N/A</v>
          </cell>
          <cell r="M224" t="e">
            <v>#N/A</v>
          </cell>
          <cell r="N224" t="e">
            <v>#N/A</v>
          </cell>
          <cell r="O224" t="e">
            <v>#N/A</v>
          </cell>
          <cell r="P224">
            <v>34.94</v>
          </cell>
          <cell r="Q224">
            <v>1.3286259999999999</v>
          </cell>
          <cell r="R224" t="e">
            <v>#N/A</v>
          </cell>
        </row>
        <row r="225">
          <cell r="A225">
            <v>39792</v>
          </cell>
          <cell r="B225">
            <v>39792</v>
          </cell>
          <cell r="C225" t="str">
            <v>Past</v>
          </cell>
          <cell r="D225">
            <v>36.01</v>
          </cell>
          <cell r="E225" t="e">
            <v>#N/A</v>
          </cell>
          <cell r="F225" t="e">
            <v>#N/A</v>
          </cell>
          <cell r="G225" t="e">
            <v>#N/A</v>
          </cell>
          <cell r="H225" t="e">
            <v>#N/A</v>
          </cell>
          <cell r="I225" t="e">
            <v>#N/A</v>
          </cell>
          <cell r="J225" t="e">
            <v>#N/A</v>
          </cell>
          <cell r="K225" t="e">
            <v>#N/A</v>
          </cell>
          <cell r="L225" t="e">
            <v>#N/A</v>
          </cell>
          <cell r="M225" t="e">
            <v>#N/A</v>
          </cell>
          <cell r="N225" t="e">
            <v>#N/A</v>
          </cell>
          <cell r="O225" t="e">
            <v>#N/A</v>
          </cell>
          <cell r="P225">
            <v>36.01</v>
          </cell>
          <cell r="Q225">
            <v>1.6476649999999999</v>
          </cell>
          <cell r="R225" t="e">
            <v>#N/A</v>
          </cell>
        </row>
        <row r="226">
          <cell r="A226">
            <v>39793</v>
          </cell>
          <cell r="B226">
            <v>39793</v>
          </cell>
          <cell r="C226" t="str">
            <v>Past</v>
          </cell>
          <cell r="D226">
            <v>34.19</v>
          </cell>
          <cell r="E226" t="e">
            <v>#N/A</v>
          </cell>
          <cell r="F226" t="e">
            <v>#N/A</v>
          </cell>
          <cell r="G226" t="e">
            <v>#N/A</v>
          </cell>
          <cell r="H226" t="e">
            <v>#N/A</v>
          </cell>
          <cell r="I226" t="e">
            <v>#N/A</v>
          </cell>
          <cell r="J226" t="e">
            <v>#N/A</v>
          </cell>
          <cell r="K226" t="e">
            <v>#N/A</v>
          </cell>
          <cell r="L226" t="e">
            <v>#N/A</v>
          </cell>
          <cell r="M226" t="e">
            <v>#N/A</v>
          </cell>
          <cell r="N226" t="e">
            <v>#N/A</v>
          </cell>
          <cell r="O226" t="e">
            <v>#N/A</v>
          </cell>
          <cell r="P226">
            <v>34.19</v>
          </cell>
          <cell r="Q226">
            <v>1.4961359999999999</v>
          </cell>
          <cell r="R226" t="e">
            <v>#N/A</v>
          </cell>
        </row>
        <row r="227">
          <cell r="A227">
            <v>39794</v>
          </cell>
          <cell r="B227">
            <v>39794</v>
          </cell>
          <cell r="C227" t="str">
            <v>Past</v>
          </cell>
          <cell r="D227">
            <v>34.659999999999997</v>
          </cell>
          <cell r="E227" t="e">
            <v>#N/A</v>
          </cell>
          <cell r="F227" t="e">
            <v>#N/A</v>
          </cell>
          <cell r="G227" t="e">
            <v>#N/A</v>
          </cell>
          <cell r="H227" t="e">
            <v>#N/A</v>
          </cell>
          <cell r="I227" t="e">
            <v>#N/A</v>
          </cell>
          <cell r="J227" t="e">
            <v>#N/A</v>
          </cell>
          <cell r="K227" t="e">
            <v>#N/A</v>
          </cell>
          <cell r="L227" t="e">
            <v>#N/A</v>
          </cell>
          <cell r="M227" t="e">
            <v>#N/A</v>
          </cell>
          <cell r="N227" t="e">
            <v>#N/A</v>
          </cell>
          <cell r="O227" t="e">
            <v>#N/A</v>
          </cell>
          <cell r="P227">
            <v>34.659999999999997</v>
          </cell>
          <cell r="Q227">
            <v>1.953635</v>
          </cell>
          <cell r="R227" t="e">
            <v>#N/A</v>
          </cell>
        </row>
        <row r="228">
          <cell r="A228">
            <v>39797</v>
          </cell>
          <cell r="B228">
            <v>39797</v>
          </cell>
          <cell r="C228" t="str">
            <v>Past</v>
          </cell>
          <cell r="D228">
            <v>33.76</v>
          </cell>
          <cell r="E228" t="e">
            <v>#N/A</v>
          </cell>
          <cell r="F228" t="e">
            <v>#N/A</v>
          </cell>
          <cell r="G228" t="e">
            <v>#N/A</v>
          </cell>
          <cell r="H228" t="e">
            <v>#N/A</v>
          </cell>
          <cell r="I228" t="e">
            <v>#N/A</v>
          </cell>
          <cell r="J228" t="e">
            <v>#N/A</v>
          </cell>
          <cell r="K228" t="e">
            <v>#N/A</v>
          </cell>
          <cell r="L228" t="e">
            <v>#N/A</v>
          </cell>
          <cell r="M228" t="e">
            <v>#N/A</v>
          </cell>
          <cell r="N228" t="e">
            <v>#N/A</v>
          </cell>
          <cell r="O228" t="e">
            <v>#N/A</v>
          </cell>
          <cell r="P228">
            <v>33.76</v>
          </cell>
          <cell r="Q228">
            <v>1.5951849999999999</v>
          </cell>
          <cell r="R228" t="e">
            <v>#N/A</v>
          </cell>
        </row>
        <row r="229">
          <cell r="A229">
            <v>39798</v>
          </cell>
          <cell r="B229">
            <v>39798</v>
          </cell>
          <cell r="C229" t="str">
            <v>Past</v>
          </cell>
          <cell r="D229">
            <v>36.07</v>
          </cell>
          <cell r="E229" t="e">
            <v>#N/A</v>
          </cell>
          <cell r="F229" t="e">
            <v>#N/A</v>
          </cell>
          <cell r="G229" t="e">
            <v>#N/A</v>
          </cell>
          <cell r="H229" t="e">
            <v>#N/A</v>
          </cell>
          <cell r="I229" t="e">
            <v>#N/A</v>
          </cell>
          <cell r="J229" t="e">
            <v>#N/A</v>
          </cell>
          <cell r="K229" t="e">
            <v>#N/A</v>
          </cell>
          <cell r="L229" t="e">
            <v>#N/A</v>
          </cell>
          <cell r="M229" t="e">
            <v>#N/A</v>
          </cell>
          <cell r="N229" t="e">
            <v>#N/A</v>
          </cell>
          <cell r="O229" t="e">
            <v>#N/A</v>
          </cell>
          <cell r="P229">
            <v>36.07</v>
          </cell>
          <cell r="Q229">
            <v>1.6047300000000002</v>
          </cell>
          <cell r="R229" t="e">
            <v>#N/A</v>
          </cell>
        </row>
        <row r="230">
          <cell r="A230">
            <v>39799</v>
          </cell>
          <cell r="B230">
            <v>39799</v>
          </cell>
          <cell r="C230" t="str">
            <v>Past</v>
          </cell>
          <cell r="D230">
            <v>35.94</v>
          </cell>
          <cell r="E230" t="e">
            <v>#N/A</v>
          </cell>
          <cell r="F230" t="e">
            <v>#N/A</v>
          </cell>
          <cell r="G230" t="e">
            <v>#N/A</v>
          </cell>
          <cell r="H230" t="e">
            <v>#N/A</v>
          </cell>
          <cell r="I230" t="e">
            <v>#N/A</v>
          </cell>
          <cell r="J230" t="e">
            <v>#N/A</v>
          </cell>
          <cell r="K230" t="e">
            <v>#N/A</v>
          </cell>
          <cell r="L230" t="e">
            <v>#N/A</v>
          </cell>
          <cell r="M230" t="e">
            <v>#N/A</v>
          </cell>
          <cell r="N230" t="e">
            <v>#N/A</v>
          </cell>
          <cell r="O230" t="e">
            <v>#N/A</v>
          </cell>
          <cell r="P230">
            <v>35.94</v>
          </cell>
          <cell r="Q230">
            <v>1.1765649999999999</v>
          </cell>
          <cell r="R230" t="e">
            <v>#N/A</v>
          </cell>
        </row>
        <row r="231">
          <cell r="A231">
            <v>39800</v>
          </cell>
          <cell r="B231">
            <v>39800</v>
          </cell>
          <cell r="C231" t="str">
            <v>Past</v>
          </cell>
          <cell r="D231">
            <v>34.909999999999997</v>
          </cell>
          <cell r="E231" t="e">
            <v>#N/A</v>
          </cell>
          <cell r="F231" t="e">
            <v>#N/A</v>
          </cell>
          <cell r="G231" t="e">
            <v>#N/A</v>
          </cell>
          <cell r="H231" t="e">
            <v>#N/A</v>
          </cell>
          <cell r="I231" t="e">
            <v>#N/A</v>
          </cell>
          <cell r="J231" t="e">
            <v>#N/A</v>
          </cell>
          <cell r="K231" t="e">
            <v>#N/A</v>
          </cell>
          <cell r="L231" t="e">
            <v>#N/A</v>
          </cell>
          <cell r="M231" t="e">
            <v>#N/A</v>
          </cell>
          <cell r="N231" t="e">
            <v>#N/A</v>
          </cell>
          <cell r="O231" t="e">
            <v>#N/A</v>
          </cell>
          <cell r="P231">
            <v>34.909999999999997</v>
          </cell>
          <cell r="Q231">
            <v>1.289091</v>
          </cell>
          <cell r="R231" t="e">
            <v>#N/A</v>
          </cell>
        </row>
        <row r="232">
          <cell r="A232">
            <v>39801</v>
          </cell>
          <cell r="B232">
            <v>39801</v>
          </cell>
          <cell r="C232" t="str">
            <v>Past</v>
          </cell>
          <cell r="D232">
            <v>35.619999999999997</v>
          </cell>
          <cell r="E232" t="e">
            <v>#N/A</v>
          </cell>
          <cell r="F232" t="e">
            <v>#N/A</v>
          </cell>
          <cell r="G232" t="e">
            <v>#N/A</v>
          </cell>
          <cell r="H232" t="e">
            <v>#N/A</v>
          </cell>
          <cell r="I232" t="e">
            <v>#N/A</v>
          </cell>
          <cell r="J232" t="e">
            <v>#N/A</v>
          </cell>
          <cell r="K232" t="e">
            <v>#N/A</v>
          </cell>
          <cell r="L232" t="e">
            <v>#N/A</v>
          </cell>
          <cell r="M232" t="e">
            <v>#N/A</v>
          </cell>
          <cell r="N232" t="e">
            <v>#N/A</v>
          </cell>
          <cell r="O232" t="e">
            <v>#N/A</v>
          </cell>
          <cell r="P232">
            <v>35.619999999999997</v>
          </cell>
          <cell r="Q232">
            <v>1.787728</v>
          </cell>
          <cell r="R232" t="e">
            <v>#N/A</v>
          </cell>
        </row>
        <row r="233">
          <cell r="A233">
            <v>39804</v>
          </cell>
          <cell r="B233">
            <v>39804</v>
          </cell>
          <cell r="C233" t="str">
            <v>Past</v>
          </cell>
          <cell r="D233">
            <v>34.770000000000003</v>
          </cell>
          <cell r="E233" t="e">
            <v>#N/A</v>
          </cell>
          <cell r="F233" t="e">
            <v>#N/A</v>
          </cell>
          <cell r="G233" t="e">
            <v>#N/A</v>
          </cell>
          <cell r="H233" t="e">
            <v>#N/A</v>
          </cell>
          <cell r="I233" t="e">
            <v>#N/A</v>
          </cell>
          <cell r="J233" t="e">
            <v>#N/A</v>
          </cell>
          <cell r="K233" t="e">
            <v>#N/A</v>
          </cell>
          <cell r="L233" t="e">
            <v>#N/A</v>
          </cell>
          <cell r="M233" t="e">
            <v>#N/A</v>
          </cell>
          <cell r="N233" t="e">
            <v>#N/A</v>
          </cell>
          <cell r="O233" t="e">
            <v>#N/A</v>
          </cell>
          <cell r="P233">
            <v>34.770000000000003</v>
          </cell>
          <cell r="Q233">
            <v>2.0204279999999999</v>
          </cell>
          <cell r="R233" t="e">
            <v>#N/A</v>
          </cell>
        </row>
        <row r="234">
          <cell r="A234">
            <v>39805</v>
          </cell>
          <cell r="B234">
            <v>39805</v>
          </cell>
          <cell r="C234" t="str">
            <v>Past</v>
          </cell>
          <cell r="D234">
            <v>34.29</v>
          </cell>
          <cell r="E234" t="e">
            <v>#N/A</v>
          </cell>
          <cell r="F234" t="e">
            <v>#N/A</v>
          </cell>
          <cell r="G234" t="e">
            <v>#N/A</v>
          </cell>
          <cell r="H234" t="e">
            <v>#N/A</v>
          </cell>
          <cell r="I234" t="e">
            <v>#N/A</v>
          </cell>
          <cell r="J234" t="e">
            <v>#N/A</v>
          </cell>
          <cell r="K234" t="e">
            <v>#N/A</v>
          </cell>
          <cell r="L234" t="e">
            <v>#N/A</v>
          </cell>
          <cell r="M234" t="e">
            <v>#N/A</v>
          </cell>
          <cell r="N234" t="e">
            <v>#N/A</v>
          </cell>
          <cell r="O234" t="e">
            <v>#N/A</v>
          </cell>
          <cell r="P234">
            <v>34.29</v>
          </cell>
          <cell r="Q234">
            <v>0.82676099999999997</v>
          </cell>
          <cell r="R234" t="e">
            <v>#N/A</v>
          </cell>
        </row>
        <row r="235">
          <cell r="A235">
            <v>39806</v>
          </cell>
          <cell r="B235">
            <v>39806</v>
          </cell>
          <cell r="C235" t="str">
            <v>Past</v>
          </cell>
          <cell r="D235">
            <v>34.51</v>
          </cell>
          <cell r="E235" t="e">
            <v>#N/A</v>
          </cell>
          <cell r="F235" t="e">
            <v>#N/A</v>
          </cell>
          <cell r="G235" t="e">
            <v>#N/A</v>
          </cell>
          <cell r="H235" t="e">
            <v>#N/A</v>
          </cell>
          <cell r="I235" t="e">
            <v>#N/A</v>
          </cell>
          <cell r="J235" t="e">
            <v>#N/A</v>
          </cell>
          <cell r="K235" t="e">
            <v>#N/A</v>
          </cell>
          <cell r="L235" t="e">
            <v>#N/A</v>
          </cell>
          <cell r="M235" t="e">
            <v>#N/A</v>
          </cell>
          <cell r="N235" t="e">
            <v>#N/A</v>
          </cell>
          <cell r="O235" t="e">
            <v>#N/A</v>
          </cell>
          <cell r="P235">
            <v>34.51</v>
          </cell>
          <cell r="Q235">
            <v>0.21379199999999998</v>
          </cell>
          <cell r="R235" t="e">
            <v>#N/A</v>
          </cell>
        </row>
        <row r="236">
          <cell r="A236">
            <v>39808</v>
          </cell>
          <cell r="B236">
            <v>39808</v>
          </cell>
          <cell r="C236" t="str">
            <v>Past</v>
          </cell>
          <cell r="D236">
            <v>34.89</v>
          </cell>
          <cell r="E236" t="e">
            <v>#N/A</v>
          </cell>
          <cell r="F236" t="e">
            <v>#N/A</v>
          </cell>
          <cell r="G236" t="e">
            <v>#N/A</v>
          </cell>
          <cell r="H236" t="e">
            <v>#N/A</v>
          </cell>
          <cell r="I236" t="e">
            <v>#N/A</v>
          </cell>
          <cell r="J236" t="e">
            <v>#N/A</v>
          </cell>
          <cell r="K236" t="e">
            <v>#N/A</v>
          </cell>
          <cell r="L236" t="e">
            <v>#N/A</v>
          </cell>
          <cell r="M236" t="e">
            <v>#N/A</v>
          </cell>
          <cell r="N236" t="e">
            <v>#N/A</v>
          </cell>
          <cell r="O236" t="e">
            <v>#N/A</v>
          </cell>
          <cell r="P236">
            <v>34.89</v>
          </cell>
          <cell r="Q236">
            <v>0.24699099999999999</v>
          </cell>
          <cell r="R236" t="e">
            <v>#N/A</v>
          </cell>
        </row>
        <row r="237">
          <cell r="A237">
            <v>39811</v>
          </cell>
          <cell r="B237">
            <v>39811</v>
          </cell>
          <cell r="C237" t="str">
            <v>Past</v>
          </cell>
          <cell r="D237">
            <v>34.450000000000003</v>
          </cell>
          <cell r="E237" t="e">
            <v>#N/A</v>
          </cell>
          <cell r="F237" t="e">
            <v>#N/A</v>
          </cell>
          <cell r="G237" t="e">
            <v>#N/A</v>
          </cell>
          <cell r="H237" t="e">
            <v>#N/A</v>
          </cell>
          <cell r="I237" t="e">
            <v>#N/A</v>
          </cell>
          <cell r="J237" t="e">
            <v>#N/A</v>
          </cell>
          <cell r="K237" t="e">
            <v>#N/A</v>
          </cell>
          <cell r="L237" t="e">
            <v>#N/A</v>
          </cell>
          <cell r="M237" t="e">
            <v>#N/A</v>
          </cell>
          <cell r="N237" t="e">
            <v>#N/A</v>
          </cell>
          <cell r="O237" t="e">
            <v>#N/A</v>
          </cell>
          <cell r="P237">
            <v>34.450000000000003</v>
          </cell>
          <cell r="Q237">
            <v>0.96916799999999992</v>
          </cell>
          <cell r="R237" t="e">
            <v>#N/A</v>
          </cell>
        </row>
        <row r="238">
          <cell r="A238">
            <v>39812</v>
          </cell>
          <cell r="B238">
            <v>39812</v>
          </cell>
          <cell r="C238" t="str">
            <v>Past</v>
          </cell>
          <cell r="D238">
            <v>36.57</v>
          </cell>
          <cell r="E238" t="e">
            <v>#N/A</v>
          </cell>
          <cell r="F238" t="e">
            <v>#N/A</v>
          </cell>
          <cell r="G238" t="e">
            <v>#N/A</v>
          </cell>
          <cell r="H238" t="e">
            <v>#N/A</v>
          </cell>
          <cell r="I238" t="e">
            <v>#N/A</v>
          </cell>
          <cell r="J238" t="e">
            <v>#N/A</v>
          </cell>
          <cell r="K238" t="e">
            <v>#N/A</v>
          </cell>
          <cell r="L238" t="e">
            <v>#N/A</v>
          </cell>
          <cell r="M238" t="e">
            <v>#N/A</v>
          </cell>
          <cell r="N238" t="e">
            <v>#N/A</v>
          </cell>
          <cell r="O238" t="e">
            <v>#N/A</v>
          </cell>
          <cell r="P238">
            <v>36.57</v>
          </cell>
          <cell r="Q238">
            <v>1.173062</v>
          </cell>
          <cell r="R238" t="e">
            <v>#N/A</v>
          </cell>
        </row>
        <row r="239">
          <cell r="A239">
            <v>39813</v>
          </cell>
          <cell r="B239">
            <v>39813</v>
          </cell>
          <cell r="C239" t="str">
            <v>Past</v>
          </cell>
          <cell r="D239">
            <v>37.020000000000003</v>
          </cell>
          <cell r="E239" t="e">
            <v>#N/A</v>
          </cell>
          <cell r="F239" t="e">
            <v>#N/A</v>
          </cell>
          <cell r="G239" t="e">
            <v>#N/A</v>
          </cell>
          <cell r="H239" t="e">
            <v>#N/A</v>
          </cell>
          <cell r="I239" t="e">
            <v>#N/A</v>
          </cell>
          <cell r="J239" t="e">
            <v>#N/A</v>
          </cell>
          <cell r="K239" t="e">
            <v>#N/A</v>
          </cell>
          <cell r="L239" t="e">
            <v>#N/A</v>
          </cell>
          <cell r="M239" t="e">
            <v>#N/A</v>
          </cell>
          <cell r="N239" t="e">
            <v>#N/A</v>
          </cell>
          <cell r="O239" t="e">
            <v>#N/A</v>
          </cell>
          <cell r="P239">
            <v>37.020000000000003</v>
          </cell>
          <cell r="Q239">
            <v>0.87828299999999992</v>
          </cell>
          <cell r="R239" t="e">
            <v>#N/A</v>
          </cell>
        </row>
        <row r="240">
          <cell r="A240">
            <v>39815</v>
          </cell>
          <cell r="B240">
            <v>39815</v>
          </cell>
          <cell r="C240" t="str">
            <v>Past</v>
          </cell>
          <cell r="D240">
            <v>39.71</v>
          </cell>
          <cell r="E240" t="e">
            <v>#N/A</v>
          </cell>
          <cell r="F240" t="e">
            <v>#N/A</v>
          </cell>
          <cell r="G240" t="e">
            <v>#N/A</v>
          </cell>
          <cell r="H240" t="e">
            <v>#N/A</v>
          </cell>
          <cell r="I240" t="e">
            <v>#N/A</v>
          </cell>
          <cell r="J240" t="e">
            <v>#N/A</v>
          </cell>
          <cell r="K240" t="e">
            <v>#N/A</v>
          </cell>
          <cell r="L240" t="e">
            <v>#N/A</v>
          </cell>
          <cell r="M240" t="e">
            <v>#N/A</v>
          </cell>
          <cell r="N240" t="e">
            <v>#N/A</v>
          </cell>
          <cell r="O240" t="e">
            <v>#N/A</v>
          </cell>
          <cell r="P240">
            <v>39.71</v>
          </cell>
          <cell r="Q240">
            <v>1.024672</v>
          </cell>
          <cell r="R240" t="e">
            <v>#N/A</v>
          </cell>
        </row>
        <row r="241">
          <cell r="A241">
            <v>39818</v>
          </cell>
          <cell r="B241">
            <v>39818</v>
          </cell>
          <cell r="C241" t="str">
            <v>Past</v>
          </cell>
          <cell r="D241">
            <v>39.57</v>
          </cell>
          <cell r="E241" t="e">
            <v>#N/A</v>
          </cell>
          <cell r="F241" t="e">
            <v>#N/A</v>
          </cell>
          <cell r="G241" t="e">
            <v>#N/A</v>
          </cell>
          <cell r="H241" t="e">
            <v>#N/A</v>
          </cell>
          <cell r="I241" t="e">
            <v>#N/A</v>
          </cell>
          <cell r="J241" t="e">
            <v>#N/A</v>
          </cell>
          <cell r="K241" t="e">
            <v>#N/A</v>
          </cell>
          <cell r="L241" t="e">
            <v>#N/A</v>
          </cell>
          <cell r="M241" t="e">
            <v>#N/A</v>
          </cell>
          <cell r="N241" t="e">
            <v>#N/A</v>
          </cell>
          <cell r="O241" t="e">
            <v>#N/A</v>
          </cell>
          <cell r="P241">
            <v>39.57</v>
          </cell>
          <cell r="Q241">
            <v>2.0272999999999999</v>
          </cell>
          <cell r="R241" t="e">
            <v>#N/A</v>
          </cell>
        </row>
        <row r="242">
          <cell r="A242">
            <v>39819</v>
          </cell>
          <cell r="B242">
            <v>39819</v>
          </cell>
          <cell r="C242" t="str">
            <v>Past</v>
          </cell>
          <cell r="D242">
            <v>41.04</v>
          </cell>
          <cell r="E242" t="e">
            <v>#N/A</v>
          </cell>
          <cell r="F242" t="e">
            <v>#N/A</v>
          </cell>
          <cell r="G242" t="e">
            <v>#N/A</v>
          </cell>
          <cell r="H242" t="e">
            <v>#N/A</v>
          </cell>
          <cell r="I242" t="e">
            <v>#N/A</v>
          </cell>
          <cell r="J242" t="e">
            <v>#N/A</v>
          </cell>
          <cell r="K242" t="e">
            <v>#N/A</v>
          </cell>
          <cell r="L242" t="e">
            <v>#N/A</v>
          </cell>
          <cell r="M242" t="e">
            <v>#N/A</v>
          </cell>
          <cell r="N242" t="e">
            <v>#N/A</v>
          </cell>
          <cell r="O242" t="e">
            <v>#N/A</v>
          </cell>
          <cell r="P242">
            <v>41.04</v>
          </cell>
          <cell r="Q242">
            <v>2.0981350000000001</v>
          </cell>
          <cell r="R242" t="e">
            <v>#N/A</v>
          </cell>
        </row>
        <row r="243">
          <cell r="A243">
            <v>39820</v>
          </cell>
          <cell r="B243">
            <v>39820</v>
          </cell>
          <cell r="C243" t="str">
            <v>Past</v>
          </cell>
          <cell r="D243">
            <v>40.49</v>
          </cell>
          <cell r="E243" t="e">
            <v>#N/A</v>
          </cell>
          <cell r="F243" t="e">
            <v>#N/A</v>
          </cell>
          <cell r="G243" t="e">
            <v>#N/A</v>
          </cell>
          <cell r="H243" t="e">
            <v>#N/A</v>
          </cell>
          <cell r="I243" t="e">
            <v>#N/A</v>
          </cell>
          <cell r="J243" t="e">
            <v>#N/A</v>
          </cell>
          <cell r="K243" t="e">
            <v>#N/A</v>
          </cell>
          <cell r="L243" t="e">
            <v>#N/A</v>
          </cell>
          <cell r="M243" t="e">
            <v>#N/A</v>
          </cell>
          <cell r="N243" t="e">
            <v>#N/A</v>
          </cell>
          <cell r="O243" t="e">
            <v>#N/A</v>
          </cell>
          <cell r="P243">
            <v>40.49</v>
          </cell>
          <cell r="Q243">
            <v>1.7781259999999999</v>
          </cell>
          <cell r="R243" t="e">
            <v>#N/A</v>
          </cell>
        </row>
        <row r="244">
          <cell r="A244">
            <v>39821</v>
          </cell>
          <cell r="B244">
            <v>39821</v>
          </cell>
          <cell r="C244" t="str">
            <v>Past</v>
          </cell>
          <cell r="D244">
            <v>40.64</v>
          </cell>
          <cell r="E244" t="e">
            <v>#N/A</v>
          </cell>
          <cell r="F244" t="e">
            <v>#N/A</v>
          </cell>
          <cell r="G244" t="e">
            <v>#N/A</v>
          </cell>
          <cell r="H244" t="e">
            <v>#N/A</v>
          </cell>
          <cell r="I244" t="e">
            <v>#N/A</v>
          </cell>
          <cell r="J244" t="e">
            <v>#N/A</v>
          </cell>
          <cell r="K244" t="e">
            <v>#N/A</v>
          </cell>
          <cell r="L244" t="e">
            <v>#N/A</v>
          </cell>
          <cell r="M244" t="e">
            <v>#N/A</v>
          </cell>
          <cell r="N244" t="e">
            <v>#N/A</v>
          </cell>
          <cell r="O244" t="e">
            <v>#N/A</v>
          </cell>
          <cell r="P244">
            <v>40.64</v>
          </cell>
          <cell r="Q244">
            <v>2.2172609999999997</v>
          </cell>
          <cell r="R244" t="e">
            <v>#N/A</v>
          </cell>
        </row>
        <row r="245">
          <cell r="A245">
            <v>39822</v>
          </cell>
          <cell r="B245">
            <v>39822</v>
          </cell>
          <cell r="C245" t="str">
            <v>Past</v>
          </cell>
          <cell r="D245">
            <v>40.19</v>
          </cell>
          <cell r="E245" t="e">
            <v>#N/A</v>
          </cell>
          <cell r="F245" t="e">
            <v>#N/A</v>
          </cell>
          <cell r="G245" t="e">
            <v>#N/A</v>
          </cell>
          <cell r="H245" t="e">
            <v>#N/A</v>
          </cell>
          <cell r="I245" t="e">
            <v>#N/A</v>
          </cell>
          <cell r="J245" t="e">
            <v>#N/A</v>
          </cell>
          <cell r="K245" t="e">
            <v>#N/A</v>
          </cell>
          <cell r="L245" t="e">
            <v>#N/A</v>
          </cell>
          <cell r="M245" t="e">
            <v>#N/A</v>
          </cell>
          <cell r="N245" t="e">
            <v>#N/A</v>
          </cell>
          <cell r="O245" t="e">
            <v>#N/A</v>
          </cell>
          <cell r="P245">
            <v>40.19</v>
          </cell>
          <cell r="Q245">
            <v>1.591866</v>
          </cell>
          <cell r="R245" t="e">
            <v>#N/A</v>
          </cell>
        </row>
        <row r="246">
          <cell r="A246">
            <v>39825</v>
          </cell>
          <cell r="B246">
            <v>39825</v>
          </cell>
          <cell r="C246" t="str">
            <v>Past</v>
          </cell>
          <cell r="D246">
            <v>39.340000000000003</v>
          </cell>
          <cell r="E246" t="e">
            <v>#N/A</v>
          </cell>
          <cell r="F246" t="e">
            <v>#N/A</v>
          </cell>
          <cell r="G246" t="e">
            <v>#N/A</v>
          </cell>
          <cell r="H246" t="e">
            <v>#N/A</v>
          </cell>
          <cell r="I246" t="e">
            <v>#N/A</v>
          </cell>
          <cell r="J246" t="e">
            <v>#N/A</v>
          </cell>
          <cell r="K246" t="e">
            <v>#N/A</v>
          </cell>
          <cell r="L246" t="e">
            <v>#N/A</v>
          </cell>
          <cell r="M246" t="e">
            <v>#N/A</v>
          </cell>
          <cell r="N246" t="e">
            <v>#N/A</v>
          </cell>
          <cell r="O246" t="e">
            <v>#N/A</v>
          </cell>
          <cell r="P246">
            <v>39.340000000000003</v>
          </cell>
          <cell r="Q246">
            <v>1.8798619999999999</v>
          </cell>
          <cell r="R246" t="e">
            <v>#N/A</v>
          </cell>
        </row>
        <row r="247">
          <cell r="A247">
            <v>39826</v>
          </cell>
          <cell r="B247">
            <v>39826</v>
          </cell>
          <cell r="C247" t="str">
            <v>Past</v>
          </cell>
          <cell r="D247">
            <v>39.1</v>
          </cell>
          <cell r="E247" t="e">
            <v>#N/A</v>
          </cell>
          <cell r="F247" t="e">
            <v>#N/A</v>
          </cell>
          <cell r="G247" t="e">
            <v>#N/A</v>
          </cell>
          <cell r="H247" t="e">
            <v>#N/A</v>
          </cell>
          <cell r="I247" t="e">
            <v>#N/A</v>
          </cell>
          <cell r="J247" t="e">
            <v>#N/A</v>
          </cell>
          <cell r="K247" t="e">
            <v>#N/A</v>
          </cell>
          <cell r="L247" t="e">
            <v>#N/A</v>
          </cell>
          <cell r="M247" t="e">
            <v>#N/A</v>
          </cell>
          <cell r="N247" t="e">
            <v>#N/A</v>
          </cell>
          <cell r="O247" t="e">
            <v>#N/A</v>
          </cell>
          <cell r="P247">
            <v>39.1</v>
          </cell>
          <cell r="Q247">
            <v>1.7599039999999999</v>
          </cell>
          <cell r="R247" t="e">
            <v>#N/A</v>
          </cell>
        </row>
        <row r="248">
          <cell r="A248">
            <v>39827</v>
          </cell>
          <cell r="B248">
            <v>39827</v>
          </cell>
          <cell r="C248" t="str">
            <v>Past</v>
          </cell>
          <cell r="D248">
            <v>37.53</v>
          </cell>
          <cell r="E248" t="e">
            <v>#N/A</v>
          </cell>
          <cell r="F248" t="e">
            <v>#N/A</v>
          </cell>
          <cell r="G248" t="e">
            <v>#N/A</v>
          </cell>
          <cell r="H248" t="e">
            <v>#N/A</v>
          </cell>
          <cell r="I248" t="e">
            <v>#N/A</v>
          </cell>
          <cell r="J248" t="e">
            <v>#N/A</v>
          </cell>
          <cell r="K248" t="e">
            <v>#N/A</v>
          </cell>
          <cell r="L248" t="e">
            <v>#N/A</v>
          </cell>
          <cell r="M248" t="e">
            <v>#N/A</v>
          </cell>
          <cell r="N248" t="e">
            <v>#N/A</v>
          </cell>
          <cell r="O248" t="e">
            <v>#N/A</v>
          </cell>
          <cell r="P248">
            <v>37.53</v>
          </cell>
          <cell r="Q248">
            <v>1.788014</v>
          </cell>
          <cell r="R248" t="e">
            <v>#N/A</v>
          </cell>
        </row>
        <row r="249">
          <cell r="A249">
            <v>39828</v>
          </cell>
          <cell r="B249">
            <v>39828</v>
          </cell>
          <cell r="C249" t="str">
            <v>Past</v>
          </cell>
          <cell r="D249">
            <v>37.840000000000003</v>
          </cell>
          <cell r="E249" t="e">
            <v>#N/A</v>
          </cell>
          <cell r="F249" t="e">
            <v>#N/A</v>
          </cell>
          <cell r="G249" t="e">
            <v>#N/A</v>
          </cell>
          <cell r="H249" t="e">
            <v>#N/A</v>
          </cell>
          <cell r="I249" t="e">
            <v>#N/A</v>
          </cell>
          <cell r="J249" t="e">
            <v>#N/A</v>
          </cell>
          <cell r="K249" t="e">
            <v>#N/A</v>
          </cell>
          <cell r="L249" t="e">
            <v>#N/A</v>
          </cell>
          <cell r="M249" t="e">
            <v>#N/A</v>
          </cell>
          <cell r="N249" t="e">
            <v>#N/A</v>
          </cell>
          <cell r="O249" t="e">
            <v>#N/A</v>
          </cell>
          <cell r="P249">
            <v>37.840000000000003</v>
          </cell>
          <cell r="Q249">
            <v>1.4187349999999999</v>
          </cell>
          <cell r="R249" t="e">
            <v>#N/A</v>
          </cell>
        </row>
        <row r="250">
          <cell r="A250">
            <v>39829</v>
          </cell>
          <cell r="B250">
            <v>39829</v>
          </cell>
          <cell r="C250" t="str">
            <v>Past</v>
          </cell>
          <cell r="D250">
            <v>38.24</v>
          </cell>
          <cell r="E250" t="e">
            <v>#N/A</v>
          </cell>
          <cell r="F250" t="e">
            <v>#N/A</v>
          </cell>
          <cell r="G250" t="e">
            <v>#N/A</v>
          </cell>
          <cell r="H250" t="e">
            <v>#N/A</v>
          </cell>
          <cell r="I250" t="e">
            <v>#N/A</v>
          </cell>
          <cell r="J250" t="e">
            <v>#N/A</v>
          </cell>
          <cell r="K250" t="e">
            <v>#N/A</v>
          </cell>
          <cell r="L250" t="e">
            <v>#N/A</v>
          </cell>
          <cell r="M250" t="e">
            <v>#N/A</v>
          </cell>
          <cell r="N250" t="e">
            <v>#N/A</v>
          </cell>
          <cell r="O250" t="e">
            <v>#N/A</v>
          </cell>
          <cell r="P250">
            <v>38.24</v>
          </cell>
          <cell r="Q250">
            <v>1.6830259999999999</v>
          </cell>
          <cell r="R250" t="e">
            <v>#N/A</v>
          </cell>
        </row>
        <row r="251">
          <cell r="A251">
            <v>39833</v>
          </cell>
          <cell r="B251">
            <v>39833</v>
          </cell>
          <cell r="C251" t="str">
            <v>Past</v>
          </cell>
          <cell r="D251">
            <v>37.11</v>
          </cell>
          <cell r="E251" t="e">
            <v>#N/A</v>
          </cell>
          <cell r="F251" t="e">
            <v>#N/A</v>
          </cell>
          <cell r="G251" t="e">
            <v>#N/A</v>
          </cell>
          <cell r="H251" t="e">
            <v>#N/A</v>
          </cell>
          <cell r="I251" t="e">
            <v>#N/A</v>
          </cell>
          <cell r="J251" t="e">
            <v>#N/A</v>
          </cell>
          <cell r="K251" t="e">
            <v>#N/A</v>
          </cell>
          <cell r="L251" t="e">
            <v>#N/A</v>
          </cell>
          <cell r="M251" t="e">
            <v>#N/A</v>
          </cell>
          <cell r="N251" t="e">
            <v>#N/A</v>
          </cell>
          <cell r="O251" t="e">
            <v>#N/A</v>
          </cell>
          <cell r="P251">
            <v>37.11</v>
          </cell>
          <cell r="Q251">
            <v>1.3293409999999999</v>
          </cell>
          <cell r="R251" t="e">
            <v>#N/A</v>
          </cell>
        </row>
        <row r="252">
          <cell r="A252">
            <v>39834</v>
          </cell>
          <cell r="B252">
            <v>39834</v>
          </cell>
          <cell r="C252" t="str">
            <v>Past</v>
          </cell>
          <cell r="D252">
            <v>38.5</v>
          </cell>
          <cell r="E252" t="e">
            <v>#N/A</v>
          </cell>
          <cell r="F252" t="e">
            <v>#N/A</v>
          </cell>
          <cell r="G252" t="e">
            <v>#N/A</v>
          </cell>
          <cell r="H252" t="e">
            <v>#N/A</v>
          </cell>
          <cell r="I252" t="e">
            <v>#N/A</v>
          </cell>
          <cell r="J252" t="e">
            <v>#N/A</v>
          </cell>
          <cell r="K252" t="e">
            <v>#N/A</v>
          </cell>
          <cell r="L252" t="e">
            <v>#N/A</v>
          </cell>
          <cell r="M252" t="e">
            <v>#N/A</v>
          </cell>
          <cell r="N252" t="e">
            <v>#N/A</v>
          </cell>
          <cell r="O252" t="e">
            <v>#N/A</v>
          </cell>
          <cell r="P252">
            <v>38.5</v>
          </cell>
          <cell r="Q252">
            <v>1.0930759999999999</v>
          </cell>
          <cell r="R252" t="e">
            <v>#N/A</v>
          </cell>
        </row>
        <row r="253">
          <cell r="A253">
            <v>39835</v>
          </cell>
          <cell r="B253">
            <v>39835</v>
          </cell>
          <cell r="C253" t="str">
            <v>Past</v>
          </cell>
          <cell r="D253">
            <v>37.56</v>
          </cell>
          <cell r="E253" t="e">
            <v>#N/A</v>
          </cell>
          <cell r="F253" t="e">
            <v>#N/A</v>
          </cell>
          <cell r="G253" t="e">
            <v>#N/A</v>
          </cell>
          <cell r="H253" t="e">
            <v>#N/A</v>
          </cell>
          <cell r="I253" t="e">
            <v>#N/A</v>
          </cell>
          <cell r="J253" t="e">
            <v>#N/A</v>
          </cell>
          <cell r="K253" t="e">
            <v>#N/A</v>
          </cell>
          <cell r="L253" t="e">
            <v>#N/A</v>
          </cell>
          <cell r="M253" t="e">
            <v>#N/A</v>
          </cell>
          <cell r="N253" t="e">
            <v>#N/A</v>
          </cell>
          <cell r="O253" t="e">
            <v>#N/A</v>
          </cell>
          <cell r="P253">
            <v>37.56</v>
          </cell>
          <cell r="Q253">
            <v>1.6319939999999999</v>
          </cell>
          <cell r="R253" t="e">
            <v>#N/A</v>
          </cell>
        </row>
        <row r="254">
          <cell r="A254">
            <v>39836</v>
          </cell>
          <cell r="B254">
            <v>39836</v>
          </cell>
          <cell r="C254" t="str">
            <v>Past</v>
          </cell>
          <cell r="D254">
            <v>37.380000000000003</v>
          </cell>
          <cell r="E254" t="e">
            <v>#N/A</v>
          </cell>
          <cell r="F254" t="e">
            <v>#N/A</v>
          </cell>
          <cell r="G254" t="e">
            <v>#N/A</v>
          </cell>
          <cell r="H254" t="e">
            <v>#N/A</v>
          </cell>
          <cell r="I254" t="e">
            <v>#N/A</v>
          </cell>
          <cell r="J254" t="e">
            <v>#N/A</v>
          </cell>
          <cell r="K254" t="e">
            <v>#N/A</v>
          </cell>
          <cell r="L254" t="e">
            <v>#N/A</v>
          </cell>
          <cell r="M254" t="e">
            <v>#N/A</v>
          </cell>
          <cell r="N254" t="e">
            <v>#N/A</v>
          </cell>
          <cell r="O254" t="e">
            <v>#N/A</v>
          </cell>
          <cell r="P254">
            <v>37.380000000000003</v>
          </cell>
          <cell r="Q254">
            <v>1.1121829999999999</v>
          </cell>
          <cell r="R254" t="e">
            <v>#N/A</v>
          </cell>
        </row>
        <row r="255">
          <cell r="A255">
            <v>39839</v>
          </cell>
          <cell r="B255">
            <v>39839</v>
          </cell>
          <cell r="C255" t="str">
            <v>Past</v>
          </cell>
          <cell r="D255">
            <v>38.32</v>
          </cell>
          <cell r="E255" t="e">
            <v>#N/A</v>
          </cell>
          <cell r="F255" t="e">
            <v>#N/A</v>
          </cell>
          <cell r="G255" t="e">
            <v>#N/A</v>
          </cell>
          <cell r="H255" t="e">
            <v>#N/A</v>
          </cell>
          <cell r="I255" t="e">
            <v>#N/A</v>
          </cell>
          <cell r="J255" t="e">
            <v>#N/A</v>
          </cell>
          <cell r="K255" t="e">
            <v>#N/A</v>
          </cell>
          <cell r="L255" t="e">
            <v>#N/A</v>
          </cell>
          <cell r="M255" t="e">
            <v>#N/A</v>
          </cell>
          <cell r="N255" t="e">
            <v>#N/A</v>
          </cell>
          <cell r="O255" t="e">
            <v>#N/A</v>
          </cell>
          <cell r="P255">
            <v>38.32</v>
          </cell>
          <cell r="Q255">
            <v>1.0589</v>
          </cell>
          <cell r="R255" t="e">
            <v>#N/A</v>
          </cell>
        </row>
        <row r="256">
          <cell r="A256">
            <v>39840</v>
          </cell>
          <cell r="B256">
            <v>39840</v>
          </cell>
          <cell r="C256" t="str">
            <v>Past</v>
          </cell>
          <cell r="D256">
            <v>38.69</v>
          </cell>
          <cell r="E256" t="e">
            <v>#N/A</v>
          </cell>
          <cell r="F256" t="e">
            <v>#N/A</v>
          </cell>
          <cell r="G256" t="e">
            <v>#N/A</v>
          </cell>
          <cell r="H256" t="e">
            <v>#N/A</v>
          </cell>
          <cell r="I256" t="e">
            <v>#N/A</v>
          </cell>
          <cell r="J256" t="e">
            <v>#N/A</v>
          </cell>
          <cell r="K256" t="e">
            <v>#N/A</v>
          </cell>
          <cell r="L256" t="e">
            <v>#N/A</v>
          </cell>
          <cell r="M256" t="e">
            <v>#N/A</v>
          </cell>
          <cell r="N256" t="e">
            <v>#N/A</v>
          </cell>
          <cell r="O256" t="e">
            <v>#N/A</v>
          </cell>
          <cell r="P256">
            <v>38.69</v>
          </cell>
          <cell r="Q256">
            <v>1.2926839999999999</v>
          </cell>
          <cell r="R256" t="e">
            <v>#N/A</v>
          </cell>
        </row>
        <row r="257">
          <cell r="A257">
            <v>39841</v>
          </cell>
          <cell r="B257">
            <v>39841</v>
          </cell>
          <cell r="C257" t="str">
            <v>Past</v>
          </cell>
          <cell r="D257">
            <v>39.96</v>
          </cell>
          <cell r="E257" t="e">
            <v>#N/A</v>
          </cell>
          <cell r="F257" t="e">
            <v>#N/A</v>
          </cell>
          <cell r="G257" t="e">
            <v>#N/A</v>
          </cell>
          <cell r="H257" t="e">
            <v>#N/A</v>
          </cell>
          <cell r="I257" t="e">
            <v>#N/A</v>
          </cell>
          <cell r="J257" t="e">
            <v>#N/A</v>
          </cell>
          <cell r="K257" t="e">
            <v>#N/A</v>
          </cell>
          <cell r="L257" t="e">
            <v>#N/A</v>
          </cell>
          <cell r="M257" t="e">
            <v>#N/A</v>
          </cell>
          <cell r="N257" t="e">
            <v>#N/A</v>
          </cell>
          <cell r="O257" t="e">
            <v>#N/A</v>
          </cell>
          <cell r="P257">
            <v>39.96</v>
          </cell>
          <cell r="Q257">
            <v>0.994946</v>
          </cell>
          <cell r="R257" t="e">
            <v>#N/A</v>
          </cell>
        </row>
        <row r="258">
          <cell r="A258">
            <v>39842</v>
          </cell>
          <cell r="B258">
            <v>39842</v>
          </cell>
          <cell r="C258" t="str">
            <v>Past</v>
          </cell>
          <cell r="D258">
            <v>38.54</v>
          </cell>
          <cell r="E258" t="e">
            <v>#N/A</v>
          </cell>
          <cell r="F258" t="e">
            <v>#N/A</v>
          </cell>
          <cell r="G258" t="e">
            <v>#N/A</v>
          </cell>
          <cell r="H258" t="e">
            <v>#N/A</v>
          </cell>
          <cell r="I258" t="e">
            <v>#N/A</v>
          </cell>
          <cell r="J258" t="e">
            <v>#N/A</v>
          </cell>
          <cell r="K258" t="e">
            <v>#N/A</v>
          </cell>
          <cell r="L258" t="e">
            <v>#N/A</v>
          </cell>
          <cell r="M258" t="e">
            <v>#N/A</v>
          </cell>
          <cell r="N258" t="e">
            <v>#N/A</v>
          </cell>
          <cell r="O258" t="e">
            <v>#N/A</v>
          </cell>
          <cell r="P258">
            <v>38.54</v>
          </cell>
          <cell r="Q258">
            <v>1.19818</v>
          </cell>
          <cell r="R258" t="e">
            <v>#N/A</v>
          </cell>
        </row>
        <row r="259">
          <cell r="A259">
            <v>39843</v>
          </cell>
          <cell r="B259">
            <v>39843</v>
          </cell>
          <cell r="C259" t="str">
            <v>Past</v>
          </cell>
          <cell r="D259">
            <v>38.659999999999997</v>
          </cell>
          <cell r="E259" t="e">
            <v>#N/A</v>
          </cell>
          <cell r="F259" t="e">
            <v>#N/A</v>
          </cell>
          <cell r="G259" t="e">
            <v>#N/A</v>
          </cell>
          <cell r="H259" t="e">
            <v>#N/A</v>
          </cell>
          <cell r="I259" t="e">
            <v>#N/A</v>
          </cell>
          <cell r="J259" t="e">
            <v>#N/A</v>
          </cell>
          <cell r="K259" t="e">
            <v>#N/A</v>
          </cell>
          <cell r="L259" t="e">
            <v>#N/A</v>
          </cell>
          <cell r="M259" t="e">
            <v>#N/A</v>
          </cell>
          <cell r="N259" t="e">
            <v>#N/A</v>
          </cell>
          <cell r="O259" t="e">
            <v>#N/A</v>
          </cell>
          <cell r="P259">
            <v>38.659999999999997</v>
          </cell>
          <cell r="Q259">
            <v>1.345718</v>
          </cell>
          <cell r="R259" t="e">
            <v>#N/A</v>
          </cell>
        </row>
        <row r="260">
          <cell r="A260">
            <v>39846</v>
          </cell>
          <cell r="B260">
            <v>39846</v>
          </cell>
          <cell r="C260" t="str">
            <v>Past</v>
          </cell>
          <cell r="D260">
            <v>37.35</v>
          </cell>
          <cell r="E260" t="e">
            <v>#N/A</v>
          </cell>
          <cell r="F260" t="e">
            <v>#N/A</v>
          </cell>
          <cell r="G260" t="e">
            <v>#N/A</v>
          </cell>
          <cell r="H260" t="e">
            <v>#N/A</v>
          </cell>
          <cell r="I260" t="e">
            <v>#N/A</v>
          </cell>
          <cell r="J260" t="e">
            <v>#N/A</v>
          </cell>
          <cell r="K260" t="e">
            <v>#N/A</v>
          </cell>
          <cell r="L260" t="e">
            <v>#N/A</v>
          </cell>
          <cell r="M260" t="e">
            <v>#N/A</v>
          </cell>
          <cell r="N260" t="e">
            <v>#N/A</v>
          </cell>
          <cell r="O260" t="e">
            <v>#N/A</v>
          </cell>
          <cell r="P260">
            <v>37.35</v>
          </cell>
          <cell r="Q260">
            <v>1.339421</v>
          </cell>
          <cell r="R260" t="e">
            <v>#N/A</v>
          </cell>
        </row>
        <row r="261">
          <cell r="A261">
            <v>39847</v>
          </cell>
          <cell r="B261">
            <v>39847</v>
          </cell>
          <cell r="C261" t="str">
            <v>Past</v>
          </cell>
          <cell r="D261">
            <v>38.97</v>
          </cell>
          <cell r="E261" t="e">
            <v>#N/A</v>
          </cell>
          <cell r="F261" t="e">
            <v>#N/A</v>
          </cell>
          <cell r="G261" t="e">
            <v>#N/A</v>
          </cell>
          <cell r="H261" t="e">
            <v>#N/A</v>
          </cell>
          <cell r="I261" t="e">
            <v>#N/A</v>
          </cell>
          <cell r="J261" t="e">
            <v>#N/A</v>
          </cell>
          <cell r="K261" t="e">
            <v>#N/A</v>
          </cell>
          <cell r="L261" t="e">
            <v>#N/A</v>
          </cell>
          <cell r="M261" t="e">
            <v>#N/A</v>
          </cell>
          <cell r="N261" t="e">
            <v>#N/A</v>
          </cell>
          <cell r="O261" t="e">
            <v>#N/A</v>
          </cell>
          <cell r="P261">
            <v>38.97</v>
          </cell>
          <cell r="Q261">
            <v>2.8583749999999997</v>
          </cell>
          <cell r="R261" t="e">
            <v>#N/A</v>
          </cell>
        </row>
        <row r="262">
          <cell r="A262">
            <v>39848</v>
          </cell>
          <cell r="B262">
            <v>39848</v>
          </cell>
          <cell r="C262" t="str">
            <v>Past</v>
          </cell>
          <cell r="D262">
            <v>39.159999999999997</v>
          </cell>
          <cell r="E262" t="e">
            <v>#N/A</v>
          </cell>
          <cell r="F262" t="e">
            <v>#N/A</v>
          </cell>
          <cell r="G262" t="e">
            <v>#N/A</v>
          </cell>
          <cell r="H262" t="e">
            <v>#N/A</v>
          </cell>
          <cell r="I262" t="e">
            <v>#N/A</v>
          </cell>
          <cell r="J262" t="e">
            <v>#N/A</v>
          </cell>
          <cell r="K262" t="e">
            <v>#N/A</v>
          </cell>
          <cell r="L262" t="e">
            <v>#N/A</v>
          </cell>
          <cell r="M262" t="e">
            <v>#N/A</v>
          </cell>
          <cell r="N262" t="e">
            <v>#N/A</v>
          </cell>
          <cell r="O262" t="e">
            <v>#N/A</v>
          </cell>
          <cell r="P262">
            <v>39.159999999999997</v>
          </cell>
          <cell r="Q262">
            <v>2.649432</v>
          </cell>
          <cell r="R262" t="e">
            <v>#N/A</v>
          </cell>
        </row>
        <row r="263">
          <cell r="A263">
            <v>39849</v>
          </cell>
          <cell r="B263">
            <v>39849</v>
          </cell>
          <cell r="C263" t="str">
            <v>Past</v>
          </cell>
          <cell r="D263">
            <v>40.130000000000003</v>
          </cell>
          <cell r="E263" t="e">
            <v>#N/A</v>
          </cell>
          <cell r="F263" t="e">
            <v>#N/A</v>
          </cell>
          <cell r="G263" t="e">
            <v>#N/A</v>
          </cell>
          <cell r="H263" t="e">
            <v>#N/A</v>
          </cell>
          <cell r="I263" t="e">
            <v>#N/A</v>
          </cell>
          <cell r="J263" t="e">
            <v>#N/A</v>
          </cell>
          <cell r="K263" t="e">
            <v>#N/A</v>
          </cell>
          <cell r="L263" t="e">
            <v>#N/A</v>
          </cell>
          <cell r="M263" t="e">
            <v>#N/A</v>
          </cell>
          <cell r="N263" t="e">
            <v>#N/A</v>
          </cell>
          <cell r="O263" t="e">
            <v>#N/A</v>
          </cell>
          <cell r="P263">
            <v>40.130000000000003</v>
          </cell>
          <cell r="Q263">
            <v>1.74099</v>
          </cell>
          <cell r="R263" t="e">
            <v>#N/A</v>
          </cell>
        </row>
        <row r="264">
          <cell r="A264">
            <v>39850</v>
          </cell>
          <cell r="B264">
            <v>39850</v>
          </cell>
          <cell r="C264" t="str">
            <v>Past</v>
          </cell>
          <cell r="D264">
            <v>40.57</v>
          </cell>
          <cell r="E264" t="e">
            <v>#N/A</v>
          </cell>
          <cell r="F264" t="e">
            <v>#N/A</v>
          </cell>
          <cell r="G264" t="e">
            <v>#N/A</v>
          </cell>
          <cell r="H264" t="e">
            <v>#N/A</v>
          </cell>
          <cell r="I264" t="e">
            <v>#N/A</v>
          </cell>
          <cell r="J264" t="e">
            <v>#N/A</v>
          </cell>
          <cell r="K264" t="e">
            <v>#N/A</v>
          </cell>
          <cell r="L264" t="e">
            <v>#N/A</v>
          </cell>
          <cell r="M264" t="e">
            <v>#N/A</v>
          </cell>
          <cell r="N264" t="e">
            <v>#N/A</v>
          </cell>
          <cell r="O264" t="e">
            <v>#N/A</v>
          </cell>
          <cell r="P264">
            <v>40.57</v>
          </cell>
          <cell r="Q264">
            <v>1.286818</v>
          </cell>
          <cell r="R264" t="e">
            <v>#N/A</v>
          </cell>
        </row>
        <row r="265">
          <cell r="A265">
            <v>39853</v>
          </cell>
          <cell r="B265">
            <v>39853</v>
          </cell>
          <cell r="C265" t="str">
            <v>Past</v>
          </cell>
          <cell r="D265">
            <v>41</v>
          </cell>
          <cell r="E265" t="e">
            <v>#N/A</v>
          </cell>
          <cell r="F265" t="e">
            <v>#N/A</v>
          </cell>
          <cell r="G265" t="e">
            <v>#N/A</v>
          </cell>
          <cell r="H265" t="e">
            <v>#N/A</v>
          </cell>
          <cell r="I265" t="e">
            <v>#N/A</v>
          </cell>
          <cell r="J265" t="e">
            <v>#N/A</v>
          </cell>
          <cell r="K265" t="e">
            <v>#N/A</v>
          </cell>
          <cell r="L265" t="e">
            <v>#N/A</v>
          </cell>
          <cell r="M265" t="e">
            <v>#N/A</v>
          </cell>
          <cell r="N265" t="e">
            <v>#N/A</v>
          </cell>
          <cell r="O265" t="e">
            <v>#N/A</v>
          </cell>
          <cell r="P265">
            <v>41</v>
          </cell>
          <cell r="Q265">
            <v>1.7004189999999999</v>
          </cell>
          <cell r="R265" t="e">
            <v>#N/A</v>
          </cell>
        </row>
        <row r="266">
          <cell r="A266">
            <v>39854</v>
          </cell>
          <cell r="B266">
            <v>39854</v>
          </cell>
          <cell r="C266" t="str">
            <v>Past</v>
          </cell>
          <cell r="D266">
            <v>39.83</v>
          </cell>
          <cell r="E266" t="e">
            <v>#N/A</v>
          </cell>
          <cell r="F266" t="e">
            <v>#N/A</v>
          </cell>
          <cell r="G266" t="e">
            <v>#N/A</v>
          </cell>
          <cell r="H266" t="e">
            <v>#N/A</v>
          </cell>
          <cell r="I266" t="e">
            <v>#N/A</v>
          </cell>
          <cell r="J266" t="e">
            <v>#N/A</v>
          </cell>
          <cell r="K266" t="e">
            <v>#N/A</v>
          </cell>
          <cell r="L266" t="e">
            <v>#N/A</v>
          </cell>
          <cell r="M266" t="e">
            <v>#N/A</v>
          </cell>
          <cell r="N266" t="e">
            <v>#N/A</v>
          </cell>
          <cell r="O266" t="e">
            <v>#N/A</v>
          </cell>
          <cell r="P266">
            <v>39.83</v>
          </cell>
          <cell r="Q266">
            <v>2.9105500000000002</v>
          </cell>
          <cell r="R266" t="e">
            <v>#N/A</v>
          </cell>
        </row>
        <row r="267">
          <cell r="A267">
            <v>39855</v>
          </cell>
          <cell r="B267">
            <v>39855</v>
          </cell>
          <cell r="C267" t="str">
            <v>Past</v>
          </cell>
          <cell r="D267">
            <v>39.43</v>
          </cell>
          <cell r="E267" t="e">
            <v>#N/A</v>
          </cell>
          <cell r="F267" t="e">
            <v>#N/A</v>
          </cell>
          <cell r="G267" t="e">
            <v>#N/A</v>
          </cell>
          <cell r="H267" t="e">
            <v>#N/A</v>
          </cell>
          <cell r="I267" t="e">
            <v>#N/A</v>
          </cell>
          <cell r="J267" t="e">
            <v>#N/A</v>
          </cell>
          <cell r="K267" t="e">
            <v>#N/A</v>
          </cell>
          <cell r="L267" t="e">
            <v>#N/A</v>
          </cell>
          <cell r="M267" t="e">
            <v>#N/A</v>
          </cell>
          <cell r="N267" t="e">
            <v>#N/A</v>
          </cell>
          <cell r="O267" t="e">
            <v>#N/A</v>
          </cell>
          <cell r="P267">
            <v>39.43</v>
          </cell>
          <cell r="Q267">
            <v>1.5133159999999999</v>
          </cell>
          <cell r="R267" t="e">
            <v>#N/A</v>
          </cell>
        </row>
        <row r="268">
          <cell r="A268">
            <v>39856</v>
          </cell>
          <cell r="B268">
            <v>39856</v>
          </cell>
          <cell r="C268" t="str">
            <v>Past</v>
          </cell>
          <cell r="D268">
            <v>39.33</v>
          </cell>
          <cell r="E268" t="e">
            <v>#N/A</v>
          </cell>
          <cell r="F268" t="e">
            <v>#N/A</v>
          </cell>
          <cell r="G268" t="e">
            <v>#N/A</v>
          </cell>
          <cell r="H268" t="e">
            <v>#N/A</v>
          </cell>
          <cell r="I268" t="e">
            <v>#N/A</v>
          </cell>
          <cell r="J268" t="e">
            <v>#N/A</v>
          </cell>
          <cell r="K268" t="e">
            <v>#N/A</v>
          </cell>
          <cell r="L268" t="e">
            <v>#N/A</v>
          </cell>
          <cell r="M268" t="e">
            <v>#N/A</v>
          </cell>
          <cell r="N268" t="e">
            <v>#N/A</v>
          </cell>
          <cell r="O268" t="e">
            <v>#N/A</v>
          </cell>
          <cell r="P268">
            <v>39.33</v>
          </cell>
          <cell r="Q268">
            <v>2.1183730000000001</v>
          </cell>
          <cell r="R268" t="e">
            <v>#N/A</v>
          </cell>
        </row>
        <row r="269">
          <cell r="A269">
            <v>39857</v>
          </cell>
          <cell r="B269">
            <v>39857</v>
          </cell>
          <cell r="C269" t="str">
            <v>Past</v>
          </cell>
          <cell r="D269">
            <v>39.78</v>
          </cell>
          <cell r="E269" t="e">
            <v>#N/A</v>
          </cell>
          <cell r="F269" t="e">
            <v>#N/A</v>
          </cell>
          <cell r="G269" t="e">
            <v>#N/A</v>
          </cell>
          <cell r="H269" t="e">
            <v>#N/A</v>
          </cell>
          <cell r="I269" t="e">
            <v>#N/A</v>
          </cell>
          <cell r="J269" t="e">
            <v>#N/A</v>
          </cell>
          <cell r="K269" t="e">
            <v>#N/A</v>
          </cell>
          <cell r="L269" t="e">
            <v>#N/A</v>
          </cell>
          <cell r="M269" t="e">
            <v>#N/A</v>
          </cell>
          <cell r="N269" t="e">
            <v>#N/A</v>
          </cell>
          <cell r="O269" t="e">
            <v>#N/A</v>
          </cell>
          <cell r="P269">
            <v>39.78</v>
          </cell>
          <cell r="Q269">
            <v>1.8688859999999998</v>
          </cell>
          <cell r="R269" t="e">
            <v>#N/A</v>
          </cell>
        </row>
        <row r="270">
          <cell r="A270">
            <v>39861</v>
          </cell>
          <cell r="B270">
            <v>39861</v>
          </cell>
          <cell r="C270" t="str">
            <v>Past</v>
          </cell>
          <cell r="D270">
            <v>38.22</v>
          </cell>
          <cell r="E270" t="e">
            <v>#N/A</v>
          </cell>
          <cell r="F270" t="e">
            <v>#N/A</v>
          </cell>
          <cell r="G270" t="e">
            <v>#N/A</v>
          </cell>
          <cell r="H270" t="e">
            <v>#N/A</v>
          </cell>
          <cell r="I270" t="e">
            <v>#N/A</v>
          </cell>
          <cell r="J270" t="e">
            <v>#N/A</v>
          </cell>
          <cell r="K270" t="e">
            <v>#N/A</v>
          </cell>
          <cell r="L270" t="e">
            <v>#N/A</v>
          </cell>
          <cell r="M270" t="e">
            <v>#N/A</v>
          </cell>
          <cell r="N270" t="e">
            <v>#N/A</v>
          </cell>
          <cell r="O270" t="e">
            <v>#N/A</v>
          </cell>
          <cell r="P270">
            <v>38.22</v>
          </cell>
          <cell r="Q270">
            <v>2.107834</v>
          </cell>
          <cell r="R270" t="e">
            <v>#N/A</v>
          </cell>
        </row>
        <row r="271">
          <cell r="A271">
            <v>39862</v>
          </cell>
          <cell r="B271">
            <v>39862</v>
          </cell>
          <cell r="C271" t="str">
            <v>Past</v>
          </cell>
          <cell r="D271">
            <v>38.47</v>
          </cell>
          <cell r="E271" t="e">
            <v>#N/A</v>
          </cell>
          <cell r="F271" t="e">
            <v>#N/A</v>
          </cell>
          <cell r="G271" t="e">
            <v>#N/A</v>
          </cell>
          <cell r="H271" t="e">
            <v>#N/A</v>
          </cell>
          <cell r="I271" t="e">
            <v>#N/A</v>
          </cell>
          <cell r="J271" t="e">
            <v>#N/A</v>
          </cell>
          <cell r="K271" t="e">
            <v>#N/A</v>
          </cell>
          <cell r="L271" t="e">
            <v>#N/A</v>
          </cell>
          <cell r="M271" t="e">
            <v>#N/A</v>
          </cell>
          <cell r="N271" t="e">
            <v>#N/A</v>
          </cell>
          <cell r="O271" t="e">
            <v>#N/A</v>
          </cell>
          <cell r="P271">
            <v>38.47</v>
          </cell>
          <cell r="Q271">
            <v>2.282864</v>
          </cell>
          <cell r="R271" t="e">
            <v>#N/A</v>
          </cell>
        </row>
        <row r="272">
          <cell r="A272">
            <v>39863</v>
          </cell>
          <cell r="B272">
            <v>39863</v>
          </cell>
          <cell r="C272" t="str">
            <v>Past</v>
          </cell>
          <cell r="D272">
            <v>38.51</v>
          </cell>
          <cell r="E272" t="e">
            <v>#N/A</v>
          </cell>
          <cell r="F272" t="e">
            <v>#N/A</v>
          </cell>
          <cell r="G272" t="e">
            <v>#N/A</v>
          </cell>
          <cell r="H272" t="e">
            <v>#N/A</v>
          </cell>
          <cell r="I272" t="e">
            <v>#N/A</v>
          </cell>
          <cell r="J272" t="e">
            <v>#N/A</v>
          </cell>
          <cell r="K272" t="e">
            <v>#N/A</v>
          </cell>
          <cell r="L272" t="e">
            <v>#N/A</v>
          </cell>
          <cell r="M272" t="e">
            <v>#N/A</v>
          </cell>
          <cell r="N272" t="e">
            <v>#N/A</v>
          </cell>
          <cell r="O272" t="e">
            <v>#N/A</v>
          </cell>
          <cell r="P272">
            <v>38.51</v>
          </cell>
          <cell r="Q272">
            <v>2.044619</v>
          </cell>
          <cell r="R272" t="e">
            <v>#N/A</v>
          </cell>
        </row>
        <row r="273">
          <cell r="A273">
            <v>39864</v>
          </cell>
          <cell r="B273">
            <v>39864</v>
          </cell>
          <cell r="C273" t="str">
            <v>Past</v>
          </cell>
          <cell r="D273">
            <v>36.94</v>
          </cell>
          <cell r="E273" t="e">
            <v>#N/A</v>
          </cell>
          <cell r="F273" t="e">
            <v>#N/A</v>
          </cell>
          <cell r="G273" t="e">
            <v>#N/A</v>
          </cell>
          <cell r="H273" t="e">
            <v>#N/A</v>
          </cell>
          <cell r="I273" t="e">
            <v>#N/A</v>
          </cell>
          <cell r="J273" t="e">
            <v>#N/A</v>
          </cell>
          <cell r="K273" t="e">
            <v>#N/A</v>
          </cell>
          <cell r="L273" t="e">
            <v>#N/A</v>
          </cell>
          <cell r="M273" t="e">
            <v>#N/A</v>
          </cell>
          <cell r="N273" t="e">
            <v>#N/A</v>
          </cell>
          <cell r="O273" t="e">
            <v>#N/A</v>
          </cell>
          <cell r="P273">
            <v>36.94</v>
          </cell>
          <cell r="Q273">
            <v>2.8487</v>
          </cell>
          <cell r="R273" t="e">
            <v>#N/A</v>
          </cell>
        </row>
        <row r="274">
          <cell r="A274">
            <v>39867</v>
          </cell>
          <cell r="B274">
            <v>39867</v>
          </cell>
          <cell r="C274" t="str">
            <v>Past</v>
          </cell>
          <cell r="D274">
            <v>34.6</v>
          </cell>
          <cell r="E274" t="e">
            <v>#N/A</v>
          </cell>
          <cell r="F274" t="e">
            <v>#N/A</v>
          </cell>
          <cell r="G274" t="e">
            <v>#N/A</v>
          </cell>
          <cell r="H274" t="e">
            <v>#N/A</v>
          </cell>
          <cell r="I274" t="e">
            <v>#N/A</v>
          </cell>
          <cell r="J274" t="e">
            <v>#N/A</v>
          </cell>
          <cell r="K274" t="e">
            <v>#N/A</v>
          </cell>
          <cell r="L274" t="e">
            <v>#N/A</v>
          </cell>
          <cell r="M274" t="e">
            <v>#N/A</v>
          </cell>
          <cell r="N274" t="e">
            <v>#N/A</v>
          </cell>
          <cell r="O274" t="e">
            <v>#N/A</v>
          </cell>
          <cell r="P274">
            <v>34.6</v>
          </cell>
          <cell r="Q274">
            <v>2.7961429999999998</v>
          </cell>
          <cell r="R274" t="e">
            <v>#N/A</v>
          </cell>
        </row>
        <row r="275">
          <cell r="A275">
            <v>39868</v>
          </cell>
          <cell r="B275">
            <v>39868</v>
          </cell>
          <cell r="C275" t="str">
            <v>Past</v>
          </cell>
          <cell r="D275">
            <v>35.54</v>
          </cell>
          <cell r="E275" t="e">
            <v>#N/A</v>
          </cell>
          <cell r="F275" t="e">
            <v>#N/A</v>
          </cell>
          <cell r="G275" t="e">
            <v>#N/A</v>
          </cell>
          <cell r="H275" t="e">
            <v>#N/A</v>
          </cell>
          <cell r="I275" t="e">
            <v>#N/A</v>
          </cell>
          <cell r="J275" t="e">
            <v>#N/A</v>
          </cell>
          <cell r="K275" t="e">
            <v>#N/A</v>
          </cell>
          <cell r="L275" t="e">
            <v>#N/A</v>
          </cell>
          <cell r="M275" t="e">
            <v>#N/A</v>
          </cell>
          <cell r="N275" t="e">
            <v>#N/A</v>
          </cell>
          <cell r="O275" t="e">
            <v>#N/A</v>
          </cell>
          <cell r="P275">
            <v>35.54</v>
          </cell>
          <cell r="Q275">
            <v>2.1528119999999999</v>
          </cell>
          <cell r="R275" t="e">
            <v>#N/A</v>
          </cell>
        </row>
        <row r="276">
          <cell r="A276">
            <v>39869</v>
          </cell>
          <cell r="B276">
            <v>39869</v>
          </cell>
          <cell r="C276" t="str">
            <v>Past</v>
          </cell>
          <cell r="D276">
            <v>35.31</v>
          </cell>
          <cell r="E276" t="e">
            <v>#N/A</v>
          </cell>
          <cell r="F276" t="e">
            <v>#N/A</v>
          </cell>
          <cell r="G276" t="e">
            <v>#N/A</v>
          </cell>
          <cell r="H276" t="e">
            <v>#N/A</v>
          </cell>
          <cell r="I276" t="e">
            <v>#N/A</v>
          </cell>
          <cell r="J276" t="e">
            <v>#N/A</v>
          </cell>
          <cell r="K276" t="e">
            <v>#N/A</v>
          </cell>
          <cell r="L276" t="e">
            <v>#N/A</v>
          </cell>
          <cell r="M276" t="e">
            <v>#N/A</v>
          </cell>
          <cell r="N276" t="e">
            <v>#N/A</v>
          </cell>
          <cell r="O276" t="e">
            <v>#N/A</v>
          </cell>
          <cell r="P276">
            <v>35.31</v>
          </cell>
          <cell r="Q276">
            <v>2.876852</v>
          </cell>
          <cell r="R276" t="e">
            <v>#N/A</v>
          </cell>
        </row>
        <row r="277">
          <cell r="A277">
            <v>39870</v>
          </cell>
          <cell r="B277">
            <v>39870</v>
          </cell>
          <cell r="C277" t="str">
            <v>Past</v>
          </cell>
          <cell r="D277">
            <v>33.86</v>
          </cell>
          <cell r="E277" t="e">
            <v>#N/A</v>
          </cell>
          <cell r="F277" t="e">
            <v>#N/A</v>
          </cell>
          <cell r="G277" t="e">
            <v>#N/A</v>
          </cell>
          <cell r="H277" t="e">
            <v>#N/A</v>
          </cell>
          <cell r="I277" t="e">
            <v>#N/A</v>
          </cell>
          <cell r="J277" t="e">
            <v>#N/A</v>
          </cell>
          <cell r="K277" t="e">
            <v>#N/A</v>
          </cell>
          <cell r="L277" t="e">
            <v>#N/A</v>
          </cell>
          <cell r="M277" t="e">
            <v>#N/A</v>
          </cell>
          <cell r="N277" t="e">
            <v>#N/A</v>
          </cell>
          <cell r="O277" t="e">
            <v>#N/A</v>
          </cell>
          <cell r="P277">
            <v>33.86</v>
          </cell>
          <cell r="Q277">
            <v>2.1989160000000001</v>
          </cell>
          <cell r="R277" t="e">
            <v>#N/A</v>
          </cell>
        </row>
        <row r="278">
          <cell r="A278">
            <v>39871</v>
          </cell>
          <cell r="B278">
            <v>39871</v>
          </cell>
          <cell r="C278" t="str">
            <v>Past</v>
          </cell>
          <cell r="D278">
            <v>33.14</v>
          </cell>
          <cell r="E278" t="e">
            <v>#N/A</v>
          </cell>
          <cell r="F278" t="e">
            <v>#N/A</v>
          </cell>
          <cell r="G278" t="e">
            <v>#N/A</v>
          </cell>
          <cell r="H278" t="e">
            <v>#N/A</v>
          </cell>
          <cell r="I278" t="e">
            <v>#N/A</v>
          </cell>
          <cell r="J278" t="e">
            <v>#N/A</v>
          </cell>
          <cell r="K278" t="e">
            <v>#N/A</v>
          </cell>
          <cell r="L278" t="e">
            <v>#N/A</v>
          </cell>
          <cell r="M278" t="e">
            <v>#N/A</v>
          </cell>
          <cell r="N278" t="e">
            <v>#N/A</v>
          </cell>
          <cell r="O278" t="e">
            <v>#N/A</v>
          </cell>
          <cell r="P278">
            <v>33.14</v>
          </cell>
          <cell r="Q278">
            <v>2.3682479999999999</v>
          </cell>
          <cell r="R278" t="e">
            <v>#N/A</v>
          </cell>
        </row>
        <row r="279">
          <cell r="A279">
            <v>39874</v>
          </cell>
          <cell r="B279">
            <v>39874</v>
          </cell>
          <cell r="C279" t="str">
            <v>Past</v>
          </cell>
          <cell r="D279">
            <v>31.83</v>
          </cell>
          <cell r="E279" t="e">
            <v>#N/A</v>
          </cell>
          <cell r="F279" t="e">
            <v>#N/A</v>
          </cell>
          <cell r="G279" t="e">
            <v>#N/A</v>
          </cell>
          <cell r="H279" t="e">
            <v>#N/A</v>
          </cell>
          <cell r="I279" t="e">
            <v>#N/A</v>
          </cell>
          <cell r="J279" t="e">
            <v>#N/A</v>
          </cell>
          <cell r="K279" t="e">
            <v>#N/A</v>
          </cell>
          <cell r="L279" t="e">
            <v>#N/A</v>
          </cell>
          <cell r="M279" t="e">
            <v>#N/A</v>
          </cell>
          <cell r="N279" t="e">
            <v>#N/A</v>
          </cell>
          <cell r="O279" t="e">
            <v>#N/A</v>
          </cell>
          <cell r="P279">
            <v>31.83</v>
          </cell>
          <cell r="Q279">
            <v>3.3095109999999996</v>
          </cell>
          <cell r="R279" t="e">
            <v>#N/A</v>
          </cell>
        </row>
        <row r="280">
          <cell r="A280">
            <v>39875</v>
          </cell>
          <cell r="B280">
            <v>39875</v>
          </cell>
          <cell r="C280" t="str">
            <v>Past</v>
          </cell>
          <cell r="D280">
            <v>31.48</v>
          </cell>
          <cell r="E280" t="e">
            <v>#N/A</v>
          </cell>
          <cell r="F280" t="e">
            <v>#N/A</v>
          </cell>
          <cell r="G280" t="e">
            <v>#N/A</v>
          </cell>
          <cell r="H280" t="e">
            <v>#N/A</v>
          </cell>
          <cell r="I280" t="e">
            <v>#N/A</v>
          </cell>
          <cell r="J280" t="e">
            <v>#N/A</v>
          </cell>
          <cell r="K280" t="e">
            <v>#N/A</v>
          </cell>
          <cell r="L280" t="e">
            <v>#N/A</v>
          </cell>
          <cell r="M280" t="e">
            <v>#N/A</v>
          </cell>
          <cell r="N280" t="e">
            <v>#N/A</v>
          </cell>
          <cell r="O280" t="e">
            <v>#N/A</v>
          </cell>
          <cell r="P280">
            <v>31.48</v>
          </cell>
          <cell r="Q280">
            <v>2.9480139999999997</v>
          </cell>
          <cell r="R280" t="e">
            <v>#N/A</v>
          </cell>
        </row>
        <row r="281">
          <cell r="A281">
            <v>39876</v>
          </cell>
          <cell r="B281">
            <v>39876</v>
          </cell>
          <cell r="C281" t="str">
            <v>Past</v>
          </cell>
          <cell r="D281">
            <v>31.78</v>
          </cell>
          <cell r="E281" t="e">
            <v>#N/A</v>
          </cell>
          <cell r="F281" t="e">
            <v>#N/A</v>
          </cell>
          <cell r="G281" t="e">
            <v>#N/A</v>
          </cell>
          <cell r="H281" t="e">
            <v>#N/A</v>
          </cell>
          <cell r="I281" t="e">
            <v>#N/A</v>
          </cell>
          <cell r="J281" t="e">
            <v>#N/A</v>
          </cell>
          <cell r="K281" t="e">
            <v>#N/A</v>
          </cell>
          <cell r="L281" t="e">
            <v>#N/A</v>
          </cell>
          <cell r="M281" t="e">
            <v>#N/A</v>
          </cell>
          <cell r="N281" t="e">
            <v>#N/A</v>
          </cell>
          <cell r="O281" t="e">
            <v>#N/A</v>
          </cell>
          <cell r="P281">
            <v>31.78</v>
          </cell>
          <cell r="Q281">
            <v>3.0106999999999999</v>
          </cell>
          <cell r="R281" t="e">
            <v>#N/A</v>
          </cell>
        </row>
        <row r="282">
          <cell r="A282">
            <v>39877</v>
          </cell>
          <cell r="B282">
            <v>39877</v>
          </cell>
          <cell r="C282" t="str">
            <v>Past</v>
          </cell>
          <cell r="D282">
            <v>30.64</v>
          </cell>
          <cell r="E282" t="e">
            <v>#N/A</v>
          </cell>
          <cell r="F282" t="e">
            <v>#N/A</v>
          </cell>
          <cell r="G282" t="e">
            <v>#N/A</v>
          </cell>
          <cell r="H282" t="e">
            <v>#N/A</v>
          </cell>
          <cell r="I282" t="e">
            <v>#N/A</v>
          </cell>
          <cell r="J282" t="e">
            <v>#N/A</v>
          </cell>
          <cell r="K282" t="e">
            <v>#N/A</v>
          </cell>
          <cell r="L282" t="e">
            <v>#N/A</v>
          </cell>
          <cell r="M282" t="e">
            <v>#N/A</v>
          </cell>
          <cell r="N282" t="e">
            <v>#N/A</v>
          </cell>
          <cell r="O282" t="e">
            <v>#N/A</v>
          </cell>
          <cell r="P282">
            <v>30.64</v>
          </cell>
          <cell r="Q282">
            <v>2.665905</v>
          </cell>
          <cell r="R282" t="e">
            <v>#N/A</v>
          </cell>
        </row>
        <row r="283">
          <cell r="A283">
            <v>39878</v>
          </cell>
          <cell r="B283">
            <v>39878</v>
          </cell>
          <cell r="C283" t="str">
            <v>Past</v>
          </cell>
          <cell r="D283">
            <v>30.67</v>
          </cell>
          <cell r="E283" t="e">
            <v>#N/A</v>
          </cell>
          <cell r="F283" t="e">
            <v>#N/A</v>
          </cell>
          <cell r="G283" t="e">
            <v>#N/A</v>
          </cell>
          <cell r="H283" t="e">
            <v>#N/A</v>
          </cell>
          <cell r="I283" t="e">
            <v>#N/A</v>
          </cell>
          <cell r="J283" t="e">
            <v>#N/A</v>
          </cell>
          <cell r="K283" t="e">
            <v>#N/A</v>
          </cell>
          <cell r="L283" t="e">
            <v>#N/A</v>
          </cell>
          <cell r="M283" t="e">
            <v>#N/A</v>
          </cell>
          <cell r="N283" t="e">
            <v>#N/A</v>
          </cell>
          <cell r="O283" t="e">
            <v>#N/A</v>
          </cell>
          <cell r="P283">
            <v>30.67</v>
          </cell>
          <cell r="Q283">
            <v>3.1738759999999999</v>
          </cell>
          <cell r="R283" t="e">
            <v>#N/A</v>
          </cell>
        </row>
        <row r="284">
          <cell r="A284">
            <v>39881</v>
          </cell>
          <cell r="B284">
            <v>39881</v>
          </cell>
          <cell r="C284" t="str">
            <v>Past</v>
          </cell>
          <cell r="D284">
            <v>30.01</v>
          </cell>
          <cell r="E284" t="e">
            <v>#N/A</v>
          </cell>
          <cell r="F284" t="e">
            <v>#N/A</v>
          </cell>
          <cell r="G284" t="e">
            <v>#N/A</v>
          </cell>
          <cell r="H284" t="e">
            <v>#N/A</v>
          </cell>
          <cell r="I284" t="e">
            <v>#N/A</v>
          </cell>
          <cell r="J284" t="e">
            <v>#N/A</v>
          </cell>
          <cell r="K284" t="e">
            <v>#N/A</v>
          </cell>
          <cell r="L284" t="e">
            <v>#N/A</v>
          </cell>
          <cell r="M284" t="e">
            <v>#N/A</v>
          </cell>
          <cell r="N284" t="e">
            <v>#N/A</v>
          </cell>
          <cell r="O284" t="e">
            <v>#N/A</v>
          </cell>
          <cell r="P284">
            <v>30.01</v>
          </cell>
          <cell r="Q284">
            <v>2.527291</v>
          </cell>
          <cell r="R284" t="e">
            <v>#N/A</v>
          </cell>
        </row>
        <row r="285">
          <cell r="A285">
            <v>39882</v>
          </cell>
          <cell r="B285">
            <v>39882</v>
          </cell>
          <cell r="C285" t="str">
            <v>Past</v>
          </cell>
          <cell r="D285">
            <v>32.21</v>
          </cell>
          <cell r="E285" t="e">
            <v>#N/A</v>
          </cell>
          <cell r="F285" t="e">
            <v>#N/A</v>
          </cell>
          <cell r="G285" t="e">
            <v>#N/A</v>
          </cell>
          <cell r="H285" t="e">
            <v>#N/A</v>
          </cell>
          <cell r="I285" t="e">
            <v>#N/A</v>
          </cell>
          <cell r="J285" t="e">
            <v>#N/A</v>
          </cell>
          <cell r="K285" t="e">
            <v>#N/A</v>
          </cell>
          <cell r="L285" t="e">
            <v>#N/A</v>
          </cell>
          <cell r="M285" t="e">
            <v>#N/A</v>
          </cell>
          <cell r="N285" t="e">
            <v>#N/A</v>
          </cell>
          <cell r="O285" t="e">
            <v>#N/A</v>
          </cell>
          <cell r="P285">
            <v>32.21</v>
          </cell>
          <cell r="Q285">
            <v>3.1363539999999999</v>
          </cell>
          <cell r="R285" t="e">
            <v>#N/A</v>
          </cell>
        </row>
        <row r="286">
          <cell r="A286">
            <v>39883</v>
          </cell>
          <cell r="B286">
            <v>39883</v>
          </cell>
          <cell r="C286" t="str">
            <v>Past</v>
          </cell>
          <cell r="D286">
            <v>33.22</v>
          </cell>
          <cell r="E286" t="e">
            <v>#N/A</v>
          </cell>
          <cell r="F286" t="e">
            <v>#N/A</v>
          </cell>
          <cell r="G286" t="e">
            <v>#N/A</v>
          </cell>
          <cell r="H286" t="e">
            <v>#N/A</v>
          </cell>
          <cell r="I286" t="e">
            <v>#N/A</v>
          </cell>
          <cell r="J286" t="e">
            <v>#N/A</v>
          </cell>
          <cell r="K286" t="e">
            <v>#N/A</v>
          </cell>
          <cell r="L286" t="e">
            <v>#N/A</v>
          </cell>
          <cell r="M286" t="e">
            <v>#N/A</v>
          </cell>
          <cell r="N286" t="e">
            <v>#N/A</v>
          </cell>
          <cell r="O286" t="e">
            <v>#N/A</v>
          </cell>
          <cell r="P286">
            <v>33.22</v>
          </cell>
          <cell r="Q286">
            <v>3.3672779999999998</v>
          </cell>
          <cell r="R286" t="e">
            <v>#N/A</v>
          </cell>
        </row>
        <row r="287">
          <cell r="A287">
            <v>39884</v>
          </cell>
          <cell r="B287">
            <v>39884</v>
          </cell>
          <cell r="C287" t="str">
            <v>Past</v>
          </cell>
          <cell r="D287">
            <v>34.15</v>
          </cell>
          <cell r="E287" t="e">
            <v>#N/A</v>
          </cell>
          <cell r="F287" t="e">
            <v>#N/A</v>
          </cell>
          <cell r="G287" t="e">
            <v>#N/A</v>
          </cell>
          <cell r="H287" t="e">
            <v>#N/A</v>
          </cell>
          <cell r="I287" t="e">
            <v>#N/A</v>
          </cell>
          <cell r="J287" t="e">
            <v>#N/A</v>
          </cell>
          <cell r="K287" t="e">
            <v>#N/A</v>
          </cell>
          <cell r="L287" t="e">
            <v>#N/A</v>
          </cell>
          <cell r="M287" t="e">
            <v>#N/A</v>
          </cell>
          <cell r="N287" t="e">
            <v>#N/A</v>
          </cell>
          <cell r="O287" t="e">
            <v>#N/A</v>
          </cell>
          <cell r="P287">
            <v>34.15</v>
          </cell>
          <cell r="Q287">
            <v>1.9433309999999999</v>
          </cell>
          <cell r="R287" t="e">
            <v>#N/A</v>
          </cell>
        </row>
        <row r="288">
          <cell r="A288">
            <v>39885</v>
          </cell>
          <cell r="B288">
            <v>39885</v>
          </cell>
          <cell r="C288" t="str">
            <v>Past</v>
          </cell>
          <cell r="D288">
            <v>34.5</v>
          </cell>
          <cell r="E288" t="e">
            <v>#N/A</v>
          </cell>
          <cell r="F288" t="e">
            <v>#N/A</v>
          </cell>
          <cell r="G288" t="e">
            <v>#N/A</v>
          </cell>
          <cell r="H288" t="e">
            <v>#N/A</v>
          </cell>
          <cell r="I288" t="e">
            <v>#N/A</v>
          </cell>
          <cell r="J288" t="e">
            <v>#N/A</v>
          </cell>
          <cell r="K288" t="e">
            <v>#N/A</v>
          </cell>
          <cell r="L288" t="e">
            <v>#N/A</v>
          </cell>
          <cell r="M288" t="e">
            <v>#N/A</v>
          </cell>
          <cell r="N288" t="e">
            <v>#N/A</v>
          </cell>
          <cell r="O288" t="e">
            <v>#N/A</v>
          </cell>
          <cell r="P288">
            <v>34.5</v>
          </cell>
          <cell r="Q288">
            <v>2.0690219999999999</v>
          </cell>
          <cell r="R288" t="e">
            <v>#N/A</v>
          </cell>
        </row>
        <row r="289">
          <cell r="A289">
            <v>39888</v>
          </cell>
          <cell r="B289">
            <v>39888</v>
          </cell>
          <cell r="C289" t="str">
            <v>Past</v>
          </cell>
          <cell r="D289">
            <v>36.299999999999997</v>
          </cell>
          <cell r="E289" t="e">
            <v>#N/A</v>
          </cell>
          <cell r="F289" t="e">
            <v>#N/A</v>
          </cell>
          <cell r="G289" t="e">
            <v>#N/A</v>
          </cell>
          <cell r="H289" t="e">
            <v>#N/A</v>
          </cell>
          <cell r="I289" t="e">
            <v>#N/A</v>
          </cell>
          <cell r="J289" t="e">
            <v>#N/A</v>
          </cell>
          <cell r="K289" t="e">
            <v>#N/A</v>
          </cell>
          <cell r="L289" t="e">
            <v>#N/A</v>
          </cell>
          <cell r="M289" t="e">
            <v>#N/A</v>
          </cell>
          <cell r="N289" t="e">
            <v>#N/A</v>
          </cell>
          <cell r="O289" t="e">
            <v>#N/A</v>
          </cell>
          <cell r="P289">
            <v>36.299999999999997</v>
          </cell>
          <cell r="Q289">
            <v>2.9918389999999997</v>
          </cell>
          <cell r="R289" t="e">
            <v>#N/A</v>
          </cell>
        </row>
        <row r="290">
          <cell r="A290">
            <v>39889</v>
          </cell>
          <cell r="B290">
            <v>39889</v>
          </cell>
          <cell r="C290" t="str">
            <v>Past</v>
          </cell>
          <cell r="D290">
            <v>37.380000000000003</v>
          </cell>
          <cell r="E290" t="e">
            <v>#N/A</v>
          </cell>
          <cell r="F290" t="e">
            <v>#N/A</v>
          </cell>
          <cell r="G290" t="e">
            <v>#N/A</v>
          </cell>
          <cell r="H290" t="e">
            <v>#N/A</v>
          </cell>
          <cell r="I290" t="e">
            <v>#N/A</v>
          </cell>
          <cell r="J290" t="e">
            <v>#N/A</v>
          </cell>
          <cell r="K290" t="e">
            <v>#N/A</v>
          </cell>
          <cell r="L290" t="e">
            <v>#N/A</v>
          </cell>
          <cell r="M290" t="e">
            <v>#N/A</v>
          </cell>
          <cell r="N290" t="e">
            <v>#N/A</v>
          </cell>
          <cell r="O290" t="e">
            <v>#N/A</v>
          </cell>
          <cell r="P290">
            <v>37.380000000000003</v>
          </cell>
          <cell r="Q290">
            <v>1.9089600000000002</v>
          </cell>
          <cell r="R290" t="e">
            <v>#N/A</v>
          </cell>
        </row>
        <row r="291">
          <cell r="A291">
            <v>39890</v>
          </cell>
          <cell r="B291">
            <v>39890</v>
          </cell>
          <cell r="C291" t="str">
            <v>Past</v>
          </cell>
          <cell r="D291">
            <v>37.29</v>
          </cell>
          <cell r="E291" t="e">
            <v>#N/A</v>
          </cell>
          <cell r="F291" t="e">
            <v>#N/A</v>
          </cell>
          <cell r="G291" t="e">
            <v>#N/A</v>
          </cell>
          <cell r="H291" t="e">
            <v>#N/A</v>
          </cell>
          <cell r="I291" t="e">
            <v>#N/A</v>
          </cell>
          <cell r="J291" t="e">
            <v>#N/A</v>
          </cell>
          <cell r="K291" t="e">
            <v>#N/A</v>
          </cell>
          <cell r="L291" t="e">
            <v>#N/A</v>
          </cell>
          <cell r="M291" t="e">
            <v>#N/A</v>
          </cell>
          <cell r="N291" t="e">
            <v>#N/A</v>
          </cell>
          <cell r="O291" t="e">
            <v>#N/A</v>
          </cell>
          <cell r="P291">
            <v>37.29</v>
          </cell>
          <cell r="Q291">
            <v>2.5050119999999998</v>
          </cell>
          <cell r="R291" t="e">
            <v>#N/A</v>
          </cell>
        </row>
        <row r="292">
          <cell r="A292">
            <v>39891</v>
          </cell>
          <cell r="B292">
            <v>39891</v>
          </cell>
          <cell r="C292" t="str">
            <v>Past</v>
          </cell>
          <cell r="D292">
            <v>38.090000000000003</v>
          </cell>
          <cell r="E292" t="e">
            <v>#N/A</v>
          </cell>
          <cell r="F292" t="e">
            <v>#N/A</v>
          </cell>
          <cell r="G292" t="e">
            <v>#N/A</v>
          </cell>
          <cell r="H292" t="e">
            <v>#N/A</v>
          </cell>
          <cell r="I292" t="e">
            <v>#N/A</v>
          </cell>
          <cell r="J292" t="e">
            <v>#N/A</v>
          </cell>
          <cell r="K292" t="e">
            <v>#N/A</v>
          </cell>
          <cell r="L292" t="e">
            <v>#N/A</v>
          </cell>
          <cell r="M292" t="e">
            <v>#N/A</v>
          </cell>
          <cell r="N292" t="e">
            <v>#N/A</v>
          </cell>
          <cell r="O292" t="e">
            <v>#N/A</v>
          </cell>
          <cell r="P292">
            <v>38.090000000000003</v>
          </cell>
          <cell r="Q292">
            <v>1.8329700000000002</v>
          </cell>
          <cell r="R292" t="e">
            <v>#N/A</v>
          </cell>
        </row>
        <row r="293">
          <cell r="A293">
            <v>39892</v>
          </cell>
          <cell r="B293">
            <v>39892</v>
          </cell>
          <cell r="C293" t="str">
            <v>Past</v>
          </cell>
          <cell r="D293">
            <v>37.340000000000003</v>
          </cell>
          <cell r="E293" t="e">
            <v>#N/A</v>
          </cell>
          <cell r="F293" t="e">
            <v>#N/A</v>
          </cell>
          <cell r="G293" t="e">
            <v>#N/A</v>
          </cell>
          <cell r="H293" t="e">
            <v>#N/A</v>
          </cell>
          <cell r="I293" t="e">
            <v>#N/A</v>
          </cell>
          <cell r="J293" t="e">
            <v>#N/A</v>
          </cell>
          <cell r="K293" t="e">
            <v>#N/A</v>
          </cell>
          <cell r="L293" t="e">
            <v>#N/A</v>
          </cell>
          <cell r="M293" t="e">
            <v>#N/A</v>
          </cell>
          <cell r="N293" t="e">
            <v>#N/A</v>
          </cell>
          <cell r="O293" t="e">
            <v>#N/A</v>
          </cell>
          <cell r="P293">
            <v>37.340000000000003</v>
          </cell>
          <cell r="Q293">
            <v>1.507863</v>
          </cell>
          <cell r="R293" t="e">
            <v>#N/A</v>
          </cell>
        </row>
        <row r="294">
          <cell r="A294">
            <v>39895</v>
          </cell>
          <cell r="B294">
            <v>39895</v>
          </cell>
          <cell r="C294" t="str">
            <v>Past</v>
          </cell>
          <cell r="D294">
            <v>39.81</v>
          </cell>
          <cell r="E294" t="e">
            <v>#N/A</v>
          </cell>
          <cell r="F294" t="e">
            <v>#N/A</v>
          </cell>
          <cell r="G294" t="e">
            <v>#N/A</v>
          </cell>
          <cell r="H294" t="e">
            <v>#N/A</v>
          </cell>
          <cell r="I294" t="e">
            <v>#N/A</v>
          </cell>
          <cell r="J294" t="e">
            <v>#N/A</v>
          </cell>
          <cell r="K294" t="e">
            <v>#N/A</v>
          </cell>
          <cell r="L294" t="e">
            <v>#N/A</v>
          </cell>
          <cell r="M294" t="e">
            <v>#N/A</v>
          </cell>
          <cell r="N294" t="e">
            <v>#N/A</v>
          </cell>
          <cell r="O294" t="e">
            <v>#N/A</v>
          </cell>
          <cell r="P294">
            <v>39.81</v>
          </cell>
          <cell r="Q294">
            <v>1.2505459999999999</v>
          </cell>
          <cell r="R294" t="e">
            <v>#N/A</v>
          </cell>
        </row>
        <row r="295">
          <cell r="A295">
            <v>39896</v>
          </cell>
          <cell r="B295">
            <v>39896</v>
          </cell>
          <cell r="C295" t="str">
            <v>Past</v>
          </cell>
          <cell r="D295">
            <v>38.799999999999997</v>
          </cell>
          <cell r="E295" t="e">
            <v>#N/A</v>
          </cell>
          <cell r="F295" t="e">
            <v>#N/A</v>
          </cell>
          <cell r="G295" t="e">
            <v>#N/A</v>
          </cell>
          <cell r="H295" t="e">
            <v>#N/A</v>
          </cell>
          <cell r="I295" t="e">
            <v>#N/A</v>
          </cell>
          <cell r="J295" t="e">
            <v>#N/A</v>
          </cell>
          <cell r="K295" t="e">
            <v>#N/A</v>
          </cell>
          <cell r="L295" t="e">
            <v>#N/A</v>
          </cell>
          <cell r="M295" t="e">
            <v>#N/A</v>
          </cell>
          <cell r="N295" t="e">
            <v>#N/A</v>
          </cell>
          <cell r="O295" t="e">
            <v>#N/A</v>
          </cell>
          <cell r="P295">
            <v>38.799999999999997</v>
          </cell>
          <cell r="Q295">
            <v>2.1692260000000001</v>
          </cell>
          <cell r="R295" t="e">
            <v>#N/A</v>
          </cell>
        </row>
        <row r="296">
          <cell r="A296">
            <v>39897</v>
          </cell>
          <cell r="B296">
            <v>39897</v>
          </cell>
          <cell r="C296" t="str">
            <v>Past</v>
          </cell>
          <cell r="D296">
            <v>39.200000000000003</v>
          </cell>
          <cell r="E296" t="e">
            <v>#N/A</v>
          </cell>
          <cell r="F296" t="e">
            <v>#N/A</v>
          </cell>
          <cell r="G296" t="e">
            <v>#N/A</v>
          </cell>
          <cell r="H296" t="e">
            <v>#N/A</v>
          </cell>
          <cell r="I296" t="e">
            <v>#N/A</v>
          </cell>
          <cell r="J296" t="e">
            <v>#N/A</v>
          </cell>
          <cell r="K296" t="e">
            <v>#N/A</v>
          </cell>
          <cell r="L296" t="e">
            <v>#N/A</v>
          </cell>
          <cell r="M296" t="e">
            <v>#N/A</v>
          </cell>
          <cell r="N296" t="e">
            <v>#N/A</v>
          </cell>
          <cell r="O296" t="e">
            <v>#N/A</v>
          </cell>
          <cell r="P296">
            <v>39.200000000000003</v>
          </cell>
          <cell r="Q296">
            <v>2.1262159999999999</v>
          </cell>
          <cell r="R296" t="e">
            <v>#N/A</v>
          </cell>
        </row>
        <row r="297">
          <cell r="A297">
            <v>39898</v>
          </cell>
          <cell r="B297">
            <v>39898</v>
          </cell>
          <cell r="C297" t="str">
            <v>Past</v>
          </cell>
          <cell r="D297">
            <v>41.5</v>
          </cell>
          <cell r="E297" t="e">
            <v>#N/A</v>
          </cell>
          <cell r="F297" t="e">
            <v>#N/A</v>
          </cell>
          <cell r="G297" t="e">
            <v>#N/A</v>
          </cell>
          <cell r="H297" t="e">
            <v>#N/A</v>
          </cell>
          <cell r="I297" t="e">
            <v>#N/A</v>
          </cell>
          <cell r="J297" t="e">
            <v>#N/A</v>
          </cell>
          <cell r="K297" t="e">
            <v>#N/A</v>
          </cell>
          <cell r="L297" t="e">
            <v>#N/A</v>
          </cell>
          <cell r="M297" t="e">
            <v>#N/A</v>
          </cell>
          <cell r="N297" t="e">
            <v>#N/A</v>
          </cell>
          <cell r="O297" t="e">
            <v>#N/A</v>
          </cell>
          <cell r="P297">
            <v>41.5</v>
          </cell>
          <cell r="Q297">
            <v>1.8462969999999999</v>
          </cell>
          <cell r="R297" t="e">
            <v>#N/A</v>
          </cell>
        </row>
        <row r="298">
          <cell r="A298">
            <v>39899</v>
          </cell>
          <cell r="B298">
            <v>39899</v>
          </cell>
          <cell r="C298" t="str">
            <v>Past</v>
          </cell>
          <cell r="D298">
            <v>39.659999999999997</v>
          </cell>
          <cell r="E298" t="e">
            <v>#N/A</v>
          </cell>
          <cell r="F298" t="e">
            <v>#N/A</v>
          </cell>
          <cell r="G298" t="e">
            <v>#N/A</v>
          </cell>
          <cell r="H298" t="e">
            <v>#N/A</v>
          </cell>
          <cell r="I298" t="e">
            <v>#N/A</v>
          </cell>
          <cell r="J298" t="e">
            <v>#N/A</v>
          </cell>
          <cell r="K298" t="e">
            <v>#N/A</v>
          </cell>
          <cell r="L298" t="e">
            <v>#N/A</v>
          </cell>
          <cell r="M298" t="e">
            <v>#N/A</v>
          </cell>
          <cell r="N298" t="e">
            <v>#N/A</v>
          </cell>
          <cell r="O298" t="e">
            <v>#N/A</v>
          </cell>
          <cell r="P298">
            <v>39.659999999999997</v>
          </cell>
          <cell r="Q298">
            <v>2.2573189999999999</v>
          </cell>
          <cell r="R298" t="e">
            <v>#N/A</v>
          </cell>
        </row>
        <row r="299">
          <cell r="A299">
            <v>39902</v>
          </cell>
          <cell r="B299">
            <v>39902</v>
          </cell>
          <cell r="C299" t="str">
            <v>Past</v>
          </cell>
          <cell r="D299">
            <v>37.79</v>
          </cell>
          <cell r="E299" t="e">
            <v>#N/A</v>
          </cell>
          <cell r="F299" t="e">
            <v>#N/A</v>
          </cell>
          <cell r="G299" t="e">
            <v>#N/A</v>
          </cell>
          <cell r="H299" t="e">
            <v>#N/A</v>
          </cell>
          <cell r="I299" t="e">
            <v>#N/A</v>
          </cell>
          <cell r="J299" t="e">
            <v>#N/A</v>
          </cell>
          <cell r="K299" t="e">
            <v>#N/A</v>
          </cell>
          <cell r="L299" t="e">
            <v>#N/A</v>
          </cell>
          <cell r="M299" t="e">
            <v>#N/A</v>
          </cell>
          <cell r="N299" t="e">
            <v>#N/A</v>
          </cell>
          <cell r="O299" t="e">
            <v>#N/A</v>
          </cell>
          <cell r="P299">
            <v>37.79</v>
          </cell>
          <cell r="Q299">
            <v>1.8100239999999999</v>
          </cell>
          <cell r="R299" t="e">
            <v>#N/A</v>
          </cell>
        </row>
        <row r="300">
          <cell r="A300">
            <v>39903</v>
          </cell>
          <cell r="B300">
            <v>39903</v>
          </cell>
          <cell r="C300" t="str">
            <v>Past</v>
          </cell>
          <cell r="D300">
            <v>37.89</v>
          </cell>
          <cell r="E300" t="e">
            <v>#N/A</v>
          </cell>
          <cell r="F300" t="e">
            <v>#N/A</v>
          </cell>
          <cell r="G300" t="e">
            <v>#N/A</v>
          </cell>
          <cell r="H300" t="e">
            <v>#N/A</v>
          </cell>
          <cell r="I300" t="e">
            <v>#N/A</v>
          </cell>
          <cell r="J300" t="e">
            <v>#N/A</v>
          </cell>
          <cell r="K300" t="e">
            <v>#N/A</v>
          </cell>
          <cell r="L300" t="e">
            <v>#N/A</v>
          </cell>
          <cell r="M300" t="e">
            <v>#N/A</v>
          </cell>
          <cell r="N300" t="e">
            <v>#N/A</v>
          </cell>
          <cell r="O300" t="e">
            <v>#N/A</v>
          </cell>
          <cell r="P300">
            <v>37.89</v>
          </cell>
          <cell r="Q300">
            <v>1.7207679999999999</v>
          </cell>
          <cell r="R300" t="e">
            <v>#N/A</v>
          </cell>
        </row>
        <row r="301">
          <cell r="A301">
            <v>39904</v>
          </cell>
          <cell r="B301">
            <v>39904</v>
          </cell>
          <cell r="C301" t="str">
            <v>Past</v>
          </cell>
          <cell r="D301">
            <v>38.28</v>
          </cell>
          <cell r="E301" t="e">
            <v>#N/A</v>
          </cell>
          <cell r="F301" t="e">
            <v>#N/A</v>
          </cell>
          <cell r="G301" t="e">
            <v>#N/A</v>
          </cell>
          <cell r="H301" t="e">
            <v>#N/A</v>
          </cell>
          <cell r="I301" t="e">
            <v>#N/A</v>
          </cell>
          <cell r="J301" t="e">
            <v>#N/A</v>
          </cell>
          <cell r="K301" t="e">
            <v>#N/A</v>
          </cell>
          <cell r="L301" t="e">
            <v>#N/A</v>
          </cell>
          <cell r="M301" t="e">
            <v>#N/A</v>
          </cell>
          <cell r="N301" t="e">
            <v>#N/A</v>
          </cell>
          <cell r="O301" t="e">
            <v>#N/A</v>
          </cell>
          <cell r="P301">
            <v>38.28</v>
          </cell>
          <cell r="Q301">
            <v>2.7325239999999997</v>
          </cell>
          <cell r="R301" t="e">
            <v>#N/A</v>
          </cell>
        </row>
        <row r="302">
          <cell r="A302">
            <v>39905</v>
          </cell>
          <cell r="B302">
            <v>39905</v>
          </cell>
          <cell r="C302" t="str">
            <v>Past</v>
          </cell>
          <cell r="D302">
            <v>39.909999999999997</v>
          </cell>
          <cell r="E302" t="e">
            <v>#N/A</v>
          </cell>
          <cell r="F302" t="e">
            <v>#N/A</v>
          </cell>
          <cell r="G302" t="e">
            <v>#N/A</v>
          </cell>
          <cell r="H302" t="e">
            <v>#N/A</v>
          </cell>
          <cell r="I302" t="e">
            <v>#N/A</v>
          </cell>
          <cell r="J302" t="e">
            <v>#N/A</v>
          </cell>
          <cell r="K302" t="e">
            <v>#N/A</v>
          </cell>
          <cell r="L302" t="e">
            <v>#N/A</v>
          </cell>
          <cell r="M302" t="e">
            <v>#N/A</v>
          </cell>
          <cell r="N302" t="e">
            <v>#N/A</v>
          </cell>
          <cell r="O302" t="e">
            <v>#N/A</v>
          </cell>
          <cell r="P302">
            <v>39.909999999999997</v>
          </cell>
          <cell r="Q302">
            <v>2.9262479999999997</v>
          </cell>
          <cell r="R302" t="e">
            <v>#N/A</v>
          </cell>
        </row>
        <row r="303">
          <cell r="A303">
            <v>39906</v>
          </cell>
          <cell r="B303">
            <v>39906</v>
          </cell>
          <cell r="C303" t="str">
            <v>Past</v>
          </cell>
          <cell r="D303">
            <v>39.85</v>
          </cell>
          <cell r="E303" t="e">
            <v>#N/A</v>
          </cell>
          <cell r="F303" t="e">
            <v>#N/A</v>
          </cell>
          <cell r="G303" t="e">
            <v>#N/A</v>
          </cell>
          <cell r="H303" t="e">
            <v>#N/A</v>
          </cell>
          <cell r="I303" t="e">
            <v>#N/A</v>
          </cell>
          <cell r="J303" t="e">
            <v>#N/A</v>
          </cell>
          <cell r="K303" t="e">
            <v>#N/A</v>
          </cell>
          <cell r="L303" t="e">
            <v>#N/A</v>
          </cell>
          <cell r="M303" t="e">
            <v>#N/A</v>
          </cell>
          <cell r="N303" t="e">
            <v>#N/A</v>
          </cell>
          <cell r="O303" t="e">
            <v>#N/A</v>
          </cell>
          <cell r="P303">
            <v>39.85</v>
          </cell>
          <cell r="Q303">
            <v>2.3110759999999999</v>
          </cell>
          <cell r="R303" t="e">
            <v>#N/A</v>
          </cell>
        </row>
        <row r="304">
          <cell r="A304">
            <v>39909</v>
          </cell>
          <cell r="B304">
            <v>39909</v>
          </cell>
          <cell r="C304" t="str">
            <v>Past</v>
          </cell>
          <cell r="D304">
            <v>39.9</v>
          </cell>
          <cell r="E304" t="e">
            <v>#N/A</v>
          </cell>
          <cell r="F304" t="e">
            <v>#N/A</v>
          </cell>
          <cell r="G304" t="e">
            <v>#N/A</v>
          </cell>
          <cell r="H304" t="e">
            <v>#N/A</v>
          </cell>
          <cell r="I304" t="e">
            <v>#N/A</v>
          </cell>
          <cell r="J304" t="e">
            <v>#N/A</v>
          </cell>
          <cell r="K304" t="e">
            <v>#N/A</v>
          </cell>
          <cell r="L304" t="e">
            <v>#N/A</v>
          </cell>
          <cell r="M304" t="e">
            <v>#N/A</v>
          </cell>
          <cell r="N304" t="e">
            <v>#N/A</v>
          </cell>
          <cell r="O304" t="e">
            <v>#N/A</v>
          </cell>
          <cell r="P304">
            <v>39.9</v>
          </cell>
          <cell r="Q304">
            <v>1.627475</v>
          </cell>
          <cell r="R304" t="e">
            <v>#N/A</v>
          </cell>
        </row>
        <row r="305">
          <cell r="A305">
            <v>39910</v>
          </cell>
          <cell r="B305">
            <v>39910</v>
          </cell>
          <cell r="C305" t="str">
            <v>Past</v>
          </cell>
          <cell r="D305">
            <v>38.86</v>
          </cell>
          <cell r="E305" t="e">
            <v>#N/A</v>
          </cell>
          <cell r="F305" t="e">
            <v>#N/A</v>
          </cell>
          <cell r="G305" t="e">
            <v>#N/A</v>
          </cell>
          <cell r="H305" t="e">
            <v>#N/A</v>
          </cell>
          <cell r="I305" t="e">
            <v>#N/A</v>
          </cell>
          <cell r="J305" t="e">
            <v>#N/A</v>
          </cell>
          <cell r="K305" t="e">
            <v>#N/A</v>
          </cell>
          <cell r="L305" t="e">
            <v>#N/A</v>
          </cell>
          <cell r="M305" t="e">
            <v>#N/A</v>
          </cell>
          <cell r="N305" t="e">
            <v>#N/A</v>
          </cell>
          <cell r="O305" t="e">
            <v>#N/A</v>
          </cell>
          <cell r="P305">
            <v>38.86</v>
          </cell>
          <cell r="Q305">
            <v>1.667484</v>
          </cell>
          <cell r="R305" t="e">
            <v>#N/A</v>
          </cell>
        </row>
        <row r="306">
          <cell r="A306">
            <v>39911</v>
          </cell>
          <cell r="B306">
            <v>39911</v>
          </cell>
          <cell r="C306" t="str">
            <v>Past</v>
          </cell>
          <cell r="D306">
            <v>39.22</v>
          </cell>
          <cell r="E306" t="e">
            <v>#N/A</v>
          </cell>
          <cell r="F306" t="e">
            <v>#N/A</v>
          </cell>
          <cell r="G306" t="e">
            <v>#N/A</v>
          </cell>
          <cell r="H306" t="e">
            <v>#N/A</v>
          </cell>
          <cell r="I306" t="e">
            <v>#N/A</v>
          </cell>
          <cell r="J306" t="e">
            <v>#N/A</v>
          </cell>
          <cell r="K306" t="e">
            <v>#N/A</v>
          </cell>
          <cell r="L306" t="e">
            <v>#N/A</v>
          </cell>
          <cell r="M306" t="e">
            <v>#N/A</v>
          </cell>
          <cell r="N306" t="e">
            <v>#N/A</v>
          </cell>
          <cell r="O306" t="e">
            <v>#N/A</v>
          </cell>
          <cell r="P306">
            <v>39.22</v>
          </cell>
          <cell r="Q306">
            <v>1.155975</v>
          </cell>
          <cell r="R306" t="e">
            <v>#N/A</v>
          </cell>
        </row>
        <row r="307">
          <cell r="A307">
            <v>39912</v>
          </cell>
          <cell r="B307">
            <v>39912</v>
          </cell>
          <cell r="C307" t="str">
            <v>Past</v>
          </cell>
          <cell r="D307">
            <v>41.13</v>
          </cell>
          <cell r="E307" t="e">
            <v>#N/A</v>
          </cell>
          <cell r="F307" t="e">
            <v>#N/A</v>
          </cell>
          <cell r="G307" t="e">
            <v>#N/A</v>
          </cell>
          <cell r="H307" t="e">
            <v>#N/A</v>
          </cell>
          <cell r="I307" t="e">
            <v>#N/A</v>
          </cell>
          <cell r="J307" t="e">
            <v>#N/A</v>
          </cell>
          <cell r="K307" t="e">
            <v>#N/A</v>
          </cell>
          <cell r="L307" t="e">
            <v>#N/A</v>
          </cell>
          <cell r="M307" t="e">
            <v>#N/A</v>
          </cell>
          <cell r="N307" t="e">
            <v>#N/A</v>
          </cell>
          <cell r="O307" t="e">
            <v>#N/A</v>
          </cell>
          <cell r="P307">
            <v>41.13</v>
          </cell>
          <cell r="Q307">
            <v>1.8638549999999998</v>
          </cell>
          <cell r="R307" t="e">
            <v>#N/A</v>
          </cell>
        </row>
        <row r="308">
          <cell r="A308">
            <v>39916</v>
          </cell>
          <cell r="B308">
            <v>39916</v>
          </cell>
          <cell r="C308" t="str">
            <v>Past</v>
          </cell>
          <cell r="D308">
            <v>41.6</v>
          </cell>
          <cell r="E308" t="e">
            <v>#N/A</v>
          </cell>
          <cell r="F308" t="e">
            <v>#N/A</v>
          </cell>
          <cell r="G308" t="e">
            <v>#N/A</v>
          </cell>
          <cell r="H308" t="e">
            <v>#N/A</v>
          </cell>
          <cell r="I308" t="e">
            <v>#N/A</v>
          </cell>
          <cell r="J308" t="e">
            <v>#N/A</v>
          </cell>
          <cell r="K308" t="e">
            <v>#N/A</v>
          </cell>
          <cell r="L308" t="e">
            <v>#N/A</v>
          </cell>
          <cell r="M308" t="e">
            <v>#N/A</v>
          </cell>
          <cell r="N308" t="e">
            <v>#N/A</v>
          </cell>
          <cell r="O308" t="e">
            <v>#N/A</v>
          </cell>
          <cell r="P308">
            <v>41.6</v>
          </cell>
          <cell r="Q308">
            <v>1.895227</v>
          </cell>
          <cell r="R308" t="e">
            <v>#N/A</v>
          </cell>
        </row>
        <row r="309">
          <cell r="A309">
            <v>39917</v>
          </cell>
          <cell r="B309">
            <v>39917</v>
          </cell>
          <cell r="C309" t="str">
            <v>Past</v>
          </cell>
          <cell r="D309">
            <v>41.18</v>
          </cell>
          <cell r="E309" t="e">
            <v>#N/A</v>
          </cell>
          <cell r="F309" t="e">
            <v>#N/A</v>
          </cell>
          <cell r="G309" t="e">
            <v>#N/A</v>
          </cell>
          <cell r="H309" t="e">
            <v>#N/A</v>
          </cell>
          <cell r="I309" t="e">
            <v>#N/A</v>
          </cell>
          <cell r="J309" t="e">
            <v>#N/A</v>
          </cell>
          <cell r="K309" t="e">
            <v>#N/A</v>
          </cell>
          <cell r="L309" t="e">
            <v>#N/A</v>
          </cell>
          <cell r="M309" t="e">
            <v>#N/A</v>
          </cell>
          <cell r="N309" t="e">
            <v>#N/A</v>
          </cell>
          <cell r="O309" t="e">
            <v>#N/A</v>
          </cell>
          <cell r="P309">
            <v>41.18</v>
          </cell>
          <cell r="Q309">
            <v>1.6869000000000001</v>
          </cell>
          <cell r="R309" t="e">
            <v>#N/A</v>
          </cell>
        </row>
        <row r="310">
          <cell r="A310">
            <v>39918</v>
          </cell>
          <cell r="B310">
            <v>39918</v>
          </cell>
          <cell r="C310" t="str">
            <v>Past</v>
          </cell>
          <cell r="D310">
            <v>40.74</v>
          </cell>
          <cell r="E310" t="e">
            <v>#N/A</v>
          </cell>
          <cell r="F310" t="e">
            <v>#N/A</v>
          </cell>
          <cell r="G310" t="e">
            <v>#N/A</v>
          </cell>
          <cell r="H310" t="e">
            <v>#N/A</v>
          </cell>
          <cell r="I310" t="e">
            <v>#N/A</v>
          </cell>
          <cell r="J310" t="e">
            <v>#N/A</v>
          </cell>
          <cell r="K310" t="e">
            <v>#N/A</v>
          </cell>
          <cell r="L310" t="e">
            <v>#N/A</v>
          </cell>
          <cell r="M310" t="e">
            <v>#N/A</v>
          </cell>
          <cell r="N310" t="e">
            <v>#N/A</v>
          </cell>
          <cell r="O310" t="e">
            <v>#N/A</v>
          </cell>
          <cell r="P310">
            <v>40.74</v>
          </cell>
          <cell r="Q310">
            <v>1.6690800000000001</v>
          </cell>
          <cell r="R310" t="e">
            <v>#N/A</v>
          </cell>
        </row>
        <row r="311">
          <cell r="A311">
            <v>39919</v>
          </cell>
          <cell r="B311">
            <v>39919</v>
          </cell>
          <cell r="C311" t="str">
            <v>Past</v>
          </cell>
          <cell r="D311">
            <v>42.81</v>
          </cell>
          <cell r="E311" t="e">
            <v>#N/A</v>
          </cell>
          <cell r="F311" t="e">
            <v>#N/A</v>
          </cell>
          <cell r="G311" t="e">
            <v>#N/A</v>
          </cell>
          <cell r="H311" t="e">
            <v>#N/A</v>
          </cell>
          <cell r="I311" t="e">
            <v>#N/A</v>
          </cell>
          <cell r="J311" t="e">
            <v>#N/A</v>
          </cell>
          <cell r="K311" t="e">
            <v>#N/A</v>
          </cell>
          <cell r="L311" t="e">
            <v>#N/A</v>
          </cell>
          <cell r="M311" t="e">
            <v>#N/A</v>
          </cell>
          <cell r="N311" t="e">
            <v>#N/A</v>
          </cell>
          <cell r="O311" t="e">
            <v>#N/A</v>
          </cell>
          <cell r="P311">
            <v>42.81</v>
          </cell>
          <cell r="Q311">
            <v>1.4589129999999999</v>
          </cell>
          <cell r="R311" t="e">
            <v>#N/A</v>
          </cell>
        </row>
        <row r="312">
          <cell r="A312">
            <v>39920</v>
          </cell>
          <cell r="B312">
            <v>39920</v>
          </cell>
          <cell r="C312" t="str">
            <v>Past</v>
          </cell>
          <cell r="D312">
            <v>43.07</v>
          </cell>
          <cell r="E312" t="e">
            <v>#N/A</v>
          </cell>
          <cell r="F312" t="e">
            <v>#N/A</v>
          </cell>
          <cell r="G312" t="e">
            <v>#N/A</v>
          </cell>
          <cell r="H312" t="e">
            <v>#N/A</v>
          </cell>
          <cell r="I312" t="e">
            <v>#N/A</v>
          </cell>
          <cell r="J312" t="e">
            <v>#N/A</v>
          </cell>
          <cell r="K312" t="e">
            <v>#N/A</v>
          </cell>
          <cell r="L312" t="e">
            <v>#N/A</v>
          </cell>
          <cell r="M312" t="e">
            <v>#N/A</v>
          </cell>
          <cell r="N312" t="e">
            <v>#N/A</v>
          </cell>
          <cell r="O312" t="e">
            <v>#N/A</v>
          </cell>
          <cell r="P312">
            <v>43.07</v>
          </cell>
          <cell r="Q312">
            <v>1.1272</v>
          </cell>
          <cell r="R312" t="e">
            <v>#N/A</v>
          </cell>
        </row>
        <row r="313">
          <cell r="A313">
            <v>39923</v>
          </cell>
          <cell r="B313">
            <v>39923</v>
          </cell>
          <cell r="C313" t="str">
            <v>Past</v>
          </cell>
          <cell r="D313">
            <v>41.17</v>
          </cell>
          <cell r="E313" t="e">
            <v>#N/A</v>
          </cell>
          <cell r="F313" t="e">
            <v>#N/A</v>
          </cell>
          <cell r="G313" t="e">
            <v>#N/A</v>
          </cell>
          <cell r="H313" t="e">
            <v>#N/A</v>
          </cell>
          <cell r="I313" t="e">
            <v>#N/A</v>
          </cell>
          <cell r="J313" t="e">
            <v>#N/A</v>
          </cell>
          <cell r="K313" t="e">
            <v>#N/A</v>
          </cell>
          <cell r="L313" t="e">
            <v>#N/A</v>
          </cell>
          <cell r="M313" t="e">
            <v>#N/A</v>
          </cell>
          <cell r="N313" t="e">
            <v>#N/A</v>
          </cell>
          <cell r="O313" t="e">
            <v>#N/A</v>
          </cell>
          <cell r="P313">
            <v>41.17</v>
          </cell>
          <cell r="Q313">
            <v>1.379705</v>
          </cell>
          <cell r="R313" t="e">
            <v>#N/A</v>
          </cell>
        </row>
        <row r="314">
          <cell r="A314">
            <v>39924</v>
          </cell>
          <cell r="B314">
            <v>39924</v>
          </cell>
          <cell r="C314" t="str">
            <v>Past</v>
          </cell>
          <cell r="D314">
            <v>41.17</v>
          </cell>
          <cell r="E314" t="e">
            <v>#N/A</v>
          </cell>
          <cell r="F314" t="e">
            <v>#N/A</v>
          </cell>
          <cell r="G314" t="e">
            <v>#N/A</v>
          </cell>
          <cell r="H314" t="e">
            <v>#N/A</v>
          </cell>
          <cell r="I314" t="e">
            <v>#N/A</v>
          </cell>
          <cell r="J314" t="e">
            <v>#N/A</v>
          </cell>
          <cell r="K314" t="e">
            <v>#N/A</v>
          </cell>
          <cell r="L314" t="e">
            <v>#N/A</v>
          </cell>
          <cell r="M314" t="e">
            <v>#N/A</v>
          </cell>
          <cell r="N314" t="e">
            <v>#N/A</v>
          </cell>
          <cell r="O314" t="e">
            <v>#N/A</v>
          </cell>
          <cell r="P314">
            <v>41.17</v>
          </cell>
          <cell r="Q314">
            <v>1.582948</v>
          </cell>
          <cell r="R314" t="e">
            <v>#N/A</v>
          </cell>
        </row>
        <row r="315">
          <cell r="A315">
            <v>39925</v>
          </cell>
          <cell r="B315">
            <v>39925</v>
          </cell>
          <cell r="C315" t="str">
            <v>Past</v>
          </cell>
          <cell r="D315">
            <v>41.83</v>
          </cell>
          <cell r="E315" t="e">
            <v>#N/A</v>
          </cell>
          <cell r="F315" t="e">
            <v>#N/A</v>
          </cell>
          <cell r="G315" t="e">
            <v>#N/A</v>
          </cell>
          <cell r="H315" t="e">
            <v>#N/A</v>
          </cell>
          <cell r="I315" t="e">
            <v>#N/A</v>
          </cell>
          <cell r="J315" t="e">
            <v>#N/A</v>
          </cell>
          <cell r="K315" t="e">
            <v>#N/A</v>
          </cell>
          <cell r="L315" t="e">
            <v>#N/A</v>
          </cell>
          <cell r="M315" t="e">
            <v>#N/A</v>
          </cell>
          <cell r="N315" t="e">
            <v>#N/A</v>
          </cell>
          <cell r="O315" t="e">
            <v>#N/A</v>
          </cell>
          <cell r="P315">
            <v>41.83</v>
          </cell>
          <cell r="Q315">
            <v>2.3186070000000001</v>
          </cell>
          <cell r="R315" t="e">
            <v>#N/A</v>
          </cell>
        </row>
        <row r="316">
          <cell r="A316">
            <v>39926</v>
          </cell>
          <cell r="B316">
            <v>39926</v>
          </cell>
          <cell r="C316" t="str">
            <v>Past</v>
          </cell>
          <cell r="D316">
            <v>46.02</v>
          </cell>
          <cell r="E316" t="e">
            <v>#N/A</v>
          </cell>
          <cell r="F316" t="e">
            <v>#N/A</v>
          </cell>
          <cell r="G316" t="e">
            <v>#N/A</v>
          </cell>
          <cell r="H316" t="e">
            <v>#N/A</v>
          </cell>
          <cell r="I316" t="e">
            <v>#N/A</v>
          </cell>
          <cell r="J316" t="e">
            <v>#N/A</v>
          </cell>
          <cell r="K316" t="e">
            <v>#N/A</v>
          </cell>
          <cell r="L316" t="e">
            <v>#N/A</v>
          </cell>
          <cell r="M316" t="e">
            <v>#N/A</v>
          </cell>
          <cell r="N316" t="e">
            <v>#N/A</v>
          </cell>
          <cell r="O316" t="e">
            <v>#N/A</v>
          </cell>
          <cell r="P316">
            <v>46.02</v>
          </cell>
          <cell r="Q316">
            <v>4.4681200000000008</v>
          </cell>
          <cell r="R316" t="e">
            <v>#N/A</v>
          </cell>
        </row>
        <row r="317">
          <cell r="A317">
            <v>39927</v>
          </cell>
          <cell r="B317">
            <v>39927</v>
          </cell>
          <cell r="C317" t="str">
            <v>Past</v>
          </cell>
          <cell r="D317">
            <v>45.13</v>
          </cell>
          <cell r="E317" t="e">
            <v>#N/A</v>
          </cell>
          <cell r="F317" t="e">
            <v>#N/A</v>
          </cell>
          <cell r="G317" t="e">
            <v>#N/A</v>
          </cell>
          <cell r="H317" t="e">
            <v>#N/A</v>
          </cell>
          <cell r="I317" t="e">
            <v>#N/A</v>
          </cell>
          <cell r="J317" t="e">
            <v>#N/A</v>
          </cell>
          <cell r="K317" t="e">
            <v>#N/A</v>
          </cell>
          <cell r="L317" t="e">
            <v>#N/A</v>
          </cell>
          <cell r="M317" t="e">
            <v>#N/A</v>
          </cell>
          <cell r="N317" t="e">
            <v>#N/A</v>
          </cell>
          <cell r="O317" t="e">
            <v>#N/A</v>
          </cell>
          <cell r="P317">
            <v>45.13</v>
          </cell>
          <cell r="Q317">
            <v>2.789717</v>
          </cell>
          <cell r="R317" t="e">
            <v>#N/A</v>
          </cell>
        </row>
        <row r="318">
          <cell r="A318">
            <v>39930</v>
          </cell>
          <cell r="B318">
            <v>39930</v>
          </cell>
          <cell r="C318" t="str">
            <v>Past</v>
          </cell>
          <cell r="D318">
            <v>43.85</v>
          </cell>
          <cell r="E318" t="e">
            <v>#N/A</v>
          </cell>
          <cell r="F318" t="e">
            <v>#N/A</v>
          </cell>
          <cell r="G318" t="e">
            <v>#N/A</v>
          </cell>
          <cell r="H318" t="e">
            <v>#N/A</v>
          </cell>
          <cell r="I318" t="e">
            <v>#N/A</v>
          </cell>
          <cell r="J318" t="e">
            <v>#N/A</v>
          </cell>
          <cell r="K318" t="e">
            <v>#N/A</v>
          </cell>
          <cell r="L318" t="e">
            <v>#N/A</v>
          </cell>
          <cell r="M318" t="e">
            <v>#N/A</v>
          </cell>
          <cell r="N318" t="e">
            <v>#N/A</v>
          </cell>
          <cell r="O318" t="e">
            <v>#N/A</v>
          </cell>
          <cell r="P318">
            <v>43.85</v>
          </cell>
          <cell r="Q318">
            <v>2.2388600000000003</v>
          </cell>
          <cell r="R318" t="e">
            <v>#N/A</v>
          </cell>
        </row>
        <row r="319">
          <cell r="A319">
            <v>39931</v>
          </cell>
          <cell r="B319">
            <v>39931</v>
          </cell>
          <cell r="C319" t="str">
            <v>Past</v>
          </cell>
          <cell r="D319">
            <v>42.65</v>
          </cell>
          <cell r="E319" t="e">
            <v>#N/A</v>
          </cell>
          <cell r="F319" t="e">
            <v>#N/A</v>
          </cell>
          <cell r="G319" t="e">
            <v>#N/A</v>
          </cell>
          <cell r="H319" t="e">
            <v>#N/A</v>
          </cell>
          <cell r="I319" t="e">
            <v>#N/A</v>
          </cell>
          <cell r="J319" t="e">
            <v>#N/A</v>
          </cell>
          <cell r="K319" t="e">
            <v>#N/A</v>
          </cell>
          <cell r="L319" t="e">
            <v>#N/A</v>
          </cell>
          <cell r="M319" t="e">
            <v>#N/A</v>
          </cell>
          <cell r="N319" t="e">
            <v>#N/A</v>
          </cell>
          <cell r="O319" t="e">
            <v>#N/A</v>
          </cell>
          <cell r="P319">
            <v>42.65</v>
          </cell>
          <cell r="Q319">
            <v>2.0864210000000001</v>
          </cell>
          <cell r="R319" t="e">
            <v>#N/A</v>
          </cell>
        </row>
        <row r="320">
          <cell r="A320">
            <v>39932</v>
          </cell>
          <cell r="B320">
            <v>39932</v>
          </cell>
          <cell r="C320" t="str">
            <v>Past</v>
          </cell>
          <cell r="D320">
            <v>45.03</v>
          </cell>
          <cell r="E320" t="e">
            <v>#N/A</v>
          </cell>
          <cell r="F320" t="e">
            <v>#N/A</v>
          </cell>
          <cell r="G320" t="e">
            <v>#N/A</v>
          </cell>
          <cell r="H320" t="e">
            <v>#N/A</v>
          </cell>
          <cell r="I320" t="e">
            <v>#N/A</v>
          </cell>
          <cell r="J320" t="e">
            <v>#N/A</v>
          </cell>
          <cell r="K320" t="e">
            <v>#N/A</v>
          </cell>
          <cell r="L320" t="e">
            <v>#N/A</v>
          </cell>
          <cell r="M320" t="e">
            <v>#N/A</v>
          </cell>
          <cell r="N320" t="e">
            <v>#N/A</v>
          </cell>
          <cell r="O320" t="e">
            <v>#N/A</v>
          </cell>
          <cell r="P320">
            <v>45.03</v>
          </cell>
          <cell r="Q320">
            <v>1.7660769999999999</v>
          </cell>
          <cell r="R320" t="e">
            <v>#N/A</v>
          </cell>
        </row>
        <row r="321">
          <cell r="A321">
            <v>39933</v>
          </cell>
          <cell r="B321">
            <v>39933</v>
          </cell>
          <cell r="C321" t="str">
            <v>Past</v>
          </cell>
          <cell r="D321">
            <v>44.28</v>
          </cell>
          <cell r="E321" t="e">
            <v>#N/A</v>
          </cell>
          <cell r="F321" t="e">
            <v>#N/A</v>
          </cell>
          <cell r="G321" t="e">
            <v>#N/A</v>
          </cell>
          <cell r="H321" t="e">
            <v>#N/A</v>
          </cell>
          <cell r="I321" t="e">
            <v>#N/A</v>
          </cell>
          <cell r="J321" t="e">
            <v>#N/A</v>
          </cell>
          <cell r="K321" t="e">
            <v>#N/A</v>
          </cell>
          <cell r="L321" t="e">
            <v>#N/A</v>
          </cell>
          <cell r="M321" t="e">
            <v>#N/A</v>
          </cell>
          <cell r="N321" t="e">
            <v>#N/A</v>
          </cell>
          <cell r="O321" t="e">
            <v>#N/A</v>
          </cell>
          <cell r="P321">
            <v>44.28</v>
          </cell>
          <cell r="Q321">
            <v>1.2825819999999999</v>
          </cell>
          <cell r="R321" t="e">
            <v>#N/A</v>
          </cell>
        </row>
        <row r="322">
          <cell r="A322">
            <v>39934</v>
          </cell>
          <cell r="B322">
            <v>39934</v>
          </cell>
          <cell r="C322" t="str">
            <v>Past</v>
          </cell>
          <cell r="D322">
            <v>45.24</v>
          </cell>
          <cell r="E322" t="e">
            <v>#N/A</v>
          </cell>
          <cell r="F322" t="e">
            <v>#N/A</v>
          </cell>
          <cell r="G322" t="e">
            <v>#N/A</v>
          </cell>
          <cell r="H322" t="e">
            <v>#N/A</v>
          </cell>
          <cell r="I322" t="e">
            <v>#N/A</v>
          </cell>
          <cell r="J322" t="e">
            <v>#N/A</v>
          </cell>
          <cell r="K322" t="e">
            <v>#N/A</v>
          </cell>
          <cell r="L322" t="e">
            <v>#N/A</v>
          </cell>
          <cell r="M322" t="e">
            <v>#N/A</v>
          </cell>
          <cell r="N322" t="e">
            <v>#N/A</v>
          </cell>
          <cell r="O322" t="e">
            <v>#N/A</v>
          </cell>
          <cell r="P322">
            <v>45.24</v>
          </cell>
          <cell r="Q322">
            <v>1.3176289999999999</v>
          </cell>
          <cell r="R322" t="e">
            <v>#N/A</v>
          </cell>
        </row>
        <row r="323">
          <cell r="A323">
            <v>39937</v>
          </cell>
          <cell r="B323">
            <v>39937</v>
          </cell>
          <cell r="C323" t="str">
            <v>Past</v>
          </cell>
          <cell r="D323">
            <v>45.08</v>
          </cell>
          <cell r="E323" t="e">
            <v>#N/A</v>
          </cell>
          <cell r="F323" t="e">
            <v>#N/A</v>
          </cell>
          <cell r="G323" t="e">
            <v>#N/A</v>
          </cell>
          <cell r="H323" t="e">
            <v>#N/A</v>
          </cell>
          <cell r="I323" t="e">
            <v>#N/A</v>
          </cell>
          <cell r="J323" t="e">
            <v>#N/A</v>
          </cell>
          <cell r="K323" t="e">
            <v>#N/A</v>
          </cell>
          <cell r="L323" t="e">
            <v>#N/A</v>
          </cell>
          <cell r="M323" t="e">
            <v>#N/A</v>
          </cell>
          <cell r="N323" t="e">
            <v>#N/A</v>
          </cell>
          <cell r="O323" t="e">
            <v>#N/A</v>
          </cell>
          <cell r="P323">
            <v>45.08</v>
          </cell>
          <cell r="Q323">
            <v>1.5090700000000001</v>
          </cell>
          <cell r="R323" t="e">
            <v>#N/A</v>
          </cell>
        </row>
        <row r="324">
          <cell r="A324">
            <v>39938</v>
          </cell>
          <cell r="B324">
            <v>39938</v>
          </cell>
          <cell r="C324" t="str">
            <v>Past</v>
          </cell>
          <cell r="D324">
            <v>44.87</v>
          </cell>
          <cell r="E324" t="e">
            <v>#N/A</v>
          </cell>
          <cell r="F324" t="e">
            <v>#N/A</v>
          </cell>
          <cell r="G324" t="e">
            <v>#N/A</v>
          </cell>
          <cell r="H324" t="e">
            <v>#N/A</v>
          </cell>
          <cell r="I324" t="e">
            <v>#N/A</v>
          </cell>
          <cell r="J324" t="e">
            <v>#N/A</v>
          </cell>
          <cell r="K324" t="e">
            <v>#N/A</v>
          </cell>
          <cell r="L324" t="e">
            <v>#N/A</v>
          </cell>
          <cell r="M324" t="e">
            <v>#N/A</v>
          </cell>
          <cell r="N324" t="e">
            <v>#N/A</v>
          </cell>
          <cell r="O324" t="e">
            <v>#N/A</v>
          </cell>
          <cell r="P324">
            <v>44.87</v>
          </cell>
          <cell r="Q324">
            <v>1.0640879999999999</v>
          </cell>
          <cell r="R324" t="e">
            <v>#N/A</v>
          </cell>
        </row>
        <row r="325">
          <cell r="A325">
            <v>39939</v>
          </cell>
          <cell r="B325">
            <v>39939</v>
          </cell>
          <cell r="C325" t="str">
            <v>Past</v>
          </cell>
          <cell r="D325">
            <v>45.16</v>
          </cell>
          <cell r="E325" t="e">
            <v>#N/A</v>
          </cell>
          <cell r="F325" t="e">
            <v>#N/A</v>
          </cell>
          <cell r="G325" t="e">
            <v>#N/A</v>
          </cell>
          <cell r="H325" t="e">
            <v>#N/A</v>
          </cell>
          <cell r="I325" t="e">
            <v>#N/A</v>
          </cell>
          <cell r="J325" t="e">
            <v>#N/A</v>
          </cell>
          <cell r="K325" t="e">
            <v>#N/A</v>
          </cell>
          <cell r="L325" t="e">
            <v>#N/A</v>
          </cell>
          <cell r="M325" t="e">
            <v>#N/A</v>
          </cell>
          <cell r="N325" t="e">
            <v>#N/A</v>
          </cell>
          <cell r="O325" t="e">
            <v>#N/A</v>
          </cell>
          <cell r="P325">
            <v>45.16</v>
          </cell>
          <cell r="Q325">
            <v>1.0861339999999999</v>
          </cell>
          <cell r="R325" t="e">
            <v>#N/A</v>
          </cell>
        </row>
        <row r="326">
          <cell r="A326">
            <v>39940</v>
          </cell>
          <cell r="B326">
            <v>39940</v>
          </cell>
          <cell r="C326" t="str">
            <v>Past</v>
          </cell>
          <cell r="D326">
            <v>43.74</v>
          </cell>
          <cell r="E326" t="e">
            <v>#N/A</v>
          </cell>
          <cell r="F326" t="e">
            <v>#N/A</v>
          </cell>
          <cell r="G326" t="e">
            <v>#N/A</v>
          </cell>
          <cell r="H326" t="e">
            <v>#N/A</v>
          </cell>
          <cell r="I326" t="e">
            <v>#N/A</v>
          </cell>
          <cell r="J326" t="e">
            <v>#N/A</v>
          </cell>
          <cell r="K326" t="e">
            <v>#N/A</v>
          </cell>
          <cell r="L326" t="e">
            <v>#N/A</v>
          </cell>
          <cell r="M326" t="e">
            <v>#N/A</v>
          </cell>
          <cell r="N326" t="e">
            <v>#N/A</v>
          </cell>
          <cell r="O326" t="e">
            <v>#N/A</v>
          </cell>
          <cell r="P326">
            <v>43.74</v>
          </cell>
          <cell r="Q326">
            <v>1.135305</v>
          </cell>
          <cell r="R326" t="e">
            <v>#N/A</v>
          </cell>
        </row>
        <row r="327">
          <cell r="A327">
            <v>39941</v>
          </cell>
          <cell r="B327">
            <v>39941</v>
          </cell>
          <cell r="C327" t="str">
            <v>Past</v>
          </cell>
          <cell r="D327">
            <v>45.86</v>
          </cell>
          <cell r="E327" t="e">
            <v>#N/A</v>
          </cell>
          <cell r="F327" t="e">
            <v>#N/A</v>
          </cell>
          <cell r="G327" t="e">
            <v>#N/A</v>
          </cell>
          <cell r="H327" t="e">
            <v>#N/A</v>
          </cell>
          <cell r="I327" t="e">
            <v>#N/A</v>
          </cell>
          <cell r="J327" t="e">
            <v>#N/A</v>
          </cell>
          <cell r="K327" t="e">
            <v>#N/A</v>
          </cell>
          <cell r="L327" t="e">
            <v>#N/A</v>
          </cell>
          <cell r="M327" t="e">
            <v>#N/A</v>
          </cell>
          <cell r="N327" t="e">
            <v>#N/A</v>
          </cell>
          <cell r="O327" t="e">
            <v>#N/A</v>
          </cell>
          <cell r="P327">
            <v>45.86</v>
          </cell>
          <cell r="Q327">
            <v>1.547604</v>
          </cell>
          <cell r="R327" t="e">
            <v>#N/A</v>
          </cell>
        </row>
        <row r="328">
          <cell r="A328">
            <v>39944</v>
          </cell>
          <cell r="B328">
            <v>39944</v>
          </cell>
          <cell r="C328" t="str">
            <v>Past</v>
          </cell>
          <cell r="D328">
            <v>43.96</v>
          </cell>
          <cell r="E328" t="e">
            <v>#N/A</v>
          </cell>
          <cell r="F328" t="e">
            <v>#N/A</v>
          </cell>
          <cell r="G328" t="e">
            <v>#N/A</v>
          </cell>
          <cell r="H328" t="e">
            <v>#N/A</v>
          </cell>
          <cell r="I328" t="e">
            <v>#N/A</v>
          </cell>
          <cell r="J328" t="e">
            <v>#N/A</v>
          </cell>
          <cell r="K328" t="e">
            <v>#N/A</v>
          </cell>
          <cell r="L328" t="e">
            <v>#N/A</v>
          </cell>
          <cell r="M328" t="e">
            <v>#N/A</v>
          </cell>
          <cell r="N328" t="e">
            <v>#N/A</v>
          </cell>
          <cell r="O328" t="e">
            <v>#N/A</v>
          </cell>
          <cell r="P328">
            <v>43.96</v>
          </cell>
          <cell r="Q328">
            <v>1.5615479999999999</v>
          </cell>
          <cell r="R328" t="e">
            <v>#N/A</v>
          </cell>
        </row>
        <row r="329">
          <cell r="A329">
            <v>39945</v>
          </cell>
          <cell r="B329">
            <v>39945</v>
          </cell>
          <cell r="C329" t="str">
            <v>Past</v>
          </cell>
          <cell r="D329">
            <v>43.68</v>
          </cell>
          <cell r="E329" t="e">
            <v>#N/A</v>
          </cell>
          <cell r="F329" t="e">
            <v>#N/A</v>
          </cell>
          <cell r="G329" t="e">
            <v>#N/A</v>
          </cell>
          <cell r="H329" t="e">
            <v>#N/A</v>
          </cell>
          <cell r="I329" t="e">
            <v>#N/A</v>
          </cell>
          <cell r="J329" t="e">
            <v>#N/A</v>
          </cell>
          <cell r="K329" t="e">
            <v>#N/A</v>
          </cell>
          <cell r="L329" t="e">
            <v>#N/A</v>
          </cell>
          <cell r="M329" t="e">
            <v>#N/A</v>
          </cell>
          <cell r="N329" t="e">
            <v>#N/A</v>
          </cell>
          <cell r="O329" t="e">
            <v>#N/A</v>
          </cell>
          <cell r="P329">
            <v>43.68</v>
          </cell>
          <cell r="Q329">
            <v>1.246891</v>
          </cell>
          <cell r="R329" t="e">
            <v>#N/A</v>
          </cell>
        </row>
        <row r="330">
          <cell r="A330">
            <v>39946</v>
          </cell>
          <cell r="B330">
            <v>39946</v>
          </cell>
          <cell r="C330" t="str">
            <v>Past</v>
          </cell>
          <cell r="D330">
            <v>42.77</v>
          </cell>
          <cell r="E330" t="e">
            <v>#N/A</v>
          </cell>
          <cell r="F330" t="e">
            <v>#N/A</v>
          </cell>
          <cell r="G330" t="e">
            <v>#N/A</v>
          </cell>
          <cell r="H330" t="e">
            <v>#N/A</v>
          </cell>
          <cell r="I330" t="e">
            <v>#N/A</v>
          </cell>
          <cell r="J330" t="e">
            <v>#N/A</v>
          </cell>
          <cell r="K330" t="e">
            <v>#N/A</v>
          </cell>
          <cell r="L330" t="e">
            <v>#N/A</v>
          </cell>
          <cell r="M330" t="e">
            <v>#N/A</v>
          </cell>
          <cell r="N330" t="e">
            <v>#N/A</v>
          </cell>
          <cell r="O330" t="e">
            <v>#N/A</v>
          </cell>
          <cell r="P330">
            <v>42.77</v>
          </cell>
          <cell r="Q330">
            <v>1.3639779999999999</v>
          </cell>
          <cell r="R330" t="e">
            <v>#N/A</v>
          </cell>
        </row>
        <row r="331">
          <cell r="A331">
            <v>39947</v>
          </cell>
          <cell r="B331">
            <v>39947</v>
          </cell>
          <cell r="C331" t="str">
            <v>Past</v>
          </cell>
          <cell r="D331">
            <v>43.17</v>
          </cell>
          <cell r="E331" t="e">
            <v>#N/A</v>
          </cell>
          <cell r="F331" t="e">
            <v>#N/A</v>
          </cell>
          <cell r="G331" t="e">
            <v>#N/A</v>
          </cell>
          <cell r="H331" t="e">
            <v>#N/A</v>
          </cell>
          <cell r="I331" t="e">
            <v>#N/A</v>
          </cell>
          <cell r="J331" t="e">
            <v>#N/A</v>
          </cell>
          <cell r="K331" t="e">
            <v>#N/A</v>
          </cell>
          <cell r="L331" t="e">
            <v>#N/A</v>
          </cell>
          <cell r="M331" t="e">
            <v>#N/A</v>
          </cell>
          <cell r="N331" t="e">
            <v>#N/A</v>
          </cell>
          <cell r="O331" t="e">
            <v>#N/A</v>
          </cell>
          <cell r="P331">
            <v>43.17</v>
          </cell>
          <cell r="Q331">
            <v>1.1019669999999999</v>
          </cell>
          <cell r="R331" t="e">
            <v>#N/A</v>
          </cell>
        </row>
        <row r="332">
          <cell r="A332">
            <v>39948</v>
          </cell>
          <cell r="B332">
            <v>39948</v>
          </cell>
          <cell r="C332" t="str">
            <v>Past</v>
          </cell>
          <cell r="D332">
            <v>43.31</v>
          </cell>
          <cell r="E332" t="e">
            <v>#N/A</v>
          </cell>
          <cell r="F332" t="e">
            <v>#N/A</v>
          </cell>
          <cell r="G332" t="e">
            <v>#N/A</v>
          </cell>
          <cell r="H332" t="e">
            <v>#N/A</v>
          </cell>
          <cell r="I332" t="e">
            <v>#N/A</v>
          </cell>
          <cell r="J332" t="e">
            <v>#N/A</v>
          </cell>
          <cell r="K332" t="e">
            <v>#N/A</v>
          </cell>
          <cell r="L332" t="e">
            <v>#N/A</v>
          </cell>
          <cell r="M332" t="e">
            <v>#N/A</v>
          </cell>
          <cell r="N332" t="e">
            <v>#N/A</v>
          </cell>
          <cell r="O332" t="e">
            <v>#N/A</v>
          </cell>
          <cell r="P332">
            <v>43.31</v>
          </cell>
          <cell r="Q332">
            <v>1.1442189999999999</v>
          </cell>
          <cell r="R332" t="e">
            <v>#N/A</v>
          </cell>
        </row>
        <row r="333">
          <cell r="A333">
            <v>39951</v>
          </cell>
          <cell r="B333">
            <v>39951</v>
          </cell>
          <cell r="C333" t="str">
            <v>Past</v>
          </cell>
          <cell r="D333">
            <v>45.86</v>
          </cell>
          <cell r="E333" t="e">
            <v>#N/A</v>
          </cell>
          <cell r="F333" t="e">
            <v>#N/A</v>
          </cell>
          <cell r="G333" t="e">
            <v>#N/A</v>
          </cell>
          <cell r="H333" t="e">
            <v>#N/A</v>
          </cell>
          <cell r="I333" t="e">
            <v>#N/A</v>
          </cell>
          <cell r="J333" t="e">
            <v>#N/A</v>
          </cell>
          <cell r="K333" t="e">
            <v>#N/A</v>
          </cell>
          <cell r="L333" t="e">
            <v>#N/A</v>
          </cell>
          <cell r="M333" t="e">
            <v>#N/A</v>
          </cell>
          <cell r="N333" t="e">
            <v>#N/A</v>
          </cell>
          <cell r="O333" t="e">
            <v>#N/A</v>
          </cell>
          <cell r="P333">
            <v>45.86</v>
          </cell>
          <cell r="Q333">
            <v>1.829048</v>
          </cell>
          <cell r="R333" t="e">
            <v>#N/A</v>
          </cell>
        </row>
        <row r="334">
          <cell r="A334">
            <v>39952</v>
          </cell>
          <cell r="B334">
            <v>39952</v>
          </cell>
          <cell r="C334" t="str">
            <v>Past</v>
          </cell>
          <cell r="D334">
            <v>45.74</v>
          </cell>
          <cell r="E334" t="e">
            <v>#N/A</v>
          </cell>
          <cell r="F334" t="e">
            <v>#N/A</v>
          </cell>
          <cell r="G334" t="e">
            <v>#N/A</v>
          </cell>
          <cell r="H334" t="e">
            <v>#N/A</v>
          </cell>
          <cell r="I334" t="e">
            <v>#N/A</v>
          </cell>
          <cell r="J334" t="e">
            <v>#N/A</v>
          </cell>
          <cell r="K334" t="e">
            <v>#N/A</v>
          </cell>
          <cell r="L334" t="e">
            <v>#N/A</v>
          </cell>
          <cell r="M334" t="e">
            <v>#N/A</v>
          </cell>
          <cell r="N334" t="e">
            <v>#N/A</v>
          </cell>
          <cell r="O334" t="e">
            <v>#N/A</v>
          </cell>
          <cell r="P334">
            <v>45.74</v>
          </cell>
          <cell r="Q334">
            <v>0.974024</v>
          </cell>
          <cell r="R334" t="e">
            <v>#N/A</v>
          </cell>
        </row>
        <row r="335">
          <cell r="A335">
            <v>39953</v>
          </cell>
          <cell r="B335">
            <v>39953</v>
          </cell>
          <cell r="C335" t="str">
            <v>Past</v>
          </cell>
          <cell r="D335">
            <v>46.51</v>
          </cell>
          <cell r="E335" t="e">
            <v>#N/A</v>
          </cell>
          <cell r="F335" t="e">
            <v>#N/A</v>
          </cell>
          <cell r="G335" t="e">
            <v>#N/A</v>
          </cell>
          <cell r="H335" t="e">
            <v>#N/A</v>
          </cell>
          <cell r="I335" t="e">
            <v>#N/A</v>
          </cell>
          <cell r="J335" t="e">
            <v>#N/A</v>
          </cell>
          <cell r="K335" t="e">
            <v>#N/A</v>
          </cell>
          <cell r="L335" t="e">
            <v>#N/A</v>
          </cell>
          <cell r="M335" t="e">
            <v>#N/A</v>
          </cell>
          <cell r="N335" t="e">
            <v>#N/A</v>
          </cell>
          <cell r="O335" t="e">
            <v>#N/A</v>
          </cell>
          <cell r="P335">
            <v>46.51</v>
          </cell>
          <cell r="Q335">
            <v>1.6043209999999999</v>
          </cell>
          <cell r="R335" t="e">
            <v>#N/A</v>
          </cell>
        </row>
        <row r="336">
          <cell r="A336">
            <v>39954</v>
          </cell>
          <cell r="B336">
            <v>39954</v>
          </cell>
          <cell r="C336" t="str">
            <v>Past</v>
          </cell>
          <cell r="D336">
            <v>44.75</v>
          </cell>
          <cell r="E336" t="e">
            <v>#N/A</v>
          </cell>
          <cell r="F336" t="e">
            <v>#N/A</v>
          </cell>
          <cell r="G336" t="e">
            <v>#N/A</v>
          </cell>
          <cell r="H336" t="e">
            <v>#N/A</v>
          </cell>
          <cell r="I336" t="e">
            <v>#N/A</v>
          </cell>
          <cell r="J336" t="e">
            <v>#N/A</v>
          </cell>
          <cell r="K336" t="e">
            <v>#N/A</v>
          </cell>
          <cell r="L336" t="e">
            <v>#N/A</v>
          </cell>
          <cell r="M336" t="e">
            <v>#N/A</v>
          </cell>
          <cell r="N336" t="e">
            <v>#N/A</v>
          </cell>
          <cell r="O336" t="e">
            <v>#N/A</v>
          </cell>
          <cell r="P336">
            <v>44.75</v>
          </cell>
          <cell r="Q336">
            <v>1.0782100000000001</v>
          </cell>
          <cell r="R336" t="e">
            <v>#N/A</v>
          </cell>
        </row>
        <row r="337">
          <cell r="A337">
            <v>39955</v>
          </cell>
          <cell r="B337">
            <v>39955</v>
          </cell>
          <cell r="C337" t="str">
            <v>Past</v>
          </cell>
          <cell r="D337">
            <v>44.73</v>
          </cell>
          <cell r="E337" t="e">
            <v>#N/A</v>
          </cell>
          <cell r="F337" t="e">
            <v>#N/A</v>
          </cell>
          <cell r="G337" t="e">
            <v>#N/A</v>
          </cell>
          <cell r="H337" t="e">
            <v>#N/A</v>
          </cell>
          <cell r="I337" t="e">
            <v>#N/A</v>
          </cell>
          <cell r="J337" t="e">
            <v>#N/A</v>
          </cell>
          <cell r="K337" t="e">
            <v>#N/A</v>
          </cell>
          <cell r="L337" t="e">
            <v>#N/A</v>
          </cell>
          <cell r="M337" t="e">
            <v>#N/A</v>
          </cell>
          <cell r="N337" t="e">
            <v>#N/A</v>
          </cell>
          <cell r="O337" t="e">
            <v>#N/A</v>
          </cell>
          <cell r="P337">
            <v>44.73</v>
          </cell>
          <cell r="Q337">
            <v>0.77779799999999999</v>
          </cell>
          <cell r="R337" t="e">
            <v>#N/A</v>
          </cell>
        </row>
        <row r="338">
          <cell r="A338">
            <v>39959</v>
          </cell>
          <cell r="B338">
            <v>39959</v>
          </cell>
          <cell r="C338" t="str">
            <v>Past</v>
          </cell>
          <cell r="D338">
            <v>46.04</v>
          </cell>
          <cell r="E338" t="e">
            <v>#N/A</v>
          </cell>
          <cell r="F338" t="e">
            <v>#N/A</v>
          </cell>
          <cell r="G338" t="e">
            <v>#N/A</v>
          </cell>
          <cell r="H338" t="e">
            <v>#N/A</v>
          </cell>
          <cell r="I338" t="e">
            <v>#N/A</v>
          </cell>
          <cell r="J338" t="e">
            <v>#N/A</v>
          </cell>
          <cell r="K338" t="e">
            <v>#N/A</v>
          </cell>
          <cell r="L338" t="e">
            <v>#N/A</v>
          </cell>
          <cell r="M338" t="e">
            <v>#N/A</v>
          </cell>
          <cell r="N338" t="e">
            <v>#N/A</v>
          </cell>
          <cell r="O338" t="e">
            <v>#N/A</v>
          </cell>
          <cell r="P338">
            <v>46.04</v>
          </cell>
          <cell r="Q338">
            <v>1.0172509999999999</v>
          </cell>
          <cell r="R338" t="e">
            <v>#N/A</v>
          </cell>
        </row>
        <row r="339">
          <cell r="A339">
            <v>39960</v>
          </cell>
          <cell r="B339">
            <v>39960</v>
          </cell>
          <cell r="C339" t="str">
            <v>Past</v>
          </cell>
          <cell r="D339">
            <v>46.7</v>
          </cell>
          <cell r="E339" t="e">
            <v>#N/A</v>
          </cell>
          <cell r="F339" t="e">
            <v>#N/A</v>
          </cell>
          <cell r="G339" t="e">
            <v>#N/A</v>
          </cell>
          <cell r="H339" t="e">
            <v>#N/A</v>
          </cell>
          <cell r="I339" t="e">
            <v>#N/A</v>
          </cell>
          <cell r="J339" t="e">
            <v>#N/A</v>
          </cell>
          <cell r="K339" t="e">
            <v>#N/A</v>
          </cell>
          <cell r="L339" t="e">
            <v>#N/A</v>
          </cell>
          <cell r="M339" t="e">
            <v>#N/A</v>
          </cell>
          <cell r="N339" t="e">
            <v>#N/A</v>
          </cell>
          <cell r="O339" t="e">
            <v>#N/A</v>
          </cell>
          <cell r="P339">
            <v>46.7</v>
          </cell>
          <cell r="Q339">
            <v>2.0086490000000001</v>
          </cell>
          <cell r="R339" t="e">
            <v>#N/A</v>
          </cell>
        </row>
        <row r="340">
          <cell r="A340">
            <v>39961</v>
          </cell>
          <cell r="B340">
            <v>39961</v>
          </cell>
          <cell r="C340" t="str">
            <v>Past</v>
          </cell>
          <cell r="D340">
            <v>47.88</v>
          </cell>
          <cell r="E340" t="e">
            <v>#N/A</v>
          </cell>
          <cell r="F340" t="e">
            <v>#N/A</v>
          </cell>
          <cell r="G340" t="e">
            <v>#N/A</v>
          </cell>
          <cell r="H340" t="e">
            <v>#N/A</v>
          </cell>
          <cell r="I340" t="e">
            <v>#N/A</v>
          </cell>
          <cell r="J340" t="e">
            <v>#N/A</v>
          </cell>
          <cell r="K340" t="e">
            <v>#N/A</v>
          </cell>
          <cell r="L340" t="e">
            <v>#N/A</v>
          </cell>
          <cell r="M340" t="e">
            <v>#N/A</v>
          </cell>
          <cell r="N340" t="e">
            <v>#N/A</v>
          </cell>
          <cell r="O340" t="e">
            <v>#N/A</v>
          </cell>
          <cell r="P340">
            <v>47.88</v>
          </cell>
          <cell r="Q340">
            <v>1.809018</v>
          </cell>
          <cell r="R340" t="e">
            <v>#N/A</v>
          </cell>
        </row>
        <row r="341">
          <cell r="A341">
            <v>39962</v>
          </cell>
          <cell r="B341">
            <v>39962</v>
          </cell>
          <cell r="C341" t="str">
            <v>Past</v>
          </cell>
          <cell r="D341">
            <v>48.54</v>
          </cell>
          <cell r="E341" t="e">
            <v>#N/A</v>
          </cell>
          <cell r="F341" t="e">
            <v>#N/A</v>
          </cell>
          <cell r="G341" t="e">
            <v>#N/A</v>
          </cell>
          <cell r="H341" t="e">
            <v>#N/A</v>
          </cell>
          <cell r="I341" t="e">
            <v>#N/A</v>
          </cell>
          <cell r="J341" t="e">
            <v>#N/A</v>
          </cell>
          <cell r="K341" t="e">
            <v>#N/A</v>
          </cell>
          <cell r="L341" t="e">
            <v>#N/A</v>
          </cell>
          <cell r="M341" t="e">
            <v>#N/A</v>
          </cell>
          <cell r="N341" t="e">
            <v>#N/A</v>
          </cell>
          <cell r="O341" t="e">
            <v>#N/A</v>
          </cell>
          <cell r="P341">
            <v>48.54</v>
          </cell>
          <cell r="Q341">
            <v>1.736586</v>
          </cell>
          <cell r="R341" t="e">
            <v>#N/A</v>
          </cell>
        </row>
        <row r="342">
          <cell r="A342">
            <v>39965</v>
          </cell>
          <cell r="B342">
            <v>39965</v>
          </cell>
          <cell r="C342" t="str">
            <v>Past</v>
          </cell>
          <cell r="D342">
            <v>51.69</v>
          </cell>
          <cell r="E342" t="e">
            <v>#N/A</v>
          </cell>
          <cell r="F342" t="e">
            <v>#N/A</v>
          </cell>
          <cell r="G342" t="e">
            <v>#N/A</v>
          </cell>
          <cell r="H342" t="e">
            <v>#N/A</v>
          </cell>
          <cell r="I342" t="e">
            <v>#N/A</v>
          </cell>
          <cell r="J342" t="e">
            <v>#N/A</v>
          </cell>
          <cell r="K342" t="e">
            <v>#N/A</v>
          </cell>
          <cell r="L342" t="e">
            <v>#N/A</v>
          </cell>
          <cell r="M342" t="e">
            <v>#N/A</v>
          </cell>
          <cell r="N342" t="e">
            <v>#N/A</v>
          </cell>
          <cell r="O342" t="e">
            <v>#N/A</v>
          </cell>
          <cell r="P342">
            <v>51.69</v>
          </cell>
          <cell r="Q342">
            <v>2.1773289999999998</v>
          </cell>
          <cell r="R342" t="e">
            <v>#N/A</v>
          </cell>
        </row>
        <row r="343">
          <cell r="A343">
            <v>39966</v>
          </cell>
          <cell r="B343">
            <v>39966</v>
          </cell>
          <cell r="C343" t="str">
            <v>Past</v>
          </cell>
          <cell r="D343">
            <v>52.18</v>
          </cell>
          <cell r="E343" t="e">
            <v>#N/A</v>
          </cell>
          <cell r="F343" t="e">
            <v>#N/A</v>
          </cell>
          <cell r="G343" t="e">
            <v>#N/A</v>
          </cell>
          <cell r="H343" t="e">
            <v>#N/A</v>
          </cell>
          <cell r="I343" t="e">
            <v>#N/A</v>
          </cell>
          <cell r="J343" t="e">
            <v>#N/A</v>
          </cell>
          <cell r="K343" t="e">
            <v>#N/A</v>
          </cell>
          <cell r="L343" t="e">
            <v>#N/A</v>
          </cell>
          <cell r="M343" t="e">
            <v>#N/A</v>
          </cell>
          <cell r="N343" t="e">
            <v>#N/A</v>
          </cell>
          <cell r="O343" t="e">
            <v>#N/A</v>
          </cell>
          <cell r="P343">
            <v>52.18</v>
          </cell>
          <cell r="Q343">
            <v>1.382147</v>
          </cell>
          <cell r="R343" t="e">
            <v>#N/A</v>
          </cell>
        </row>
        <row r="344">
          <cell r="A344">
            <v>39967</v>
          </cell>
          <cell r="B344">
            <v>39967</v>
          </cell>
          <cell r="C344" t="str">
            <v>Past</v>
          </cell>
          <cell r="D344">
            <v>52.09</v>
          </cell>
          <cell r="E344" t="e">
            <v>#N/A</v>
          </cell>
          <cell r="F344" t="e">
            <v>#N/A</v>
          </cell>
          <cell r="G344" t="e">
            <v>#N/A</v>
          </cell>
          <cell r="H344" t="e">
            <v>#N/A</v>
          </cell>
          <cell r="I344" t="e">
            <v>#N/A</v>
          </cell>
          <cell r="J344" t="e">
            <v>#N/A</v>
          </cell>
          <cell r="K344" t="e">
            <v>#N/A</v>
          </cell>
          <cell r="L344" t="e">
            <v>#N/A</v>
          </cell>
          <cell r="M344" t="e">
            <v>#N/A</v>
          </cell>
          <cell r="N344" t="e">
            <v>#N/A</v>
          </cell>
          <cell r="O344" t="e">
            <v>#N/A</v>
          </cell>
          <cell r="P344">
            <v>52.09</v>
          </cell>
          <cell r="Q344">
            <v>1.55742</v>
          </cell>
          <cell r="R344" t="e">
            <v>#N/A</v>
          </cell>
        </row>
        <row r="345">
          <cell r="A345">
            <v>39968</v>
          </cell>
          <cell r="B345">
            <v>39968</v>
          </cell>
          <cell r="C345" t="str">
            <v>Past</v>
          </cell>
          <cell r="D345">
            <v>53.32</v>
          </cell>
          <cell r="E345" t="e">
            <v>#N/A</v>
          </cell>
          <cell r="F345" t="e">
            <v>#N/A</v>
          </cell>
          <cell r="G345" t="e">
            <v>#N/A</v>
          </cell>
          <cell r="H345" t="e">
            <v>#N/A</v>
          </cell>
          <cell r="I345" t="e">
            <v>#N/A</v>
          </cell>
          <cell r="J345" t="e">
            <v>#N/A</v>
          </cell>
          <cell r="K345" t="e">
            <v>#N/A</v>
          </cell>
          <cell r="L345" t="e">
            <v>#N/A</v>
          </cell>
          <cell r="M345" t="e">
            <v>#N/A</v>
          </cell>
          <cell r="N345" t="e">
            <v>#N/A</v>
          </cell>
          <cell r="O345" t="e">
            <v>#N/A</v>
          </cell>
          <cell r="P345">
            <v>53.32</v>
          </cell>
          <cell r="Q345">
            <v>1.0994619999999999</v>
          </cell>
          <cell r="R345" t="e">
            <v>#N/A</v>
          </cell>
        </row>
        <row r="346">
          <cell r="A346">
            <v>39969</v>
          </cell>
          <cell r="B346">
            <v>39969</v>
          </cell>
          <cell r="C346" t="str">
            <v>Past</v>
          </cell>
          <cell r="D346">
            <v>54.74</v>
          </cell>
          <cell r="E346" t="e">
            <v>#N/A</v>
          </cell>
          <cell r="F346" t="e">
            <v>#N/A</v>
          </cell>
          <cell r="G346" t="e">
            <v>#N/A</v>
          </cell>
          <cell r="H346" t="e">
            <v>#N/A</v>
          </cell>
          <cell r="I346" t="e">
            <v>#N/A</v>
          </cell>
          <cell r="J346" t="e">
            <v>#N/A</v>
          </cell>
          <cell r="K346" t="e">
            <v>#N/A</v>
          </cell>
          <cell r="L346" t="e">
            <v>#N/A</v>
          </cell>
          <cell r="M346" t="e">
            <v>#N/A</v>
          </cell>
          <cell r="N346" t="e">
            <v>#N/A</v>
          </cell>
          <cell r="O346" t="e">
            <v>#N/A</v>
          </cell>
          <cell r="P346">
            <v>54.74</v>
          </cell>
          <cell r="Q346">
            <v>1.789355</v>
          </cell>
          <cell r="R346" t="e">
            <v>#N/A</v>
          </cell>
        </row>
        <row r="347">
          <cell r="A347">
            <v>39972</v>
          </cell>
          <cell r="B347">
            <v>39972</v>
          </cell>
          <cell r="C347" t="str">
            <v>Past</v>
          </cell>
          <cell r="D347">
            <v>54.04</v>
          </cell>
          <cell r="E347" t="e">
            <v>#N/A</v>
          </cell>
          <cell r="F347" t="e">
            <v>#N/A</v>
          </cell>
          <cell r="G347" t="e">
            <v>#N/A</v>
          </cell>
          <cell r="H347" t="e">
            <v>#N/A</v>
          </cell>
          <cell r="I347" t="e">
            <v>#N/A</v>
          </cell>
          <cell r="J347" t="e">
            <v>#N/A</v>
          </cell>
          <cell r="K347" t="e">
            <v>#N/A</v>
          </cell>
          <cell r="L347" t="e">
            <v>#N/A</v>
          </cell>
          <cell r="M347" t="e">
            <v>#N/A</v>
          </cell>
          <cell r="N347" t="e">
            <v>#N/A</v>
          </cell>
          <cell r="O347" t="e">
            <v>#N/A</v>
          </cell>
          <cell r="P347">
            <v>54.04</v>
          </cell>
          <cell r="Q347">
            <v>1.1108089999999999</v>
          </cell>
          <cell r="R347" t="e">
            <v>#N/A</v>
          </cell>
        </row>
        <row r="348">
          <cell r="A348">
            <v>39973</v>
          </cell>
          <cell r="B348">
            <v>39973</v>
          </cell>
          <cell r="C348" t="str">
            <v>Past</v>
          </cell>
          <cell r="D348">
            <v>53.33</v>
          </cell>
          <cell r="E348" t="e">
            <v>#N/A</v>
          </cell>
          <cell r="F348" t="e">
            <v>#N/A</v>
          </cell>
          <cell r="G348" t="e">
            <v>#N/A</v>
          </cell>
          <cell r="H348" t="e">
            <v>#N/A</v>
          </cell>
          <cell r="I348" t="e">
            <v>#N/A</v>
          </cell>
          <cell r="J348" t="e">
            <v>#N/A</v>
          </cell>
          <cell r="K348" t="e">
            <v>#N/A</v>
          </cell>
          <cell r="L348" t="e">
            <v>#N/A</v>
          </cell>
          <cell r="M348" t="e">
            <v>#N/A</v>
          </cell>
          <cell r="N348" t="e">
            <v>#N/A</v>
          </cell>
          <cell r="O348" t="e">
            <v>#N/A</v>
          </cell>
          <cell r="P348">
            <v>53.33</v>
          </cell>
          <cell r="Q348">
            <v>1.3106900000000001</v>
          </cell>
          <cell r="R348" t="e">
            <v>#N/A</v>
          </cell>
        </row>
        <row r="349">
          <cell r="A349">
            <v>39974</v>
          </cell>
          <cell r="B349">
            <v>39974</v>
          </cell>
          <cell r="C349" t="str">
            <v>Past</v>
          </cell>
          <cell r="D349">
            <v>53.25</v>
          </cell>
          <cell r="E349" t="e">
            <v>#N/A</v>
          </cell>
          <cell r="F349" t="e">
            <v>#N/A</v>
          </cell>
          <cell r="G349" t="e">
            <v>#N/A</v>
          </cell>
          <cell r="H349" t="e">
            <v>#N/A</v>
          </cell>
          <cell r="I349" t="e">
            <v>#N/A</v>
          </cell>
          <cell r="J349" t="e">
            <v>#N/A</v>
          </cell>
          <cell r="K349" t="e">
            <v>#N/A</v>
          </cell>
          <cell r="L349" t="e">
            <v>#N/A</v>
          </cell>
          <cell r="M349" t="e">
            <v>#N/A</v>
          </cell>
          <cell r="N349" t="e">
            <v>#N/A</v>
          </cell>
          <cell r="O349" t="e">
            <v>#N/A</v>
          </cell>
          <cell r="P349">
            <v>53.25</v>
          </cell>
          <cell r="Q349">
            <v>1.201668</v>
          </cell>
          <cell r="R349" t="e">
            <v>#N/A</v>
          </cell>
        </row>
        <row r="350">
          <cell r="A350">
            <v>39975</v>
          </cell>
          <cell r="B350">
            <v>39975</v>
          </cell>
          <cell r="C350" t="str">
            <v>Past</v>
          </cell>
          <cell r="D350">
            <v>51.72</v>
          </cell>
          <cell r="E350" t="e">
            <v>#N/A</v>
          </cell>
          <cell r="F350" t="e">
            <v>#N/A</v>
          </cell>
          <cell r="G350" t="e">
            <v>#N/A</v>
          </cell>
          <cell r="H350" t="e">
            <v>#N/A</v>
          </cell>
          <cell r="I350" t="e">
            <v>#N/A</v>
          </cell>
          <cell r="J350" t="e">
            <v>#N/A</v>
          </cell>
          <cell r="K350" t="e">
            <v>#N/A</v>
          </cell>
          <cell r="L350" t="e">
            <v>#N/A</v>
          </cell>
          <cell r="M350" t="e">
            <v>#N/A</v>
          </cell>
          <cell r="N350" t="e">
            <v>#N/A</v>
          </cell>
          <cell r="O350" t="e">
            <v>#N/A</v>
          </cell>
          <cell r="P350">
            <v>51.72</v>
          </cell>
          <cell r="Q350">
            <v>2.3399700000000001</v>
          </cell>
          <cell r="R350" t="e">
            <v>#N/A</v>
          </cell>
        </row>
        <row r="351">
          <cell r="A351">
            <v>39976</v>
          </cell>
          <cell r="B351">
            <v>39976</v>
          </cell>
          <cell r="C351" t="str">
            <v>Past</v>
          </cell>
          <cell r="D351">
            <v>53.36</v>
          </cell>
          <cell r="E351" t="e">
            <v>#N/A</v>
          </cell>
          <cell r="F351" t="e">
            <v>#N/A</v>
          </cell>
          <cell r="G351" t="e">
            <v>#N/A</v>
          </cell>
          <cell r="H351" t="e">
            <v>#N/A</v>
          </cell>
          <cell r="I351" t="e">
            <v>#N/A</v>
          </cell>
          <cell r="J351" t="e">
            <v>#N/A</v>
          </cell>
          <cell r="K351" t="e">
            <v>#N/A</v>
          </cell>
          <cell r="L351" t="e">
            <v>#N/A</v>
          </cell>
          <cell r="M351" t="e">
            <v>#N/A</v>
          </cell>
          <cell r="N351" t="e">
            <v>#N/A</v>
          </cell>
          <cell r="O351" t="e">
            <v>#N/A</v>
          </cell>
          <cell r="P351">
            <v>53.36</v>
          </cell>
          <cell r="Q351">
            <v>1.4403249999999999</v>
          </cell>
          <cell r="R351" t="e">
            <v>#N/A</v>
          </cell>
        </row>
        <row r="352">
          <cell r="A352">
            <v>39979</v>
          </cell>
          <cell r="B352">
            <v>39979</v>
          </cell>
          <cell r="C352" t="str">
            <v>Past</v>
          </cell>
          <cell r="D352">
            <v>50.94</v>
          </cell>
          <cell r="E352" t="e">
            <v>#N/A</v>
          </cell>
          <cell r="F352" t="e">
            <v>#N/A</v>
          </cell>
          <cell r="G352" t="e">
            <v>#N/A</v>
          </cell>
          <cell r="H352" t="e">
            <v>#N/A</v>
          </cell>
          <cell r="I352" t="e">
            <v>#N/A</v>
          </cell>
          <cell r="J352" t="e">
            <v>#N/A</v>
          </cell>
          <cell r="K352" t="e">
            <v>#N/A</v>
          </cell>
          <cell r="L352" t="e">
            <v>#N/A</v>
          </cell>
          <cell r="M352" t="e">
            <v>#N/A</v>
          </cell>
          <cell r="N352" t="e">
            <v>#N/A</v>
          </cell>
          <cell r="O352" t="e">
            <v>#N/A</v>
          </cell>
          <cell r="P352">
            <v>50.94</v>
          </cell>
          <cell r="Q352">
            <v>1.388917</v>
          </cell>
          <cell r="R352" t="e">
            <v>#N/A</v>
          </cell>
        </row>
        <row r="353">
          <cell r="A353">
            <v>39980</v>
          </cell>
          <cell r="B353">
            <v>39980</v>
          </cell>
          <cell r="C353" t="str">
            <v>Past</v>
          </cell>
          <cell r="D353">
            <v>49.87</v>
          </cell>
          <cell r="E353" t="e">
            <v>#N/A</v>
          </cell>
          <cell r="F353" t="e">
            <v>#N/A</v>
          </cell>
          <cell r="G353" t="e">
            <v>#N/A</v>
          </cell>
          <cell r="H353" t="e">
            <v>#N/A</v>
          </cell>
          <cell r="I353" t="e">
            <v>#N/A</v>
          </cell>
          <cell r="J353" t="e">
            <v>#N/A</v>
          </cell>
          <cell r="K353" t="e">
            <v>#N/A</v>
          </cell>
          <cell r="L353" t="e">
            <v>#N/A</v>
          </cell>
          <cell r="M353" t="e">
            <v>#N/A</v>
          </cell>
          <cell r="N353" t="e">
            <v>#N/A</v>
          </cell>
          <cell r="O353" t="e">
            <v>#N/A</v>
          </cell>
          <cell r="P353">
            <v>49.87</v>
          </cell>
          <cell r="Q353">
            <v>1.504839</v>
          </cell>
          <cell r="R353" t="e">
            <v>#N/A</v>
          </cell>
        </row>
        <row r="354">
          <cell r="A354">
            <v>39981</v>
          </cell>
          <cell r="B354">
            <v>39981</v>
          </cell>
          <cell r="C354" t="str">
            <v>Past</v>
          </cell>
          <cell r="D354">
            <v>50.49</v>
          </cell>
          <cell r="E354" t="e">
            <v>#N/A</v>
          </cell>
          <cell r="F354" t="e">
            <v>#N/A</v>
          </cell>
          <cell r="G354" t="e">
            <v>#N/A</v>
          </cell>
          <cell r="H354" t="e">
            <v>#N/A</v>
          </cell>
          <cell r="I354" t="e">
            <v>#N/A</v>
          </cell>
          <cell r="J354" t="e">
            <v>#N/A</v>
          </cell>
          <cell r="K354" t="e">
            <v>#N/A</v>
          </cell>
          <cell r="L354" t="e">
            <v>#N/A</v>
          </cell>
          <cell r="M354" t="e">
            <v>#N/A</v>
          </cell>
          <cell r="N354" t="e">
            <v>#N/A</v>
          </cell>
          <cell r="O354" t="e">
            <v>#N/A</v>
          </cell>
          <cell r="P354">
            <v>50.49</v>
          </cell>
          <cell r="Q354">
            <v>1.356781</v>
          </cell>
          <cell r="R354" t="e">
            <v>#N/A</v>
          </cell>
        </row>
        <row r="355">
          <cell r="A355">
            <v>39982</v>
          </cell>
          <cell r="B355">
            <v>39982</v>
          </cell>
          <cell r="C355" t="str">
            <v>Past</v>
          </cell>
          <cell r="D355">
            <v>51.14</v>
          </cell>
          <cell r="E355" t="e">
            <v>#N/A</v>
          </cell>
          <cell r="F355" t="e">
            <v>#N/A</v>
          </cell>
          <cell r="G355" t="e">
            <v>#N/A</v>
          </cell>
          <cell r="H355" t="e">
            <v>#N/A</v>
          </cell>
          <cell r="I355" t="e">
            <v>#N/A</v>
          </cell>
          <cell r="J355" t="e">
            <v>#N/A</v>
          </cell>
          <cell r="K355" t="e">
            <v>#N/A</v>
          </cell>
          <cell r="L355" t="e">
            <v>#N/A</v>
          </cell>
          <cell r="M355" t="e">
            <v>#N/A</v>
          </cell>
          <cell r="N355" t="e">
            <v>#N/A</v>
          </cell>
          <cell r="O355" t="e">
            <v>#N/A</v>
          </cell>
          <cell r="P355">
            <v>51.14</v>
          </cell>
          <cell r="Q355">
            <v>1.0622659999999999</v>
          </cell>
          <cell r="R355" t="e">
            <v>#N/A</v>
          </cell>
        </row>
        <row r="356">
          <cell r="A356">
            <v>39983</v>
          </cell>
          <cell r="B356">
            <v>39983</v>
          </cell>
          <cell r="C356" t="str">
            <v>Past</v>
          </cell>
          <cell r="D356">
            <v>51.62</v>
          </cell>
          <cell r="E356" t="e">
            <v>#N/A</v>
          </cell>
          <cell r="F356" t="e">
            <v>#N/A</v>
          </cell>
          <cell r="G356" t="e">
            <v>#N/A</v>
          </cell>
          <cell r="H356" t="e">
            <v>#N/A</v>
          </cell>
          <cell r="I356" t="e">
            <v>#N/A</v>
          </cell>
          <cell r="J356" t="e">
            <v>#N/A</v>
          </cell>
          <cell r="K356" t="e">
            <v>#N/A</v>
          </cell>
          <cell r="L356" t="e">
            <v>#N/A</v>
          </cell>
          <cell r="M356" t="e">
            <v>#N/A</v>
          </cell>
          <cell r="N356" t="e">
            <v>#N/A</v>
          </cell>
          <cell r="O356" t="e">
            <v>#N/A</v>
          </cell>
          <cell r="P356">
            <v>51.62</v>
          </cell>
          <cell r="Q356">
            <v>1.2555319999999999</v>
          </cell>
          <cell r="R356" t="e">
            <v>#N/A</v>
          </cell>
        </row>
        <row r="357">
          <cell r="A357">
            <v>39986</v>
          </cell>
          <cell r="B357">
            <v>39986</v>
          </cell>
          <cell r="C357" t="str">
            <v>Past</v>
          </cell>
          <cell r="D357">
            <v>49.43</v>
          </cell>
          <cell r="E357" t="e">
            <v>#N/A</v>
          </cell>
          <cell r="F357" t="e">
            <v>#N/A</v>
          </cell>
          <cell r="G357" t="e">
            <v>#N/A</v>
          </cell>
          <cell r="H357" t="e">
            <v>#N/A</v>
          </cell>
          <cell r="I357" t="e">
            <v>#N/A</v>
          </cell>
          <cell r="J357" t="e">
            <v>#N/A</v>
          </cell>
          <cell r="K357" t="e">
            <v>#N/A</v>
          </cell>
          <cell r="L357" t="e">
            <v>#N/A</v>
          </cell>
          <cell r="M357" t="e">
            <v>#N/A</v>
          </cell>
          <cell r="N357" t="e">
            <v>#N/A</v>
          </cell>
          <cell r="O357" t="e">
            <v>#N/A</v>
          </cell>
          <cell r="P357">
            <v>49.43</v>
          </cell>
          <cell r="Q357">
            <v>1.0920209999999999</v>
          </cell>
          <cell r="R357" t="e">
            <v>#N/A</v>
          </cell>
        </row>
        <row r="358">
          <cell r="A358">
            <v>39987</v>
          </cell>
          <cell r="B358">
            <v>39987</v>
          </cell>
          <cell r="C358" t="str">
            <v>Past</v>
          </cell>
          <cell r="D358">
            <v>49.07</v>
          </cell>
          <cell r="E358" t="e">
            <v>#N/A</v>
          </cell>
          <cell r="F358" t="e">
            <v>#N/A</v>
          </cell>
          <cell r="G358" t="e">
            <v>#N/A</v>
          </cell>
          <cell r="H358" t="e">
            <v>#N/A</v>
          </cell>
          <cell r="I358" t="e">
            <v>#N/A</v>
          </cell>
          <cell r="J358" t="e">
            <v>#N/A</v>
          </cell>
          <cell r="K358" t="e">
            <v>#N/A</v>
          </cell>
          <cell r="L358" t="e">
            <v>#N/A</v>
          </cell>
          <cell r="M358" t="e">
            <v>#N/A</v>
          </cell>
          <cell r="N358" t="e">
            <v>#N/A</v>
          </cell>
          <cell r="O358" t="e">
            <v>#N/A</v>
          </cell>
          <cell r="P358">
            <v>49.07</v>
          </cell>
          <cell r="Q358">
            <v>1.895859</v>
          </cell>
          <cell r="R358" t="e">
            <v>#N/A</v>
          </cell>
        </row>
        <row r="359">
          <cell r="A359">
            <v>39988</v>
          </cell>
          <cell r="B359">
            <v>39988</v>
          </cell>
          <cell r="C359" t="str">
            <v>Past</v>
          </cell>
          <cell r="D359">
            <v>49.44</v>
          </cell>
          <cell r="E359" t="e">
            <v>#N/A</v>
          </cell>
          <cell r="F359" t="e">
            <v>#N/A</v>
          </cell>
          <cell r="G359" t="e">
            <v>#N/A</v>
          </cell>
          <cell r="H359" t="e">
            <v>#N/A</v>
          </cell>
          <cell r="I359" t="e">
            <v>#N/A</v>
          </cell>
          <cell r="J359" t="e">
            <v>#N/A</v>
          </cell>
          <cell r="K359" t="e">
            <v>#N/A</v>
          </cell>
          <cell r="L359" t="e">
            <v>#N/A</v>
          </cell>
          <cell r="M359" t="e">
            <v>#N/A</v>
          </cell>
          <cell r="N359" t="e">
            <v>#N/A</v>
          </cell>
          <cell r="O359" t="e">
            <v>#N/A</v>
          </cell>
          <cell r="P359">
            <v>49.44</v>
          </cell>
          <cell r="Q359">
            <v>1.887303</v>
          </cell>
          <cell r="R359" t="e">
            <v>#N/A</v>
          </cell>
        </row>
        <row r="360">
          <cell r="A360">
            <v>39989</v>
          </cell>
          <cell r="B360">
            <v>39989</v>
          </cell>
          <cell r="C360" t="str">
            <v>Past</v>
          </cell>
          <cell r="D360">
            <v>50.9</v>
          </cell>
          <cell r="E360" t="e">
            <v>#N/A</v>
          </cell>
          <cell r="F360" t="e">
            <v>#N/A</v>
          </cell>
          <cell r="G360" t="e">
            <v>#N/A</v>
          </cell>
          <cell r="H360" t="e">
            <v>#N/A</v>
          </cell>
          <cell r="I360" t="e">
            <v>#N/A</v>
          </cell>
          <cell r="J360" t="e">
            <v>#N/A</v>
          </cell>
          <cell r="K360" t="e">
            <v>#N/A</v>
          </cell>
          <cell r="L360" t="e">
            <v>#N/A</v>
          </cell>
          <cell r="M360" t="e">
            <v>#N/A</v>
          </cell>
          <cell r="N360" t="e">
            <v>#N/A</v>
          </cell>
          <cell r="O360" t="e">
            <v>#N/A</v>
          </cell>
          <cell r="P360">
            <v>50.9</v>
          </cell>
          <cell r="Q360">
            <v>1.0261</v>
          </cell>
          <cell r="R360" t="e">
            <v>#N/A</v>
          </cell>
        </row>
        <row r="361">
          <cell r="A361">
            <v>39990</v>
          </cell>
          <cell r="B361">
            <v>39990</v>
          </cell>
          <cell r="C361" t="str">
            <v>Past</v>
          </cell>
          <cell r="D361">
            <v>49.96</v>
          </cell>
          <cell r="E361" t="e">
            <v>#N/A</v>
          </cell>
          <cell r="F361" t="e">
            <v>#N/A</v>
          </cell>
          <cell r="G361" t="e">
            <v>#N/A</v>
          </cell>
          <cell r="H361" t="e">
            <v>#N/A</v>
          </cell>
          <cell r="I361" t="e">
            <v>#N/A</v>
          </cell>
          <cell r="J361" t="e">
            <v>#N/A</v>
          </cell>
          <cell r="K361" t="e">
            <v>#N/A</v>
          </cell>
          <cell r="L361" t="e">
            <v>#N/A</v>
          </cell>
          <cell r="M361" t="e">
            <v>#N/A</v>
          </cell>
          <cell r="N361" t="e">
            <v>#N/A</v>
          </cell>
          <cell r="O361" t="e">
            <v>#N/A</v>
          </cell>
          <cell r="P361">
            <v>49.96</v>
          </cell>
          <cell r="Q361">
            <v>1.2752000000000001</v>
          </cell>
          <cell r="R361" t="e">
            <v>#N/A</v>
          </cell>
        </row>
        <row r="362">
          <cell r="A362">
            <v>39993</v>
          </cell>
          <cell r="B362">
            <v>39993</v>
          </cell>
          <cell r="C362" t="str">
            <v>Past</v>
          </cell>
          <cell r="D362">
            <v>50.97</v>
          </cell>
          <cell r="E362" t="e">
            <v>#N/A</v>
          </cell>
          <cell r="F362" t="e">
            <v>#N/A</v>
          </cell>
          <cell r="G362" t="e">
            <v>#N/A</v>
          </cell>
          <cell r="H362" t="e">
            <v>#N/A</v>
          </cell>
          <cell r="I362" t="e">
            <v>#N/A</v>
          </cell>
          <cell r="J362" t="e">
            <v>#N/A</v>
          </cell>
          <cell r="K362" t="e">
            <v>#N/A</v>
          </cell>
          <cell r="L362" t="e">
            <v>#N/A</v>
          </cell>
          <cell r="M362" t="e">
            <v>#N/A</v>
          </cell>
          <cell r="N362" t="e">
            <v>#N/A</v>
          </cell>
          <cell r="O362" t="e">
            <v>#N/A</v>
          </cell>
          <cell r="P362">
            <v>50.97</v>
          </cell>
          <cell r="Q362">
            <v>1.1083000000000001</v>
          </cell>
          <cell r="R362" t="e">
            <v>#N/A</v>
          </cell>
        </row>
        <row r="363">
          <cell r="A363">
            <v>39994</v>
          </cell>
          <cell r="B363">
            <v>39994</v>
          </cell>
          <cell r="C363" t="str">
            <v>Past</v>
          </cell>
          <cell r="D363">
            <v>49.97</v>
          </cell>
          <cell r="E363" t="e">
            <v>#N/A</v>
          </cell>
          <cell r="F363" t="e">
            <v>#N/A</v>
          </cell>
          <cell r="G363" t="e">
            <v>#N/A</v>
          </cell>
          <cell r="H363" t="e">
            <v>#N/A</v>
          </cell>
          <cell r="I363" t="e">
            <v>#N/A</v>
          </cell>
          <cell r="J363" t="e">
            <v>#N/A</v>
          </cell>
          <cell r="K363" t="e">
            <v>#N/A</v>
          </cell>
          <cell r="L363" t="e">
            <v>#N/A</v>
          </cell>
          <cell r="M363" t="e">
            <v>#N/A</v>
          </cell>
          <cell r="N363" t="e">
            <v>#N/A</v>
          </cell>
          <cell r="O363" t="e">
            <v>#N/A</v>
          </cell>
          <cell r="P363">
            <v>49.97</v>
          </cell>
          <cell r="Q363">
            <v>0.85685499999999992</v>
          </cell>
          <cell r="R363" t="e">
            <v>#N/A</v>
          </cell>
        </row>
        <row r="364">
          <cell r="A364">
            <v>39995</v>
          </cell>
          <cell r="B364">
            <v>39995</v>
          </cell>
          <cell r="C364" t="str">
            <v>Past</v>
          </cell>
          <cell r="D364">
            <v>50.84</v>
          </cell>
          <cell r="E364" t="e">
            <v>#N/A</v>
          </cell>
          <cell r="F364" t="e">
            <v>#N/A</v>
          </cell>
          <cell r="G364" t="e">
            <v>#N/A</v>
          </cell>
          <cell r="H364" t="e">
            <v>#N/A</v>
          </cell>
          <cell r="I364" t="e">
            <v>#N/A</v>
          </cell>
          <cell r="J364" t="e">
            <v>#N/A</v>
          </cell>
          <cell r="K364" t="e">
            <v>#N/A</v>
          </cell>
          <cell r="L364" t="e">
            <v>#N/A</v>
          </cell>
          <cell r="M364" t="e">
            <v>#N/A</v>
          </cell>
          <cell r="N364" t="e">
            <v>#N/A</v>
          </cell>
          <cell r="O364" t="e">
            <v>#N/A</v>
          </cell>
          <cell r="P364">
            <v>50.84</v>
          </cell>
          <cell r="Q364">
            <v>0.92218000000000011</v>
          </cell>
          <cell r="R364" t="e">
            <v>#N/A</v>
          </cell>
        </row>
        <row r="365">
          <cell r="A365">
            <v>39996</v>
          </cell>
          <cell r="B365">
            <v>39996</v>
          </cell>
          <cell r="C365" t="str">
            <v>Past</v>
          </cell>
          <cell r="D365">
            <v>48.35</v>
          </cell>
          <cell r="E365" t="e">
            <v>#N/A</v>
          </cell>
          <cell r="F365" t="e">
            <v>#N/A</v>
          </cell>
          <cell r="G365" t="e">
            <v>#N/A</v>
          </cell>
          <cell r="H365" t="e">
            <v>#N/A</v>
          </cell>
          <cell r="I365" t="e">
            <v>#N/A</v>
          </cell>
          <cell r="J365" t="e">
            <v>#N/A</v>
          </cell>
          <cell r="K365" t="e">
            <v>#N/A</v>
          </cell>
          <cell r="L365" t="e">
            <v>#N/A</v>
          </cell>
          <cell r="M365" t="e">
            <v>#N/A</v>
          </cell>
          <cell r="N365" t="e">
            <v>#N/A</v>
          </cell>
          <cell r="O365" t="e">
            <v>#N/A</v>
          </cell>
          <cell r="P365">
            <v>48.35</v>
          </cell>
          <cell r="Q365">
            <v>1.3091519999999999</v>
          </cell>
          <cell r="R365" t="e">
            <v>#N/A</v>
          </cell>
        </row>
        <row r="366">
          <cell r="A366">
            <v>40000</v>
          </cell>
          <cell r="B366">
            <v>40000</v>
          </cell>
          <cell r="C366" t="str">
            <v>Past</v>
          </cell>
          <cell r="D366">
            <v>50.06</v>
          </cell>
          <cell r="E366" t="e">
            <v>#N/A</v>
          </cell>
          <cell r="F366" t="e">
            <v>#N/A</v>
          </cell>
          <cell r="G366" t="e">
            <v>#N/A</v>
          </cell>
          <cell r="H366" t="e">
            <v>#N/A</v>
          </cell>
          <cell r="I366" t="e">
            <v>#N/A</v>
          </cell>
          <cell r="J366" t="e">
            <v>#N/A</v>
          </cell>
          <cell r="K366" t="e">
            <v>#N/A</v>
          </cell>
          <cell r="L366" t="e">
            <v>#N/A</v>
          </cell>
          <cell r="M366" t="e">
            <v>#N/A</v>
          </cell>
          <cell r="N366" t="e">
            <v>#N/A</v>
          </cell>
          <cell r="O366" t="e">
            <v>#N/A</v>
          </cell>
          <cell r="P366">
            <v>50.06</v>
          </cell>
          <cell r="Q366">
            <v>1.2486629999999999</v>
          </cell>
          <cell r="R366" t="e">
            <v>#N/A</v>
          </cell>
        </row>
        <row r="367">
          <cell r="A367">
            <v>40001</v>
          </cell>
          <cell r="B367">
            <v>40001</v>
          </cell>
          <cell r="C367" t="str">
            <v>Past</v>
          </cell>
          <cell r="D367">
            <v>49.73</v>
          </cell>
          <cell r="E367" t="e">
            <v>#N/A</v>
          </cell>
          <cell r="F367" t="e">
            <v>#N/A</v>
          </cell>
          <cell r="G367" t="e">
            <v>#N/A</v>
          </cell>
          <cell r="H367" t="e">
            <v>#N/A</v>
          </cell>
          <cell r="I367" t="e">
            <v>#N/A</v>
          </cell>
          <cell r="J367" t="e">
            <v>#N/A</v>
          </cell>
          <cell r="K367" t="e">
            <v>#N/A</v>
          </cell>
          <cell r="L367" t="e">
            <v>#N/A</v>
          </cell>
          <cell r="M367" t="e">
            <v>#N/A</v>
          </cell>
          <cell r="N367" t="e">
            <v>#N/A</v>
          </cell>
          <cell r="O367" t="e">
            <v>#N/A</v>
          </cell>
          <cell r="P367">
            <v>49.73</v>
          </cell>
          <cell r="Q367">
            <v>1.797226</v>
          </cell>
          <cell r="R367" t="e">
            <v>#N/A</v>
          </cell>
        </row>
        <row r="368">
          <cell r="A368">
            <v>40002</v>
          </cell>
          <cell r="B368">
            <v>40002</v>
          </cell>
          <cell r="C368" t="str">
            <v>Past</v>
          </cell>
          <cell r="D368">
            <v>48.9</v>
          </cell>
          <cell r="E368" t="e">
            <v>#N/A</v>
          </cell>
          <cell r="F368" t="e">
            <v>#N/A</v>
          </cell>
          <cell r="G368" t="e">
            <v>#N/A</v>
          </cell>
          <cell r="H368" t="e">
            <v>#N/A</v>
          </cell>
          <cell r="I368" t="e">
            <v>#N/A</v>
          </cell>
          <cell r="J368" t="e">
            <v>#N/A</v>
          </cell>
          <cell r="K368" t="e">
            <v>#N/A</v>
          </cell>
          <cell r="L368" t="e">
            <v>#N/A</v>
          </cell>
          <cell r="M368" t="e">
            <v>#N/A</v>
          </cell>
          <cell r="N368" t="e">
            <v>#N/A</v>
          </cell>
          <cell r="O368" t="e">
            <v>#N/A</v>
          </cell>
          <cell r="P368">
            <v>48.9</v>
          </cell>
          <cell r="Q368">
            <v>1.8541049999999999</v>
          </cell>
          <cell r="R368" t="e">
            <v>#N/A</v>
          </cell>
        </row>
        <row r="369">
          <cell r="A369">
            <v>40003</v>
          </cell>
          <cell r="B369">
            <v>40003</v>
          </cell>
          <cell r="C369" t="str">
            <v>Past</v>
          </cell>
          <cell r="D369">
            <v>48.66</v>
          </cell>
          <cell r="E369" t="e">
            <v>#N/A</v>
          </cell>
          <cell r="F369" t="e">
            <v>#N/A</v>
          </cell>
          <cell r="G369" t="e">
            <v>#N/A</v>
          </cell>
          <cell r="H369" t="e">
            <v>#N/A</v>
          </cell>
          <cell r="I369" t="e">
            <v>#N/A</v>
          </cell>
          <cell r="J369" t="e">
            <v>#N/A</v>
          </cell>
          <cell r="K369" t="e">
            <v>#N/A</v>
          </cell>
          <cell r="L369" t="e">
            <v>#N/A</v>
          </cell>
          <cell r="M369" t="e">
            <v>#N/A</v>
          </cell>
          <cell r="N369" t="e">
            <v>#N/A</v>
          </cell>
          <cell r="O369" t="e">
            <v>#N/A</v>
          </cell>
          <cell r="P369">
            <v>48.66</v>
          </cell>
          <cell r="Q369">
            <v>1.3080159999999998</v>
          </cell>
          <cell r="R369" t="e">
            <v>#N/A</v>
          </cell>
        </row>
        <row r="370">
          <cell r="A370">
            <v>40004</v>
          </cell>
          <cell r="B370">
            <v>40004</v>
          </cell>
          <cell r="C370" t="str">
            <v>Past</v>
          </cell>
          <cell r="D370">
            <v>49.49</v>
          </cell>
          <cell r="E370" t="e">
            <v>#N/A</v>
          </cell>
          <cell r="F370" t="e">
            <v>#N/A</v>
          </cell>
          <cell r="G370" t="e">
            <v>#N/A</v>
          </cell>
          <cell r="H370" t="e">
            <v>#N/A</v>
          </cell>
          <cell r="I370" t="e">
            <v>#N/A</v>
          </cell>
          <cell r="J370" t="e">
            <v>#N/A</v>
          </cell>
          <cell r="K370" t="e">
            <v>#N/A</v>
          </cell>
          <cell r="L370" t="e">
            <v>#N/A</v>
          </cell>
          <cell r="M370" t="e">
            <v>#N/A</v>
          </cell>
          <cell r="N370" t="e">
            <v>#N/A</v>
          </cell>
          <cell r="O370" t="e">
            <v>#N/A</v>
          </cell>
          <cell r="P370">
            <v>49.49</v>
          </cell>
          <cell r="Q370">
            <v>1.2215049999999998</v>
          </cell>
          <cell r="R370" t="e">
            <v>#N/A</v>
          </cell>
        </row>
        <row r="371">
          <cell r="A371">
            <v>40007</v>
          </cell>
          <cell r="B371">
            <v>40007</v>
          </cell>
          <cell r="C371" t="str">
            <v>Past</v>
          </cell>
          <cell r="D371">
            <v>50.54</v>
          </cell>
          <cell r="E371" t="e">
            <v>#N/A</v>
          </cell>
          <cell r="F371" t="e">
            <v>#N/A</v>
          </cell>
          <cell r="G371" t="e">
            <v>#N/A</v>
          </cell>
          <cell r="H371" t="e">
            <v>#N/A</v>
          </cell>
          <cell r="I371" t="e">
            <v>#N/A</v>
          </cell>
          <cell r="J371" t="e">
            <v>#N/A</v>
          </cell>
          <cell r="K371" t="e">
            <v>#N/A</v>
          </cell>
          <cell r="L371" t="e">
            <v>#N/A</v>
          </cell>
          <cell r="M371" t="e">
            <v>#N/A</v>
          </cell>
          <cell r="N371" t="e">
            <v>#N/A</v>
          </cell>
          <cell r="O371" t="e">
            <v>#N/A</v>
          </cell>
          <cell r="P371">
            <v>50.54</v>
          </cell>
          <cell r="Q371">
            <v>0.812253</v>
          </cell>
          <cell r="R371" t="e">
            <v>#N/A</v>
          </cell>
        </row>
        <row r="372">
          <cell r="A372">
            <v>40008</v>
          </cell>
          <cell r="B372">
            <v>40008</v>
          </cell>
          <cell r="C372" t="str">
            <v>Past</v>
          </cell>
          <cell r="D372">
            <v>51.4</v>
          </cell>
          <cell r="E372" t="e">
            <v>#N/A</v>
          </cell>
          <cell r="F372" t="e">
            <v>#N/A</v>
          </cell>
          <cell r="G372" t="e">
            <v>#N/A</v>
          </cell>
          <cell r="H372" t="e">
            <v>#N/A</v>
          </cell>
          <cell r="I372" t="e">
            <v>#N/A</v>
          </cell>
          <cell r="J372" t="e">
            <v>#N/A</v>
          </cell>
          <cell r="K372" t="e">
            <v>#N/A</v>
          </cell>
          <cell r="L372" t="e">
            <v>#N/A</v>
          </cell>
          <cell r="M372" t="e">
            <v>#N/A</v>
          </cell>
          <cell r="N372" t="e">
            <v>#N/A</v>
          </cell>
          <cell r="O372" t="e">
            <v>#N/A</v>
          </cell>
          <cell r="P372">
            <v>51.4</v>
          </cell>
          <cell r="Q372">
            <v>0.91402000000000005</v>
          </cell>
          <cell r="R372" t="e">
            <v>#N/A</v>
          </cell>
        </row>
        <row r="373">
          <cell r="A373">
            <v>40009</v>
          </cell>
          <cell r="B373">
            <v>40009</v>
          </cell>
          <cell r="C373" t="str">
            <v>Past</v>
          </cell>
          <cell r="D373">
            <v>51.65</v>
          </cell>
          <cell r="E373" t="e">
            <v>#N/A</v>
          </cell>
          <cell r="F373" t="e">
            <v>#N/A</v>
          </cell>
          <cell r="G373" t="e">
            <v>#N/A</v>
          </cell>
          <cell r="H373" t="e">
            <v>#N/A</v>
          </cell>
          <cell r="I373" t="e">
            <v>#N/A</v>
          </cell>
          <cell r="J373" t="e">
            <v>#N/A</v>
          </cell>
          <cell r="K373" t="e">
            <v>#N/A</v>
          </cell>
          <cell r="L373" t="e">
            <v>#N/A</v>
          </cell>
          <cell r="M373" t="e">
            <v>#N/A</v>
          </cell>
          <cell r="N373" t="e">
            <v>#N/A</v>
          </cell>
          <cell r="O373" t="e">
            <v>#N/A</v>
          </cell>
          <cell r="P373">
            <v>51.65</v>
          </cell>
          <cell r="Q373">
            <v>1.6781619999999999</v>
          </cell>
          <cell r="R373" t="e">
            <v>#N/A</v>
          </cell>
        </row>
        <row r="374">
          <cell r="A374">
            <v>40010</v>
          </cell>
          <cell r="B374">
            <v>40010</v>
          </cell>
          <cell r="C374" t="str">
            <v>Past</v>
          </cell>
          <cell r="D374">
            <v>51.85</v>
          </cell>
          <cell r="E374" t="e">
            <v>#N/A</v>
          </cell>
          <cell r="F374" t="e">
            <v>#N/A</v>
          </cell>
          <cell r="G374" t="e">
            <v>#N/A</v>
          </cell>
          <cell r="H374" t="e">
            <v>#N/A</v>
          </cell>
          <cell r="I374" t="e">
            <v>#N/A</v>
          </cell>
          <cell r="J374" t="e">
            <v>#N/A</v>
          </cell>
          <cell r="K374" t="e">
            <v>#N/A</v>
          </cell>
          <cell r="L374" t="e">
            <v>#N/A</v>
          </cell>
          <cell r="M374" t="e">
            <v>#N/A</v>
          </cell>
          <cell r="N374" t="e">
            <v>#N/A</v>
          </cell>
          <cell r="O374" t="e">
            <v>#N/A</v>
          </cell>
          <cell r="P374">
            <v>51.85</v>
          </cell>
          <cell r="Q374">
            <v>0.95793699999999993</v>
          </cell>
          <cell r="R374" t="e">
            <v>#N/A</v>
          </cell>
        </row>
        <row r="375">
          <cell r="A375">
            <v>40011</v>
          </cell>
          <cell r="B375">
            <v>40011</v>
          </cell>
          <cell r="C375" t="str">
            <v>Past</v>
          </cell>
          <cell r="D375">
            <v>51.67</v>
          </cell>
          <cell r="E375" t="e">
            <v>#N/A</v>
          </cell>
          <cell r="F375" t="e">
            <v>#N/A</v>
          </cell>
          <cell r="G375" t="e">
            <v>#N/A</v>
          </cell>
          <cell r="H375" t="e">
            <v>#N/A</v>
          </cell>
          <cell r="I375" t="e">
            <v>#N/A</v>
          </cell>
          <cell r="J375" t="e">
            <v>#N/A</v>
          </cell>
          <cell r="K375" t="e">
            <v>#N/A</v>
          </cell>
          <cell r="L375" t="e">
            <v>#N/A</v>
          </cell>
          <cell r="M375" t="e">
            <v>#N/A</v>
          </cell>
          <cell r="N375" t="e">
            <v>#N/A</v>
          </cell>
          <cell r="O375" t="e">
            <v>#N/A</v>
          </cell>
          <cell r="P375">
            <v>51.67</v>
          </cell>
          <cell r="Q375">
            <v>1.1909110000000001</v>
          </cell>
          <cell r="R375" t="e">
            <v>#N/A</v>
          </cell>
        </row>
        <row r="376">
          <cell r="A376">
            <v>40014</v>
          </cell>
          <cell r="B376">
            <v>40014</v>
          </cell>
          <cell r="C376" t="str">
            <v>Past</v>
          </cell>
          <cell r="D376">
            <v>53.08</v>
          </cell>
          <cell r="E376" t="e">
            <v>#N/A</v>
          </cell>
          <cell r="F376" t="e">
            <v>#N/A</v>
          </cell>
          <cell r="G376" t="e">
            <v>#N/A</v>
          </cell>
          <cell r="H376" t="e">
            <v>#N/A</v>
          </cell>
          <cell r="I376" t="e">
            <v>#N/A</v>
          </cell>
          <cell r="J376" t="e">
            <v>#N/A</v>
          </cell>
          <cell r="K376" t="e">
            <v>#N/A</v>
          </cell>
          <cell r="L376" t="e">
            <v>#N/A</v>
          </cell>
          <cell r="M376" t="e">
            <v>#N/A</v>
          </cell>
          <cell r="N376" t="e">
            <v>#N/A</v>
          </cell>
          <cell r="O376" t="e">
            <v>#N/A</v>
          </cell>
          <cell r="P376">
            <v>53.08</v>
          </cell>
          <cell r="Q376">
            <v>0.73839499999999991</v>
          </cell>
          <cell r="R376" t="e">
            <v>#N/A</v>
          </cell>
        </row>
        <row r="377">
          <cell r="A377">
            <v>40015</v>
          </cell>
          <cell r="B377">
            <v>40015</v>
          </cell>
          <cell r="C377" t="str">
            <v>Past</v>
          </cell>
          <cell r="D377">
            <v>53.55</v>
          </cell>
          <cell r="E377" t="e">
            <v>#N/A</v>
          </cell>
          <cell r="F377" t="e">
            <v>#N/A</v>
          </cell>
          <cell r="G377" t="e">
            <v>#N/A</v>
          </cell>
          <cell r="H377" t="e">
            <v>#N/A</v>
          </cell>
          <cell r="I377" t="e">
            <v>#N/A</v>
          </cell>
          <cell r="J377" t="e">
            <v>#N/A</v>
          </cell>
          <cell r="K377" t="e">
            <v>#N/A</v>
          </cell>
          <cell r="L377" t="e">
            <v>#N/A</v>
          </cell>
          <cell r="M377" t="e">
            <v>#N/A</v>
          </cell>
          <cell r="N377" t="e">
            <v>#N/A</v>
          </cell>
          <cell r="O377" t="e">
            <v>#N/A</v>
          </cell>
          <cell r="P377">
            <v>53.55</v>
          </cell>
          <cell r="Q377">
            <v>1.3500719999999999</v>
          </cell>
          <cell r="R377" t="e">
            <v>#N/A</v>
          </cell>
        </row>
        <row r="378">
          <cell r="A378">
            <v>40016</v>
          </cell>
          <cell r="B378">
            <v>40016</v>
          </cell>
          <cell r="C378" t="str">
            <v>Past</v>
          </cell>
          <cell r="D378">
            <v>53.05</v>
          </cell>
          <cell r="E378" t="e">
            <v>#N/A</v>
          </cell>
          <cell r="F378" t="e">
            <v>#N/A</v>
          </cell>
          <cell r="G378" t="e">
            <v>#N/A</v>
          </cell>
          <cell r="H378" t="e">
            <v>#N/A</v>
          </cell>
          <cell r="I378" t="e">
            <v>#N/A</v>
          </cell>
          <cell r="J378" t="e">
            <v>#N/A</v>
          </cell>
          <cell r="K378" t="e">
            <v>#N/A</v>
          </cell>
          <cell r="L378" t="e">
            <v>#N/A</v>
          </cell>
          <cell r="M378" t="e">
            <v>#N/A</v>
          </cell>
          <cell r="N378" t="e">
            <v>#N/A</v>
          </cell>
          <cell r="O378" t="e">
            <v>#N/A</v>
          </cell>
          <cell r="P378">
            <v>53.05</v>
          </cell>
          <cell r="Q378">
            <v>1.4884579999999998</v>
          </cell>
          <cell r="R378" t="e">
            <v>#N/A</v>
          </cell>
        </row>
        <row r="379">
          <cell r="A379">
            <v>40017</v>
          </cell>
          <cell r="B379">
            <v>40017</v>
          </cell>
          <cell r="C379" t="str">
            <v>Past</v>
          </cell>
          <cell r="D379">
            <v>49.32</v>
          </cell>
          <cell r="E379" t="e">
            <v>#N/A</v>
          </cell>
          <cell r="F379" t="e">
            <v>#N/A</v>
          </cell>
          <cell r="G379" t="e">
            <v>#N/A</v>
          </cell>
          <cell r="H379" t="e">
            <v>#N/A</v>
          </cell>
          <cell r="I379" t="e">
            <v>#N/A</v>
          </cell>
          <cell r="J379" t="e">
            <v>#N/A</v>
          </cell>
          <cell r="K379" t="e">
            <v>#N/A</v>
          </cell>
          <cell r="L379" t="e">
            <v>#N/A</v>
          </cell>
          <cell r="M379" t="e">
            <v>#N/A</v>
          </cell>
          <cell r="N379" t="e">
            <v>#N/A</v>
          </cell>
          <cell r="O379" t="e">
            <v>#N/A</v>
          </cell>
          <cell r="P379">
            <v>49.32</v>
          </cell>
          <cell r="Q379">
            <v>7.2757889999999996</v>
          </cell>
          <cell r="R379" t="e">
            <v>#N/A</v>
          </cell>
        </row>
        <row r="380">
          <cell r="A380">
            <v>40018</v>
          </cell>
          <cell r="B380">
            <v>40018</v>
          </cell>
          <cell r="C380" t="str">
            <v>Past</v>
          </cell>
          <cell r="D380">
            <v>50.78</v>
          </cell>
          <cell r="E380" t="e">
            <v>#N/A</v>
          </cell>
          <cell r="F380" t="e">
            <v>#N/A</v>
          </cell>
          <cell r="G380" t="e">
            <v>#N/A</v>
          </cell>
          <cell r="H380" t="e">
            <v>#N/A</v>
          </cell>
          <cell r="I380" t="e">
            <v>#N/A</v>
          </cell>
          <cell r="J380" t="e">
            <v>#N/A</v>
          </cell>
          <cell r="K380" t="e">
            <v>#N/A</v>
          </cell>
          <cell r="L380" t="e">
            <v>#N/A</v>
          </cell>
          <cell r="M380" t="e">
            <v>#N/A</v>
          </cell>
          <cell r="N380" t="e">
            <v>#N/A</v>
          </cell>
          <cell r="O380" t="e">
            <v>#N/A</v>
          </cell>
          <cell r="P380">
            <v>50.78</v>
          </cell>
          <cell r="Q380">
            <v>3.0516319999999997</v>
          </cell>
          <cell r="R380" t="e">
            <v>#N/A</v>
          </cell>
        </row>
        <row r="381">
          <cell r="A381">
            <v>40021</v>
          </cell>
          <cell r="B381">
            <v>40021</v>
          </cell>
          <cell r="C381" t="str">
            <v>Past</v>
          </cell>
          <cell r="D381">
            <v>50.45</v>
          </cell>
          <cell r="E381" t="e">
            <v>#N/A</v>
          </cell>
          <cell r="F381" t="e">
            <v>#N/A</v>
          </cell>
          <cell r="G381" t="e">
            <v>#N/A</v>
          </cell>
          <cell r="H381" t="e">
            <v>#N/A</v>
          </cell>
          <cell r="I381" t="e">
            <v>#N/A</v>
          </cell>
          <cell r="J381" t="e">
            <v>#N/A</v>
          </cell>
          <cell r="K381" t="e">
            <v>#N/A</v>
          </cell>
          <cell r="L381" t="e">
            <v>#N/A</v>
          </cell>
          <cell r="M381" t="e">
            <v>#N/A</v>
          </cell>
          <cell r="N381" t="e">
            <v>#N/A</v>
          </cell>
          <cell r="O381" t="e">
            <v>#N/A</v>
          </cell>
          <cell r="P381">
            <v>50.45</v>
          </cell>
          <cell r="Q381">
            <v>1.635054</v>
          </cell>
          <cell r="R381" t="e">
            <v>#N/A</v>
          </cell>
        </row>
        <row r="382">
          <cell r="A382">
            <v>40022</v>
          </cell>
          <cell r="B382">
            <v>40022</v>
          </cell>
          <cell r="C382" t="str">
            <v>Past</v>
          </cell>
          <cell r="D382">
            <v>50.15</v>
          </cell>
          <cell r="E382" t="e">
            <v>#N/A</v>
          </cell>
          <cell r="F382" t="e">
            <v>#N/A</v>
          </cell>
          <cell r="G382" t="e">
            <v>#N/A</v>
          </cell>
          <cell r="H382" t="e">
            <v>#N/A</v>
          </cell>
          <cell r="I382" t="e">
            <v>#N/A</v>
          </cell>
          <cell r="J382" t="e">
            <v>#N/A</v>
          </cell>
          <cell r="K382" t="e">
            <v>#N/A</v>
          </cell>
          <cell r="L382" t="e">
            <v>#N/A</v>
          </cell>
          <cell r="M382" t="e">
            <v>#N/A</v>
          </cell>
          <cell r="N382" t="e">
            <v>#N/A</v>
          </cell>
          <cell r="O382" t="e">
            <v>#N/A</v>
          </cell>
          <cell r="P382">
            <v>50.15</v>
          </cell>
          <cell r="Q382">
            <v>1.1248500000000001</v>
          </cell>
          <cell r="R382" t="e">
            <v>#N/A</v>
          </cell>
        </row>
        <row r="383">
          <cell r="A383">
            <v>40023</v>
          </cell>
          <cell r="B383">
            <v>40023</v>
          </cell>
          <cell r="C383" t="str">
            <v>Past</v>
          </cell>
          <cell r="D383">
            <v>50.72</v>
          </cell>
          <cell r="E383" t="e">
            <v>#N/A</v>
          </cell>
          <cell r="F383" t="e">
            <v>#N/A</v>
          </cell>
          <cell r="G383" t="e">
            <v>#N/A</v>
          </cell>
          <cell r="H383" t="e">
            <v>#N/A</v>
          </cell>
          <cell r="I383" t="e">
            <v>#N/A</v>
          </cell>
          <cell r="J383" t="e">
            <v>#N/A</v>
          </cell>
          <cell r="K383" t="e">
            <v>#N/A</v>
          </cell>
          <cell r="L383" t="e">
            <v>#N/A</v>
          </cell>
          <cell r="M383" t="e">
            <v>#N/A</v>
          </cell>
          <cell r="N383" t="e">
            <v>#N/A</v>
          </cell>
          <cell r="O383" t="e">
            <v>#N/A</v>
          </cell>
          <cell r="P383">
            <v>50.72</v>
          </cell>
          <cell r="Q383">
            <v>1.319062</v>
          </cell>
          <cell r="R383" t="e">
            <v>#N/A</v>
          </cell>
        </row>
        <row r="384">
          <cell r="A384">
            <v>40024</v>
          </cell>
          <cell r="B384">
            <v>40024</v>
          </cell>
          <cell r="C384" t="str">
            <v>Past</v>
          </cell>
          <cell r="D384">
            <v>51.9</v>
          </cell>
          <cell r="E384" t="e">
            <v>#N/A</v>
          </cell>
          <cell r="F384" t="e">
            <v>#N/A</v>
          </cell>
          <cell r="G384" t="e">
            <v>#N/A</v>
          </cell>
          <cell r="H384" t="e">
            <v>#N/A</v>
          </cell>
          <cell r="I384" t="e">
            <v>#N/A</v>
          </cell>
          <cell r="J384" t="e">
            <v>#N/A</v>
          </cell>
          <cell r="K384" t="e">
            <v>#N/A</v>
          </cell>
          <cell r="L384" t="e">
            <v>#N/A</v>
          </cell>
          <cell r="M384" t="e">
            <v>#N/A</v>
          </cell>
          <cell r="N384" t="e">
            <v>#N/A</v>
          </cell>
          <cell r="O384" t="e">
            <v>#N/A</v>
          </cell>
          <cell r="P384">
            <v>51.9</v>
          </cell>
          <cell r="Q384">
            <v>1.0374539999999999</v>
          </cell>
          <cell r="R384" t="e">
            <v>#N/A</v>
          </cell>
        </row>
        <row r="385">
          <cell r="A385">
            <v>40025</v>
          </cell>
          <cell r="B385">
            <v>40025</v>
          </cell>
          <cell r="C385" t="str">
            <v>Past</v>
          </cell>
          <cell r="D385">
            <v>51.36</v>
          </cell>
          <cell r="E385" t="e">
            <v>#N/A</v>
          </cell>
          <cell r="F385" t="e">
            <v>#N/A</v>
          </cell>
          <cell r="G385" t="e">
            <v>#N/A</v>
          </cell>
          <cell r="H385" t="e">
            <v>#N/A</v>
          </cell>
          <cell r="I385" t="e">
            <v>#N/A</v>
          </cell>
          <cell r="J385" t="e">
            <v>#N/A</v>
          </cell>
          <cell r="K385" t="e">
            <v>#N/A</v>
          </cell>
          <cell r="L385" t="e">
            <v>#N/A</v>
          </cell>
          <cell r="M385" t="e">
            <v>#N/A</v>
          </cell>
          <cell r="N385" t="e">
            <v>#N/A</v>
          </cell>
          <cell r="O385" t="e">
            <v>#N/A</v>
          </cell>
          <cell r="P385">
            <v>51.36</v>
          </cell>
          <cell r="Q385">
            <v>1.0201629999999999</v>
          </cell>
          <cell r="R385" t="e">
            <v>#N/A</v>
          </cell>
        </row>
        <row r="386">
          <cell r="A386">
            <v>40028</v>
          </cell>
          <cell r="B386">
            <v>40028</v>
          </cell>
          <cell r="C386" t="str">
            <v>Past</v>
          </cell>
          <cell r="D386">
            <v>53.61</v>
          </cell>
          <cell r="E386" t="e">
            <v>#N/A</v>
          </cell>
          <cell r="F386" t="e">
            <v>#N/A</v>
          </cell>
          <cell r="G386" t="e">
            <v>#N/A</v>
          </cell>
          <cell r="H386" t="e">
            <v>#N/A</v>
          </cell>
          <cell r="I386" t="e">
            <v>#N/A</v>
          </cell>
          <cell r="J386" t="e">
            <v>#N/A</v>
          </cell>
          <cell r="K386" t="e">
            <v>#N/A</v>
          </cell>
          <cell r="L386" t="e">
            <v>#N/A</v>
          </cell>
          <cell r="M386" t="e">
            <v>#N/A</v>
          </cell>
          <cell r="N386" t="e">
            <v>#N/A</v>
          </cell>
          <cell r="O386" t="e">
            <v>#N/A</v>
          </cell>
          <cell r="P386">
            <v>53.61</v>
          </cell>
          <cell r="Q386">
            <v>1.692315</v>
          </cell>
          <cell r="R386" t="e">
            <v>#N/A</v>
          </cell>
        </row>
        <row r="387">
          <cell r="A387">
            <v>40029</v>
          </cell>
          <cell r="B387">
            <v>40029</v>
          </cell>
          <cell r="C387" t="str">
            <v>Past</v>
          </cell>
          <cell r="D387">
            <v>53.72</v>
          </cell>
          <cell r="E387" t="e">
            <v>#N/A</v>
          </cell>
          <cell r="F387" t="e">
            <v>#N/A</v>
          </cell>
          <cell r="G387" t="e">
            <v>#N/A</v>
          </cell>
          <cell r="H387" t="e">
            <v>#N/A</v>
          </cell>
          <cell r="I387" t="e">
            <v>#N/A</v>
          </cell>
          <cell r="J387" t="e">
            <v>#N/A</v>
          </cell>
          <cell r="K387" t="e">
            <v>#N/A</v>
          </cell>
          <cell r="L387" t="e">
            <v>#N/A</v>
          </cell>
          <cell r="M387" t="e">
            <v>#N/A</v>
          </cell>
          <cell r="N387" t="e">
            <v>#N/A</v>
          </cell>
          <cell r="O387" t="e">
            <v>#N/A</v>
          </cell>
          <cell r="P387">
            <v>53.72</v>
          </cell>
          <cell r="Q387">
            <v>1.231071</v>
          </cell>
          <cell r="R387" t="e">
            <v>#N/A</v>
          </cell>
        </row>
        <row r="388">
          <cell r="A388">
            <v>40030</v>
          </cell>
          <cell r="B388">
            <v>40030</v>
          </cell>
          <cell r="C388" t="str">
            <v>Past</v>
          </cell>
          <cell r="D388">
            <v>54.02</v>
          </cell>
          <cell r="E388" t="e">
            <v>#N/A</v>
          </cell>
          <cell r="F388" t="e">
            <v>#N/A</v>
          </cell>
          <cell r="G388" t="e">
            <v>#N/A</v>
          </cell>
          <cell r="H388" t="e">
            <v>#N/A</v>
          </cell>
          <cell r="I388" t="e">
            <v>#N/A</v>
          </cell>
          <cell r="J388" t="e">
            <v>#N/A</v>
          </cell>
          <cell r="K388" t="e">
            <v>#N/A</v>
          </cell>
          <cell r="L388" t="e">
            <v>#N/A</v>
          </cell>
          <cell r="M388" t="e">
            <v>#N/A</v>
          </cell>
          <cell r="N388" t="e">
            <v>#N/A</v>
          </cell>
          <cell r="O388" t="e">
            <v>#N/A</v>
          </cell>
          <cell r="P388">
            <v>54.02</v>
          </cell>
          <cell r="Q388">
            <v>1.576238</v>
          </cell>
          <cell r="R388" t="e">
            <v>#N/A</v>
          </cell>
        </row>
        <row r="389">
          <cell r="A389">
            <v>40031</v>
          </cell>
          <cell r="B389">
            <v>40031</v>
          </cell>
          <cell r="C389" t="str">
            <v>Past</v>
          </cell>
          <cell r="D389">
            <v>54.91</v>
          </cell>
          <cell r="E389" t="e">
            <v>#N/A</v>
          </cell>
          <cell r="F389" t="e">
            <v>#N/A</v>
          </cell>
          <cell r="G389" t="e">
            <v>#N/A</v>
          </cell>
          <cell r="H389" t="e">
            <v>#N/A</v>
          </cell>
          <cell r="I389" t="e">
            <v>#N/A</v>
          </cell>
          <cell r="J389" t="e">
            <v>#N/A</v>
          </cell>
          <cell r="K389" t="e">
            <v>#N/A</v>
          </cell>
          <cell r="L389" t="e">
            <v>#N/A</v>
          </cell>
          <cell r="M389" t="e">
            <v>#N/A</v>
          </cell>
          <cell r="N389" t="e">
            <v>#N/A</v>
          </cell>
          <cell r="O389" t="e">
            <v>#N/A</v>
          </cell>
          <cell r="P389">
            <v>54.91</v>
          </cell>
          <cell r="Q389">
            <v>1.1363779999999999</v>
          </cell>
          <cell r="R389" t="e">
            <v>#N/A</v>
          </cell>
        </row>
        <row r="390">
          <cell r="A390">
            <v>40032</v>
          </cell>
          <cell r="B390">
            <v>40032</v>
          </cell>
          <cell r="C390" t="str">
            <v>Past</v>
          </cell>
          <cell r="D390">
            <v>56.57</v>
          </cell>
          <cell r="E390" t="e">
            <v>#N/A</v>
          </cell>
          <cell r="F390" t="e">
            <v>#N/A</v>
          </cell>
          <cell r="G390" t="e">
            <v>#N/A</v>
          </cell>
          <cell r="H390" t="e">
            <v>#N/A</v>
          </cell>
          <cell r="I390" t="e">
            <v>#N/A</v>
          </cell>
          <cell r="J390" t="e">
            <v>#N/A</v>
          </cell>
          <cell r="K390" t="e">
            <v>#N/A</v>
          </cell>
          <cell r="L390" t="e">
            <v>#N/A</v>
          </cell>
          <cell r="M390" t="e">
            <v>#N/A</v>
          </cell>
          <cell r="N390" t="e">
            <v>#N/A</v>
          </cell>
          <cell r="O390" t="e">
            <v>#N/A</v>
          </cell>
          <cell r="P390">
            <v>56.57</v>
          </cell>
          <cell r="Q390">
            <v>1.425829</v>
          </cell>
          <cell r="R390" t="e">
            <v>#N/A</v>
          </cell>
        </row>
        <row r="391">
          <cell r="A391">
            <v>40035</v>
          </cell>
          <cell r="B391">
            <v>40035</v>
          </cell>
          <cell r="C391" t="str">
            <v>Past</v>
          </cell>
          <cell r="D391">
            <v>55.46</v>
          </cell>
          <cell r="E391" t="e">
            <v>#N/A</v>
          </cell>
          <cell r="F391" t="e">
            <v>#N/A</v>
          </cell>
          <cell r="G391" t="e">
            <v>#N/A</v>
          </cell>
          <cell r="H391" t="e">
            <v>#N/A</v>
          </cell>
          <cell r="I391" t="e">
            <v>#N/A</v>
          </cell>
          <cell r="J391" t="e">
            <v>#N/A</v>
          </cell>
          <cell r="K391" t="e">
            <v>#N/A</v>
          </cell>
          <cell r="L391" t="e">
            <v>#N/A</v>
          </cell>
          <cell r="M391" t="e">
            <v>#N/A</v>
          </cell>
          <cell r="N391" t="e">
            <v>#N/A</v>
          </cell>
          <cell r="O391" t="e">
            <v>#N/A</v>
          </cell>
          <cell r="P391">
            <v>55.46</v>
          </cell>
          <cell r="Q391">
            <v>0.908416</v>
          </cell>
          <cell r="R391" t="e">
            <v>#N/A</v>
          </cell>
        </row>
        <row r="392">
          <cell r="A392">
            <v>40036</v>
          </cell>
          <cell r="B392">
            <v>40036</v>
          </cell>
          <cell r="C392" t="str">
            <v>Past</v>
          </cell>
          <cell r="D392">
            <v>54.89</v>
          </cell>
          <cell r="E392" t="e">
            <v>#N/A</v>
          </cell>
          <cell r="F392" t="e">
            <v>#N/A</v>
          </cell>
          <cell r="G392" t="e">
            <v>#N/A</v>
          </cell>
          <cell r="H392" t="e">
            <v>#N/A</v>
          </cell>
          <cell r="I392" t="e">
            <v>#N/A</v>
          </cell>
          <cell r="J392" t="e">
            <v>#N/A</v>
          </cell>
          <cell r="K392" t="e">
            <v>#N/A</v>
          </cell>
          <cell r="L392" t="e">
            <v>#N/A</v>
          </cell>
          <cell r="M392" t="e">
            <v>#N/A</v>
          </cell>
          <cell r="N392" t="e">
            <v>#N/A</v>
          </cell>
          <cell r="O392" t="e">
            <v>#N/A</v>
          </cell>
          <cell r="P392">
            <v>54.89</v>
          </cell>
          <cell r="Q392">
            <v>1.0163329999999999</v>
          </cell>
          <cell r="R392" t="e">
            <v>#N/A</v>
          </cell>
        </row>
        <row r="393">
          <cell r="A393">
            <v>40037</v>
          </cell>
          <cell r="B393">
            <v>40037</v>
          </cell>
          <cell r="C393" t="str">
            <v>Past</v>
          </cell>
          <cell r="D393">
            <v>55.75</v>
          </cell>
          <cell r="E393" t="e">
            <v>#N/A</v>
          </cell>
          <cell r="F393" t="e">
            <v>#N/A</v>
          </cell>
          <cell r="G393" t="e">
            <v>#N/A</v>
          </cell>
          <cell r="H393" t="e">
            <v>#N/A</v>
          </cell>
          <cell r="I393" t="e">
            <v>#N/A</v>
          </cell>
          <cell r="J393" t="e">
            <v>#N/A</v>
          </cell>
          <cell r="K393" t="e">
            <v>#N/A</v>
          </cell>
          <cell r="L393" t="e">
            <v>#N/A</v>
          </cell>
          <cell r="M393" t="e">
            <v>#N/A</v>
          </cell>
          <cell r="N393" t="e">
            <v>#N/A</v>
          </cell>
          <cell r="O393" t="e">
            <v>#N/A</v>
          </cell>
          <cell r="P393">
            <v>55.75</v>
          </cell>
          <cell r="Q393">
            <v>0.94009699999999996</v>
          </cell>
          <cell r="R393" t="e">
            <v>#N/A</v>
          </cell>
        </row>
        <row r="394">
          <cell r="A394">
            <v>40038</v>
          </cell>
          <cell r="B394">
            <v>40038</v>
          </cell>
          <cell r="C394" t="str">
            <v>Past</v>
          </cell>
          <cell r="D394">
            <v>55.41</v>
          </cell>
          <cell r="E394" t="e">
            <v>#N/A</v>
          </cell>
          <cell r="F394" t="e">
            <v>#N/A</v>
          </cell>
          <cell r="G394" t="e">
            <v>#N/A</v>
          </cell>
          <cell r="H394" t="e">
            <v>#N/A</v>
          </cell>
          <cell r="I394" t="e">
            <v>#N/A</v>
          </cell>
          <cell r="J394" t="e">
            <v>#N/A</v>
          </cell>
          <cell r="K394" t="e">
            <v>#N/A</v>
          </cell>
          <cell r="L394" t="e">
            <v>#N/A</v>
          </cell>
          <cell r="M394" t="e">
            <v>#N/A</v>
          </cell>
          <cell r="N394" t="e">
            <v>#N/A</v>
          </cell>
          <cell r="O394" t="e">
            <v>#N/A</v>
          </cell>
          <cell r="P394">
            <v>55.41</v>
          </cell>
          <cell r="Q394">
            <v>1.411985</v>
          </cell>
          <cell r="R394" t="e">
            <v>#N/A</v>
          </cell>
        </row>
        <row r="395">
          <cell r="A395">
            <v>40039</v>
          </cell>
          <cell r="B395">
            <v>40039</v>
          </cell>
          <cell r="C395" t="str">
            <v>Past</v>
          </cell>
          <cell r="D395">
            <v>55.11</v>
          </cell>
          <cell r="E395" t="e">
            <v>#N/A</v>
          </cell>
          <cell r="F395" t="e">
            <v>#N/A</v>
          </cell>
          <cell r="G395" t="e">
            <v>#N/A</v>
          </cell>
          <cell r="H395" t="e">
            <v>#N/A</v>
          </cell>
          <cell r="I395" t="e">
            <v>#N/A</v>
          </cell>
          <cell r="J395" t="e">
            <v>#N/A</v>
          </cell>
          <cell r="K395" t="e">
            <v>#N/A</v>
          </cell>
          <cell r="L395" t="e">
            <v>#N/A</v>
          </cell>
          <cell r="M395" t="e">
            <v>#N/A</v>
          </cell>
          <cell r="N395" t="e">
            <v>#N/A</v>
          </cell>
          <cell r="O395" t="e">
            <v>#N/A</v>
          </cell>
          <cell r="P395">
            <v>55.11</v>
          </cell>
          <cell r="Q395">
            <v>0.87151099999999992</v>
          </cell>
          <cell r="R395" t="e">
            <v>#N/A</v>
          </cell>
        </row>
        <row r="396">
          <cell r="A396">
            <v>40042</v>
          </cell>
          <cell r="B396">
            <v>40042</v>
          </cell>
          <cell r="C396" t="str">
            <v>Past</v>
          </cell>
          <cell r="D396">
            <v>53.75</v>
          </cell>
          <cell r="E396" t="e">
            <v>#N/A</v>
          </cell>
          <cell r="F396" t="e">
            <v>#N/A</v>
          </cell>
          <cell r="G396" t="e">
            <v>#N/A</v>
          </cell>
          <cell r="H396" t="e">
            <v>#N/A</v>
          </cell>
          <cell r="I396" t="e">
            <v>#N/A</v>
          </cell>
          <cell r="J396" t="e">
            <v>#N/A</v>
          </cell>
          <cell r="K396" t="e">
            <v>#N/A</v>
          </cell>
          <cell r="L396" t="e">
            <v>#N/A</v>
          </cell>
          <cell r="M396" t="e">
            <v>#N/A</v>
          </cell>
          <cell r="N396" t="e">
            <v>#N/A</v>
          </cell>
          <cell r="O396" t="e">
            <v>#N/A</v>
          </cell>
          <cell r="P396">
            <v>53.75</v>
          </cell>
          <cell r="Q396">
            <v>0.64625699999999997</v>
          </cell>
          <cell r="R396" t="e">
            <v>#N/A</v>
          </cell>
        </row>
        <row r="397">
          <cell r="A397">
            <v>40043</v>
          </cell>
          <cell r="B397">
            <v>40043</v>
          </cell>
          <cell r="C397" t="str">
            <v>Past</v>
          </cell>
          <cell r="D397">
            <v>54.2</v>
          </cell>
          <cell r="E397" t="e">
            <v>#N/A</v>
          </cell>
          <cell r="F397" t="e">
            <v>#N/A</v>
          </cell>
          <cell r="G397" t="e">
            <v>#N/A</v>
          </cell>
          <cell r="H397" t="e">
            <v>#N/A</v>
          </cell>
          <cell r="I397" t="e">
            <v>#N/A</v>
          </cell>
          <cell r="J397" t="e">
            <v>#N/A</v>
          </cell>
          <cell r="K397" t="e">
            <v>#N/A</v>
          </cell>
          <cell r="L397" t="e">
            <v>#N/A</v>
          </cell>
          <cell r="M397" t="e">
            <v>#N/A</v>
          </cell>
          <cell r="N397" t="e">
            <v>#N/A</v>
          </cell>
          <cell r="O397" t="e">
            <v>#N/A</v>
          </cell>
          <cell r="P397">
            <v>54.2</v>
          </cell>
          <cell r="Q397">
            <v>0.60949000000000009</v>
          </cell>
          <cell r="R397" t="e">
            <v>#N/A</v>
          </cell>
        </row>
        <row r="398">
          <cell r="A398">
            <v>40044</v>
          </cell>
          <cell r="B398">
            <v>40044</v>
          </cell>
          <cell r="C398" t="str">
            <v>Past</v>
          </cell>
          <cell r="D398">
            <v>54.56</v>
          </cell>
          <cell r="E398" t="e">
            <v>#N/A</v>
          </cell>
          <cell r="F398" t="e">
            <v>#N/A</v>
          </cell>
          <cell r="G398" t="e">
            <v>#N/A</v>
          </cell>
          <cell r="H398" t="e">
            <v>#N/A</v>
          </cell>
          <cell r="I398" t="e">
            <v>#N/A</v>
          </cell>
          <cell r="J398" t="e">
            <v>#N/A</v>
          </cell>
          <cell r="K398" t="e">
            <v>#N/A</v>
          </cell>
          <cell r="L398" t="e">
            <v>#N/A</v>
          </cell>
          <cell r="M398" t="e">
            <v>#N/A</v>
          </cell>
          <cell r="N398" t="e">
            <v>#N/A</v>
          </cell>
          <cell r="O398" t="e">
            <v>#N/A</v>
          </cell>
          <cell r="P398">
            <v>54.56</v>
          </cell>
          <cell r="Q398">
            <v>0.47355700000000001</v>
          </cell>
          <cell r="R398" t="e">
            <v>#N/A</v>
          </cell>
        </row>
        <row r="399">
          <cell r="A399">
            <v>40045</v>
          </cell>
          <cell r="B399">
            <v>40045</v>
          </cell>
          <cell r="C399" t="str">
            <v>Past</v>
          </cell>
          <cell r="D399">
            <v>55.49</v>
          </cell>
          <cell r="E399" t="e">
            <v>#N/A</v>
          </cell>
          <cell r="F399" t="e">
            <v>#N/A</v>
          </cell>
          <cell r="G399" t="e">
            <v>#N/A</v>
          </cell>
          <cell r="H399" t="e">
            <v>#N/A</v>
          </cell>
          <cell r="I399" t="e">
            <v>#N/A</v>
          </cell>
          <cell r="J399" t="e">
            <v>#N/A</v>
          </cell>
          <cell r="K399" t="e">
            <v>#N/A</v>
          </cell>
          <cell r="L399" t="e">
            <v>#N/A</v>
          </cell>
          <cell r="M399" t="e">
            <v>#N/A</v>
          </cell>
          <cell r="N399" t="e">
            <v>#N/A</v>
          </cell>
          <cell r="O399" t="e">
            <v>#N/A</v>
          </cell>
          <cell r="P399">
            <v>55.49</v>
          </cell>
          <cell r="Q399">
            <v>0.49772899999999998</v>
          </cell>
          <cell r="R399" t="e">
            <v>#N/A</v>
          </cell>
        </row>
        <row r="400">
          <cell r="A400">
            <v>40046</v>
          </cell>
          <cell r="B400">
            <v>40046</v>
          </cell>
          <cell r="C400" t="str">
            <v>Past</v>
          </cell>
          <cell r="D400">
            <v>57.03</v>
          </cell>
          <cell r="E400" t="e">
            <v>#N/A</v>
          </cell>
          <cell r="F400" t="e">
            <v>#N/A</v>
          </cell>
          <cell r="G400" t="e">
            <v>#N/A</v>
          </cell>
          <cell r="H400" t="e">
            <v>#N/A</v>
          </cell>
          <cell r="I400" t="e">
            <v>#N/A</v>
          </cell>
          <cell r="J400" t="e">
            <v>#N/A</v>
          </cell>
          <cell r="K400" t="e">
            <v>#N/A</v>
          </cell>
          <cell r="L400" t="e">
            <v>#N/A</v>
          </cell>
          <cell r="M400" t="e">
            <v>#N/A</v>
          </cell>
          <cell r="N400" t="e">
            <v>#N/A</v>
          </cell>
          <cell r="O400" t="e">
            <v>#N/A</v>
          </cell>
          <cell r="P400">
            <v>57.03</v>
          </cell>
          <cell r="Q400">
            <v>1.3126689999999999</v>
          </cell>
          <cell r="R400" t="e">
            <v>#N/A</v>
          </cell>
        </row>
        <row r="401">
          <cell r="A401">
            <v>40049</v>
          </cell>
          <cell r="B401">
            <v>40049</v>
          </cell>
          <cell r="C401" t="str">
            <v>Past</v>
          </cell>
          <cell r="D401">
            <v>57.16</v>
          </cell>
          <cell r="E401" t="e">
            <v>#N/A</v>
          </cell>
          <cell r="F401" t="e">
            <v>#N/A</v>
          </cell>
          <cell r="G401" t="e">
            <v>#N/A</v>
          </cell>
          <cell r="H401" t="e">
            <v>#N/A</v>
          </cell>
          <cell r="I401" t="e">
            <v>#N/A</v>
          </cell>
          <cell r="J401" t="e">
            <v>#N/A</v>
          </cell>
          <cell r="K401" t="e">
            <v>#N/A</v>
          </cell>
          <cell r="L401" t="e">
            <v>#N/A</v>
          </cell>
          <cell r="M401" t="e">
            <v>#N/A</v>
          </cell>
          <cell r="N401" t="e">
            <v>#N/A</v>
          </cell>
          <cell r="O401" t="e">
            <v>#N/A</v>
          </cell>
          <cell r="P401">
            <v>57.16</v>
          </cell>
          <cell r="Q401">
            <v>0.77187600000000001</v>
          </cell>
          <cell r="R401" t="e">
            <v>#N/A</v>
          </cell>
        </row>
        <row r="402">
          <cell r="A402">
            <v>40050</v>
          </cell>
          <cell r="B402">
            <v>40050</v>
          </cell>
          <cell r="C402" t="str">
            <v>Past</v>
          </cell>
          <cell r="D402">
            <v>56.86</v>
          </cell>
          <cell r="E402" t="e">
            <v>#N/A</v>
          </cell>
          <cell r="F402" t="e">
            <v>#N/A</v>
          </cell>
          <cell r="G402" t="e">
            <v>#N/A</v>
          </cell>
          <cell r="H402" t="e">
            <v>#N/A</v>
          </cell>
          <cell r="I402" t="e">
            <v>#N/A</v>
          </cell>
          <cell r="J402" t="e">
            <v>#N/A</v>
          </cell>
          <cell r="K402" t="e">
            <v>#N/A</v>
          </cell>
          <cell r="L402" t="e">
            <v>#N/A</v>
          </cell>
          <cell r="M402" t="e">
            <v>#N/A</v>
          </cell>
          <cell r="N402" t="e">
            <v>#N/A</v>
          </cell>
          <cell r="O402" t="e">
            <v>#N/A</v>
          </cell>
          <cell r="P402">
            <v>56.86</v>
          </cell>
          <cell r="Q402">
            <v>1.2499169999999999</v>
          </cell>
          <cell r="R402" t="e">
            <v>#N/A</v>
          </cell>
        </row>
        <row r="403">
          <cell r="A403">
            <v>40051</v>
          </cell>
          <cell r="B403">
            <v>40051</v>
          </cell>
          <cell r="C403" t="str">
            <v>Past</v>
          </cell>
          <cell r="D403">
            <v>55.25</v>
          </cell>
          <cell r="E403" t="e">
            <v>#N/A</v>
          </cell>
          <cell r="F403" t="e">
            <v>#N/A</v>
          </cell>
          <cell r="G403" t="e">
            <v>#N/A</v>
          </cell>
          <cell r="H403" t="e">
            <v>#N/A</v>
          </cell>
          <cell r="I403" t="e">
            <v>#N/A</v>
          </cell>
          <cell r="J403" t="e">
            <v>#N/A</v>
          </cell>
          <cell r="K403" t="e">
            <v>#N/A</v>
          </cell>
          <cell r="L403" t="e">
            <v>#N/A</v>
          </cell>
          <cell r="M403" t="e">
            <v>#N/A</v>
          </cell>
          <cell r="N403" t="e">
            <v>#N/A</v>
          </cell>
          <cell r="O403" t="e">
            <v>#N/A</v>
          </cell>
          <cell r="P403">
            <v>55.25</v>
          </cell>
          <cell r="Q403">
            <v>1.1425609999999999</v>
          </cell>
          <cell r="R403" t="e">
            <v>#N/A</v>
          </cell>
        </row>
        <row r="404">
          <cell r="A404">
            <v>40052</v>
          </cell>
          <cell r="B404">
            <v>40052</v>
          </cell>
          <cell r="C404" t="str">
            <v>Past</v>
          </cell>
          <cell r="D404">
            <v>56.64</v>
          </cell>
          <cell r="E404" t="e">
            <v>#N/A</v>
          </cell>
          <cell r="F404" t="e">
            <v>#N/A</v>
          </cell>
          <cell r="G404" t="e">
            <v>#N/A</v>
          </cell>
          <cell r="H404" t="e">
            <v>#N/A</v>
          </cell>
          <cell r="I404" t="e">
            <v>#N/A</v>
          </cell>
          <cell r="J404" t="e">
            <v>#N/A</v>
          </cell>
          <cell r="K404" t="e">
            <v>#N/A</v>
          </cell>
          <cell r="L404" t="e">
            <v>#N/A</v>
          </cell>
          <cell r="M404" t="e">
            <v>#N/A</v>
          </cell>
          <cell r="N404" t="e">
            <v>#N/A</v>
          </cell>
          <cell r="O404" t="e">
            <v>#N/A</v>
          </cell>
          <cell r="P404">
            <v>56.64</v>
          </cell>
          <cell r="Q404">
            <v>1.9073279999999999</v>
          </cell>
          <cell r="R404" t="e">
            <v>#N/A</v>
          </cell>
        </row>
        <row r="405">
          <cell r="A405">
            <v>40053</v>
          </cell>
          <cell r="B405">
            <v>40053</v>
          </cell>
          <cell r="C405" t="str">
            <v>Past</v>
          </cell>
          <cell r="D405">
            <v>55.79</v>
          </cell>
          <cell r="E405" t="e">
            <v>#N/A</v>
          </cell>
          <cell r="F405" t="e">
            <v>#N/A</v>
          </cell>
          <cell r="G405" t="e">
            <v>#N/A</v>
          </cell>
          <cell r="H405" t="e">
            <v>#N/A</v>
          </cell>
          <cell r="I405" t="e">
            <v>#N/A</v>
          </cell>
          <cell r="J405" t="e">
            <v>#N/A</v>
          </cell>
          <cell r="K405" t="e">
            <v>#N/A</v>
          </cell>
          <cell r="L405" t="e">
            <v>#N/A</v>
          </cell>
          <cell r="M405" t="e">
            <v>#N/A</v>
          </cell>
          <cell r="N405" t="e">
            <v>#N/A</v>
          </cell>
          <cell r="O405" t="e">
            <v>#N/A</v>
          </cell>
          <cell r="P405">
            <v>55.79</v>
          </cell>
          <cell r="Q405">
            <v>0.83835499999999996</v>
          </cell>
          <cell r="R405" t="e">
            <v>#N/A</v>
          </cell>
        </row>
        <row r="406">
          <cell r="A406">
            <v>40056</v>
          </cell>
          <cell r="B406">
            <v>40056</v>
          </cell>
          <cell r="C406" t="str">
            <v>Past</v>
          </cell>
          <cell r="D406">
            <v>55.16</v>
          </cell>
          <cell r="E406" t="e">
            <v>#N/A</v>
          </cell>
          <cell r="F406" t="e">
            <v>#N/A</v>
          </cell>
          <cell r="G406" t="e">
            <v>#N/A</v>
          </cell>
          <cell r="H406" t="e">
            <v>#N/A</v>
          </cell>
          <cell r="I406" t="e">
            <v>#N/A</v>
          </cell>
          <cell r="J406" t="e">
            <v>#N/A</v>
          </cell>
          <cell r="K406" t="e">
            <v>#N/A</v>
          </cell>
          <cell r="L406" t="e">
            <v>#N/A</v>
          </cell>
          <cell r="M406" t="e">
            <v>#N/A</v>
          </cell>
          <cell r="N406" t="e">
            <v>#N/A</v>
          </cell>
          <cell r="O406" t="e">
            <v>#N/A</v>
          </cell>
          <cell r="P406">
            <v>55.16</v>
          </cell>
          <cell r="Q406">
            <v>0.75229000000000001</v>
          </cell>
          <cell r="R406" t="e">
            <v>#N/A</v>
          </cell>
        </row>
        <row r="407">
          <cell r="A407">
            <v>40057</v>
          </cell>
          <cell r="B407">
            <v>40057</v>
          </cell>
          <cell r="C407" t="str">
            <v>Past</v>
          </cell>
          <cell r="D407">
            <v>54.58</v>
          </cell>
          <cell r="E407" t="e">
            <v>#N/A</v>
          </cell>
          <cell r="F407" t="e">
            <v>#N/A</v>
          </cell>
          <cell r="G407" t="e">
            <v>#N/A</v>
          </cell>
          <cell r="H407" t="e">
            <v>#N/A</v>
          </cell>
          <cell r="I407" t="e">
            <v>#N/A</v>
          </cell>
          <cell r="J407" t="e">
            <v>#N/A</v>
          </cell>
          <cell r="K407" t="e">
            <v>#N/A</v>
          </cell>
          <cell r="L407" t="e">
            <v>#N/A</v>
          </cell>
          <cell r="M407" t="e">
            <v>#N/A</v>
          </cell>
          <cell r="N407" t="e">
            <v>#N/A</v>
          </cell>
          <cell r="O407" t="e">
            <v>#N/A</v>
          </cell>
          <cell r="P407">
            <v>54.58</v>
          </cell>
          <cell r="Q407">
            <v>1.374166</v>
          </cell>
          <cell r="R407" t="e">
            <v>#N/A</v>
          </cell>
        </row>
        <row r="408">
          <cell r="A408">
            <v>40058</v>
          </cell>
          <cell r="B408">
            <v>40058</v>
          </cell>
          <cell r="C408" t="str">
            <v>Past</v>
          </cell>
          <cell r="D408">
            <v>54</v>
          </cell>
          <cell r="E408" t="e">
            <v>#N/A</v>
          </cell>
          <cell r="F408" t="e">
            <v>#N/A</v>
          </cell>
          <cell r="G408" t="e">
            <v>#N/A</v>
          </cell>
          <cell r="H408" t="e">
            <v>#N/A</v>
          </cell>
          <cell r="I408" t="e">
            <v>#N/A</v>
          </cell>
          <cell r="J408" t="e">
            <v>#N/A</v>
          </cell>
          <cell r="K408" t="e">
            <v>#N/A</v>
          </cell>
          <cell r="L408" t="e">
            <v>#N/A</v>
          </cell>
          <cell r="M408" t="e">
            <v>#N/A</v>
          </cell>
          <cell r="N408" t="e">
            <v>#N/A</v>
          </cell>
          <cell r="O408" t="e">
            <v>#N/A</v>
          </cell>
          <cell r="P408">
            <v>54</v>
          </cell>
          <cell r="Q408">
            <v>0.90407799999999994</v>
          </cell>
          <cell r="R408" t="e">
            <v>#N/A</v>
          </cell>
        </row>
        <row r="409">
          <cell r="A409">
            <v>40059</v>
          </cell>
          <cell r="B409">
            <v>40059</v>
          </cell>
          <cell r="C409" t="str">
            <v>Past</v>
          </cell>
          <cell r="D409">
            <v>54.78</v>
          </cell>
          <cell r="E409" t="e">
            <v>#N/A</v>
          </cell>
          <cell r="F409" t="e">
            <v>#N/A</v>
          </cell>
          <cell r="G409" t="e">
            <v>#N/A</v>
          </cell>
          <cell r="H409" t="e">
            <v>#N/A</v>
          </cell>
          <cell r="I409" t="e">
            <v>#N/A</v>
          </cell>
          <cell r="J409" t="e">
            <v>#N/A</v>
          </cell>
          <cell r="K409" t="e">
            <v>#N/A</v>
          </cell>
          <cell r="L409" t="e">
            <v>#N/A</v>
          </cell>
          <cell r="M409" t="e">
            <v>#N/A</v>
          </cell>
          <cell r="N409" t="e">
            <v>#N/A</v>
          </cell>
          <cell r="O409" t="e">
            <v>#N/A</v>
          </cell>
          <cell r="P409">
            <v>54.78</v>
          </cell>
          <cell r="Q409">
            <v>0.80378699999999992</v>
          </cell>
          <cell r="R409" t="e">
            <v>#N/A</v>
          </cell>
        </row>
        <row r="410">
          <cell r="A410">
            <v>40060</v>
          </cell>
          <cell r="B410">
            <v>40060</v>
          </cell>
          <cell r="C410" t="str">
            <v>Past</v>
          </cell>
          <cell r="D410">
            <v>55.98</v>
          </cell>
          <cell r="E410" t="e">
            <v>#N/A</v>
          </cell>
          <cell r="F410" t="e">
            <v>#N/A</v>
          </cell>
          <cell r="G410" t="e">
            <v>#N/A</v>
          </cell>
          <cell r="H410" t="e">
            <v>#N/A</v>
          </cell>
          <cell r="I410" t="e">
            <v>#N/A</v>
          </cell>
          <cell r="J410" t="e">
            <v>#N/A</v>
          </cell>
          <cell r="K410" t="e">
            <v>#N/A</v>
          </cell>
          <cell r="L410" t="e">
            <v>#N/A</v>
          </cell>
          <cell r="M410" t="e">
            <v>#N/A</v>
          </cell>
          <cell r="N410" t="e">
            <v>#N/A</v>
          </cell>
          <cell r="O410" t="e">
            <v>#N/A</v>
          </cell>
          <cell r="P410">
            <v>55.98</v>
          </cell>
          <cell r="Q410">
            <v>0.74480400000000002</v>
          </cell>
          <cell r="R410" t="e">
            <v>#N/A</v>
          </cell>
        </row>
        <row r="411">
          <cell r="A411">
            <v>40064</v>
          </cell>
          <cell r="B411">
            <v>40064</v>
          </cell>
          <cell r="C411" t="str">
            <v>Past</v>
          </cell>
          <cell r="D411">
            <v>56.35</v>
          </cell>
          <cell r="E411" t="e">
            <v>#N/A</v>
          </cell>
          <cell r="F411" t="e">
            <v>#N/A</v>
          </cell>
          <cell r="G411" t="e">
            <v>#N/A</v>
          </cell>
          <cell r="H411" t="e">
            <v>#N/A</v>
          </cell>
          <cell r="I411" t="e">
            <v>#N/A</v>
          </cell>
          <cell r="J411" t="e">
            <v>#N/A</v>
          </cell>
          <cell r="K411" t="e">
            <v>#N/A</v>
          </cell>
          <cell r="L411" t="e">
            <v>#N/A</v>
          </cell>
          <cell r="M411" t="e">
            <v>#N/A</v>
          </cell>
          <cell r="N411" t="e">
            <v>#N/A</v>
          </cell>
          <cell r="O411" t="e">
            <v>#N/A</v>
          </cell>
          <cell r="P411">
            <v>56.35</v>
          </cell>
          <cell r="Q411">
            <v>1.2246169999999998</v>
          </cell>
          <cell r="R411" t="e">
            <v>#N/A</v>
          </cell>
        </row>
        <row r="412">
          <cell r="A412">
            <v>40065</v>
          </cell>
          <cell r="B412">
            <v>40065</v>
          </cell>
          <cell r="C412" t="str">
            <v>Past</v>
          </cell>
          <cell r="D412">
            <v>56.53</v>
          </cell>
          <cell r="E412" t="e">
            <v>#N/A</v>
          </cell>
          <cell r="F412" t="e">
            <v>#N/A</v>
          </cell>
          <cell r="G412" t="e">
            <v>#N/A</v>
          </cell>
          <cell r="H412" t="e">
            <v>#N/A</v>
          </cell>
          <cell r="I412" t="e">
            <v>#N/A</v>
          </cell>
          <cell r="J412" t="e">
            <v>#N/A</v>
          </cell>
          <cell r="K412" t="e">
            <v>#N/A</v>
          </cell>
          <cell r="L412" t="e">
            <v>#N/A</v>
          </cell>
          <cell r="M412" t="e">
            <v>#N/A</v>
          </cell>
          <cell r="N412" t="e">
            <v>#N/A</v>
          </cell>
          <cell r="O412" t="e">
            <v>#N/A</v>
          </cell>
          <cell r="P412">
            <v>56.53</v>
          </cell>
          <cell r="Q412">
            <v>0.81135599999999997</v>
          </cell>
          <cell r="R412" t="e">
            <v>#N/A</v>
          </cell>
        </row>
        <row r="413">
          <cell r="A413">
            <v>40066</v>
          </cell>
          <cell r="B413">
            <v>40066</v>
          </cell>
          <cell r="C413" t="str">
            <v>Past</v>
          </cell>
          <cell r="D413">
            <v>56.63</v>
          </cell>
          <cell r="E413" t="e">
            <v>#N/A</v>
          </cell>
          <cell r="F413" t="e">
            <v>#N/A</v>
          </cell>
          <cell r="G413" t="e">
            <v>#N/A</v>
          </cell>
          <cell r="H413" t="e">
            <v>#N/A</v>
          </cell>
          <cell r="I413" t="e">
            <v>#N/A</v>
          </cell>
          <cell r="J413" t="e">
            <v>#N/A</v>
          </cell>
          <cell r="K413" t="e">
            <v>#N/A</v>
          </cell>
          <cell r="L413" t="e">
            <v>#N/A</v>
          </cell>
          <cell r="M413" t="e">
            <v>#N/A</v>
          </cell>
          <cell r="N413" t="e">
            <v>#N/A</v>
          </cell>
          <cell r="O413" t="e">
            <v>#N/A</v>
          </cell>
          <cell r="P413">
            <v>56.63</v>
          </cell>
          <cell r="Q413">
            <v>1.4026529999999999</v>
          </cell>
          <cell r="R413" t="e">
            <v>#N/A</v>
          </cell>
        </row>
        <row r="414">
          <cell r="A414">
            <v>40067</v>
          </cell>
          <cell r="B414">
            <v>40067</v>
          </cell>
          <cell r="C414" t="str">
            <v>Past</v>
          </cell>
          <cell r="D414">
            <v>56.32</v>
          </cell>
          <cell r="E414" t="e">
            <v>#N/A</v>
          </cell>
          <cell r="F414" t="e">
            <v>#N/A</v>
          </cell>
          <cell r="G414" t="e">
            <v>#N/A</v>
          </cell>
          <cell r="H414" t="e">
            <v>#N/A</v>
          </cell>
          <cell r="I414" t="e">
            <v>#N/A</v>
          </cell>
          <cell r="J414" t="e">
            <v>#N/A</v>
          </cell>
          <cell r="K414" t="e">
            <v>#N/A</v>
          </cell>
          <cell r="L414" t="e">
            <v>#N/A</v>
          </cell>
          <cell r="M414" t="e">
            <v>#N/A</v>
          </cell>
          <cell r="N414" t="e">
            <v>#N/A</v>
          </cell>
          <cell r="O414" t="e">
            <v>#N/A</v>
          </cell>
          <cell r="P414">
            <v>56.32</v>
          </cell>
          <cell r="Q414">
            <v>0.69666600000000001</v>
          </cell>
          <cell r="R414" t="e">
            <v>#N/A</v>
          </cell>
        </row>
        <row r="415">
          <cell r="A415">
            <v>40070</v>
          </cell>
          <cell r="B415">
            <v>40070</v>
          </cell>
          <cell r="C415" t="str">
            <v>Past</v>
          </cell>
          <cell r="D415">
            <v>56.48</v>
          </cell>
          <cell r="E415" t="e">
            <v>#N/A</v>
          </cell>
          <cell r="F415" t="e">
            <v>#N/A</v>
          </cell>
          <cell r="G415" t="e">
            <v>#N/A</v>
          </cell>
          <cell r="H415" t="e">
            <v>#N/A</v>
          </cell>
          <cell r="I415" t="e">
            <v>#N/A</v>
          </cell>
          <cell r="J415" t="e">
            <v>#N/A</v>
          </cell>
          <cell r="K415" t="e">
            <v>#N/A</v>
          </cell>
          <cell r="L415" t="e">
            <v>#N/A</v>
          </cell>
          <cell r="M415" t="e">
            <v>#N/A</v>
          </cell>
          <cell r="N415" t="e">
            <v>#N/A</v>
          </cell>
          <cell r="O415" t="e">
            <v>#N/A</v>
          </cell>
          <cell r="P415">
            <v>56.48</v>
          </cell>
          <cell r="Q415">
            <v>0.94285699999999995</v>
          </cell>
          <cell r="R415" t="e">
            <v>#N/A</v>
          </cell>
        </row>
        <row r="416">
          <cell r="A416">
            <v>40071</v>
          </cell>
          <cell r="B416">
            <v>40071</v>
          </cell>
          <cell r="C416" t="str">
            <v>Past</v>
          </cell>
          <cell r="D416">
            <v>55.64</v>
          </cell>
          <cell r="E416" t="e">
            <v>#N/A</v>
          </cell>
          <cell r="F416" t="e">
            <v>#N/A</v>
          </cell>
          <cell r="G416" t="e">
            <v>#N/A</v>
          </cell>
          <cell r="H416" t="e">
            <v>#N/A</v>
          </cell>
          <cell r="I416" t="e">
            <v>#N/A</v>
          </cell>
          <cell r="J416" t="e">
            <v>#N/A</v>
          </cell>
          <cell r="K416" t="e">
            <v>#N/A</v>
          </cell>
          <cell r="L416" t="e">
            <v>#N/A</v>
          </cell>
          <cell r="M416" t="e">
            <v>#N/A</v>
          </cell>
          <cell r="N416" t="e">
            <v>#N/A</v>
          </cell>
          <cell r="O416" t="e">
            <v>#N/A</v>
          </cell>
          <cell r="P416">
            <v>55.64</v>
          </cell>
          <cell r="Q416">
            <v>1.4492600000000002</v>
          </cell>
          <cell r="R416" t="e">
            <v>#N/A</v>
          </cell>
        </row>
        <row r="417">
          <cell r="A417">
            <v>40072</v>
          </cell>
          <cell r="B417">
            <v>40072</v>
          </cell>
          <cell r="C417" t="str">
            <v>Past</v>
          </cell>
          <cell r="D417">
            <v>55.68</v>
          </cell>
          <cell r="E417" t="e">
            <v>#N/A</v>
          </cell>
          <cell r="F417" t="e">
            <v>#N/A</v>
          </cell>
          <cell r="G417" t="e">
            <v>#N/A</v>
          </cell>
          <cell r="H417" t="e">
            <v>#N/A</v>
          </cell>
          <cell r="I417" t="e">
            <v>#N/A</v>
          </cell>
          <cell r="J417" t="e">
            <v>#N/A</v>
          </cell>
          <cell r="K417" t="e">
            <v>#N/A</v>
          </cell>
          <cell r="L417" t="e">
            <v>#N/A</v>
          </cell>
          <cell r="M417" t="e">
            <v>#N/A</v>
          </cell>
          <cell r="N417" t="e">
            <v>#N/A</v>
          </cell>
          <cell r="O417" t="e">
            <v>#N/A</v>
          </cell>
          <cell r="P417">
            <v>55.68</v>
          </cell>
          <cell r="Q417">
            <v>1.5260929999999999</v>
          </cell>
          <cell r="R417" t="e">
            <v>#N/A</v>
          </cell>
        </row>
        <row r="418">
          <cell r="A418">
            <v>40073</v>
          </cell>
          <cell r="B418">
            <v>40073</v>
          </cell>
          <cell r="C418" t="str">
            <v>Past</v>
          </cell>
          <cell r="D418">
            <v>55.49</v>
          </cell>
          <cell r="E418" t="e">
            <v>#N/A</v>
          </cell>
          <cell r="F418" t="e">
            <v>#N/A</v>
          </cell>
          <cell r="G418" t="e">
            <v>#N/A</v>
          </cell>
          <cell r="H418" t="e">
            <v>#N/A</v>
          </cell>
          <cell r="I418" t="e">
            <v>#N/A</v>
          </cell>
          <cell r="J418" t="e">
            <v>#N/A</v>
          </cell>
          <cell r="K418" t="e">
            <v>#N/A</v>
          </cell>
          <cell r="L418" t="e">
            <v>#N/A</v>
          </cell>
          <cell r="M418" t="e">
            <v>#N/A</v>
          </cell>
          <cell r="N418" t="e">
            <v>#N/A</v>
          </cell>
          <cell r="O418" t="e">
            <v>#N/A</v>
          </cell>
          <cell r="P418">
            <v>55.49</v>
          </cell>
          <cell r="Q418">
            <v>2.450593</v>
          </cell>
          <cell r="R418" t="e">
            <v>#N/A</v>
          </cell>
        </row>
        <row r="419">
          <cell r="A419">
            <v>40074</v>
          </cell>
          <cell r="B419">
            <v>40074</v>
          </cell>
          <cell r="C419" t="str">
            <v>Past</v>
          </cell>
          <cell r="D419">
            <v>55.49</v>
          </cell>
          <cell r="E419" t="e">
            <v>#N/A</v>
          </cell>
          <cell r="F419" t="e">
            <v>#N/A</v>
          </cell>
          <cell r="G419" t="e">
            <v>#N/A</v>
          </cell>
          <cell r="H419" t="e">
            <v>#N/A</v>
          </cell>
          <cell r="I419" t="e">
            <v>#N/A</v>
          </cell>
          <cell r="J419" t="e">
            <v>#N/A</v>
          </cell>
          <cell r="K419" t="e">
            <v>#N/A</v>
          </cell>
          <cell r="L419" t="e">
            <v>#N/A</v>
          </cell>
          <cell r="M419" t="e">
            <v>#N/A</v>
          </cell>
          <cell r="N419" t="e">
            <v>#N/A</v>
          </cell>
          <cell r="O419" t="e">
            <v>#N/A</v>
          </cell>
          <cell r="P419">
            <v>55.49</v>
          </cell>
          <cell r="Q419">
            <v>1.640315</v>
          </cell>
          <cell r="R419" t="e">
            <v>#N/A</v>
          </cell>
        </row>
        <row r="420">
          <cell r="A420">
            <v>40077</v>
          </cell>
          <cell r="B420">
            <v>40077</v>
          </cell>
          <cell r="C420" t="str">
            <v>Past</v>
          </cell>
          <cell r="D420">
            <v>54.93</v>
          </cell>
          <cell r="E420" t="e">
            <v>#N/A</v>
          </cell>
          <cell r="F420" t="e">
            <v>#N/A</v>
          </cell>
          <cell r="G420" t="e">
            <v>#N/A</v>
          </cell>
          <cell r="H420" t="e">
            <v>#N/A</v>
          </cell>
          <cell r="I420" t="e">
            <v>#N/A</v>
          </cell>
          <cell r="J420" t="e">
            <v>#N/A</v>
          </cell>
          <cell r="K420" t="e">
            <v>#N/A</v>
          </cell>
          <cell r="L420" t="e">
            <v>#N/A</v>
          </cell>
          <cell r="M420" t="e">
            <v>#N/A</v>
          </cell>
          <cell r="N420" t="e">
            <v>#N/A</v>
          </cell>
          <cell r="O420" t="e">
            <v>#N/A</v>
          </cell>
          <cell r="P420">
            <v>54.93</v>
          </cell>
          <cell r="Q420">
            <v>1.0604829999999998</v>
          </cell>
          <cell r="R420" t="e">
            <v>#N/A</v>
          </cell>
        </row>
        <row r="421">
          <cell r="A421">
            <v>40078</v>
          </cell>
          <cell r="B421">
            <v>40078</v>
          </cell>
          <cell r="C421" t="str">
            <v>Past</v>
          </cell>
          <cell r="D421">
            <v>56.3</v>
          </cell>
          <cell r="E421" t="e">
            <v>#N/A</v>
          </cell>
          <cell r="F421" t="e">
            <v>#N/A</v>
          </cell>
          <cell r="G421" t="e">
            <v>#N/A</v>
          </cell>
          <cell r="H421" t="e">
            <v>#N/A</v>
          </cell>
          <cell r="I421" t="e">
            <v>#N/A</v>
          </cell>
          <cell r="J421" t="e">
            <v>#N/A</v>
          </cell>
          <cell r="K421" t="e">
            <v>#N/A</v>
          </cell>
          <cell r="L421" t="e">
            <v>#N/A</v>
          </cell>
          <cell r="M421" t="e">
            <v>#N/A</v>
          </cell>
          <cell r="N421" t="e">
            <v>#N/A</v>
          </cell>
          <cell r="O421" t="e">
            <v>#N/A</v>
          </cell>
          <cell r="P421">
            <v>56.3</v>
          </cell>
          <cell r="Q421">
            <v>1.6738189999999999</v>
          </cell>
          <cell r="R421" t="e">
            <v>#N/A</v>
          </cell>
        </row>
        <row r="422">
          <cell r="A422">
            <v>40079</v>
          </cell>
          <cell r="B422">
            <v>40079</v>
          </cell>
          <cell r="C422" t="str">
            <v>Past</v>
          </cell>
          <cell r="D422">
            <v>55.49</v>
          </cell>
          <cell r="E422" t="e">
            <v>#N/A</v>
          </cell>
          <cell r="F422" t="e">
            <v>#N/A</v>
          </cell>
          <cell r="G422" t="e">
            <v>#N/A</v>
          </cell>
          <cell r="H422" t="e">
            <v>#N/A</v>
          </cell>
          <cell r="I422" t="e">
            <v>#N/A</v>
          </cell>
          <cell r="J422" t="e">
            <v>#N/A</v>
          </cell>
          <cell r="K422" t="e">
            <v>#N/A</v>
          </cell>
          <cell r="L422" t="e">
            <v>#N/A</v>
          </cell>
          <cell r="M422" t="e">
            <v>#N/A</v>
          </cell>
          <cell r="N422" t="e">
            <v>#N/A</v>
          </cell>
          <cell r="O422" t="e">
            <v>#N/A</v>
          </cell>
          <cell r="P422">
            <v>55.49</v>
          </cell>
          <cell r="Q422">
            <v>1.0488700000000002</v>
          </cell>
          <cell r="R422" t="e">
            <v>#N/A</v>
          </cell>
        </row>
        <row r="423">
          <cell r="A423">
            <v>40080</v>
          </cell>
          <cell r="B423">
            <v>40080</v>
          </cell>
          <cell r="C423" t="str">
            <v>Past</v>
          </cell>
          <cell r="D423">
            <v>54.7</v>
          </cell>
          <cell r="E423" t="e">
            <v>#N/A</v>
          </cell>
          <cell r="F423" t="e">
            <v>#N/A</v>
          </cell>
          <cell r="G423" t="e">
            <v>#N/A</v>
          </cell>
          <cell r="H423" t="e">
            <v>#N/A</v>
          </cell>
          <cell r="I423" t="e">
            <v>#N/A</v>
          </cell>
          <cell r="J423" t="e">
            <v>#N/A</v>
          </cell>
          <cell r="K423" t="e">
            <v>#N/A</v>
          </cell>
          <cell r="L423" t="e">
            <v>#N/A</v>
          </cell>
          <cell r="M423" t="e">
            <v>#N/A</v>
          </cell>
          <cell r="N423" t="e">
            <v>#N/A</v>
          </cell>
          <cell r="O423" t="e">
            <v>#N/A</v>
          </cell>
          <cell r="P423">
            <v>54.7</v>
          </cell>
          <cell r="Q423">
            <v>0.95225499999999996</v>
          </cell>
          <cell r="R423" t="e">
            <v>#N/A</v>
          </cell>
        </row>
        <row r="424">
          <cell r="A424">
            <v>40081</v>
          </cell>
          <cell r="B424">
            <v>40081</v>
          </cell>
          <cell r="C424" t="str">
            <v>Past</v>
          </cell>
          <cell r="D424">
            <v>53.2</v>
          </cell>
          <cell r="E424" t="e">
            <v>#N/A</v>
          </cell>
          <cell r="F424" t="e">
            <v>#N/A</v>
          </cell>
          <cell r="G424" t="e">
            <v>#N/A</v>
          </cell>
          <cell r="H424" t="e">
            <v>#N/A</v>
          </cell>
          <cell r="I424" t="e">
            <v>#N/A</v>
          </cell>
          <cell r="J424" t="e">
            <v>#N/A</v>
          </cell>
          <cell r="K424" t="e">
            <v>#N/A</v>
          </cell>
          <cell r="L424" t="e">
            <v>#N/A</v>
          </cell>
          <cell r="M424" t="e">
            <v>#N/A</v>
          </cell>
          <cell r="N424" t="e">
            <v>#N/A</v>
          </cell>
          <cell r="O424" t="e">
            <v>#N/A</v>
          </cell>
          <cell r="P424">
            <v>53.2</v>
          </cell>
          <cell r="Q424">
            <v>2.5609539999999997</v>
          </cell>
          <cell r="R424" t="e">
            <v>#N/A</v>
          </cell>
        </row>
        <row r="425">
          <cell r="A425">
            <v>40084</v>
          </cell>
          <cell r="B425">
            <v>40084</v>
          </cell>
          <cell r="C425" t="str">
            <v>Past</v>
          </cell>
          <cell r="D425">
            <v>53.6</v>
          </cell>
          <cell r="E425" t="e">
            <v>#N/A</v>
          </cell>
          <cell r="F425" t="e">
            <v>#N/A</v>
          </cell>
          <cell r="G425" t="e">
            <v>#N/A</v>
          </cell>
          <cell r="H425" t="e">
            <v>#N/A</v>
          </cell>
          <cell r="I425" t="e">
            <v>#N/A</v>
          </cell>
          <cell r="J425" t="e">
            <v>#N/A</v>
          </cell>
          <cell r="K425" t="e">
            <v>#N/A</v>
          </cell>
          <cell r="L425" t="e">
            <v>#N/A</v>
          </cell>
          <cell r="M425" t="e">
            <v>#N/A</v>
          </cell>
          <cell r="N425" t="e">
            <v>#N/A</v>
          </cell>
          <cell r="O425" t="e">
            <v>#N/A</v>
          </cell>
          <cell r="P425">
            <v>53.6</v>
          </cell>
          <cell r="Q425">
            <v>1.1024200000000002</v>
          </cell>
          <cell r="R425" t="e">
            <v>#N/A</v>
          </cell>
        </row>
        <row r="426">
          <cell r="A426">
            <v>40085</v>
          </cell>
          <cell r="B426">
            <v>40085</v>
          </cell>
          <cell r="C426" t="str">
            <v>Past</v>
          </cell>
          <cell r="D426">
            <v>53.79</v>
          </cell>
          <cell r="E426" t="e">
            <v>#N/A</v>
          </cell>
          <cell r="F426" t="e">
            <v>#N/A</v>
          </cell>
          <cell r="G426" t="e">
            <v>#N/A</v>
          </cell>
          <cell r="H426" t="e">
            <v>#N/A</v>
          </cell>
          <cell r="I426" t="e">
            <v>#N/A</v>
          </cell>
          <cell r="J426" t="e">
            <v>#N/A</v>
          </cell>
          <cell r="K426" t="e">
            <v>#N/A</v>
          </cell>
          <cell r="L426" t="e">
            <v>#N/A</v>
          </cell>
          <cell r="M426" t="e">
            <v>#N/A</v>
          </cell>
          <cell r="N426" t="e">
            <v>#N/A</v>
          </cell>
          <cell r="O426" t="e">
            <v>#N/A</v>
          </cell>
          <cell r="P426">
            <v>53.79</v>
          </cell>
          <cell r="Q426">
            <v>2.5012149999999997</v>
          </cell>
          <cell r="R426" t="e">
            <v>#N/A</v>
          </cell>
        </row>
        <row r="427">
          <cell r="A427">
            <v>40086</v>
          </cell>
          <cell r="B427">
            <v>40086</v>
          </cell>
          <cell r="C427" t="str">
            <v>Past</v>
          </cell>
          <cell r="D427">
            <v>54.34</v>
          </cell>
          <cell r="E427" t="e">
            <v>#N/A</v>
          </cell>
          <cell r="F427" t="e">
            <v>#N/A</v>
          </cell>
          <cell r="G427" t="e">
            <v>#N/A</v>
          </cell>
          <cell r="H427" t="e">
            <v>#N/A</v>
          </cell>
          <cell r="I427" t="e">
            <v>#N/A</v>
          </cell>
          <cell r="J427" t="e">
            <v>#N/A</v>
          </cell>
          <cell r="K427" t="e">
            <v>#N/A</v>
          </cell>
          <cell r="L427" t="e">
            <v>#N/A</v>
          </cell>
          <cell r="M427" t="e">
            <v>#N/A</v>
          </cell>
          <cell r="N427" t="e">
            <v>#N/A</v>
          </cell>
          <cell r="O427" t="e">
            <v>#N/A</v>
          </cell>
          <cell r="P427">
            <v>54.34</v>
          </cell>
          <cell r="Q427">
            <v>1.7411269999999999</v>
          </cell>
          <cell r="R427" t="e">
            <v>#N/A</v>
          </cell>
        </row>
        <row r="428">
          <cell r="A428">
            <v>40087</v>
          </cell>
          <cell r="B428">
            <v>40087</v>
          </cell>
          <cell r="C428" t="str">
            <v>Past</v>
          </cell>
          <cell r="D428">
            <v>53.23</v>
          </cell>
          <cell r="E428" t="e">
            <v>#N/A</v>
          </cell>
          <cell r="F428" t="e">
            <v>#N/A</v>
          </cell>
          <cell r="G428" t="e">
            <v>#N/A</v>
          </cell>
          <cell r="H428" t="e">
            <v>#N/A</v>
          </cell>
          <cell r="I428" t="e">
            <v>#N/A</v>
          </cell>
          <cell r="J428" t="e">
            <v>#N/A</v>
          </cell>
          <cell r="K428" t="e">
            <v>#N/A</v>
          </cell>
          <cell r="L428" t="e">
            <v>#N/A</v>
          </cell>
          <cell r="M428" t="e">
            <v>#N/A</v>
          </cell>
          <cell r="N428" t="e">
            <v>#N/A</v>
          </cell>
          <cell r="O428" t="e">
            <v>#N/A</v>
          </cell>
          <cell r="P428">
            <v>53.23</v>
          </cell>
          <cell r="Q428">
            <v>1.281145</v>
          </cell>
          <cell r="R428" t="e">
            <v>#N/A</v>
          </cell>
        </row>
        <row r="429">
          <cell r="A429">
            <v>40088</v>
          </cell>
          <cell r="B429">
            <v>40088</v>
          </cell>
          <cell r="C429" t="str">
            <v>Past</v>
          </cell>
          <cell r="D429">
            <v>52.42</v>
          </cell>
          <cell r="E429" t="e">
            <v>#N/A</v>
          </cell>
          <cell r="F429" t="e">
            <v>#N/A</v>
          </cell>
          <cell r="G429" t="e">
            <v>#N/A</v>
          </cell>
          <cell r="H429" t="e">
            <v>#N/A</v>
          </cell>
          <cell r="I429" t="e">
            <v>#N/A</v>
          </cell>
          <cell r="J429" t="e">
            <v>#N/A</v>
          </cell>
          <cell r="K429" t="e">
            <v>#N/A</v>
          </cell>
          <cell r="L429" t="e">
            <v>#N/A</v>
          </cell>
          <cell r="M429" t="e">
            <v>#N/A</v>
          </cell>
          <cell r="N429" t="e">
            <v>#N/A</v>
          </cell>
          <cell r="O429" t="e">
            <v>#N/A</v>
          </cell>
          <cell r="P429">
            <v>52.42</v>
          </cell>
          <cell r="Q429">
            <v>0.88901699999999995</v>
          </cell>
          <cell r="R429" t="e">
            <v>#N/A</v>
          </cell>
        </row>
        <row r="430">
          <cell r="A430">
            <v>40091</v>
          </cell>
          <cell r="B430">
            <v>40091</v>
          </cell>
          <cell r="C430" t="str">
            <v>Past</v>
          </cell>
          <cell r="D430">
            <v>53.6</v>
          </cell>
          <cell r="E430" t="e">
            <v>#N/A</v>
          </cell>
          <cell r="F430" t="e">
            <v>#N/A</v>
          </cell>
          <cell r="G430" t="e">
            <v>#N/A</v>
          </cell>
          <cell r="H430" t="e">
            <v>#N/A</v>
          </cell>
          <cell r="I430" t="e">
            <v>#N/A</v>
          </cell>
          <cell r="J430" t="e">
            <v>#N/A</v>
          </cell>
          <cell r="K430" t="e">
            <v>#N/A</v>
          </cell>
          <cell r="L430" t="e">
            <v>#N/A</v>
          </cell>
          <cell r="M430" t="e">
            <v>#N/A</v>
          </cell>
          <cell r="N430" t="e">
            <v>#N/A</v>
          </cell>
          <cell r="O430" t="e">
            <v>#N/A</v>
          </cell>
          <cell r="P430">
            <v>53.6</v>
          </cell>
          <cell r="Q430">
            <v>0.98442399999999997</v>
          </cell>
          <cell r="R430" t="e">
            <v>#N/A</v>
          </cell>
        </row>
        <row r="431">
          <cell r="A431">
            <v>40092</v>
          </cell>
          <cell r="B431">
            <v>40092</v>
          </cell>
          <cell r="C431" t="str">
            <v>Past</v>
          </cell>
          <cell r="D431">
            <v>53.09</v>
          </cell>
          <cell r="E431" t="e">
            <v>#N/A</v>
          </cell>
          <cell r="F431" t="e">
            <v>#N/A</v>
          </cell>
          <cell r="G431" t="e">
            <v>#N/A</v>
          </cell>
          <cell r="H431" t="e">
            <v>#N/A</v>
          </cell>
          <cell r="I431" t="e">
            <v>#N/A</v>
          </cell>
          <cell r="J431" t="e">
            <v>#N/A</v>
          </cell>
          <cell r="K431" t="e">
            <v>#N/A</v>
          </cell>
          <cell r="L431" t="e">
            <v>#N/A</v>
          </cell>
          <cell r="M431" t="e">
            <v>#N/A</v>
          </cell>
          <cell r="N431" t="e">
            <v>#N/A</v>
          </cell>
          <cell r="O431" t="e">
            <v>#N/A</v>
          </cell>
          <cell r="P431">
            <v>53.09</v>
          </cell>
          <cell r="Q431">
            <v>1.9917809999999998</v>
          </cell>
          <cell r="R431" t="e">
            <v>#N/A</v>
          </cell>
        </row>
        <row r="432">
          <cell r="A432">
            <v>40093</v>
          </cell>
          <cell r="B432">
            <v>40093</v>
          </cell>
          <cell r="C432" t="str">
            <v>Past</v>
          </cell>
          <cell r="D432">
            <v>53.33</v>
          </cell>
          <cell r="E432" t="e">
            <v>#N/A</v>
          </cell>
          <cell r="F432" t="e">
            <v>#N/A</v>
          </cell>
          <cell r="G432" t="e">
            <v>#N/A</v>
          </cell>
          <cell r="H432" t="e">
            <v>#N/A</v>
          </cell>
          <cell r="I432" t="e">
            <v>#N/A</v>
          </cell>
          <cell r="J432" t="e">
            <v>#N/A</v>
          </cell>
          <cell r="K432" t="e">
            <v>#N/A</v>
          </cell>
          <cell r="L432" t="e">
            <v>#N/A</v>
          </cell>
          <cell r="M432" t="e">
            <v>#N/A</v>
          </cell>
          <cell r="N432" t="e">
            <v>#N/A</v>
          </cell>
          <cell r="O432" t="e">
            <v>#N/A</v>
          </cell>
          <cell r="P432">
            <v>53.33</v>
          </cell>
          <cell r="Q432">
            <v>1.6187049999999998</v>
          </cell>
          <cell r="R432" t="e">
            <v>#N/A</v>
          </cell>
        </row>
        <row r="433">
          <cell r="A433">
            <v>40094</v>
          </cell>
          <cell r="B433">
            <v>40094</v>
          </cell>
          <cell r="C433" t="str">
            <v>Past</v>
          </cell>
          <cell r="D433">
            <v>53.31</v>
          </cell>
          <cell r="E433" t="e">
            <v>#N/A</v>
          </cell>
          <cell r="F433" t="e">
            <v>#N/A</v>
          </cell>
          <cell r="G433" t="e">
            <v>#N/A</v>
          </cell>
          <cell r="H433" t="e">
            <v>#N/A</v>
          </cell>
          <cell r="I433" t="e">
            <v>#N/A</v>
          </cell>
          <cell r="J433" t="e">
            <v>#N/A</v>
          </cell>
          <cell r="K433" t="e">
            <v>#N/A</v>
          </cell>
          <cell r="L433" t="e">
            <v>#N/A</v>
          </cell>
          <cell r="M433" t="e">
            <v>#N/A</v>
          </cell>
          <cell r="N433" t="e">
            <v>#N/A</v>
          </cell>
          <cell r="O433" t="e">
            <v>#N/A</v>
          </cell>
          <cell r="P433">
            <v>53.31</v>
          </cell>
          <cell r="Q433">
            <v>2.6665719999999999</v>
          </cell>
          <cell r="R433" t="e">
            <v>#N/A</v>
          </cell>
        </row>
        <row r="434">
          <cell r="A434">
            <v>40095</v>
          </cell>
          <cell r="B434">
            <v>40095</v>
          </cell>
          <cell r="C434" t="str">
            <v>Past</v>
          </cell>
          <cell r="D434">
            <v>55.2</v>
          </cell>
          <cell r="E434" t="e">
            <v>#N/A</v>
          </cell>
          <cell r="F434" t="e">
            <v>#N/A</v>
          </cell>
          <cell r="G434" t="e">
            <v>#N/A</v>
          </cell>
          <cell r="H434" t="e">
            <v>#N/A</v>
          </cell>
          <cell r="I434" t="e">
            <v>#N/A</v>
          </cell>
          <cell r="J434" t="e">
            <v>#N/A</v>
          </cell>
          <cell r="K434" t="e">
            <v>#N/A</v>
          </cell>
          <cell r="L434" t="e">
            <v>#N/A</v>
          </cell>
          <cell r="M434" t="e">
            <v>#N/A</v>
          </cell>
          <cell r="N434" t="e">
            <v>#N/A</v>
          </cell>
          <cell r="O434" t="e">
            <v>#N/A</v>
          </cell>
          <cell r="P434">
            <v>55.2</v>
          </cell>
          <cell r="Q434">
            <v>1.641208</v>
          </cell>
          <cell r="R434" t="e">
            <v>#N/A</v>
          </cell>
        </row>
        <row r="435">
          <cell r="A435">
            <v>40098</v>
          </cell>
          <cell r="B435">
            <v>40098</v>
          </cell>
          <cell r="C435" t="str">
            <v>Past</v>
          </cell>
          <cell r="D435">
            <v>54.83</v>
          </cell>
          <cell r="E435" t="e">
            <v>#N/A</v>
          </cell>
          <cell r="F435" t="e">
            <v>#N/A</v>
          </cell>
          <cell r="G435" t="e">
            <v>#N/A</v>
          </cell>
          <cell r="H435" t="e">
            <v>#N/A</v>
          </cell>
          <cell r="I435" t="e">
            <v>#N/A</v>
          </cell>
          <cell r="J435" t="e">
            <v>#N/A</v>
          </cell>
          <cell r="K435" t="e">
            <v>#N/A</v>
          </cell>
          <cell r="L435" t="e">
            <v>#N/A</v>
          </cell>
          <cell r="M435" t="e">
            <v>#N/A</v>
          </cell>
          <cell r="N435" t="e">
            <v>#N/A</v>
          </cell>
          <cell r="O435" t="e">
            <v>#N/A</v>
          </cell>
          <cell r="P435">
            <v>54.83</v>
          </cell>
          <cell r="Q435">
            <v>0.98768899999999993</v>
          </cell>
          <cell r="R435" t="e">
            <v>#N/A</v>
          </cell>
        </row>
        <row r="436">
          <cell r="A436">
            <v>40099</v>
          </cell>
          <cell r="B436">
            <v>40099</v>
          </cell>
          <cell r="C436" t="str">
            <v>Past</v>
          </cell>
          <cell r="D436">
            <v>55.3</v>
          </cell>
          <cell r="E436" t="e">
            <v>#N/A</v>
          </cell>
          <cell r="F436" t="e">
            <v>#N/A</v>
          </cell>
          <cell r="G436" t="e">
            <v>#N/A</v>
          </cell>
          <cell r="H436" t="e">
            <v>#N/A</v>
          </cell>
          <cell r="I436" t="e">
            <v>#N/A</v>
          </cell>
          <cell r="J436" t="e">
            <v>#N/A</v>
          </cell>
          <cell r="K436" t="e">
            <v>#N/A</v>
          </cell>
          <cell r="L436" t="e">
            <v>#N/A</v>
          </cell>
          <cell r="M436" t="e">
            <v>#N/A</v>
          </cell>
          <cell r="N436" t="e">
            <v>#N/A</v>
          </cell>
          <cell r="O436" t="e">
            <v>#N/A</v>
          </cell>
          <cell r="P436">
            <v>55.3</v>
          </cell>
          <cell r="Q436">
            <v>0.88792599999999999</v>
          </cell>
          <cell r="R436" t="e">
            <v>#N/A</v>
          </cell>
        </row>
        <row r="437">
          <cell r="A437">
            <v>40100</v>
          </cell>
          <cell r="B437">
            <v>40100</v>
          </cell>
          <cell r="C437" t="str">
            <v>Past</v>
          </cell>
          <cell r="D437">
            <v>56.99</v>
          </cell>
          <cell r="E437" t="e">
            <v>#N/A</v>
          </cell>
          <cell r="F437" t="e">
            <v>#N/A</v>
          </cell>
          <cell r="G437" t="e">
            <v>#N/A</v>
          </cell>
          <cell r="H437" t="e">
            <v>#N/A</v>
          </cell>
          <cell r="I437" t="e">
            <v>#N/A</v>
          </cell>
          <cell r="J437" t="e">
            <v>#N/A</v>
          </cell>
          <cell r="K437" t="e">
            <v>#N/A</v>
          </cell>
          <cell r="L437" t="e">
            <v>#N/A</v>
          </cell>
          <cell r="M437" t="e">
            <v>#N/A</v>
          </cell>
          <cell r="N437" t="e">
            <v>#N/A</v>
          </cell>
          <cell r="O437" t="e">
            <v>#N/A</v>
          </cell>
          <cell r="P437">
            <v>56.99</v>
          </cell>
          <cell r="Q437">
            <v>1.4675509999999998</v>
          </cell>
          <cell r="R437" t="e">
            <v>#N/A</v>
          </cell>
        </row>
        <row r="438">
          <cell r="A438">
            <v>40101</v>
          </cell>
          <cell r="B438">
            <v>40101</v>
          </cell>
          <cell r="C438" t="str">
            <v>Past</v>
          </cell>
          <cell r="D438">
            <v>56.47</v>
          </cell>
          <cell r="E438" t="e">
            <v>#N/A</v>
          </cell>
          <cell r="F438" t="e">
            <v>#N/A</v>
          </cell>
          <cell r="G438" t="e">
            <v>#N/A</v>
          </cell>
          <cell r="H438" t="e">
            <v>#N/A</v>
          </cell>
          <cell r="I438" t="e">
            <v>#N/A</v>
          </cell>
          <cell r="J438" t="e">
            <v>#N/A</v>
          </cell>
          <cell r="K438" t="e">
            <v>#N/A</v>
          </cell>
          <cell r="L438" t="e">
            <v>#N/A</v>
          </cell>
          <cell r="M438" t="e">
            <v>#N/A</v>
          </cell>
          <cell r="N438" t="e">
            <v>#N/A</v>
          </cell>
          <cell r="O438" t="e">
            <v>#N/A</v>
          </cell>
          <cell r="P438">
            <v>56.47</v>
          </cell>
          <cell r="Q438">
            <v>1.388747</v>
          </cell>
          <cell r="R438" t="e">
            <v>#N/A</v>
          </cell>
        </row>
        <row r="439">
          <cell r="A439">
            <v>40102</v>
          </cell>
          <cell r="B439">
            <v>40102</v>
          </cell>
          <cell r="C439" t="str">
            <v>Past</v>
          </cell>
          <cell r="D439">
            <v>57.16</v>
          </cell>
          <cell r="E439" t="e">
            <v>#N/A</v>
          </cell>
          <cell r="F439" t="e">
            <v>#N/A</v>
          </cell>
          <cell r="G439" t="e">
            <v>#N/A</v>
          </cell>
          <cell r="H439" t="e">
            <v>#N/A</v>
          </cell>
          <cell r="I439" t="e">
            <v>#N/A</v>
          </cell>
          <cell r="J439" t="e">
            <v>#N/A</v>
          </cell>
          <cell r="K439" t="e">
            <v>#N/A</v>
          </cell>
          <cell r="L439" t="e">
            <v>#N/A</v>
          </cell>
          <cell r="M439" t="e">
            <v>#N/A</v>
          </cell>
          <cell r="N439" t="e">
            <v>#N/A</v>
          </cell>
          <cell r="O439" t="e">
            <v>#N/A</v>
          </cell>
          <cell r="P439">
            <v>57.16</v>
          </cell>
          <cell r="Q439">
            <v>1.3627289999999999</v>
          </cell>
          <cell r="R439" t="e">
            <v>#N/A</v>
          </cell>
        </row>
        <row r="440">
          <cell r="A440">
            <v>40105</v>
          </cell>
          <cell r="B440">
            <v>40105</v>
          </cell>
          <cell r="C440" t="str">
            <v>Past</v>
          </cell>
          <cell r="D440">
            <v>57.86</v>
          </cell>
          <cell r="E440" t="e">
            <v>#N/A</v>
          </cell>
          <cell r="F440" t="e">
            <v>#N/A</v>
          </cell>
          <cell r="G440" t="e">
            <v>#N/A</v>
          </cell>
          <cell r="H440" t="e">
            <v>#N/A</v>
          </cell>
          <cell r="I440" t="e">
            <v>#N/A</v>
          </cell>
          <cell r="J440" t="e">
            <v>#N/A</v>
          </cell>
          <cell r="K440" t="e">
            <v>#N/A</v>
          </cell>
          <cell r="L440" t="e">
            <v>#N/A</v>
          </cell>
          <cell r="M440" t="e">
            <v>#N/A</v>
          </cell>
          <cell r="N440" t="e">
            <v>#N/A</v>
          </cell>
          <cell r="O440" t="e">
            <v>#N/A</v>
          </cell>
          <cell r="P440">
            <v>57.86</v>
          </cell>
          <cell r="Q440">
            <v>1.392347</v>
          </cell>
          <cell r="R440" t="e">
            <v>#N/A</v>
          </cell>
        </row>
        <row r="441">
          <cell r="A441">
            <v>40106</v>
          </cell>
          <cell r="B441">
            <v>40106</v>
          </cell>
          <cell r="C441" t="str">
            <v>Past</v>
          </cell>
          <cell r="D441">
            <v>55.39</v>
          </cell>
          <cell r="E441" t="e">
            <v>#N/A</v>
          </cell>
          <cell r="F441" t="e">
            <v>#N/A</v>
          </cell>
          <cell r="G441" t="e">
            <v>#N/A</v>
          </cell>
          <cell r="H441" t="e">
            <v>#N/A</v>
          </cell>
          <cell r="I441" t="e">
            <v>#N/A</v>
          </cell>
          <cell r="J441" t="e">
            <v>#N/A</v>
          </cell>
          <cell r="K441" t="e">
            <v>#N/A</v>
          </cell>
          <cell r="L441" t="e">
            <v>#N/A</v>
          </cell>
          <cell r="M441" t="e">
            <v>#N/A</v>
          </cell>
          <cell r="N441" t="e">
            <v>#N/A</v>
          </cell>
          <cell r="O441" t="e">
            <v>#N/A</v>
          </cell>
          <cell r="P441">
            <v>55.39</v>
          </cell>
          <cell r="Q441">
            <v>2.1947359999999998</v>
          </cell>
          <cell r="R441" t="e">
            <v>#N/A</v>
          </cell>
        </row>
        <row r="442">
          <cell r="A442">
            <v>40107</v>
          </cell>
          <cell r="B442">
            <v>40107</v>
          </cell>
          <cell r="C442" t="str">
            <v>Past</v>
          </cell>
          <cell r="D442">
            <v>54.65</v>
          </cell>
          <cell r="E442" t="e">
            <v>#N/A</v>
          </cell>
          <cell r="F442" t="e">
            <v>#N/A</v>
          </cell>
          <cell r="G442" t="e">
            <v>#N/A</v>
          </cell>
          <cell r="H442" t="e">
            <v>#N/A</v>
          </cell>
          <cell r="I442" t="e">
            <v>#N/A</v>
          </cell>
          <cell r="J442" t="e">
            <v>#N/A</v>
          </cell>
          <cell r="K442" t="e">
            <v>#N/A</v>
          </cell>
          <cell r="L442" t="e">
            <v>#N/A</v>
          </cell>
          <cell r="M442" t="e">
            <v>#N/A</v>
          </cell>
          <cell r="N442" t="e">
            <v>#N/A</v>
          </cell>
          <cell r="O442" t="e">
            <v>#N/A</v>
          </cell>
          <cell r="P442">
            <v>54.65</v>
          </cell>
          <cell r="Q442">
            <v>2.170067</v>
          </cell>
          <cell r="R442" t="e">
            <v>#N/A</v>
          </cell>
        </row>
        <row r="443">
          <cell r="A443">
            <v>40108</v>
          </cell>
          <cell r="B443">
            <v>40108</v>
          </cell>
          <cell r="C443" t="str">
            <v>Past</v>
          </cell>
          <cell r="D443">
            <v>58.57</v>
          </cell>
          <cell r="E443" t="e">
            <v>#N/A</v>
          </cell>
          <cell r="F443" t="e">
            <v>#N/A</v>
          </cell>
          <cell r="G443" t="e">
            <v>#N/A</v>
          </cell>
          <cell r="H443" t="e">
            <v>#N/A</v>
          </cell>
          <cell r="I443" t="e">
            <v>#N/A</v>
          </cell>
          <cell r="J443" t="e">
            <v>#N/A</v>
          </cell>
          <cell r="K443" t="e">
            <v>#N/A</v>
          </cell>
          <cell r="L443" t="e">
            <v>#N/A</v>
          </cell>
          <cell r="M443" t="e">
            <v>#N/A</v>
          </cell>
          <cell r="N443" t="e">
            <v>#N/A</v>
          </cell>
          <cell r="O443" t="e">
            <v>#N/A</v>
          </cell>
          <cell r="P443">
            <v>58.57</v>
          </cell>
          <cell r="Q443">
            <v>4.8774879999999996</v>
          </cell>
          <cell r="R443" t="e">
            <v>#N/A</v>
          </cell>
        </row>
        <row r="444">
          <cell r="A444">
            <v>40109</v>
          </cell>
          <cell r="B444">
            <v>40109</v>
          </cell>
          <cell r="C444" t="str">
            <v>Past</v>
          </cell>
          <cell r="D444">
            <v>57.44</v>
          </cell>
          <cell r="E444" t="e">
            <v>#N/A</v>
          </cell>
          <cell r="F444" t="e">
            <v>#N/A</v>
          </cell>
          <cell r="G444" t="e">
            <v>#N/A</v>
          </cell>
          <cell r="H444" t="e">
            <v>#N/A</v>
          </cell>
          <cell r="I444" t="e">
            <v>#N/A</v>
          </cell>
          <cell r="J444" t="e">
            <v>#N/A</v>
          </cell>
          <cell r="K444" t="e">
            <v>#N/A</v>
          </cell>
          <cell r="L444" t="e">
            <v>#N/A</v>
          </cell>
          <cell r="M444" t="e">
            <v>#N/A</v>
          </cell>
          <cell r="N444" t="e">
            <v>#N/A</v>
          </cell>
          <cell r="O444" t="e">
            <v>#N/A</v>
          </cell>
          <cell r="P444">
            <v>57.44</v>
          </cell>
          <cell r="Q444">
            <v>2.143316</v>
          </cell>
          <cell r="R444" t="e">
            <v>#N/A</v>
          </cell>
        </row>
        <row r="445">
          <cell r="A445">
            <v>40112</v>
          </cell>
          <cell r="B445">
            <v>40112</v>
          </cell>
          <cell r="C445" t="str">
            <v>Past</v>
          </cell>
          <cell r="D445">
            <v>57.68</v>
          </cell>
          <cell r="E445" t="e">
            <v>#N/A</v>
          </cell>
          <cell r="F445" t="e">
            <v>#N/A</v>
          </cell>
          <cell r="G445" t="e">
            <v>#N/A</v>
          </cell>
          <cell r="H445" t="e">
            <v>#N/A</v>
          </cell>
          <cell r="I445" t="e">
            <v>#N/A</v>
          </cell>
          <cell r="J445" t="e">
            <v>#N/A</v>
          </cell>
          <cell r="K445" t="e">
            <v>#N/A</v>
          </cell>
          <cell r="L445" t="e">
            <v>#N/A</v>
          </cell>
          <cell r="M445" t="e">
            <v>#N/A</v>
          </cell>
          <cell r="N445" t="e">
            <v>#N/A</v>
          </cell>
          <cell r="O445" t="e">
            <v>#N/A</v>
          </cell>
          <cell r="P445">
            <v>57.68</v>
          </cell>
          <cell r="Q445">
            <v>1.604779</v>
          </cell>
          <cell r="R445" t="e">
            <v>#N/A</v>
          </cell>
        </row>
        <row r="446">
          <cell r="A446">
            <v>40113</v>
          </cell>
          <cell r="B446">
            <v>40113</v>
          </cell>
          <cell r="C446" t="str">
            <v>Past</v>
          </cell>
          <cell r="D446">
            <v>55.79</v>
          </cell>
          <cell r="E446" t="e">
            <v>#N/A</v>
          </cell>
          <cell r="F446" t="e">
            <v>#N/A</v>
          </cell>
          <cell r="G446" t="e">
            <v>#N/A</v>
          </cell>
          <cell r="H446" t="e">
            <v>#N/A</v>
          </cell>
          <cell r="I446" t="e">
            <v>#N/A</v>
          </cell>
          <cell r="J446" t="e">
            <v>#N/A</v>
          </cell>
          <cell r="K446" t="e">
            <v>#N/A</v>
          </cell>
          <cell r="L446" t="e">
            <v>#N/A</v>
          </cell>
          <cell r="M446" t="e">
            <v>#N/A</v>
          </cell>
          <cell r="N446" t="e">
            <v>#N/A</v>
          </cell>
          <cell r="O446" t="e">
            <v>#N/A</v>
          </cell>
          <cell r="P446">
            <v>55.79</v>
          </cell>
          <cell r="Q446">
            <v>2.2422200000000001</v>
          </cell>
          <cell r="R446" t="e">
            <v>#N/A</v>
          </cell>
        </row>
        <row r="447">
          <cell r="A447">
            <v>40114</v>
          </cell>
          <cell r="B447">
            <v>40114</v>
          </cell>
          <cell r="C447" t="str">
            <v>Past</v>
          </cell>
          <cell r="D447">
            <v>53.68</v>
          </cell>
          <cell r="E447" t="e">
            <v>#N/A</v>
          </cell>
          <cell r="F447" t="e">
            <v>#N/A</v>
          </cell>
          <cell r="G447" t="e">
            <v>#N/A</v>
          </cell>
          <cell r="H447" t="e">
            <v>#N/A</v>
          </cell>
          <cell r="I447" t="e">
            <v>#N/A</v>
          </cell>
          <cell r="J447" t="e">
            <v>#N/A</v>
          </cell>
          <cell r="K447" t="e">
            <v>#N/A</v>
          </cell>
          <cell r="L447" t="e">
            <v>#N/A</v>
          </cell>
          <cell r="M447" t="e">
            <v>#N/A</v>
          </cell>
          <cell r="N447" t="e">
            <v>#N/A</v>
          </cell>
          <cell r="O447" t="e">
            <v>#N/A</v>
          </cell>
          <cell r="P447">
            <v>53.68</v>
          </cell>
          <cell r="Q447">
            <v>2.167926</v>
          </cell>
          <cell r="R447" t="e">
            <v>#N/A</v>
          </cell>
        </row>
        <row r="448">
          <cell r="A448">
            <v>40115</v>
          </cell>
          <cell r="B448">
            <v>40115</v>
          </cell>
          <cell r="C448" t="str">
            <v>Past</v>
          </cell>
          <cell r="D448">
            <v>55.65</v>
          </cell>
          <cell r="E448" t="e">
            <v>#N/A</v>
          </cell>
          <cell r="F448" t="e">
            <v>#N/A</v>
          </cell>
          <cell r="G448" t="e">
            <v>#N/A</v>
          </cell>
          <cell r="H448" t="e">
            <v>#N/A</v>
          </cell>
          <cell r="I448" t="e">
            <v>#N/A</v>
          </cell>
          <cell r="J448" t="e">
            <v>#N/A</v>
          </cell>
          <cell r="K448" t="e">
            <v>#N/A</v>
          </cell>
          <cell r="L448" t="e">
            <v>#N/A</v>
          </cell>
          <cell r="M448" t="e">
            <v>#N/A</v>
          </cell>
          <cell r="N448" t="e">
            <v>#N/A</v>
          </cell>
          <cell r="O448" t="e">
            <v>#N/A</v>
          </cell>
          <cell r="P448">
            <v>55.65</v>
          </cell>
          <cell r="Q448">
            <v>2.0557000000000003</v>
          </cell>
          <cell r="R448" t="e">
            <v>#N/A</v>
          </cell>
        </row>
        <row r="449">
          <cell r="A449">
            <v>40116</v>
          </cell>
          <cell r="B449">
            <v>40116</v>
          </cell>
          <cell r="C449" t="str">
            <v>Past</v>
          </cell>
          <cell r="D449">
            <v>54.35</v>
          </cell>
          <cell r="E449" t="e">
            <v>#N/A</v>
          </cell>
          <cell r="F449" t="e">
            <v>#N/A</v>
          </cell>
          <cell r="G449" t="e">
            <v>#N/A</v>
          </cell>
          <cell r="H449" t="e">
            <v>#N/A</v>
          </cell>
          <cell r="I449" t="e">
            <v>#N/A</v>
          </cell>
          <cell r="J449" t="e">
            <v>#N/A</v>
          </cell>
          <cell r="K449" t="e">
            <v>#N/A</v>
          </cell>
          <cell r="L449" t="e">
            <v>#N/A</v>
          </cell>
          <cell r="M449" t="e">
            <v>#N/A</v>
          </cell>
          <cell r="N449" t="e">
            <v>#N/A</v>
          </cell>
          <cell r="O449" t="e">
            <v>#N/A</v>
          </cell>
          <cell r="P449">
            <v>54.35</v>
          </cell>
          <cell r="Q449">
            <v>1.940253</v>
          </cell>
          <cell r="R449" t="e">
            <v>#N/A</v>
          </cell>
        </row>
        <row r="450">
          <cell r="A450">
            <v>40119</v>
          </cell>
          <cell r="B450">
            <v>40119</v>
          </cell>
          <cell r="C450" t="str">
            <v>Past</v>
          </cell>
          <cell r="D450">
            <v>55.1</v>
          </cell>
          <cell r="E450" t="e">
            <v>#N/A</v>
          </cell>
          <cell r="F450" t="e">
            <v>#N/A</v>
          </cell>
          <cell r="G450" t="e">
            <v>#N/A</v>
          </cell>
          <cell r="H450" t="e">
            <v>#N/A</v>
          </cell>
          <cell r="I450" t="e">
            <v>#N/A</v>
          </cell>
          <cell r="J450" t="e">
            <v>#N/A</v>
          </cell>
          <cell r="K450" t="e">
            <v>#N/A</v>
          </cell>
          <cell r="L450" t="e">
            <v>#N/A</v>
          </cell>
          <cell r="M450" t="e">
            <v>#N/A</v>
          </cell>
          <cell r="N450" t="e">
            <v>#N/A</v>
          </cell>
          <cell r="O450" t="e">
            <v>#N/A</v>
          </cell>
          <cell r="P450">
            <v>55.1</v>
          </cell>
          <cell r="Q450">
            <v>2.5668919999999997</v>
          </cell>
          <cell r="R450" t="e">
            <v>#N/A</v>
          </cell>
        </row>
        <row r="451">
          <cell r="A451">
            <v>40120</v>
          </cell>
          <cell r="B451">
            <v>40120</v>
          </cell>
          <cell r="C451" t="str">
            <v>Past</v>
          </cell>
          <cell r="D451">
            <v>55.01</v>
          </cell>
          <cell r="E451" t="e">
            <v>#N/A</v>
          </cell>
          <cell r="F451" t="e">
            <v>#N/A</v>
          </cell>
          <cell r="G451" t="e">
            <v>#N/A</v>
          </cell>
          <cell r="H451" t="e">
            <v>#N/A</v>
          </cell>
          <cell r="I451" t="e">
            <v>#N/A</v>
          </cell>
          <cell r="J451" t="e">
            <v>#N/A</v>
          </cell>
          <cell r="K451" t="e">
            <v>#N/A</v>
          </cell>
          <cell r="L451" t="e">
            <v>#N/A</v>
          </cell>
          <cell r="M451" t="e">
            <v>#N/A</v>
          </cell>
          <cell r="N451" t="e">
            <v>#N/A</v>
          </cell>
          <cell r="O451" t="e">
            <v>#N/A</v>
          </cell>
          <cell r="P451">
            <v>55.01</v>
          </cell>
          <cell r="Q451">
            <v>2.3448639999999998</v>
          </cell>
          <cell r="R451" t="e">
            <v>#N/A</v>
          </cell>
        </row>
        <row r="452">
          <cell r="A452">
            <v>40121</v>
          </cell>
          <cell r="B452">
            <v>40121</v>
          </cell>
          <cell r="C452" t="str">
            <v>Past</v>
          </cell>
          <cell r="D452">
            <v>55.47</v>
          </cell>
          <cell r="E452" t="e">
            <v>#N/A</v>
          </cell>
          <cell r="F452" t="e">
            <v>#N/A</v>
          </cell>
          <cell r="G452" t="e">
            <v>#N/A</v>
          </cell>
          <cell r="H452" t="e">
            <v>#N/A</v>
          </cell>
          <cell r="I452" t="e">
            <v>#N/A</v>
          </cell>
          <cell r="J452" t="e">
            <v>#N/A</v>
          </cell>
          <cell r="K452" t="e">
            <v>#N/A</v>
          </cell>
          <cell r="L452" t="e">
            <v>#N/A</v>
          </cell>
          <cell r="M452" t="e">
            <v>#N/A</v>
          </cell>
          <cell r="N452" t="e">
            <v>#N/A</v>
          </cell>
          <cell r="O452" t="e">
            <v>#N/A</v>
          </cell>
          <cell r="P452">
            <v>55.47</v>
          </cell>
          <cell r="Q452">
            <v>1.612541</v>
          </cell>
          <cell r="R452" t="e">
            <v>#N/A</v>
          </cell>
        </row>
        <row r="453">
          <cell r="A453">
            <v>40122</v>
          </cell>
          <cell r="B453">
            <v>40122</v>
          </cell>
          <cell r="C453" t="str">
            <v>Past</v>
          </cell>
          <cell r="D453">
            <v>57.12</v>
          </cell>
          <cell r="E453" t="e">
            <v>#N/A</v>
          </cell>
          <cell r="F453" t="e">
            <v>#N/A</v>
          </cell>
          <cell r="G453" t="e">
            <v>#N/A</v>
          </cell>
          <cell r="H453" t="e">
            <v>#N/A</v>
          </cell>
          <cell r="I453" t="e">
            <v>#N/A</v>
          </cell>
          <cell r="J453" t="e">
            <v>#N/A</v>
          </cell>
          <cell r="K453" t="e">
            <v>#N/A</v>
          </cell>
          <cell r="L453" t="e">
            <v>#N/A</v>
          </cell>
          <cell r="M453" t="e">
            <v>#N/A</v>
          </cell>
          <cell r="N453" t="e">
            <v>#N/A</v>
          </cell>
          <cell r="O453" t="e">
            <v>#N/A</v>
          </cell>
          <cell r="P453">
            <v>57.12</v>
          </cell>
          <cell r="Q453">
            <v>1.070058</v>
          </cell>
          <cell r="R453" t="e">
            <v>#N/A</v>
          </cell>
        </row>
        <row r="454">
          <cell r="A454">
            <v>40123</v>
          </cell>
          <cell r="B454">
            <v>40123</v>
          </cell>
          <cell r="C454" t="str">
            <v>Past</v>
          </cell>
          <cell r="D454">
            <v>57.63</v>
          </cell>
          <cell r="E454" t="e">
            <v>#N/A</v>
          </cell>
          <cell r="F454" t="e">
            <v>#N/A</v>
          </cell>
          <cell r="G454" t="e">
            <v>#N/A</v>
          </cell>
          <cell r="H454" t="e">
            <v>#N/A</v>
          </cell>
          <cell r="I454" t="e">
            <v>#N/A</v>
          </cell>
          <cell r="J454" t="e">
            <v>#N/A</v>
          </cell>
          <cell r="K454" t="e">
            <v>#N/A</v>
          </cell>
          <cell r="L454" t="e">
            <v>#N/A</v>
          </cell>
          <cell r="M454" t="e">
            <v>#N/A</v>
          </cell>
          <cell r="N454" t="e">
            <v>#N/A</v>
          </cell>
          <cell r="O454" t="e">
            <v>#N/A</v>
          </cell>
          <cell r="P454">
            <v>57.63</v>
          </cell>
          <cell r="Q454">
            <v>1.2911109999999999</v>
          </cell>
          <cell r="R454" t="e">
            <v>#N/A</v>
          </cell>
        </row>
        <row r="455">
          <cell r="A455">
            <v>40126</v>
          </cell>
          <cell r="B455">
            <v>40126</v>
          </cell>
          <cell r="C455" t="str">
            <v>Past</v>
          </cell>
          <cell r="D455">
            <v>58.2</v>
          </cell>
          <cell r="E455" t="e">
            <v>#N/A</v>
          </cell>
          <cell r="F455" t="e">
            <v>#N/A</v>
          </cell>
          <cell r="G455" t="e">
            <v>#N/A</v>
          </cell>
          <cell r="H455" t="e">
            <v>#N/A</v>
          </cell>
          <cell r="I455" t="e">
            <v>#N/A</v>
          </cell>
          <cell r="J455" t="e">
            <v>#N/A</v>
          </cell>
          <cell r="K455" t="e">
            <v>#N/A</v>
          </cell>
          <cell r="L455" t="e">
            <v>#N/A</v>
          </cell>
          <cell r="M455" t="e">
            <v>#N/A</v>
          </cell>
          <cell r="N455" t="e">
            <v>#N/A</v>
          </cell>
          <cell r="O455" t="e">
            <v>#N/A</v>
          </cell>
          <cell r="P455">
            <v>58.2</v>
          </cell>
          <cell r="Q455">
            <v>1.379686</v>
          </cell>
          <cell r="R455" t="e">
            <v>#N/A</v>
          </cell>
        </row>
        <row r="456">
          <cell r="A456">
            <v>40127</v>
          </cell>
          <cell r="B456">
            <v>40127</v>
          </cell>
          <cell r="C456" t="str">
            <v>Past</v>
          </cell>
          <cell r="D456">
            <v>57.95</v>
          </cell>
          <cell r="E456" t="e">
            <v>#N/A</v>
          </cell>
          <cell r="F456" t="e">
            <v>#N/A</v>
          </cell>
          <cell r="G456" t="e">
            <v>#N/A</v>
          </cell>
          <cell r="H456" t="e">
            <v>#N/A</v>
          </cell>
          <cell r="I456" t="e">
            <v>#N/A</v>
          </cell>
          <cell r="J456" t="e">
            <v>#N/A</v>
          </cell>
          <cell r="K456" t="e">
            <v>#N/A</v>
          </cell>
          <cell r="L456" t="e">
            <v>#N/A</v>
          </cell>
          <cell r="M456" t="e">
            <v>#N/A</v>
          </cell>
          <cell r="N456" t="e">
            <v>#N/A</v>
          </cell>
          <cell r="O456" t="e">
            <v>#N/A</v>
          </cell>
          <cell r="P456">
            <v>57.95</v>
          </cell>
          <cell r="Q456">
            <v>1.5626929999999999</v>
          </cell>
          <cell r="R456" t="e">
            <v>#N/A</v>
          </cell>
        </row>
        <row r="457">
          <cell r="A457">
            <v>40128</v>
          </cell>
          <cell r="B457">
            <v>40128</v>
          </cell>
          <cell r="C457" t="str">
            <v>Past</v>
          </cell>
          <cell r="D457">
            <v>58.84</v>
          </cell>
          <cell r="E457" t="e">
            <v>#N/A</v>
          </cell>
          <cell r="F457" t="e">
            <v>#N/A</v>
          </cell>
          <cell r="G457" t="e">
            <v>#N/A</v>
          </cell>
          <cell r="H457" t="e">
            <v>#N/A</v>
          </cell>
          <cell r="I457" t="e">
            <v>#N/A</v>
          </cell>
          <cell r="J457" t="e">
            <v>#N/A</v>
          </cell>
          <cell r="K457" t="e">
            <v>#N/A</v>
          </cell>
          <cell r="L457" t="e">
            <v>#N/A</v>
          </cell>
          <cell r="M457" t="e">
            <v>#N/A</v>
          </cell>
          <cell r="N457" t="e">
            <v>#N/A</v>
          </cell>
          <cell r="O457" t="e">
            <v>#N/A</v>
          </cell>
          <cell r="P457">
            <v>58.84</v>
          </cell>
          <cell r="Q457">
            <v>1.163095</v>
          </cell>
          <cell r="R457" t="e">
            <v>#N/A</v>
          </cell>
        </row>
        <row r="458">
          <cell r="A458">
            <v>40129</v>
          </cell>
          <cell r="B458">
            <v>40129</v>
          </cell>
          <cell r="C458" t="str">
            <v>Past</v>
          </cell>
          <cell r="D458">
            <v>58.67</v>
          </cell>
          <cell r="E458" t="e">
            <v>#N/A</v>
          </cell>
          <cell r="F458" t="e">
            <v>#N/A</v>
          </cell>
          <cell r="G458" t="e">
            <v>#N/A</v>
          </cell>
          <cell r="H458" t="e">
            <v>#N/A</v>
          </cell>
          <cell r="I458" t="e">
            <v>#N/A</v>
          </cell>
          <cell r="J458" t="e">
            <v>#N/A</v>
          </cell>
          <cell r="K458" t="e">
            <v>#N/A</v>
          </cell>
          <cell r="L458" t="e">
            <v>#N/A</v>
          </cell>
          <cell r="M458" t="e">
            <v>#N/A</v>
          </cell>
          <cell r="N458" t="e">
            <v>#N/A</v>
          </cell>
          <cell r="O458" t="e">
            <v>#N/A</v>
          </cell>
          <cell r="P458">
            <v>58.67</v>
          </cell>
          <cell r="Q458">
            <v>1.1203000000000001</v>
          </cell>
          <cell r="R458" t="e">
            <v>#N/A</v>
          </cell>
        </row>
        <row r="459">
          <cell r="A459">
            <v>40130</v>
          </cell>
          <cell r="B459">
            <v>40130</v>
          </cell>
          <cell r="C459" t="str">
            <v>Past</v>
          </cell>
          <cell r="D459">
            <v>59.8</v>
          </cell>
          <cell r="E459" t="e">
            <v>#N/A</v>
          </cell>
          <cell r="F459" t="e">
            <v>#N/A</v>
          </cell>
          <cell r="G459" t="e">
            <v>#N/A</v>
          </cell>
          <cell r="H459" t="e">
            <v>#N/A</v>
          </cell>
          <cell r="I459" t="e">
            <v>#N/A</v>
          </cell>
          <cell r="J459" t="e">
            <v>#N/A</v>
          </cell>
          <cell r="K459" t="e">
            <v>#N/A</v>
          </cell>
          <cell r="L459" t="e">
            <v>#N/A</v>
          </cell>
          <cell r="M459" t="e">
            <v>#N/A</v>
          </cell>
          <cell r="N459" t="e">
            <v>#N/A</v>
          </cell>
          <cell r="O459" t="e">
            <v>#N/A</v>
          </cell>
          <cell r="P459">
            <v>59.8</v>
          </cell>
          <cell r="Q459">
            <v>0.76032199999999994</v>
          </cell>
          <cell r="R459" t="e">
            <v>#N/A</v>
          </cell>
        </row>
        <row r="460">
          <cell r="A460">
            <v>40133</v>
          </cell>
          <cell r="B460">
            <v>40133</v>
          </cell>
          <cell r="C460" t="str">
            <v>Past</v>
          </cell>
          <cell r="D460">
            <v>60.41</v>
          </cell>
          <cell r="E460" t="e">
            <v>#N/A</v>
          </cell>
          <cell r="F460" t="e">
            <v>#N/A</v>
          </cell>
          <cell r="G460" t="e">
            <v>#N/A</v>
          </cell>
          <cell r="H460" t="e">
            <v>#N/A</v>
          </cell>
          <cell r="I460" t="e">
            <v>#N/A</v>
          </cell>
          <cell r="J460" t="e">
            <v>#N/A</v>
          </cell>
          <cell r="K460" t="e">
            <v>#N/A</v>
          </cell>
          <cell r="L460" t="e">
            <v>#N/A</v>
          </cell>
          <cell r="M460" t="e">
            <v>#N/A</v>
          </cell>
          <cell r="N460" t="e">
            <v>#N/A</v>
          </cell>
          <cell r="O460" t="e">
            <v>#N/A</v>
          </cell>
          <cell r="P460">
            <v>60.41</v>
          </cell>
          <cell r="Q460">
            <v>1.5094069999999999</v>
          </cell>
          <cell r="R460" t="e">
            <v>#N/A</v>
          </cell>
        </row>
        <row r="461">
          <cell r="A461">
            <v>40134</v>
          </cell>
          <cell r="B461">
            <v>40134</v>
          </cell>
          <cell r="C461" t="str">
            <v>Past</v>
          </cell>
          <cell r="D461">
            <v>61</v>
          </cell>
          <cell r="E461" t="e">
            <v>#N/A</v>
          </cell>
          <cell r="F461" t="e">
            <v>#N/A</v>
          </cell>
          <cell r="G461" t="e">
            <v>#N/A</v>
          </cell>
          <cell r="H461" t="e">
            <v>#N/A</v>
          </cell>
          <cell r="I461" t="e">
            <v>#N/A</v>
          </cell>
          <cell r="J461" t="e">
            <v>#N/A</v>
          </cell>
          <cell r="K461" t="e">
            <v>#N/A</v>
          </cell>
          <cell r="L461" t="e">
            <v>#N/A</v>
          </cell>
          <cell r="M461" t="e">
            <v>#N/A</v>
          </cell>
          <cell r="N461" t="e">
            <v>#N/A</v>
          </cell>
          <cell r="O461" t="e">
            <v>#N/A</v>
          </cell>
          <cell r="P461">
            <v>61</v>
          </cell>
          <cell r="Q461">
            <v>0.81066699999999992</v>
          </cell>
          <cell r="R461" t="e">
            <v>#N/A</v>
          </cell>
        </row>
        <row r="462">
          <cell r="A462">
            <v>40135</v>
          </cell>
          <cell r="B462">
            <v>40135</v>
          </cell>
          <cell r="C462" t="str">
            <v>Past</v>
          </cell>
          <cell r="D462">
            <v>60.69</v>
          </cell>
          <cell r="E462" t="e">
            <v>#N/A</v>
          </cell>
          <cell r="F462" t="e">
            <v>#N/A</v>
          </cell>
          <cell r="G462" t="e">
            <v>#N/A</v>
          </cell>
          <cell r="H462" t="e">
            <v>#N/A</v>
          </cell>
          <cell r="I462" t="e">
            <v>#N/A</v>
          </cell>
          <cell r="J462" t="e">
            <v>#N/A</v>
          </cell>
          <cell r="K462" t="e">
            <v>#N/A</v>
          </cell>
          <cell r="L462" t="e">
            <v>#N/A</v>
          </cell>
          <cell r="M462" t="e">
            <v>#N/A</v>
          </cell>
          <cell r="N462" t="e">
            <v>#N/A</v>
          </cell>
          <cell r="O462" t="e">
            <v>#N/A</v>
          </cell>
          <cell r="P462">
            <v>60.69</v>
          </cell>
          <cell r="Q462">
            <v>0.95841699999999996</v>
          </cell>
          <cell r="R462" t="e">
            <v>#N/A</v>
          </cell>
        </row>
        <row r="463">
          <cell r="A463">
            <v>40136</v>
          </cell>
          <cell r="B463">
            <v>40136</v>
          </cell>
          <cell r="C463" t="str">
            <v>Past</v>
          </cell>
          <cell r="D463">
            <v>60.42</v>
          </cell>
          <cell r="E463" t="e">
            <v>#N/A</v>
          </cell>
          <cell r="F463" t="e">
            <v>#N/A</v>
          </cell>
          <cell r="G463" t="e">
            <v>#N/A</v>
          </cell>
          <cell r="H463" t="e">
            <v>#N/A</v>
          </cell>
          <cell r="I463" t="e">
            <v>#N/A</v>
          </cell>
          <cell r="J463" t="e">
            <v>#N/A</v>
          </cell>
          <cell r="K463" t="e">
            <v>#N/A</v>
          </cell>
          <cell r="L463" t="e">
            <v>#N/A</v>
          </cell>
          <cell r="M463" t="e">
            <v>#N/A</v>
          </cell>
          <cell r="N463" t="e">
            <v>#N/A</v>
          </cell>
          <cell r="O463" t="e">
            <v>#N/A</v>
          </cell>
          <cell r="P463">
            <v>60.42</v>
          </cell>
          <cell r="Q463">
            <v>1.212874</v>
          </cell>
          <cell r="R463" t="e">
            <v>#N/A</v>
          </cell>
        </row>
        <row r="464">
          <cell r="A464">
            <v>40137</v>
          </cell>
          <cell r="B464">
            <v>40137</v>
          </cell>
          <cell r="C464" t="str">
            <v>Past</v>
          </cell>
          <cell r="D464">
            <v>60.85</v>
          </cell>
          <cell r="E464" t="e">
            <v>#N/A</v>
          </cell>
          <cell r="F464" t="e">
            <v>#N/A</v>
          </cell>
          <cell r="G464" t="e">
            <v>#N/A</v>
          </cell>
          <cell r="H464" t="e">
            <v>#N/A</v>
          </cell>
          <cell r="I464" t="e">
            <v>#N/A</v>
          </cell>
          <cell r="J464" t="e">
            <v>#N/A</v>
          </cell>
          <cell r="K464" t="e">
            <v>#N/A</v>
          </cell>
          <cell r="L464" t="e">
            <v>#N/A</v>
          </cell>
          <cell r="M464" t="e">
            <v>#N/A</v>
          </cell>
          <cell r="N464" t="e">
            <v>#N/A</v>
          </cell>
          <cell r="O464" t="e">
            <v>#N/A</v>
          </cell>
          <cell r="P464">
            <v>60.85</v>
          </cell>
          <cell r="Q464">
            <v>0.90807099999999996</v>
          </cell>
          <cell r="R464" t="e">
            <v>#N/A</v>
          </cell>
        </row>
        <row r="465">
          <cell r="A465">
            <v>40140</v>
          </cell>
          <cell r="B465">
            <v>40140</v>
          </cell>
          <cell r="C465" t="str">
            <v>Past</v>
          </cell>
          <cell r="D465">
            <v>61.5</v>
          </cell>
          <cell r="E465" t="e">
            <v>#N/A</v>
          </cell>
          <cell r="F465" t="e">
            <v>#N/A</v>
          </cell>
          <cell r="G465" t="e">
            <v>#N/A</v>
          </cell>
          <cell r="H465" t="e">
            <v>#N/A</v>
          </cell>
          <cell r="I465" t="e">
            <v>#N/A</v>
          </cell>
          <cell r="J465" t="e">
            <v>#N/A</v>
          </cell>
          <cell r="K465" t="e">
            <v>#N/A</v>
          </cell>
          <cell r="L465" t="e">
            <v>#N/A</v>
          </cell>
          <cell r="M465" t="e">
            <v>#N/A</v>
          </cell>
          <cell r="N465" t="e">
            <v>#N/A</v>
          </cell>
          <cell r="O465" t="e">
            <v>#N/A</v>
          </cell>
          <cell r="P465">
            <v>61.5</v>
          </cell>
          <cell r="Q465">
            <v>1.2440439999999999</v>
          </cell>
          <cell r="R465" t="e">
            <v>#N/A</v>
          </cell>
        </row>
        <row r="466">
          <cell r="A466">
            <v>40141</v>
          </cell>
          <cell r="B466">
            <v>40141</v>
          </cell>
          <cell r="C466" t="str">
            <v>Past</v>
          </cell>
          <cell r="D466">
            <v>61.26</v>
          </cell>
          <cell r="E466" t="e">
            <v>#N/A</v>
          </cell>
          <cell r="F466" t="e">
            <v>#N/A</v>
          </cell>
          <cell r="G466" t="e">
            <v>#N/A</v>
          </cell>
          <cell r="H466" t="e">
            <v>#N/A</v>
          </cell>
          <cell r="I466" t="e">
            <v>#N/A</v>
          </cell>
          <cell r="J466" t="e">
            <v>#N/A</v>
          </cell>
          <cell r="K466" t="e">
            <v>#N/A</v>
          </cell>
          <cell r="L466" t="e">
            <v>#N/A</v>
          </cell>
          <cell r="M466" t="e">
            <v>#N/A</v>
          </cell>
          <cell r="N466" t="e">
            <v>#N/A</v>
          </cell>
          <cell r="O466" t="e">
            <v>#N/A</v>
          </cell>
          <cell r="P466">
            <v>61.26</v>
          </cell>
          <cell r="Q466">
            <v>0.839306</v>
          </cell>
          <cell r="R466" t="e">
            <v>#N/A</v>
          </cell>
        </row>
        <row r="467">
          <cell r="A467">
            <v>40142</v>
          </cell>
          <cell r="B467">
            <v>40142</v>
          </cell>
          <cell r="C467" t="str">
            <v>Past</v>
          </cell>
          <cell r="D467">
            <v>61.22</v>
          </cell>
          <cell r="E467" t="e">
            <v>#N/A</v>
          </cell>
          <cell r="F467" t="e">
            <v>#N/A</v>
          </cell>
          <cell r="G467" t="e">
            <v>#N/A</v>
          </cell>
          <cell r="H467" t="e">
            <v>#N/A</v>
          </cell>
          <cell r="I467" t="e">
            <v>#N/A</v>
          </cell>
          <cell r="J467" t="e">
            <v>#N/A</v>
          </cell>
          <cell r="K467" t="e">
            <v>#N/A</v>
          </cell>
          <cell r="L467" t="e">
            <v>#N/A</v>
          </cell>
          <cell r="M467" t="e">
            <v>#N/A</v>
          </cell>
          <cell r="N467" t="e">
            <v>#N/A</v>
          </cell>
          <cell r="O467" t="e">
            <v>#N/A</v>
          </cell>
          <cell r="P467">
            <v>61.22</v>
          </cell>
          <cell r="Q467">
            <v>0.76066000000000011</v>
          </cell>
          <cell r="R467" t="e">
            <v>#N/A</v>
          </cell>
        </row>
        <row r="468">
          <cell r="A468">
            <v>40144</v>
          </cell>
          <cell r="B468">
            <v>40144</v>
          </cell>
          <cell r="C468" t="str">
            <v>Past</v>
          </cell>
          <cell r="D468">
            <v>60.07</v>
          </cell>
          <cell r="E468" t="e">
            <v>#N/A</v>
          </cell>
          <cell r="F468" t="e">
            <v>#N/A</v>
          </cell>
          <cell r="G468" t="e">
            <v>#N/A</v>
          </cell>
          <cell r="H468" t="e">
            <v>#N/A</v>
          </cell>
          <cell r="I468" t="e">
            <v>#N/A</v>
          </cell>
          <cell r="J468" t="e">
            <v>#N/A</v>
          </cell>
          <cell r="K468" t="e">
            <v>#N/A</v>
          </cell>
          <cell r="L468" t="e">
            <v>#N/A</v>
          </cell>
          <cell r="M468" t="e">
            <v>#N/A</v>
          </cell>
          <cell r="N468" t="e">
            <v>#N/A</v>
          </cell>
          <cell r="O468" t="e">
            <v>#N/A</v>
          </cell>
          <cell r="P468">
            <v>60.07</v>
          </cell>
          <cell r="Q468">
            <v>0.38829799999999998</v>
          </cell>
          <cell r="R468" t="e">
            <v>#N/A</v>
          </cell>
        </row>
        <row r="469">
          <cell r="A469">
            <v>40147</v>
          </cell>
          <cell r="B469">
            <v>40147</v>
          </cell>
          <cell r="C469" t="str">
            <v>Past</v>
          </cell>
          <cell r="D469">
            <v>59.34</v>
          </cell>
          <cell r="E469" t="e">
            <v>#N/A</v>
          </cell>
          <cell r="F469" t="e">
            <v>#N/A</v>
          </cell>
          <cell r="G469" t="e">
            <v>#N/A</v>
          </cell>
          <cell r="H469" t="e">
            <v>#N/A</v>
          </cell>
          <cell r="I469" t="e">
            <v>#N/A</v>
          </cell>
          <cell r="J469" t="e">
            <v>#N/A</v>
          </cell>
          <cell r="K469" t="e">
            <v>#N/A</v>
          </cell>
          <cell r="L469" t="e">
            <v>#N/A</v>
          </cell>
          <cell r="M469" t="e">
            <v>#N/A</v>
          </cell>
          <cell r="N469" t="e">
            <v>#N/A</v>
          </cell>
          <cell r="O469" t="e">
            <v>#N/A</v>
          </cell>
          <cell r="P469">
            <v>59.34</v>
          </cell>
          <cell r="Q469">
            <v>1.1980309999999998</v>
          </cell>
          <cell r="R469" t="e">
            <v>#N/A</v>
          </cell>
        </row>
        <row r="470">
          <cell r="A470">
            <v>40148</v>
          </cell>
          <cell r="B470">
            <v>40148</v>
          </cell>
          <cell r="C470" t="str">
            <v>Past</v>
          </cell>
          <cell r="D470">
            <v>60.67</v>
          </cell>
          <cell r="E470" t="e">
            <v>#N/A</v>
          </cell>
          <cell r="F470" t="e">
            <v>#N/A</v>
          </cell>
          <cell r="G470" t="e">
            <v>#N/A</v>
          </cell>
          <cell r="H470" t="e">
            <v>#N/A</v>
          </cell>
          <cell r="I470" t="e">
            <v>#N/A</v>
          </cell>
          <cell r="J470" t="e">
            <v>#N/A</v>
          </cell>
          <cell r="K470" t="e">
            <v>#N/A</v>
          </cell>
          <cell r="L470" t="e">
            <v>#N/A</v>
          </cell>
          <cell r="M470" t="e">
            <v>#N/A</v>
          </cell>
          <cell r="N470" t="e">
            <v>#N/A</v>
          </cell>
          <cell r="O470" t="e">
            <v>#N/A</v>
          </cell>
          <cell r="P470">
            <v>60.67</v>
          </cell>
          <cell r="Q470">
            <v>1.0443849999999999</v>
          </cell>
          <cell r="R470" t="e">
            <v>#N/A</v>
          </cell>
        </row>
        <row r="471">
          <cell r="A471">
            <v>40149</v>
          </cell>
          <cell r="B471">
            <v>40149</v>
          </cell>
          <cell r="C471" t="str">
            <v>Past</v>
          </cell>
          <cell r="D471">
            <v>61.04</v>
          </cell>
          <cell r="E471" t="e">
            <v>#N/A</v>
          </cell>
          <cell r="F471" t="e">
            <v>#N/A</v>
          </cell>
          <cell r="G471" t="e">
            <v>#N/A</v>
          </cell>
          <cell r="H471" t="e">
            <v>#N/A</v>
          </cell>
          <cell r="I471" t="e">
            <v>#N/A</v>
          </cell>
          <cell r="J471" t="e">
            <v>#N/A</v>
          </cell>
          <cell r="K471" t="e">
            <v>#N/A</v>
          </cell>
          <cell r="L471" t="e">
            <v>#N/A</v>
          </cell>
          <cell r="M471" t="e">
            <v>#N/A</v>
          </cell>
          <cell r="N471" t="e">
            <v>#N/A</v>
          </cell>
          <cell r="O471" t="e">
            <v>#N/A</v>
          </cell>
          <cell r="P471">
            <v>61.04</v>
          </cell>
          <cell r="Q471">
            <v>0.99718699999999993</v>
          </cell>
          <cell r="R471" t="e">
            <v>#N/A</v>
          </cell>
        </row>
        <row r="472">
          <cell r="A472">
            <v>40150</v>
          </cell>
          <cell r="B472">
            <v>40150</v>
          </cell>
          <cell r="C472" t="str">
            <v>Past</v>
          </cell>
          <cell r="D472">
            <v>60.98</v>
          </cell>
          <cell r="E472" t="e">
            <v>#N/A</v>
          </cell>
          <cell r="F472" t="e">
            <v>#N/A</v>
          </cell>
          <cell r="G472" t="e">
            <v>#N/A</v>
          </cell>
          <cell r="H472" t="e">
            <v>#N/A</v>
          </cell>
          <cell r="I472" t="e">
            <v>#N/A</v>
          </cell>
          <cell r="J472" t="e">
            <v>#N/A</v>
          </cell>
          <cell r="K472" t="e">
            <v>#N/A</v>
          </cell>
          <cell r="L472" t="e">
            <v>#N/A</v>
          </cell>
          <cell r="M472" t="e">
            <v>#N/A</v>
          </cell>
          <cell r="N472" t="e">
            <v>#N/A</v>
          </cell>
          <cell r="O472" t="e">
            <v>#N/A</v>
          </cell>
          <cell r="P472">
            <v>60.98</v>
          </cell>
          <cell r="Q472">
            <v>1.5733119999999998</v>
          </cell>
          <cell r="R472" t="e">
            <v>#N/A</v>
          </cell>
        </row>
        <row r="473">
          <cell r="A473">
            <v>40151</v>
          </cell>
          <cell r="B473">
            <v>40151</v>
          </cell>
          <cell r="C473" t="str">
            <v>Past</v>
          </cell>
          <cell r="D473">
            <v>61.36</v>
          </cell>
          <cell r="E473" t="e">
            <v>#N/A</v>
          </cell>
          <cell r="F473" t="e">
            <v>#N/A</v>
          </cell>
          <cell r="G473" t="e">
            <v>#N/A</v>
          </cell>
          <cell r="H473" t="e">
            <v>#N/A</v>
          </cell>
          <cell r="I473" t="e">
            <v>#N/A</v>
          </cell>
          <cell r="J473" t="e">
            <v>#N/A</v>
          </cell>
          <cell r="K473" t="e">
            <v>#N/A</v>
          </cell>
          <cell r="L473" t="e">
            <v>#N/A</v>
          </cell>
          <cell r="M473" t="e">
            <v>#N/A</v>
          </cell>
          <cell r="N473" t="e">
            <v>#N/A</v>
          </cell>
          <cell r="O473" t="e">
            <v>#N/A</v>
          </cell>
          <cell r="P473">
            <v>61.36</v>
          </cell>
          <cell r="Q473">
            <v>1.652218</v>
          </cell>
          <cell r="R473" t="e">
            <v>#N/A</v>
          </cell>
        </row>
        <row r="474">
          <cell r="A474">
            <v>40154</v>
          </cell>
          <cell r="B474">
            <v>40154</v>
          </cell>
          <cell r="C474" t="str">
            <v>Past</v>
          </cell>
          <cell r="D474">
            <v>61.15</v>
          </cell>
          <cell r="E474" t="e">
            <v>#N/A</v>
          </cell>
          <cell r="F474" t="e">
            <v>#N/A</v>
          </cell>
          <cell r="G474" t="e">
            <v>#N/A</v>
          </cell>
          <cell r="H474" t="e">
            <v>#N/A</v>
          </cell>
          <cell r="I474" t="e">
            <v>#N/A</v>
          </cell>
          <cell r="J474" t="e">
            <v>#N/A</v>
          </cell>
          <cell r="K474" t="e">
            <v>#N/A</v>
          </cell>
          <cell r="L474" t="e">
            <v>#N/A</v>
          </cell>
          <cell r="M474" t="e">
            <v>#N/A</v>
          </cell>
          <cell r="N474" t="e">
            <v>#N/A</v>
          </cell>
          <cell r="O474" t="e">
            <v>#N/A</v>
          </cell>
          <cell r="P474">
            <v>61.15</v>
          </cell>
          <cell r="Q474">
            <v>0.697967</v>
          </cell>
          <cell r="R474" t="e">
            <v>#N/A</v>
          </cell>
        </row>
        <row r="475">
          <cell r="A475">
            <v>40155</v>
          </cell>
          <cell r="B475">
            <v>40155</v>
          </cell>
          <cell r="C475" t="str">
            <v>Past</v>
          </cell>
          <cell r="D475">
            <v>60.7</v>
          </cell>
          <cell r="E475" t="e">
            <v>#N/A</v>
          </cell>
          <cell r="F475" t="e">
            <v>#N/A</v>
          </cell>
          <cell r="G475" t="e">
            <v>#N/A</v>
          </cell>
          <cell r="H475" t="e">
            <v>#N/A</v>
          </cell>
          <cell r="I475" t="e">
            <v>#N/A</v>
          </cell>
          <cell r="J475" t="e">
            <v>#N/A</v>
          </cell>
          <cell r="K475" t="e">
            <v>#N/A</v>
          </cell>
          <cell r="L475" t="e">
            <v>#N/A</v>
          </cell>
          <cell r="M475" t="e">
            <v>#N/A</v>
          </cell>
          <cell r="N475" t="e">
            <v>#N/A</v>
          </cell>
          <cell r="O475" t="e">
            <v>#N/A</v>
          </cell>
          <cell r="P475">
            <v>60.7</v>
          </cell>
          <cell r="Q475">
            <v>1.0189679999999999</v>
          </cell>
          <cell r="R475" t="e">
            <v>#N/A</v>
          </cell>
        </row>
        <row r="476">
          <cell r="A476">
            <v>40156</v>
          </cell>
          <cell r="B476">
            <v>40156</v>
          </cell>
          <cell r="C476" t="str">
            <v>Past</v>
          </cell>
          <cell r="D476">
            <v>60.59</v>
          </cell>
          <cell r="E476" t="e">
            <v>#N/A</v>
          </cell>
          <cell r="F476" t="e">
            <v>#N/A</v>
          </cell>
          <cell r="G476" t="e">
            <v>#N/A</v>
          </cell>
          <cell r="H476" t="e">
            <v>#N/A</v>
          </cell>
          <cell r="I476" t="e">
            <v>#N/A</v>
          </cell>
          <cell r="J476" t="e">
            <v>#N/A</v>
          </cell>
          <cell r="K476" t="e">
            <v>#N/A</v>
          </cell>
          <cell r="L476" t="e">
            <v>#N/A</v>
          </cell>
          <cell r="M476" t="e">
            <v>#N/A</v>
          </cell>
          <cell r="N476" t="e">
            <v>#N/A</v>
          </cell>
          <cell r="O476" t="e">
            <v>#N/A</v>
          </cell>
          <cell r="P476">
            <v>60.59</v>
          </cell>
          <cell r="Q476">
            <v>0.784972</v>
          </cell>
          <cell r="R476" t="e">
            <v>#N/A</v>
          </cell>
        </row>
        <row r="477">
          <cell r="A477">
            <v>40157</v>
          </cell>
          <cell r="B477">
            <v>40157</v>
          </cell>
          <cell r="C477" t="str">
            <v>Past</v>
          </cell>
          <cell r="D477">
            <v>60.66</v>
          </cell>
          <cell r="E477" t="e">
            <v>#N/A</v>
          </cell>
          <cell r="F477" t="e">
            <v>#N/A</v>
          </cell>
          <cell r="G477" t="e">
            <v>#N/A</v>
          </cell>
          <cell r="H477" t="e">
            <v>#N/A</v>
          </cell>
          <cell r="I477" t="e">
            <v>#N/A</v>
          </cell>
          <cell r="J477" t="e">
            <v>#N/A</v>
          </cell>
          <cell r="K477" t="e">
            <v>#N/A</v>
          </cell>
          <cell r="L477" t="e">
            <v>#N/A</v>
          </cell>
          <cell r="M477" t="e">
            <v>#N/A</v>
          </cell>
          <cell r="N477" t="e">
            <v>#N/A</v>
          </cell>
          <cell r="O477" t="e">
            <v>#N/A</v>
          </cell>
          <cell r="P477">
            <v>60.66</v>
          </cell>
          <cell r="Q477">
            <v>0.67529499999999998</v>
          </cell>
          <cell r="R477" t="e">
            <v>#N/A</v>
          </cell>
        </row>
        <row r="478">
          <cell r="A478">
            <v>40158</v>
          </cell>
          <cell r="B478">
            <v>40158</v>
          </cell>
          <cell r="C478" t="str">
            <v>Past</v>
          </cell>
          <cell r="D478">
            <v>62.1</v>
          </cell>
          <cell r="E478" t="e">
            <v>#N/A</v>
          </cell>
          <cell r="F478" t="e">
            <v>#N/A</v>
          </cell>
          <cell r="G478" t="e">
            <v>#N/A</v>
          </cell>
          <cell r="H478" t="e">
            <v>#N/A</v>
          </cell>
          <cell r="I478" t="e">
            <v>#N/A</v>
          </cell>
          <cell r="J478" t="e">
            <v>#N/A</v>
          </cell>
          <cell r="K478" t="e">
            <v>#N/A</v>
          </cell>
          <cell r="L478" t="e">
            <v>#N/A</v>
          </cell>
          <cell r="M478" t="e">
            <v>#N/A</v>
          </cell>
          <cell r="N478" t="e">
            <v>#N/A</v>
          </cell>
          <cell r="O478" t="e">
            <v>#N/A</v>
          </cell>
          <cell r="P478">
            <v>62.1</v>
          </cell>
          <cell r="Q478">
            <v>1.8926569999999998</v>
          </cell>
          <cell r="R478" t="e">
            <v>#N/A</v>
          </cell>
        </row>
        <row r="479">
          <cell r="A479">
            <v>40161</v>
          </cell>
          <cell r="B479">
            <v>40161</v>
          </cell>
          <cell r="C479" t="str">
            <v>Past</v>
          </cell>
          <cell r="D479">
            <v>63.78</v>
          </cell>
          <cell r="E479" t="e">
            <v>#N/A</v>
          </cell>
          <cell r="F479" t="e">
            <v>#N/A</v>
          </cell>
          <cell r="G479" t="e">
            <v>#N/A</v>
          </cell>
          <cell r="H479" t="e">
            <v>#N/A</v>
          </cell>
          <cell r="I479" t="e">
            <v>#N/A</v>
          </cell>
          <cell r="J479" t="e">
            <v>#N/A</v>
          </cell>
          <cell r="K479" t="e">
            <v>#N/A</v>
          </cell>
          <cell r="L479" t="e">
            <v>#N/A</v>
          </cell>
          <cell r="M479" t="e">
            <v>#N/A</v>
          </cell>
          <cell r="N479" t="e">
            <v>#N/A</v>
          </cell>
          <cell r="O479" t="e">
            <v>#N/A</v>
          </cell>
          <cell r="P479">
            <v>63.78</v>
          </cell>
          <cell r="Q479">
            <v>1.8493949999999999</v>
          </cell>
          <cell r="R479" t="e">
            <v>#N/A</v>
          </cell>
        </row>
        <row r="480">
          <cell r="A480">
            <v>40162</v>
          </cell>
          <cell r="B480">
            <v>40162</v>
          </cell>
          <cell r="C480" t="str">
            <v>Past</v>
          </cell>
          <cell r="D480">
            <v>62.77</v>
          </cell>
          <cell r="E480" t="e">
            <v>#N/A</v>
          </cell>
          <cell r="F480" t="e">
            <v>#N/A</v>
          </cell>
          <cell r="G480" t="e">
            <v>#N/A</v>
          </cell>
          <cell r="H480" t="e">
            <v>#N/A</v>
          </cell>
          <cell r="I480" t="e">
            <v>#N/A</v>
          </cell>
          <cell r="J480" t="e">
            <v>#N/A</v>
          </cell>
          <cell r="K480" t="e">
            <v>#N/A</v>
          </cell>
          <cell r="L480" t="e">
            <v>#N/A</v>
          </cell>
          <cell r="M480" t="e">
            <v>#N/A</v>
          </cell>
          <cell r="N480" t="e">
            <v>#N/A</v>
          </cell>
          <cell r="O480" t="e">
            <v>#N/A</v>
          </cell>
          <cell r="P480">
            <v>62.77</v>
          </cell>
          <cell r="Q480">
            <v>1.2838129999999999</v>
          </cell>
          <cell r="R480" t="e">
            <v>#N/A</v>
          </cell>
        </row>
        <row r="481">
          <cell r="A481">
            <v>40163</v>
          </cell>
          <cell r="B481">
            <v>40163</v>
          </cell>
          <cell r="C481" t="str">
            <v>Past</v>
          </cell>
          <cell r="D481">
            <v>63.01</v>
          </cell>
          <cell r="E481" t="e">
            <v>#N/A</v>
          </cell>
          <cell r="F481" t="e">
            <v>#N/A</v>
          </cell>
          <cell r="G481" t="e">
            <v>#N/A</v>
          </cell>
          <cell r="H481" t="e">
            <v>#N/A</v>
          </cell>
          <cell r="I481" t="e">
            <v>#N/A</v>
          </cell>
          <cell r="J481" t="e">
            <v>#N/A</v>
          </cell>
          <cell r="K481" t="e">
            <v>#N/A</v>
          </cell>
          <cell r="L481" t="e">
            <v>#N/A</v>
          </cell>
          <cell r="M481" t="e">
            <v>#N/A</v>
          </cell>
          <cell r="N481" t="e">
            <v>#N/A</v>
          </cell>
          <cell r="O481" t="e">
            <v>#N/A</v>
          </cell>
          <cell r="P481">
            <v>63.01</v>
          </cell>
          <cell r="Q481">
            <v>1.5893969999999999</v>
          </cell>
          <cell r="R481" t="e">
            <v>#N/A</v>
          </cell>
        </row>
        <row r="482">
          <cell r="A482">
            <v>40164</v>
          </cell>
          <cell r="B482">
            <v>40164</v>
          </cell>
          <cell r="C482" t="str">
            <v>Past</v>
          </cell>
          <cell r="D482">
            <v>63.68</v>
          </cell>
          <cell r="E482" t="e">
            <v>#N/A</v>
          </cell>
          <cell r="F482" t="e">
            <v>#N/A</v>
          </cell>
          <cell r="G482" t="e">
            <v>#N/A</v>
          </cell>
          <cell r="H482" t="e">
            <v>#N/A</v>
          </cell>
          <cell r="I482" t="e">
            <v>#N/A</v>
          </cell>
          <cell r="J482" t="e">
            <v>#N/A</v>
          </cell>
          <cell r="K482" t="e">
            <v>#N/A</v>
          </cell>
          <cell r="L482" t="e">
            <v>#N/A</v>
          </cell>
          <cell r="M482" t="e">
            <v>#N/A</v>
          </cell>
          <cell r="N482" t="e">
            <v>#N/A</v>
          </cell>
          <cell r="O482" t="e">
            <v>#N/A</v>
          </cell>
          <cell r="P482">
            <v>63.68</v>
          </cell>
          <cell r="Q482">
            <v>1.4110309999999999</v>
          </cell>
          <cell r="R482" t="e">
            <v>#N/A</v>
          </cell>
        </row>
        <row r="483">
          <cell r="A483">
            <v>40165</v>
          </cell>
          <cell r="B483">
            <v>40165</v>
          </cell>
          <cell r="C483" t="str">
            <v>Past</v>
          </cell>
          <cell r="D483">
            <v>63.85</v>
          </cell>
          <cell r="E483" t="e">
            <v>#N/A</v>
          </cell>
          <cell r="F483" t="e">
            <v>#N/A</v>
          </cell>
          <cell r="G483" t="e">
            <v>#N/A</v>
          </cell>
          <cell r="H483" t="e">
            <v>#N/A</v>
          </cell>
          <cell r="I483" t="e">
            <v>#N/A</v>
          </cell>
          <cell r="J483" t="e">
            <v>#N/A</v>
          </cell>
          <cell r="K483" t="e">
            <v>#N/A</v>
          </cell>
          <cell r="L483" t="e">
            <v>#N/A</v>
          </cell>
          <cell r="M483" t="e">
            <v>#N/A</v>
          </cell>
          <cell r="N483" t="e">
            <v>#N/A</v>
          </cell>
          <cell r="O483" t="e">
            <v>#N/A</v>
          </cell>
          <cell r="P483">
            <v>63.85</v>
          </cell>
          <cell r="Q483">
            <v>1.8057969999999999</v>
          </cell>
          <cell r="R483" t="e">
            <v>#N/A</v>
          </cell>
        </row>
        <row r="484">
          <cell r="A484">
            <v>40168</v>
          </cell>
          <cell r="B484">
            <v>40168</v>
          </cell>
          <cell r="C484" t="str">
            <v>Past</v>
          </cell>
          <cell r="D484">
            <v>64.739999999999995</v>
          </cell>
          <cell r="E484" t="e">
            <v>#N/A</v>
          </cell>
          <cell r="F484" t="e">
            <v>#N/A</v>
          </cell>
          <cell r="G484" t="e">
            <v>#N/A</v>
          </cell>
          <cell r="H484" t="e">
            <v>#N/A</v>
          </cell>
          <cell r="I484" t="e">
            <v>#N/A</v>
          </cell>
          <cell r="J484" t="e">
            <v>#N/A</v>
          </cell>
          <cell r="K484" t="e">
            <v>#N/A</v>
          </cell>
          <cell r="L484" t="e">
            <v>#N/A</v>
          </cell>
          <cell r="M484" t="e">
            <v>#N/A</v>
          </cell>
          <cell r="N484" t="e">
            <v>#N/A</v>
          </cell>
          <cell r="O484" t="e">
            <v>#N/A</v>
          </cell>
          <cell r="P484">
            <v>64.739999999999995</v>
          </cell>
          <cell r="Q484">
            <v>1.0862579999999999</v>
          </cell>
          <cell r="R484" t="e">
            <v>#N/A</v>
          </cell>
        </row>
        <row r="485">
          <cell r="A485">
            <v>40169</v>
          </cell>
          <cell r="B485">
            <v>40169</v>
          </cell>
          <cell r="C485" t="str">
            <v>Past</v>
          </cell>
          <cell r="D485">
            <v>65.64</v>
          </cell>
          <cell r="E485" t="e">
            <v>#N/A</v>
          </cell>
          <cell r="F485" t="e">
            <v>#N/A</v>
          </cell>
          <cell r="G485" t="e">
            <v>#N/A</v>
          </cell>
          <cell r="H485" t="e">
            <v>#N/A</v>
          </cell>
          <cell r="I485" t="e">
            <v>#N/A</v>
          </cell>
          <cell r="J485" t="e">
            <v>#N/A</v>
          </cell>
          <cell r="K485" t="e">
            <v>#N/A</v>
          </cell>
          <cell r="L485" t="e">
            <v>#N/A</v>
          </cell>
          <cell r="M485" t="e">
            <v>#N/A</v>
          </cell>
          <cell r="N485" t="e">
            <v>#N/A</v>
          </cell>
          <cell r="O485" t="e">
            <v>#N/A</v>
          </cell>
          <cell r="P485">
            <v>65.64</v>
          </cell>
          <cell r="Q485">
            <v>1.0566709999999999</v>
          </cell>
          <cell r="R485" t="e">
            <v>#N/A</v>
          </cell>
        </row>
        <row r="486">
          <cell r="A486">
            <v>40170</v>
          </cell>
          <cell r="B486">
            <v>40170</v>
          </cell>
          <cell r="C486" t="str">
            <v>Past</v>
          </cell>
          <cell r="D486">
            <v>65.25</v>
          </cell>
          <cell r="E486" t="e">
            <v>#N/A</v>
          </cell>
          <cell r="F486" t="e">
            <v>#N/A</v>
          </cell>
          <cell r="G486" t="e">
            <v>#N/A</v>
          </cell>
          <cell r="H486" t="e">
            <v>#N/A</v>
          </cell>
          <cell r="I486" t="e">
            <v>#N/A</v>
          </cell>
          <cell r="J486" t="e">
            <v>#N/A</v>
          </cell>
          <cell r="K486" t="e">
            <v>#N/A</v>
          </cell>
          <cell r="L486" t="e">
            <v>#N/A</v>
          </cell>
          <cell r="M486" t="e">
            <v>#N/A</v>
          </cell>
          <cell r="N486" t="e">
            <v>#N/A</v>
          </cell>
          <cell r="O486" t="e">
            <v>#N/A</v>
          </cell>
          <cell r="P486">
            <v>65.25</v>
          </cell>
          <cell r="Q486">
            <v>0.67419600000000002</v>
          </cell>
          <cell r="R486" t="e">
            <v>#N/A</v>
          </cell>
        </row>
        <row r="487">
          <cell r="A487">
            <v>40171</v>
          </cell>
          <cell r="B487">
            <v>40171</v>
          </cell>
          <cell r="C487" t="str">
            <v>Past</v>
          </cell>
          <cell r="D487">
            <v>65.25</v>
          </cell>
          <cell r="E487" t="e">
            <v>#N/A</v>
          </cell>
          <cell r="F487" t="e">
            <v>#N/A</v>
          </cell>
          <cell r="G487" t="e">
            <v>#N/A</v>
          </cell>
          <cell r="H487" t="e">
            <v>#N/A</v>
          </cell>
          <cell r="I487" t="e">
            <v>#N/A</v>
          </cell>
          <cell r="J487" t="e">
            <v>#N/A</v>
          </cell>
          <cell r="K487" t="e">
            <v>#N/A</v>
          </cell>
          <cell r="L487" t="e">
            <v>#N/A</v>
          </cell>
          <cell r="M487" t="e">
            <v>#N/A</v>
          </cell>
          <cell r="N487" t="e">
            <v>#N/A</v>
          </cell>
          <cell r="O487" t="e">
            <v>#N/A</v>
          </cell>
          <cell r="P487">
            <v>65.25</v>
          </cell>
          <cell r="Q487">
            <v>0.170405</v>
          </cell>
          <cell r="R487" t="e">
            <v>#N/A</v>
          </cell>
        </row>
        <row r="488">
          <cell r="A488">
            <v>40175</v>
          </cell>
          <cell r="B488">
            <v>40175</v>
          </cell>
          <cell r="C488" t="str">
            <v>Past</v>
          </cell>
          <cell r="D488">
            <v>64.790000000000006</v>
          </cell>
          <cell r="E488" t="e">
            <v>#N/A</v>
          </cell>
          <cell r="F488" t="e">
            <v>#N/A</v>
          </cell>
          <cell r="G488" t="e">
            <v>#N/A</v>
          </cell>
          <cell r="H488" t="e">
            <v>#N/A</v>
          </cell>
          <cell r="I488" t="e">
            <v>#N/A</v>
          </cell>
          <cell r="J488" t="e">
            <v>#N/A</v>
          </cell>
          <cell r="K488" t="e">
            <v>#N/A</v>
          </cell>
          <cell r="L488" t="e">
            <v>#N/A</v>
          </cell>
          <cell r="M488" t="e">
            <v>#N/A</v>
          </cell>
          <cell r="N488" t="e">
            <v>#N/A</v>
          </cell>
          <cell r="O488" t="e">
            <v>#N/A</v>
          </cell>
          <cell r="P488">
            <v>64.790000000000006</v>
          </cell>
          <cell r="Q488">
            <v>0.46122799999999997</v>
          </cell>
          <cell r="R488" t="e">
            <v>#N/A</v>
          </cell>
        </row>
        <row r="489">
          <cell r="A489">
            <v>40176</v>
          </cell>
          <cell r="B489">
            <v>40176</v>
          </cell>
          <cell r="C489" t="str">
            <v>Past</v>
          </cell>
          <cell r="D489">
            <v>64.34</v>
          </cell>
          <cell r="E489" t="e">
            <v>#N/A</v>
          </cell>
          <cell r="F489" t="e">
            <v>#N/A</v>
          </cell>
          <cell r="G489" t="e">
            <v>#N/A</v>
          </cell>
          <cell r="H489" t="e">
            <v>#N/A</v>
          </cell>
          <cell r="I489" t="e">
            <v>#N/A</v>
          </cell>
          <cell r="J489" t="e">
            <v>#N/A</v>
          </cell>
          <cell r="K489" t="e">
            <v>#N/A</v>
          </cell>
          <cell r="L489" t="e">
            <v>#N/A</v>
          </cell>
          <cell r="M489" t="e">
            <v>#N/A</v>
          </cell>
          <cell r="N489" t="e">
            <v>#N/A</v>
          </cell>
          <cell r="O489" t="e">
            <v>#N/A</v>
          </cell>
          <cell r="P489">
            <v>64.34</v>
          </cell>
          <cell r="Q489">
            <v>1.080222</v>
          </cell>
          <cell r="R489" t="e">
            <v>#N/A</v>
          </cell>
        </row>
        <row r="490">
          <cell r="A490">
            <v>40177</v>
          </cell>
          <cell r="B490">
            <v>40177</v>
          </cell>
          <cell r="C490" t="str">
            <v>Past</v>
          </cell>
          <cell r="D490">
            <v>64.62</v>
          </cell>
          <cell r="E490" t="e">
            <v>#N/A</v>
          </cell>
          <cell r="F490" t="e">
            <v>#N/A</v>
          </cell>
          <cell r="G490" t="e">
            <v>#N/A</v>
          </cell>
          <cell r="H490" t="e">
            <v>#N/A</v>
          </cell>
          <cell r="I490" t="e">
            <v>#N/A</v>
          </cell>
          <cell r="J490" t="e">
            <v>#N/A</v>
          </cell>
          <cell r="K490" t="e">
            <v>#N/A</v>
          </cell>
          <cell r="L490" t="e">
            <v>#N/A</v>
          </cell>
          <cell r="M490" t="e">
            <v>#N/A</v>
          </cell>
          <cell r="N490" t="e">
            <v>#N/A</v>
          </cell>
          <cell r="O490" t="e">
            <v>#N/A</v>
          </cell>
          <cell r="P490">
            <v>64.62</v>
          </cell>
          <cell r="Q490">
            <v>0.621112</v>
          </cell>
          <cell r="R490" t="e">
            <v>#N/A</v>
          </cell>
        </row>
        <row r="491">
          <cell r="A491">
            <v>40178</v>
          </cell>
          <cell r="B491">
            <v>40178</v>
          </cell>
          <cell r="C491" t="str">
            <v>Past</v>
          </cell>
          <cell r="D491">
            <v>64.25</v>
          </cell>
          <cell r="E491" t="e">
            <v>#N/A</v>
          </cell>
          <cell r="F491" t="e">
            <v>#N/A</v>
          </cell>
          <cell r="G491" t="e">
            <v>#N/A</v>
          </cell>
          <cell r="H491" t="e">
            <v>#N/A</v>
          </cell>
          <cell r="I491" t="e">
            <v>#N/A</v>
          </cell>
          <cell r="J491" t="e">
            <v>#N/A</v>
          </cell>
          <cell r="K491" t="e">
            <v>#N/A</v>
          </cell>
          <cell r="L491" t="e">
            <v>#N/A</v>
          </cell>
          <cell r="M491" t="e">
            <v>#N/A</v>
          </cell>
          <cell r="N491" t="e">
            <v>#N/A</v>
          </cell>
          <cell r="O491" t="e">
            <v>#N/A</v>
          </cell>
          <cell r="P491">
            <v>64.25</v>
          </cell>
          <cell r="Q491">
            <v>0.43151599999999996</v>
          </cell>
          <cell r="R491" t="e">
            <v>#N/A</v>
          </cell>
        </row>
        <row r="492">
          <cell r="A492">
            <v>40182</v>
          </cell>
          <cell r="B492">
            <v>40182</v>
          </cell>
          <cell r="C492" t="str">
            <v>Past</v>
          </cell>
          <cell r="D492">
            <v>66.349999999999994</v>
          </cell>
          <cell r="E492" t="e">
            <v>#N/A</v>
          </cell>
          <cell r="F492" t="e">
            <v>#N/A</v>
          </cell>
          <cell r="G492" t="e">
            <v>#N/A</v>
          </cell>
          <cell r="H492" t="e">
            <v>#N/A</v>
          </cell>
          <cell r="I492" t="e">
            <v>#N/A</v>
          </cell>
          <cell r="J492" t="e">
            <v>#N/A</v>
          </cell>
          <cell r="K492" t="e">
            <v>#N/A</v>
          </cell>
          <cell r="L492" t="e">
            <v>#N/A</v>
          </cell>
          <cell r="M492" t="e">
            <v>#N/A</v>
          </cell>
          <cell r="N492" t="e">
            <v>#N/A</v>
          </cell>
          <cell r="O492" t="e">
            <v>#N/A</v>
          </cell>
          <cell r="P492">
            <v>66.349999999999994</v>
          </cell>
          <cell r="Q492">
            <v>1.538219</v>
          </cell>
          <cell r="R492" t="e">
            <v>#N/A</v>
          </cell>
        </row>
        <row r="493">
          <cell r="A493">
            <v>40183</v>
          </cell>
          <cell r="B493">
            <v>40183</v>
          </cell>
          <cell r="C493" t="str">
            <v>Past</v>
          </cell>
          <cell r="D493">
            <v>66.44</v>
          </cell>
          <cell r="E493" t="e">
            <v>#N/A</v>
          </cell>
          <cell r="F493" t="e">
            <v>#N/A</v>
          </cell>
          <cell r="G493" t="e">
            <v>#N/A</v>
          </cell>
          <cell r="H493" t="e">
            <v>#N/A</v>
          </cell>
          <cell r="I493" t="e">
            <v>#N/A</v>
          </cell>
          <cell r="J493" t="e">
            <v>#N/A</v>
          </cell>
          <cell r="K493" t="e">
            <v>#N/A</v>
          </cell>
          <cell r="L493" t="e">
            <v>#N/A</v>
          </cell>
          <cell r="M493" t="e">
            <v>#N/A</v>
          </cell>
          <cell r="N493" t="e">
            <v>#N/A</v>
          </cell>
          <cell r="O493" t="e">
            <v>#N/A</v>
          </cell>
          <cell r="P493">
            <v>66.44</v>
          </cell>
          <cell r="Q493">
            <v>0.81039499999999998</v>
          </cell>
          <cell r="R493" t="e">
            <v>#N/A</v>
          </cell>
        </row>
        <row r="494">
          <cell r="A494">
            <v>40184</v>
          </cell>
          <cell r="B494">
            <v>40184</v>
          </cell>
          <cell r="C494" t="str">
            <v>Past</v>
          </cell>
          <cell r="D494">
            <v>66.819999999999993</v>
          </cell>
          <cell r="E494" t="e">
            <v>#N/A</v>
          </cell>
          <cell r="F494" t="e">
            <v>#N/A</v>
          </cell>
          <cell r="G494" t="e">
            <v>#N/A</v>
          </cell>
          <cell r="H494" t="e">
            <v>#N/A</v>
          </cell>
          <cell r="I494" t="e">
            <v>#N/A</v>
          </cell>
          <cell r="J494" t="e">
            <v>#N/A</v>
          </cell>
          <cell r="K494" t="e">
            <v>#N/A</v>
          </cell>
          <cell r="L494" t="e">
            <v>#N/A</v>
          </cell>
          <cell r="M494" t="e">
            <v>#N/A</v>
          </cell>
          <cell r="N494" t="e">
            <v>#N/A</v>
          </cell>
          <cell r="O494" t="e">
            <v>#N/A</v>
          </cell>
          <cell r="P494">
            <v>66.819999999999993</v>
          </cell>
          <cell r="Q494">
            <v>0.996946</v>
          </cell>
          <cell r="R494" t="e">
            <v>#N/A</v>
          </cell>
        </row>
        <row r="495">
          <cell r="A495">
            <v>40185</v>
          </cell>
          <cell r="B495">
            <v>40185</v>
          </cell>
          <cell r="C495" t="str">
            <v>Past</v>
          </cell>
          <cell r="D495">
            <v>66.16</v>
          </cell>
          <cell r="E495" t="e">
            <v>#N/A</v>
          </cell>
          <cell r="F495" t="e">
            <v>#N/A</v>
          </cell>
          <cell r="G495" t="e">
            <v>#N/A</v>
          </cell>
          <cell r="H495" t="e">
            <v>#N/A</v>
          </cell>
          <cell r="I495" t="e">
            <v>#N/A</v>
          </cell>
          <cell r="J495" t="e">
            <v>#N/A</v>
          </cell>
          <cell r="K495" t="e">
            <v>#N/A</v>
          </cell>
          <cell r="L495" t="e">
            <v>#N/A</v>
          </cell>
          <cell r="M495" t="e">
            <v>#N/A</v>
          </cell>
          <cell r="N495" t="e">
            <v>#N/A</v>
          </cell>
          <cell r="O495" t="e">
            <v>#N/A</v>
          </cell>
          <cell r="P495">
            <v>66.16</v>
          </cell>
          <cell r="Q495">
            <v>0.88902799999999993</v>
          </cell>
          <cell r="R495" t="e">
            <v>#N/A</v>
          </cell>
        </row>
        <row r="496">
          <cell r="A496">
            <v>40186</v>
          </cell>
          <cell r="B496">
            <v>40186</v>
          </cell>
          <cell r="C496" t="str">
            <v>Past</v>
          </cell>
          <cell r="D496">
            <v>66.209999999999994</v>
          </cell>
          <cell r="E496" t="e">
            <v>#N/A</v>
          </cell>
          <cell r="F496" t="e">
            <v>#N/A</v>
          </cell>
          <cell r="G496" t="e">
            <v>#N/A</v>
          </cell>
          <cell r="H496" t="e">
            <v>#N/A</v>
          </cell>
          <cell r="I496" t="e">
            <v>#N/A</v>
          </cell>
          <cell r="J496" t="e">
            <v>#N/A</v>
          </cell>
          <cell r="K496" t="e">
            <v>#N/A</v>
          </cell>
          <cell r="L496" t="e">
            <v>#N/A</v>
          </cell>
          <cell r="M496" t="e">
            <v>#N/A</v>
          </cell>
          <cell r="N496" t="e">
            <v>#N/A</v>
          </cell>
          <cell r="O496" t="e">
            <v>#N/A</v>
          </cell>
          <cell r="P496">
            <v>66.209999999999994</v>
          </cell>
          <cell r="Q496">
            <v>0.99179899999999999</v>
          </cell>
          <cell r="R496" t="e">
            <v>#N/A</v>
          </cell>
        </row>
        <row r="497">
          <cell r="A497">
            <v>40189</v>
          </cell>
          <cell r="B497">
            <v>40189</v>
          </cell>
          <cell r="C497" t="str">
            <v>Past</v>
          </cell>
          <cell r="D497">
            <v>66.349999999999994</v>
          </cell>
          <cell r="E497" t="e">
            <v>#N/A</v>
          </cell>
          <cell r="F497" t="e">
            <v>#N/A</v>
          </cell>
          <cell r="G497" t="e">
            <v>#N/A</v>
          </cell>
          <cell r="H497" t="e">
            <v>#N/A</v>
          </cell>
          <cell r="I497" t="e">
            <v>#N/A</v>
          </cell>
          <cell r="J497" t="e">
            <v>#N/A</v>
          </cell>
          <cell r="K497" t="e">
            <v>#N/A</v>
          </cell>
          <cell r="L497" t="e">
            <v>#N/A</v>
          </cell>
          <cell r="M497" t="e">
            <v>#N/A</v>
          </cell>
          <cell r="N497" t="e">
            <v>#N/A</v>
          </cell>
          <cell r="O497" t="e">
            <v>#N/A</v>
          </cell>
          <cell r="P497">
            <v>66.349999999999994</v>
          </cell>
          <cell r="Q497">
            <v>0.61704199999999998</v>
          </cell>
          <cell r="R497" t="e">
            <v>#N/A</v>
          </cell>
        </row>
        <row r="498">
          <cell r="A498">
            <v>40190</v>
          </cell>
          <cell r="B498">
            <v>40190</v>
          </cell>
          <cell r="C498" t="str">
            <v>Past</v>
          </cell>
          <cell r="D498">
            <v>64.709999999999994</v>
          </cell>
          <cell r="E498" t="e">
            <v>#N/A</v>
          </cell>
          <cell r="F498" t="e">
            <v>#N/A</v>
          </cell>
          <cell r="G498" t="e">
            <v>#N/A</v>
          </cell>
          <cell r="H498" t="e">
            <v>#N/A</v>
          </cell>
          <cell r="I498" t="e">
            <v>#N/A</v>
          </cell>
          <cell r="J498" t="e">
            <v>#N/A</v>
          </cell>
          <cell r="K498" t="e">
            <v>#N/A</v>
          </cell>
          <cell r="L498" t="e">
            <v>#N/A</v>
          </cell>
          <cell r="M498" t="e">
            <v>#N/A</v>
          </cell>
          <cell r="N498" t="e">
            <v>#N/A</v>
          </cell>
          <cell r="O498" t="e">
            <v>#N/A</v>
          </cell>
          <cell r="P498">
            <v>64.709999999999994</v>
          </cell>
          <cell r="Q498">
            <v>1.4132169999999999</v>
          </cell>
          <cell r="R498" t="e">
            <v>#N/A</v>
          </cell>
        </row>
        <row r="499">
          <cell r="A499">
            <v>40191</v>
          </cell>
          <cell r="B499">
            <v>40191</v>
          </cell>
          <cell r="C499" t="str">
            <v>Past</v>
          </cell>
          <cell r="D499">
            <v>65.599999999999994</v>
          </cell>
          <cell r="E499" t="e">
            <v>#N/A</v>
          </cell>
          <cell r="F499" t="e">
            <v>#N/A</v>
          </cell>
          <cell r="G499" t="e">
            <v>#N/A</v>
          </cell>
          <cell r="H499" t="e">
            <v>#N/A</v>
          </cell>
          <cell r="I499" t="e">
            <v>#N/A</v>
          </cell>
          <cell r="J499" t="e">
            <v>#N/A</v>
          </cell>
          <cell r="K499" t="e">
            <v>#N/A</v>
          </cell>
          <cell r="L499" t="e">
            <v>#N/A</v>
          </cell>
          <cell r="M499" t="e">
            <v>#N/A</v>
          </cell>
          <cell r="N499" t="e">
            <v>#N/A</v>
          </cell>
          <cell r="O499" t="e">
            <v>#N/A</v>
          </cell>
          <cell r="P499">
            <v>65.599999999999994</v>
          </cell>
          <cell r="Q499">
            <v>1.3525769999999999</v>
          </cell>
          <cell r="R499" t="e">
            <v>#N/A</v>
          </cell>
        </row>
        <row r="500">
          <cell r="A500">
            <v>40192</v>
          </cell>
          <cell r="B500">
            <v>40192</v>
          </cell>
          <cell r="C500" t="str">
            <v>Past</v>
          </cell>
          <cell r="D500">
            <v>66.72</v>
          </cell>
          <cell r="E500" t="e">
            <v>#N/A</v>
          </cell>
          <cell r="F500" t="e">
            <v>#N/A</v>
          </cell>
          <cell r="G500" t="e">
            <v>#N/A</v>
          </cell>
          <cell r="H500" t="e">
            <v>#N/A</v>
          </cell>
          <cell r="I500" t="e">
            <v>#N/A</v>
          </cell>
          <cell r="J500" t="e">
            <v>#N/A</v>
          </cell>
          <cell r="K500" t="e">
            <v>#N/A</v>
          </cell>
          <cell r="L500" t="e">
            <v>#N/A</v>
          </cell>
          <cell r="M500" t="e">
            <v>#N/A</v>
          </cell>
          <cell r="N500" t="e">
            <v>#N/A</v>
          </cell>
          <cell r="O500" t="e">
            <v>#N/A</v>
          </cell>
          <cell r="P500">
            <v>66.72</v>
          </cell>
          <cell r="Q500">
            <v>0.783327</v>
          </cell>
          <cell r="R500" t="e">
            <v>#N/A</v>
          </cell>
        </row>
        <row r="501">
          <cell r="A501">
            <v>40193</v>
          </cell>
          <cell r="B501">
            <v>40193</v>
          </cell>
          <cell r="C501" t="str">
            <v>Past</v>
          </cell>
          <cell r="D501">
            <v>66.22</v>
          </cell>
          <cell r="E501" t="e">
            <v>#N/A</v>
          </cell>
          <cell r="F501" t="e">
            <v>#N/A</v>
          </cell>
          <cell r="G501" t="e">
            <v>#N/A</v>
          </cell>
          <cell r="H501" t="e">
            <v>#N/A</v>
          </cell>
          <cell r="I501" t="e">
            <v>#N/A</v>
          </cell>
          <cell r="J501" t="e">
            <v>#N/A</v>
          </cell>
          <cell r="K501" t="e">
            <v>#N/A</v>
          </cell>
          <cell r="L501" t="e">
            <v>#N/A</v>
          </cell>
          <cell r="M501" t="e">
            <v>#N/A</v>
          </cell>
          <cell r="N501" t="e">
            <v>#N/A</v>
          </cell>
          <cell r="O501" t="e">
            <v>#N/A</v>
          </cell>
          <cell r="P501">
            <v>66.22</v>
          </cell>
          <cell r="Q501">
            <v>0.84484499999999996</v>
          </cell>
          <cell r="R501" t="e">
            <v>#N/A</v>
          </cell>
        </row>
        <row r="502">
          <cell r="A502">
            <v>40197</v>
          </cell>
          <cell r="B502">
            <v>40197</v>
          </cell>
          <cell r="C502" t="str">
            <v>Past</v>
          </cell>
          <cell r="D502">
            <v>66.319999999999993</v>
          </cell>
          <cell r="E502" t="e">
            <v>#N/A</v>
          </cell>
          <cell r="F502" t="e">
            <v>#N/A</v>
          </cell>
          <cell r="G502" t="e">
            <v>#N/A</v>
          </cell>
          <cell r="H502" t="e">
            <v>#N/A</v>
          </cell>
          <cell r="I502" t="e">
            <v>#N/A</v>
          </cell>
          <cell r="J502" t="e">
            <v>#N/A</v>
          </cell>
          <cell r="K502" t="e">
            <v>#N/A</v>
          </cell>
          <cell r="L502" t="e">
            <v>#N/A</v>
          </cell>
          <cell r="M502" t="e">
            <v>#N/A</v>
          </cell>
          <cell r="N502" t="e">
            <v>#N/A</v>
          </cell>
          <cell r="O502" t="e">
            <v>#N/A</v>
          </cell>
          <cell r="P502">
            <v>66.319999999999993</v>
          </cell>
          <cell r="Q502">
            <v>0.76977099999999998</v>
          </cell>
          <cell r="R502" t="e">
            <v>#N/A</v>
          </cell>
        </row>
        <row r="503">
          <cell r="A503">
            <v>40198</v>
          </cell>
          <cell r="B503">
            <v>40198</v>
          </cell>
          <cell r="C503" t="str">
            <v>Past</v>
          </cell>
          <cell r="D503">
            <v>65.06</v>
          </cell>
          <cell r="E503" t="e">
            <v>#N/A</v>
          </cell>
          <cell r="F503" t="e">
            <v>#N/A</v>
          </cell>
          <cell r="G503" t="e">
            <v>#N/A</v>
          </cell>
          <cell r="H503" t="e">
            <v>#N/A</v>
          </cell>
          <cell r="I503" t="e">
            <v>#N/A</v>
          </cell>
          <cell r="J503" t="e">
            <v>#N/A</v>
          </cell>
          <cell r="K503" t="e">
            <v>#N/A</v>
          </cell>
          <cell r="L503" t="e">
            <v>#N/A</v>
          </cell>
          <cell r="M503" t="e">
            <v>#N/A</v>
          </cell>
          <cell r="N503" t="e">
            <v>#N/A</v>
          </cell>
          <cell r="O503" t="e">
            <v>#N/A</v>
          </cell>
          <cell r="P503">
            <v>65.06</v>
          </cell>
          <cell r="Q503">
            <v>1.359834</v>
          </cell>
          <cell r="R503" t="e">
            <v>#N/A</v>
          </cell>
        </row>
        <row r="504">
          <cell r="A504">
            <v>40199</v>
          </cell>
          <cell r="B504">
            <v>40199</v>
          </cell>
          <cell r="C504" t="str">
            <v>Past</v>
          </cell>
          <cell r="D504">
            <v>62.69</v>
          </cell>
          <cell r="E504" t="e">
            <v>#N/A</v>
          </cell>
          <cell r="F504" t="e">
            <v>#N/A</v>
          </cell>
          <cell r="G504" t="e">
            <v>#N/A</v>
          </cell>
          <cell r="H504" t="e">
            <v>#N/A</v>
          </cell>
          <cell r="I504" t="e">
            <v>#N/A</v>
          </cell>
          <cell r="J504" t="e">
            <v>#N/A</v>
          </cell>
          <cell r="K504" t="e">
            <v>#N/A</v>
          </cell>
          <cell r="L504" t="e">
            <v>#N/A</v>
          </cell>
          <cell r="M504" t="e">
            <v>#N/A</v>
          </cell>
          <cell r="N504" t="e">
            <v>#N/A</v>
          </cell>
          <cell r="O504" t="e">
            <v>#N/A</v>
          </cell>
          <cell r="P504">
            <v>62.69</v>
          </cell>
          <cell r="Q504">
            <v>1.7288839999999999</v>
          </cell>
          <cell r="R504" t="e">
            <v>#N/A</v>
          </cell>
        </row>
        <row r="505">
          <cell r="A505">
            <v>40200</v>
          </cell>
          <cell r="B505">
            <v>40200</v>
          </cell>
          <cell r="C505" t="str">
            <v>Past</v>
          </cell>
          <cell r="D505">
            <v>61.41</v>
          </cell>
          <cell r="E505" t="e">
            <v>#N/A</v>
          </cell>
          <cell r="F505" t="e">
            <v>#N/A</v>
          </cell>
          <cell r="G505" t="e">
            <v>#N/A</v>
          </cell>
          <cell r="H505" t="e">
            <v>#N/A</v>
          </cell>
          <cell r="I505" t="e">
            <v>#N/A</v>
          </cell>
          <cell r="J505" t="e">
            <v>#N/A</v>
          </cell>
          <cell r="K505" t="e">
            <v>#N/A</v>
          </cell>
          <cell r="L505" t="e">
            <v>#N/A</v>
          </cell>
          <cell r="M505" t="e">
            <v>#N/A</v>
          </cell>
          <cell r="N505" t="e">
            <v>#N/A</v>
          </cell>
          <cell r="O505" t="e">
            <v>#N/A</v>
          </cell>
          <cell r="P505">
            <v>61.41</v>
          </cell>
          <cell r="Q505">
            <v>0.85359699999999994</v>
          </cell>
          <cell r="R505" t="e">
            <v>#N/A</v>
          </cell>
        </row>
        <row r="506">
          <cell r="A506">
            <v>40203</v>
          </cell>
          <cell r="B506">
            <v>40203</v>
          </cell>
          <cell r="C506" t="str">
            <v>Past</v>
          </cell>
          <cell r="D506">
            <v>61.14</v>
          </cell>
          <cell r="E506" t="e">
            <v>#N/A</v>
          </cell>
          <cell r="F506" t="e">
            <v>#N/A</v>
          </cell>
          <cell r="G506" t="e">
            <v>#N/A</v>
          </cell>
          <cell r="H506" t="e">
            <v>#N/A</v>
          </cell>
          <cell r="I506" t="e">
            <v>#N/A</v>
          </cell>
          <cell r="J506" t="e">
            <v>#N/A</v>
          </cell>
          <cell r="K506" t="e">
            <v>#N/A</v>
          </cell>
          <cell r="L506" t="e">
            <v>#N/A</v>
          </cell>
          <cell r="M506" t="e">
            <v>#N/A</v>
          </cell>
          <cell r="N506" t="e">
            <v>#N/A</v>
          </cell>
          <cell r="O506" t="e">
            <v>#N/A</v>
          </cell>
          <cell r="P506">
            <v>61.14</v>
          </cell>
          <cell r="Q506">
            <v>0.73810399999999998</v>
          </cell>
          <cell r="R506" t="e">
            <v>#N/A</v>
          </cell>
        </row>
        <row r="507">
          <cell r="A507">
            <v>40204</v>
          </cell>
          <cell r="B507">
            <v>40204</v>
          </cell>
          <cell r="C507" t="str">
            <v>Past</v>
          </cell>
          <cell r="D507">
            <v>61.43</v>
          </cell>
          <cell r="E507" t="e">
            <v>#N/A</v>
          </cell>
          <cell r="F507" t="e">
            <v>#N/A</v>
          </cell>
          <cell r="G507" t="e">
            <v>#N/A</v>
          </cell>
          <cell r="H507" t="e">
            <v>#N/A</v>
          </cell>
          <cell r="I507" t="e">
            <v>#N/A</v>
          </cell>
          <cell r="J507" t="e">
            <v>#N/A</v>
          </cell>
          <cell r="K507" t="e">
            <v>#N/A</v>
          </cell>
          <cell r="L507" t="e">
            <v>#N/A</v>
          </cell>
          <cell r="M507" t="e">
            <v>#N/A</v>
          </cell>
          <cell r="N507" t="e">
            <v>#N/A</v>
          </cell>
          <cell r="O507" t="e">
            <v>#N/A</v>
          </cell>
          <cell r="P507">
            <v>61.43</v>
          </cell>
          <cell r="Q507">
            <v>1.4430749999999999</v>
          </cell>
          <cell r="R507" t="e">
            <v>#N/A</v>
          </cell>
        </row>
        <row r="508">
          <cell r="A508">
            <v>40205</v>
          </cell>
          <cell r="B508">
            <v>40205</v>
          </cell>
          <cell r="C508" t="str">
            <v>Past</v>
          </cell>
          <cell r="D508">
            <v>62.23</v>
          </cell>
          <cell r="E508" t="e">
            <v>#N/A</v>
          </cell>
          <cell r="F508" t="e">
            <v>#N/A</v>
          </cell>
          <cell r="G508" t="e">
            <v>#N/A</v>
          </cell>
          <cell r="H508" t="e">
            <v>#N/A</v>
          </cell>
          <cell r="I508" t="e">
            <v>#N/A</v>
          </cell>
          <cell r="J508" t="e">
            <v>#N/A</v>
          </cell>
          <cell r="K508" t="e">
            <v>#N/A</v>
          </cell>
          <cell r="L508" t="e">
            <v>#N/A</v>
          </cell>
          <cell r="M508" t="e">
            <v>#N/A</v>
          </cell>
          <cell r="N508" t="e">
            <v>#N/A</v>
          </cell>
          <cell r="O508" t="e">
            <v>#N/A</v>
          </cell>
          <cell r="P508">
            <v>62.23</v>
          </cell>
          <cell r="Q508">
            <v>1.695821</v>
          </cell>
          <cell r="R508" t="e">
            <v>#N/A</v>
          </cell>
        </row>
        <row r="509">
          <cell r="A509">
            <v>40206</v>
          </cell>
          <cell r="B509">
            <v>40206</v>
          </cell>
          <cell r="C509" t="str">
            <v>Past</v>
          </cell>
          <cell r="D509">
            <v>61.37</v>
          </cell>
          <cell r="E509" t="e">
            <v>#N/A</v>
          </cell>
          <cell r="F509" t="e">
            <v>#N/A</v>
          </cell>
          <cell r="G509" t="e">
            <v>#N/A</v>
          </cell>
          <cell r="H509" t="e">
            <v>#N/A</v>
          </cell>
          <cell r="I509" t="e">
            <v>#N/A</v>
          </cell>
          <cell r="J509" t="e">
            <v>#N/A</v>
          </cell>
          <cell r="K509" t="e">
            <v>#N/A</v>
          </cell>
          <cell r="L509" t="e">
            <v>#N/A</v>
          </cell>
          <cell r="M509" t="e">
            <v>#N/A</v>
          </cell>
          <cell r="N509" t="e">
            <v>#N/A</v>
          </cell>
          <cell r="O509" t="e">
            <v>#N/A</v>
          </cell>
          <cell r="P509">
            <v>61.37</v>
          </cell>
          <cell r="Q509">
            <v>2.3307340000000001</v>
          </cell>
          <cell r="R509" t="e">
            <v>#N/A</v>
          </cell>
        </row>
        <row r="510">
          <cell r="A510">
            <v>40207</v>
          </cell>
          <cell r="B510">
            <v>40207</v>
          </cell>
          <cell r="C510" t="str">
            <v>Past</v>
          </cell>
          <cell r="D510">
            <v>61.91</v>
          </cell>
          <cell r="E510" t="e">
            <v>#N/A</v>
          </cell>
          <cell r="F510" t="e">
            <v>#N/A</v>
          </cell>
          <cell r="G510" t="e">
            <v>#N/A</v>
          </cell>
          <cell r="H510" t="e">
            <v>#N/A</v>
          </cell>
          <cell r="I510" t="e">
            <v>#N/A</v>
          </cell>
          <cell r="J510" t="e">
            <v>#N/A</v>
          </cell>
          <cell r="K510" t="e">
            <v>#N/A</v>
          </cell>
          <cell r="L510" t="e">
            <v>#N/A</v>
          </cell>
          <cell r="M510" t="e">
            <v>#N/A</v>
          </cell>
          <cell r="N510" t="e">
            <v>#N/A</v>
          </cell>
          <cell r="O510" t="e">
            <v>#N/A</v>
          </cell>
          <cell r="P510">
            <v>61.91</v>
          </cell>
          <cell r="Q510">
            <v>2.2390719999999997</v>
          </cell>
          <cell r="R510" t="e">
            <v>#N/A</v>
          </cell>
        </row>
        <row r="511">
          <cell r="A511">
            <v>40210</v>
          </cell>
          <cell r="B511">
            <v>40210</v>
          </cell>
          <cell r="C511" t="str">
            <v>Past</v>
          </cell>
          <cell r="D511">
            <v>63.09</v>
          </cell>
          <cell r="E511" t="e">
            <v>#N/A</v>
          </cell>
          <cell r="F511" t="e">
            <v>#N/A</v>
          </cell>
          <cell r="G511" t="e">
            <v>#N/A</v>
          </cell>
          <cell r="H511" t="e">
            <v>#N/A</v>
          </cell>
          <cell r="I511" t="e">
            <v>#N/A</v>
          </cell>
          <cell r="J511" t="e">
            <v>#N/A</v>
          </cell>
          <cell r="K511" t="e">
            <v>#N/A</v>
          </cell>
          <cell r="L511" t="e">
            <v>#N/A</v>
          </cell>
          <cell r="M511" t="e">
            <v>#N/A</v>
          </cell>
          <cell r="N511" t="e">
            <v>#N/A</v>
          </cell>
          <cell r="O511" t="e">
            <v>#N/A</v>
          </cell>
          <cell r="P511">
            <v>63.09</v>
          </cell>
          <cell r="Q511">
            <v>1.4132</v>
          </cell>
          <cell r="R511" t="e">
            <v>#N/A</v>
          </cell>
        </row>
        <row r="512">
          <cell r="A512">
            <v>40211</v>
          </cell>
          <cell r="B512">
            <v>40211</v>
          </cell>
          <cell r="C512" t="str">
            <v>Past</v>
          </cell>
          <cell r="D512">
            <v>64.790000000000006</v>
          </cell>
          <cell r="E512" t="e">
            <v>#N/A</v>
          </cell>
          <cell r="F512" t="e">
            <v>#N/A</v>
          </cell>
          <cell r="G512" t="e">
            <v>#N/A</v>
          </cell>
          <cell r="H512" t="e">
            <v>#N/A</v>
          </cell>
          <cell r="I512" t="e">
            <v>#N/A</v>
          </cell>
          <cell r="J512" t="e">
            <v>#N/A</v>
          </cell>
          <cell r="K512" t="e">
            <v>#N/A</v>
          </cell>
          <cell r="L512" t="e">
            <v>#N/A</v>
          </cell>
          <cell r="M512" t="e">
            <v>#N/A</v>
          </cell>
          <cell r="N512" t="e">
            <v>#N/A</v>
          </cell>
          <cell r="O512" t="e">
            <v>#N/A</v>
          </cell>
          <cell r="P512">
            <v>64.790000000000006</v>
          </cell>
          <cell r="Q512">
            <v>1.8616539999999999</v>
          </cell>
          <cell r="R512" t="e">
            <v>#N/A</v>
          </cell>
        </row>
        <row r="513">
          <cell r="A513">
            <v>40212</v>
          </cell>
          <cell r="B513">
            <v>40212</v>
          </cell>
          <cell r="C513" t="str">
            <v>Past</v>
          </cell>
          <cell r="D513">
            <v>64.22</v>
          </cell>
          <cell r="E513" t="e">
            <v>#N/A</v>
          </cell>
          <cell r="F513" t="e">
            <v>#N/A</v>
          </cell>
          <cell r="G513" t="e">
            <v>#N/A</v>
          </cell>
          <cell r="H513" t="e">
            <v>#N/A</v>
          </cell>
          <cell r="I513" t="e">
            <v>#N/A</v>
          </cell>
          <cell r="J513" t="e">
            <v>#N/A</v>
          </cell>
          <cell r="K513" t="e">
            <v>#N/A</v>
          </cell>
          <cell r="L513" t="e">
            <v>#N/A</v>
          </cell>
          <cell r="M513" t="e">
            <v>#N/A</v>
          </cell>
          <cell r="N513" t="e">
            <v>#N/A</v>
          </cell>
          <cell r="O513" t="e">
            <v>#N/A</v>
          </cell>
          <cell r="P513">
            <v>64.22</v>
          </cell>
          <cell r="Q513">
            <v>0.82956199999999991</v>
          </cell>
          <cell r="R513" t="e">
            <v>#N/A</v>
          </cell>
        </row>
        <row r="514">
          <cell r="A514">
            <v>40213</v>
          </cell>
          <cell r="B514">
            <v>40213</v>
          </cell>
          <cell r="C514" t="str">
            <v>Past</v>
          </cell>
          <cell r="D514">
            <v>62.42</v>
          </cell>
          <cell r="E514" t="e">
            <v>#N/A</v>
          </cell>
          <cell r="F514" t="e">
            <v>#N/A</v>
          </cell>
          <cell r="G514" t="e">
            <v>#N/A</v>
          </cell>
          <cell r="H514" t="e">
            <v>#N/A</v>
          </cell>
          <cell r="I514" t="e">
            <v>#N/A</v>
          </cell>
          <cell r="J514" t="e">
            <v>#N/A</v>
          </cell>
          <cell r="K514" t="e">
            <v>#N/A</v>
          </cell>
          <cell r="L514" t="e">
            <v>#N/A</v>
          </cell>
          <cell r="M514" t="e">
            <v>#N/A</v>
          </cell>
          <cell r="N514" t="e">
            <v>#N/A</v>
          </cell>
          <cell r="O514" t="e">
            <v>#N/A</v>
          </cell>
          <cell r="P514">
            <v>62.42</v>
          </cell>
          <cell r="Q514">
            <v>2.0384509999999998</v>
          </cell>
          <cell r="R514" t="e">
            <v>#N/A</v>
          </cell>
        </row>
        <row r="515">
          <cell r="A515">
            <v>40214</v>
          </cell>
          <cell r="B515">
            <v>40214</v>
          </cell>
          <cell r="C515" t="str">
            <v>Past</v>
          </cell>
          <cell r="D515">
            <v>62.45</v>
          </cell>
          <cell r="E515" t="e">
            <v>#N/A</v>
          </cell>
          <cell r="F515" t="e">
            <v>#N/A</v>
          </cell>
          <cell r="G515" t="e">
            <v>#N/A</v>
          </cell>
          <cell r="H515" t="e">
            <v>#N/A</v>
          </cell>
          <cell r="I515" t="e">
            <v>#N/A</v>
          </cell>
          <cell r="J515" t="e">
            <v>#N/A</v>
          </cell>
          <cell r="K515" t="e">
            <v>#N/A</v>
          </cell>
          <cell r="L515" t="e">
            <v>#N/A</v>
          </cell>
          <cell r="M515" t="e">
            <v>#N/A</v>
          </cell>
          <cell r="N515" t="e">
            <v>#N/A</v>
          </cell>
          <cell r="O515" t="e">
            <v>#N/A</v>
          </cell>
          <cell r="P515">
            <v>62.45</v>
          </cell>
          <cell r="Q515">
            <v>1.5878369999999999</v>
          </cell>
          <cell r="R515" t="e">
            <v>#N/A</v>
          </cell>
        </row>
        <row r="516">
          <cell r="A516">
            <v>40217</v>
          </cell>
          <cell r="B516">
            <v>40217</v>
          </cell>
          <cell r="C516" t="str">
            <v>Past</v>
          </cell>
          <cell r="D516">
            <v>61.85</v>
          </cell>
          <cell r="E516" t="e">
            <v>#N/A</v>
          </cell>
          <cell r="F516" t="e">
            <v>#N/A</v>
          </cell>
          <cell r="G516" t="e">
            <v>#N/A</v>
          </cell>
          <cell r="H516" t="e">
            <v>#N/A</v>
          </cell>
          <cell r="I516" t="e">
            <v>#N/A</v>
          </cell>
          <cell r="J516" t="e">
            <v>#N/A</v>
          </cell>
          <cell r="K516" t="e">
            <v>#N/A</v>
          </cell>
          <cell r="L516" t="e">
            <v>#N/A</v>
          </cell>
          <cell r="M516" t="e">
            <v>#N/A</v>
          </cell>
          <cell r="N516" t="e">
            <v>#N/A</v>
          </cell>
          <cell r="O516" t="e">
            <v>#N/A</v>
          </cell>
          <cell r="P516">
            <v>61.85</v>
          </cell>
          <cell r="Q516">
            <v>1.2874700000000001</v>
          </cell>
          <cell r="R516" t="e">
            <v>#N/A</v>
          </cell>
        </row>
        <row r="517">
          <cell r="A517">
            <v>40218</v>
          </cell>
          <cell r="B517">
            <v>40218</v>
          </cell>
          <cell r="C517" t="str">
            <v>Past</v>
          </cell>
          <cell r="D517">
            <v>62.69</v>
          </cell>
          <cell r="E517" t="e">
            <v>#N/A</v>
          </cell>
          <cell r="F517" t="e">
            <v>#N/A</v>
          </cell>
          <cell r="G517" t="e">
            <v>#N/A</v>
          </cell>
          <cell r="H517" t="e">
            <v>#N/A</v>
          </cell>
          <cell r="I517" t="e">
            <v>#N/A</v>
          </cell>
          <cell r="J517" t="e">
            <v>#N/A</v>
          </cell>
          <cell r="K517" t="e">
            <v>#N/A</v>
          </cell>
          <cell r="L517" t="e">
            <v>#N/A</v>
          </cell>
          <cell r="M517" t="e">
            <v>#N/A</v>
          </cell>
          <cell r="N517" t="e">
            <v>#N/A</v>
          </cell>
          <cell r="O517" t="e">
            <v>#N/A</v>
          </cell>
          <cell r="P517">
            <v>62.69</v>
          </cell>
          <cell r="Q517">
            <v>1.5607</v>
          </cell>
          <cell r="R517" t="e">
            <v>#N/A</v>
          </cell>
        </row>
        <row r="518">
          <cell r="A518">
            <v>40219</v>
          </cell>
          <cell r="B518">
            <v>40219</v>
          </cell>
          <cell r="C518" t="str">
            <v>Past</v>
          </cell>
          <cell r="D518">
            <v>62.27</v>
          </cell>
          <cell r="E518" t="e">
            <v>#N/A</v>
          </cell>
          <cell r="F518" t="e">
            <v>#N/A</v>
          </cell>
          <cell r="G518" t="e">
            <v>#N/A</v>
          </cell>
          <cell r="H518" t="e">
            <v>#N/A</v>
          </cell>
          <cell r="I518" t="e">
            <v>#N/A</v>
          </cell>
          <cell r="J518" t="e">
            <v>#N/A</v>
          </cell>
          <cell r="K518" t="e">
            <v>#N/A</v>
          </cell>
          <cell r="L518" t="e">
            <v>#N/A</v>
          </cell>
          <cell r="M518" t="e">
            <v>#N/A</v>
          </cell>
          <cell r="N518" t="e">
            <v>#N/A</v>
          </cell>
          <cell r="O518" t="e">
            <v>#N/A</v>
          </cell>
          <cell r="P518">
            <v>62.27</v>
          </cell>
          <cell r="Q518">
            <v>0.93381399999999992</v>
          </cell>
          <cell r="R518" t="e">
            <v>#N/A</v>
          </cell>
        </row>
        <row r="519">
          <cell r="A519">
            <v>40220</v>
          </cell>
          <cell r="B519">
            <v>40220</v>
          </cell>
          <cell r="C519" t="str">
            <v>Past</v>
          </cell>
          <cell r="D519">
            <v>63.51</v>
          </cell>
          <cell r="E519" t="e">
            <v>#N/A</v>
          </cell>
          <cell r="F519" t="e">
            <v>#N/A</v>
          </cell>
          <cell r="G519" t="e">
            <v>#N/A</v>
          </cell>
          <cell r="H519" t="e">
            <v>#N/A</v>
          </cell>
          <cell r="I519" t="e">
            <v>#N/A</v>
          </cell>
          <cell r="J519" t="e">
            <v>#N/A</v>
          </cell>
          <cell r="K519" t="e">
            <v>#N/A</v>
          </cell>
          <cell r="L519" t="e">
            <v>#N/A</v>
          </cell>
          <cell r="M519" t="e">
            <v>#N/A</v>
          </cell>
          <cell r="N519" t="e">
            <v>#N/A</v>
          </cell>
          <cell r="O519" t="e">
            <v>#N/A</v>
          </cell>
          <cell r="P519">
            <v>63.51</v>
          </cell>
          <cell r="Q519">
            <v>1.0413509999999999</v>
          </cell>
          <cell r="R519" t="e">
            <v>#N/A</v>
          </cell>
        </row>
        <row r="520">
          <cell r="A520">
            <v>40221</v>
          </cell>
          <cell r="B520">
            <v>40221</v>
          </cell>
          <cell r="C520" t="str">
            <v>Past</v>
          </cell>
          <cell r="D520">
            <v>63.36</v>
          </cell>
          <cell r="E520" t="e">
            <v>#N/A</v>
          </cell>
          <cell r="F520" t="e">
            <v>#N/A</v>
          </cell>
          <cell r="G520" t="e">
            <v>#N/A</v>
          </cell>
          <cell r="H520" t="e">
            <v>#N/A</v>
          </cell>
          <cell r="I520" t="e">
            <v>#N/A</v>
          </cell>
          <cell r="J520" t="e">
            <v>#N/A</v>
          </cell>
          <cell r="K520" t="e">
            <v>#N/A</v>
          </cell>
          <cell r="L520" t="e">
            <v>#N/A</v>
          </cell>
          <cell r="M520" t="e">
            <v>#N/A</v>
          </cell>
          <cell r="N520" t="e">
            <v>#N/A</v>
          </cell>
          <cell r="O520" t="e">
            <v>#N/A</v>
          </cell>
          <cell r="P520">
            <v>63.36</v>
          </cell>
          <cell r="Q520">
            <v>0.76871000000000012</v>
          </cell>
          <cell r="R520" t="e">
            <v>#N/A</v>
          </cell>
        </row>
        <row r="521">
          <cell r="A521">
            <v>40225</v>
          </cell>
          <cell r="B521">
            <v>40225</v>
          </cell>
          <cell r="C521" t="str">
            <v>Past</v>
          </cell>
          <cell r="D521">
            <v>64.17</v>
          </cell>
          <cell r="E521" t="e">
            <v>#N/A</v>
          </cell>
          <cell r="F521" t="e">
            <v>#N/A</v>
          </cell>
          <cell r="G521" t="e">
            <v>#N/A</v>
          </cell>
          <cell r="H521" t="e">
            <v>#N/A</v>
          </cell>
          <cell r="I521" t="e">
            <v>#N/A</v>
          </cell>
          <cell r="J521" t="e">
            <v>#N/A</v>
          </cell>
          <cell r="K521" t="e">
            <v>#N/A</v>
          </cell>
          <cell r="L521" t="e">
            <v>#N/A</v>
          </cell>
          <cell r="M521" t="e">
            <v>#N/A</v>
          </cell>
          <cell r="N521" t="e">
            <v>#N/A</v>
          </cell>
          <cell r="O521" t="e">
            <v>#N/A</v>
          </cell>
          <cell r="P521">
            <v>64.17</v>
          </cell>
          <cell r="Q521">
            <v>2.0793879999999998</v>
          </cell>
          <cell r="R521" t="e">
            <v>#N/A</v>
          </cell>
        </row>
        <row r="522">
          <cell r="A522">
            <v>40226</v>
          </cell>
          <cell r="B522">
            <v>40226</v>
          </cell>
          <cell r="C522" t="str">
            <v>Past</v>
          </cell>
          <cell r="D522">
            <v>64.180000000000007</v>
          </cell>
          <cell r="E522" t="e">
            <v>#N/A</v>
          </cell>
          <cell r="F522" t="e">
            <v>#N/A</v>
          </cell>
          <cell r="G522" t="e">
            <v>#N/A</v>
          </cell>
          <cell r="H522" t="e">
            <v>#N/A</v>
          </cell>
          <cell r="I522" t="e">
            <v>#N/A</v>
          </cell>
          <cell r="J522" t="e">
            <v>#N/A</v>
          </cell>
          <cell r="K522" t="e">
            <v>#N/A</v>
          </cell>
          <cell r="L522" t="e">
            <v>#N/A</v>
          </cell>
          <cell r="M522" t="e">
            <v>#N/A</v>
          </cell>
          <cell r="N522" t="e">
            <v>#N/A</v>
          </cell>
          <cell r="O522" t="e">
            <v>#N/A</v>
          </cell>
          <cell r="P522">
            <v>64.180000000000007</v>
          </cell>
          <cell r="Q522">
            <v>1.303064</v>
          </cell>
          <cell r="R522" t="e">
            <v>#N/A</v>
          </cell>
        </row>
        <row r="523">
          <cell r="A523">
            <v>40227</v>
          </cell>
          <cell r="B523">
            <v>40227</v>
          </cell>
          <cell r="C523" t="str">
            <v>Past</v>
          </cell>
          <cell r="D523">
            <v>64.88</v>
          </cell>
          <cell r="E523" t="e">
            <v>#N/A</v>
          </cell>
          <cell r="F523" t="e">
            <v>#N/A</v>
          </cell>
          <cell r="G523" t="e">
            <v>#N/A</v>
          </cell>
          <cell r="H523" t="e">
            <v>#N/A</v>
          </cell>
          <cell r="I523" t="e">
            <v>#N/A</v>
          </cell>
          <cell r="J523" t="e">
            <v>#N/A</v>
          </cell>
          <cell r="K523" t="e">
            <v>#N/A</v>
          </cell>
          <cell r="L523" t="e">
            <v>#N/A</v>
          </cell>
          <cell r="M523" t="e">
            <v>#N/A</v>
          </cell>
          <cell r="N523" t="e">
            <v>#N/A</v>
          </cell>
          <cell r="O523" t="e">
            <v>#N/A</v>
          </cell>
          <cell r="P523">
            <v>64.88</v>
          </cell>
          <cell r="Q523">
            <v>0.95619199999999993</v>
          </cell>
          <cell r="R523" t="e">
            <v>#N/A</v>
          </cell>
        </row>
        <row r="524">
          <cell r="A524">
            <v>40228</v>
          </cell>
          <cell r="B524">
            <v>40228</v>
          </cell>
          <cell r="C524" t="str">
            <v>Past</v>
          </cell>
          <cell r="D524">
            <v>65.239999999999995</v>
          </cell>
          <cell r="E524" t="e">
            <v>#N/A</v>
          </cell>
          <cell r="F524" t="e">
            <v>#N/A</v>
          </cell>
          <cell r="G524" t="e">
            <v>#N/A</v>
          </cell>
          <cell r="H524" t="e">
            <v>#N/A</v>
          </cell>
          <cell r="I524" t="e">
            <v>#N/A</v>
          </cell>
          <cell r="J524" t="e">
            <v>#N/A</v>
          </cell>
          <cell r="K524" t="e">
            <v>#N/A</v>
          </cell>
          <cell r="L524" t="e">
            <v>#N/A</v>
          </cell>
          <cell r="M524" t="e">
            <v>#N/A</v>
          </cell>
          <cell r="N524" t="e">
            <v>#N/A</v>
          </cell>
          <cell r="O524" t="e">
            <v>#N/A</v>
          </cell>
          <cell r="P524">
            <v>65.239999999999995</v>
          </cell>
          <cell r="Q524">
            <v>1.2444</v>
          </cell>
          <cell r="R524" t="e">
            <v>#N/A</v>
          </cell>
        </row>
        <row r="525">
          <cell r="A525">
            <v>40231</v>
          </cell>
          <cell r="B525">
            <v>40231</v>
          </cell>
          <cell r="C525" t="str">
            <v>Past</v>
          </cell>
          <cell r="D525">
            <v>65</v>
          </cell>
          <cell r="E525" t="e">
            <v>#N/A</v>
          </cell>
          <cell r="F525" t="e">
            <v>#N/A</v>
          </cell>
          <cell r="G525" t="e">
            <v>#N/A</v>
          </cell>
          <cell r="H525" t="e">
            <v>#N/A</v>
          </cell>
          <cell r="I525" t="e">
            <v>#N/A</v>
          </cell>
          <cell r="J525" t="e">
            <v>#N/A</v>
          </cell>
          <cell r="K525" t="e">
            <v>#N/A</v>
          </cell>
          <cell r="L525" t="e">
            <v>#N/A</v>
          </cell>
          <cell r="M525" t="e">
            <v>#N/A</v>
          </cell>
          <cell r="N525" t="e">
            <v>#N/A</v>
          </cell>
          <cell r="O525" t="e">
            <v>#N/A</v>
          </cell>
          <cell r="P525">
            <v>65</v>
          </cell>
          <cell r="Q525">
            <v>0.79830599999999996</v>
          </cell>
          <cell r="R525" t="e">
            <v>#N/A</v>
          </cell>
        </row>
        <row r="526">
          <cell r="A526">
            <v>40232</v>
          </cell>
          <cell r="B526">
            <v>40232</v>
          </cell>
          <cell r="C526" t="str">
            <v>Past</v>
          </cell>
          <cell r="D526">
            <v>64.2</v>
          </cell>
          <cell r="E526" t="e">
            <v>#N/A</v>
          </cell>
          <cell r="F526" t="e">
            <v>#N/A</v>
          </cell>
          <cell r="G526" t="e">
            <v>#N/A</v>
          </cell>
          <cell r="H526" t="e">
            <v>#N/A</v>
          </cell>
          <cell r="I526" t="e">
            <v>#N/A</v>
          </cell>
          <cell r="J526" t="e">
            <v>#N/A</v>
          </cell>
          <cell r="K526" t="e">
            <v>#N/A</v>
          </cell>
          <cell r="L526" t="e">
            <v>#N/A</v>
          </cell>
          <cell r="M526" t="e">
            <v>#N/A</v>
          </cell>
          <cell r="N526" t="e">
            <v>#N/A</v>
          </cell>
          <cell r="O526" t="e">
            <v>#N/A</v>
          </cell>
          <cell r="P526">
            <v>64.2</v>
          </cell>
          <cell r="Q526">
            <v>1.4157609999999998</v>
          </cell>
          <cell r="R526" t="e">
            <v>#N/A</v>
          </cell>
        </row>
        <row r="527">
          <cell r="A527">
            <v>40233</v>
          </cell>
          <cell r="B527">
            <v>40233</v>
          </cell>
          <cell r="C527" t="str">
            <v>Past</v>
          </cell>
          <cell r="D527">
            <v>64.900000000000006</v>
          </cell>
          <cell r="E527" t="e">
            <v>#N/A</v>
          </cell>
          <cell r="F527" t="e">
            <v>#N/A</v>
          </cell>
          <cell r="G527" t="e">
            <v>#N/A</v>
          </cell>
          <cell r="H527" t="e">
            <v>#N/A</v>
          </cell>
          <cell r="I527" t="e">
            <v>#N/A</v>
          </cell>
          <cell r="J527" t="e">
            <v>#N/A</v>
          </cell>
          <cell r="K527" t="e">
            <v>#N/A</v>
          </cell>
          <cell r="L527" t="e">
            <v>#N/A</v>
          </cell>
          <cell r="M527" t="e">
            <v>#N/A</v>
          </cell>
          <cell r="N527" t="e">
            <v>#N/A</v>
          </cell>
          <cell r="O527" t="e">
            <v>#N/A</v>
          </cell>
          <cell r="P527">
            <v>64.900000000000006</v>
          </cell>
          <cell r="Q527">
            <v>1.410061</v>
          </cell>
          <cell r="R527" t="e">
            <v>#N/A</v>
          </cell>
        </row>
        <row r="528">
          <cell r="A528">
            <v>40234</v>
          </cell>
          <cell r="B528">
            <v>40234</v>
          </cell>
          <cell r="C528" t="str">
            <v>Past</v>
          </cell>
          <cell r="D528">
            <v>64.8</v>
          </cell>
          <cell r="E528" t="e">
            <v>#N/A</v>
          </cell>
          <cell r="F528" t="e">
            <v>#N/A</v>
          </cell>
          <cell r="G528" t="e">
            <v>#N/A</v>
          </cell>
          <cell r="H528" t="e">
            <v>#N/A</v>
          </cell>
          <cell r="I528" t="e">
            <v>#N/A</v>
          </cell>
          <cell r="J528" t="e">
            <v>#N/A</v>
          </cell>
          <cell r="K528" t="e">
            <v>#N/A</v>
          </cell>
          <cell r="L528" t="e">
            <v>#N/A</v>
          </cell>
          <cell r="M528" t="e">
            <v>#N/A</v>
          </cell>
          <cell r="N528" t="e">
            <v>#N/A</v>
          </cell>
          <cell r="O528" t="e">
            <v>#N/A</v>
          </cell>
          <cell r="P528">
            <v>64.8</v>
          </cell>
          <cell r="Q528">
            <v>1.514103</v>
          </cell>
          <cell r="R528" t="e">
            <v>#N/A</v>
          </cell>
        </row>
        <row r="529">
          <cell r="A529">
            <v>40235</v>
          </cell>
          <cell r="B529">
            <v>40235</v>
          </cell>
          <cell r="C529" t="str">
            <v>Past</v>
          </cell>
          <cell r="D529">
            <v>65.63</v>
          </cell>
          <cell r="E529" t="e">
            <v>#N/A</v>
          </cell>
          <cell r="F529" t="e">
            <v>#N/A</v>
          </cell>
          <cell r="G529" t="e">
            <v>#N/A</v>
          </cell>
          <cell r="H529" t="e">
            <v>#N/A</v>
          </cell>
          <cell r="I529" t="e">
            <v>#N/A</v>
          </cell>
          <cell r="J529" t="e">
            <v>#N/A</v>
          </cell>
          <cell r="K529" t="e">
            <v>#N/A</v>
          </cell>
          <cell r="L529" t="e">
            <v>#N/A</v>
          </cell>
          <cell r="M529" t="e">
            <v>#N/A</v>
          </cell>
          <cell r="N529" t="e">
            <v>#N/A</v>
          </cell>
          <cell r="O529" t="e">
            <v>#N/A</v>
          </cell>
          <cell r="P529">
            <v>65.63</v>
          </cell>
          <cell r="Q529">
            <v>1.6516359999999999</v>
          </cell>
          <cell r="R529" t="e">
            <v>#N/A</v>
          </cell>
        </row>
        <row r="530">
          <cell r="A530">
            <v>40238</v>
          </cell>
          <cell r="B530">
            <v>40238</v>
          </cell>
          <cell r="C530" t="str">
            <v>Past</v>
          </cell>
          <cell r="D530">
            <v>67.25</v>
          </cell>
          <cell r="E530" t="e">
            <v>#N/A</v>
          </cell>
          <cell r="F530" t="e">
            <v>#N/A</v>
          </cell>
          <cell r="G530" t="e">
            <v>#N/A</v>
          </cell>
          <cell r="H530" t="e">
            <v>#N/A</v>
          </cell>
          <cell r="I530" t="e">
            <v>#N/A</v>
          </cell>
          <cell r="J530" t="e">
            <v>#N/A</v>
          </cell>
          <cell r="K530" t="e">
            <v>#N/A</v>
          </cell>
          <cell r="L530" t="e">
            <v>#N/A</v>
          </cell>
          <cell r="M530" t="e">
            <v>#N/A</v>
          </cell>
          <cell r="N530" t="e">
            <v>#N/A</v>
          </cell>
          <cell r="O530" t="e">
            <v>#N/A</v>
          </cell>
          <cell r="P530">
            <v>67.25</v>
          </cell>
          <cell r="Q530">
            <v>1.8971829999999998</v>
          </cell>
          <cell r="R530" t="e">
            <v>#N/A</v>
          </cell>
        </row>
        <row r="531">
          <cell r="A531">
            <v>40239</v>
          </cell>
          <cell r="B531">
            <v>40239</v>
          </cell>
          <cell r="C531" t="str">
            <v>Past</v>
          </cell>
          <cell r="D531">
            <v>67.790000000000006</v>
          </cell>
          <cell r="E531" t="e">
            <v>#N/A</v>
          </cell>
          <cell r="F531" t="e">
            <v>#N/A</v>
          </cell>
          <cell r="G531" t="e">
            <v>#N/A</v>
          </cell>
          <cell r="H531" t="e">
            <v>#N/A</v>
          </cell>
          <cell r="I531" t="e">
            <v>#N/A</v>
          </cell>
          <cell r="J531" t="e">
            <v>#N/A</v>
          </cell>
          <cell r="K531" t="e">
            <v>#N/A</v>
          </cell>
          <cell r="L531" t="e">
            <v>#N/A</v>
          </cell>
          <cell r="M531" t="e">
            <v>#N/A</v>
          </cell>
          <cell r="N531" t="e">
            <v>#N/A</v>
          </cell>
          <cell r="O531" t="e">
            <v>#N/A</v>
          </cell>
          <cell r="P531">
            <v>67.790000000000006</v>
          </cell>
          <cell r="Q531">
            <v>2.1222759999999998</v>
          </cell>
          <cell r="R531" t="e">
            <v>#N/A</v>
          </cell>
        </row>
        <row r="532">
          <cell r="A532">
            <v>40240</v>
          </cell>
          <cell r="B532">
            <v>40240</v>
          </cell>
          <cell r="C532" t="str">
            <v>Past</v>
          </cell>
          <cell r="D532">
            <v>67.680000000000007</v>
          </cell>
          <cell r="E532" t="e">
            <v>#N/A</v>
          </cell>
          <cell r="F532" t="e">
            <v>#N/A</v>
          </cell>
          <cell r="G532" t="e">
            <v>#N/A</v>
          </cell>
          <cell r="H532" t="e">
            <v>#N/A</v>
          </cell>
          <cell r="I532" t="e">
            <v>#N/A</v>
          </cell>
          <cell r="J532" t="e">
            <v>#N/A</v>
          </cell>
          <cell r="K532" t="e">
            <v>#N/A</v>
          </cell>
          <cell r="L532" t="e">
            <v>#N/A</v>
          </cell>
          <cell r="M532" t="e">
            <v>#N/A</v>
          </cell>
          <cell r="N532" t="e">
            <v>#N/A</v>
          </cell>
          <cell r="O532" t="e">
            <v>#N/A</v>
          </cell>
          <cell r="P532">
            <v>67.680000000000007</v>
          </cell>
          <cell r="Q532">
            <v>1.5122200000000001</v>
          </cell>
          <cell r="R532" t="e">
            <v>#N/A</v>
          </cell>
        </row>
        <row r="533">
          <cell r="A533">
            <v>40241</v>
          </cell>
          <cell r="B533">
            <v>40241</v>
          </cell>
          <cell r="C533" t="str">
            <v>Past</v>
          </cell>
          <cell r="D533">
            <v>69.040000000000006</v>
          </cell>
          <cell r="E533" t="e">
            <v>#N/A</v>
          </cell>
          <cell r="F533" t="e">
            <v>#N/A</v>
          </cell>
          <cell r="G533" t="e">
            <v>#N/A</v>
          </cell>
          <cell r="H533" t="e">
            <v>#N/A</v>
          </cell>
          <cell r="I533" t="e">
            <v>#N/A</v>
          </cell>
          <cell r="J533" t="e">
            <v>#N/A</v>
          </cell>
          <cell r="K533" t="e">
            <v>#N/A</v>
          </cell>
          <cell r="L533" t="e">
            <v>#N/A</v>
          </cell>
          <cell r="M533" t="e">
            <v>#N/A</v>
          </cell>
          <cell r="N533" t="e">
            <v>#N/A</v>
          </cell>
          <cell r="O533" t="e">
            <v>#N/A</v>
          </cell>
          <cell r="P533">
            <v>69.040000000000006</v>
          </cell>
          <cell r="Q533">
            <v>1.9760439999999999</v>
          </cell>
          <cell r="R533" t="e">
            <v>#N/A</v>
          </cell>
        </row>
        <row r="534">
          <cell r="A534">
            <v>40242</v>
          </cell>
          <cell r="B534">
            <v>40242</v>
          </cell>
          <cell r="C534" t="str">
            <v>Past</v>
          </cell>
          <cell r="D534">
            <v>69.69</v>
          </cell>
          <cell r="E534" t="e">
            <v>#N/A</v>
          </cell>
          <cell r="F534" t="e">
            <v>#N/A</v>
          </cell>
          <cell r="G534" t="e">
            <v>#N/A</v>
          </cell>
          <cell r="H534" t="e">
            <v>#N/A</v>
          </cell>
          <cell r="I534" t="e">
            <v>#N/A</v>
          </cell>
          <cell r="J534" t="e">
            <v>#N/A</v>
          </cell>
          <cell r="K534" t="e">
            <v>#N/A</v>
          </cell>
          <cell r="L534" t="e">
            <v>#N/A</v>
          </cell>
          <cell r="M534" t="e">
            <v>#N/A</v>
          </cell>
          <cell r="N534" t="e">
            <v>#N/A</v>
          </cell>
          <cell r="O534" t="e">
            <v>#N/A</v>
          </cell>
          <cell r="P534">
            <v>69.69</v>
          </cell>
          <cell r="Q534">
            <v>2.481897</v>
          </cell>
          <cell r="R534" t="e">
            <v>#N/A</v>
          </cell>
        </row>
        <row r="535">
          <cell r="A535">
            <v>40245</v>
          </cell>
          <cell r="B535">
            <v>40245</v>
          </cell>
          <cell r="C535" t="str">
            <v>Past</v>
          </cell>
          <cell r="D535">
            <v>68.739999999999995</v>
          </cell>
          <cell r="E535" t="e">
            <v>#N/A</v>
          </cell>
          <cell r="F535" t="e">
            <v>#N/A</v>
          </cell>
          <cell r="G535" t="e">
            <v>#N/A</v>
          </cell>
          <cell r="H535" t="e">
            <v>#N/A</v>
          </cell>
          <cell r="I535" t="e">
            <v>#N/A</v>
          </cell>
          <cell r="J535" t="e">
            <v>#N/A</v>
          </cell>
          <cell r="K535" t="e">
            <v>#N/A</v>
          </cell>
          <cell r="L535" t="e">
            <v>#N/A</v>
          </cell>
          <cell r="M535" t="e">
            <v>#N/A</v>
          </cell>
          <cell r="N535" t="e">
            <v>#N/A</v>
          </cell>
          <cell r="O535" t="e">
            <v>#N/A</v>
          </cell>
          <cell r="P535">
            <v>68.739999999999995</v>
          </cell>
          <cell r="Q535">
            <v>1.3382639999999999</v>
          </cell>
          <cell r="R535" t="e">
            <v>#N/A</v>
          </cell>
        </row>
        <row r="536">
          <cell r="A536">
            <v>40246</v>
          </cell>
          <cell r="B536">
            <v>40246</v>
          </cell>
          <cell r="C536" t="str">
            <v>Past</v>
          </cell>
          <cell r="D536">
            <v>69.72</v>
          </cell>
          <cell r="E536" t="e">
            <v>#N/A</v>
          </cell>
          <cell r="F536" t="e">
            <v>#N/A</v>
          </cell>
          <cell r="G536" t="e">
            <v>#N/A</v>
          </cell>
          <cell r="H536" t="e">
            <v>#N/A</v>
          </cell>
          <cell r="I536" t="e">
            <v>#N/A</v>
          </cell>
          <cell r="J536" t="e">
            <v>#N/A</v>
          </cell>
          <cell r="K536" t="e">
            <v>#N/A</v>
          </cell>
          <cell r="L536" t="e">
            <v>#N/A</v>
          </cell>
          <cell r="M536" t="e">
            <v>#N/A</v>
          </cell>
          <cell r="N536" t="e">
            <v>#N/A</v>
          </cell>
          <cell r="O536" t="e">
            <v>#N/A</v>
          </cell>
          <cell r="P536">
            <v>69.72</v>
          </cell>
          <cell r="Q536">
            <v>1.6253469999999999</v>
          </cell>
          <cell r="R536" t="e">
            <v>#N/A</v>
          </cell>
        </row>
        <row r="537">
          <cell r="A537">
            <v>40247</v>
          </cell>
          <cell r="B537">
            <v>40247</v>
          </cell>
          <cell r="C537" t="str">
            <v>Past</v>
          </cell>
          <cell r="D537">
            <v>71.2</v>
          </cell>
          <cell r="E537" t="e">
            <v>#N/A</v>
          </cell>
          <cell r="F537" t="e">
            <v>#N/A</v>
          </cell>
          <cell r="G537" t="e">
            <v>#N/A</v>
          </cell>
          <cell r="H537" t="e">
            <v>#N/A</v>
          </cell>
          <cell r="I537" t="e">
            <v>#N/A</v>
          </cell>
          <cell r="J537" t="e">
            <v>#N/A</v>
          </cell>
          <cell r="K537" t="e">
            <v>#N/A</v>
          </cell>
          <cell r="L537" t="e">
            <v>#N/A</v>
          </cell>
          <cell r="M537" t="e">
            <v>#N/A</v>
          </cell>
          <cell r="N537" t="e">
            <v>#N/A</v>
          </cell>
          <cell r="O537" t="e">
            <v>#N/A</v>
          </cell>
          <cell r="P537">
            <v>71.2</v>
          </cell>
          <cell r="Q537">
            <v>1.8022119999999999</v>
          </cell>
          <cell r="R537" t="e">
            <v>#N/A</v>
          </cell>
        </row>
        <row r="538">
          <cell r="A538">
            <v>40248</v>
          </cell>
          <cell r="B538">
            <v>40248</v>
          </cell>
          <cell r="C538" t="str">
            <v>Past</v>
          </cell>
          <cell r="D538">
            <v>72.650000000000006</v>
          </cell>
          <cell r="E538" t="e">
            <v>#N/A</v>
          </cell>
          <cell r="F538" t="e">
            <v>#N/A</v>
          </cell>
          <cell r="G538" t="e">
            <v>#N/A</v>
          </cell>
          <cell r="H538" t="e">
            <v>#N/A</v>
          </cell>
          <cell r="I538" t="e">
            <v>#N/A</v>
          </cell>
          <cell r="J538" t="e">
            <v>#N/A</v>
          </cell>
          <cell r="K538" t="e">
            <v>#N/A</v>
          </cell>
          <cell r="L538" t="e">
            <v>#N/A</v>
          </cell>
          <cell r="M538" t="e">
            <v>#N/A</v>
          </cell>
          <cell r="N538" t="e">
            <v>#N/A</v>
          </cell>
          <cell r="O538" t="e">
            <v>#N/A</v>
          </cell>
          <cell r="P538">
            <v>72.650000000000006</v>
          </cell>
          <cell r="Q538">
            <v>2.1373630000000001</v>
          </cell>
          <cell r="R538" t="e">
            <v>#N/A</v>
          </cell>
        </row>
        <row r="539">
          <cell r="A539">
            <v>40249</v>
          </cell>
          <cell r="B539">
            <v>40249</v>
          </cell>
          <cell r="C539" t="str">
            <v>Past</v>
          </cell>
          <cell r="D539">
            <v>72</v>
          </cell>
          <cell r="E539" t="e">
            <v>#N/A</v>
          </cell>
          <cell r="F539" t="e">
            <v>#N/A</v>
          </cell>
          <cell r="G539" t="e">
            <v>#N/A</v>
          </cell>
          <cell r="H539" t="e">
            <v>#N/A</v>
          </cell>
          <cell r="I539" t="e">
            <v>#N/A</v>
          </cell>
          <cell r="J539" t="e">
            <v>#N/A</v>
          </cell>
          <cell r="K539" t="e">
            <v>#N/A</v>
          </cell>
          <cell r="L539" t="e">
            <v>#N/A</v>
          </cell>
          <cell r="M539" t="e">
            <v>#N/A</v>
          </cell>
          <cell r="N539" t="e">
            <v>#N/A</v>
          </cell>
          <cell r="O539" t="e">
            <v>#N/A</v>
          </cell>
          <cell r="P539">
            <v>72</v>
          </cell>
          <cell r="Q539">
            <v>1.1227659999999999</v>
          </cell>
          <cell r="R539" t="e">
            <v>#N/A</v>
          </cell>
        </row>
        <row r="540">
          <cell r="A540">
            <v>40252</v>
          </cell>
          <cell r="B540">
            <v>40252</v>
          </cell>
          <cell r="C540" t="str">
            <v>Past</v>
          </cell>
          <cell r="D540">
            <v>71.650000000000006</v>
          </cell>
          <cell r="E540" t="e">
            <v>#N/A</v>
          </cell>
          <cell r="F540" t="e">
            <v>#N/A</v>
          </cell>
          <cell r="G540" t="e">
            <v>#N/A</v>
          </cell>
          <cell r="H540" t="e">
            <v>#N/A</v>
          </cell>
          <cell r="I540" t="e">
            <v>#N/A</v>
          </cell>
          <cell r="J540" t="e">
            <v>#N/A</v>
          </cell>
          <cell r="K540" t="e">
            <v>#N/A</v>
          </cell>
          <cell r="L540" t="e">
            <v>#N/A</v>
          </cell>
          <cell r="M540" t="e">
            <v>#N/A</v>
          </cell>
          <cell r="N540" t="e">
            <v>#N/A</v>
          </cell>
          <cell r="O540" t="e">
            <v>#N/A</v>
          </cell>
          <cell r="P540">
            <v>71.650000000000006</v>
          </cell>
          <cell r="Q540">
            <v>0.88502899999999995</v>
          </cell>
          <cell r="R540" t="e">
            <v>#N/A</v>
          </cell>
        </row>
        <row r="541">
          <cell r="A541">
            <v>40253</v>
          </cell>
          <cell r="B541">
            <v>40253</v>
          </cell>
          <cell r="C541" t="str">
            <v>Past</v>
          </cell>
          <cell r="D541">
            <v>72.03</v>
          </cell>
          <cell r="E541" t="e">
            <v>#N/A</v>
          </cell>
          <cell r="F541" t="e">
            <v>#N/A</v>
          </cell>
          <cell r="G541" t="e">
            <v>#N/A</v>
          </cell>
          <cell r="H541" t="e">
            <v>#N/A</v>
          </cell>
          <cell r="I541" t="e">
            <v>#N/A</v>
          </cell>
          <cell r="J541" t="e">
            <v>#N/A</v>
          </cell>
          <cell r="K541" t="e">
            <v>#N/A</v>
          </cell>
          <cell r="L541" t="e">
            <v>#N/A</v>
          </cell>
          <cell r="M541" t="e">
            <v>#N/A</v>
          </cell>
          <cell r="N541" t="e">
            <v>#N/A</v>
          </cell>
          <cell r="O541" t="e">
            <v>#N/A</v>
          </cell>
          <cell r="P541">
            <v>72.03</v>
          </cell>
          <cell r="Q541">
            <v>1.762262</v>
          </cell>
          <cell r="R541" t="e">
            <v>#N/A</v>
          </cell>
        </row>
        <row r="542">
          <cell r="A542">
            <v>40254</v>
          </cell>
          <cell r="B542">
            <v>40254</v>
          </cell>
          <cell r="C542" t="str">
            <v>Past</v>
          </cell>
          <cell r="D542">
            <v>71.489999999999995</v>
          </cell>
          <cell r="E542" t="e">
            <v>#N/A</v>
          </cell>
          <cell r="F542" t="e">
            <v>#N/A</v>
          </cell>
          <cell r="G542" t="e">
            <v>#N/A</v>
          </cell>
          <cell r="H542" t="e">
            <v>#N/A</v>
          </cell>
          <cell r="I542" t="e">
            <v>#N/A</v>
          </cell>
          <cell r="J542" t="e">
            <v>#N/A</v>
          </cell>
          <cell r="K542" t="e">
            <v>#N/A</v>
          </cell>
          <cell r="L542" t="e">
            <v>#N/A</v>
          </cell>
          <cell r="M542" t="e">
            <v>#N/A</v>
          </cell>
          <cell r="N542" t="e">
            <v>#N/A</v>
          </cell>
          <cell r="O542" t="e">
            <v>#N/A</v>
          </cell>
          <cell r="P542">
            <v>71.489999999999995</v>
          </cell>
          <cell r="Q542">
            <v>1.8962509999999999</v>
          </cell>
          <cell r="R542" t="e">
            <v>#N/A</v>
          </cell>
        </row>
        <row r="543">
          <cell r="A543">
            <v>40255</v>
          </cell>
          <cell r="B543">
            <v>40255</v>
          </cell>
          <cell r="C543" t="str">
            <v>Past</v>
          </cell>
          <cell r="D543">
            <v>70.23</v>
          </cell>
          <cell r="E543" t="e">
            <v>#N/A</v>
          </cell>
          <cell r="F543" t="e">
            <v>#N/A</v>
          </cell>
          <cell r="G543" t="e">
            <v>#N/A</v>
          </cell>
          <cell r="H543" t="e">
            <v>#N/A</v>
          </cell>
          <cell r="I543" t="e">
            <v>#N/A</v>
          </cell>
          <cell r="J543" t="e">
            <v>#N/A</v>
          </cell>
          <cell r="K543" t="e">
            <v>#N/A</v>
          </cell>
          <cell r="L543" t="e">
            <v>#N/A</v>
          </cell>
          <cell r="M543" t="e">
            <v>#N/A</v>
          </cell>
          <cell r="N543" t="e">
            <v>#N/A</v>
          </cell>
          <cell r="O543" t="e">
            <v>#N/A</v>
          </cell>
          <cell r="P543">
            <v>70.23</v>
          </cell>
          <cell r="Q543">
            <v>3.3027200000000003</v>
          </cell>
          <cell r="R543" t="e">
            <v>#N/A</v>
          </cell>
        </row>
        <row r="544">
          <cell r="A544">
            <v>40256</v>
          </cell>
          <cell r="B544">
            <v>40256</v>
          </cell>
          <cell r="C544" t="str">
            <v>Past</v>
          </cell>
          <cell r="D544">
            <v>71.41</v>
          </cell>
          <cell r="E544" t="e">
            <v>#N/A</v>
          </cell>
          <cell r="F544" t="e">
            <v>#N/A</v>
          </cell>
          <cell r="G544" t="e">
            <v>#N/A</v>
          </cell>
          <cell r="H544" t="e">
            <v>#N/A</v>
          </cell>
          <cell r="I544" t="e">
            <v>#N/A</v>
          </cell>
          <cell r="J544" t="e">
            <v>#N/A</v>
          </cell>
          <cell r="K544" t="e">
            <v>#N/A</v>
          </cell>
          <cell r="L544" t="e">
            <v>#N/A</v>
          </cell>
          <cell r="M544" t="e">
            <v>#N/A</v>
          </cell>
          <cell r="N544" t="e">
            <v>#N/A</v>
          </cell>
          <cell r="O544" t="e">
            <v>#N/A</v>
          </cell>
          <cell r="P544">
            <v>71.41</v>
          </cell>
          <cell r="Q544">
            <v>3.7041779999999997</v>
          </cell>
          <cell r="R544" t="e">
            <v>#N/A</v>
          </cell>
        </row>
        <row r="545">
          <cell r="A545">
            <v>40259</v>
          </cell>
          <cell r="B545">
            <v>40259</v>
          </cell>
          <cell r="C545" t="str">
            <v>Past</v>
          </cell>
          <cell r="D545">
            <v>71.459999999999994</v>
          </cell>
          <cell r="E545" t="e">
            <v>#N/A</v>
          </cell>
          <cell r="F545" t="e">
            <v>#N/A</v>
          </cell>
          <cell r="G545" t="e">
            <v>#N/A</v>
          </cell>
          <cell r="H545" t="e">
            <v>#N/A</v>
          </cell>
          <cell r="I545" t="e">
            <v>#N/A</v>
          </cell>
          <cell r="J545" t="e">
            <v>#N/A</v>
          </cell>
          <cell r="K545" t="e">
            <v>#N/A</v>
          </cell>
          <cell r="L545" t="e">
            <v>#N/A</v>
          </cell>
          <cell r="M545" t="e">
            <v>#N/A</v>
          </cell>
          <cell r="N545" t="e">
            <v>#N/A</v>
          </cell>
          <cell r="O545" t="e">
            <v>#N/A</v>
          </cell>
          <cell r="P545">
            <v>71.459999999999994</v>
          </cell>
          <cell r="Q545">
            <v>1.5193179999999999</v>
          </cell>
          <cell r="R545" t="e">
            <v>#N/A</v>
          </cell>
        </row>
        <row r="546">
          <cell r="A546">
            <v>40260</v>
          </cell>
          <cell r="B546">
            <v>40260</v>
          </cell>
          <cell r="C546" t="str">
            <v>Past</v>
          </cell>
          <cell r="D546">
            <v>71.52</v>
          </cell>
          <cell r="E546" t="e">
            <v>#N/A</v>
          </cell>
          <cell r="F546" t="e">
            <v>#N/A</v>
          </cell>
          <cell r="G546" t="e">
            <v>#N/A</v>
          </cell>
          <cell r="H546" t="e">
            <v>#N/A</v>
          </cell>
          <cell r="I546" t="e">
            <v>#N/A</v>
          </cell>
          <cell r="J546" t="e">
            <v>#N/A</v>
          </cell>
          <cell r="K546" t="e">
            <v>#N/A</v>
          </cell>
          <cell r="L546" t="e">
            <v>#N/A</v>
          </cell>
          <cell r="M546" t="e">
            <v>#N/A</v>
          </cell>
          <cell r="N546" t="e">
            <v>#N/A</v>
          </cell>
          <cell r="O546" t="e">
            <v>#N/A</v>
          </cell>
          <cell r="P546">
            <v>71.52</v>
          </cell>
          <cell r="Q546">
            <v>1.4071600000000002</v>
          </cell>
          <cell r="R546" t="e">
            <v>#N/A</v>
          </cell>
        </row>
        <row r="547">
          <cell r="A547">
            <v>40261</v>
          </cell>
          <cell r="B547">
            <v>40261</v>
          </cell>
          <cell r="C547" t="str">
            <v>Past</v>
          </cell>
          <cell r="D547">
            <v>70.849999999999994</v>
          </cell>
          <cell r="E547" t="e">
            <v>#N/A</v>
          </cell>
          <cell r="F547" t="e">
            <v>#N/A</v>
          </cell>
          <cell r="G547" t="e">
            <v>#N/A</v>
          </cell>
          <cell r="H547" t="e">
            <v>#N/A</v>
          </cell>
          <cell r="I547" t="e">
            <v>#N/A</v>
          </cell>
          <cell r="J547" t="e">
            <v>#N/A</v>
          </cell>
          <cell r="K547" t="e">
            <v>#N/A</v>
          </cell>
          <cell r="L547" t="e">
            <v>#N/A</v>
          </cell>
          <cell r="M547" t="e">
            <v>#N/A</v>
          </cell>
          <cell r="N547" t="e">
            <v>#N/A</v>
          </cell>
          <cell r="O547" t="e">
            <v>#N/A</v>
          </cell>
          <cell r="P547">
            <v>70.849999999999994</v>
          </cell>
          <cell r="Q547">
            <v>1.1509389999999999</v>
          </cell>
          <cell r="R547" t="e">
            <v>#N/A</v>
          </cell>
        </row>
        <row r="548">
          <cell r="A548">
            <v>40262</v>
          </cell>
          <cell r="B548">
            <v>40262</v>
          </cell>
          <cell r="C548" t="str">
            <v>Past</v>
          </cell>
          <cell r="D548">
            <v>70.88</v>
          </cell>
          <cell r="E548" t="e">
            <v>#N/A</v>
          </cell>
          <cell r="F548" t="e">
            <v>#N/A</v>
          </cell>
          <cell r="G548" t="e">
            <v>#N/A</v>
          </cell>
          <cell r="H548" t="e">
            <v>#N/A</v>
          </cell>
          <cell r="I548" t="e">
            <v>#N/A</v>
          </cell>
          <cell r="J548" t="e">
            <v>#N/A</v>
          </cell>
          <cell r="K548" t="e">
            <v>#N/A</v>
          </cell>
          <cell r="L548" t="e">
            <v>#N/A</v>
          </cell>
          <cell r="M548" t="e">
            <v>#N/A</v>
          </cell>
          <cell r="N548" t="e">
            <v>#N/A</v>
          </cell>
          <cell r="O548" t="e">
            <v>#N/A</v>
          </cell>
          <cell r="P548">
            <v>70.88</v>
          </cell>
          <cell r="Q548">
            <v>1.4198189999999999</v>
          </cell>
          <cell r="R548" t="e">
            <v>#N/A</v>
          </cell>
        </row>
        <row r="549">
          <cell r="A549">
            <v>40263</v>
          </cell>
          <cell r="B549">
            <v>40263</v>
          </cell>
          <cell r="C549" t="str">
            <v>Past</v>
          </cell>
          <cell r="D549">
            <v>71.010000000000005</v>
          </cell>
          <cell r="E549" t="e">
            <v>#N/A</v>
          </cell>
          <cell r="F549" t="e">
            <v>#N/A</v>
          </cell>
          <cell r="G549" t="e">
            <v>#N/A</v>
          </cell>
          <cell r="H549" t="e">
            <v>#N/A</v>
          </cell>
          <cell r="I549" t="e">
            <v>#N/A</v>
          </cell>
          <cell r="J549" t="e">
            <v>#N/A</v>
          </cell>
          <cell r="K549" t="e">
            <v>#N/A</v>
          </cell>
          <cell r="L549" t="e">
            <v>#N/A</v>
          </cell>
          <cell r="M549" t="e">
            <v>#N/A</v>
          </cell>
          <cell r="N549" t="e">
            <v>#N/A</v>
          </cell>
          <cell r="O549" t="e">
            <v>#N/A</v>
          </cell>
          <cell r="P549">
            <v>71.010000000000005</v>
          </cell>
          <cell r="Q549">
            <v>1.694269</v>
          </cell>
          <cell r="R549" t="e">
            <v>#N/A</v>
          </cell>
        </row>
        <row r="550">
          <cell r="A550">
            <v>40266</v>
          </cell>
          <cell r="B550">
            <v>40266</v>
          </cell>
          <cell r="C550" t="str">
            <v>Past</v>
          </cell>
          <cell r="D550">
            <v>71.05</v>
          </cell>
          <cell r="E550" t="e">
            <v>#N/A</v>
          </cell>
          <cell r="F550" t="e">
            <v>#N/A</v>
          </cell>
          <cell r="G550" t="e">
            <v>#N/A</v>
          </cell>
          <cell r="H550" t="e">
            <v>#N/A</v>
          </cell>
          <cell r="I550" t="e">
            <v>#N/A</v>
          </cell>
          <cell r="J550" t="e">
            <v>#N/A</v>
          </cell>
          <cell r="K550" t="e">
            <v>#N/A</v>
          </cell>
          <cell r="L550" t="e">
            <v>#N/A</v>
          </cell>
          <cell r="M550" t="e">
            <v>#N/A</v>
          </cell>
          <cell r="N550" t="e">
            <v>#N/A</v>
          </cell>
          <cell r="O550" t="e">
            <v>#N/A</v>
          </cell>
          <cell r="P550">
            <v>71.05</v>
          </cell>
          <cell r="Q550">
            <v>1.2252369999999999</v>
          </cell>
          <cell r="R550" t="e">
            <v>#N/A</v>
          </cell>
        </row>
        <row r="551">
          <cell r="A551">
            <v>40267</v>
          </cell>
          <cell r="B551">
            <v>40267</v>
          </cell>
          <cell r="C551" t="str">
            <v>Past</v>
          </cell>
          <cell r="D551">
            <v>71.540000000000006</v>
          </cell>
          <cell r="E551" t="e">
            <v>#N/A</v>
          </cell>
          <cell r="F551" t="e">
            <v>#N/A</v>
          </cell>
          <cell r="G551" t="e">
            <v>#N/A</v>
          </cell>
          <cell r="H551" t="e">
            <v>#N/A</v>
          </cell>
          <cell r="I551" t="e">
            <v>#N/A</v>
          </cell>
          <cell r="J551" t="e">
            <v>#N/A</v>
          </cell>
          <cell r="K551" t="e">
            <v>#N/A</v>
          </cell>
          <cell r="L551" t="e">
            <v>#N/A</v>
          </cell>
          <cell r="M551" t="e">
            <v>#N/A</v>
          </cell>
          <cell r="N551" t="e">
            <v>#N/A</v>
          </cell>
          <cell r="O551" t="e">
            <v>#N/A</v>
          </cell>
          <cell r="P551">
            <v>71.540000000000006</v>
          </cell>
          <cell r="Q551">
            <v>1.3155189999999999</v>
          </cell>
          <cell r="R551" t="e">
            <v>#N/A</v>
          </cell>
        </row>
        <row r="552">
          <cell r="A552">
            <v>40268</v>
          </cell>
          <cell r="B552">
            <v>40268</v>
          </cell>
          <cell r="C552" t="str">
            <v>Past</v>
          </cell>
          <cell r="D552">
            <v>70.52</v>
          </cell>
          <cell r="E552" t="e">
            <v>#N/A</v>
          </cell>
          <cell r="F552" t="e">
            <v>#N/A</v>
          </cell>
          <cell r="G552" t="e">
            <v>#N/A</v>
          </cell>
          <cell r="H552" t="e">
            <v>#N/A</v>
          </cell>
          <cell r="I552" t="e">
            <v>#N/A</v>
          </cell>
          <cell r="J552" t="e">
            <v>#N/A</v>
          </cell>
          <cell r="K552" t="e">
            <v>#N/A</v>
          </cell>
          <cell r="L552" t="e">
            <v>#N/A</v>
          </cell>
          <cell r="M552" t="e">
            <v>#N/A</v>
          </cell>
          <cell r="N552" t="e">
            <v>#N/A</v>
          </cell>
          <cell r="O552" t="e">
            <v>#N/A</v>
          </cell>
          <cell r="P552">
            <v>70.52</v>
          </cell>
          <cell r="Q552">
            <v>1.3972800000000001</v>
          </cell>
          <cell r="R552" t="e">
            <v>#N/A</v>
          </cell>
        </row>
        <row r="553">
          <cell r="A553">
            <v>40269</v>
          </cell>
          <cell r="B553">
            <v>40269</v>
          </cell>
          <cell r="C553" t="str">
            <v>Past</v>
          </cell>
          <cell r="D553">
            <v>70.930000000000007</v>
          </cell>
          <cell r="E553" t="e">
            <v>#N/A</v>
          </cell>
          <cell r="F553" t="e">
            <v>#N/A</v>
          </cell>
          <cell r="G553" t="e">
            <v>#N/A</v>
          </cell>
          <cell r="H553" t="e">
            <v>#N/A</v>
          </cell>
          <cell r="I553" t="e">
            <v>#N/A</v>
          </cell>
          <cell r="J553" t="e">
            <v>#N/A</v>
          </cell>
          <cell r="K553" t="e">
            <v>#N/A</v>
          </cell>
          <cell r="L553" t="e">
            <v>#N/A</v>
          </cell>
          <cell r="M553" t="e">
            <v>#N/A</v>
          </cell>
          <cell r="N553" t="e">
            <v>#N/A</v>
          </cell>
          <cell r="O553" t="e">
            <v>#N/A</v>
          </cell>
          <cell r="P553">
            <v>70.930000000000007</v>
          </cell>
          <cell r="Q553">
            <v>1.4024939999999999</v>
          </cell>
          <cell r="R553" t="e">
            <v>#N/A</v>
          </cell>
        </row>
        <row r="554">
          <cell r="A554">
            <v>40273</v>
          </cell>
          <cell r="B554">
            <v>40273</v>
          </cell>
          <cell r="C554" t="str">
            <v>Past</v>
          </cell>
          <cell r="D554">
            <v>71.11</v>
          </cell>
          <cell r="E554" t="e">
            <v>#N/A</v>
          </cell>
          <cell r="F554" t="e">
            <v>#N/A</v>
          </cell>
          <cell r="G554" t="e">
            <v>#N/A</v>
          </cell>
          <cell r="H554" t="e">
            <v>#N/A</v>
          </cell>
          <cell r="I554" t="e">
            <v>#N/A</v>
          </cell>
          <cell r="J554" t="e">
            <v>#N/A</v>
          </cell>
          <cell r="K554" t="e">
            <v>#N/A</v>
          </cell>
          <cell r="L554" t="e">
            <v>#N/A</v>
          </cell>
          <cell r="M554" t="e">
            <v>#N/A</v>
          </cell>
          <cell r="N554" t="e">
            <v>#N/A</v>
          </cell>
          <cell r="O554" t="e">
            <v>#N/A</v>
          </cell>
          <cell r="P554">
            <v>71.11</v>
          </cell>
          <cell r="Q554">
            <v>1.1170149999999999</v>
          </cell>
          <cell r="R554" t="e">
            <v>#N/A</v>
          </cell>
        </row>
        <row r="555">
          <cell r="A555">
            <v>40274</v>
          </cell>
          <cell r="B555">
            <v>40274</v>
          </cell>
          <cell r="C555" t="str">
            <v>Past</v>
          </cell>
          <cell r="D555">
            <v>70.55</v>
          </cell>
          <cell r="E555" t="e">
            <v>#N/A</v>
          </cell>
          <cell r="F555" t="e">
            <v>#N/A</v>
          </cell>
          <cell r="G555" t="e">
            <v>#N/A</v>
          </cell>
          <cell r="H555" t="e">
            <v>#N/A</v>
          </cell>
          <cell r="I555" t="e">
            <v>#N/A</v>
          </cell>
          <cell r="J555" t="e">
            <v>#N/A</v>
          </cell>
          <cell r="K555" t="e">
            <v>#N/A</v>
          </cell>
          <cell r="L555" t="e">
            <v>#N/A</v>
          </cell>
          <cell r="M555" t="e">
            <v>#N/A</v>
          </cell>
          <cell r="N555" t="e">
            <v>#N/A</v>
          </cell>
          <cell r="O555" t="e">
            <v>#N/A</v>
          </cell>
          <cell r="P555">
            <v>70.55</v>
          </cell>
          <cell r="Q555">
            <v>1.179543</v>
          </cell>
          <cell r="R555" t="e">
            <v>#N/A</v>
          </cell>
        </row>
        <row r="556">
          <cell r="A556">
            <v>40275</v>
          </cell>
          <cell r="B556">
            <v>40275</v>
          </cell>
          <cell r="C556" t="str">
            <v>Past</v>
          </cell>
          <cell r="D556">
            <v>70.430000000000007</v>
          </cell>
          <cell r="E556" t="e">
            <v>#N/A</v>
          </cell>
          <cell r="F556" t="e">
            <v>#N/A</v>
          </cell>
          <cell r="G556" t="e">
            <v>#N/A</v>
          </cell>
          <cell r="H556" t="e">
            <v>#N/A</v>
          </cell>
          <cell r="I556" t="e">
            <v>#N/A</v>
          </cell>
          <cell r="J556" t="e">
            <v>#N/A</v>
          </cell>
          <cell r="K556" t="e">
            <v>#N/A</v>
          </cell>
          <cell r="L556" t="e">
            <v>#N/A</v>
          </cell>
          <cell r="M556" t="e">
            <v>#N/A</v>
          </cell>
          <cell r="N556" t="e">
            <v>#N/A</v>
          </cell>
          <cell r="O556" t="e">
            <v>#N/A</v>
          </cell>
          <cell r="P556">
            <v>70.430000000000007</v>
          </cell>
          <cell r="Q556">
            <v>1.2936209999999999</v>
          </cell>
          <cell r="R556" t="e">
            <v>#N/A</v>
          </cell>
        </row>
        <row r="557">
          <cell r="A557">
            <v>40276</v>
          </cell>
          <cell r="B557">
            <v>40276</v>
          </cell>
          <cell r="C557" t="str">
            <v>Past</v>
          </cell>
          <cell r="D557">
            <v>70.5</v>
          </cell>
          <cell r="E557" t="e">
            <v>#N/A</v>
          </cell>
          <cell r="F557" t="e">
            <v>#N/A</v>
          </cell>
          <cell r="G557" t="e">
            <v>#N/A</v>
          </cell>
          <cell r="H557" t="e">
            <v>#N/A</v>
          </cell>
          <cell r="I557" t="e">
            <v>#N/A</v>
          </cell>
          <cell r="J557" t="e">
            <v>#N/A</v>
          </cell>
          <cell r="K557" t="e">
            <v>#N/A</v>
          </cell>
          <cell r="L557" t="e">
            <v>#N/A</v>
          </cell>
          <cell r="M557" t="e">
            <v>#N/A</v>
          </cell>
          <cell r="N557" t="e">
            <v>#N/A</v>
          </cell>
          <cell r="O557">
            <v>0</v>
          </cell>
          <cell r="P557">
            <v>70.5</v>
          </cell>
          <cell r="Q557">
            <v>0.67118699999999998</v>
          </cell>
          <cell r="R557" t="e">
            <v>#N/A</v>
          </cell>
        </row>
        <row r="558">
          <cell r="A558">
            <v>40277</v>
          </cell>
          <cell r="B558">
            <v>40277</v>
          </cell>
          <cell r="C558" t="str">
            <v>Current</v>
          </cell>
          <cell r="D558">
            <v>71.03</v>
          </cell>
          <cell r="E558">
            <v>71.03</v>
          </cell>
          <cell r="F558">
            <v>71.03</v>
          </cell>
          <cell r="G558">
            <v>71.03</v>
          </cell>
          <cell r="H558">
            <v>71.03</v>
          </cell>
          <cell r="I558">
            <v>71.03</v>
          </cell>
          <cell r="J558" t="e">
            <v>#N/A</v>
          </cell>
          <cell r="K558" t="e">
            <v>#N/A</v>
          </cell>
          <cell r="L558" t="e">
            <v>#N/A</v>
          </cell>
          <cell r="M558" t="e">
            <v>#N/A</v>
          </cell>
          <cell r="N558" t="e">
            <v>#N/A</v>
          </cell>
          <cell r="O558">
            <v>36.378945000000002</v>
          </cell>
          <cell r="P558">
            <v>71.03</v>
          </cell>
          <cell r="Q558">
            <v>1.638614</v>
          </cell>
          <cell r="R558" t="e">
            <v>#N/A</v>
          </cell>
        </row>
        <row r="559">
          <cell r="A559">
            <v>40280</v>
          </cell>
          <cell r="B559">
            <v>40280</v>
          </cell>
          <cell r="C559" t="str">
            <v>Future</v>
          </cell>
          <cell r="D559" t="e">
            <v>#N/A</v>
          </cell>
          <cell r="E559">
            <v>70.75035433070866</v>
          </cell>
          <cell r="F559">
            <v>71.163740157480319</v>
          </cell>
          <cell r="G559">
            <v>70.966889763779534</v>
          </cell>
          <cell r="H559">
            <v>70.966889763779534</v>
          </cell>
          <cell r="I559" t="e">
            <v>#N/A</v>
          </cell>
          <cell r="J559" t="e">
            <v>#N/A</v>
          </cell>
          <cell r="K559" t="e">
            <v>#N/A</v>
          </cell>
          <cell r="L559" t="e">
            <v>#N/A</v>
          </cell>
          <cell r="M559" t="e">
            <v>#N/A</v>
          </cell>
          <cell r="N559" t="e">
            <v>#N/A</v>
          </cell>
          <cell r="O559" t="e">
            <v>#N/A</v>
          </cell>
          <cell r="P559">
            <v>71.03</v>
          </cell>
          <cell r="Q559">
            <v>1.638614</v>
          </cell>
          <cell r="R559" t="e">
            <v>#N/A</v>
          </cell>
        </row>
        <row r="560">
          <cell r="A560">
            <v>40281</v>
          </cell>
          <cell r="B560">
            <v>40281</v>
          </cell>
          <cell r="C560" t="str">
            <v>Future</v>
          </cell>
          <cell r="D560" t="e">
            <v>#N/A</v>
          </cell>
          <cell r="E560">
            <v>70.470708661417319</v>
          </cell>
          <cell r="F560">
            <v>71.297480314960637</v>
          </cell>
          <cell r="G560">
            <v>70.903779527559067</v>
          </cell>
          <cell r="H560">
            <v>70.903779527559067</v>
          </cell>
          <cell r="I560" t="e">
            <v>#N/A</v>
          </cell>
          <cell r="J560" t="e">
            <v>#N/A</v>
          </cell>
          <cell r="K560" t="e">
            <v>#N/A</v>
          </cell>
          <cell r="L560" t="e">
            <v>#N/A</v>
          </cell>
          <cell r="M560" t="e">
            <v>#N/A</v>
          </cell>
          <cell r="N560" t="e">
            <v>#N/A</v>
          </cell>
          <cell r="O560" t="e">
            <v>#N/A</v>
          </cell>
          <cell r="P560">
            <v>71.03</v>
          </cell>
          <cell r="Q560" t="str">
            <v/>
          </cell>
          <cell r="R560" t="e">
            <v>#N/A</v>
          </cell>
        </row>
        <row r="561">
          <cell r="A561">
            <v>40282</v>
          </cell>
          <cell r="B561">
            <v>40282</v>
          </cell>
          <cell r="C561" t="str">
            <v>Future</v>
          </cell>
          <cell r="D561" t="e">
            <v>#N/A</v>
          </cell>
          <cell r="E561">
            <v>70.191062992125978</v>
          </cell>
          <cell r="F561">
            <v>71.431220472440955</v>
          </cell>
          <cell r="G561">
            <v>70.8406692913386</v>
          </cell>
          <cell r="H561">
            <v>70.8406692913386</v>
          </cell>
          <cell r="I561" t="e">
            <v>#N/A</v>
          </cell>
          <cell r="J561" t="e">
            <v>#N/A</v>
          </cell>
          <cell r="K561" t="e">
            <v>#N/A</v>
          </cell>
          <cell r="L561" t="e">
            <v>#N/A</v>
          </cell>
          <cell r="M561" t="e">
            <v>#N/A</v>
          </cell>
          <cell r="N561" t="e">
            <v>#N/A</v>
          </cell>
          <cell r="O561" t="e">
            <v>#N/A</v>
          </cell>
          <cell r="P561">
            <v>71.03</v>
          </cell>
          <cell r="Q561" t="str">
            <v/>
          </cell>
          <cell r="R561" t="e">
            <v>#N/A</v>
          </cell>
        </row>
        <row r="562">
          <cell r="A562">
            <v>40283</v>
          </cell>
          <cell r="B562">
            <v>40283</v>
          </cell>
          <cell r="C562" t="str">
            <v>Future</v>
          </cell>
          <cell r="D562" t="e">
            <v>#N/A</v>
          </cell>
          <cell r="E562">
            <v>69.911417322834637</v>
          </cell>
          <cell r="F562">
            <v>71.564960629921273</v>
          </cell>
          <cell r="G562">
            <v>70.777559055118132</v>
          </cell>
          <cell r="H562">
            <v>70.777559055118132</v>
          </cell>
          <cell r="I562" t="e">
            <v>#N/A</v>
          </cell>
          <cell r="J562" t="e">
            <v>#N/A</v>
          </cell>
          <cell r="K562" t="e">
            <v>#N/A</v>
          </cell>
          <cell r="L562" t="e">
            <v>#N/A</v>
          </cell>
          <cell r="M562" t="e">
            <v>#N/A</v>
          </cell>
          <cell r="N562" t="e">
            <v>#N/A</v>
          </cell>
          <cell r="O562" t="e">
            <v>#N/A</v>
          </cell>
          <cell r="P562">
            <v>71.03</v>
          </cell>
          <cell r="Q562" t="str">
            <v/>
          </cell>
          <cell r="R562" t="e">
            <v>#N/A</v>
          </cell>
        </row>
        <row r="563">
          <cell r="A563">
            <v>40284</v>
          </cell>
          <cell r="B563">
            <v>40284</v>
          </cell>
          <cell r="C563" t="str">
            <v>Future</v>
          </cell>
          <cell r="D563" t="e">
            <v>#N/A</v>
          </cell>
          <cell r="E563">
            <v>69.631771653543296</v>
          </cell>
          <cell r="F563">
            <v>71.698700787401592</v>
          </cell>
          <cell r="G563">
            <v>70.714448818897665</v>
          </cell>
          <cell r="H563">
            <v>70.714448818897665</v>
          </cell>
          <cell r="I563" t="e">
            <v>#N/A</v>
          </cell>
          <cell r="J563" t="e">
            <v>#N/A</v>
          </cell>
          <cell r="K563" t="e">
            <v>#N/A</v>
          </cell>
          <cell r="L563" t="e">
            <v>#N/A</v>
          </cell>
          <cell r="M563" t="e">
            <v>#N/A</v>
          </cell>
          <cell r="N563" t="e">
            <v>#N/A</v>
          </cell>
          <cell r="O563" t="e">
            <v>#N/A</v>
          </cell>
          <cell r="P563">
            <v>71.03</v>
          </cell>
          <cell r="Q563" t="str">
            <v/>
          </cell>
          <cell r="R563" t="e">
            <v>#N/A</v>
          </cell>
        </row>
        <row r="564">
          <cell r="A564">
            <v>40287</v>
          </cell>
          <cell r="B564">
            <v>40287</v>
          </cell>
          <cell r="C564" t="str">
            <v>Future</v>
          </cell>
          <cell r="D564" t="e">
            <v>#N/A</v>
          </cell>
          <cell r="E564">
            <v>69.352125984251956</v>
          </cell>
          <cell r="F564">
            <v>71.83244094488191</v>
          </cell>
          <cell r="G564">
            <v>70.651338582677198</v>
          </cell>
          <cell r="H564">
            <v>70.651338582677198</v>
          </cell>
          <cell r="I564" t="e">
            <v>#N/A</v>
          </cell>
          <cell r="J564" t="e">
            <v>#N/A</v>
          </cell>
          <cell r="K564" t="e">
            <v>#N/A</v>
          </cell>
          <cell r="L564" t="e">
            <v>#N/A</v>
          </cell>
          <cell r="M564" t="e">
            <v>#N/A</v>
          </cell>
          <cell r="N564" t="e">
            <v>#N/A</v>
          </cell>
          <cell r="O564" t="e">
            <v>#N/A</v>
          </cell>
          <cell r="P564">
            <v>71.03</v>
          </cell>
          <cell r="Q564" t="str">
            <v/>
          </cell>
          <cell r="R564" t="e">
            <v>#N/A</v>
          </cell>
        </row>
        <row r="565">
          <cell r="A565">
            <v>40288</v>
          </cell>
          <cell r="B565">
            <v>40288</v>
          </cell>
          <cell r="C565" t="str">
            <v>Future</v>
          </cell>
          <cell r="D565" t="e">
            <v>#N/A</v>
          </cell>
          <cell r="E565">
            <v>69.072480314960615</v>
          </cell>
          <cell r="F565">
            <v>71.966181102362228</v>
          </cell>
          <cell r="G565">
            <v>70.588228346456731</v>
          </cell>
          <cell r="H565">
            <v>70.588228346456731</v>
          </cell>
          <cell r="I565" t="e">
            <v>#N/A</v>
          </cell>
          <cell r="J565" t="e">
            <v>#N/A</v>
          </cell>
          <cell r="K565" t="e">
            <v>#N/A</v>
          </cell>
          <cell r="L565" t="e">
            <v>#N/A</v>
          </cell>
          <cell r="M565" t="e">
            <v>#N/A</v>
          </cell>
          <cell r="N565" t="e">
            <v>#N/A</v>
          </cell>
          <cell r="O565" t="e">
            <v>#N/A</v>
          </cell>
          <cell r="P565">
            <v>71.03</v>
          </cell>
          <cell r="Q565" t="str">
            <v/>
          </cell>
          <cell r="R565" t="e">
            <v>#N/A</v>
          </cell>
        </row>
        <row r="566">
          <cell r="A566">
            <v>40289</v>
          </cell>
          <cell r="B566">
            <v>40289</v>
          </cell>
          <cell r="C566" t="str">
            <v>Future</v>
          </cell>
          <cell r="D566" t="e">
            <v>#N/A</v>
          </cell>
          <cell r="E566">
            <v>68.792834645669274</v>
          </cell>
          <cell r="F566">
            <v>72.099921259842546</v>
          </cell>
          <cell r="G566">
            <v>70.525118110236264</v>
          </cell>
          <cell r="H566">
            <v>70.525118110236264</v>
          </cell>
          <cell r="I566" t="e">
            <v>#N/A</v>
          </cell>
          <cell r="J566" t="e">
            <v>#N/A</v>
          </cell>
          <cell r="K566" t="e">
            <v>#N/A</v>
          </cell>
          <cell r="L566" t="e">
            <v>#N/A</v>
          </cell>
          <cell r="M566" t="e">
            <v>#N/A</v>
          </cell>
          <cell r="N566" t="e">
            <v>#N/A</v>
          </cell>
          <cell r="O566" t="e">
            <v>#N/A</v>
          </cell>
          <cell r="P566">
            <v>71.03</v>
          </cell>
          <cell r="Q566" t="str">
            <v/>
          </cell>
          <cell r="R566" t="e">
            <v>#N/A</v>
          </cell>
        </row>
        <row r="567">
          <cell r="A567">
            <v>40290</v>
          </cell>
          <cell r="B567">
            <v>40290</v>
          </cell>
          <cell r="C567" t="str">
            <v>Future</v>
          </cell>
          <cell r="D567" t="e">
            <v>#N/A</v>
          </cell>
          <cell r="E567">
            <v>68.513188976377933</v>
          </cell>
          <cell r="F567">
            <v>72.233661417322864</v>
          </cell>
          <cell r="G567">
            <v>70.462007874015796</v>
          </cell>
          <cell r="H567">
            <v>70.462007874015796</v>
          </cell>
          <cell r="I567" t="e">
            <v>#N/A</v>
          </cell>
          <cell r="J567" t="e">
            <v>#N/A</v>
          </cell>
          <cell r="K567" t="e">
            <v>#N/A</v>
          </cell>
          <cell r="L567" t="e">
            <v>#N/A</v>
          </cell>
          <cell r="M567" t="e">
            <v>#N/A</v>
          </cell>
          <cell r="N567" t="e">
            <v>#N/A</v>
          </cell>
          <cell r="O567" t="e">
            <v>#N/A</v>
          </cell>
          <cell r="P567">
            <v>71.03</v>
          </cell>
          <cell r="Q567" t="str">
            <v/>
          </cell>
          <cell r="R567" t="e">
            <v>#N/A</v>
          </cell>
        </row>
        <row r="568">
          <cell r="A568">
            <v>40291</v>
          </cell>
          <cell r="B568">
            <v>40291</v>
          </cell>
          <cell r="C568" t="str">
            <v>Future</v>
          </cell>
          <cell r="D568" t="e">
            <v>#N/A</v>
          </cell>
          <cell r="E568">
            <v>68.233543307086592</v>
          </cell>
          <cell r="F568">
            <v>72.367401574803182</v>
          </cell>
          <cell r="G568">
            <v>70.398897637795329</v>
          </cell>
          <cell r="H568">
            <v>70.398897637795329</v>
          </cell>
          <cell r="I568" t="e">
            <v>#N/A</v>
          </cell>
          <cell r="J568" t="e">
            <v>#N/A</v>
          </cell>
          <cell r="K568" t="e">
            <v>#N/A</v>
          </cell>
          <cell r="L568" t="e">
            <v>#N/A</v>
          </cell>
          <cell r="M568" t="e">
            <v>#N/A</v>
          </cell>
          <cell r="N568" t="e">
            <v>#N/A</v>
          </cell>
          <cell r="O568" t="e">
            <v>#N/A</v>
          </cell>
          <cell r="P568">
            <v>71.03</v>
          </cell>
          <cell r="Q568" t="str">
            <v/>
          </cell>
          <cell r="R568" t="e">
            <v>#N/A</v>
          </cell>
        </row>
        <row r="569">
          <cell r="A569">
            <v>40294</v>
          </cell>
          <cell r="B569">
            <v>40294</v>
          </cell>
          <cell r="C569" t="str">
            <v>Future</v>
          </cell>
          <cell r="D569" t="e">
            <v>#N/A</v>
          </cell>
          <cell r="E569">
            <v>67.953897637795251</v>
          </cell>
          <cell r="F569">
            <v>72.5011417322835</v>
          </cell>
          <cell r="G569">
            <v>70.335787401574862</v>
          </cell>
          <cell r="H569">
            <v>70.335787401574862</v>
          </cell>
          <cell r="I569" t="e">
            <v>#N/A</v>
          </cell>
          <cell r="J569" t="e">
            <v>#N/A</v>
          </cell>
          <cell r="K569" t="e">
            <v>#N/A</v>
          </cell>
          <cell r="L569" t="e">
            <v>#N/A</v>
          </cell>
          <cell r="M569" t="e">
            <v>#N/A</v>
          </cell>
          <cell r="N569" t="e">
            <v>#N/A</v>
          </cell>
          <cell r="O569" t="e">
            <v>#N/A</v>
          </cell>
          <cell r="P569">
            <v>71.03</v>
          </cell>
          <cell r="Q569" t="str">
            <v/>
          </cell>
          <cell r="R569" t="e">
            <v>#N/A</v>
          </cell>
        </row>
        <row r="570">
          <cell r="A570">
            <v>40295</v>
          </cell>
          <cell r="B570">
            <v>40295</v>
          </cell>
          <cell r="C570" t="str">
            <v>Future</v>
          </cell>
          <cell r="D570" t="e">
            <v>#N/A</v>
          </cell>
          <cell r="E570">
            <v>67.67425196850391</v>
          </cell>
          <cell r="F570">
            <v>72.634881889763818</v>
          </cell>
          <cell r="G570">
            <v>70.272677165354395</v>
          </cell>
          <cell r="H570">
            <v>70.272677165354395</v>
          </cell>
          <cell r="I570" t="e">
            <v>#N/A</v>
          </cell>
          <cell r="J570" t="e">
            <v>#N/A</v>
          </cell>
          <cell r="K570" t="e">
            <v>#N/A</v>
          </cell>
          <cell r="L570" t="e">
            <v>#N/A</v>
          </cell>
          <cell r="M570" t="e">
            <v>#N/A</v>
          </cell>
          <cell r="N570" t="e">
            <v>#N/A</v>
          </cell>
          <cell r="O570" t="e">
            <v>#N/A</v>
          </cell>
          <cell r="P570">
            <v>71.03</v>
          </cell>
          <cell r="Q570" t="str">
            <v/>
          </cell>
          <cell r="R570" t="e">
            <v>#N/A</v>
          </cell>
        </row>
        <row r="571">
          <cell r="A571">
            <v>40296</v>
          </cell>
          <cell r="B571">
            <v>40296</v>
          </cell>
          <cell r="C571" t="str">
            <v>Future</v>
          </cell>
          <cell r="D571" t="e">
            <v>#N/A</v>
          </cell>
          <cell r="E571">
            <v>67.394606299212569</v>
          </cell>
          <cell r="F571">
            <v>72.768622047244136</v>
          </cell>
          <cell r="G571">
            <v>70.209566929133928</v>
          </cell>
          <cell r="H571">
            <v>70.209566929133928</v>
          </cell>
          <cell r="I571" t="e">
            <v>#N/A</v>
          </cell>
          <cell r="J571" t="e">
            <v>#N/A</v>
          </cell>
          <cell r="K571" t="e">
            <v>#N/A</v>
          </cell>
          <cell r="L571" t="e">
            <v>#N/A</v>
          </cell>
          <cell r="M571" t="e">
            <v>#N/A</v>
          </cell>
          <cell r="N571" t="e">
            <v>#N/A</v>
          </cell>
          <cell r="O571" t="e">
            <v>#N/A</v>
          </cell>
          <cell r="P571">
            <v>71.03</v>
          </cell>
          <cell r="Q571" t="str">
            <v/>
          </cell>
          <cell r="R571" t="e">
            <v>#N/A</v>
          </cell>
        </row>
        <row r="572">
          <cell r="A572">
            <v>40297</v>
          </cell>
          <cell r="B572">
            <v>40297</v>
          </cell>
          <cell r="C572" t="str">
            <v>Future</v>
          </cell>
          <cell r="D572" t="e">
            <v>#N/A</v>
          </cell>
          <cell r="E572">
            <v>67.114960629921228</v>
          </cell>
          <cell r="F572">
            <v>72.902362204724454</v>
          </cell>
          <cell r="G572">
            <v>70.146456692913461</v>
          </cell>
          <cell r="H572">
            <v>70.146456692913461</v>
          </cell>
          <cell r="I572" t="e">
            <v>#N/A</v>
          </cell>
          <cell r="J572" t="e">
            <v>#N/A</v>
          </cell>
          <cell r="K572" t="e">
            <v>#N/A</v>
          </cell>
          <cell r="L572" t="e">
            <v>#N/A</v>
          </cell>
          <cell r="M572" t="e">
            <v>#N/A</v>
          </cell>
          <cell r="N572" t="e">
            <v>#N/A</v>
          </cell>
          <cell r="O572" t="e">
            <v>#N/A</v>
          </cell>
          <cell r="P572">
            <v>71.03</v>
          </cell>
          <cell r="Q572" t="str">
            <v/>
          </cell>
          <cell r="R572" t="e">
            <v>#N/A</v>
          </cell>
        </row>
        <row r="573">
          <cell r="A573">
            <v>40298</v>
          </cell>
          <cell r="B573">
            <v>40298</v>
          </cell>
          <cell r="C573" t="str">
            <v>Future</v>
          </cell>
          <cell r="D573" t="e">
            <v>#N/A</v>
          </cell>
          <cell r="E573">
            <v>66.835314960629887</v>
          </cell>
          <cell r="F573">
            <v>73.036102362204772</v>
          </cell>
          <cell r="G573">
            <v>70.083346456692993</v>
          </cell>
          <cell r="H573">
            <v>70.083346456692993</v>
          </cell>
          <cell r="I573" t="e">
            <v>#N/A</v>
          </cell>
          <cell r="J573" t="e">
            <v>#N/A</v>
          </cell>
          <cell r="K573" t="e">
            <v>#N/A</v>
          </cell>
          <cell r="L573" t="e">
            <v>#N/A</v>
          </cell>
          <cell r="M573" t="e">
            <v>#N/A</v>
          </cell>
          <cell r="N573" t="e">
            <v>#N/A</v>
          </cell>
          <cell r="O573" t="e">
            <v>#N/A</v>
          </cell>
          <cell r="P573">
            <v>71.03</v>
          </cell>
          <cell r="Q573" t="str">
            <v/>
          </cell>
          <cell r="R573" t="e">
            <v>#N/A</v>
          </cell>
        </row>
        <row r="574">
          <cell r="A574">
            <v>40301</v>
          </cell>
          <cell r="B574">
            <v>40301</v>
          </cell>
          <cell r="C574" t="str">
            <v>Future</v>
          </cell>
          <cell r="D574" t="e">
            <v>#N/A</v>
          </cell>
          <cell r="E574">
            <v>66.555669291338546</v>
          </cell>
          <cell r="F574">
            <v>73.169842519685091</v>
          </cell>
          <cell r="G574">
            <v>70.020236220472526</v>
          </cell>
          <cell r="H574">
            <v>70.020236220472526</v>
          </cell>
          <cell r="I574" t="e">
            <v>#N/A</v>
          </cell>
          <cell r="J574" t="e">
            <v>#N/A</v>
          </cell>
          <cell r="K574" t="e">
            <v>#N/A</v>
          </cell>
          <cell r="L574" t="e">
            <v>#N/A</v>
          </cell>
          <cell r="M574" t="e">
            <v>#N/A</v>
          </cell>
          <cell r="N574" t="e">
            <v>#N/A</v>
          </cell>
          <cell r="O574" t="e">
            <v>#N/A</v>
          </cell>
          <cell r="P574">
            <v>71.03</v>
          </cell>
          <cell r="Q574" t="str">
            <v/>
          </cell>
          <cell r="R574" t="e">
            <v>#N/A</v>
          </cell>
        </row>
        <row r="575">
          <cell r="A575">
            <v>40302</v>
          </cell>
          <cell r="B575">
            <v>40302</v>
          </cell>
          <cell r="C575" t="str">
            <v>Future</v>
          </cell>
          <cell r="D575" t="e">
            <v>#N/A</v>
          </cell>
          <cell r="E575">
            <v>66.276023622047205</v>
          </cell>
          <cell r="F575">
            <v>73.303582677165409</v>
          </cell>
          <cell r="G575">
            <v>69.957125984252059</v>
          </cell>
          <cell r="H575">
            <v>69.957125984252059</v>
          </cell>
          <cell r="I575" t="e">
            <v>#N/A</v>
          </cell>
          <cell r="J575" t="e">
            <v>#N/A</v>
          </cell>
          <cell r="K575" t="e">
            <v>#N/A</v>
          </cell>
          <cell r="L575" t="e">
            <v>#N/A</v>
          </cell>
          <cell r="M575" t="e">
            <v>#N/A</v>
          </cell>
          <cell r="N575" t="e">
            <v>#N/A</v>
          </cell>
          <cell r="O575" t="e">
            <v>#N/A</v>
          </cell>
          <cell r="P575">
            <v>71.03</v>
          </cell>
          <cell r="Q575" t="str">
            <v/>
          </cell>
          <cell r="R575" t="e">
            <v>#N/A</v>
          </cell>
        </row>
        <row r="576">
          <cell r="A576">
            <v>40303</v>
          </cell>
          <cell r="B576">
            <v>40303</v>
          </cell>
          <cell r="C576" t="str">
            <v>Future</v>
          </cell>
          <cell r="D576" t="e">
            <v>#N/A</v>
          </cell>
          <cell r="E576">
            <v>65.996377952755864</v>
          </cell>
          <cell r="F576">
            <v>73.437322834645727</v>
          </cell>
          <cell r="G576">
            <v>69.894015748031592</v>
          </cell>
          <cell r="H576">
            <v>69.894015748031592</v>
          </cell>
          <cell r="I576" t="e">
            <v>#N/A</v>
          </cell>
          <cell r="J576" t="e">
            <v>#N/A</v>
          </cell>
          <cell r="K576" t="e">
            <v>#N/A</v>
          </cell>
          <cell r="L576" t="e">
            <v>#N/A</v>
          </cell>
          <cell r="M576" t="e">
            <v>#N/A</v>
          </cell>
          <cell r="N576" t="e">
            <v>#N/A</v>
          </cell>
          <cell r="O576" t="e">
            <v>#N/A</v>
          </cell>
          <cell r="P576">
            <v>71.03</v>
          </cell>
          <cell r="Q576" t="str">
            <v/>
          </cell>
          <cell r="R576" t="e">
            <v>#N/A</v>
          </cell>
        </row>
        <row r="577">
          <cell r="A577">
            <v>40304</v>
          </cell>
          <cell r="B577">
            <v>40304</v>
          </cell>
          <cell r="C577" t="str">
            <v>Future</v>
          </cell>
          <cell r="D577" t="e">
            <v>#N/A</v>
          </cell>
          <cell r="E577">
            <v>65.716732283464523</v>
          </cell>
          <cell r="F577">
            <v>73.571062992126045</v>
          </cell>
          <cell r="G577">
            <v>69.830905511811125</v>
          </cell>
          <cell r="H577">
            <v>69.830905511811125</v>
          </cell>
          <cell r="I577" t="e">
            <v>#N/A</v>
          </cell>
          <cell r="J577" t="e">
            <v>#N/A</v>
          </cell>
          <cell r="K577" t="e">
            <v>#N/A</v>
          </cell>
          <cell r="L577" t="e">
            <v>#N/A</v>
          </cell>
          <cell r="M577" t="e">
            <v>#N/A</v>
          </cell>
          <cell r="N577" t="e">
            <v>#N/A</v>
          </cell>
          <cell r="O577" t="e">
            <v>#N/A</v>
          </cell>
          <cell r="P577">
            <v>71.03</v>
          </cell>
          <cell r="Q577" t="str">
            <v/>
          </cell>
          <cell r="R577" t="e">
            <v>#N/A</v>
          </cell>
        </row>
        <row r="578">
          <cell r="A578">
            <v>40305</v>
          </cell>
          <cell r="B578">
            <v>40305</v>
          </cell>
          <cell r="C578" t="str">
            <v>Future</v>
          </cell>
          <cell r="D578" t="e">
            <v>#N/A</v>
          </cell>
          <cell r="E578">
            <v>65.437086614173182</v>
          </cell>
          <cell r="F578">
            <v>73.704803149606363</v>
          </cell>
          <cell r="G578">
            <v>69.767795275590657</v>
          </cell>
          <cell r="H578">
            <v>69.767795275590657</v>
          </cell>
          <cell r="I578" t="e">
            <v>#N/A</v>
          </cell>
          <cell r="J578" t="e">
            <v>#N/A</v>
          </cell>
          <cell r="K578" t="e">
            <v>#N/A</v>
          </cell>
          <cell r="L578" t="e">
            <v>#N/A</v>
          </cell>
          <cell r="M578" t="e">
            <v>#N/A</v>
          </cell>
          <cell r="N578" t="e">
            <v>#N/A</v>
          </cell>
          <cell r="O578" t="e">
            <v>#N/A</v>
          </cell>
          <cell r="P578">
            <v>71.03</v>
          </cell>
          <cell r="Q578" t="str">
            <v/>
          </cell>
          <cell r="R578" t="e">
            <v>#N/A</v>
          </cell>
        </row>
        <row r="579">
          <cell r="A579">
            <v>40308</v>
          </cell>
          <cell r="B579">
            <v>40308</v>
          </cell>
          <cell r="C579" t="str">
            <v>Future</v>
          </cell>
          <cell r="D579" t="e">
            <v>#N/A</v>
          </cell>
          <cell r="E579">
            <v>65.157440944881841</v>
          </cell>
          <cell r="F579">
            <v>73.838543307086681</v>
          </cell>
          <cell r="G579">
            <v>69.70468503937019</v>
          </cell>
          <cell r="H579">
            <v>69.70468503937019</v>
          </cell>
          <cell r="I579" t="e">
            <v>#N/A</v>
          </cell>
          <cell r="J579" t="e">
            <v>#N/A</v>
          </cell>
          <cell r="K579" t="e">
            <v>#N/A</v>
          </cell>
          <cell r="L579" t="e">
            <v>#N/A</v>
          </cell>
          <cell r="M579" t="e">
            <v>#N/A</v>
          </cell>
          <cell r="N579" t="e">
            <v>#N/A</v>
          </cell>
          <cell r="O579" t="e">
            <v>#N/A</v>
          </cell>
          <cell r="P579">
            <v>71.03</v>
          </cell>
          <cell r="Q579" t="str">
            <v/>
          </cell>
          <cell r="R579" t="e">
            <v>#N/A</v>
          </cell>
        </row>
        <row r="580">
          <cell r="A580">
            <v>40309</v>
          </cell>
          <cell r="B580">
            <v>40309</v>
          </cell>
          <cell r="C580" t="str">
            <v>Future</v>
          </cell>
          <cell r="D580" t="e">
            <v>#N/A</v>
          </cell>
          <cell r="E580">
            <v>64.877795275590501</v>
          </cell>
          <cell r="F580">
            <v>73.972283464566999</v>
          </cell>
          <cell r="G580">
            <v>69.641574803149723</v>
          </cell>
          <cell r="H580">
            <v>69.641574803149723</v>
          </cell>
          <cell r="I580" t="e">
            <v>#N/A</v>
          </cell>
          <cell r="J580" t="e">
            <v>#N/A</v>
          </cell>
          <cell r="K580" t="e">
            <v>#N/A</v>
          </cell>
          <cell r="L580" t="e">
            <v>#N/A</v>
          </cell>
          <cell r="M580" t="e">
            <v>#N/A</v>
          </cell>
          <cell r="N580" t="e">
            <v>#N/A</v>
          </cell>
          <cell r="O580" t="e">
            <v>#N/A</v>
          </cell>
          <cell r="P580">
            <v>71.03</v>
          </cell>
          <cell r="Q580" t="str">
            <v/>
          </cell>
          <cell r="R580" t="e">
            <v>#N/A</v>
          </cell>
        </row>
        <row r="581">
          <cell r="A581">
            <v>40310</v>
          </cell>
          <cell r="B581">
            <v>40310</v>
          </cell>
          <cell r="C581" t="str">
            <v>Future</v>
          </cell>
          <cell r="D581" t="e">
            <v>#N/A</v>
          </cell>
          <cell r="E581">
            <v>64.59814960629916</v>
          </cell>
          <cell r="F581">
            <v>74.106023622047317</v>
          </cell>
          <cell r="G581">
            <v>69.578464566929256</v>
          </cell>
          <cell r="H581">
            <v>69.578464566929256</v>
          </cell>
          <cell r="I581" t="e">
            <v>#N/A</v>
          </cell>
          <cell r="J581" t="e">
            <v>#N/A</v>
          </cell>
          <cell r="K581" t="e">
            <v>#N/A</v>
          </cell>
          <cell r="L581" t="e">
            <v>#N/A</v>
          </cell>
          <cell r="M581" t="e">
            <v>#N/A</v>
          </cell>
          <cell r="N581" t="e">
            <v>#N/A</v>
          </cell>
          <cell r="O581" t="e">
            <v>#N/A</v>
          </cell>
          <cell r="P581">
            <v>71.03</v>
          </cell>
          <cell r="Q581" t="str">
            <v/>
          </cell>
          <cell r="R581" t="e">
            <v>#N/A</v>
          </cell>
        </row>
        <row r="582">
          <cell r="A582">
            <v>40311</v>
          </cell>
          <cell r="B582">
            <v>40311</v>
          </cell>
          <cell r="C582" t="str">
            <v>Future</v>
          </cell>
          <cell r="D582" t="e">
            <v>#N/A</v>
          </cell>
          <cell r="E582">
            <v>64.318503937007819</v>
          </cell>
          <cell r="F582">
            <v>74.239763779527635</v>
          </cell>
          <cell r="G582">
            <v>69.515354330708789</v>
          </cell>
          <cell r="H582">
            <v>69.515354330708789</v>
          </cell>
          <cell r="I582" t="e">
            <v>#N/A</v>
          </cell>
          <cell r="J582" t="e">
            <v>#N/A</v>
          </cell>
          <cell r="K582" t="e">
            <v>#N/A</v>
          </cell>
          <cell r="L582" t="e">
            <v>#N/A</v>
          </cell>
          <cell r="M582" t="e">
            <v>#N/A</v>
          </cell>
          <cell r="N582" t="e">
            <v>#N/A</v>
          </cell>
          <cell r="O582" t="e">
            <v>#N/A</v>
          </cell>
          <cell r="P582">
            <v>71.03</v>
          </cell>
          <cell r="Q582" t="str">
            <v/>
          </cell>
          <cell r="R582" t="e">
            <v>#N/A</v>
          </cell>
        </row>
        <row r="583">
          <cell r="A583">
            <v>40312</v>
          </cell>
          <cell r="B583">
            <v>40312</v>
          </cell>
          <cell r="C583" t="str">
            <v>Future</v>
          </cell>
          <cell r="D583" t="e">
            <v>#N/A</v>
          </cell>
          <cell r="E583">
            <v>64.038858267716478</v>
          </cell>
          <cell r="F583">
            <v>74.373503937007953</v>
          </cell>
          <cell r="G583">
            <v>69.452244094488321</v>
          </cell>
          <cell r="H583">
            <v>69.452244094488321</v>
          </cell>
          <cell r="I583" t="e">
            <v>#N/A</v>
          </cell>
          <cell r="J583" t="e">
            <v>#N/A</v>
          </cell>
          <cell r="K583" t="e">
            <v>#N/A</v>
          </cell>
          <cell r="L583" t="e">
            <v>#N/A</v>
          </cell>
          <cell r="M583" t="e">
            <v>#N/A</v>
          </cell>
          <cell r="N583" t="e">
            <v>#N/A</v>
          </cell>
          <cell r="O583" t="e">
            <v>#N/A</v>
          </cell>
          <cell r="P583">
            <v>71.03</v>
          </cell>
          <cell r="Q583" t="str">
            <v/>
          </cell>
          <cell r="R583" t="e">
            <v>#N/A</v>
          </cell>
        </row>
        <row r="584">
          <cell r="A584">
            <v>40315</v>
          </cell>
          <cell r="B584">
            <v>40315</v>
          </cell>
          <cell r="C584" t="str">
            <v>Future</v>
          </cell>
          <cell r="D584" t="e">
            <v>#N/A</v>
          </cell>
          <cell r="E584">
            <v>63.759212598425137</v>
          </cell>
          <cell r="F584">
            <v>74.507244094488271</v>
          </cell>
          <cell r="G584">
            <v>69.389133858267854</v>
          </cell>
          <cell r="H584">
            <v>69.389133858267854</v>
          </cell>
          <cell r="I584" t="e">
            <v>#N/A</v>
          </cell>
          <cell r="J584" t="e">
            <v>#N/A</v>
          </cell>
          <cell r="K584" t="e">
            <v>#N/A</v>
          </cell>
          <cell r="L584" t="e">
            <v>#N/A</v>
          </cell>
          <cell r="M584" t="e">
            <v>#N/A</v>
          </cell>
          <cell r="N584" t="e">
            <v>#N/A</v>
          </cell>
          <cell r="O584" t="e">
            <v>#N/A</v>
          </cell>
          <cell r="P584">
            <v>71.03</v>
          </cell>
          <cell r="Q584" t="str">
            <v/>
          </cell>
          <cell r="R584" t="e">
            <v>#N/A</v>
          </cell>
        </row>
        <row r="585">
          <cell r="A585">
            <v>40316</v>
          </cell>
          <cell r="B585">
            <v>40316</v>
          </cell>
          <cell r="C585" t="str">
            <v>Future</v>
          </cell>
          <cell r="D585" t="e">
            <v>#N/A</v>
          </cell>
          <cell r="E585">
            <v>63.479566929133796</v>
          </cell>
          <cell r="F585">
            <v>74.64098425196859</v>
          </cell>
          <cell r="G585">
            <v>69.326023622047387</v>
          </cell>
          <cell r="H585">
            <v>69.326023622047387</v>
          </cell>
          <cell r="I585" t="e">
            <v>#N/A</v>
          </cell>
          <cell r="J585" t="e">
            <v>#N/A</v>
          </cell>
          <cell r="K585" t="e">
            <v>#N/A</v>
          </cell>
          <cell r="L585" t="e">
            <v>#N/A</v>
          </cell>
          <cell r="M585" t="e">
            <v>#N/A</v>
          </cell>
          <cell r="N585" t="e">
            <v>#N/A</v>
          </cell>
          <cell r="O585" t="e">
            <v>#N/A</v>
          </cell>
          <cell r="P585">
            <v>71.03</v>
          </cell>
          <cell r="Q585" t="str">
            <v/>
          </cell>
          <cell r="R585" t="e">
            <v>#N/A</v>
          </cell>
        </row>
        <row r="586">
          <cell r="A586">
            <v>40317</v>
          </cell>
          <cell r="B586">
            <v>40317</v>
          </cell>
          <cell r="C586" t="str">
            <v>Future</v>
          </cell>
          <cell r="D586" t="e">
            <v>#N/A</v>
          </cell>
          <cell r="E586">
            <v>63.199921259842455</v>
          </cell>
          <cell r="F586">
            <v>74.774724409448908</v>
          </cell>
          <cell r="G586">
            <v>69.26291338582692</v>
          </cell>
          <cell r="H586">
            <v>69.26291338582692</v>
          </cell>
          <cell r="I586" t="e">
            <v>#N/A</v>
          </cell>
          <cell r="J586" t="e">
            <v>#N/A</v>
          </cell>
          <cell r="K586" t="e">
            <v>#N/A</v>
          </cell>
          <cell r="L586" t="e">
            <v>#N/A</v>
          </cell>
          <cell r="M586" t="e">
            <v>#N/A</v>
          </cell>
          <cell r="N586" t="e">
            <v>#N/A</v>
          </cell>
          <cell r="O586" t="e">
            <v>#N/A</v>
          </cell>
          <cell r="P586">
            <v>71.03</v>
          </cell>
          <cell r="Q586" t="str">
            <v/>
          </cell>
          <cell r="R586" t="e">
            <v>#N/A</v>
          </cell>
        </row>
        <row r="587">
          <cell r="A587">
            <v>40318</v>
          </cell>
          <cell r="B587">
            <v>40318</v>
          </cell>
          <cell r="C587" t="str">
            <v>Future</v>
          </cell>
          <cell r="D587" t="e">
            <v>#N/A</v>
          </cell>
          <cell r="E587">
            <v>62.920275590551114</v>
          </cell>
          <cell r="F587">
            <v>74.908464566929226</v>
          </cell>
          <cell r="G587">
            <v>69.199803149606453</v>
          </cell>
          <cell r="H587">
            <v>69.199803149606453</v>
          </cell>
          <cell r="I587" t="e">
            <v>#N/A</v>
          </cell>
          <cell r="J587" t="e">
            <v>#N/A</v>
          </cell>
          <cell r="K587" t="e">
            <v>#N/A</v>
          </cell>
          <cell r="L587" t="e">
            <v>#N/A</v>
          </cell>
          <cell r="M587" t="e">
            <v>#N/A</v>
          </cell>
          <cell r="N587" t="e">
            <v>#N/A</v>
          </cell>
          <cell r="O587" t="e">
            <v>#N/A</v>
          </cell>
          <cell r="P587">
            <v>71.03</v>
          </cell>
          <cell r="Q587" t="str">
            <v/>
          </cell>
          <cell r="R587" t="e">
            <v>#N/A</v>
          </cell>
        </row>
        <row r="588">
          <cell r="A588">
            <v>40319</v>
          </cell>
          <cell r="B588">
            <v>40319</v>
          </cell>
          <cell r="C588" t="str">
            <v>Future</v>
          </cell>
          <cell r="D588" t="e">
            <v>#N/A</v>
          </cell>
          <cell r="E588">
            <v>62.640629921259773</v>
          </cell>
          <cell r="F588">
            <v>75.042204724409544</v>
          </cell>
          <cell r="G588">
            <v>69.136692913385986</v>
          </cell>
          <cell r="H588">
            <v>69.136692913385986</v>
          </cell>
          <cell r="I588" t="e">
            <v>#N/A</v>
          </cell>
          <cell r="J588" t="e">
            <v>#N/A</v>
          </cell>
          <cell r="K588" t="e">
            <v>#N/A</v>
          </cell>
          <cell r="L588" t="e">
            <v>#N/A</v>
          </cell>
          <cell r="M588" t="e">
            <v>#N/A</v>
          </cell>
          <cell r="N588" t="e">
            <v>#N/A</v>
          </cell>
          <cell r="O588" t="e">
            <v>#N/A</v>
          </cell>
          <cell r="P588">
            <v>71.03</v>
          </cell>
          <cell r="Q588" t="str">
            <v/>
          </cell>
          <cell r="R588" t="e">
            <v>#N/A</v>
          </cell>
        </row>
        <row r="589">
          <cell r="A589">
            <v>40322</v>
          </cell>
          <cell r="B589">
            <v>40322</v>
          </cell>
          <cell r="C589" t="str">
            <v>Future</v>
          </cell>
          <cell r="D589" t="e">
            <v>#N/A</v>
          </cell>
          <cell r="E589">
            <v>62.360984251968432</v>
          </cell>
          <cell r="F589">
            <v>75.175944881889862</v>
          </cell>
          <cell r="G589">
            <v>69.073582677165518</v>
          </cell>
          <cell r="H589">
            <v>69.073582677165518</v>
          </cell>
          <cell r="I589" t="e">
            <v>#N/A</v>
          </cell>
          <cell r="J589" t="e">
            <v>#N/A</v>
          </cell>
          <cell r="K589" t="e">
            <v>#N/A</v>
          </cell>
          <cell r="L589" t="e">
            <v>#N/A</v>
          </cell>
          <cell r="M589" t="e">
            <v>#N/A</v>
          </cell>
          <cell r="N589" t="e">
            <v>#N/A</v>
          </cell>
          <cell r="O589" t="e">
            <v>#N/A</v>
          </cell>
          <cell r="P589">
            <v>71.03</v>
          </cell>
          <cell r="Q589" t="str">
            <v/>
          </cell>
          <cell r="R589" t="e">
            <v>#N/A</v>
          </cell>
        </row>
        <row r="590">
          <cell r="A590">
            <v>40323</v>
          </cell>
          <cell r="B590">
            <v>40323</v>
          </cell>
          <cell r="C590" t="str">
            <v>Future</v>
          </cell>
          <cell r="D590" t="e">
            <v>#N/A</v>
          </cell>
          <cell r="E590">
            <v>62.081338582677091</v>
          </cell>
          <cell r="F590">
            <v>75.30968503937018</v>
          </cell>
          <cell r="G590">
            <v>69.010472440945051</v>
          </cell>
          <cell r="H590">
            <v>69.010472440945051</v>
          </cell>
          <cell r="I590" t="e">
            <v>#N/A</v>
          </cell>
          <cell r="J590" t="e">
            <v>#N/A</v>
          </cell>
          <cell r="K590" t="e">
            <v>#N/A</v>
          </cell>
          <cell r="L590" t="e">
            <v>#N/A</v>
          </cell>
          <cell r="M590" t="e">
            <v>#N/A</v>
          </cell>
          <cell r="N590" t="e">
            <v>#N/A</v>
          </cell>
          <cell r="O590" t="e">
            <v>#N/A</v>
          </cell>
          <cell r="P590">
            <v>71.03</v>
          </cell>
          <cell r="Q590" t="str">
            <v/>
          </cell>
          <cell r="R590" t="e">
            <v>#N/A</v>
          </cell>
        </row>
        <row r="591">
          <cell r="A591">
            <v>40324</v>
          </cell>
          <cell r="B591">
            <v>40324</v>
          </cell>
          <cell r="C591" t="str">
            <v>Future</v>
          </cell>
          <cell r="D591" t="e">
            <v>#N/A</v>
          </cell>
          <cell r="E591">
            <v>61.80169291338575</v>
          </cell>
          <cell r="F591">
            <v>75.443425196850498</v>
          </cell>
          <cell r="G591">
            <v>68.947362204724584</v>
          </cell>
          <cell r="H591">
            <v>68.947362204724584</v>
          </cell>
          <cell r="I591" t="e">
            <v>#N/A</v>
          </cell>
          <cell r="J591" t="e">
            <v>#N/A</v>
          </cell>
          <cell r="K591" t="e">
            <v>#N/A</v>
          </cell>
          <cell r="L591" t="e">
            <v>#N/A</v>
          </cell>
          <cell r="M591" t="e">
            <v>#N/A</v>
          </cell>
          <cell r="N591" t="e">
            <v>#N/A</v>
          </cell>
          <cell r="O591" t="e">
            <v>#N/A</v>
          </cell>
          <cell r="P591">
            <v>71.03</v>
          </cell>
          <cell r="Q591" t="str">
            <v/>
          </cell>
          <cell r="R591" t="e">
            <v>#N/A</v>
          </cell>
        </row>
        <row r="592">
          <cell r="A592">
            <v>40325</v>
          </cell>
          <cell r="B592">
            <v>40325</v>
          </cell>
          <cell r="C592" t="str">
            <v>Future</v>
          </cell>
          <cell r="D592" t="e">
            <v>#N/A</v>
          </cell>
          <cell r="E592">
            <v>61.522047244094409</v>
          </cell>
          <cell r="F592">
            <v>75.577165354330816</v>
          </cell>
          <cell r="G592">
            <v>68.884251968504117</v>
          </cell>
          <cell r="H592">
            <v>68.884251968504117</v>
          </cell>
          <cell r="I592" t="e">
            <v>#N/A</v>
          </cell>
          <cell r="J592" t="e">
            <v>#N/A</v>
          </cell>
          <cell r="K592" t="e">
            <v>#N/A</v>
          </cell>
          <cell r="L592" t="e">
            <v>#N/A</v>
          </cell>
          <cell r="M592" t="e">
            <v>#N/A</v>
          </cell>
          <cell r="N592" t="e">
            <v>#N/A</v>
          </cell>
          <cell r="O592" t="e">
            <v>#N/A</v>
          </cell>
          <cell r="P592">
            <v>71.03</v>
          </cell>
          <cell r="Q592" t="str">
            <v/>
          </cell>
          <cell r="R592" t="e">
            <v>#N/A</v>
          </cell>
        </row>
        <row r="593">
          <cell r="A593">
            <v>40326</v>
          </cell>
          <cell r="B593">
            <v>40326</v>
          </cell>
          <cell r="C593" t="str">
            <v>Future</v>
          </cell>
          <cell r="D593" t="e">
            <v>#N/A</v>
          </cell>
          <cell r="E593">
            <v>61.242401574803068</v>
          </cell>
          <cell r="F593">
            <v>75.710905511811134</v>
          </cell>
          <cell r="G593">
            <v>68.82114173228365</v>
          </cell>
          <cell r="H593">
            <v>68.82114173228365</v>
          </cell>
          <cell r="I593" t="e">
            <v>#N/A</v>
          </cell>
          <cell r="J593" t="e">
            <v>#N/A</v>
          </cell>
          <cell r="K593" t="e">
            <v>#N/A</v>
          </cell>
          <cell r="L593" t="e">
            <v>#N/A</v>
          </cell>
          <cell r="M593" t="e">
            <v>#N/A</v>
          </cell>
          <cell r="N593" t="e">
            <v>#N/A</v>
          </cell>
          <cell r="O593" t="e">
            <v>#N/A</v>
          </cell>
          <cell r="P593">
            <v>71.03</v>
          </cell>
          <cell r="Q593" t="str">
            <v/>
          </cell>
          <cell r="R593" t="e">
            <v>#N/A</v>
          </cell>
        </row>
        <row r="594">
          <cell r="A594">
            <v>40330</v>
          </cell>
          <cell r="B594">
            <v>40330</v>
          </cell>
          <cell r="C594" t="str">
            <v>Future</v>
          </cell>
          <cell r="D594" t="e">
            <v>#N/A</v>
          </cell>
          <cell r="E594">
            <v>60.962755905511727</v>
          </cell>
          <cell r="F594">
            <v>75.844645669291452</v>
          </cell>
          <cell r="G594">
            <v>68.758031496063182</v>
          </cell>
          <cell r="H594">
            <v>68.758031496063182</v>
          </cell>
          <cell r="I594" t="e">
            <v>#N/A</v>
          </cell>
          <cell r="J594" t="e">
            <v>#N/A</v>
          </cell>
          <cell r="K594" t="e">
            <v>#N/A</v>
          </cell>
          <cell r="L594" t="e">
            <v>#N/A</v>
          </cell>
          <cell r="M594" t="e">
            <v>#N/A</v>
          </cell>
          <cell r="N594" t="e">
            <v>#N/A</v>
          </cell>
          <cell r="O594" t="e">
            <v>#N/A</v>
          </cell>
          <cell r="P594">
            <v>71.03</v>
          </cell>
          <cell r="Q594" t="str">
            <v/>
          </cell>
          <cell r="R594" t="e">
            <v>#N/A</v>
          </cell>
        </row>
        <row r="595">
          <cell r="A595">
            <v>40331</v>
          </cell>
          <cell r="B595">
            <v>40331</v>
          </cell>
          <cell r="C595" t="str">
            <v>Future</v>
          </cell>
          <cell r="D595" t="e">
            <v>#N/A</v>
          </cell>
          <cell r="E595">
            <v>60.683110236220386</v>
          </cell>
          <cell r="F595">
            <v>75.97838582677177</v>
          </cell>
          <cell r="G595">
            <v>68.694921259842715</v>
          </cell>
          <cell r="H595">
            <v>68.694921259842715</v>
          </cell>
          <cell r="I595" t="e">
            <v>#N/A</v>
          </cell>
          <cell r="J595" t="e">
            <v>#N/A</v>
          </cell>
          <cell r="K595" t="e">
            <v>#N/A</v>
          </cell>
          <cell r="L595" t="e">
            <v>#N/A</v>
          </cell>
          <cell r="M595" t="e">
            <v>#N/A</v>
          </cell>
          <cell r="N595" t="e">
            <v>#N/A</v>
          </cell>
          <cell r="O595" t="e">
            <v>#N/A</v>
          </cell>
          <cell r="P595">
            <v>71.03</v>
          </cell>
          <cell r="Q595" t="str">
            <v/>
          </cell>
          <cell r="R595" t="e">
            <v>#N/A</v>
          </cell>
        </row>
        <row r="596">
          <cell r="A596">
            <v>40332</v>
          </cell>
          <cell r="B596">
            <v>40332</v>
          </cell>
          <cell r="C596" t="str">
            <v>Future</v>
          </cell>
          <cell r="D596" t="e">
            <v>#N/A</v>
          </cell>
          <cell r="E596">
            <v>60.403464566929046</v>
          </cell>
          <cell r="F596">
            <v>76.112125984252089</v>
          </cell>
          <cell r="G596">
            <v>68.631811023622248</v>
          </cell>
          <cell r="H596">
            <v>68.631811023622248</v>
          </cell>
          <cell r="I596" t="e">
            <v>#N/A</v>
          </cell>
          <cell r="J596" t="e">
            <v>#N/A</v>
          </cell>
          <cell r="K596" t="e">
            <v>#N/A</v>
          </cell>
          <cell r="L596" t="e">
            <v>#N/A</v>
          </cell>
          <cell r="M596" t="e">
            <v>#N/A</v>
          </cell>
          <cell r="N596" t="e">
            <v>#N/A</v>
          </cell>
          <cell r="O596" t="e">
            <v>#N/A</v>
          </cell>
          <cell r="P596">
            <v>71.03</v>
          </cell>
          <cell r="Q596" t="str">
            <v/>
          </cell>
          <cell r="R596" t="e">
            <v>#N/A</v>
          </cell>
        </row>
        <row r="597">
          <cell r="A597">
            <v>40333</v>
          </cell>
          <cell r="B597">
            <v>40333</v>
          </cell>
          <cell r="C597" t="str">
            <v>Future</v>
          </cell>
          <cell r="D597" t="e">
            <v>#N/A</v>
          </cell>
          <cell r="E597">
            <v>60.123818897637705</v>
          </cell>
          <cell r="F597">
            <v>76.245866141732407</v>
          </cell>
          <cell r="G597">
            <v>68.568700787401781</v>
          </cell>
          <cell r="H597">
            <v>68.568700787401781</v>
          </cell>
          <cell r="I597" t="e">
            <v>#N/A</v>
          </cell>
          <cell r="J597" t="e">
            <v>#N/A</v>
          </cell>
          <cell r="K597" t="e">
            <v>#N/A</v>
          </cell>
          <cell r="L597" t="e">
            <v>#N/A</v>
          </cell>
          <cell r="M597" t="e">
            <v>#N/A</v>
          </cell>
          <cell r="N597" t="e">
            <v>#N/A</v>
          </cell>
          <cell r="O597" t="e">
            <v>#N/A</v>
          </cell>
          <cell r="P597">
            <v>71.03</v>
          </cell>
          <cell r="Q597" t="str">
            <v/>
          </cell>
          <cell r="R597" t="e">
            <v>#N/A</v>
          </cell>
        </row>
        <row r="598">
          <cell r="A598">
            <v>40336</v>
          </cell>
          <cell r="B598">
            <v>40336</v>
          </cell>
          <cell r="C598" t="str">
            <v>Future</v>
          </cell>
          <cell r="D598" t="e">
            <v>#N/A</v>
          </cell>
          <cell r="E598">
            <v>59.844173228346364</v>
          </cell>
          <cell r="F598">
            <v>76.379606299212725</v>
          </cell>
          <cell r="G598">
            <v>68.505590551181314</v>
          </cell>
          <cell r="H598">
            <v>68.505590551181314</v>
          </cell>
          <cell r="I598" t="e">
            <v>#N/A</v>
          </cell>
          <cell r="J598" t="e">
            <v>#N/A</v>
          </cell>
          <cell r="K598" t="e">
            <v>#N/A</v>
          </cell>
          <cell r="L598" t="e">
            <v>#N/A</v>
          </cell>
          <cell r="M598" t="e">
            <v>#N/A</v>
          </cell>
          <cell r="N598" t="e">
            <v>#N/A</v>
          </cell>
          <cell r="O598" t="e">
            <v>#N/A</v>
          </cell>
          <cell r="P598">
            <v>71.03</v>
          </cell>
          <cell r="Q598" t="str">
            <v/>
          </cell>
          <cell r="R598" t="e">
            <v>#N/A</v>
          </cell>
        </row>
        <row r="599">
          <cell r="A599">
            <v>40337</v>
          </cell>
          <cell r="B599">
            <v>40337</v>
          </cell>
          <cell r="C599" t="str">
            <v>Future</v>
          </cell>
          <cell r="D599" t="e">
            <v>#N/A</v>
          </cell>
          <cell r="E599">
            <v>59.564527559055023</v>
          </cell>
          <cell r="F599">
            <v>76.513346456693043</v>
          </cell>
          <cell r="G599">
            <v>68.442480314960846</v>
          </cell>
          <cell r="H599">
            <v>68.442480314960846</v>
          </cell>
          <cell r="I599" t="e">
            <v>#N/A</v>
          </cell>
          <cell r="J599" t="e">
            <v>#N/A</v>
          </cell>
          <cell r="K599" t="e">
            <v>#N/A</v>
          </cell>
          <cell r="L599" t="e">
            <v>#N/A</v>
          </cell>
          <cell r="M599" t="e">
            <v>#N/A</v>
          </cell>
          <cell r="N599" t="e">
            <v>#N/A</v>
          </cell>
          <cell r="O599" t="e">
            <v>#N/A</v>
          </cell>
          <cell r="P599">
            <v>71.03</v>
          </cell>
          <cell r="Q599" t="str">
            <v/>
          </cell>
          <cell r="R599" t="e">
            <v>#N/A</v>
          </cell>
        </row>
        <row r="600">
          <cell r="A600">
            <v>40338</v>
          </cell>
          <cell r="B600">
            <v>40338</v>
          </cell>
          <cell r="C600" t="str">
            <v>Future</v>
          </cell>
          <cell r="D600" t="e">
            <v>#N/A</v>
          </cell>
          <cell r="E600">
            <v>59.284881889763682</v>
          </cell>
          <cell r="F600">
            <v>76.647086614173361</v>
          </cell>
          <cell r="G600">
            <v>68.379370078740379</v>
          </cell>
          <cell r="H600">
            <v>68.379370078740379</v>
          </cell>
          <cell r="I600" t="e">
            <v>#N/A</v>
          </cell>
          <cell r="J600" t="e">
            <v>#N/A</v>
          </cell>
          <cell r="K600" t="e">
            <v>#N/A</v>
          </cell>
          <cell r="L600" t="e">
            <v>#N/A</v>
          </cell>
          <cell r="M600" t="e">
            <v>#N/A</v>
          </cell>
          <cell r="N600" t="e">
            <v>#N/A</v>
          </cell>
          <cell r="O600" t="e">
            <v>#N/A</v>
          </cell>
          <cell r="P600">
            <v>71.03</v>
          </cell>
          <cell r="Q600" t="str">
            <v/>
          </cell>
          <cell r="R600" t="e">
            <v>#N/A</v>
          </cell>
        </row>
        <row r="601">
          <cell r="A601">
            <v>40339</v>
          </cell>
          <cell r="B601">
            <v>40339</v>
          </cell>
          <cell r="C601" t="str">
            <v>Future</v>
          </cell>
          <cell r="D601" t="e">
            <v>#N/A</v>
          </cell>
          <cell r="E601">
            <v>59.005236220472341</v>
          </cell>
          <cell r="F601">
            <v>76.780826771653679</v>
          </cell>
          <cell r="G601">
            <v>68.316259842519912</v>
          </cell>
          <cell r="H601">
            <v>68.316259842519912</v>
          </cell>
          <cell r="I601" t="e">
            <v>#N/A</v>
          </cell>
          <cell r="J601" t="e">
            <v>#N/A</v>
          </cell>
          <cell r="K601" t="e">
            <v>#N/A</v>
          </cell>
          <cell r="L601" t="e">
            <v>#N/A</v>
          </cell>
          <cell r="M601" t="e">
            <v>#N/A</v>
          </cell>
          <cell r="N601" t="e">
            <v>#N/A</v>
          </cell>
          <cell r="O601" t="e">
            <v>#N/A</v>
          </cell>
          <cell r="P601">
            <v>71.03</v>
          </cell>
          <cell r="Q601" t="str">
            <v/>
          </cell>
          <cell r="R601" t="e">
            <v>#N/A</v>
          </cell>
        </row>
        <row r="602">
          <cell r="A602">
            <v>40340</v>
          </cell>
          <cell r="B602">
            <v>40340</v>
          </cell>
          <cell r="C602" t="str">
            <v>Future</v>
          </cell>
          <cell r="D602" t="e">
            <v>#N/A</v>
          </cell>
          <cell r="E602">
            <v>58.725590551181</v>
          </cell>
          <cell r="F602">
            <v>76.914566929133997</v>
          </cell>
          <cell r="G602">
            <v>68.253149606299445</v>
          </cell>
          <cell r="H602">
            <v>68.253149606299445</v>
          </cell>
          <cell r="I602" t="e">
            <v>#N/A</v>
          </cell>
          <cell r="J602" t="e">
            <v>#N/A</v>
          </cell>
          <cell r="K602" t="e">
            <v>#N/A</v>
          </cell>
          <cell r="L602" t="e">
            <v>#N/A</v>
          </cell>
          <cell r="M602" t="e">
            <v>#N/A</v>
          </cell>
          <cell r="N602" t="e">
            <v>#N/A</v>
          </cell>
          <cell r="O602" t="e">
            <v>#N/A</v>
          </cell>
          <cell r="P602">
            <v>71.03</v>
          </cell>
          <cell r="Q602" t="str">
            <v/>
          </cell>
          <cell r="R602" t="e">
            <v>#N/A</v>
          </cell>
        </row>
        <row r="603">
          <cell r="A603">
            <v>40343</v>
          </cell>
          <cell r="B603">
            <v>40343</v>
          </cell>
          <cell r="C603" t="str">
            <v>Future</v>
          </cell>
          <cell r="D603" t="e">
            <v>#N/A</v>
          </cell>
          <cell r="E603">
            <v>58.445944881889659</v>
          </cell>
          <cell r="F603">
            <v>77.048307086614315</v>
          </cell>
          <cell r="G603">
            <v>68.190039370078978</v>
          </cell>
          <cell r="H603">
            <v>68.190039370078978</v>
          </cell>
          <cell r="I603" t="e">
            <v>#N/A</v>
          </cell>
          <cell r="J603" t="e">
            <v>#N/A</v>
          </cell>
          <cell r="K603" t="e">
            <v>#N/A</v>
          </cell>
          <cell r="L603" t="e">
            <v>#N/A</v>
          </cell>
          <cell r="M603" t="e">
            <v>#N/A</v>
          </cell>
          <cell r="N603" t="e">
            <v>#N/A</v>
          </cell>
          <cell r="O603" t="e">
            <v>#N/A</v>
          </cell>
          <cell r="P603">
            <v>71.03</v>
          </cell>
          <cell r="Q603" t="str">
            <v/>
          </cell>
          <cell r="R603" t="e">
            <v>#N/A</v>
          </cell>
        </row>
        <row r="604">
          <cell r="A604">
            <v>40344</v>
          </cell>
          <cell r="B604">
            <v>40344</v>
          </cell>
          <cell r="C604" t="str">
            <v>Future</v>
          </cell>
          <cell r="D604" t="e">
            <v>#N/A</v>
          </cell>
          <cell r="E604">
            <v>58.166299212598318</v>
          </cell>
          <cell r="F604">
            <v>77.182047244094633</v>
          </cell>
          <cell r="G604">
            <v>68.126929133858511</v>
          </cell>
          <cell r="H604">
            <v>68.126929133858511</v>
          </cell>
          <cell r="I604" t="e">
            <v>#N/A</v>
          </cell>
          <cell r="J604" t="e">
            <v>#N/A</v>
          </cell>
          <cell r="K604" t="e">
            <v>#N/A</v>
          </cell>
          <cell r="L604" t="e">
            <v>#N/A</v>
          </cell>
          <cell r="M604" t="e">
            <v>#N/A</v>
          </cell>
          <cell r="N604" t="e">
            <v>#N/A</v>
          </cell>
          <cell r="O604" t="e">
            <v>#N/A</v>
          </cell>
          <cell r="P604">
            <v>71.03</v>
          </cell>
          <cell r="Q604" t="str">
            <v/>
          </cell>
          <cell r="R604" t="e">
            <v>#N/A</v>
          </cell>
        </row>
        <row r="605">
          <cell r="A605">
            <v>40345</v>
          </cell>
          <cell r="B605">
            <v>40345</v>
          </cell>
          <cell r="C605" t="str">
            <v>Future</v>
          </cell>
          <cell r="D605" t="e">
            <v>#N/A</v>
          </cell>
          <cell r="E605">
            <v>57.886653543306977</v>
          </cell>
          <cell r="F605">
            <v>77.315787401574951</v>
          </cell>
          <cell r="G605">
            <v>68.063818897638043</v>
          </cell>
          <cell r="H605">
            <v>68.063818897638043</v>
          </cell>
          <cell r="I605" t="e">
            <v>#N/A</v>
          </cell>
          <cell r="J605" t="e">
            <v>#N/A</v>
          </cell>
          <cell r="K605" t="e">
            <v>#N/A</v>
          </cell>
          <cell r="L605" t="e">
            <v>#N/A</v>
          </cell>
          <cell r="M605" t="e">
            <v>#N/A</v>
          </cell>
          <cell r="N605" t="e">
            <v>#N/A</v>
          </cell>
          <cell r="O605" t="e">
            <v>#N/A</v>
          </cell>
          <cell r="P605">
            <v>71.03</v>
          </cell>
          <cell r="Q605" t="str">
            <v/>
          </cell>
          <cell r="R605" t="e">
            <v>#N/A</v>
          </cell>
        </row>
        <row r="606">
          <cell r="A606">
            <v>40346</v>
          </cell>
          <cell r="B606">
            <v>40346</v>
          </cell>
          <cell r="C606" t="str">
            <v>Future</v>
          </cell>
          <cell r="D606" t="e">
            <v>#N/A</v>
          </cell>
          <cell r="E606">
            <v>57.607007874015636</v>
          </cell>
          <cell r="F606">
            <v>77.449527559055269</v>
          </cell>
          <cell r="G606">
            <v>68.000708661417576</v>
          </cell>
          <cell r="H606">
            <v>68.000708661417576</v>
          </cell>
          <cell r="I606" t="e">
            <v>#N/A</v>
          </cell>
          <cell r="J606" t="e">
            <v>#N/A</v>
          </cell>
          <cell r="K606" t="e">
            <v>#N/A</v>
          </cell>
          <cell r="L606" t="e">
            <v>#N/A</v>
          </cell>
          <cell r="M606" t="e">
            <v>#N/A</v>
          </cell>
          <cell r="N606" t="e">
            <v>#N/A</v>
          </cell>
          <cell r="O606" t="e">
            <v>#N/A</v>
          </cell>
          <cell r="P606">
            <v>71.03</v>
          </cell>
          <cell r="Q606" t="str">
            <v/>
          </cell>
          <cell r="R606" t="e">
            <v>#N/A</v>
          </cell>
        </row>
        <row r="607">
          <cell r="A607">
            <v>40347</v>
          </cell>
          <cell r="B607">
            <v>40347</v>
          </cell>
          <cell r="C607" t="str">
            <v>Future</v>
          </cell>
          <cell r="D607" t="e">
            <v>#N/A</v>
          </cell>
          <cell r="E607">
            <v>57.327362204724295</v>
          </cell>
          <cell r="F607">
            <v>77.583267716535588</v>
          </cell>
          <cell r="G607">
            <v>67.937598425197109</v>
          </cell>
          <cell r="H607">
            <v>67.937598425197109</v>
          </cell>
          <cell r="I607" t="e">
            <v>#N/A</v>
          </cell>
          <cell r="J607" t="e">
            <v>#N/A</v>
          </cell>
          <cell r="K607" t="e">
            <v>#N/A</v>
          </cell>
          <cell r="L607" t="e">
            <v>#N/A</v>
          </cell>
          <cell r="M607" t="e">
            <v>#N/A</v>
          </cell>
          <cell r="N607" t="e">
            <v>#N/A</v>
          </cell>
          <cell r="O607" t="e">
            <v>#N/A</v>
          </cell>
          <cell r="P607">
            <v>71.03</v>
          </cell>
          <cell r="Q607" t="str">
            <v/>
          </cell>
          <cell r="R607" t="e">
            <v>#N/A</v>
          </cell>
        </row>
        <row r="608">
          <cell r="A608">
            <v>40350</v>
          </cell>
          <cell r="B608">
            <v>40350</v>
          </cell>
          <cell r="C608" t="str">
            <v>Future</v>
          </cell>
          <cell r="D608" t="e">
            <v>#N/A</v>
          </cell>
          <cell r="E608">
            <v>57.047716535432954</v>
          </cell>
          <cell r="F608">
            <v>77.717007874015906</v>
          </cell>
          <cell r="G608">
            <v>67.874488188976642</v>
          </cell>
          <cell r="H608">
            <v>67.874488188976642</v>
          </cell>
          <cell r="I608" t="e">
            <v>#N/A</v>
          </cell>
          <cell r="J608" t="e">
            <v>#N/A</v>
          </cell>
          <cell r="K608" t="e">
            <v>#N/A</v>
          </cell>
          <cell r="L608" t="e">
            <v>#N/A</v>
          </cell>
          <cell r="M608" t="e">
            <v>#N/A</v>
          </cell>
          <cell r="N608" t="e">
            <v>#N/A</v>
          </cell>
          <cell r="O608" t="e">
            <v>#N/A</v>
          </cell>
          <cell r="P608">
            <v>71.03</v>
          </cell>
          <cell r="Q608" t="str">
            <v/>
          </cell>
          <cell r="R608" t="e">
            <v>#N/A</v>
          </cell>
        </row>
        <row r="609">
          <cell r="A609">
            <v>40351</v>
          </cell>
          <cell r="B609">
            <v>40351</v>
          </cell>
          <cell r="C609" t="str">
            <v>Future</v>
          </cell>
          <cell r="D609" t="e">
            <v>#N/A</v>
          </cell>
          <cell r="E609">
            <v>56.768070866141613</v>
          </cell>
          <cell r="F609">
            <v>77.850748031496224</v>
          </cell>
          <cell r="G609">
            <v>67.811377952756175</v>
          </cell>
          <cell r="H609">
            <v>67.811377952756175</v>
          </cell>
          <cell r="I609" t="e">
            <v>#N/A</v>
          </cell>
          <cell r="J609" t="e">
            <v>#N/A</v>
          </cell>
          <cell r="K609" t="e">
            <v>#N/A</v>
          </cell>
          <cell r="L609" t="e">
            <v>#N/A</v>
          </cell>
          <cell r="M609" t="e">
            <v>#N/A</v>
          </cell>
          <cell r="N609" t="e">
            <v>#N/A</v>
          </cell>
          <cell r="O609" t="e">
            <v>#N/A</v>
          </cell>
          <cell r="P609">
            <v>71.03</v>
          </cell>
          <cell r="Q609" t="str">
            <v/>
          </cell>
          <cell r="R609" t="e">
            <v>#N/A</v>
          </cell>
        </row>
        <row r="610">
          <cell r="A610">
            <v>40352</v>
          </cell>
          <cell r="B610">
            <v>40352</v>
          </cell>
          <cell r="C610" t="str">
            <v>Future</v>
          </cell>
          <cell r="D610" t="e">
            <v>#N/A</v>
          </cell>
          <cell r="E610">
            <v>56.488425196850272</v>
          </cell>
          <cell r="F610">
            <v>77.984488188976542</v>
          </cell>
          <cell r="G610">
            <v>67.748267716535707</v>
          </cell>
          <cell r="H610">
            <v>67.748267716535707</v>
          </cell>
          <cell r="I610" t="e">
            <v>#N/A</v>
          </cell>
          <cell r="J610" t="e">
            <v>#N/A</v>
          </cell>
          <cell r="K610" t="e">
            <v>#N/A</v>
          </cell>
          <cell r="L610" t="e">
            <v>#N/A</v>
          </cell>
          <cell r="M610" t="e">
            <v>#N/A</v>
          </cell>
          <cell r="N610" t="e">
            <v>#N/A</v>
          </cell>
          <cell r="O610" t="e">
            <v>#N/A</v>
          </cell>
          <cell r="P610">
            <v>71.03</v>
          </cell>
          <cell r="Q610" t="str">
            <v/>
          </cell>
          <cell r="R610" t="e">
            <v>#N/A</v>
          </cell>
        </row>
        <row r="611">
          <cell r="A611">
            <v>40353</v>
          </cell>
          <cell r="B611">
            <v>40353</v>
          </cell>
          <cell r="C611" t="str">
            <v>Future</v>
          </cell>
          <cell r="D611" t="e">
            <v>#N/A</v>
          </cell>
          <cell r="E611">
            <v>56.208779527558931</v>
          </cell>
          <cell r="F611">
            <v>78.11822834645686</v>
          </cell>
          <cell r="G611">
            <v>67.68515748031524</v>
          </cell>
          <cell r="H611">
            <v>67.68515748031524</v>
          </cell>
          <cell r="I611" t="e">
            <v>#N/A</v>
          </cell>
          <cell r="J611" t="e">
            <v>#N/A</v>
          </cell>
          <cell r="K611" t="e">
            <v>#N/A</v>
          </cell>
          <cell r="L611" t="e">
            <v>#N/A</v>
          </cell>
          <cell r="M611" t="e">
            <v>#N/A</v>
          </cell>
          <cell r="N611" t="e">
            <v>#N/A</v>
          </cell>
          <cell r="O611" t="e">
            <v>#N/A</v>
          </cell>
          <cell r="P611">
            <v>71.03</v>
          </cell>
          <cell r="Q611" t="str">
            <v/>
          </cell>
          <cell r="R611" t="e">
            <v>#N/A</v>
          </cell>
        </row>
        <row r="612">
          <cell r="A612">
            <v>40354</v>
          </cell>
          <cell r="B612">
            <v>40354</v>
          </cell>
          <cell r="C612" t="str">
            <v>Future</v>
          </cell>
          <cell r="D612" t="e">
            <v>#N/A</v>
          </cell>
          <cell r="E612">
            <v>55.929133858267591</v>
          </cell>
          <cell r="F612">
            <v>78.251968503937178</v>
          </cell>
          <cell r="G612">
            <v>67.622047244094773</v>
          </cell>
          <cell r="H612">
            <v>67.622047244094773</v>
          </cell>
          <cell r="I612" t="e">
            <v>#N/A</v>
          </cell>
          <cell r="J612" t="e">
            <v>#N/A</v>
          </cell>
          <cell r="K612" t="e">
            <v>#N/A</v>
          </cell>
          <cell r="L612" t="e">
            <v>#N/A</v>
          </cell>
          <cell r="M612" t="e">
            <v>#N/A</v>
          </cell>
          <cell r="N612" t="e">
            <v>#N/A</v>
          </cell>
          <cell r="O612" t="e">
            <v>#N/A</v>
          </cell>
          <cell r="P612">
            <v>71.03</v>
          </cell>
          <cell r="Q612" t="str">
            <v/>
          </cell>
          <cell r="R612" t="e">
            <v>#N/A</v>
          </cell>
        </row>
        <row r="613">
          <cell r="A613">
            <v>40357</v>
          </cell>
          <cell r="B613">
            <v>40357</v>
          </cell>
          <cell r="C613" t="str">
            <v>Future</v>
          </cell>
          <cell r="D613" t="e">
            <v>#N/A</v>
          </cell>
          <cell r="E613">
            <v>55.64948818897625</v>
          </cell>
          <cell r="F613">
            <v>78.385708661417496</v>
          </cell>
          <cell r="G613">
            <v>67.558937007874306</v>
          </cell>
          <cell r="H613">
            <v>67.558937007874306</v>
          </cell>
          <cell r="I613" t="e">
            <v>#N/A</v>
          </cell>
          <cell r="J613" t="e">
            <v>#N/A</v>
          </cell>
          <cell r="K613" t="e">
            <v>#N/A</v>
          </cell>
          <cell r="L613" t="e">
            <v>#N/A</v>
          </cell>
          <cell r="M613" t="e">
            <v>#N/A</v>
          </cell>
          <cell r="N613" t="e">
            <v>#N/A</v>
          </cell>
          <cell r="O613" t="e">
            <v>#N/A</v>
          </cell>
          <cell r="P613">
            <v>71.03</v>
          </cell>
          <cell r="Q613" t="str">
            <v/>
          </cell>
          <cell r="R613" t="e">
            <v>#N/A</v>
          </cell>
        </row>
        <row r="614">
          <cell r="A614">
            <v>40358</v>
          </cell>
          <cell r="B614">
            <v>40358</v>
          </cell>
          <cell r="C614" t="str">
            <v>Future</v>
          </cell>
          <cell r="D614" t="e">
            <v>#N/A</v>
          </cell>
          <cell r="E614">
            <v>55.369842519684909</v>
          </cell>
          <cell r="F614">
            <v>78.519448818897814</v>
          </cell>
          <cell r="G614">
            <v>67.495826771653839</v>
          </cell>
          <cell r="H614">
            <v>67.495826771653839</v>
          </cell>
          <cell r="I614" t="e">
            <v>#N/A</v>
          </cell>
          <cell r="J614" t="e">
            <v>#N/A</v>
          </cell>
          <cell r="K614" t="e">
            <v>#N/A</v>
          </cell>
          <cell r="L614" t="e">
            <v>#N/A</v>
          </cell>
          <cell r="M614" t="e">
            <v>#N/A</v>
          </cell>
          <cell r="N614" t="e">
            <v>#N/A</v>
          </cell>
          <cell r="O614" t="e">
            <v>#N/A</v>
          </cell>
          <cell r="P614">
            <v>71.03</v>
          </cell>
          <cell r="Q614" t="str">
            <v/>
          </cell>
          <cell r="R614" t="e">
            <v>#N/A</v>
          </cell>
        </row>
        <row r="615">
          <cell r="A615">
            <v>40359</v>
          </cell>
          <cell r="B615">
            <v>40359</v>
          </cell>
          <cell r="C615" t="str">
            <v>Future</v>
          </cell>
          <cell r="D615" t="e">
            <v>#N/A</v>
          </cell>
          <cell r="E615">
            <v>55.090196850393568</v>
          </cell>
          <cell r="F615">
            <v>78.653188976378132</v>
          </cell>
          <cell r="G615">
            <v>67.432716535433372</v>
          </cell>
          <cell r="H615">
            <v>67.432716535433372</v>
          </cell>
          <cell r="I615" t="e">
            <v>#N/A</v>
          </cell>
          <cell r="J615" t="e">
            <v>#N/A</v>
          </cell>
          <cell r="K615" t="e">
            <v>#N/A</v>
          </cell>
          <cell r="L615" t="e">
            <v>#N/A</v>
          </cell>
          <cell r="M615" t="e">
            <v>#N/A</v>
          </cell>
          <cell r="N615" t="e">
            <v>#N/A</v>
          </cell>
          <cell r="O615" t="e">
            <v>#N/A</v>
          </cell>
          <cell r="P615">
            <v>71.03</v>
          </cell>
          <cell r="Q615" t="str">
            <v/>
          </cell>
          <cell r="R615" t="e">
            <v>#N/A</v>
          </cell>
        </row>
        <row r="616">
          <cell r="A616">
            <v>40360</v>
          </cell>
          <cell r="B616">
            <v>40360</v>
          </cell>
          <cell r="C616" t="str">
            <v>Future</v>
          </cell>
          <cell r="D616" t="e">
            <v>#N/A</v>
          </cell>
          <cell r="E616">
            <v>54.810551181102227</v>
          </cell>
          <cell r="F616">
            <v>78.78692913385845</v>
          </cell>
          <cell r="G616">
            <v>67.369606299212904</v>
          </cell>
          <cell r="H616">
            <v>67.369606299212904</v>
          </cell>
          <cell r="I616" t="e">
            <v>#N/A</v>
          </cell>
          <cell r="J616" t="e">
            <v>#N/A</v>
          </cell>
          <cell r="K616" t="e">
            <v>#N/A</v>
          </cell>
          <cell r="L616" t="e">
            <v>#N/A</v>
          </cell>
          <cell r="M616" t="e">
            <v>#N/A</v>
          </cell>
          <cell r="N616" t="e">
            <v>#N/A</v>
          </cell>
          <cell r="O616" t="e">
            <v>#N/A</v>
          </cell>
          <cell r="P616">
            <v>71.03</v>
          </cell>
          <cell r="Q616" t="str">
            <v/>
          </cell>
          <cell r="R616" t="e">
            <v>#N/A</v>
          </cell>
        </row>
        <row r="617">
          <cell r="A617">
            <v>40361</v>
          </cell>
          <cell r="B617">
            <v>40361</v>
          </cell>
          <cell r="C617" t="str">
            <v>Future</v>
          </cell>
          <cell r="D617" t="e">
            <v>#N/A</v>
          </cell>
          <cell r="E617">
            <v>54.530905511810886</v>
          </cell>
          <cell r="F617">
            <v>78.920669291338768</v>
          </cell>
          <cell r="G617">
            <v>67.306496062992437</v>
          </cell>
          <cell r="H617">
            <v>67.306496062992437</v>
          </cell>
          <cell r="I617" t="e">
            <v>#N/A</v>
          </cell>
          <cell r="J617" t="e">
            <v>#N/A</v>
          </cell>
          <cell r="K617" t="e">
            <v>#N/A</v>
          </cell>
          <cell r="L617" t="e">
            <v>#N/A</v>
          </cell>
          <cell r="M617" t="e">
            <v>#N/A</v>
          </cell>
          <cell r="N617" t="e">
            <v>#N/A</v>
          </cell>
          <cell r="O617" t="e">
            <v>#N/A</v>
          </cell>
          <cell r="P617">
            <v>71.03</v>
          </cell>
          <cell r="Q617" t="str">
            <v/>
          </cell>
          <cell r="R617" t="e">
            <v>#N/A</v>
          </cell>
        </row>
        <row r="618">
          <cell r="A618">
            <v>40365</v>
          </cell>
          <cell r="B618">
            <v>40365</v>
          </cell>
          <cell r="C618" t="str">
            <v>Future</v>
          </cell>
          <cell r="D618" t="e">
            <v>#N/A</v>
          </cell>
          <cell r="E618">
            <v>54.251259842519545</v>
          </cell>
          <cell r="F618">
            <v>79.054409448819086</v>
          </cell>
          <cell r="G618">
            <v>67.24338582677197</v>
          </cell>
          <cell r="H618">
            <v>67.24338582677197</v>
          </cell>
          <cell r="I618" t="e">
            <v>#N/A</v>
          </cell>
          <cell r="J618" t="e">
            <v>#N/A</v>
          </cell>
          <cell r="K618" t="e">
            <v>#N/A</v>
          </cell>
          <cell r="L618" t="e">
            <v>#N/A</v>
          </cell>
          <cell r="M618" t="e">
            <v>#N/A</v>
          </cell>
          <cell r="N618" t="e">
            <v>#N/A</v>
          </cell>
          <cell r="O618" t="e">
            <v>#N/A</v>
          </cell>
          <cell r="P618">
            <v>71.03</v>
          </cell>
          <cell r="Q618" t="str">
            <v/>
          </cell>
          <cell r="R618" t="e">
            <v>#N/A</v>
          </cell>
        </row>
        <row r="619">
          <cell r="A619">
            <v>40366</v>
          </cell>
          <cell r="B619">
            <v>40366</v>
          </cell>
          <cell r="C619" t="str">
            <v>Future</v>
          </cell>
          <cell r="D619" t="e">
            <v>#N/A</v>
          </cell>
          <cell r="E619">
            <v>53.971614173228204</v>
          </cell>
          <cell r="F619">
            <v>79.188149606299405</v>
          </cell>
          <cell r="G619">
            <v>67.180275590551503</v>
          </cell>
          <cell r="H619">
            <v>67.180275590551503</v>
          </cell>
          <cell r="I619" t="e">
            <v>#N/A</v>
          </cell>
          <cell r="J619" t="e">
            <v>#N/A</v>
          </cell>
          <cell r="K619" t="e">
            <v>#N/A</v>
          </cell>
          <cell r="L619" t="e">
            <v>#N/A</v>
          </cell>
          <cell r="M619" t="e">
            <v>#N/A</v>
          </cell>
          <cell r="N619" t="e">
            <v>#N/A</v>
          </cell>
          <cell r="O619" t="e">
            <v>#N/A</v>
          </cell>
          <cell r="P619">
            <v>71.03</v>
          </cell>
          <cell r="Q619" t="str">
            <v/>
          </cell>
          <cell r="R619" t="e">
            <v>#N/A</v>
          </cell>
        </row>
        <row r="620">
          <cell r="A620">
            <v>40367</v>
          </cell>
          <cell r="B620">
            <v>40367</v>
          </cell>
          <cell r="C620" t="str">
            <v>Future</v>
          </cell>
          <cell r="D620" t="e">
            <v>#N/A</v>
          </cell>
          <cell r="E620">
            <v>53.691968503936863</v>
          </cell>
          <cell r="F620">
            <v>79.321889763779723</v>
          </cell>
          <cell r="G620">
            <v>67.117165354331036</v>
          </cell>
          <cell r="H620">
            <v>67.117165354331036</v>
          </cell>
          <cell r="I620" t="e">
            <v>#N/A</v>
          </cell>
          <cell r="J620" t="e">
            <v>#N/A</v>
          </cell>
          <cell r="K620" t="e">
            <v>#N/A</v>
          </cell>
          <cell r="L620" t="e">
            <v>#N/A</v>
          </cell>
          <cell r="M620" t="e">
            <v>#N/A</v>
          </cell>
          <cell r="N620" t="e">
            <v>#N/A</v>
          </cell>
          <cell r="O620" t="e">
            <v>#N/A</v>
          </cell>
          <cell r="P620">
            <v>71.03</v>
          </cell>
          <cell r="Q620" t="str">
            <v/>
          </cell>
          <cell r="R620" t="e">
            <v>#N/A</v>
          </cell>
        </row>
        <row r="621">
          <cell r="A621">
            <v>40368</v>
          </cell>
          <cell r="B621">
            <v>40368</v>
          </cell>
          <cell r="C621" t="str">
            <v>Future</v>
          </cell>
          <cell r="D621" t="e">
            <v>#N/A</v>
          </cell>
          <cell r="E621">
            <v>53.412322834645522</v>
          </cell>
          <cell r="F621">
            <v>79.455629921260041</v>
          </cell>
          <cell r="G621">
            <v>67.054055118110568</v>
          </cell>
          <cell r="H621">
            <v>67.054055118110568</v>
          </cell>
          <cell r="I621" t="e">
            <v>#N/A</v>
          </cell>
          <cell r="J621" t="e">
            <v>#N/A</v>
          </cell>
          <cell r="K621" t="e">
            <v>#N/A</v>
          </cell>
          <cell r="L621" t="e">
            <v>#N/A</v>
          </cell>
          <cell r="M621" t="e">
            <v>#N/A</v>
          </cell>
          <cell r="N621" t="e">
            <v>#N/A</v>
          </cell>
          <cell r="O621" t="e">
            <v>#N/A</v>
          </cell>
          <cell r="P621">
            <v>71.03</v>
          </cell>
          <cell r="Q621" t="str">
            <v/>
          </cell>
          <cell r="R621" t="e">
            <v>#N/A</v>
          </cell>
        </row>
        <row r="622">
          <cell r="A622">
            <v>40371</v>
          </cell>
          <cell r="B622">
            <v>40371</v>
          </cell>
          <cell r="C622" t="str">
            <v>Future</v>
          </cell>
          <cell r="D622" t="e">
            <v>#N/A</v>
          </cell>
          <cell r="E622">
            <v>53.132677165354181</v>
          </cell>
          <cell r="F622">
            <v>79.589370078740359</v>
          </cell>
          <cell r="G622">
            <v>66.990944881890101</v>
          </cell>
          <cell r="H622">
            <v>66.990944881890101</v>
          </cell>
          <cell r="I622" t="e">
            <v>#N/A</v>
          </cell>
          <cell r="J622" t="e">
            <v>#N/A</v>
          </cell>
          <cell r="K622" t="e">
            <v>#N/A</v>
          </cell>
          <cell r="L622" t="e">
            <v>#N/A</v>
          </cell>
          <cell r="M622" t="e">
            <v>#N/A</v>
          </cell>
          <cell r="N622" t="e">
            <v>#N/A</v>
          </cell>
          <cell r="O622" t="e">
            <v>#N/A</v>
          </cell>
          <cell r="P622">
            <v>71.03</v>
          </cell>
          <cell r="Q622" t="str">
            <v/>
          </cell>
          <cell r="R622" t="e">
            <v>#N/A</v>
          </cell>
        </row>
        <row r="623">
          <cell r="A623">
            <v>40372</v>
          </cell>
          <cell r="B623">
            <v>40372</v>
          </cell>
          <cell r="C623" t="str">
            <v>Future</v>
          </cell>
          <cell r="D623" t="e">
            <v>#N/A</v>
          </cell>
          <cell r="E623">
            <v>52.85303149606284</v>
          </cell>
          <cell r="F623">
            <v>79.723110236220677</v>
          </cell>
          <cell r="G623">
            <v>66.927834645669634</v>
          </cell>
          <cell r="H623">
            <v>66.927834645669634</v>
          </cell>
          <cell r="I623" t="e">
            <v>#N/A</v>
          </cell>
          <cell r="J623" t="e">
            <v>#N/A</v>
          </cell>
          <cell r="K623" t="e">
            <v>#N/A</v>
          </cell>
          <cell r="L623" t="e">
            <v>#N/A</v>
          </cell>
          <cell r="M623" t="e">
            <v>#N/A</v>
          </cell>
          <cell r="N623" t="e">
            <v>#N/A</v>
          </cell>
          <cell r="O623" t="e">
            <v>#N/A</v>
          </cell>
          <cell r="P623">
            <v>71.03</v>
          </cell>
          <cell r="Q623" t="str">
            <v/>
          </cell>
          <cell r="R623" t="e">
            <v>#N/A</v>
          </cell>
        </row>
        <row r="624">
          <cell r="A624">
            <v>40373</v>
          </cell>
          <cell r="B624">
            <v>40373</v>
          </cell>
          <cell r="C624" t="str">
            <v>Future</v>
          </cell>
          <cell r="D624" t="e">
            <v>#N/A</v>
          </cell>
          <cell r="E624">
            <v>52.573385826771499</v>
          </cell>
          <cell r="F624">
            <v>79.856850393700995</v>
          </cell>
          <cell r="G624">
            <v>66.864724409449167</v>
          </cell>
          <cell r="H624">
            <v>66.864724409449167</v>
          </cell>
          <cell r="I624" t="e">
            <v>#N/A</v>
          </cell>
          <cell r="J624" t="e">
            <v>#N/A</v>
          </cell>
          <cell r="K624" t="e">
            <v>#N/A</v>
          </cell>
          <cell r="L624" t="e">
            <v>#N/A</v>
          </cell>
          <cell r="M624" t="e">
            <v>#N/A</v>
          </cell>
          <cell r="N624" t="e">
            <v>#N/A</v>
          </cell>
          <cell r="O624" t="e">
            <v>#N/A</v>
          </cell>
          <cell r="P624">
            <v>71.03</v>
          </cell>
          <cell r="Q624" t="str">
            <v/>
          </cell>
          <cell r="R624" t="e">
            <v>#N/A</v>
          </cell>
        </row>
        <row r="625">
          <cell r="A625">
            <v>40374</v>
          </cell>
          <cell r="B625">
            <v>40374</v>
          </cell>
          <cell r="C625" t="str">
            <v>Future</v>
          </cell>
          <cell r="D625" t="e">
            <v>#N/A</v>
          </cell>
          <cell r="E625">
            <v>52.293740157480158</v>
          </cell>
          <cell r="F625">
            <v>79.990590551181313</v>
          </cell>
          <cell r="G625">
            <v>66.8016141732287</v>
          </cell>
          <cell r="H625">
            <v>66.8016141732287</v>
          </cell>
          <cell r="I625" t="e">
            <v>#N/A</v>
          </cell>
          <cell r="J625" t="e">
            <v>#N/A</v>
          </cell>
          <cell r="K625" t="e">
            <v>#N/A</v>
          </cell>
          <cell r="L625" t="e">
            <v>#N/A</v>
          </cell>
          <cell r="M625" t="e">
            <v>#N/A</v>
          </cell>
          <cell r="N625" t="e">
            <v>#N/A</v>
          </cell>
          <cell r="O625" t="e">
            <v>#N/A</v>
          </cell>
          <cell r="P625">
            <v>71.03</v>
          </cell>
          <cell r="Q625" t="str">
            <v/>
          </cell>
          <cell r="R625" t="e">
            <v>#N/A</v>
          </cell>
        </row>
        <row r="626">
          <cell r="A626">
            <v>40375</v>
          </cell>
          <cell r="B626">
            <v>40375</v>
          </cell>
          <cell r="C626" t="str">
            <v>Future</v>
          </cell>
          <cell r="D626" t="e">
            <v>#N/A</v>
          </cell>
          <cell r="E626">
            <v>52.014094488188817</v>
          </cell>
          <cell r="F626">
            <v>80.124330708661631</v>
          </cell>
          <cell r="G626">
            <v>66.738503937008232</v>
          </cell>
          <cell r="H626">
            <v>66.738503937008232</v>
          </cell>
          <cell r="I626" t="e">
            <v>#N/A</v>
          </cell>
          <cell r="J626" t="e">
            <v>#N/A</v>
          </cell>
          <cell r="K626" t="e">
            <v>#N/A</v>
          </cell>
          <cell r="L626" t="e">
            <v>#N/A</v>
          </cell>
          <cell r="M626" t="e">
            <v>#N/A</v>
          </cell>
          <cell r="N626" t="e">
            <v>#N/A</v>
          </cell>
          <cell r="O626" t="e">
            <v>#N/A</v>
          </cell>
          <cell r="P626">
            <v>71.03</v>
          </cell>
          <cell r="Q626" t="str">
            <v/>
          </cell>
          <cell r="R626" t="e">
            <v>#N/A</v>
          </cell>
        </row>
        <row r="627">
          <cell r="A627">
            <v>40378</v>
          </cell>
          <cell r="B627">
            <v>40378</v>
          </cell>
          <cell r="C627" t="str">
            <v>Future</v>
          </cell>
          <cell r="D627" t="e">
            <v>#N/A</v>
          </cell>
          <cell r="E627">
            <v>51.734448818897476</v>
          </cell>
          <cell r="F627">
            <v>80.258070866141949</v>
          </cell>
          <cell r="G627">
            <v>66.675393700787765</v>
          </cell>
          <cell r="H627">
            <v>66.675393700787765</v>
          </cell>
          <cell r="I627" t="e">
            <v>#N/A</v>
          </cell>
          <cell r="J627" t="e">
            <v>#N/A</v>
          </cell>
          <cell r="K627" t="e">
            <v>#N/A</v>
          </cell>
          <cell r="L627" t="e">
            <v>#N/A</v>
          </cell>
          <cell r="M627" t="e">
            <v>#N/A</v>
          </cell>
          <cell r="N627" t="e">
            <v>#N/A</v>
          </cell>
          <cell r="O627" t="e">
            <v>#N/A</v>
          </cell>
          <cell r="P627">
            <v>71.03</v>
          </cell>
          <cell r="Q627" t="str">
            <v/>
          </cell>
          <cell r="R627" t="e">
            <v>#N/A</v>
          </cell>
        </row>
        <row r="628">
          <cell r="A628">
            <v>40379</v>
          </cell>
          <cell r="B628">
            <v>40379</v>
          </cell>
          <cell r="C628" t="str">
            <v>Future</v>
          </cell>
          <cell r="D628" t="e">
            <v>#N/A</v>
          </cell>
          <cell r="E628">
            <v>51.454803149606136</v>
          </cell>
          <cell r="F628">
            <v>80.391811023622267</v>
          </cell>
          <cell r="G628">
            <v>66.612283464567298</v>
          </cell>
          <cell r="H628">
            <v>66.612283464567298</v>
          </cell>
          <cell r="I628" t="e">
            <v>#N/A</v>
          </cell>
          <cell r="J628" t="e">
            <v>#N/A</v>
          </cell>
          <cell r="K628" t="e">
            <v>#N/A</v>
          </cell>
          <cell r="L628" t="e">
            <v>#N/A</v>
          </cell>
          <cell r="M628" t="e">
            <v>#N/A</v>
          </cell>
          <cell r="N628" t="e">
            <v>#N/A</v>
          </cell>
          <cell r="O628" t="e">
            <v>#N/A</v>
          </cell>
          <cell r="P628">
            <v>71.03</v>
          </cell>
          <cell r="Q628" t="str">
            <v/>
          </cell>
          <cell r="R628" t="e">
            <v>#N/A</v>
          </cell>
        </row>
        <row r="629">
          <cell r="A629">
            <v>40380</v>
          </cell>
          <cell r="B629">
            <v>40380</v>
          </cell>
          <cell r="C629" t="str">
            <v>Future</v>
          </cell>
          <cell r="D629" t="e">
            <v>#N/A</v>
          </cell>
          <cell r="E629">
            <v>51.175157480314795</v>
          </cell>
          <cell r="F629">
            <v>80.525551181102585</v>
          </cell>
          <cell r="G629">
            <v>66.549173228346831</v>
          </cell>
          <cell r="H629">
            <v>66.549173228346831</v>
          </cell>
          <cell r="I629" t="e">
            <v>#N/A</v>
          </cell>
          <cell r="J629" t="e">
            <v>#N/A</v>
          </cell>
          <cell r="K629" t="e">
            <v>#N/A</v>
          </cell>
          <cell r="L629" t="e">
            <v>#N/A</v>
          </cell>
          <cell r="M629" t="e">
            <v>#N/A</v>
          </cell>
          <cell r="N629" t="e">
            <v>#N/A</v>
          </cell>
          <cell r="O629" t="e">
            <v>#N/A</v>
          </cell>
          <cell r="P629">
            <v>71.03</v>
          </cell>
          <cell r="Q629" t="str">
            <v/>
          </cell>
          <cell r="R629" t="e">
            <v>#N/A</v>
          </cell>
        </row>
        <row r="630">
          <cell r="A630">
            <v>40381</v>
          </cell>
          <cell r="B630">
            <v>40381</v>
          </cell>
          <cell r="C630" t="str">
            <v>Future</v>
          </cell>
          <cell r="D630" t="e">
            <v>#N/A</v>
          </cell>
          <cell r="E630">
            <v>50.895511811023454</v>
          </cell>
          <cell r="F630">
            <v>80.659291338582904</v>
          </cell>
          <cell r="G630">
            <v>66.486062992126364</v>
          </cell>
          <cell r="H630">
            <v>66.486062992126364</v>
          </cell>
          <cell r="I630" t="e">
            <v>#N/A</v>
          </cell>
          <cell r="J630" t="e">
            <v>#N/A</v>
          </cell>
          <cell r="K630" t="e">
            <v>#N/A</v>
          </cell>
          <cell r="L630" t="e">
            <v>#N/A</v>
          </cell>
          <cell r="M630" t="e">
            <v>#N/A</v>
          </cell>
          <cell r="N630" t="e">
            <v>#N/A</v>
          </cell>
          <cell r="O630" t="e">
            <v>#N/A</v>
          </cell>
          <cell r="P630">
            <v>71.03</v>
          </cell>
          <cell r="Q630" t="str">
            <v/>
          </cell>
          <cell r="R630" t="e">
            <v>#N/A</v>
          </cell>
        </row>
        <row r="631">
          <cell r="A631">
            <v>40382</v>
          </cell>
          <cell r="B631">
            <v>40382</v>
          </cell>
          <cell r="C631" t="str">
            <v>Future</v>
          </cell>
          <cell r="D631" t="e">
            <v>#N/A</v>
          </cell>
          <cell r="E631">
            <v>50.615866141732113</v>
          </cell>
          <cell r="F631">
            <v>80.793031496063222</v>
          </cell>
          <cell r="G631">
            <v>66.422952755905897</v>
          </cell>
          <cell r="H631">
            <v>66.422952755905897</v>
          </cell>
          <cell r="I631" t="e">
            <v>#N/A</v>
          </cell>
          <cell r="J631" t="e">
            <v>#N/A</v>
          </cell>
          <cell r="K631" t="e">
            <v>#N/A</v>
          </cell>
          <cell r="L631" t="e">
            <v>#N/A</v>
          </cell>
          <cell r="M631" t="e">
            <v>#N/A</v>
          </cell>
          <cell r="N631" t="e">
            <v>#N/A</v>
          </cell>
          <cell r="O631" t="e">
            <v>#N/A</v>
          </cell>
          <cell r="P631">
            <v>71.03</v>
          </cell>
          <cell r="Q631" t="str">
            <v/>
          </cell>
          <cell r="R631" t="e">
            <v>#N/A</v>
          </cell>
        </row>
        <row r="632">
          <cell r="A632">
            <v>40385</v>
          </cell>
          <cell r="B632">
            <v>40385</v>
          </cell>
          <cell r="C632" t="str">
            <v>Future</v>
          </cell>
          <cell r="D632" t="e">
            <v>#N/A</v>
          </cell>
          <cell r="E632">
            <v>50.336220472440772</v>
          </cell>
          <cell r="F632">
            <v>80.92677165354354</v>
          </cell>
          <cell r="G632">
            <v>66.359842519685429</v>
          </cell>
          <cell r="H632">
            <v>66.359842519685429</v>
          </cell>
          <cell r="I632" t="e">
            <v>#N/A</v>
          </cell>
          <cell r="J632" t="e">
            <v>#N/A</v>
          </cell>
          <cell r="K632" t="e">
            <v>#N/A</v>
          </cell>
          <cell r="L632" t="e">
            <v>#N/A</v>
          </cell>
          <cell r="M632" t="e">
            <v>#N/A</v>
          </cell>
          <cell r="N632" t="e">
            <v>#N/A</v>
          </cell>
          <cell r="O632" t="e">
            <v>#N/A</v>
          </cell>
          <cell r="P632">
            <v>71.03</v>
          </cell>
          <cell r="Q632" t="str">
            <v/>
          </cell>
          <cell r="R632" t="e">
            <v>#N/A</v>
          </cell>
        </row>
        <row r="633">
          <cell r="A633">
            <v>40386</v>
          </cell>
          <cell r="B633">
            <v>40386</v>
          </cell>
          <cell r="C633" t="str">
            <v>Future</v>
          </cell>
          <cell r="D633" t="e">
            <v>#N/A</v>
          </cell>
          <cell r="E633">
            <v>50.056574803149431</v>
          </cell>
          <cell r="F633">
            <v>81.060511811023858</v>
          </cell>
          <cell r="G633">
            <v>66.296732283464962</v>
          </cell>
          <cell r="H633">
            <v>66.296732283464962</v>
          </cell>
          <cell r="I633" t="e">
            <v>#N/A</v>
          </cell>
          <cell r="J633" t="e">
            <v>#N/A</v>
          </cell>
          <cell r="K633" t="e">
            <v>#N/A</v>
          </cell>
          <cell r="L633" t="e">
            <v>#N/A</v>
          </cell>
          <cell r="M633" t="e">
            <v>#N/A</v>
          </cell>
          <cell r="N633" t="e">
            <v>#N/A</v>
          </cell>
          <cell r="O633" t="e">
            <v>#N/A</v>
          </cell>
          <cell r="P633">
            <v>71.03</v>
          </cell>
          <cell r="Q633" t="str">
            <v/>
          </cell>
          <cell r="R633" t="e">
            <v>#N/A</v>
          </cell>
        </row>
        <row r="634">
          <cell r="A634">
            <v>40387</v>
          </cell>
          <cell r="B634">
            <v>40387</v>
          </cell>
          <cell r="C634" t="str">
            <v>Future</v>
          </cell>
          <cell r="D634" t="e">
            <v>#N/A</v>
          </cell>
          <cell r="E634">
            <v>49.77692913385809</v>
          </cell>
          <cell r="F634">
            <v>81.194251968504176</v>
          </cell>
          <cell r="G634">
            <v>66.233622047244495</v>
          </cell>
          <cell r="H634">
            <v>66.233622047244495</v>
          </cell>
          <cell r="I634" t="e">
            <v>#N/A</v>
          </cell>
          <cell r="J634" t="e">
            <v>#N/A</v>
          </cell>
          <cell r="K634" t="e">
            <v>#N/A</v>
          </cell>
          <cell r="L634" t="e">
            <v>#N/A</v>
          </cell>
          <cell r="M634" t="e">
            <v>#N/A</v>
          </cell>
          <cell r="N634" t="e">
            <v>#N/A</v>
          </cell>
          <cell r="O634" t="e">
            <v>#N/A</v>
          </cell>
          <cell r="P634">
            <v>71.03</v>
          </cell>
          <cell r="Q634" t="str">
            <v/>
          </cell>
          <cell r="R634" t="e">
            <v>#N/A</v>
          </cell>
        </row>
        <row r="635">
          <cell r="A635">
            <v>40388</v>
          </cell>
          <cell r="B635">
            <v>40388</v>
          </cell>
          <cell r="C635" t="str">
            <v>Future</v>
          </cell>
          <cell r="D635" t="e">
            <v>#N/A</v>
          </cell>
          <cell r="E635">
            <v>49.497283464566749</v>
          </cell>
          <cell r="F635">
            <v>81.327992125984494</v>
          </cell>
          <cell r="G635">
            <v>66.170511811024028</v>
          </cell>
          <cell r="H635">
            <v>66.170511811024028</v>
          </cell>
          <cell r="I635" t="e">
            <v>#N/A</v>
          </cell>
          <cell r="J635" t="e">
            <v>#N/A</v>
          </cell>
          <cell r="K635" t="e">
            <v>#N/A</v>
          </cell>
          <cell r="L635" t="e">
            <v>#N/A</v>
          </cell>
          <cell r="M635" t="e">
            <v>#N/A</v>
          </cell>
          <cell r="N635" t="e">
            <v>#N/A</v>
          </cell>
          <cell r="O635" t="e">
            <v>#N/A</v>
          </cell>
          <cell r="P635">
            <v>71.03</v>
          </cell>
          <cell r="Q635" t="str">
            <v/>
          </cell>
          <cell r="R635" t="e">
            <v>#N/A</v>
          </cell>
        </row>
        <row r="636">
          <cell r="A636">
            <v>40389</v>
          </cell>
          <cell r="B636">
            <v>40389</v>
          </cell>
          <cell r="C636" t="str">
            <v>Future</v>
          </cell>
          <cell r="D636" t="e">
            <v>#N/A</v>
          </cell>
          <cell r="E636">
            <v>49.217637795275408</v>
          </cell>
          <cell r="F636">
            <v>81.461732283464812</v>
          </cell>
          <cell r="G636">
            <v>66.107401574803561</v>
          </cell>
          <cell r="H636">
            <v>66.107401574803561</v>
          </cell>
          <cell r="I636" t="e">
            <v>#N/A</v>
          </cell>
          <cell r="J636" t="e">
            <v>#N/A</v>
          </cell>
          <cell r="K636" t="e">
            <v>#N/A</v>
          </cell>
          <cell r="L636" t="e">
            <v>#N/A</v>
          </cell>
          <cell r="M636" t="e">
            <v>#N/A</v>
          </cell>
          <cell r="N636" t="e">
            <v>#N/A</v>
          </cell>
          <cell r="O636" t="e">
            <v>#N/A</v>
          </cell>
          <cell r="P636">
            <v>71.03</v>
          </cell>
          <cell r="Q636" t="str">
            <v/>
          </cell>
          <cell r="R636" t="e">
            <v>#N/A</v>
          </cell>
        </row>
        <row r="637">
          <cell r="A637">
            <v>40392</v>
          </cell>
          <cell r="B637">
            <v>40392</v>
          </cell>
          <cell r="C637" t="str">
            <v>Future</v>
          </cell>
          <cell r="D637" t="e">
            <v>#N/A</v>
          </cell>
          <cell r="E637">
            <v>48.937992125984067</v>
          </cell>
          <cell r="F637">
            <v>81.59547244094513</v>
          </cell>
          <cell r="G637">
            <v>66.044291338583093</v>
          </cell>
          <cell r="H637">
            <v>66.044291338583093</v>
          </cell>
          <cell r="I637" t="e">
            <v>#N/A</v>
          </cell>
          <cell r="J637" t="e">
            <v>#N/A</v>
          </cell>
          <cell r="K637" t="e">
            <v>#N/A</v>
          </cell>
          <cell r="L637" t="e">
            <v>#N/A</v>
          </cell>
          <cell r="M637" t="e">
            <v>#N/A</v>
          </cell>
          <cell r="N637" t="e">
            <v>#N/A</v>
          </cell>
          <cell r="O637" t="e">
            <v>#N/A</v>
          </cell>
          <cell r="P637">
            <v>71.03</v>
          </cell>
          <cell r="Q637" t="str">
            <v/>
          </cell>
          <cell r="R637" t="e">
            <v>#N/A</v>
          </cell>
        </row>
        <row r="638">
          <cell r="A638">
            <v>40393</v>
          </cell>
          <cell r="B638">
            <v>40393</v>
          </cell>
          <cell r="C638" t="str">
            <v>Future</v>
          </cell>
          <cell r="D638" t="e">
            <v>#N/A</v>
          </cell>
          <cell r="E638">
            <v>48.658346456692726</v>
          </cell>
          <cell r="F638">
            <v>81.729212598425448</v>
          </cell>
          <cell r="G638">
            <v>65.981181102362626</v>
          </cell>
          <cell r="H638">
            <v>65.981181102362626</v>
          </cell>
          <cell r="I638" t="e">
            <v>#N/A</v>
          </cell>
          <cell r="J638" t="e">
            <v>#N/A</v>
          </cell>
          <cell r="K638" t="e">
            <v>#N/A</v>
          </cell>
          <cell r="L638" t="e">
            <v>#N/A</v>
          </cell>
          <cell r="M638" t="e">
            <v>#N/A</v>
          </cell>
          <cell r="N638" t="e">
            <v>#N/A</v>
          </cell>
          <cell r="O638" t="e">
            <v>#N/A</v>
          </cell>
          <cell r="P638">
            <v>71.03</v>
          </cell>
          <cell r="Q638" t="str">
            <v/>
          </cell>
          <cell r="R638" t="e">
            <v>#N/A</v>
          </cell>
        </row>
        <row r="639">
          <cell r="A639">
            <v>40394</v>
          </cell>
          <cell r="B639">
            <v>40394</v>
          </cell>
          <cell r="C639" t="str">
            <v>Future</v>
          </cell>
          <cell r="D639" t="e">
            <v>#N/A</v>
          </cell>
          <cell r="E639">
            <v>48.378700787401385</v>
          </cell>
          <cell r="F639">
            <v>81.862952755905766</v>
          </cell>
          <cell r="G639">
            <v>65.918070866142159</v>
          </cell>
          <cell r="H639">
            <v>65.918070866142159</v>
          </cell>
          <cell r="I639" t="e">
            <v>#N/A</v>
          </cell>
          <cell r="J639" t="e">
            <v>#N/A</v>
          </cell>
          <cell r="K639" t="e">
            <v>#N/A</v>
          </cell>
          <cell r="L639" t="e">
            <v>#N/A</v>
          </cell>
          <cell r="M639" t="e">
            <v>#N/A</v>
          </cell>
          <cell r="N639" t="e">
            <v>#N/A</v>
          </cell>
          <cell r="O639" t="e">
            <v>#N/A</v>
          </cell>
          <cell r="P639">
            <v>71.03</v>
          </cell>
          <cell r="Q639" t="str">
            <v/>
          </cell>
          <cell r="R639" t="e">
            <v>#N/A</v>
          </cell>
        </row>
        <row r="640">
          <cell r="A640">
            <v>40395</v>
          </cell>
          <cell r="B640">
            <v>40395</v>
          </cell>
          <cell r="C640" t="str">
            <v>Future</v>
          </cell>
          <cell r="D640" t="e">
            <v>#N/A</v>
          </cell>
          <cell r="E640">
            <v>48.099055118110044</v>
          </cell>
          <cell r="F640">
            <v>81.996692913386084</v>
          </cell>
          <cell r="G640">
            <v>65.854960629921692</v>
          </cell>
          <cell r="H640">
            <v>65.854960629921692</v>
          </cell>
          <cell r="I640" t="e">
            <v>#N/A</v>
          </cell>
          <cell r="J640" t="e">
            <v>#N/A</v>
          </cell>
          <cell r="K640" t="e">
            <v>#N/A</v>
          </cell>
          <cell r="L640" t="e">
            <v>#N/A</v>
          </cell>
          <cell r="M640" t="e">
            <v>#N/A</v>
          </cell>
          <cell r="N640" t="e">
            <v>#N/A</v>
          </cell>
          <cell r="O640" t="e">
            <v>#N/A</v>
          </cell>
          <cell r="P640">
            <v>71.03</v>
          </cell>
          <cell r="Q640" t="str">
            <v/>
          </cell>
          <cell r="R640" t="e">
            <v>#N/A</v>
          </cell>
        </row>
        <row r="641">
          <cell r="A641">
            <v>40396</v>
          </cell>
          <cell r="B641">
            <v>40396</v>
          </cell>
          <cell r="C641" t="str">
            <v>Future</v>
          </cell>
          <cell r="D641" t="e">
            <v>#N/A</v>
          </cell>
          <cell r="E641">
            <v>47.819409448818703</v>
          </cell>
          <cell r="F641">
            <v>82.130433070866403</v>
          </cell>
          <cell r="G641">
            <v>65.791850393701225</v>
          </cell>
          <cell r="H641">
            <v>65.791850393701225</v>
          </cell>
          <cell r="I641" t="e">
            <v>#N/A</v>
          </cell>
          <cell r="J641" t="e">
            <v>#N/A</v>
          </cell>
          <cell r="K641" t="e">
            <v>#N/A</v>
          </cell>
          <cell r="L641" t="e">
            <v>#N/A</v>
          </cell>
          <cell r="M641" t="e">
            <v>#N/A</v>
          </cell>
          <cell r="N641" t="e">
            <v>#N/A</v>
          </cell>
          <cell r="O641" t="e">
            <v>#N/A</v>
          </cell>
          <cell r="P641">
            <v>71.03</v>
          </cell>
          <cell r="Q641" t="str">
            <v/>
          </cell>
          <cell r="R641" t="e">
            <v>#N/A</v>
          </cell>
        </row>
        <row r="642">
          <cell r="A642">
            <v>40399</v>
          </cell>
          <cell r="B642">
            <v>40399</v>
          </cell>
          <cell r="C642" t="str">
            <v>Future</v>
          </cell>
          <cell r="D642" t="e">
            <v>#N/A</v>
          </cell>
          <cell r="E642">
            <v>47.539763779527362</v>
          </cell>
          <cell r="F642">
            <v>82.264173228346721</v>
          </cell>
          <cell r="G642">
            <v>65.728740157480757</v>
          </cell>
          <cell r="H642">
            <v>65.728740157480757</v>
          </cell>
          <cell r="I642" t="e">
            <v>#N/A</v>
          </cell>
          <cell r="J642" t="e">
            <v>#N/A</v>
          </cell>
          <cell r="K642" t="e">
            <v>#N/A</v>
          </cell>
          <cell r="L642" t="e">
            <v>#N/A</v>
          </cell>
          <cell r="M642" t="e">
            <v>#N/A</v>
          </cell>
          <cell r="N642" t="e">
            <v>#N/A</v>
          </cell>
          <cell r="O642" t="e">
            <v>#N/A</v>
          </cell>
          <cell r="P642">
            <v>71.03</v>
          </cell>
          <cell r="Q642" t="str">
            <v/>
          </cell>
          <cell r="R642" t="e">
            <v>#N/A</v>
          </cell>
        </row>
        <row r="643">
          <cell r="A643">
            <v>40400</v>
          </cell>
          <cell r="B643">
            <v>40400</v>
          </cell>
          <cell r="C643" t="str">
            <v>Future</v>
          </cell>
          <cell r="D643" t="e">
            <v>#N/A</v>
          </cell>
          <cell r="E643">
            <v>47.260118110236021</v>
          </cell>
          <cell r="F643">
            <v>82.397913385827039</v>
          </cell>
          <cell r="G643">
            <v>65.66562992126029</v>
          </cell>
          <cell r="H643">
            <v>65.66562992126029</v>
          </cell>
          <cell r="I643" t="e">
            <v>#N/A</v>
          </cell>
          <cell r="J643" t="e">
            <v>#N/A</v>
          </cell>
          <cell r="K643" t="e">
            <v>#N/A</v>
          </cell>
          <cell r="L643" t="e">
            <v>#N/A</v>
          </cell>
          <cell r="M643" t="e">
            <v>#N/A</v>
          </cell>
          <cell r="N643" t="e">
            <v>#N/A</v>
          </cell>
          <cell r="O643" t="e">
            <v>#N/A</v>
          </cell>
          <cell r="P643">
            <v>71.03</v>
          </cell>
          <cell r="Q643" t="str">
            <v/>
          </cell>
          <cell r="R643" t="e">
            <v>#N/A</v>
          </cell>
        </row>
        <row r="644">
          <cell r="A644">
            <v>40401</v>
          </cell>
          <cell r="B644">
            <v>40401</v>
          </cell>
          <cell r="C644" t="str">
            <v>Future</v>
          </cell>
          <cell r="D644" t="e">
            <v>#N/A</v>
          </cell>
          <cell r="E644">
            <v>46.980472440944681</v>
          </cell>
          <cell r="F644">
            <v>82.531653543307357</v>
          </cell>
          <cell r="G644">
            <v>65.602519685039823</v>
          </cell>
          <cell r="H644">
            <v>65.602519685039823</v>
          </cell>
          <cell r="I644" t="e">
            <v>#N/A</v>
          </cell>
          <cell r="J644" t="e">
            <v>#N/A</v>
          </cell>
          <cell r="K644" t="e">
            <v>#N/A</v>
          </cell>
          <cell r="L644" t="e">
            <v>#N/A</v>
          </cell>
          <cell r="M644" t="e">
            <v>#N/A</v>
          </cell>
          <cell r="N644" t="e">
            <v>#N/A</v>
          </cell>
          <cell r="O644" t="e">
            <v>#N/A</v>
          </cell>
          <cell r="P644">
            <v>71.03</v>
          </cell>
          <cell r="Q644" t="str">
            <v/>
          </cell>
          <cell r="R644" t="e">
            <v>#N/A</v>
          </cell>
        </row>
        <row r="645">
          <cell r="A645">
            <v>40402</v>
          </cell>
          <cell r="B645">
            <v>40402</v>
          </cell>
          <cell r="C645" t="str">
            <v>Future</v>
          </cell>
          <cell r="D645" t="e">
            <v>#N/A</v>
          </cell>
          <cell r="E645">
            <v>46.70082677165334</v>
          </cell>
          <cell r="F645">
            <v>82.665393700787675</v>
          </cell>
          <cell r="G645">
            <v>65.539409448819356</v>
          </cell>
          <cell r="H645">
            <v>65.539409448819356</v>
          </cell>
          <cell r="I645" t="e">
            <v>#N/A</v>
          </cell>
          <cell r="J645" t="e">
            <v>#N/A</v>
          </cell>
          <cell r="K645" t="e">
            <v>#N/A</v>
          </cell>
          <cell r="L645" t="e">
            <v>#N/A</v>
          </cell>
          <cell r="M645" t="e">
            <v>#N/A</v>
          </cell>
          <cell r="N645" t="e">
            <v>#N/A</v>
          </cell>
          <cell r="O645" t="e">
            <v>#N/A</v>
          </cell>
          <cell r="P645">
            <v>71.03</v>
          </cell>
          <cell r="Q645" t="str">
            <v/>
          </cell>
          <cell r="R645" t="e">
            <v>#N/A</v>
          </cell>
        </row>
        <row r="646">
          <cell r="A646">
            <v>40403</v>
          </cell>
          <cell r="B646">
            <v>40403</v>
          </cell>
          <cell r="C646" t="str">
            <v>Future</v>
          </cell>
          <cell r="D646" t="e">
            <v>#N/A</v>
          </cell>
          <cell r="E646">
            <v>46.421181102361999</v>
          </cell>
          <cell r="F646">
            <v>82.799133858267993</v>
          </cell>
          <cell r="G646">
            <v>65.476299212598889</v>
          </cell>
          <cell r="H646">
            <v>65.476299212598889</v>
          </cell>
          <cell r="I646" t="e">
            <v>#N/A</v>
          </cell>
          <cell r="J646" t="e">
            <v>#N/A</v>
          </cell>
          <cell r="K646" t="e">
            <v>#N/A</v>
          </cell>
          <cell r="L646" t="e">
            <v>#N/A</v>
          </cell>
          <cell r="M646" t="e">
            <v>#N/A</v>
          </cell>
          <cell r="N646" t="e">
            <v>#N/A</v>
          </cell>
          <cell r="O646" t="e">
            <v>#N/A</v>
          </cell>
          <cell r="P646">
            <v>71.03</v>
          </cell>
          <cell r="Q646" t="str">
            <v/>
          </cell>
          <cell r="R646" t="e">
            <v>#N/A</v>
          </cell>
        </row>
        <row r="647">
          <cell r="A647">
            <v>40406</v>
          </cell>
          <cell r="B647">
            <v>40406</v>
          </cell>
          <cell r="C647" t="str">
            <v>Future</v>
          </cell>
          <cell r="D647" t="e">
            <v>#N/A</v>
          </cell>
          <cell r="E647">
            <v>46.141535433070658</v>
          </cell>
          <cell r="F647">
            <v>82.932874015748311</v>
          </cell>
          <cell r="G647">
            <v>65.413188976378422</v>
          </cell>
          <cell r="H647">
            <v>65.413188976378422</v>
          </cell>
          <cell r="I647" t="e">
            <v>#N/A</v>
          </cell>
          <cell r="J647" t="e">
            <v>#N/A</v>
          </cell>
          <cell r="K647" t="e">
            <v>#N/A</v>
          </cell>
          <cell r="L647" t="e">
            <v>#N/A</v>
          </cell>
          <cell r="M647" t="e">
            <v>#N/A</v>
          </cell>
          <cell r="N647" t="e">
            <v>#N/A</v>
          </cell>
          <cell r="O647" t="e">
            <v>#N/A</v>
          </cell>
          <cell r="P647">
            <v>71.03</v>
          </cell>
          <cell r="Q647" t="str">
            <v/>
          </cell>
          <cell r="R647" t="e">
            <v>#N/A</v>
          </cell>
        </row>
        <row r="648">
          <cell r="A648">
            <v>40407</v>
          </cell>
          <cell r="B648">
            <v>40407</v>
          </cell>
          <cell r="C648" t="str">
            <v>Future</v>
          </cell>
          <cell r="D648" t="e">
            <v>#N/A</v>
          </cell>
          <cell r="E648">
            <v>45.861889763779317</v>
          </cell>
          <cell r="F648">
            <v>83.066614173228629</v>
          </cell>
          <cell r="G648">
            <v>65.350078740157954</v>
          </cell>
          <cell r="H648">
            <v>65.350078740157954</v>
          </cell>
          <cell r="I648" t="e">
            <v>#N/A</v>
          </cell>
          <cell r="J648" t="e">
            <v>#N/A</v>
          </cell>
          <cell r="K648" t="e">
            <v>#N/A</v>
          </cell>
          <cell r="L648" t="e">
            <v>#N/A</v>
          </cell>
          <cell r="M648" t="e">
            <v>#N/A</v>
          </cell>
          <cell r="N648" t="e">
            <v>#N/A</v>
          </cell>
          <cell r="O648" t="e">
            <v>#N/A</v>
          </cell>
          <cell r="P648">
            <v>71.03</v>
          </cell>
          <cell r="Q648" t="str">
            <v/>
          </cell>
          <cell r="R648" t="e">
            <v>#N/A</v>
          </cell>
        </row>
        <row r="649">
          <cell r="A649">
            <v>40408</v>
          </cell>
          <cell r="B649">
            <v>40408</v>
          </cell>
          <cell r="C649" t="str">
            <v>Future</v>
          </cell>
          <cell r="D649" t="e">
            <v>#N/A</v>
          </cell>
          <cell r="E649">
            <v>45.582244094487976</v>
          </cell>
          <cell r="F649">
            <v>83.200354330708947</v>
          </cell>
          <cell r="G649">
            <v>65.286968503937487</v>
          </cell>
          <cell r="H649">
            <v>65.286968503937487</v>
          </cell>
          <cell r="I649" t="e">
            <v>#N/A</v>
          </cell>
          <cell r="J649" t="e">
            <v>#N/A</v>
          </cell>
          <cell r="K649" t="e">
            <v>#N/A</v>
          </cell>
          <cell r="L649" t="e">
            <v>#N/A</v>
          </cell>
          <cell r="M649" t="e">
            <v>#N/A</v>
          </cell>
          <cell r="N649" t="e">
            <v>#N/A</v>
          </cell>
          <cell r="O649" t="e">
            <v>#N/A</v>
          </cell>
          <cell r="P649">
            <v>71.03</v>
          </cell>
          <cell r="Q649" t="str">
            <v/>
          </cell>
          <cell r="R649" t="e">
            <v>#N/A</v>
          </cell>
        </row>
        <row r="650">
          <cell r="A650">
            <v>40409</v>
          </cell>
          <cell r="B650">
            <v>40409</v>
          </cell>
          <cell r="C650" t="str">
            <v>Future</v>
          </cell>
          <cell r="D650" t="e">
            <v>#N/A</v>
          </cell>
          <cell r="E650">
            <v>45.302598425196635</v>
          </cell>
          <cell r="F650">
            <v>83.334094488189265</v>
          </cell>
          <cell r="G650">
            <v>65.22385826771702</v>
          </cell>
          <cell r="H650">
            <v>65.22385826771702</v>
          </cell>
          <cell r="I650" t="e">
            <v>#N/A</v>
          </cell>
          <cell r="J650" t="e">
            <v>#N/A</v>
          </cell>
          <cell r="K650" t="e">
            <v>#N/A</v>
          </cell>
          <cell r="L650" t="e">
            <v>#N/A</v>
          </cell>
          <cell r="M650" t="e">
            <v>#N/A</v>
          </cell>
          <cell r="N650" t="e">
            <v>#N/A</v>
          </cell>
          <cell r="O650" t="e">
            <v>#N/A</v>
          </cell>
          <cell r="P650">
            <v>71.03</v>
          </cell>
          <cell r="Q650" t="str">
            <v/>
          </cell>
          <cell r="R650" t="e">
            <v>#N/A</v>
          </cell>
        </row>
        <row r="651">
          <cell r="A651">
            <v>40410</v>
          </cell>
          <cell r="B651">
            <v>40410</v>
          </cell>
          <cell r="C651" t="str">
            <v>Future</v>
          </cell>
          <cell r="D651" t="e">
            <v>#N/A</v>
          </cell>
          <cell r="E651">
            <v>45.022952755905294</v>
          </cell>
          <cell r="F651">
            <v>83.467834645669583</v>
          </cell>
          <cell r="G651">
            <v>65.160748031496553</v>
          </cell>
          <cell r="H651">
            <v>65.160748031496553</v>
          </cell>
          <cell r="I651" t="e">
            <v>#N/A</v>
          </cell>
          <cell r="J651" t="e">
            <v>#N/A</v>
          </cell>
          <cell r="K651" t="e">
            <v>#N/A</v>
          </cell>
          <cell r="L651" t="e">
            <v>#N/A</v>
          </cell>
          <cell r="M651" t="e">
            <v>#N/A</v>
          </cell>
          <cell r="N651" t="e">
            <v>#N/A</v>
          </cell>
          <cell r="O651" t="e">
            <v>#N/A</v>
          </cell>
          <cell r="P651">
            <v>71.03</v>
          </cell>
          <cell r="Q651" t="str">
            <v/>
          </cell>
          <cell r="R651" t="e">
            <v>#N/A</v>
          </cell>
        </row>
        <row r="652">
          <cell r="A652">
            <v>40413</v>
          </cell>
          <cell r="B652">
            <v>40413</v>
          </cell>
          <cell r="C652" t="str">
            <v>Future</v>
          </cell>
          <cell r="D652" t="e">
            <v>#N/A</v>
          </cell>
          <cell r="E652">
            <v>44.743307086613953</v>
          </cell>
          <cell r="F652">
            <v>83.601574803149902</v>
          </cell>
          <cell r="G652">
            <v>65.097637795276086</v>
          </cell>
          <cell r="H652">
            <v>65.097637795276086</v>
          </cell>
          <cell r="I652" t="e">
            <v>#N/A</v>
          </cell>
          <cell r="J652" t="e">
            <v>#N/A</v>
          </cell>
          <cell r="K652" t="e">
            <v>#N/A</v>
          </cell>
          <cell r="L652" t="e">
            <v>#N/A</v>
          </cell>
          <cell r="M652" t="e">
            <v>#N/A</v>
          </cell>
          <cell r="N652" t="e">
            <v>#N/A</v>
          </cell>
          <cell r="O652" t="e">
            <v>#N/A</v>
          </cell>
          <cell r="P652">
            <v>71.03</v>
          </cell>
          <cell r="Q652" t="str">
            <v/>
          </cell>
          <cell r="R652" t="e">
            <v>#N/A</v>
          </cell>
        </row>
        <row r="653">
          <cell r="A653">
            <v>40414</v>
          </cell>
          <cell r="B653">
            <v>40414</v>
          </cell>
          <cell r="C653" t="str">
            <v>Future</v>
          </cell>
          <cell r="D653" t="e">
            <v>#N/A</v>
          </cell>
          <cell r="E653">
            <v>44.463661417322612</v>
          </cell>
          <cell r="F653">
            <v>83.73531496063022</v>
          </cell>
          <cell r="G653">
            <v>65.034527559055618</v>
          </cell>
          <cell r="H653">
            <v>65.034527559055618</v>
          </cell>
          <cell r="I653" t="e">
            <v>#N/A</v>
          </cell>
          <cell r="J653" t="e">
            <v>#N/A</v>
          </cell>
          <cell r="K653" t="e">
            <v>#N/A</v>
          </cell>
          <cell r="L653" t="e">
            <v>#N/A</v>
          </cell>
          <cell r="M653" t="e">
            <v>#N/A</v>
          </cell>
          <cell r="N653" t="e">
            <v>#N/A</v>
          </cell>
          <cell r="O653" t="e">
            <v>#N/A</v>
          </cell>
          <cell r="P653">
            <v>71.03</v>
          </cell>
          <cell r="Q653" t="str">
            <v/>
          </cell>
          <cell r="R653" t="e">
            <v>#N/A</v>
          </cell>
        </row>
        <row r="654">
          <cell r="A654">
            <v>40415</v>
          </cell>
          <cell r="B654">
            <v>40415</v>
          </cell>
          <cell r="C654" t="str">
            <v>Future</v>
          </cell>
          <cell r="D654" t="e">
            <v>#N/A</v>
          </cell>
          <cell r="E654">
            <v>44.184015748031271</v>
          </cell>
          <cell r="F654">
            <v>83.869055118110538</v>
          </cell>
          <cell r="G654">
            <v>64.971417322835151</v>
          </cell>
          <cell r="H654">
            <v>64.971417322835151</v>
          </cell>
          <cell r="I654" t="e">
            <v>#N/A</v>
          </cell>
          <cell r="J654" t="e">
            <v>#N/A</v>
          </cell>
          <cell r="K654" t="e">
            <v>#N/A</v>
          </cell>
          <cell r="L654" t="e">
            <v>#N/A</v>
          </cell>
          <cell r="M654" t="e">
            <v>#N/A</v>
          </cell>
          <cell r="N654" t="e">
            <v>#N/A</v>
          </cell>
          <cell r="O654" t="e">
            <v>#N/A</v>
          </cell>
          <cell r="P654">
            <v>71.03</v>
          </cell>
          <cell r="Q654" t="str">
            <v/>
          </cell>
          <cell r="R654" t="e">
            <v>#N/A</v>
          </cell>
        </row>
        <row r="655">
          <cell r="A655">
            <v>40416</v>
          </cell>
          <cell r="B655">
            <v>40416</v>
          </cell>
          <cell r="C655" t="str">
            <v>Future</v>
          </cell>
          <cell r="D655" t="e">
            <v>#N/A</v>
          </cell>
          <cell r="E655">
            <v>43.90437007873993</v>
          </cell>
          <cell r="F655">
            <v>84.002795275590856</v>
          </cell>
          <cell r="G655">
            <v>64.908307086614684</v>
          </cell>
          <cell r="H655">
            <v>64.908307086614684</v>
          </cell>
          <cell r="I655" t="e">
            <v>#N/A</v>
          </cell>
          <cell r="J655" t="e">
            <v>#N/A</v>
          </cell>
          <cell r="K655" t="e">
            <v>#N/A</v>
          </cell>
          <cell r="L655" t="e">
            <v>#N/A</v>
          </cell>
          <cell r="M655" t="e">
            <v>#N/A</v>
          </cell>
          <cell r="N655" t="e">
            <v>#N/A</v>
          </cell>
          <cell r="O655" t="e">
            <v>#N/A</v>
          </cell>
          <cell r="P655">
            <v>71.03</v>
          </cell>
          <cell r="Q655" t="str">
            <v/>
          </cell>
          <cell r="R655" t="e">
            <v>#N/A</v>
          </cell>
        </row>
        <row r="656">
          <cell r="A656">
            <v>40417</v>
          </cell>
          <cell r="B656">
            <v>40417</v>
          </cell>
          <cell r="C656" t="str">
            <v>Future</v>
          </cell>
          <cell r="D656" t="e">
            <v>#N/A</v>
          </cell>
          <cell r="E656">
            <v>43.624724409448589</v>
          </cell>
          <cell r="F656">
            <v>84.136535433071174</v>
          </cell>
          <cell r="G656">
            <v>64.845196850394217</v>
          </cell>
          <cell r="H656">
            <v>64.845196850394217</v>
          </cell>
          <cell r="I656" t="e">
            <v>#N/A</v>
          </cell>
          <cell r="J656" t="e">
            <v>#N/A</v>
          </cell>
          <cell r="K656" t="e">
            <v>#N/A</v>
          </cell>
          <cell r="L656" t="e">
            <v>#N/A</v>
          </cell>
          <cell r="M656" t="e">
            <v>#N/A</v>
          </cell>
          <cell r="N656" t="e">
            <v>#N/A</v>
          </cell>
          <cell r="O656" t="e">
            <v>#N/A</v>
          </cell>
          <cell r="P656">
            <v>71.03</v>
          </cell>
          <cell r="Q656" t="str">
            <v/>
          </cell>
          <cell r="R656" t="e">
            <v>#N/A</v>
          </cell>
        </row>
        <row r="657">
          <cell r="A657">
            <v>40420</v>
          </cell>
          <cell r="B657">
            <v>40420</v>
          </cell>
          <cell r="C657" t="str">
            <v>Future</v>
          </cell>
          <cell r="D657" t="e">
            <v>#N/A</v>
          </cell>
          <cell r="E657">
            <v>43.345078740157248</v>
          </cell>
          <cell r="F657">
            <v>84.270275590551492</v>
          </cell>
          <cell r="G657">
            <v>64.78208661417375</v>
          </cell>
          <cell r="H657">
            <v>64.78208661417375</v>
          </cell>
          <cell r="I657" t="e">
            <v>#N/A</v>
          </cell>
          <cell r="J657" t="e">
            <v>#N/A</v>
          </cell>
          <cell r="K657" t="e">
            <v>#N/A</v>
          </cell>
          <cell r="L657" t="e">
            <v>#N/A</v>
          </cell>
          <cell r="M657" t="e">
            <v>#N/A</v>
          </cell>
          <cell r="N657" t="e">
            <v>#N/A</v>
          </cell>
          <cell r="O657" t="e">
            <v>#N/A</v>
          </cell>
          <cell r="P657">
            <v>71.03</v>
          </cell>
          <cell r="Q657" t="str">
            <v/>
          </cell>
          <cell r="R657" t="e">
            <v>#N/A</v>
          </cell>
        </row>
        <row r="658">
          <cell r="A658">
            <v>40421</v>
          </cell>
          <cell r="B658">
            <v>40421</v>
          </cell>
          <cell r="C658" t="str">
            <v>Future</v>
          </cell>
          <cell r="D658" t="e">
            <v>#N/A</v>
          </cell>
          <cell r="E658">
            <v>43.065433070865907</v>
          </cell>
          <cell r="F658">
            <v>84.40401574803181</v>
          </cell>
          <cell r="G658">
            <v>64.718976377953283</v>
          </cell>
          <cell r="H658">
            <v>64.718976377953283</v>
          </cell>
          <cell r="I658" t="e">
            <v>#N/A</v>
          </cell>
          <cell r="J658" t="e">
            <v>#N/A</v>
          </cell>
          <cell r="K658" t="e">
            <v>#N/A</v>
          </cell>
          <cell r="L658" t="e">
            <v>#N/A</v>
          </cell>
          <cell r="M658" t="e">
            <v>#N/A</v>
          </cell>
          <cell r="N658" t="e">
            <v>#N/A</v>
          </cell>
          <cell r="O658" t="e">
            <v>#N/A</v>
          </cell>
          <cell r="P658">
            <v>71.03</v>
          </cell>
          <cell r="Q658" t="str">
            <v/>
          </cell>
          <cell r="R658" t="e">
            <v>#N/A</v>
          </cell>
        </row>
        <row r="659">
          <cell r="A659">
            <v>40422</v>
          </cell>
          <cell r="B659">
            <v>40422</v>
          </cell>
          <cell r="C659" t="str">
            <v>Future</v>
          </cell>
          <cell r="D659" t="e">
            <v>#N/A</v>
          </cell>
          <cell r="E659">
            <v>42.785787401574567</v>
          </cell>
          <cell r="F659">
            <v>84.537755905512128</v>
          </cell>
          <cell r="G659">
            <v>64.655866141732815</v>
          </cell>
          <cell r="H659">
            <v>64.655866141732815</v>
          </cell>
          <cell r="I659" t="e">
            <v>#N/A</v>
          </cell>
          <cell r="J659" t="e">
            <v>#N/A</v>
          </cell>
          <cell r="K659" t="e">
            <v>#N/A</v>
          </cell>
          <cell r="L659" t="e">
            <v>#N/A</v>
          </cell>
          <cell r="M659" t="e">
            <v>#N/A</v>
          </cell>
          <cell r="N659" t="e">
            <v>#N/A</v>
          </cell>
          <cell r="O659" t="e">
            <v>#N/A</v>
          </cell>
          <cell r="P659">
            <v>71.03</v>
          </cell>
          <cell r="Q659" t="str">
            <v/>
          </cell>
          <cell r="R659" t="e">
            <v>#N/A</v>
          </cell>
        </row>
        <row r="660">
          <cell r="A660">
            <v>40423</v>
          </cell>
          <cell r="B660">
            <v>40423</v>
          </cell>
          <cell r="C660" t="str">
            <v>Future</v>
          </cell>
          <cell r="D660" t="e">
            <v>#N/A</v>
          </cell>
          <cell r="E660">
            <v>42.506141732283226</v>
          </cell>
          <cell r="F660">
            <v>84.671496062992446</v>
          </cell>
          <cell r="G660">
            <v>64.592755905512348</v>
          </cell>
          <cell r="H660">
            <v>64.592755905512348</v>
          </cell>
          <cell r="I660" t="e">
            <v>#N/A</v>
          </cell>
          <cell r="J660" t="e">
            <v>#N/A</v>
          </cell>
          <cell r="K660" t="e">
            <v>#N/A</v>
          </cell>
          <cell r="L660" t="e">
            <v>#N/A</v>
          </cell>
          <cell r="M660" t="e">
            <v>#N/A</v>
          </cell>
          <cell r="N660" t="e">
            <v>#N/A</v>
          </cell>
          <cell r="O660" t="e">
            <v>#N/A</v>
          </cell>
          <cell r="P660">
            <v>71.03</v>
          </cell>
          <cell r="Q660" t="str">
            <v/>
          </cell>
          <cell r="R660" t="e">
            <v>#N/A</v>
          </cell>
        </row>
        <row r="661">
          <cell r="A661">
            <v>40424</v>
          </cell>
          <cell r="B661">
            <v>40424</v>
          </cell>
          <cell r="C661" t="str">
            <v>Future</v>
          </cell>
          <cell r="D661" t="e">
            <v>#N/A</v>
          </cell>
          <cell r="E661">
            <v>42.226496062991885</v>
          </cell>
          <cell r="F661">
            <v>84.805236220472764</v>
          </cell>
          <cell r="G661">
            <v>64.529645669291881</v>
          </cell>
          <cell r="H661">
            <v>64.529645669291881</v>
          </cell>
          <cell r="I661" t="e">
            <v>#N/A</v>
          </cell>
          <cell r="J661" t="e">
            <v>#N/A</v>
          </cell>
          <cell r="K661" t="e">
            <v>#N/A</v>
          </cell>
          <cell r="L661" t="e">
            <v>#N/A</v>
          </cell>
          <cell r="M661" t="e">
            <v>#N/A</v>
          </cell>
          <cell r="N661" t="e">
            <v>#N/A</v>
          </cell>
          <cell r="O661" t="e">
            <v>#N/A</v>
          </cell>
          <cell r="P661">
            <v>71.03</v>
          </cell>
          <cell r="Q661" t="str">
            <v/>
          </cell>
          <cell r="R661" t="e">
            <v>#N/A</v>
          </cell>
        </row>
        <row r="662">
          <cell r="A662">
            <v>40428</v>
          </cell>
          <cell r="B662">
            <v>40428</v>
          </cell>
          <cell r="C662" t="str">
            <v>Future</v>
          </cell>
          <cell r="D662" t="e">
            <v>#N/A</v>
          </cell>
          <cell r="E662">
            <v>41.946850393700544</v>
          </cell>
          <cell r="F662">
            <v>84.938976377953082</v>
          </cell>
          <cell r="G662">
            <v>64.466535433071414</v>
          </cell>
          <cell r="H662">
            <v>64.466535433071414</v>
          </cell>
          <cell r="I662" t="e">
            <v>#N/A</v>
          </cell>
          <cell r="J662" t="e">
            <v>#N/A</v>
          </cell>
          <cell r="K662" t="e">
            <v>#N/A</v>
          </cell>
          <cell r="L662" t="e">
            <v>#N/A</v>
          </cell>
          <cell r="M662" t="e">
            <v>#N/A</v>
          </cell>
          <cell r="N662" t="e">
            <v>#N/A</v>
          </cell>
          <cell r="O662" t="e">
            <v>#N/A</v>
          </cell>
          <cell r="P662">
            <v>71.03</v>
          </cell>
          <cell r="Q662" t="str">
            <v/>
          </cell>
          <cell r="R662" t="e">
            <v>#N/A</v>
          </cell>
        </row>
        <row r="663">
          <cell r="A663">
            <v>40429</v>
          </cell>
          <cell r="B663">
            <v>40429</v>
          </cell>
          <cell r="C663" t="str">
            <v>Future</v>
          </cell>
          <cell r="D663" t="e">
            <v>#N/A</v>
          </cell>
          <cell r="E663">
            <v>41.667204724409203</v>
          </cell>
          <cell r="F663">
            <v>85.072716535433401</v>
          </cell>
          <cell r="G663">
            <v>64.403425196850947</v>
          </cell>
          <cell r="H663">
            <v>64.403425196850947</v>
          </cell>
          <cell r="I663" t="e">
            <v>#N/A</v>
          </cell>
          <cell r="J663" t="e">
            <v>#N/A</v>
          </cell>
          <cell r="K663" t="e">
            <v>#N/A</v>
          </cell>
          <cell r="L663" t="e">
            <v>#N/A</v>
          </cell>
          <cell r="M663" t="e">
            <v>#N/A</v>
          </cell>
          <cell r="N663" t="e">
            <v>#N/A</v>
          </cell>
          <cell r="O663" t="e">
            <v>#N/A</v>
          </cell>
          <cell r="P663">
            <v>71.03</v>
          </cell>
          <cell r="Q663" t="str">
            <v/>
          </cell>
          <cell r="R663" t="e">
            <v>#N/A</v>
          </cell>
        </row>
        <row r="664">
          <cell r="A664">
            <v>40430</v>
          </cell>
          <cell r="B664">
            <v>40430</v>
          </cell>
          <cell r="C664" t="str">
            <v>Future</v>
          </cell>
          <cell r="D664" t="e">
            <v>#N/A</v>
          </cell>
          <cell r="E664">
            <v>41.387559055117862</v>
          </cell>
          <cell r="F664">
            <v>85.206456692913719</v>
          </cell>
          <cell r="G664">
            <v>64.340314960630479</v>
          </cell>
          <cell r="H664">
            <v>64.340314960630479</v>
          </cell>
          <cell r="I664" t="e">
            <v>#N/A</v>
          </cell>
          <cell r="J664" t="e">
            <v>#N/A</v>
          </cell>
          <cell r="K664" t="e">
            <v>#N/A</v>
          </cell>
          <cell r="L664" t="e">
            <v>#N/A</v>
          </cell>
          <cell r="M664" t="e">
            <v>#N/A</v>
          </cell>
          <cell r="N664" t="e">
            <v>#N/A</v>
          </cell>
          <cell r="O664" t="e">
            <v>#N/A</v>
          </cell>
          <cell r="P664">
            <v>71.03</v>
          </cell>
          <cell r="Q664" t="str">
            <v/>
          </cell>
          <cell r="R664" t="e">
            <v>#N/A</v>
          </cell>
        </row>
        <row r="665">
          <cell r="A665">
            <v>40431</v>
          </cell>
          <cell r="B665">
            <v>40431</v>
          </cell>
          <cell r="C665" t="str">
            <v>Future</v>
          </cell>
          <cell r="D665" t="e">
            <v>#N/A</v>
          </cell>
          <cell r="E665">
            <v>41.107913385826521</v>
          </cell>
          <cell r="F665">
            <v>85.340196850394037</v>
          </cell>
          <cell r="G665">
            <v>64.277204724410012</v>
          </cell>
          <cell r="H665">
            <v>64.277204724410012</v>
          </cell>
          <cell r="I665" t="e">
            <v>#N/A</v>
          </cell>
          <cell r="J665" t="e">
            <v>#N/A</v>
          </cell>
          <cell r="K665" t="e">
            <v>#N/A</v>
          </cell>
          <cell r="L665" t="e">
            <v>#N/A</v>
          </cell>
          <cell r="M665" t="e">
            <v>#N/A</v>
          </cell>
          <cell r="N665" t="e">
            <v>#N/A</v>
          </cell>
          <cell r="O665" t="e">
            <v>#N/A</v>
          </cell>
          <cell r="P665">
            <v>71.03</v>
          </cell>
          <cell r="Q665" t="str">
            <v/>
          </cell>
          <cell r="R665" t="e">
            <v>#N/A</v>
          </cell>
        </row>
        <row r="666">
          <cell r="A666">
            <v>40434</v>
          </cell>
          <cell r="B666">
            <v>40434</v>
          </cell>
          <cell r="C666" t="str">
            <v>Future</v>
          </cell>
          <cell r="D666" t="e">
            <v>#N/A</v>
          </cell>
          <cell r="E666">
            <v>40.82826771653518</v>
          </cell>
          <cell r="F666">
            <v>85.473937007874355</v>
          </cell>
          <cell r="G666">
            <v>64.214094488189545</v>
          </cell>
          <cell r="H666">
            <v>64.214094488189545</v>
          </cell>
          <cell r="I666" t="e">
            <v>#N/A</v>
          </cell>
          <cell r="J666" t="e">
            <v>#N/A</v>
          </cell>
          <cell r="K666" t="e">
            <v>#N/A</v>
          </cell>
          <cell r="L666" t="e">
            <v>#N/A</v>
          </cell>
          <cell r="M666" t="e">
            <v>#N/A</v>
          </cell>
          <cell r="N666" t="e">
            <v>#N/A</v>
          </cell>
          <cell r="O666" t="e">
            <v>#N/A</v>
          </cell>
          <cell r="P666">
            <v>71.03</v>
          </cell>
          <cell r="Q666" t="str">
            <v/>
          </cell>
          <cell r="R666" t="e">
            <v>#N/A</v>
          </cell>
        </row>
        <row r="667">
          <cell r="A667">
            <v>40435</v>
          </cell>
          <cell r="B667">
            <v>40435</v>
          </cell>
          <cell r="C667" t="str">
            <v>Future</v>
          </cell>
          <cell r="D667" t="e">
            <v>#N/A</v>
          </cell>
          <cell r="E667">
            <v>40.548622047243839</v>
          </cell>
          <cell r="F667">
            <v>85.607677165354673</v>
          </cell>
          <cell r="G667">
            <v>64.150984251969078</v>
          </cell>
          <cell r="H667">
            <v>64.150984251969078</v>
          </cell>
          <cell r="I667" t="e">
            <v>#N/A</v>
          </cell>
          <cell r="J667" t="e">
            <v>#N/A</v>
          </cell>
          <cell r="K667" t="e">
            <v>#N/A</v>
          </cell>
          <cell r="L667" t="e">
            <v>#N/A</v>
          </cell>
          <cell r="M667" t="e">
            <v>#N/A</v>
          </cell>
          <cell r="N667" t="e">
            <v>#N/A</v>
          </cell>
          <cell r="O667" t="e">
            <v>#N/A</v>
          </cell>
          <cell r="P667">
            <v>71.03</v>
          </cell>
          <cell r="Q667" t="str">
            <v/>
          </cell>
          <cell r="R667" t="e">
            <v>#N/A</v>
          </cell>
        </row>
        <row r="668">
          <cell r="A668">
            <v>40436</v>
          </cell>
          <cell r="B668">
            <v>40436</v>
          </cell>
          <cell r="C668" t="str">
            <v>Future</v>
          </cell>
          <cell r="D668" t="e">
            <v>#N/A</v>
          </cell>
          <cell r="E668">
            <v>40.268976377952498</v>
          </cell>
          <cell r="F668">
            <v>85.741417322834991</v>
          </cell>
          <cell r="G668">
            <v>64.087874015748611</v>
          </cell>
          <cell r="H668">
            <v>64.087874015748611</v>
          </cell>
          <cell r="I668" t="e">
            <v>#N/A</v>
          </cell>
          <cell r="J668" t="e">
            <v>#N/A</v>
          </cell>
          <cell r="K668" t="e">
            <v>#N/A</v>
          </cell>
          <cell r="L668" t="e">
            <v>#N/A</v>
          </cell>
          <cell r="M668" t="e">
            <v>#N/A</v>
          </cell>
          <cell r="N668" t="e">
            <v>#N/A</v>
          </cell>
          <cell r="O668" t="e">
            <v>#N/A</v>
          </cell>
          <cell r="P668">
            <v>71.03</v>
          </cell>
          <cell r="Q668" t="str">
            <v/>
          </cell>
          <cell r="R668" t="e">
            <v>#N/A</v>
          </cell>
        </row>
        <row r="669">
          <cell r="A669">
            <v>40437</v>
          </cell>
          <cell r="B669">
            <v>40437</v>
          </cell>
          <cell r="C669" t="str">
            <v>Future</v>
          </cell>
          <cell r="D669" t="e">
            <v>#N/A</v>
          </cell>
          <cell r="E669">
            <v>39.989330708661157</v>
          </cell>
          <cell r="F669">
            <v>85.875157480315309</v>
          </cell>
          <cell r="G669">
            <v>64.024763779528143</v>
          </cell>
          <cell r="H669">
            <v>64.024763779528143</v>
          </cell>
          <cell r="I669" t="e">
            <v>#N/A</v>
          </cell>
          <cell r="J669" t="e">
            <v>#N/A</v>
          </cell>
          <cell r="K669" t="e">
            <v>#N/A</v>
          </cell>
          <cell r="L669" t="e">
            <v>#N/A</v>
          </cell>
          <cell r="M669" t="e">
            <v>#N/A</v>
          </cell>
          <cell r="N669" t="e">
            <v>#N/A</v>
          </cell>
          <cell r="O669" t="e">
            <v>#N/A</v>
          </cell>
          <cell r="P669">
            <v>71.03</v>
          </cell>
          <cell r="Q669" t="str">
            <v/>
          </cell>
          <cell r="R669" t="e">
            <v>#N/A</v>
          </cell>
        </row>
        <row r="670">
          <cell r="A670">
            <v>40438</v>
          </cell>
          <cell r="B670">
            <v>40438</v>
          </cell>
          <cell r="C670" t="str">
            <v>Future</v>
          </cell>
          <cell r="D670" t="e">
            <v>#N/A</v>
          </cell>
          <cell r="E670">
            <v>39.709685039369816</v>
          </cell>
          <cell r="F670">
            <v>86.008897637795627</v>
          </cell>
          <cell r="G670">
            <v>63.961653543307669</v>
          </cell>
          <cell r="H670">
            <v>63.961653543307669</v>
          </cell>
          <cell r="I670" t="e">
            <v>#N/A</v>
          </cell>
          <cell r="J670" t="e">
            <v>#N/A</v>
          </cell>
          <cell r="K670" t="e">
            <v>#N/A</v>
          </cell>
          <cell r="L670" t="e">
            <v>#N/A</v>
          </cell>
          <cell r="M670" t="e">
            <v>#N/A</v>
          </cell>
          <cell r="N670" t="e">
            <v>#N/A</v>
          </cell>
          <cell r="O670" t="e">
            <v>#N/A</v>
          </cell>
          <cell r="P670">
            <v>71.03</v>
          </cell>
          <cell r="Q670" t="str">
            <v/>
          </cell>
          <cell r="R670" t="e">
            <v>#N/A</v>
          </cell>
        </row>
        <row r="671">
          <cell r="A671">
            <v>40441</v>
          </cell>
          <cell r="B671">
            <v>40441</v>
          </cell>
          <cell r="C671" t="str">
            <v>Future</v>
          </cell>
          <cell r="D671" t="e">
            <v>#N/A</v>
          </cell>
          <cell r="E671">
            <v>39.430039370078475</v>
          </cell>
          <cell r="F671">
            <v>86.142637795275945</v>
          </cell>
          <cell r="G671">
            <v>63.898543307087195</v>
          </cell>
          <cell r="H671">
            <v>63.898543307087195</v>
          </cell>
          <cell r="I671" t="e">
            <v>#N/A</v>
          </cell>
          <cell r="J671" t="e">
            <v>#N/A</v>
          </cell>
          <cell r="K671" t="e">
            <v>#N/A</v>
          </cell>
          <cell r="L671" t="e">
            <v>#N/A</v>
          </cell>
          <cell r="M671" t="e">
            <v>#N/A</v>
          </cell>
          <cell r="N671" t="e">
            <v>#N/A</v>
          </cell>
          <cell r="O671" t="e">
            <v>#N/A</v>
          </cell>
          <cell r="P671">
            <v>71.03</v>
          </cell>
          <cell r="Q671" t="str">
            <v/>
          </cell>
          <cell r="R671" t="e">
            <v>#N/A</v>
          </cell>
        </row>
        <row r="672">
          <cell r="A672">
            <v>40442</v>
          </cell>
          <cell r="B672">
            <v>40442</v>
          </cell>
          <cell r="C672" t="str">
            <v>Future</v>
          </cell>
          <cell r="D672" t="e">
            <v>#N/A</v>
          </cell>
          <cell r="E672">
            <v>39.150393700787134</v>
          </cell>
          <cell r="F672">
            <v>86.276377952756263</v>
          </cell>
          <cell r="G672">
            <v>63.835433070866721</v>
          </cell>
          <cell r="H672">
            <v>63.835433070866721</v>
          </cell>
          <cell r="I672" t="e">
            <v>#N/A</v>
          </cell>
          <cell r="J672" t="e">
            <v>#N/A</v>
          </cell>
          <cell r="K672" t="e">
            <v>#N/A</v>
          </cell>
          <cell r="L672" t="e">
            <v>#N/A</v>
          </cell>
          <cell r="M672" t="e">
            <v>#N/A</v>
          </cell>
          <cell r="N672" t="e">
            <v>#N/A</v>
          </cell>
          <cell r="O672" t="e">
            <v>#N/A</v>
          </cell>
          <cell r="P672">
            <v>71.03</v>
          </cell>
          <cell r="Q672" t="str">
            <v/>
          </cell>
          <cell r="R672" t="e">
            <v>#N/A</v>
          </cell>
        </row>
        <row r="673">
          <cell r="A673">
            <v>40443</v>
          </cell>
          <cell r="B673">
            <v>40443</v>
          </cell>
          <cell r="C673" t="str">
            <v>Future</v>
          </cell>
          <cell r="D673" t="e">
            <v>#N/A</v>
          </cell>
          <cell r="E673">
            <v>38.870748031495793</v>
          </cell>
          <cell r="F673">
            <v>86.410118110236581</v>
          </cell>
          <cell r="G673">
            <v>63.772322834646246</v>
          </cell>
          <cell r="H673">
            <v>63.772322834646246</v>
          </cell>
          <cell r="I673" t="e">
            <v>#N/A</v>
          </cell>
          <cell r="J673" t="e">
            <v>#N/A</v>
          </cell>
          <cell r="K673" t="e">
            <v>#N/A</v>
          </cell>
          <cell r="L673" t="e">
            <v>#N/A</v>
          </cell>
          <cell r="M673" t="e">
            <v>#N/A</v>
          </cell>
          <cell r="N673" t="e">
            <v>#N/A</v>
          </cell>
          <cell r="O673" t="e">
            <v>#N/A</v>
          </cell>
          <cell r="P673">
            <v>71.03</v>
          </cell>
          <cell r="Q673" t="str">
            <v/>
          </cell>
          <cell r="R673" t="e">
            <v>#N/A</v>
          </cell>
        </row>
        <row r="674">
          <cell r="A674">
            <v>40444</v>
          </cell>
          <cell r="B674">
            <v>40444</v>
          </cell>
          <cell r="C674" t="str">
            <v>Future</v>
          </cell>
          <cell r="D674" t="e">
            <v>#N/A</v>
          </cell>
          <cell r="E674">
            <v>38.591102362204452</v>
          </cell>
          <cell r="F674">
            <v>86.543858267716899</v>
          </cell>
          <cell r="G674">
            <v>63.709212598425772</v>
          </cell>
          <cell r="H674">
            <v>63.709212598425772</v>
          </cell>
          <cell r="I674" t="e">
            <v>#N/A</v>
          </cell>
          <cell r="J674" t="e">
            <v>#N/A</v>
          </cell>
          <cell r="K674" t="e">
            <v>#N/A</v>
          </cell>
          <cell r="L674" t="e">
            <v>#N/A</v>
          </cell>
          <cell r="M674" t="e">
            <v>#N/A</v>
          </cell>
          <cell r="N674" t="e">
            <v>#N/A</v>
          </cell>
          <cell r="O674" t="e">
            <v>#N/A</v>
          </cell>
          <cell r="P674">
            <v>71.03</v>
          </cell>
          <cell r="Q674" t="str">
            <v/>
          </cell>
          <cell r="R674" t="e">
            <v>#N/A</v>
          </cell>
        </row>
        <row r="675">
          <cell r="A675">
            <v>40445</v>
          </cell>
          <cell r="B675">
            <v>40445</v>
          </cell>
          <cell r="C675" t="str">
            <v>Future</v>
          </cell>
          <cell r="D675" t="e">
            <v>#N/A</v>
          </cell>
          <cell r="E675">
            <v>38.311456692913112</v>
          </cell>
          <cell r="F675">
            <v>86.677598425197218</v>
          </cell>
          <cell r="G675">
            <v>63.646102362205298</v>
          </cell>
          <cell r="H675">
            <v>63.646102362205298</v>
          </cell>
          <cell r="I675" t="e">
            <v>#N/A</v>
          </cell>
          <cell r="J675" t="e">
            <v>#N/A</v>
          </cell>
          <cell r="K675" t="e">
            <v>#N/A</v>
          </cell>
          <cell r="L675" t="e">
            <v>#N/A</v>
          </cell>
          <cell r="M675" t="e">
            <v>#N/A</v>
          </cell>
          <cell r="N675" t="e">
            <v>#N/A</v>
          </cell>
          <cell r="O675" t="e">
            <v>#N/A</v>
          </cell>
          <cell r="P675">
            <v>71.03</v>
          </cell>
          <cell r="Q675" t="str">
            <v/>
          </cell>
          <cell r="R675" t="e">
            <v>#N/A</v>
          </cell>
        </row>
        <row r="676">
          <cell r="A676">
            <v>40448</v>
          </cell>
          <cell r="B676">
            <v>40448</v>
          </cell>
          <cell r="C676" t="str">
            <v>Future</v>
          </cell>
          <cell r="D676" t="e">
            <v>#N/A</v>
          </cell>
          <cell r="E676">
            <v>38.031811023621771</v>
          </cell>
          <cell r="F676">
            <v>86.811338582677536</v>
          </cell>
          <cell r="G676">
            <v>63.582992125984823</v>
          </cell>
          <cell r="H676">
            <v>63.582992125984823</v>
          </cell>
          <cell r="I676" t="e">
            <v>#N/A</v>
          </cell>
          <cell r="J676" t="e">
            <v>#N/A</v>
          </cell>
          <cell r="K676" t="e">
            <v>#N/A</v>
          </cell>
          <cell r="L676" t="e">
            <v>#N/A</v>
          </cell>
          <cell r="M676" t="e">
            <v>#N/A</v>
          </cell>
          <cell r="N676" t="e">
            <v>#N/A</v>
          </cell>
          <cell r="O676" t="e">
            <v>#N/A</v>
          </cell>
          <cell r="P676">
            <v>71.03</v>
          </cell>
          <cell r="Q676" t="str">
            <v/>
          </cell>
          <cell r="R676" t="e">
            <v>#N/A</v>
          </cell>
        </row>
        <row r="677">
          <cell r="A677">
            <v>40449</v>
          </cell>
          <cell r="B677">
            <v>40449</v>
          </cell>
          <cell r="C677" t="str">
            <v>Future</v>
          </cell>
          <cell r="D677" t="e">
            <v>#N/A</v>
          </cell>
          <cell r="E677">
            <v>37.75216535433043</v>
          </cell>
          <cell r="F677">
            <v>86.945078740157854</v>
          </cell>
          <cell r="G677">
            <v>63.519881889764349</v>
          </cell>
          <cell r="H677">
            <v>63.519881889764349</v>
          </cell>
          <cell r="I677" t="e">
            <v>#N/A</v>
          </cell>
          <cell r="J677" t="e">
            <v>#N/A</v>
          </cell>
          <cell r="K677" t="e">
            <v>#N/A</v>
          </cell>
          <cell r="L677" t="e">
            <v>#N/A</v>
          </cell>
          <cell r="M677" t="e">
            <v>#N/A</v>
          </cell>
          <cell r="N677" t="e">
            <v>#N/A</v>
          </cell>
          <cell r="O677" t="e">
            <v>#N/A</v>
          </cell>
          <cell r="P677">
            <v>71.03</v>
          </cell>
          <cell r="Q677" t="str">
            <v/>
          </cell>
          <cell r="R677" t="e">
            <v>#N/A</v>
          </cell>
        </row>
        <row r="678">
          <cell r="A678">
            <v>40450</v>
          </cell>
          <cell r="B678">
            <v>40450</v>
          </cell>
          <cell r="C678" t="str">
            <v>Future</v>
          </cell>
          <cell r="D678" t="e">
            <v>#N/A</v>
          </cell>
          <cell r="E678">
            <v>37.472519685039089</v>
          </cell>
          <cell r="F678">
            <v>87.078818897638172</v>
          </cell>
          <cell r="G678">
            <v>63.456771653543875</v>
          </cell>
          <cell r="H678">
            <v>63.456771653543875</v>
          </cell>
          <cell r="I678" t="e">
            <v>#N/A</v>
          </cell>
          <cell r="J678" t="e">
            <v>#N/A</v>
          </cell>
          <cell r="K678" t="e">
            <v>#N/A</v>
          </cell>
          <cell r="L678" t="e">
            <v>#N/A</v>
          </cell>
          <cell r="M678" t="e">
            <v>#N/A</v>
          </cell>
          <cell r="N678" t="e">
            <v>#N/A</v>
          </cell>
          <cell r="O678" t="e">
            <v>#N/A</v>
          </cell>
          <cell r="P678">
            <v>71.03</v>
          </cell>
          <cell r="Q678" t="str">
            <v/>
          </cell>
          <cell r="R678" t="e">
            <v>#N/A</v>
          </cell>
        </row>
        <row r="679">
          <cell r="A679">
            <v>40451</v>
          </cell>
          <cell r="B679">
            <v>40451</v>
          </cell>
          <cell r="C679" t="str">
            <v>Future</v>
          </cell>
          <cell r="D679" t="e">
            <v>#N/A</v>
          </cell>
          <cell r="E679">
            <v>37.192874015747748</v>
          </cell>
          <cell r="F679">
            <v>87.21255905511849</v>
          </cell>
          <cell r="G679">
            <v>63.393661417323401</v>
          </cell>
          <cell r="H679">
            <v>63.393661417323401</v>
          </cell>
          <cell r="I679" t="e">
            <v>#N/A</v>
          </cell>
          <cell r="J679" t="e">
            <v>#N/A</v>
          </cell>
          <cell r="K679" t="e">
            <v>#N/A</v>
          </cell>
          <cell r="L679" t="e">
            <v>#N/A</v>
          </cell>
          <cell r="M679" t="e">
            <v>#N/A</v>
          </cell>
          <cell r="N679" t="e">
            <v>#N/A</v>
          </cell>
          <cell r="O679" t="e">
            <v>#N/A</v>
          </cell>
          <cell r="P679">
            <v>71.03</v>
          </cell>
          <cell r="Q679" t="str">
            <v/>
          </cell>
          <cell r="R679" t="e">
            <v>#N/A</v>
          </cell>
        </row>
        <row r="680">
          <cell r="A680">
            <v>40452</v>
          </cell>
          <cell r="B680">
            <v>40452</v>
          </cell>
          <cell r="C680" t="str">
            <v>Future</v>
          </cell>
          <cell r="D680" t="e">
            <v>#N/A</v>
          </cell>
          <cell r="E680">
            <v>36.913228346456407</v>
          </cell>
          <cell r="F680">
            <v>87.346299212598808</v>
          </cell>
          <cell r="G680">
            <v>63.330551181102926</v>
          </cell>
          <cell r="H680">
            <v>63.330551181102926</v>
          </cell>
          <cell r="I680" t="e">
            <v>#N/A</v>
          </cell>
          <cell r="J680" t="e">
            <v>#N/A</v>
          </cell>
          <cell r="K680" t="e">
            <v>#N/A</v>
          </cell>
          <cell r="L680" t="e">
            <v>#N/A</v>
          </cell>
          <cell r="M680" t="e">
            <v>#N/A</v>
          </cell>
          <cell r="N680" t="e">
            <v>#N/A</v>
          </cell>
          <cell r="O680" t="e">
            <v>#N/A</v>
          </cell>
          <cell r="P680">
            <v>71.03</v>
          </cell>
          <cell r="Q680" t="str">
            <v/>
          </cell>
          <cell r="R680" t="e">
            <v>#N/A</v>
          </cell>
        </row>
        <row r="681">
          <cell r="A681">
            <v>40455</v>
          </cell>
          <cell r="B681">
            <v>40455</v>
          </cell>
          <cell r="C681" t="str">
            <v>Future</v>
          </cell>
          <cell r="D681" t="e">
            <v>#N/A</v>
          </cell>
          <cell r="E681">
            <v>36.633582677165066</v>
          </cell>
          <cell r="F681">
            <v>87.480039370079126</v>
          </cell>
          <cell r="G681">
            <v>63.267440944882452</v>
          </cell>
          <cell r="H681">
            <v>63.267440944882452</v>
          </cell>
          <cell r="I681" t="e">
            <v>#N/A</v>
          </cell>
          <cell r="J681" t="e">
            <v>#N/A</v>
          </cell>
          <cell r="K681" t="e">
            <v>#N/A</v>
          </cell>
          <cell r="L681" t="e">
            <v>#N/A</v>
          </cell>
          <cell r="M681" t="e">
            <v>#N/A</v>
          </cell>
          <cell r="N681" t="e">
            <v>#N/A</v>
          </cell>
          <cell r="O681" t="e">
            <v>#N/A</v>
          </cell>
          <cell r="P681">
            <v>71.03</v>
          </cell>
          <cell r="Q681" t="str">
            <v/>
          </cell>
          <cell r="R681" t="e">
            <v>#N/A</v>
          </cell>
        </row>
        <row r="682">
          <cell r="A682">
            <v>40456</v>
          </cell>
          <cell r="B682">
            <v>40456</v>
          </cell>
          <cell r="C682" t="str">
            <v>Future</v>
          </cell>
          <cell r="D682" t="e">
            <v>#N/A</v>
          </cell>
          <cell r="E682">
            <v>36.353937007873725</v>
          </cell>
          <cell r="F682">
            <v>87.613779527559444</v>
          </cell>
          <cell r="G682">
            <v>63.204330708661978</v>
          </cell>
          <cell r="H682">
            <v>63.204330708661978</v>
          </cell>
          <cell r="I682" t="e">
            <v>#N/A</v>
          </cell>
          <cell r="J682" t="e">
            <v>#N/A</v>
          </cell>
          <cell r="K682" t="e">
            <v>#N/A</v>
          </cell>
          <cell r="L682" t="e">
            <v>#N/A</v>
          </cell>
          <cell r="M682" t="e">
            <v>#N/A</v>
          </cell>
          <cell r="N682" t="e">
            <v>#N/A</v>
          </cell>
          <cell r="O682" t="e">
            <v>#N/A</v>
          </cell>
          <cell r="P682">
            <v>71.03</v>
          </cell>
          <cell r="Q682" t="str">
            <v/>
          </cell>
          <cell r="R682" t="e">
            <v>#N/A</v>
          </cell>
        </row>
        <row r="683">
          <cell r="A683">
            <v>40457</v>
          </cell>
          <cell r="B683">
            <v>40457</v>
          </cell>
          <cell r="C683" t="str">
            <v>Future</v>
          </cell>
          <cell r="D683" t="e">
            <v>#N/A</v>
          </cell>
          <cell r="E683">
            <v>36.074291338582384</v>
          </cell>
          <cell r="F683">
            <v>87.747519685039762</v>
          </cell>
          <cell r="G683">
            <v>63.141220472441503</v>
          </cell>
          <cell r="H683">
            <v>63.141220472441503</v>
          </cell>
          <cell r="I683" t="e">
            <v>#N/A</v>
          </cell>
          <cell r="J683" t="e">
            <v>#N/A</v>
          </cell>
          <cell r="K683" t="e">
            <v>#N/A</v>
          </cell>
          <cell r="L683" t="e">
            <v>#N/A</v>
          </cell>
          <cell r="M683" t="e">
            <v>#N/A</v>
          </cell>
          <cell r="N683" t="e">
            <v>#N/A</v>
          </cell>
          <cell r="O683" t="e">
            <v>#N/A</v>
          </cell>
          <cell r="P683">
            <v>71.03</v>
          </cell>
          <cell r="Q683" t="str">
            <v/>
          </cell>
          <cell r="R683" t="e">
            <v>#N/A</v>
          </cell>
        </row>
        <row r="684">
          <cell r="A684">
            <v>40458</v>
          </cell>
          <cell r="B684">
            <v>40458</v>
          </cell>
          <cell r="C684" t="str">
            <v>Future</v>
          </cell>
          <cell r="D684" t="e">
            <v>#N/A</v>
          </cell>
          <cell r="E684">
            <v>35.794645669291043</v>
          </cell>
          <cell r="F684">
            <v>87.88125984252008</v>
          </cell>
          <cell r="G684">
            <v>63.078110236221029</v>
          </cell>
          <cell r="H684">
            <v>63.078110236221029</v>
          </cell>
          <cell r="I684" t="e">
            <v>#N/A</v>
          </cell>
          <cell r="J684" t="e">
            <v>#N/A</v>
          </cell>
          <cell r="K684" t="e">
            <v>#N/A</v>
          </cell>
          <cell r="L684" t="e">
            <v>#N/A</v>
          </cell>
          <cell r="M684" t="e">
            <v>#N/A</v>
          </cell>
          <cell r="N684" t="e">
            <v>#N/A</v>
          </cell>
          <cell r="O684" t="e">
            <v>#N/A</v>
          </cell>
          <cell r="P684">
            <v>71.03</v>
          </cell>
          <cell r="Q684" t="str">
            <v/>
          </cell>
          <cell r="R684" t="e">
            <v>#N/A</v>
          </cell>
        </row>
        <row r="685">
          <cell r="A685">
            <v>40459</v>
          </cell>
          <cell r="B685">
            <v>40459</v>
          </cell>
          <cell r="C685" t="str">
            <v>Future</v>
          </cell>
          <cell r="D685" t="e">
            <v>#N/A</v>
          </cell>
          <cell r="E685">
            <v>35.514999999999702</v>
          </cell>
          <cell r="F685">
            <v>88.015000000000398</v>
          </cell>
          <cell r="G685">
            <v>63.015000000000555</v>
          </cell>
          <cell r="H685">
            <v>63.015000000000555</v>
          </cell>
          <cell r="I685" t="e">
            <v>#N/A</v>
          </cell>
          <cell r="J685" t="e">
            <v>#N/A</v>
          </cell>
          <cell r="K685" t="e">
            <v>#N/A</v>
          </cell>
          <cell r="L685" t="e">
            <v>#N/A</v>
          </cell>
          <cell r="M685" t="e">
            <v>#N/A</v>
          </cell>
          <cell r="N685" t="e">
            <v>#N/A</v>
          </cell>
          <cell r="O685" t="e">
            <v>#N/A</v>
          </cell>
          <cell r="P685">
            <v>71.03</v>
          </cell>
          <cell r="Q685" t="str">
            <v/>
          </cell>
          <cell r="R685" t="e">
            <v>#N/A</v>
          </cell>
        </row>
        <row r="686">
          <cell r="A686">
            <v>40462</v>
          </cell>
          <cell r="B686">
            <v>40462</v>
          </cell>
          <cell r="C686" t="str">
            <v>Future</v>
          </cell>
          <cell r="D686" t="e">
            <v>#N/A</v>
          </cell>
          <cell r="E686">
            <v>35.235354330708361</v>
          </cell>
          <cell r="F686">
            <v>88.148740157480717</v>
          </cell>
          <cell r="G686">
            <v>62.951889763780081</v>
          </cell>
          <cell r="H686">
            <v>62.951889763780081</v>
          </cell>
          <cell r="I686" t="e">
            <v>#N/A</v>
          </cell>
          <cell r="J686" t="e">
            <v>#N/A</v>
          </cell>
          <cell r="K686" t="e">
            <v>#N/A</v>
          </cell>
          <cell r="L686" t="e">
            <v>#N/A</v>
          </cell>
          <cell r="M686" t="e">
            <v>#N/A</v>
          </cell>
          <cell r="N686" t="e">
            <v>#N/A</v>
          </cell>
          <cell r="O686" t="e">
            <v>#N/A</v>
          </cell>
          <cell r="P686">
            <v>71.03</v>
          </cell>
          <cell r="Q686" t="str">
            <v/>
          </cell>
          <cell r="R686" t="e">
            <v>#N/A</v>
          </cell>
        </row>
        <row r="687">
          <cell r="A687">
            <v>40463</v>
          </cell>
          <cell r="B687">
            <v>40463</v>
          </cell>
          <cell r="C687" t="str">
            <v>Future</v>
          </cell>
          <cell r="D687" t="e">
            <v>#N/A</v>
          </cell>
          <cell r="E687">
            <v>34.95570866141702</v>
          </cell>
          <cell r="F687">
            <v>88.282480314961035</v>
          </cell>
          <cell r="G687">
            <v>62.888779527559606</v>
          </cell>
          <cell r="H687">
            <v>62.888779527559606</v>
          </cell>
          <cell r="I687" t="e">
            <v>#N/A</v>
          </cell>
          <cell r="J687" t="e">
            <v>#N/A</v>
          </cell>
          <cell r="K687" t="e">
            <v>#N/A</v>
          </cell>
          <cell r="L687" t="e">
            <v>#N/A</v>
          </cell>
          <cell r="M687" t="e">
            <v>#N/A</v>
          </cell>
          <cell r="N687" t="e">
            <v>#N/A</v>
          </cell>
          <cell r="O687" t="e">
            <v>#N/A</v>
          </cell>
          <cell r="P687">
            <v>71.03</v>
          </cell>
          <cell r="Q687" t="str">
            <v/>
          </cell>
          <cell r="R687" t="e">
            <v>#N/A</v>
          </cell>
        </row>
        <row r="688">
          <cell r="A688">
            <v>40464</v>
          </cell>
          <cell r="B688">
            <v>40464</v>
          </cell>
          <cell r="C688" t="str">
            <v>Future</v>
          </cell>
          <cell r="D688" t="e">
            <v>#N/A</v>
          </cell>
          <cell r="E688">
            <v>34.676062992125679</v>
          </cell>
          <cell r="F688">
            <v>88.416220472441353</v>
          </cell>
          <cell r="G688">
            <v>62.825669291339132</v>
          </cell>
          <cell r="H688">
            <v>62.825669291339132</v>
          </cell>
          <cell r="I688" t="e">
            <v>#N/A</v>
          </cell>
          <cell r="J688" t="e">
            <v>#N/A</v>
          </cell>
          <cell r="K688" t="e">
            <v>#N/A</v>
          </cell>
          <cell r="L688" t="e">
            <v>#N/A</v>
          </cell>
          <cell r="M688" t="e">
            <v>#N/A</v>
          </cell>
          <cell r="N688" t="e">
            <v>#N/A</v>
          </cell>
          <cell r="O688" t="e">
            <v>#N/A</v>
          </cell>
          <cell r="P688">
            <v>71.03</v>
          </cell>
          <cell r="Q688" t="str">
            <v/>
          </cell>
          <cell r="R688" t="e">
            <v>#N/A</v>
          </cell>
        </row>
        <row r="689">
          <cell r="A689">
            <v>40465</v>
          </cell>
          <cell r="B689">
            <v>40465</v>
          </cell>
          <cell r="C689" t="str">
            <v>Future</v>
          </cell>
          <cell r="D689" t="e">
            <v>#N/A</v>
          </cell>
          <cell r="E689">
            <v>34.396417322834338</v>
          </cell>
          <cell r="F689">
            <v>88.549960629921671</v>
          </cell>
          <cell r="G689">
            <v>62.762559055118658</v>
          </cell>
          <cell r="H689">
            <v>62.762559055118658</v>
          </cell>
          <cell r="I689" t="e">
            <v>#N/A</v>
          </cell>
          <cell r="J689" t="e">
            <v>#N/A</v>
          </cell>
          <cell r="K689" t="e">
            <v>#N/A</v>
          </cell>
          <cell r="L689" t="e">
            <v>#N/A</v>
          </cell>
          <cell r="M689" t="e">
            <v>#N/A</v>
          </cell>
          <cell r="N689" t="e">
            <v>#N/A</v>
          </cell>
          <cell r="O689" t="e">
            <v>#N/A</v>
          </cell>
          <cell r="P689">
            <v>71.03</v>
          </cell>
          <cell r="Q689" t="str">
            <v/>
          </cell>
          <cell r="R689" t="e">
            <v>#N/A</v>
          </cell>
        </row>
        <row r="690">
          <cell r="A690">
            <v>40466</v>
          </cell>
          <cell r="B690">
            <v>40466</v>
          </cell>
          <cell r="C690" t="str">
            <v>Future</v>
          </cell>
          <cell r="D690" t="e">
            <v>#N/A</v>
          </cell>
          <cell r="E690">
            <v>34.116771653542997</v>
          </cell>
          <cell r="F690">
            <v>88.683700787401989</v>
          </cell>
          <cell r="G690">
            <v>62.699448818898183</v>
          </cell>
          <cell r="H690">
            <v>62.699448818898183</v>
          </cell>
          <cell r="I690" t="e">
            <v>#N/A</v>
          </cell>
          <cell r="J690" t="e">
            <v>#N/A</v>
          </cell>
          <cell r="K690" t="e">
            <v>#N/A</v>
          </cell>
          <cell r="L690" t="e">
            <v>#N/A</v>
          </cell>
          <cell r="M690" t="e">
            <v>#N/A</v>
          </cell>
          <cell r="N690" t="e">
            <v>#N/A</v>
          </cell>
          <cell r="O690" t="e">
            <v>#N/A</v>
          </cell>
          <cell r="P690">
            <v>71.03</v>
          </cell>
          <cell r="Q690" t="str">
            <v/>
          </cell>
          <cell r="R690" t="e">
            <v>#N/A</v>
          </cell>
        </row>
        <row r="691">
          <cell r="A691">
            <v>40469</v>
          </cell>
          <cell r="B691">
            <v>40469</v>
          </cell>
          <cell r="C691" t="str">
            <v>Future</v>
          </cell>
          <cell r="D691" t="e">
            <v>#N/A</v>
          </cell>
          <cell r="E691">
            <v>33.837125984251657</v>
          </cell>
          <cell r="F691">
            <v>88.817440944882307</v>
          </cell>
          <cell r="G691">
            <v>62.636338582677709</v>
          </cell>
          <cell r="H691">
            <v>62.636338582677709</v>
          </cell>
          <cell r="I691" t="e">
            <v>#N/A</v>
          </cell>
          <cell r="J691" t="e">
            <v>#N/A</v>
          </cell>
          <cell r="K691" t="e">
            <v>#N/A</v>
          </cell>
          <cell r="L691" t="e">
            <v>#N/A</v>
          </cell>
          <cell r="M691" t="e">
            <v>#N/A</v>
          </cell>
          <cell r="N691" t="e">
            <v>#N/A</v>
          </cell>
          <cell r="O691" t="e">
            <v>#N/A</v>
          </cell>
          <cell r="P691">
            <v>71.03</v>
          </cell>
          <cell r="Q691" t="str">
            <v/>
          </cell>
          <cell r="R691" t="e">
            <v>#N/A</v>
          </cell>
        </row>
        <row r="692">
          <cell r="A692">
            <v>40470</v>
          </cell>
          <cell r="B692">
            <v>40470</v>
          </cell>
          <cell r="C692" t="str">
            <v>Future</v>
          </cell>
          <cell r="D692" t="e">
            <v>#N/A</v>
          </cell>
          <cell r="E692">
            <v>33.557480314960316</v>
          </cell>
          <cell r="F692">
            <v>88.951181102362625</v>
          </cell>
          <cell r="G692">
            <v>62.573228346457235</v>
          </cell>
          <cell r="H692">
            <v>62.573228346457235</v>
          </cell>
          <cell r="I692" t="e">
            <v>#N/A</v>
          </cell>
          <cell r="J692" t="e">
            <v>#N/A</v>
          </cell>
          <cell r="K692" t="e">
            <v>#N/A</v>
          </cell>
          <cell r="L692" t="e">
            <v>#N/A</v>
          </cell>
          <cell r="M692" t="e">
            <v>#N/A</v>
          </cell>
          <cell r="N692" t="e">
            <v>#N/A</v>
          </cell>
          <cell r="O692" t="e">
            <v>#N/A</v>
          </cell>
          <cell r="P692">
            <v>71.03</v>
          </cell>
          <cell r="Q692" t="str">
            <v/>
          </cell>
          <cell r="R692" t="e">
            <v>#N/A</v>
          </cell>
        </row>
        <row r="693">
          <cell r="A693">
            <v>40471</v>
          </cell>
          <cell r="B693">
            <v>40471</v>
          </cell>
          <cell r="C693" t="str">
            <v>Future</v>
          </cell>
          <cell r="D693" t="e">
            <v>#N/A</v>
          </cell>
          <cell r="E693">
            <v>33.277834645668975</v>
          </cell>
          <cell r="F693">
            <v>89.084921259842943</v>
          </cell>
          <cell r="G693">
            <v>62.51011811023676</v>
          </cell>
          <cell r="H693">
            <v>62.51011811023676</v>
          </cell>
          <cell r="I693" t="e">
            <v>#N/A</v>
          </cell>
          <cell r="J693" t="e">
            <v>#N/A</v>
          </cell>
          <cell r="K693" t="e">
            <v>#N/A</v>
          </cell>
          <cell r="L693" t="e">
            <v>#N/A</v>
          </cell>
          <cell r="M693" t="e">
            <v>#N/A</v>
          </cell>
          <cell r="N693" t="e">
            <v>#N/A</v>
          </cell>
          <cell r="O693" t="e">
            <v>#N/A</v>
          </cell>
          <cell r="P693">
            <v>71.03</v>
          </cell>
          <cell r="Q693" t="str">
            <v/>
          </cell>
          <cell r="R693" t="e">
            <v>#N/A</v>
          </cell>
        </row>
        <row r="694">
          <cell r="A694">
            <v>40472</v>
          </cell>
          <cell r="B694">
            <v>40472</v>
          </cell>
          <cell r="C694" t="str">
            <v>Future</v>
          </cell>
          <cell r="D694" t="e">
            <v>#N/A</v>
          </cell>
          <cell r="E694">
            <v>32.998188976377634</v>
          </cell>
          <cell r="F694">
            <v>89.218661417323261</v>
          </cell>
          <cell r="G694">
            <v>62.447007874016286</v>
          </cell>
          <cell r="H694">
            <v>62.447007874016286</v>
          </cell>
          <cell r="I694" t="e">
            <v>#N/A</v>
          </cell>
          <cell r="J694" t="e">
            <v>#N/A</v>
          </cell>
          <cell r="K694" t="e">
            <v>#N/A</v>
          </cell>
          <cell r="L694" t="e">
            <v>#N/A</v>
          </cell>
          <cell r="M694" t="e">
            <v>#N/A</v>
          </cell>
          <cell r="N694" t="e">
            <v>#N/A</v>
          </cell>
          <cell r="O694" t="e">
            <v>#N/A</v>
          </cell>
          <cell r="P694">
            <v>71.03</v>
          </cell>
          <cell r="Q694" t="str">
            <v/>
          </cell>
          <cell r="R694" t="e">
            <v>#N/A</v>
          </cell>
        </row>
        <row r="695">
          <cell r="A695">
            <v>40473</v>
          </cell>
          <cell r="B695">
            <v>40473</v>
          </cell>
          <cell r="C695" t="str">
            <v>Future</v>
          </cell>
          <cell r="D695" t="e">
            <v>#N/A</v>
          </cell>
          <cell r="E695">
            <v>32.718543307086293</v>
          </cell>
          <cell r="F695">
            <v>89.352401574803579</v>
          </cell>
          <cell r="G695">
            <v>62.383897637795812</v>
          </cell>
          <cell r="H695">
            <v>62.383897637795812</v>
          </cell>
          <cell r="I695" t="e">
            <v>#N/A</v>
          </cell>
          <cell r="J695" t="e">
            <v>#N/A</v>
          </cell>
          <cell r="K695" t="e">
            <v>#N/A</v>
          </cell>
          <cell r="L695" t="e">
            <v>#N/A</v>
          </cell>
          <cell r="M695" t="e">
            <v>#N/A</v>
          </cell>
          <cell r="N695" t="e">
            <v>#N/A</v>
          </cell>
          <cell r="O695" t="e">
            <v>#N/A</v>
          </cell>
          <cell r="P695">
            <v>71.03</v>
          </cell>
          <cell r="Q695" t="str">
            <v/>
          </cell>
          <cell r="R695" t="e">
            <v>#N/A</v>
          </cell>
        </row>
        <row r="696">
          <cell r="A696">
            <v>40476</v>
          </cell>
          <cell r="B696">
            <v>40476</v>
          </cell>
          <cell r="C696" t="str">
            <v>Future</v>
          </cell>
          <cell r="D696" t="e">
            <v>#N/A</v>
          </cell>
          <cell r="E696">
            <v>32.438897637794952</v>
          </cell>
          <cell r="F696">
            <v>89.486141732283897</v>
          </cell>
          <cell r="G696">
            <v>62.320787401575338</v>
          </cell>
          <cell r="H696">
            <v>62.320787401575338</v>
          </cell>
          <cell r="I696" t="e">
            <v>#N/A</v>
          </cell>
          <cell r="J696" t="e">
            <v>#N/A</v>
          </cell>
          <cell r="K696" t="e">
            <v>#N/A</v>
          </cell>
          <cell r="L696" t="e">
            <v>#N/A</v>
          </cell>
          <cell r="M696" t="e">
            <v>#N/A</v>
          </cell>
          <cell r="N696" t="e">
            <v>#N/A</v>
          </cell>
          <cell r="O696" t="e">
            <v>#N/A</v>
          </cell>
          <cell r="P696">
            <v>71.03</v>
          </cell>
          <cell r="Q696" t="str">
            <v/>
          </cell>
          <cell r="R696" t="e">
            <v>#N/A</v>
          </cell>
        </row>
        <row r="697">
          <cell r="A697">
            <v>40477</v>
          </cell>
          <cell r="B697">
            <v>40477</v>
          </cell>
          <cell r="C697" t="str">
            <v>Future</v>
          </cell>
          <cell r="D697" t="e">
            <v>#N/A</v>
          </cell>
          <cell r="E697">
            <v>32.159251968503611</v>
          </cell>
          <cell r="F697">
            <v>89.619881889764216</v>
          </cell>
          <cell r="G697">
            <v>62.257677165354863</v>
          </cell>
          <cell r="H697">
            <v>62.257677165354863</v>
          </cell>
          <cell r="I697" t="e">
            <v>#N/A</v>
          </cell>
          <cell r="J697" t="e">
            <v>#N/A</v>
          </cell>
          <cell r="K697" t="e">
            <v>#N/A</v>
          </cell>
          <cell r="L697" t="e">
            <v>#N/A</v>
          </cell>
          <cell r="M697" t="e">
            <v>#N/A</v>
          </cell>
          <cell r="N697" t="e">
            <v>#N/A</v>
          </cell>
          <cell r="O697" t="e">
            <v>#N/A</v>
          </cell>
          <cell r="P697">
            <v>71.03</v>
          </cell>
          <cell r="Q697" t="str">
            <v/>
          </cell>
          <cell r="R697" t="e">
            <v>#N/A</v>
          </cell>
        </row>
        <row r="698">
          <cell r="A698">
            <v>40478</v>
          </cell>
          <cell r="B698">
            <v>40478</v>
          </cell>
          <cell r="C698" t="str">
            <v>Future</v>
          </cell>
          <cell r="D698" t="e">
            <v>#N/A</v>
          </cell>
          <cell r="E698">
            <v>31.879606299212274</v>
          </cell>
          <cell r="F698">
            <v>89.753622047244534</v>
          </cell>
          <cell r="G698">
            <v>62.194566929134389</v>
          </cell>
          <cell r="H698">
            <v>62.194566929134389</v>
          </cell>
          <cell r="I698" t="e">
            <v>#N/A</v>
          </cell>
          <cell r="J698" t="e">
            <v>#N/A</v>
          </cell>
          <cell r="K698" t="e">
            <v>#N/A</v>
          </cell>
          <cell r="L698" t="e">
            <v>#N/A</v>
          </cell>
          <cell r="M698" t="e">
            <v>#N/A</v>
          </cell>
          <cell r="N698" t="e">
            <v>#N/A</v>
          </cell>
          <cell r="O698" t="e">
            <v>#N/A</v>
          </cell>
          <cell r="P698">
            <v>71.03</v>
          </cell>
          <cell r="Q698" t="str">
            <v/>
          </cell>
          <cell r="R698" t="e">
            <v>#N/A</v>
          </cell>
        </row>
        <row r="699">
          <cell r="A699">
            <v>40479</v>
          </cell>
          <cell r="B699">
            <v>40479</v>
          </cell>
          <cell r="C699" t="str">
            <v>Future</v>
          </cell>
          <cell r="D699" t="e">
            <v>#N/A</v>
          </cell>
          <cell r="E699">
            <v>31.599960629920936</v>
          </cell>
          <cell r="F699">
            <v>89.887362204724852</v>
          </cell>
          <cell r="G699">
            <v>62.131456692913915</v>
          </cell>
          <cell r="H699">
            <v>62.131456692913915</v>
          </cell>
          <cell r="I699" t="e">
            <v>#N/A</v>
          </cell>
          <cell r="J699" t="e">
            <v>#N/A</v>
          </cell>
          <cell r="K699" t="e">
            <v>#N/A</v>
          </cell>
          <cell r="L699" t="e">
            <v>#N/A</v>
          </cell>
          <cell r="M699" t="e">
            <v>#N/A</v>
          </cell>
          <cell r="N699" t="e">
            <v>#N/A</v>
          </cell>
          <cell r="O699" t="e">
            <v>#N/A</v>
          </cell>
          <cell r="P699">
            <v>71.03</v>
          </cell>
          <cell r="Q699" t="str">
            <v/>
          </cell>
          <cell r="R699" t="e">
            <v>#N/A</v>
          </cell>
        </row>
        <row r="700">
          <cell r="A700">
            <v>40480</v>
          </cell>
          <cell r="B700">
            <v>40480</v>
          </cell>
          <cell r="C700" t="str">
            <v>Future</v>
          </cell>
          <cell r="D700" t="e">
            <v>#N/A</v>
          </cell>
          <cell r="E700">
            <v>31.320314960629599</v>
          </cell>
          <cell r="F700">
            <v>90.02110236220517</v>
          </cell>
          <cell r="G700">
            <v>62.06834645669344</v>
          </cell>
          <cell r="H700">
            <v>62.06834645669344</v>
          </cell>
          <cell r="I700" t="e">
            <v>#N/A</v>
          </cell>
          <cell r="J700" t="e">
            <v>#N/A</v>
          </cell>
          <cell r="K700" t="e">
            <v>#N/A</v>
          </cell>
          <cell r="L700" t="e">
            <v>#N/A</v>
          </cell>
          <cell r="M700" t="e">
            <v>#N/A</v>
          </cell>
          <cell r="N700" t="e">
            <v>#N/A</v>
          </cell>
          <cell r="O700" t="e">
            <v>#N/A</v>
          </cell>
          <cell r="P700">
            <v>71.03</v>
          </cell>
          <cell r="Q700" t="str">
            <v/>
          </cell>
          <cell r="R700" t="e">
            <v>#N/A</v>
          </cell>
        </row>
        <row r="701">
          <cell r="A701">
            <v>40483</v>
          </cell>
          <cell r="B701">
            <v>40483</v>
          </cell>
          <cell r="C701" t="str">
            <v>Future</v>
          </cell>
          <cell r="D701" t="e">
            <v>#N/A</v>
          </cell>
          <cell r="E701">
            <v>31.040669291338261</v>
          </cell>
          <cell r="F701">
            <v>90.154842519685488</v>
          </cell>
          <cell r="G701">
            <v>62.005236220472966</v>
          </cell>
          <cell r="H701">
            <v>62.005236220472966</v>
          </cell>
          <cell r="I701" t="e">
            <v>#N/A</v>
          </cell>
          <cell r="J701" t="e">
            <v>#N/A</v>
          </cell>
          <cell r="K701" t="e">
            <v>#N/A</v>
          </cell>
          <cell r="L701" t="e">
            <v>#N/A</v>
          </cell>
          <cell r="M701" t="e">
            <v>#N/A</v>
          </cell>
          <cell r="N701" t="e">
            <v>#N/A</v>
          </cell>
          <cell r="O701" t="e">
            <v>#N/A</v>
          </cell>
          <cell r="P701">
            <v>71.03</v>
          </cell>
          <cell r="Q701" t="str">
            <v/>
          </cell>
          <cell r="R701" t="e">
            <v>#N/A</v>
          </cell>
        </row>
        <row r="702">
          <cell r="A702">
            <v>40484</v>
          </cell>
          <cell r="B702">
            <v>40484</v>
          </cell>
          <cell r="C702" t="str">
            <v>Future</v>
          </cell>
          <cell r="D702" t="e">
            <v>#N/A</v>
          </cell>
          <cell r="E702">
            <v>30.761023622046924</v>
          </cell>
          <cell r="F702">
            <v>90.288582677165806</v>
          </cell>
          <cell r="G702">
            <v>61.942125984252492</v>
          </cell>
          <cell r="H702">
            <v>61.942125984252492</v>
          </cell>
          <cell r="I702" t="e">
            <v>#N/A</v>
          </cell>
          <cell r="J702" t="e">
            <v>#N/A</v>
          </cell>
          <cell r="K702" t="e">
            <v>#N/A</v>
          </cell>
          <cell r="L702" t="e">
            <v>#N/A</v>
          </cell>
          <cell r="M702" t="e">
            <v>#N/A</v>
          </cell>
          <cell r="N702" t="e">
            <v>#N/A</v>
          </cell>
          <cell r="O702" t="e">
            <v>#N/A</v>
          </cell>
          <cell r="P702">
            <v>71.03</v>
          </cell>
          <cell r="Q702" t="str">
            <v/>
          </cell>
          <cell r="R702" t="e">
            <v>#N/A</v>
          </cell>
        </row>
        <row r="703">
          <cell r="A703">
            <v>40485</v>
          </cell>
          <cell r="B703">
            <v>40485</v>
          </cell>
          <cell r="C703" t="str">
            <v>Future</v>
          </cell>
          <cell r="D703" t="e">
            <v>#N/A</v>
          </cell>
          <cell r="E703">
            <v>30.481377952755587</v>
          </cell>
          <cell r="F703">
            <v>90.422322834646124</v>
          </cell>
          <cell r="G703">
            <v>61.879015748032018</v>
          </cell>
          <cell r="H703">
            <v>61.879015748032018</v>
          </cell>
          <cell r="I703" t="e">
            <v>#N/A</v>
          </cell>
          <cell r="J703" t="e">
            <v>#N/A</v>
          </cell>
          <cell r="K703" t="e">
            <v>#N/A</v>
          </cell>
          <cell r="L703" t="e">
            <v>#N/A</v>
          </cell>
          <cell r="M703" t="e">
            <v>#N/A</v>
          </cell>
          <cell r="N703" t="e">
            <v>#N/A</v>
          </cell>
          <cell r="O703" t="e">
            <v>#N/A</v>
          </cell>
          <cell r="P703">
            <v>71.03</v>
          </cell>
          <cell r="Q703" t="str">
            <v/>
          </cell>
          <cell r="R703" t="e">
            <v>#N/A</v>
          </cell>
        </row>
        <row r="704">
          <cell r="A704">
            <v>40486</v>
          </cell>
          <cell r="B704">
            <v>40486</v>
          </cell>
          <cell r="C704" t="str">
            <v>Future</v>
          </cell>
          <cell r="D704" t="e">
            <v>#N/A</v>
          </cell>
          <cell r="E704">
            <v>30.201732283464249</v>
          </cell>
          <cell r="F704">
            <v>90.556062992126442</v>
          </cell>
          <cell r="G704">
            <v>61.815905511811543</v>
          </cell>
          <cell r="H704">
            <v>61.815905511811543</v>
          </cell>
          <cell r="I704" t="e">
            <v>#N/A</v>
          </cell>
          <cell r="J704" t="e">
            <v>#N/A</v>
          </cell>
          <cell r="K704" t="e">
            <v>#N/A</v>
          </cell>
          <cell r="L704" t="e">
            <v>#N/A</v>
          </cell>
          <cell r="M704" t="e">
            <v>#N/A</v>
          </cell>
          <cell r="N704" t="e">
            <v>#N/A</v>
          </cell>
          <cell r="O704" t="e">
            <v>#N/A</v>
          </cell>
          <cell r="P704">
            <v>71.03</v>
          </cell>
          <cell r="Q704" t="str">
            <v/>
          </cell>
          <cell r="R704" t="e">
            <v>#N/A</v>
          </cell>
        </row>
        <row r="705">
          <cell r="A705">
            <v>40487</v>
          </cell>
          <cell r="B705">
            <v>40487</v>
          </cell>
          <cell r="C705" t="str">
            <v>Future</v>
          </cell>
          <cell r="D705" t="e">
            <v>#N/A</v>
          </cell>
          <cell r="E705">
            <v>29.922086614172912</v>
          </cell>
          <cell r="F705">
            <v>90.68980314960676</v>
          </cell>
          <cell r="G705">
            <v>61.752795275591069</v>
          </cell>
          <cell r="H705">
            <v>61.752795275591069</v>
          </cell>
          <cell r="I705" t="e">
            <v>#N/A</v>
          </cell>
          <cell r="J705" t="e">
            <v>#N/A</v>
          </cell>
          <cell r="K705" t="e">
            <v>#N/A</v>
          </cell>
          <cell r="L705" t="e">
            <v>#N/A</v>
          </cell>
          <cell r="M705" t="e">
            <v>#N/A</v>
          </cell>
          <cell r="N705" t="e">
            <v>#N/A</v>
          </cell>
          <cell r="O705" t="e">
            <v>#N/A</v>
          </cell>
          <cell r="P705">
            <v>71.03</v>
          </cell>
          <cell r="Q705" t="str">
            <v/>
          </cell>
          <cell r="R705" t="e">
            <v>#N/A</v>
          </cell>
        </row>
        <row r="706">
          <cell r="A706">
            <v>40490</v>
          </cell>
          <cell r="B706">
            <v>40490</v>
          </cell>
          <cell r="C706" t="str">
            <v>Future</v>
          </cell>
          <cell r="D706" t="e">
            <v>#N/A</v>
          </cell>
          <cell r="E706">
            <v>29.642440944881574</v>
          </cell>
          <cell r="F706">
            <v>90.823543307087078</v>
          </cell>
          <cell r="G706">
            <v>61.689685039370595</v>
          </cell>
          <cell r="H706">
            <v>61.689685039370595</v>
          </cell>
          <cell r="I706" t="e">
            <v>#N/A</v>
          </cell>
          <cell r="J706" t="e">
            <v>#N/A</v>
          </cell>
          <cell r="K706" t="e">
            <v>#N/A</v>
          </cell>
          <cell r="L706" t="e">
            <v>#N/A</v>
          </cell>
          <cell r="M706" t="e">
            <v>#N/A</v>
          </cell>
          <cell r="N706" t="e">
            <v>#N/A</v>
          </cell>
          <cell r="O706" t="e">
            <v>#N/A</v>
          </cell>
          <cell r="P706">
            <v>71.03</v>
          </cell>
          <cell r="Q706" t="str">
            <v/>
          </cell>
          <cell r="R706" t="e">
            <v>#N/A</v>
          </cell>
        </row>
        <row r="707">
          <cell r="A707">
            <v>40491</v>
          </cell>
          <cell r="B707">
            <v>40491</v>
          </cell>
          <cell r="C707" t="str">
            <v>Future</v>
          </cell>
          <cell r="D707" t="e">
            <v>#N/A</v>
          </cell>
          <cell r="E707">
            <v>29.362795275590237</v>
          </cell>
          <cell r="F707">
            <v>90.957283464567396</v>
          </cell>
          <cell r="G707">
            <v>61.62657480315012</v>
          </cell>
          <cell r="H707">
            <v>61.62657480315012</v>
          </cell>
          <cell r="I707" t="e">
            <v>#N/A</v>
          </cell>
          <cell r="J707" t="e">
            <v>#N/A</v>
          </cell>
          <cell r="K707" t="e">
            <v>#N/A</v>
          </cell>
          <cell r="L707" t="e">
            <v>#N/A</v>
          </cell>
          <cell r="M707" t="e">
            <v>#N/A</v>
          </cell>
          <cell r="N707" t="e">
            <v>#N/A</v>
          </cell>
          <cell r="O707" t="e">
            <v>#N/A</v>
          </cell>
          <cell r="P707">
            <v>71.03</v>
          </cell>
          <cell r="Q707" t="str">
            <v/>
          </cell>
          <cell r="R707" t="e">
            <v>#N/A</v>
          </cell>
        </row>
        <row r="708">
          <cell r="A708">
            <v>40492</v>
          </cell>
          <cell r="B708">
            <v>40492</v>
          </cell>
          <cell r="C708" t="str">
            <v>Future</v>
          </cell>
          <cell r="D708" t="e">
            <v>#N/A</v>
          </cell>
          <cell r="E708">
            <v>29.0831496062989</v>
          </cell>
          <cell r="F708">
            <v>91.091023622047715</v>
          </cell>
          <cell r="G708">
            <v>61.563464566929646</v>
          </cell>
          <cell r="H708">
            <v>61.563464566929646</v>
          </cell>
          <cell r="I708" t="e">
            <v>#N/A</v>
          </cell>
          <cell r="J708" t="e">
            <v>#N/A</v>
          </cell>
          <cell r="K708" t="e">
            <v>#N/A</v>
          </cell>
          <cell r="L708" t="e">
            <v>#N/A</v>
          </cell>
          <cell r="M708" t="e">
            <v>#N/A</v>
          </cell>
          <cell r="N708" t="e">
            <v>#N/A</v>
          </cell>
          <cell r="O708" t="e">
            <v>#N/A</v>
          </cell>
          <cell r="P708">
            <v>71.03</v>
          </cell>
          <cell r="Q708" t="str">
            <v/>
          </cell>
          <cell r="R708" t="e">
            <v>#N/A</v>
          </cell>
        </row>
        <row r="709">
          <cell r="A709">
            <v>40493</v>
          </cell>
          <cell r="B709">
            <v>40493</v>
          </cell>
          <cell r="C709" t="str">
            <v>Future</v>
          </cell>
          <cell r="D709" t="e">
            <v>#N/A</v>
          </cell>
          <cell r="E709">
            <v>28.803503937007562</v>
          </cell>
          <cell r="F709">
            <v>91.224763779528033</v>
          </cell>
          <cell r="G709">
            <v>61.500354330709172</v>
          </cell>
          <cell r="H709">
            <v>61.500354330709172</v>
          </cell>
          <cell r="I709" t="e">
            <v>#N/A</v>
          </cell>
          <cell r="J709" t="e">
            <v>#N/A</v>
          </cell>
          <cell r="K709" t="e">
            <v>#N/A</v>
          </cell>
          <cell r="L709" t="e">
            <v>#N/A</v>
          </cell>
          <cell r="M709" t="e">
            <v>#N/A</v>
          </cell>
          <cell r="N709" t="e">
            <v>#N/A</v>
          </cell>
          <cell r="O709" t="e">
            <v>#N/A</v>
          </cell>
          <cell r="P709">
            <v>71.03</v>
          </cell>
          <cell r="Q709" t="str">
            <v/>
          </cell>
          <cell r="R709" t="e">
            <v>#N/A</v>
          </cell>
        </row>
        <row r="710">
          <cell r="A710">
            <v>40494</v>
          </cell>
          <cell r="B710">
            <v>40494</v>
          </cell>
          <cell r="C710" t="str">
            <v>Future</v>
          </cell>
          <cell r="D710" t="e">
            <v>#N/A</v>
          </cell>
          <cell r="E710">
            <v>28.523858267716225</v>
          </cell>
          <cell r="F710">
            <v>91.358503937008351</v>
          </cell>
          <cell r="G710">
            <v>61.437244094488697</v>
          </cell>
          <cell r="H710">
            <v>61.437244094488697</v>
          </cell>
          <cell r="I710" t="e">
            <v>#N/A</v>
          </cell>
          <cell r="J710" t="e">
            <v>#N/A</v>
          </cell>
          <cell r="K710" t="e">
            <v>#N/A</v>
          </cell>
          <cell r="L710" t="e">
            <v>#N/A</v>
          </cell>
          <cell r="M710" t="e">
            <v>#N/A</v>
          </cell>
          <cell r="N710" t="e">
            <v>#N/A</v>
          </cell>
          <cell r="O710" t="e">
            <v>#N/A</v>
          </cell>
          <cell r="P710">
            <v>71.03</v>
          </cell>
          <cell r="Q710" t="str">
            <v/>
          </cell>
          <cell r="R710" t="e">
            <v>#N/A</v>
          </cell>
        </row>
        <row r="711">
          <cell r="A711">
            <v>40497</v>
          </cell>
          <cell r="B711">
            <v>40497</v>
          </cell>
          <cell r="C711" t="str">
            <v>Future</v>
          </cell>
          <cell r="D711" t="e">
            <v>#N/A</v>
          </cell>
          <cell r="E711">
            <v>28.244212598424888</v>
          </cell>
          <cell r="F711">
            <v>91.492244094488669</v>
          </cell>
          <cell r="G711">
            <v>61.374133858268223</v>
          </cell>
          <cell r="H711">
            <v>61.374133858268223</v>
          </cell>
          <cell r="I711" t="e">
            <v>#N/A</v>
          </cell>
          <cell r="J711" t="e">
            <v>#N/A</v>
          </cell>
          <cell r="K711" t="e">
            <v>#N/A</v>
          </cell>
          <cell r="L711" t="e">
            <v>#N/A</v>
          </cell>
          <cell r="M711" t="e">
            <v>#N/A</v>
          </cell>
          <cell r="N711" t="e">
            <v>#N/A</v>
          </cell>
          <cell r="O711" t="e">
            <v>#N/A</v>
          </cell>
          <cell r="P711">
            <v>71.03</v>
          </cell>
          <cell r="Q711" t="str">
            <v/>
          </cell>
          <cell r="R711" t="e">
            <v>#N/A</v>
          </cell>
        </row>
        <row r="712">
          <cell r="A712">
            <v>40498</v>
          </cell>
          <cell r="B712">
            <v>40498</v>
          </cell>
          <cell r="C712" t="str">
            <v>Future</v>
          </cell>
          <cell r="D712" t="e">
            <v>#N/A</v>
          </cell>
          <cell r="E712">
            <v>27.96456692913355</v>
          </cell>
          <cell r="F712">
            <v>91.625984251968987</v>
          </cell>
          <cell r="G712">
            <v>61.311023622047749</v>
          </cell>
          <cell r="H712">
            <v>61.311023622047749</v>
          </cell>
          <cell r="I712" t="e">
            <v>#N/A</v>
          </cell>
          <cell r="J712" t="e">
            <v>#N/A</v>
          </cell>
          <cell r="K712" t="e">
            <v>#N/A</v>
          </cell>
          <cell r="L712" t="e">
            <v>#N/A</v>
          </cell>
          <cell r="M712" t="e">
            <v>#N/A</v>
          </cell>
          <cell r="N712" t="e">
            <v>#N/A</v>
          </cell>
          <cell r="O712" t="e">
            <v>#N/A</v>
          </cell>
          <cell r="P712">
            <v>71.03</v>
          </cell>
          <cell r="Q712" t="str">
            <v/>
          </cell>
          <cell r="R712" t="e">
            <v>#N/A</v>
          </cell>
        </row>
        <row r="713">
          <cell r="A713">
            <v>40499</v>
          </cell>
          <cell r="B713">
            <v>40499</v>
          </cell>
          <cell r="C713" t="str">
            <v>Future</v>
          </cell>
          <cell r="D713" t="e">
            <v>#N/A</v>
          </cell>
          <cell r="E713">
            <v>27.684921259842213</v>
          </cell>
          <cell r="F713">
            <v>91.759724409449305</v>
          </cell>
          <cell r="G713">
            <v>61.247913385827275</v>
          </cell>
          <cell r="H713">
            <v>61.247913385827275</v>
          </cell>
          <cell r="I713" t="e">
            <v>#N/A</v>
          </cell>
          <cell r="J713" t="e">
            <v>#N/A</v>
          </cell>
          <cell r="K713" t="e">
            <v>#N/A</v>
          </cell>
          <cell r="L713" t="e">
            <v>#N/A</v>
          </cell>
          <cell r="M713" t="e">
            <v>#N/A</v>
          </cell>
          <cell r="N713" t="e">
            <v>#N/A</v>
          </cell>
          <cell r="O713" t="e">
            <v>#N/A</v>
          </cell>
          <cell r="P713">
            <v>71.03</v>
          </cell>
          <cell r="Q713" t="str">
            <v/>
          </cell>
          <cell r="R713" t="e">
            <v>#N/A</v>
          </cell>
        </row>
        <row r="714">
          <cell r="A714">
            <v>40500</v>
          </cell>
          <cell r="B714">
            <v>40500</v>
          </cell>
          <cell r="C714" t="str">
            <v>Future</v>
          </cell>
          <cell r="D714" t="e">
            <v>#N/A</v>
          </cell>
          <cell r="E714">
            <v>27.405275590550875</v>
          </cell>
          <cell r="F714">
            <v>91.893464566929623</v>
          </cell>
          <cell r="G714">
            <v>61.1848031496068</v>
          </cell>
          <cell r="H714">
            <v>61.1848031496068</v>
          </cell>
          <cell r="I714" t="e">
            <v>#N/A</v>
          </cell>
          <cell r="J714" t="e">
            <v>#N/A</v>
          </cell>
          <cell r="K714" t="e">
            <v>#N/A</v>
          </cell>
          <cell r="L714" t="e">
            <v>#N/A</v>
          </cell>
          <cell r="M714" t="e">
            <v>#N/A</v>
          </cell>
          <cell r="N714" t="e">
            <v>#N/A</v>
          </cell>
          <cell r="O714" t="e">
            <v>#N/A</v>
          </cell>
          <cell r="P714">
            <v>71.03</v>
          </cell>
          <cell r="Q714" t="str">
            <v/>
          </cell>
          <cell r="R714" t="e">
            <v>#N/A</v>
          </cell>
        </row>
        <row r="715">
          <cell r="A715">
            <v>40501</v>
          </cell>
          <cell r="B715">
            <v>40501</v>
          </cell>
          <cell r="C715" t="str">
            <v>Future</v>
          </cell>
          <cell r="D715" t="e">
            <v>#N/A</v>
          </cell>
          <cell r="E715">
            <v>27.125629921259538</v>
          </cell>
          <cell r="F715">
            <v>92.027204724409941</v>
          </cell>
          <cell r="G715">
            <v>61.121692913386326</v>
          </cell>
          <cell r="H715">
            <v>61.121692913386326</v>
          </cell>
          <cell r="I715" t="e">
            <v>#N/A</v>
          </cell>
          <cell r="J715" t="e">
            <v>#N/A</v>
          </cell>
          <cell r="K715" t="e">
            <v>#N/A</v>
          </cell>
          <cell r="L715" t="e">
            <v>#N/A</v>
          </cell>
          <cell r="M715" t="e">
            <v>#N/A</v>
          </cell>
          <cell r="N715" t="e">
            <v>#N/A</v>
          </cell>
          <cell r="O715" t="e">
            <v>#N/A</v>
          </cell>
          <cell r="P715">
            <v>71.03</v>
          </cell>
          <cell r="Q715" t="str">
            <v/>
          </cell>
          <cell r="R715" t="e">
            <v>#N/A</v>
          </cell>
        </row>
        <row r="716">
          <cell r="A716">
            <v>40504</v>
          </cell>
          <cell r="B716">
            <v>40504</v>
          </cell>
          <cell r="C716" t="str">
            <v>Future</v>
          </cell>
          <cell r="D716" t="e">
            <v>#N/A</v>
          </cell>
          <cell r="E716">
            <v>26.845984251968201</v>
          </cell>
          <cell r="F716">
            <v>92.160944881890259</v>
          </cell>
          <cell r="G716">
            <v>61.058582677165852</v>
          </cell>
          <cell r="H716">
            <v>61.058582677165852</v>
          </cell>
          <cell r="I716" t="e">
            <v>#N/A</v>
          </cell>
          <cell r="J716" t="e">
            <v>#N/A</v>
          </cell>
          <cell r="K716" t="e">
            <v>#N/A</v>
          </cell>
          <cell r="L716" t="e">
            <v>#N/A</v>
          </cell>
          <cell r="M716" t="e">
            <v>#N/A</v>
          </cell>
          <cell r="N716" t="e">
            <v>#N/A</v>
          </cell>
          <cell r="O716" t="e">
            <v>#N/A</v>
          </cell>
          <cell r="P716">
            <v>71.03</v>
          </cell>
          <cell r="Q716" t="str">
            <v/>
          </cell>
          <cell r="R716" t="e">
            <v>#N/A</v>
          </cell>
        </row>
        <row r="717">
          <cell r="A717">
            <v>40505</v>
          </cell>
          <cell r="B717">
            <v>40505</v>
          </cell>
          <cell r="C717" t="str">
            <v>Future</v>
          </cell>
          <cell r="D717" t="e">
            <v>#N/A</v>
          </cell>
          <cell r="E717">
            <v>26.566338582676863</v>
          </cell>
          <cell r="F717">
            <v>92.294685039370577</v>
          </cell>
          <cell r="G717">
            <v>60.995472440945377</v>
          </cell>
          <cell r="H717">
            <v>60.995472440945377</v>
          </cell>
          <cell r="I717" t="e">
            <v>#N/A</v>
          </cell>
          <cell r="J717" t="e">
            <v>#N/A</v>
          </cell>
          <cell r="K717" t="e">
            <v>#N/A</v>
          </cell>
          <cell r="L717" t="e">
            <v>#N/A</v>
          </cell>
          <cell r="M717" t="e">
            <v>#N/A</v>
          </cell>
          <cell r="N717" t="e">
            <v>#N/A</v>
          </cell>
          <cell r="O717" t="e">
            <v>#N/A</v>
          </cell>
          <cell r="P717">
            <v>71.03</v>
          </cell>
          <cell r="Q717" t="str">
            <v/>
          </cell>
          <cell r="R717" t="e">
            <v>#N/A</v>
          </cell>
        </row>
        <row r="718">
          <cell r="A718">
            <v>40506</v>
          </cell>
          <cell r="B718">
            <v>40506</v>
          </cell>
          <cell r="C718" t="str">
            <v>Future</v>
          </cell>
          <cell r="D718" t="e">
            <v>#N/A</v>
          </cell>
          <cell r="E718">
            <v>26.286692913385526</v>
          </cell>
          <cell r="F718">
            <v>92.428425196850895</v>
          </cell>
          <cell r="G718">
            <v>60.932362204724903</v>
          </cell>
          <cell r="H718">
            <v>60.932362204724903</v>
          </cell>
          <cell r="I718" t="e">
            <v>#N/A</v>
          </cell>
          <cell r="J718" t="e">
            <v>#N/A</v>
          </cell>
          <cell r="K718" t="e">
            <v>#N/A</v>
          </cell>
          <cell r="L718" t="e">
            <v>#N/A</v>
          </cell>
          <cell r="M718" t="e">
            <v>#N/A</v>
          </cell>
          <cell r="N718" t="e">
            <v>#N/A</v>
          </cell>
          <cell r="O718" t="e">
            <v>#N/A</v>
          </cell>
          <cell r="P718">
            <v>71.03</v>
          </cell>
          <cell r="Q718" t="str">
            <v/>
          </cell>
          <cell r="R718" t="e">
            <v>#N/A</v>
          </cell>
        </row>
        <row r="719">
          <cell r="A719">
            <v>40508</v>
          </cell>
          <cell r="B719">
            <v>40508</v>
          </cell>
          <cell r="C719" t="str">
            <v>Future</v>
          </cell>
          <cell r="D719" t="e">
            <v>#N/A</v>
          </cell>
          <cell r="E719">
            <v>26.007047244094188</v>
          </cell>
          <cell r="F719">
            <v>92.562165354331214</v>
          </cell>
          <cell r="G719">
            <v>60.869251968504429</v>
          </cell>
          <cell r="H719">
            <v>60.869251968504429</v>
          </cell>
          <cell r="I719" t="e">
            <v>#N/A</v>
          </cell>
          <cell r="J719" t="e">
            <v>#N/A</v>
          </cell>
          <cell r="K719" t="e">
            <v>#N/A</v>
          </cell>
          <cell r="L719" t="e">
            <v>#N/A</v>
          </cell>
          <cell r="M719" t="e">
            <v>#N/A</v>
          </cell>
          <cell r="N719" t="e">
            <v>#N/A</v>
          </cell>
          <cell r="O719" t="e">
            <v>#N/A</v>
          </cell>
          <cell r="P719">
            <v>71.03</v>
          </cell>
          <cell r="Q719" t="str">
            <v/>
          </cell>
          <cell r="R719" t="e">
            <v>#N/A</v>
          </cell>
        </row>
        <row r="720">
          <cell r="A720">
            <v>40511</v>
          </cell>
          <cell r="B720">
            <v>40511</v>
          </cell>
          <cell r="C720" t="str">
            <v>Future</v>
          </cell>
          <cell r="D720" t="e">
            <v>#N/A</v>
          </cell>
          <cell r="E720">
            <v>25.727401574802851</v>
          </cell>
          <cell r="F720">
            <v>92.695905511811532</v>
          </cell>
          <cell r="G720">
            <v>60.806141732283955</v>
          </cell>
          <cell r="H720">
            <v>60.806141732283955</v>
          </cell>
          <cell r="I720" t="e">
            <v>#N/A</v>
          </cell>
          <cell r="J720" t="e">
            <v>#N/A</v>
          </cell>
          <cell r="K720" t="e">
            <v>#N/A</v>
          </cell>
          <cell r="L720" t="e">
            <v>#N/A</v>
          </cell>
          <cell r="M720" t="e">
            <v>#N/A</v>
          </cell>
          <cell r="N720" t="e">
            <v>#N/A</v>
          </cell>
          <cell r="O720" t="e">
            <v>#N/A</v>
          </cell>
          <cell r="P720">
            <v>71.03</v>
          </cell>
          <cell r="Q720" t="str">
            <v/>
          </cell>
          <cell r="R720" t="e">
            <v>#N/A</v>
          </cell>
        </row>
        <row r="721">
          <cell r="A721">
            <v>40512</v>
          </cell>
          <cell r="B721">
            <v>40512</v>
          </cell>
          <cell r="C721" t="str">
            <v>Future</v>
          </cell>
          <cell r="D721" t="e">
            <v>#N/A</v>
          </cell>
          <cell r="E721">
            <v>25.447755905511514</v>
          </cell>
          <cell r="F721">
            <v>92.82964566929185</v>
          </cell>
          <cell r="G721">
            <v>60.74303149606348</v>
          </cell>
          <cell r="H721">
            <v>60.74303149606348</v>
          </cell>
          <cell r="I721" t="e">
            <v>#N/A</v>
          </cell>
          <cell r="J721" t="e">
            <v>#N/A</v>
          </cell>
          <cell r="K721" t="e">
            <v>#N/A</v>
          </cell>
          <cell r="L721" t="e">
            <v>#N/A</v>
          </cell>
          <cell r="M721" t="e">
            <v>#N/A</v>
          </cell>
          <cell r="N721" t="e">
            <v>#N/A</v>
          </cell>
          <cell r="O721" t="e">
            <v>#N/A</v>
          </cell>
          <cell r="P721">
            <v>71.03</v>
          </cell>
          <cell r="Q721" t="str">
            <v/>
          </cell>
          <cell r="R721" t="e">
            <v>#N/A</v>
          </cell>
        </row>
        <row r="722">
          <cell r="A722">
            <v>40513</v>
          </cell>
          <cell r="B722">
            <v>40513</v>
          </cell>
          <cell r="C722" t="str">
            <v>Future</v>
          </cell>
          <cell r="D722" t="e">
            <v>#N/A</v>
          </cell>
          <cell r="E722">
            <v>25.168110236220176</v>
          </cell>
          <cell r="F722">
            <v>92.963385826772168</v>
          </cell>
          <cell r="G722">
            <v>60.679921259843006</v>
          </cell>
          <cell r="H722">
            <v>60.679921259843006</v>
          </cell>
          <cell r="I722" t="e">
            <v>#N/A</v>
          </cell>
          <cell r="J722" t="e">
            <v>#N/A</v>
          </cell>
          <cell r="K722" t="e">
            <v>#N/A</v>
          </cell>
          <cell r="L722" t="e">
            <v>#N/A</v>
          </cell>
          <cell r="M722" t="e">
            <v>#N/A</v>
          </cell>
          <cell r="N722" t="e">
            <v>#N/A</v>
          </cell>
          <cell r="O722" t="e">
            <v>#N/A</v>
          </cell>
          <cell r="P722">
            <v>71.03</v>
          </cell>
          <cell r="Q722" t="str">
            <v/>
          </cell>
          <cell r="R722" t="e">
            <v>#N/A</v>
          </cell>
        </row>
        <row r="723">
          <cell r="A723">
            <v>40514</v>
          </cell>
          <cell r="B723">
            <v>40514</v>
          </cell>
          <cell r="C723" t="str">
            <v>Future</v>
          </cell>
          <cell r="D723" t="e">
            <v>#N/A</v>
          </cell>
          <cell r="E723">
            <v>24.888464566928839</v>
          </cell>
          <cell r="F723">
            <v>93.097125984252486</v>
          </cell>
          <cell r="G723">
            <v>60.616811023622532</v>
          </cell>
          <cell r="H723">
            <v>60.616811023622532</v>
          </cell>
          <cell r="I723" t="e">
            <v>#N/A</v>
          </cell>
          <cell r="J723" t="e">
            <v>#N/A</v>
          </cell>
          <cell r="K723" t="e">
            <v>#N/A</v>
          </cell>
          <cell r="L723" t="e">
            <v>#N/A</v>
          </cell>
          <cell r="M723" t="e">
            <v>#N/A</v>
          </cell>
          <cell r="N723" t="e">
            <v>#N/A</v>
          </cell>
          <cell r="O723" t="e">
            <v>#N/A</v>
          </cell>
          <cell r="P723">
            <v>71.03</v>
          </cell>
          <cell r="Q723" t="str">
            <v/>
          </cell>
          <cell r="R723" t="e">
            <v>#N/A</v>
          </cell>
        </row>
        <row r="724">
          <cell r="A724">
            <v>40515</v>
          </cell>
          <cell r="B724">
            <v>40515</v>
          </cell>
          <cell r="C724" t="str">
            <v>Future</v>
          </cell>
          <cell r="D724" t="e">
            <v>#N/A</v>
          </cell>
          <cell r="E724">
            <v>24.608818897637502</v>
          </cell>
          <cell r="F724">
            <v>93.230866141732804</v>
          </cell>
          <cell r="G724">
            <v>60.553700787402057</v>
          </cell>
          <cell r="H724">
            <v>60.553700787402057</v>
          </cell>
          <cell r="I724" t="e">
            <v>#N/A</v>
          </cell>
          <cell r="J724" t="e">
            <v>#N/A</v>
          </cell>
          <cell r="K724" t="e">
            <v>#N/A</v>
          </cell>
          <cell r="L724" t="e">
            <v>#N/A</v>
          </cell>
          <cell r="M724" t="e">
            <v>#N/A</v>
          </cell>
          <cell r="N724" t="e">
            <v>#N/A</v>
          </cell>
          <cell r="O724" t="e">
            <v>#N/A</v>
          </cell>
          <cell r="P724">
            <v>71.03</v>
          </cell>
          <cell r="Q724" t="str">
            <v/>
          </cell>
          <cell r="R724" t="e">
            <v>#N/A</v>
          </cell>
        </row>
        <row r="725">
          <cell r="A725">
            <v>40518</v>
          </cell>
          <cell r="B725">
            <v>40518</v>
          </cell>
          <cell r="C725" t="str">
            <v>Future</v>
          </cell>
          <cell r="D725" t="e">
            <v>#N/A</v>
          </cell>
          <cell r="E725">
            <v>24.329173228346164</v>
          </cell>
          <cell r="F725">
            <v>93.364606299213122</v>
          </cell>
          <cell r="G725">
            <v>60.490590551181583</v>
          </cell>
          <cell r="H725">
            <v>60.490590551181583</v>
          </cell>
          <cell r="I725" t="e">
            <v>#N/A</v>
          </cell>
          <cell r="J725" t="e">
            <v>#N/A</v>
          </cell>
          <cell r="K725" t="e">
            <v>#N/A</v>
          </cell>
          <cell r="L725" t="e">
            <v>#N/A</v>
          </cell>
          <cell r="M725" t="e">
            <v>#N/A</v>
          </cell>
          <cell r="N725" t="e">
            <v>#N/A</v>
          </cell>
          <cell r="O725" t="e">
            <v>#N/A</v>
          </cell>
          <cell r="P725">
            <v>71.03</v>
          </cell>
          <cell r="Q725" t="str">
            <v/>
          </cell>
          <cell r="R725" t="e">
            <v>#N/A</v>
          </cell>
        </row>
        <row r="726">
          <cell r="A726">
            <v>40519</v>
          </cell>
          <cell r="B726">
            <v>40519</v>
          </cell>
          <cell r="C726" t="str">
            <v>Future</v>
          </cell>
          <cell r="D726" t="e">
            <v>#N/A</v>
          </cell>
          <cell r="E726">
            <v>24.049527559054827</v>
          </cell>
          <cell r="F726">
            <v>93.49834645669344</v>
          </cell>
          <cell r="G726">
            <v>60.427480314961109</v>
          </cell>
          <cell r="H726">
            <v>60.427480314961109</v>
          </cell>
          <cell r="I726" t="e">
            <v>#N/A</v>
          </cell>
          <cell r="J726" t="e">
            <v>#N/A</v>
          </cell>
          <cell r="K726" t="e">
            <v>#N/A</v>
          </cell>
          <cell r="L726" t="e">
            <v>#N/A</v>
          </cell>
          <cell r="M726" t="e">
            <v>#N/A</v>
          </cell>
          <cell r="N726" t="e">
            <v>#N/A</v>
          </cell>
          <cell r="O726" t="e">
            <v>#N/A</v>
          </cell>
          <cell r="P726">
            <v>71.03</v>
          </cell>
          <cell r="Q726" t="str">
            <v/>
          </cell>
          <cell r="R726" t="e">
            <v>#N/A</v>
          </cell>
        </row>
        <row r="727">
          <cell r="A727">
            <v>40520</v>
          </cell>
          <cell r="B727">
            <v>40520</v>
          </cell>
          <cell r="C727" t="str">
            <v>Future</v>
          </cell>
          <cell r="D727" t="e">
            <v>#N/A</v>
          </cell>
          <cell r="E727">
            <v>23.769881889763489</v>
          </cell>
          <cell r="F727">
            <v>93.632086614173758</v>
          </cell>
          <cell r="G727">
            <v>60.364370078740635</v>
          </cell>
          <cell r="H727">
            <v>60.364370078740635</v>
          </cell>
          <cell r="I727" t="e">
            <v>#N/A</v>
          </cell>
          <cell r="J727" t="e">
            <v>#N/A</v>
          </cell>
          <cell r="K727" t="e">
            <v>#N/A</v>
          </cell>
          <cell r="L727" t="e">
            <v>#N/A</v>
          </cell>
          <cell r="M727" t="e">
            <v>#N/A</v>
          </cell>
          <cell r="N727" t="e">
            <v>#N/A</v>
          </cell>
          <cell r="O727" t="e">
            <v>#N/A</v>
          </cell>
          <cell r="P727">
            <v>71.03</v>
          </cell>
          <cell r="Q727" t="str">
            <v/>
          </cell>
          <cell r="R727" t="e">
            <v>#N/A</v>
          </cell>
        </row>
        <row r="728">
          <cell r="A728">
            <v>40521</v>
          </cell>
          <cell r="B728">
            <v>40521</v>
          </cell>
          <cell r="C728" t="str">
            <v>Future</v>
          </cell>
          <cell r="D728" t="e">
            <v>#N/A</v>
          </cell>
          <cell r="E728">
            <v>23.490236220472152</v>
          </cell>
          <cell r="F728">
            <v>93.765826771654076</v>
          </cell>
          <cell r="G728">
            <v>60.30125984252016</v>
          </cell>
          <cell r="H728">
            <v>60.30125984252016</v>
          </cell>
          <cell r="I728" t="e">
            <v>#N/A</v>
          </cell>
          <cell r="J728" t="e">
            <v>#N/A</v>
          </cell>
          <cell r="K728" t="e">
            <v>#N/A</v>
          </cell>
          <cell r="L728" t="e">
            <v>#N/A</v>
          </cell>
          <cell r="M728" t="e">
            <v>#N/A</v>
          </cell>
          <cell r="N728" t="e">
            <v>#N/A</v>
          </cell>
          <cell r="O728" t="e">
            <v>#N/A</v>
          </cell>
          <cell r="P728">
            <v>71.03</v>
          </cell>
          <cell r="Q728" t="str">
            <v/>
          </cell>
          <cell r="R728" t="e">
            <v>#N/A</v>
          </cell>
        </row>
        <row r="729">
          <cell r="A729">
            <v>40522</v>
          </cell>
          <cell r="B729">
            <v>40522</v>
          </cell>
          <cell r="C729" t="str">
            <v>Future</v>
          </cell>
          <cell r="D729" t="e">
            <v>#N/A</v>
          </cell>
          <cell r="E729">
            <v>23.210590551180815</v>
          </cell>
          <cell r="F729">
            <v>93.899566929134394</v>
          </cell>
          <cell r="G729">
            <v>60.238149606299686</v>
          </cell>
          <cell r="H729">
            <v>60.238149606299686</v>
          </cell>
          <cell r="I729" t="e">
            <v>#N/A</v>
          </cell>
          <cell r="J729" t="e">
            <v>#N/A</v>
          </cell>
          <cell r="K729" t="e">
            <v>#N/A</v>
          </cell>
          <cell r="L729" t="e">
            <v>#N/A</v>
          </cell>
          <cell r="M729" t="e">
            <v>#N/A</v>
          </cell>
          <cell r="N729" t="e">
            <v>#N/A</v>
          </cell>
          <cell r="O729" t="e">
            <v>#N/A</v>
          </cell>
          <cell r="P729">
            <v>71.03</v>
          </cell>
          <cell r="Q729" t="str">
            <v/>
          </cell>
          <cell r="R729" t="e">
            <v>#N/A</v>
          </cell>
        </row>
        <row r="730">
          <cell r="A730">
            <v>40525</v>
          </cell>
          <cell r="B730">
            <v>40525</v>
          </cell>
          <cell r="C730" t="str">
            <v>Future</v>
          </cell>
          <cell r="D730" t="e">
            <v>#N/A</v>
          </cell>
          <cell r="E730">
            <v>22.930944881889477</v>
          </cell>
          <cell r="F730">
            <v>94.033307086614712</v>
          </cell>
          <cell r="G730">
            <v>60.175039370079212</v>
          </cell>
          <cell r="H730">
            <v>60.175039370079212</v>
          </cell>
          <cell r="I730" t="e">
            <v>#N/A</v>
          </cell>
          <cell r="J730" t="e">
            <v>#N/A</v>
          </cell>
          <cell r="K730" t="e">
            <v>#N/A</v>
          </cell>
          <cell r="L730" t="e">
            <v>#N/A</v>
          </cell>
          <cell r="M730" t="e">
            <v>#N/A</v>
          </cell>
          <cell r="N730" t="e">
            <v>#N/A</v>
          </cell>
          <cell r="O730" t="e">
            <v>#N/A</v>
          </cell>
          <cell r="P730">
            <v>71.03</v>
          </cell>
          <cell r="Q730" t="str">
            <v/>
          </cell>
          <cell r="R730" t="e">
            <v>#N/A</v>
          </cell>
        </row>
        <row r="731">
          <cell r="A731">
            <v>40526</v>
          </cell>
          <cell r="B731">
            <v>40526</v>
          </cell>
          <cell r="C731" t="str">
            <v>Future</v>
          </cell>
          <cell r="D731" t="e">
            <v>#N/A</v>
          </cell>
          <cell r="E731">
            <v>22.65129921259814</v>
          </cell>
          <cell r="F731">
            <v>94.167047244095031</v>
          </cell>
          <cell r="G731">
            <v>60.111929133858737</v>
          </cell>
          <cell r="H731">
            <v>60.111929133858737</v>
          </cell>
          <cell r="I731" t="e">
            <v>#N/A</v>
          </cell>
          <cell r="J731" t="e">
            <v>#N/A</v>
          </cell>
          <cell r="K731" t="e">
            <v>#N/A</v>
          </cell>
          <cell r="L731" t="e">
            <v>#N/A</v>
          </cell>
          <cell r="M731" t="e">
            <v>#N/A</v>
          </cell>
          <cell r="N731" t="e">
            <v>#N/A</v>
          </cell>
          <cell r="O731" t="e">
            <v>#N/A</v>
          </cell>
          <cell r="P731">
            <v>71.03</v>
          </cell>
          <cell r="Q731" t="str">
            <v/>
          </cell>
          <cell r="R731" t="e">
            <v>#N/A</v>
          </cell>
        </row>
        <row r="732">
          <cell r="A732">
            <v>40527</v>
          </cell>
          <cell r="B732">
            <v>40527</v>
          </cell>
          <cell r="C732" t="str">
            <v>Future</v>
          </cell>
          <cell r="D732" t="e">
            <v>#N/A</v>
          </cell>
          <cell r="E732">
            <v>22.371653543306802</v>
          </cell>
          <cell r="F732">
            <v>94.300787401575349</v>
          </cell>
          <cell r="G732">
            <v>60.048818897638263</v>
          </cell>
          <cell r="H732">
            <v>60.048818897638263</v>
          </cell>
          <cell r="I732" t="e">
            <v>#N/A</v>
          </cell>
          <cell r="J732" t="e">
            <v>#N/A</v>
          </cell>
          <cell r="K732" t="e">
            <v>#N/A</v>
          </cell>
          <cell r="L732" t="e">
            <v>#N/A</v>
          </cell>
          <cell r="M732" t="e">
            <v>#N/A</v>
          </cell>
          <cell r="N732" t="e">
            <v>#N/A</v>
          </cell>
          <cell r="O732" t="e">
            <v>#N/A</v>
          </cell>
          <cell r="P732">
            <v>71.03</v>
          </cell>
          <cell r="Q732" t="str">
            <v/>
          </cell>
          <cell r="R732" t="e">
            <v>#N/A</v>
          </cell>
        </row>
        <row r="733">
          <cell r="A733">
            <v>40528</v>
          </cell>
          <cell r="B733">
            <v>40528</v>
          </cell>
          <cell r="C733" t="str">
            <v>Future</v>
          </cell>
          <cell r="D733" t="e">
            <v>#N/A</v>
          </cell>
          <cell r="E733">
            <v>22.092007874015465</v>
          </cell>
          <cell r="F733">
            <v>94.434527559055667</v>
          </cell>
          <cell r="G733">
            <v>59.985708661417789</v>
          </cell>
          <cell r="H733">
            <v>59.985708661417789</v>
          </cell>
          <cell r="I733" t="e">
            <v>#N/A</v>
          </cell>
          <cell r="J733" t="e">
            <v>#N/A</v>
          </cell>
          <cell r="K733" t="e">
            <v>#N/A</v>
          </cell>
          <cell r="L733" t="e">
            <v>#N/A</v>
          </cell>
          <cell r="M733" t="e">
            <v>#N/A</v>
          </cell>
          <cell r="N733" t="e">
            <v>#N/A</v>
          </cell>
          <cell r="O733" t="e">
            <v>#N/A</v>
          </cell>
          <cell r="P733">
            <v>71.03</v>
          </cell>
          <cell r="Q733" t="str">
            <v/>
          </cell>
          <cell r="R733" t="e">
            <v>#N/A</v>
          </cell>
        </row>
        <row r="734">
          <cell r="A734">
            <v>40529</v>
          </cell>
          <cell r="B734">
            <v>40529</v>
          </cell>
          <cell r="C734" t="str">
            <v>Future</v>
          </cell>
          <cell r="D734" t="e">
            <v>#N/A</v>
          </cell>
          <cell r="E734">
            <v>21.812362204724128</v>
          </cell>
          <cell r="F734">
            <v>94.568267716535985</v>
          </cell>
          <cell r="G734">
            <v>59.922598425197314</v>
          </cell>
          <cell r="H734">
            <v>59.922598425197314</v>
          </cell>
          <cell r="I734" t="e">
            <v>#N/A</v>
          </cell>
          <cell r="J734" t="e">
            <v>#N/A</v>
          </cell>
          <cell r="K734" t="e">
            <v>#N/A</v>
          </cell>
          <cell r="L734" t="e">
            <v>#N/A</v>
          </cell>
          <cell r="M734" t="e">
            <v>#N/A</v>
          </cell>
          <cell r="N734" t="e">
            <v>#N/A</v>
          </cell>
          <cell r="O734" t="e">
            <v>#N/A</v>
          </cell>
          <cell r="P734">
            <v>71.03</v>
          </cell>
          <cell r="Q734" t="str">
            <v/>
          </cell>
          <cell r="R734" t="e">
            <v>#N/A</v>
          </cell>
        </row>
        <row r="735">
          <cell r="A735">
            <v>40532</v>
          </cell>
          <cell r="B735">
            <v>40532</v>
          </cell>
          <cell r="C735" t="str">
            <v>Future</v>
          </cell>
          <cell r="D735" t="e">
            <v>#N/A</v>
          </cell>
          <cell r="E735">
            <v>21.53271653543279</v>
          </cell>
          <cell r="F735">
            <v>94.702007874016303</v>
          </cell>
          <cell r="G735">
            <v>59.85948818897684</v>
          </cell>
          <cell r="H735">
            <v>59.85948818897684</v>
          </cell>
          <cell r="I735" t="e">
            <v>#N/A</v>
          </cell>
          <cell r="J735" t="e">
            <v>#N/A</v>
          </cell>
          <cell r="K735" t="e">
            <v>#N/A</v>
          </cell>
          <cell r="L735" t="e">
            <v>#N/A</v>
          </cell>
          <cell r="M735" t="e">
            <v>#N/A</v>
          </cell>
          <cell r="N735" t="e">
            <v>#N/A</v>
          </cell>
          <cell r="O735" t="e">
            <v>#N/A</v>
          </cell>
          <cell r="P735">
            <v>71.03</v>
          </cell>
          <cell r="Q735" t="str">
            <v/>
          </cell>
          <cell r="R735" t="e">
            <v>#N/A</v>
          </cell>
        </row>
        <row r="736">
          <cell r="A736">
            <v>40533</v>
          </cell>
          <cell r="B736">
            <v>40533</v>
          </cell>
          <cell r="C736" t="str">
            <v>Future</v>
          </cell>
          <cell r="D736" t="e">
            <v>#N/A</v>
          </cell>
          <cell r="E736">
            <v>21.253070866141453</v>
          </cell>
          <cell r="F736">
            <v>94.835748031496621</v>
          </cell>
          <cell r="G736">
            <v>59.796377952756366</v>
          </cell>
          <cell r="H736">
            <v>59.796377952756366</v>
          </cell>
          <cell r="I736" t="e">
            <v>#N/A</v>
          </cell>
          <cell r="J736" t="e">
            <v>#N/A</v>
          </cell>
          <cell r="K736" t="e">
            <v>#N/A</v>
          </cell>
          <cell r="L736" t="e">
            <v>#N/A</v>
          </cell>
          <cell r="M736" t="e">
            <v>#N/A</v>
          </cell>
          <cell r="N736" t="e">
            <v>#N/A</v>
          </cell>
          <cell r="O736" t="e">
            <v>#N/A</v>
          </cell>
          <cell r="P736">
            <v>71.03</v>
          </cell>
          <cell r="Q736" t="str">
            <v/>
          </cell>
          <cell r="R736" t="e">
            <v>#N/A</v>
          </cell>
        </row>
        <row r="737">
          <cell r="A737">
            <v>40534</v>
          </cell>
          <cell r="B737">
            <v>40534</v>
          </cell>
          <cell r="C737" t="str">
            <v>Future</v>
          </cell>
          <cell r="D737" t="e">
            <v>#N/A</v>
          </cell>
          <cell r="E737">
            <v>20.973425196850116</v>
          </cell>
          <cell r="F737">
            <v>94.969488188976939</v>
          </cell>
          <cell r="G737">
            <v>59.733267716535892</v>
          </cell>
          <cell r="H737">
            <v>59.733267716535892</v>
          </cell>
          <cell r="I737" t="e">
            <v>#N/A</v>
          </cell>
          <cell r="J737" t="e">
            <v>#N/A</v>
          </cell>
          <cell r="K737" t="e">
            <v>#N/A</v>
          </cell>
          <cell r="L737" t="e">
            <v>#N/A</v>
          </cell>
          <cell r="M737" t="e">
            <v>#N/A</v>
          </cell>
          <cell r="N737" t="e">
            <v>#N/A</v>
          </cell>
          <cell r="O737" t="e">
            <v>#N/A</v>
          </cell>
          <cell r="P737">
            <v>71.03</v>
          </cell>
          <cell r="Q737" t="str">
            <v/>
          </cell>
          <cell r="R737" t="e">
            <v>#N/A</v>
          </cell>
        </row>
        <row r="738">
          <cell r="A738">
            <v>40535</v>
          </cell>
          <cell r="B738">
            <v>40535</v>
          </cell>
          <cell r="C738" t="str">
            <v>Future</v>
          </cell>
          <cell r="D738" t="e">
            <v>#N/A</v>
          </cell>
          <cell r="E738">
            <v>20.693779527558778</v>
          </cell>
          <cell r="F738">
            <v>95.103228346457257</v>
          </cell>
          <cell r="G738">
            <v>59.670157480315417</v>
          </cell>
          <cell r="H738">
            <v>59.670157480315417</v>
          </cell>
          <cell r="I738" t="e">
            <v>#N/A</v>
          </cell>
          <cell r="J738" t="e">
            <v>#N/A</v>
          </cell>
          <cell r="K738" t="e">
            <v>#N/A</v>
          </cell>
          <cell r="L738" t="e">
            <v>#N/A</v>
          </cell>
          <cell r="M738" t="e">
            <v>#N/A</v>
          </cell>
          <cell r="N738" t="e">
            <v>#N/A</v>
          </cell>
          <cell r="O738" t="e">
            <v>#N/A</v>
          </cell>
          <cell r="P738">
            <v>71.03</v>
          </cell>
          <cell r="Q738" t="str">
            <v/>
          </cell>
          <cell r="R738" t="e">
            <v>#N/A</v>
          </cell>
        </row>
        <row r="739">
          <cell r="A739">
            <v>40539</v>
          </cell>
          <cell r="B739">
            <v>40539</v>
          </cell>
          <cell r="C739" t="str">
            <v>Future</v>
          </cell>
          <cell r="D739" t="e">
            <v>#N/A</v>
          </cell>
          <cell r="E739">
            <v>20.414133858267441</v>
          </cell>
          <cell r="F739">
            <v>95.236968503937575</v>
          </cell>
          <cell r="G739">
            <v>59.607047244094943</v>
          </cell>
          <cell r="H739">
            <v>59.607047244094943</v>
          </cell>
          <cell r="I739" t="e">
            <v>#N/A</v>
          </cell>
          <cell r="J739" t="e">
            <v>#N/A</v>
          </cell>
          <cell r="K739" t="e">
            <v>#N/A</v>
          </cell>
          <cell r="L739" t="e">
            <v>#N/A</v>
          </cell>
          <cell r="M739" t="e">
            <v>#N/A</v>
          </cell>
          <cell r="N739" t="e">
            <v>#N/A</v>
          </cell>
          <cell r="O739" t="e">
            <v>#N/A</v>
          </cell>
          <cell r="P739">
            <v>71.03</v>
          </cell>
          <cell r="Q739" t="str">
            <v/>
          </cell>
          <cell r="R739" t="e">
            <v>#N/A</v>
          </cell>
        </row>
        <row r="740">
          <cell r="A740">
            <v>40540</v>
          </cell>
          <cell r="B740">
            <v>40540</v>
          </cell>
          <cell r="C740" t="str">
            <v>Future</v>
          </cell>
          <cell r="D740" t="e">
            <v>#N/A</v>
          </cell>
          <cell r="E740">
            <v>20.134488188976103</v>
          </cell>
          <cell r="F740">
            <v>95.370708661417893</v>
          </cell>
          <cell r="G740">
            <v>59.543937007874469</v>
          </cell>
          <cell r="H740">
            <v>59.543937007874469</v>
          </cell>
          <cell r="I740" t="e">
            <v>#N/A</v>
          </cell>
          <cell r="J740" t="e">
            <v>#N/A</v>
          </cell>
          <cell r="K740" t="e">
            <v>#N/A</v>
          </cell>
          <cell r="L740" t="e">
            <v>#N/A</v>
          </cell>
          <cell r="M740" t="e">
            <v>#N/A</v>
          </cell>
          <cell r="N740" t="e">
            <v>#N/A</v>
          </cell>
          <cell r="O740" t="e">
            <v>#N/A</v>
          </cell>
          <cell r="P740">
            <v>71.03</v>
          </cell>
          <cell r="Q740" t="str">
            <v/>
          </cell>
          <cell r="R740" t="e">
            <v>#N/A</v>
          </cell>
        </row>
        <row r="741">
          <cell r="A741">
            <v>40541</v>
          </cell>
          <cell r="B741">
            <v>40541</v>
          </cell>
          <cell r="C741" t="str">
            <v>Future</v>
          </cell>
          <cell r="D741" t="e">
            <v>#N/A</v>
          </cell>
          <cell r="E741">
            <v>19.854842519684766</v>
          </cell>
          <cell r="F741">
            <v>95.504448818898211</v>
          </cell>
          <cell r="G741">
            <v>59.480826771653994</v>
          </cell>
          <cell r="H741">
            <v>59.480826771653994</v>
          </cell>
          <cell r="I741" t="e">
            <v>#N/A</v>
          </cell>
          <cell r="J741" t="e">
            <v>#N/A</v>
          </cell>
          <cell r="K741" t="e">
            <v>#N/A</v>
          </cell>
          <cell r="L741" t="e">
            <v>#N/A</v>
          </cell>
          <cell r="M741" t="e">
            <v>#N/A</v>
          </cell>
          <cell r="N741" t="e">
            <v>#N/A</v>
          </cell>
          <cell r="O741" t="e">
            <v>#N/A</v>
          </cell>
          <cell r="P741">
            <v>71.03</v>
          </cell>
          <cell r="Q741" t="str">
            <v/>
          </cell>
          <cell r="R741" t="e">
            <v>#N/A</v>
          </cell>
        </row>
        <row r="742">
          <cell r="A742">
            <v>40542</v>
          </cell>
          <cell r="B742">
            <v>40542</v>
          </cell>
          <cell r="C742" t="str">
            <v>Future</v>
          </cell>
          <cell r="D742" t="e">
            <v>#N/A</v>
          </cell>
          <cell r="E742">
            <v>19.575196850393429</v>
          </cell>
          <cell r="F742">
            <v>95.63818897637853</v>
          </cell>
          <cell r="G742">
            <v>59.41771653543352</v>
          </cell>
          <cell r="H742">
            <v>59.41771653543352</v>
          </cell>
          <cell r="I742" t="e">
            <v>#N/A</v>
          </cell>
          <cell r="J742" t="e">
            <v>#N/A</v>
          </cell>
          <cell r="K742" t="e">
            <v>#N/A</v>
          </cell>
          <cell r="L742" t="e">
            <v>#N/A</v>
          </cell>
          <cell r="M742" t="e">
            <v>#N/A</v>
          </cell>
          <cell r="N742" t="e">
            <v>#N/A</v>
          </cell>
          <cell r="O742" t="e">
            <v>#N/A</v>
          </cell>
          <cell r="P742">
            <v>71.03</v>
          </cell>
          <cell r="Q742" t="str">
            <v/>
          </cell>
          <cell r="R742" t="e">
            <v>#N/A</v>
          </cell>
        </row>
        <row r="743">
          <cell r="A743">
            <v>40543</v>
          </cell>
          <cell r="B743">
            <v>40543</v>
          </cell>
          <cell r="C743" t="str">
            <v>Future</v>
          </cell>
          <cell r="D743" t="e">
            <v>#N/A</v>
          </cell>
          <cell r="E743">
            <v>19.295551181102091</v>
          </cell>
          <cell r="F743">
            <v>95.771929133858848</v>
          </cell>
          <cell r="G743">
            <v>59.354606299213046</v>
          </cell>
          <cell r="H743">
            <v>59.354606299213046</v>
          </cell>
          <cell r="I743" t="e">
            <v>#N/A</v>
          </cell>
          <cell r="J743" t="e">
            <v>#N/A</v>
          </cell>
          <cell r="K743" t="e">
            <v>#N/A</v>
          </cell>
          <cell r="L743" t="e">
            <v>#N/A</v>
          </cell>
          <cell r="M743" t="e">
            <v>#N/A</v>
          </cell>
          <cell r="N743" t="e">
            <v>#N/A</v>
          </cell>
          <cell r="O743" t="e">
            <v>#N/A</v>
          </cell>
          <cell r="P743">
            <v>71.03</v>
          </cell>
          <cell r="Q743" t="str">
            <v/>
          </cell>
          <cell r="R743" t="e">
            <v>#N/A</v>
          </cell>
        </row>
        <row r="744">
          <cell r="A744">
            <v>40546</v>
          </cell>
          <cell r="B744">
            <v>40546</v>
          </cell>
          <cell r="C744" t="str">
            <v>Future</v>
          </cell>
          <cell r="D744" t="e">
            <v>#N/A</v>
          </cell>
          <cell r="E744">
            <v>19.015905511810754</v>
          </cell>
          <cell r="F744">
            <v>95.905669291339166</v>
          </cell>
          <cell r="G744">
            <v>59.291496062992572</v>
          </cell>
          <cell r="H744">
            <v>59.291496062992572</v>
          </cell>
          <cell r="I744" t="e">
            <v>#N/A</v>
          </cell>
          <cell r="J744" t="e">
            <v>#N/A</v>
          </cell>
          <cell r="K744" t="e">
            <v>#N/A</v>
          </cell>
          <cell r="L744" t="e">
            <v>#N/A</v>
          </cell>
          <cell r="M744" t="e">
            <v>#N/A</v>
          </cell>
          <cell r="N744" t="e">
            <v>#N/A</v>
          </cell>
          <cell r="O744" t="e">
            <v>#N/A</v>
          </cell>
          <cell r="P744">
            <v>71.03</v>
          </cell>
          <cell r="Q744" t="str">
            <v/>
          </cell>
          <cell r="R744" t="e">
            <v>#N/A</v>
          </cell>
        </row>
        <row r="745">
          <cell r="A745">
            <v>40547</v>
          </cell>
          <cell r="B745">
            <v>40547</v>
          </cell>
          <cell r="C745" t="str">
            <v>Future</v>
          </cell>
          <cell r="D745" t="e">
            <v>#N/A</v>
          </cell>
          <cell r="E745">
            <v>18.736259842519416</v>
          </cell>
          <cell r="F745">
            <v>96.039409448819484</v>
          </cell>
          <cell r="G745">
            <v>59.228385826772097</v>
          </cell>
          <cell r="H745">
            <v>59.228385826772097</v>
          </cell>
          <cell r="I745" t="e">
            <v>#N/A</v>
          </cell>
          <cell r="J745" t="e">
            <v>#N/A</v>
          </cell>
          <cell r="K745" t="e">
            <v>#N/A</v>
          </cell>
          <cell r="L745" t="e">
            <v>#N/A</v>
          </cell>
          <cell r="M745" t="e">
            <v>#N/A</v>
          </cell>
          <cell r="N745" t="e">
            <v>#N/A</v>
          </cell>
          <cell r="O745" t="e">
            <v>#N/A</v>
          </cell>
          <cell r="P745">
            <v>71.03</v>
          </cell>
          <cell r="Q745" t="str">
            <v/>
          </cell>
          <cell r="R745" t="e">
            <v>#N/A</v>
          </cell>
        </row>
        <row r="746">
          <cell r="A746">
            <v>40548</v>
          </cell>
          <cell r="B746">
            <v>40548</v>
          </cell>
          <cell r="C746" t="str">
            <v>Future</v>
          </cell>
          <cell r="D746" t="e">
            <v>#N/A</v>
          </cell>
          <cell r="E746">
            <v>18.456614173228079</v>
          </cell>
          <cell r="F746">
            <v>96.173149606299802</v>
          </cell>
          <cell r="G746">
            <v>59.165275590551623</v>
          </cell>
          <cell r="H746">
            <v>59.165275590551623</v>
          </cell>
          <cell r="I746" t="e">
            <v>#N/A</v>
          </cell>
          <cell r="J746" t="e">
            <v>#N/A</v>
          </cell>
          <cell r="K746" t="e">
            <v>#N/A</v>
          </cell>
          <cell r="L746" t="e">
            <v>#N/A</v>
          </cell>
          <cell r="M746" t="e">
            <v>#N/A</v>
          </cell>
          <cell r="N746" t="e">
            <v>#N/A</v>
          </cell>
          <cell r="O746" t="e">
            <v>#N/A</v>
          </cell>
          <cell r="P746">
            <v>71.03</v>
          </cell>
          <cell r="Q746" t="str">
            <v/>
          </cell>
          <cell r="R746" t="e">
            <v>#N/A</v>
          </cell>
        </row>
        <row r="747">
          <cell r="A747">
            <v>40549</v>
          </cell>
          <cell r="B747">
            <v>40549</v>
          </cell>
          <cell r="C747" t="str">
            <v>Future</v>
          </cell>
          <cell r="D747" t="e">
            <v>#N/A</v>
          </cell>
          <cell r="E747">
            <v>18.176968503936742</v>
          </cell>
          <cell r="F747">
            <v>96.30688976378012</v>
          </cell>
          <cell r="G747">
            <v>59.102165354331149</v>
          </cell>
          <cell r="H747">
            <v>59.102165354331149</v>
          </cell>
          <cell r="I747" t="e">
            <v>#N/A</v>
          </cell>
          <cell r="J747" t="e">
            <v>#N/A</v>
          </cell>
          <cell r="K747" t="e">
            <v>#N/A</v>
          </cell>
          <cell r="L747" t="e">
            <v>#N/A</v>
          </cell>
          <cell r="M747" t="e">
            <v>#N/A</v>
          </cell>
          <cell r="N747" t="e">
            <v>#N/A</v>
          </cell>
          <cell r="O747" t="e">
            <v>#N/A</v>
          </cell>
          <cell r="P747">
            <v>71.03</v>
          </cell>
          <cell r="Q747" t="str">
            <v/>
          </cell>
          <cell r="R747" t="e">
            <v>#N/A</v>
          </cell>
        </row>
        <row r="748">
          <cell r="A748">
            <v>40550</v>
          </cell>
          <cell r="B748">
            <v>40550</v>
          </cell>
          <cell r="C748" t="str">
            <v>Future</v>
          </cell>
          <cell r="D748" t="e">
            <v>#N/A</v>
          </cell>
          <cell r="E748">
            <v>17.897322834645404</v>
          </cell>
          <cell r="F748">
            <v>96.440629921260438</v>
          </cell>
          <cell r="G748">
            <v>59.039055118110674</v>
          </cell>
          <cell r="H748">
            <v>59.039055118110674</v>
          </cell>
          <cell r="I748" t="e">
            <v>#N/A</v>
          </cell>
          <cell r="J748" t="e">
            <v>#N/A</v>
          </cell>
          <cell r="K748" t="e">
            <v>#N/A</v>
          </cell>
          <cell r="L748" t="e">
            <v>#N/A</v>
          </cell>
          <cell r="M748" t="e">
            <v>#N/A</v>
          </cell>
          <cell r="N748" t="e">
            <v>#N/A</v>
          </cell>
          <cell r="O748" t="e">
            <v>#N/A</v>
          </cell>
          <cell r="P748">
            <v>71.03</v>
          </cell>
          <cell r="Q748" t="str">
            <v/>
          </cell>
          <cell r="R748" t="e">
            <v>#N/A</v>
          </cell>
        </row>
        <row r="749">
          <cell r="A749">
            <v>40553</v>
          </cell>
          <cell r="B749">
            <v>40553</v>
          </cell>
          <cell r="C749" t="str">
            <v>Future</v>
          </cell>
          <cell r="D749" t="e">
            <v>#N/A</v>
          </cell>
          <cell r="E749">
            <v>17.617677165354067</v>
          </cell>
          <cell r="F749">
            <v>96.574370078740756</v>
          </cell>
          <cell r="G749">
            <v>58.9759448818902</v>
          </cell>
          <cell r="H749">
            <v>58.9759448818902</v>
          </cell>
          <cell r="I749" t="e">
            <v>#N/A</v>
          </cell>
          <cell r="J749" t="e">
            <v>#N/A</v>
          </cell>
          <cell r="K749" t="e">
            <v>#N/A</v>
          </cell>
          <cell r="L749" t="e">
            <v>#N/A</v>
          </cell>
          <cell r="M749" t="e">
            <v>#N/A</v>
          </cell>
          <cell r="N749" t="e">
            <v>#N/A</v>
          </cell>
          <cell r="O749" t="e">
            <v>#N/A</v>
          </cell>
          <cell r="P749">
            <v>71.03</v>
          </cell>
          <cell r="Q749" t="str">
            <v/>
          </cell>
          <cell r="R749" t="e">
            <v>#N/A</v>
          </cell>
        </row>
        <row r="750">
          <cell r="A750">
            <v>40554</v>
          </cell>
          <cell r="B750">
            <v>40554</v>
          </cell>
          <cell r="C750" t="str">
            <v>Future</v>
          </cell>
          <cell r="D750" t="e">
            <v>#N/A</v>
          </cell>
          <cell r="E750">
            <v>17.33803149606273</v>
          </cell>
          <cell r="F750">
            <v>96.708110236221074</v>
          </cell>
          <cell r="G750">
            <v>58.912834645669726</v>
          </cell>
          <cell r="H750">
            <v>58.912834645669726</v>
          </cell>
          <cell r="I750" t="e">
            <v>#N/A</v>
          </cell>
          <cell r="J750" t="e">
            <v>#N/A</v>
          </cell>
          <cell r="K750" t="e">
            <v>#N/A</v>
          </cell>
          <cell r="L750" t="e">
            <v>#N/A</v>
          </cell>
          <cell r="M750" t="e">
            <v>#N/A</v>
          </cell>
          <cell r="N750" t="e">
            <v>#N/A</v>
          </cell>
          <cell r="O750" t="e">
            <v>#N/A</v>
          </cell>
          <cell r="P750">
            <v>71.03</v>
          </cell>
          <cell r="Q750" t="str">
            <v/>
          </cell>
          <cell r="R750" t="e">
            <v>#N/A</v>
          </cell>
        </row>
        <row r="751">
          <cell r="A751">
            <v>40555</v>
          </cell>
          <cell r="B751">
            <v>40555</v>
          </cell>
          <cell r="C751" t="str">
            <v>Future</v>
          </cell>
          <cell r="D751" t="e">
            <v>#N/A</v>
          </cell>
          <cell r="E751">
            <v>17.058385826771392</v>
          </cell>
          <cell r="F751">
            <v>96.841850393701392</v>
          </cell>
          <cell r="G751">
            <v>58.849724409449252</v>
          </cell>
          <cell r="H751">
            <v>58.849724409449252</v>
          </cell>
          <cell r="I751" t="e">
            <v>#N/A</v>
          </cell>
          <cell r="J751" t="e">
            <v>#N/A</v>
          </cell>
          <cell r="K751" t="e">
            <v>#N/A</v>
          </cell>
          <cell r="L751" t="e">
            <v>#N/A</v>
          </cell>
          <cell r="M751" t="e">
            <v>#N/A</v>
          </cell>
          <cell r="N751" t="e">
            <v>#N/A</v>
          </cell>
          <cell r="O751" t="e">
            <v>#N/A</v>
          </cell>
          <cell r="P751">
            <v>71.03</v>
          </cell>
          <cell r="Q751" t="str">
            <v/>
          </cell>
          <cell r="R751" t="e">
            <v>#N/A</v>
          </cell>
        </row>
        <row r="752">
          <cell r="A752">
            <v>40556</v>
          </cell>
          <cell r="B752">
            <v>40556</v>
          </cell>
          <cell r="C752" t="str">
            <v>Future</v>
          </cell>
          <cell r="D752" t="e">
            <v>#N/A</v>
          </cell>
          <cell r="E752">
            <v>16.778740157480055</v>
          </cell>
          <cell r="F752">
            <v>96.97559055118171</v>
          </cell>
          <cell r="G752">
            <v>58.786614173228777</v>
          </cell>
          <cell r="H752">
            <v>58.786614173228777</v>
          </cell>
          <cell r="I752" t="e">
            <v>#N/A</v>
          </cell>
          <cell r="J752" t="e">
            <v>#N/A</v>
          </cell>
          <cell r="K752" t="e">
            <v>#N/A</v>
          </cell>
          <cell r="L752" t="e">
            <v>#N/A</v>
          </cell>
          <cell r="M752" t="e">
            <v>#N/A</v>
          </cell>
          <cell r="N752" t="e">
            <v>#N/A</v>
          </cell>
          <cell r="O752" t="e">
            <v>#N/A</v>
          </cell>
          <cell r="P752">
            <v>71.03</v>
          </cell>
          <cell r="Q752" t="str">
            <v/>
          </cell>
          <cell r="R752" t="e">
            <v>#N/A</v>
          </cell>
        </row>
        <row r="753">
          <cell r="A753">
            <v>40557</v>
          </cell>
          <cell r="B753">
            <v>40557</v>
          </cell>
          <cell r="C753" t="str">
            <v>Future</v>
          </cell>
          <cell r="D753" t="e">
            <v>#N/A</v>
          </cell>
          <cell r="E753">
            <v>16.499094488188717</v>
          </cell>
          <cell r="F753">
            <v>97.109330708662029</v>
          </cell>
          <cell r="G753">
            <v>58.723503937008303</v>
          </cell>
          <cell r="H753">
            <v>58.723503937008303</v>
          </cell>
          <cell r="I753" t="e">
            <v>#N/A</v>
          </cell>
          <cell r="J753" t="e">
            <v>#N/A</v>
          </cell>
          <cell r="K753" t="e">
            <v>#N/A</v>
          </cell>
          <cell r="L753" t="e">
            <v>#N/A</v>
          </cell>
          <cell r="M753" t="e">
            <v>#N/A</v>
          </cell>
          <cell r="N753" t="e">
            <v>#N/A</v>
          </cell>
          <cell r="O753" t="e">
            <v>#N/A</v>
          </cell>
          <cell r="P753">
            <v>71.03</v>
          </cell>
          <cell r="Q753" t="str">
            <v/>
          </cell>
          <cell r="R753" t="e">
            <v>#N/A</v>
          </cell>
        </row>
        <row r="754">
          <cell r="A754">
            <v>40561</v>
          </cell>
          <cell r="B754">
            <v>40561</v>
          </cell>
          <cell r="C754" t="str">
            <v>Future</v>
          </cell>
          <cell r="D754" t="e">
            <v>#N/A</v>
          </cell>
          <cell r="E754">
            <v>16.21944881889738</v>
          </cell>
          <cell r="F754">
            <v>97.243070866142347</v>
          </cell>
          <cell r="G754">
            <v>58.660393700787829</v>
          </cell>
          <cell r="H754">
            <v>58.660393700787829</v>
          </cell>
          <cell r="I754" t="e">
            <v>#N/A</v>
          </cell>
          <cell r="J754" t="e">
            <v>#N/A</v>
          </cell>
          <cell r="K754" t="e">
            <v>#N/A</v>
          </cell>
          <cell r="L754" t="e">
            <v>#N/A</v>
          </cell>
          <cell r="M754" t="e">
            <v>#N/A</v>
          </cell>
          <cell r="N754" t="e">
            <v>#N/A</v>
          </cell>
          <cell r="O754" t="e">
            <v>#N/A</v>
          </cell>
          <cell r="P754">
            <v>71.03</v>
          </cell>
          <cell r="Q754" t="str">
            <v/>
          </cell>
          <cell r="R754" t="e">
            <v>#N/A</v>
          </cell>
        </row>
        <row r="755">
          <cell r="A755">
            <v>40562</v>
          </cell>
          <cell r="B755">
            <v>40562</v>
          </cell>
          <cell r="C755" t="str">
            <v>Future</v>
          </cell>
          <cell r="D755" t="e">
            <v>#N/A</v>
          </cell>
          <cell r="E755">
            <v>15.939803149606041</v>
          </cell>
          <cell r="F755">
            <v>97.376811023622665</v>
          </cell>
          <cell r="G755">
            <v>58.597283464567354</v>
          </cell>
          <cell r="H755">
            <v>58.597283464567354</v>
          </cell>
          <cell r="I755" t="e">
            <v>#N/A</v>
          </cell>
          <cell r="J755" t="e">
            <v>#N/A</v>
          </cell>
          <cell r="K755" t="e">
            <v>#N/A</v>
          </cell>
          <cell r="L755" t="e">
            <v>#N/A</v>
          </cell>
          <cell r="M755" t="e">
            <v>#N/A</v>
          </cell>
          <cell r="N755" t="e">
            <v>#N/A</v>
          </cell>
          <cell r="O755" t="e">
            <v>#N/A</v>
          </cell>
          <cell r="P755">
            <v>71.03</v>
          </cell>
          <cell r="Q755" t="str">
            <v/>
          </cell>
          <cell r="R755" t="e">
            <v>#N/A</v>
          </cell>
        </row>
        <row r="756">
          <cell r="A756">
            <v>40563</v>
          </cell>
          <cell r="B756">
            <v>40563</v>
          </cell>
          <cell r="C756" t="str">
            <v>Future</v>
          </cell>
          <cell r="D756" t="e">
            <v>#N/A</v>
          </cell>
          <cell r="E756">
            <v>15.660157480314702</v>
          </cell>
          <cell r="F756">
            <v>97.510551181102983</v>
          </cell>
          <cell r="G756">
            <v>58.53417322834688</v>
          </cell>
          <cell r="H756">
            <v>58.53417322834688</v>
          </cell>
          <cell r="I756" t="e">
            <v>#N/A</v>
          </cell>
          <cell r="J756" t="e">
            <v>#N/A</v>
          </cell>
          <cell r="K756" t="e">
            <v>#N/A</v>
          </cell>
          <cell r="L756" t="e">
            <v>#N/A</v>
          </cell>
          <cell r="M756" t="e">
            <v>#N/A</v>
          </cell>
          <cell r="N756" t="e">
            <v>#N/A</v>
          </cell>
          <cell r="O756" t="e">
            <v>#N/A</v>
          </cell>
          <cell r="P756">
            <v>71.03</v>
          </cell>
          <cell r="Q756" t="str">
            <v/>
          </cell>
          <cell r="R756" t="e">
            <v>#N/A</v>
          </cell>
        </row>
        <row r="757">
          <cell r="A757">
            <v>40564</v>
          </cell>
          <cell r="B757">
            <v>40564</v>
          </cell>
          <cell r="C757" t="str">
            <v>Future</v>
          </cell>
          <cell r="D757" t="e">
            <v>#N/A</v>
          </cell>
          <cell r="E757">
            <v>15.380511811023363</v>
          </cell>
          <cell r="F757">
            <v>97.644291338583301</v>
          </cell>
          <cell r="G757">
            <v>58.471062992126406</v>
          </cell>
          <cell r="H757">
            <v>58.471062992126406</v>
          </cell>
          <cell r="I757" t="e">
            <v>#N/A</v>
          </cell>
          <cell r="J757" t="e">
            <v>#N/A</v>
          </cell>
          <cell r="K757" t="e">
            <v>#N/A</v>
          </cell>
          <cell r="L757" t="e">
            <v>#N/A</v>
          </cell>
          <cell r="M757" t="e">
            <v>#N/A</v>
          </cell>
          <cell r="N757" t="e">
            <v>#N/A</v>
          </cell>
          <cell r="O757" t="e">
            <v>#N/A</v>
          </cell>
          <cell r="P757">
            <v>71.03</v>
          </cell>
          <cell r="Q757" t="str">
            <v/>
          </cell>
          <cell r="R757" t="e">
            <v>#N/A</v>
          </cell>
        </row>
        <row r="758">
          <cell r="A758">
            <v>40567</v>
          </cell>
          <cell r="B758">
            <v>40567</v>
          </cell>
          <cell r="C758" t="str">
            <v>Future</v>
          </cell>
          <cell r="D758" t="e">
            <v>#N/A</v>
          </cell>
          <cell r="E758">
            <v>15.100866141732023</v>
          </cell>
          <cell r="F758">
            <v>97.778031496063619</v>
          </cell>
          <cell r="G758">
            <v>58.407952755905931</v>
          </cell>
          <cell r="H758">
            <v>58.407952755905931</v>
          </cell>
          <cell r="I758" t="e">
            <v>#N/A</v>
          </cell>
          <cell r="J758" t="e">
            <v>#N/A</v>
          </cell>
          <cell r="K758" t="e">
            <v>#N/A</v>
          </cell>
          <cell r="L758" t="e">
            <v>#N/A</v>
          </cell>
          <cell r="M758" t="e">
            <v>#N/A</v>
          </cell>
          <cell r="N758" t="e">
            <v>#N/A</v>
          </cell>
          <cell r="O758" t="e">
            <v>#N/A</v>
          </cell>
          <cell r="P758">
            <v>71.03</v>
          </cell>
          <cell r="Q758" t="str">
            <v/>
          </cell>
          <cell r="R758" t="e">
            <v>#N/A</v>
          </cell>
        </row>
        <row r="759">
          <cell r="A759">
            <v>40568</v>
          </cell>
          <cell r="B759">
            <v>40568</v>
          </cell>
          <cell r="C759" t="str">
            <v>Future</v>
          </cell>
          <cell r="D759" t="e">
            <v>#N/A</v>
          </cell>
          <cell r="E759">
            <v>14.821220472440684</v>
          </cell>
          <cell r="F759">
            <v>97.911771653543937</v>
          </cell>
          <cell r="G759">
            <v>58.344842519685457</v>
          </cell>
          <cell r="H759">
            <v>58.344842519685457</v>
          </cell>
          <cell r="I759" t="e">
            <v>#N/A</v>
          </cell>
          <cell r="J759" t="e">
            <v>#N/A</v>
          </cell>
          <cell r="K759" t="e">
            <v>#N/A</v>
          </cell>
          <cell r="L759" t="e">
            <v>#N/A</v>
          </cell>
          <cell r="M759" t="e">
            <v>#N/A</v>
          </cell>
          <cell r="N759" t="e">
            <v>#N/A</v>
          </cell>
          <cell r="O759" t="e">
            <v>#N/A</v>
          </cell>
          <cell r="P759">
            <v>71.03</v>
          </cell>
          <cell r="Q759" t="str">
            <v/>
          </cell>
          <cell r="R759" t="e">
            <v>#N/A</v>
          </cell>
        </row>
        <row r="760">
          <cell r="A760">
            <v>40569</v>
          </cell>
          <cell r="B760">
            <v>40569</v>
          </cell>
          <cell r="C760" t="str">
            <v>Future</v>
          </cell>
          <cell r="D760" t="e">
            <v>#N/A</v>
          </cell>
          <cell r="E760">
            <v>14.541574803149345</v>
          </cell>
          <cell r="F760">
            <v>98.045511811024255</v>
          </cell>
          <cell r="G760">
            <v>58.281732283464983</v>
          </cell>
          <cell r="H760">
            <v>58.281732283464983</v>
          </cell>
          <cell r="I760" t="e">
            <v>#N/A</v>
          </cell>
          <cell r="J760" t="e">
            <v>#N/A</v>
          </cell>
          <cell r="K760" t="e">
            <v>#N/A</v>
          </cell>
          <cell r="L760" t="e">
            <v>#N/A</v>
          </cell>
          <cell r="M760" t="e">
            <v>#N/A</v>
          </cell>
          <cell r="N760" t="e">
            <v>#N/A</v>
          </cell>
          <cell r="O760" t="e">
            <v>#N/A</v>
          </cell>
          <cell r="P760">
            <v>71.03</v>
          </cell>
          <cell r="Q760" t="str">
            <v/>
          </cell>
          <cell r="R760" t="e">
            <v>#N/A</v>
          </cell>
        </row>
        <row r="761">
          <cell r="A761">
            <v>40570</v>
          </cell>
          <cell r="B761">
            <v>40570</v>
          </cell>
          <cell r="C761" t="str">
            <v>Future</v>
          </cell>
          <cell r="D761" t="e">
            <v>#N/A</v>
          </cell>
          <cell r="E761">
            <v>14.261929133858006</v>
          </cell>
          <cell r="F761">
            <v>98.179251968504573</v>
          </cell>
          <cell r="G761">
            <v>58.218622047244509</v>
          </cell>
          <cell r="H761">
            <v>58.218622047244509</v>
          </cell>
          <cell r="I761" t="e">
            <v>#N/A</v>
          </cell>
          <cell r="J761" t="e">
            <v>#N/A</v>
          </cell>
          <cell r="K761" t="e">
            <v>#N/A</v>
          </cell>
          <cell r="L761" t="e">
            <v>#N/A</v>
          </cell>
          <cell r="M761" t="e">
            <v>#N/A</v>
          </cell>
          <cell r="N761" t="e">
            <v>#N/A</v>
          </cell>
          <cell r="O761" t="e">
            <v>#N/A</v>
          </cell>
          <cell r="P761">
            <v>71.03</v>
          </cell>
          <cell r="Q761" t="str">
            <v/>
          </cell>
          <cell r="R761" t="e">
            <v>#N/A</v>
          </cell>
        </row>
        <row r="762">
          <cell r="A762">
            <v>40571</v>
          </cell>
          <cell r="B762">
            <v>40571</v>
          </cell>
          <cell r="C762" t="str">
            <v>Future</v>
          </cell>
          <cell r="D762" t="e">
            <v>#N/A</v>
          </cell>
          <cell r="E762">
            <v>13.982283464566667</v>
          </cell>
          <cell r="F762">
            <v>98.312992125984891</v>
          </cell>
          <cell r="G762">
            <v>58.155511811024034</v>
          </cell>
          <cell r="H762">
            <v>58.155511811024034</v>
          </cell>
          <cell r="I762" t="e">
            <v>#N/A</v>
          </cell>
          <cell r="J762" t="e">
            <v>#N/A</v>
          </cell>
          <cell r="K762" t="e">
            <v>#N/A</v>
          </cell>
          <cell r="L762" t="e">
            <v>#N/A</v>
          </cell>
          <cell r="M762" t="e">
            <v>#N/A</v>
          </cell>
          <cell r="N762" t="e">
            <v>#N/A</v>
          </cell>
          <cell r="O762" t="e">
            <v>#N/A</v>
          </cell>
          <cell r="P762">
            <v>71.03</v>
          </cell>
          <cell r="Q762" t="str">
            <v/>
          </cell>
          <cell r="R762" t="e">
            <v>#N/A</v>
          </cell>
        </row>
        <row r="763">
          <cell r="A763">
            <v>40574</v>
          </cell>
          <cell r="B763">
            <v>40574</v>
          </cell>
          <cell r="C763" t="str">
            <v>Future</v>
          </cell>
          <cell r="D763" t="e">
            <v>#N/A</v>
          </cell>
          <cell r="E763">
            <v>13.702637795275328</v>
          </cell>
          <cell r="F763">
            <v>98.446732283465209</v>
          </cell>
          <cell r="G763">
            <v>58.09240157480356</v>
          </cell>
          <cell r="H763">
            <v>58.09240157480356</v>
          </cell>
          <cell r="I763" t="e">
            <v>#N/A</v>
          </cell>
          <cell r="J763" t="e">
            <v>#N/A</v>
          </cell>
          <cell r="K763" t="e">
            <v>#N/A</v>
          </cell>
          <cell r="L763" t="e">
            <v>#N/A</v>
          </cell>
          <cell r="M763" t="e">
            <v>#N/A</v>
          </cell>
          <cell r="N763" t="e">
            <v>#N/A</v>
          </cell>
          <cell r="O763" t="e">
            <v>#N/A</v>
          </cell>
          <cell r="P763">
            <v>71.03</v>
          </cell>
          <cell r="Q763" t="str">
            <v/>
          </cell>
          <cell r="R763" t="e">
            <v>#N/A</v>
          </cell>
        </row>
        <row r="764">
          <cell r="A764">
            <v>40575</v>
          </cell>
          <cell r="B764">
            <v>40575</v>
          </cell>
          <cell r="C764" t="str">
            <v>Future</v>
          </cell>
          <cell r="D764" t="e">
            <v>#N/A</v>
          </cell>
          <cell r="E764">
            <v>13.422992125983988</v>
          </cell>
          <cell r="F764">
            <v>98.580472440945528</v>
          </cell>
          <cell r="G764">
            <v>58.029291338583086</v>
          </cell>
          <cell r="H764">
            <v>58.029291338583086</v>
          </cell>
          <cell r="I764" t="e">
            <v>#N/A</v>
          </cell>
          <cell r="J764" t="e">
            <v>#N/A</v>
          </cell>
          <cell r="K764" t="e">
            <v>#N/A</v>
          </cell>
          <cell r="L764" t="e">
            <v>#N/A</v>
          </cell>
          <cell r="M764" t="e">
            <v>#N/A</v>
          </cell>
          <cell r="N764" t="e">
            <v>#N/A</v>
          </cell>
          <cell r="O764" t="e">
            <v>#N/A</v>
          </cell>
          <cell r="P764">
            <v>71.03</v>
          </cell>
          <cell r="Q764" t="str">
            <v/>
          </cell>
          <cell r="R764" t="e">
            <v>#N/A</v>
          </cell>
        </row>
        <row r="765">
          <cell r="A765">
            <v>40576</v>
          </cell>
          <cell r="B765">
            <v>40576</v>
          </cell>
          <cell r="C765" t="str">
            <v>Future</v>
          </cell>
          <cell r="D765" t="e">
            <v>#N/A</v>
          </cell>
          <cell r="E765">
            <v>13.143346456692649</v>
          </cell>
          <cell r="F765">
            <v>98.714212598425846</v>
          </cell>
          <cell r="G765">
            <v>57.966181102362611</v>
          </cell>
          <cell r="H765">
            <v>57.966181102362611</v>
          </cell>
          <cell r="I765" t="e">
            <v>#N/A</v>
          </cell>
          <cell r="J765" t="e">
            <v>#N/A</v>
          </cell>
          <cell r="K765" t="e">
            <v>#N/A</v>
          </cell>
          <cell r="L765" t="e">
            <v>#N/A</v>
          </cell>
          <cell r="M765" t="e">
            <v>#N/A</v>
          </cell>
          <cell r="N765" t="e">
            <v>#N/A</v>
          </cell>
          <cell r="O765" t="e">
            <v>#N/A</v>
          </cell>
          <cell r="P765">
            <v>71.03</v>
          </cell>
          <cell r="Q765" t="str">
            <v/>
          </cell>
          <cell r="R765" t="e">
            <v>#N/A</v>
          </cell>
        </row>
        <row r="766">
          <cell r="A766">
            <v>40577</v>
          </cell>
          <cell r="B766">
            <v>40577</v>
          </cell>
          <cell r="C766" t="str">
            <v>Future</v>
          </cell>
          <cell r="D766" t="e">
            <v>#N/A</v>
          </cell>
          <cell r="E766">
            <v>12.86370078740131</v>
          </cell>
          <cell r="F766">
            <v>98.847952755906164</v>
          </cell>
          <cell r="G766">
            <v>57.903070866142137</v>
          </cell>
          <cell r="H766">
            <v>57.903070866142137</v>
          </cell>
          <cell r="I766" t="e">
            <v>#N/A</v>
          </cell>
          <cell r="J766" t="e">
            <v>#N/A</v>
          </cell>
          <cell r="K766" t="e">
            <v>#N/A</v>
          </cell>
          <cell r="L766" t="e">
            <v>#N/A</v>
          </cell>
          <cell r="M766" t="e">
            <v>#N/A</v>
          </cell>
          <cell r="N766" t="e">
            <v>#N/A</v>
          </cell>
          <cell r="O766" t="e">
            <v>#N/A</v>
          </cell>
          <cell r="P766">
            <v>71.03</v>
          </cell>
          <cell r="Q766" t="str">
            <v/>
          </cell>
          <cell r="R766" t="e">
            <v>#N/A</v>
          </cell>
        </row>
        <row r="767">
          <cell r="A767">
            <v>40578</v>
          </cell>
          <cell r="B767">
            <v>40578</v>
          </cell>
          <cell r="C767" t="str">
            <v>Future</v>
          </cell>
          <cell r="D767" t="e">
            <v>#N/A</v>
          </cell>
          <cell r="E767">
            <v>12.584055118109971</v>
          </cell>
          <cell r="F767">
            <v>98.981692913386482</v>
          </cell>
          <cell r="G767">
            <v>57.839960629921663</v>
          </cell>
          <cell r="H767">
            <v>57.839960629921663</v>
          </cell>
          <cell r="I767" t="e">
            <v>#N/A</v>
          </cell>
          <cell r="J767" t="e">
            <v>#N/A</v>
          </cell>
          <cell r="K767" t="e">
            <v>#N/A</v>
          </cell>
          <cell r="L767" t="e">
            <v>#N/A</v>
          </cell>
          <cell r="M767" t="e">
            <v>#N/A</v>
          </cell>
          <cell r="N767" t="e">
            <v>#N/A</v>
          </cell>
          <cell r="O767" t="e">
            <v>#N/A</v>
          </cell>
          <cell r="P767">
            <v>71.03</v>
          </cell>
          <cell r="Q767" t="str">
            <v/>
          </cell>
          <cell r="R767" t="e">
            <v>#N/A</v>
          </cell>
        </row>
        <row r="768">
          <cell r="A768">
            <v>40581</v>
          </cell>
          <cell r="B768">
            <v>40581</v>
          </cell>
          <cell r="C768" t="str">
            <v>Future</v>
          </cell>
          <cell r="D768" t="e">
            <v>#N/A</v>
          </cell>
          <cell r="E768">
            <v>12.304409448818632</v>
          </cell>
          <cell r="F768">
            <v>99.1154330708668</v>
          </cell>
          <cell r="G768">
            <v>57.776850393701189</v>
          </cell>
          <cell r="H768">
            <v>57.776850393701189</v>
          </cell>
          <cell r="I768" t="e">
            <v>#N/A</v>
          </cell>
          <cell r="J768" t="e">
            <v>#N/A</v>
          </cell>
          <cell r="K768" t="e">
            <v>#N/A</v>
          </cell>
          <cell r="L768" t="e">
            <v>#N/A</v>
          </cell>
          <cell r="M768" t="e">
            <v>#N/A</v>
          </cell>
          <cell r="N768" t="e">
            <v>#N/A</v>
          </cell>
          <cell r="O768" t="e">
            <v>#N/A</v>
          </cell>
          <cell r="P768">
            <v>71.03</v>
          </cell>
          <cell r="Q768" t="str">
            <v/>
          </cell>
          <cell r="R768" t="e">
            <v>#N/A</v>
          </cell>
        </row>
        <row r="769">
          <cell r="A769">
            <v>40582</v>
          </cell>
          <cell r="B769">
            <v>40582</v>
          </cell>
          <cell r="C769" t="str">
            <v>Future</v>
          </cell>
          <cell r="D769" t="e">
            <v>#N/A</v>
          </cell>
          <cell r="E769">
            <v>12.024763779527293</v>
          </cell>
          <cell r="F769">
            <v>99.249173228347118</v>
          </cell>
          <cell r="G769">
            <v>57.713740157480714</v>
          </cell>
          <cell r="H769">
            <v>57.713740157480714</v>
          </cell>
          <cell r="I769" t="e">
            <v>#N/A</v>
          </cell>
          <cell r="J769" t="e">
            <v>#N/A</v>
          </cell>
          <cell r="K769" t="e">
            <v>#N/A</v>
          </cell>
          <cell r="L769" t="e">
            <v>#N/A</v>
          </cell>
          <cell r="M769" t="e">
            <v>#N/A</v>
          </cell>
          <cell r="N769" t="e">
            <v>#N/A</v>
          </cell>
          <cell r="O769" t="e">
            <v>#N/A</v>
          </cell>
          <cell r="P769">
            <v>71.03</v>
          </cell>
          <cell r="Q769" t="str">
            <v/>
          </cell>
          <cell r="R769" t="e">
            <v>#N/A</v>
          </cell>
        </row>
        <row r="770">
          <cell r="A770">
            <v>40583</v>
          </cell>
          <cell r="B770">
            <v>40583</v>
          </cell>
          <cell r="C770" t="str">
            <v>Future</v>
          </cell>
          <cell r="D770" t="e">
            <v>#N/A</v>
          </cell>
          <cell r="E770">
            <v>11.745118110235953</v>
          </cell>
          <cell r="F770">
            <v>99.382913385827436</v>
          </cell>
          <cell r="G770">
            <v>57.65062992126024</v>
          </cell>
          <cell r="H770">
            <v>57.65062992126024</v>
          </cell>
          <cell r="I770" t="e">
            <v>#N/A</v>
          </cell>
          <cell r="J770" t="e">
            <v>#N/A</v>
          </cell>
          <cell r="K770" t="e">
            <v>#N/A</v>
          </cell>
          <cell r="L770" t="e">
            <v>#N/A</v>
          </cell>
          <cell r="M770" t="e">
            <v>#N/A</v>
          </cell>
          <cell r="N770" t="e">
            <v>#N/A</v>
          </cell>
          <cell r="O770" t="e">
            <v>#N/A</v>
          </cell>
          <cell r="P770">
            <v>71.03</v>
          </cell>
          <cell r="Q770" t="str">
            <v/>
          </cell>
          <cell r="R770" t="e">
            <v>#N/A</v>
          </cell>
        </row>
        <row r="771">
          <cell r="A771">
            <v>40584</v>
          </cell>
          <cell r="B771">
            <v>40584</v>
          </cell>
          <cell r="C771" t="str">
            <v>Future</v>
          </cell>
          <cell r="D771" t="e">
            <v>#N/A</v>
          </cell>
          <cell r="E771">
            <v>11.465472440944614</v>
          </cell>
          <cell r="F771">
            <v>99.516653543307754</v>
          </cell>
          <cell r="G771">
            <v>57.587519685039766</v>
          </cell>
          <cell r="H771">
            <v>57.587519685039766</v>
          </cell>
          <cell r="I771" t="e">
            <v>#N/A</v>
          </cell>
          <cell r="J771" t="e">
            <v>#N/A</v>
          </cell>
          <cell r="K771" t="e">
            <v>#N/A</v>
          </cell>
          <cell r="L771" t="e">
            <v>#N/A</v>
          </cell>
          <cell r="M771" t="e">
            <v>#N/A</v>
          </cell>
          <cell r="N771" t="e">
            <v>#N/A</v>
          </cell>
          <cell r="O771" t="e">
            <v>#N/A</v>
          </cell>
          <cell r="P771">
            <v>71.03</v>
          </cell>
          <cell r="Q771" t="str">
            <v/>
          </cell>
          <cell r="R771" t="e">
            <v>#N/A</v>
          </cell>
        </row>
        <row r="772">
          <cell r="A772">
            <v>40585</v>
          </cell>
          <cell r="B772">
            <v>40585</v>
          </cell>
          <cell r="C772" t="str">
            <v>Future</v>
          </cell>
          <cell r="D772" t="e">
            <v>#N/A</v>
          </cell>
          <cell r="E772">
            <v>11.185826771653275</v>
          </cell>
          <cell r="F772">
            <v>99.650393700788072</v>
          </cell>
          <cell r="G772">
            <v>57.524409448819291</v>
          </cell>
          <cell r="H772">
            <v>57.524409448819291</v>
          </cell>
          <cell r="I772" t="e">
            <v>#N/A</v>
          </cell>
          <cell r="J772" t="e">
            <v>#N/A</v>
          </cell>
          <cell r="K772" t="e">
            <v>#N/A</v>
          </cell>
          <cell r="L772" t="e">
            <v>#N/A</v>
          </cell>
          <cell r="M772" t="e">
            <v>#N/A</v>
          </cell>
          <cell r="N772" t="e">
            <v>#N/A</v>
          </cell>
          <cell r="O772" t="e">
            <v>#N/A</v>
          </cell>
          <cell r="P772">
            <v>71.03</v>
          </cell>
          <cell r="Q772" t="str">
            <v/>
          </cell>
          <cell r="R772" t="e">
            <v>#N/A</v>
          </cell>
        </row>
        <row r="773">
          <cell r="A773">
            <v>40588</v>
          </cell>
          <cell r="B773">
            <v>40588</v>
          </cell>
          <cell r="C773" t="str">
            <v>Future</v>
          </cell>
          <cell r="D773" t="e">
            <v>#N/A</v>
          </cell>
          <cell r="E773">
            <v>10.906181102361936</v>
          </cell>
          <cell r="F773">
            <v>99.78413385826839</v>
          </cell>
          <cell r="G773">
            <v>57.461299212598817</v>
          </cell>
          <cell r="H773">
            <v>57.461299212598817</v>
          </cell>
          <cell r="I773" t="e">
            <v>#N/A</v>
          </cell>
          <cell r="J773" t="e">
            <v>#N/A</v>
          </cell>
          <cell r="K773" t="e">
            <v>#N/A</v>
          </cell>
          <cell r="L773" t="e">
            <v>#N/A</v>
          </cell>
          <cell r="M773" t="e">
            <v>#N/A</v>
          </cell>
          <cell r="N773" t="e">
            <v>#N/A</v>
          </cell>
          <cell r="O773" t="e">
            <v>#N/A</v>
          </cell>
          <cell r="P773">
            <v>71.03</v>
          </cell>
          <cell r="Q773" t="str">
            <v/>
          </cell>
          <cell r="R773" t="e">
            <v>#N/A</v>
          </cell>
        </row>
        <row r="774">
          <cell r="A774">
            <v>40589</v>
          </cell>
          <cell r="B774">
            <v>40589</v>
          </cell>
          <cell r="C774" t="str">
            <v>Future</v>
          </cell>
          <cell r="D774" t="e">
            <v>#N/A</v>
          </cell>
          <cell r="E774">
            <v>10.626535433070597</v>
          </cell>
          <cell r="F774">
            <v>99.917874015748708</v>
          </cell>
          <cell r="G774">
            <v>57.398188976378343</v>
          </cell>
          <cell r="H774">
            <v>57.398188976378343</v>
          </cell>
          <cell r="I774" t="e">
            <v>#N/A</v>
          </cell>
          <cell r="J774" t="e">
            <v>#N/A</v>
          </cell>
          <cell r="K774" t="e">
            <v>#N/A</v>
          </cell>
          <cell r="L774" t="e">
            <v>#N/A</v>
          </cell>
          <cell r="M774" t="e">
            <v>#N/A</v>
          </cell>
          <cell r="N774" t="e">
            <v>#N/A</v>
          </cell>
          <cell r="O774" t="e">
            <v>#N/A</v>
          </cell>
          <cell r="P774">
            <v>71.03</v>
          </cell>
          <cell r="Q774" t="str">
            <v/>
          </cell>
          <cell r="R774" t="e">
            <v>#N/A</v>
          </cell>
        </row>
        <row r="775">
          <cell r="A775">
            <v>40590</v>
          </cell>
          <cell r="B775">
            <v>40590</v>
          </cell>
          <cell r="C775" t="str">
            <v>Future</v>
          </cell>
          <cell r="D775" t="e">
            <v>#N/A</v>
          </cell>
          <cell r="E775">
            <v>10.346889763779258</v>
          </cell>
          <cell r="F775">
            <v>100.05161417322903</v>
          </cell>
          <cell r="G775">
            <v>57.335078740157869</v>
          </cell>
          <cell r="H775">
            <v>57.335078740157869</v>
          </cell>
          <cell r="I775" t="e">
            <v>#N/A</v>
          </cell>
          <cell r="J775" t="e">
            <v>#N/A</v>
          </cell>
          <cell r="K775" t="e">
            <v>#N/A</v>
          </cell>
          <cell r="L775" t="e">
            <v>#N/A</v>
          </cell>
          <cell r="M775" t="e">
            <v>#N/A</v>
          </cell>
          <cell r="N775" t="e">
            <v>#N/A</v>
          </cell>
          <cell r="O775" t="e">
            <v>#N/A</v>
          </cell>
          <cell r="P775">
            <v>71.03</v>
          </cell>
          <cell r="Q775" t="str">
            <v/>
          </cell>
          <cell r="R775" t="e">
            <v>#N/A</v>
          </cell>
        </row>
        <row r="776">
          <cell r="A776">
            <v>40591</v>
          </cell>
          <cell r="B776">
            <v>40591</v>
          </cell>
          <cell r="C776" t="str">
            <v>Future</v>
          </cell>
          <cell r="D776" t="e">
            <v>#N/A</v>
          </cell>
          <cell r="E776">
            <v>10.067244094487918</v>
          </cell>
          <cell r="F776">
            <v>100.18535433070934</v>
          </cell>
          <cell r="G776">
            <v>57.271968503937394</v>
          </cell>
          <cell r="H776">
            <v>57.271968503937394</v>
          </cell>
          <cell r="I776" t="e">
            <v>#N/A</v>
          </cell>
          <cell r="J776" t="e">
            <v>#N/A</v>
          </cell>
          <cell r="K776" t="e">
            <v>#N/A</v>
          </cell>
          <cell r="L776" t="e">
            <v>#N/A</v>
          </cell>
          <cell r="M776" t="e">
            <v>#N/A</v>
          </cell>
          <cell r="N776" t="e">
            <v>#N/A</v>
          </cell>
          <cell r="O776" t="e">
            <v>#N/A</v>
          </cell>
          <cell r="P776">
            <v>71.03</v>
          </cell>
          <cell r="Q776" t="str">
            <v/>
          </cell>
          <cell r="R776" t="e">
            <v>#N/A</v>
          </cell>
        </row>
        <row r="777">
          <cell r="A777">
            <v>40592</v>
          </cell>
          <cell r="B777">
            <v>40592</v>
          </cell>
          <cell r="C777" t="str">
            <v>Future</v>
          </cell>
          <cell r="D777" t="e">
            <v>#N/A</v>
          </cell>
          <cell r="E777">
            <v>9.7875984251965793</v>
          </cell>
          <cell r="F777">
            <v>100.31909448818966</v>
          </cell>
          <cell r="G777">
            <v>57.20885826771692</v>
          </cell>
          <cell r="H777">
            <v>57.20885826771692</v>
          </cell>
          <cell r="I777" t="e">
            <v>#N/A</v>
          </cell>
          <cell r="J777" t="e">
            <v>#N/A</v>
          </cell>
          <cell r="K777" t="e">
            <v>#N/A</v>
          </cell>
          <cell r="L777" t="e">
            <v>#N/A</v>
          </cell>
          <cell r="M777" t="e">
            <v>#N/A</v>
          </cell>
          <cell r="N777" t="e">
            <v>#N/A</v>
          </cell>
          <cell r="O777" t="e">
            <v>#N/A</v>
          </cell>
          <cell r="P777">
            <v>71.03</v>
          </cell>
          <cell r="Q777" t="str">
            <v/>
          </cell>
          <cell r="R777" t="e">
            <v>#N/A</v>
          </cell>
        </row>
        <row r="778">
          <cell r="A778">
            <v>40596</v>
          </cell>
          <cell r="B778">
            <v>40596</v>
          </cell>
          <cell r="C778" t="str">
            <v>Future</v>
          </cell>
          <cell r="D778" t="e">
            <v>#N/A</v>
          </cell>
          <cell r="E778">
            <v>9.5079527559052401</v>
          </cell>
          <cell r="F778">
            <v>100.45283464566998</v>
          </cell>
          <cell r="G778">
            <v>57.145748031496446</v>
          </cell>
          <cell r="H778">
            <v>57.145748031496446</v>
          </cell>
          <cell r="I778" t="e">
            <v>#N/A</v>
          </cell>
          <cell r="J778" t="e">
            <v>#N/A</v>
          </cell>
          <cell r="K778" t="e">
            <v>#N/A</v>
          </cell>
          <cell r="L778" t="e">
            <v>#N/A</v>
          </cell>
          <cell r="M778" t="e">
            <v>#N/A</v>
          </cell>
          <cell r="N778" t="e">
            <v>#N/A</v>
          </cell>
          <cell r="O778" t="e">
            <v>#N/A</v>
          </cell>
          <cell r="P778">
            <v>71.03</v>
          </cell>
          <cell r="Q778" t="str">
            <v/>
          </cell>
          <cell r="R778" t="e">
            <v>#N/A</v>
          </cell>
        </row>
        <row r="779">
          <cell r="A779">
            <v>40597</v>
          </cell>
          <cell r="B779">
            <v>40597</v>
          </cell>
          <cell r="C779" t="str">
            <v>Future</v>
          </cell>
          <cell r="D779" t="e">
            <v>#N/A</v>
          </cell>
          <cell r="E779">
            <v>9.228307086613901</v>
          </cell>
          <cell r="F779">
            <v>100.5865748031503</v>
          </cell>
          <cell r="G779">
            <v>57.082637795275971</v>
          </cell>
          <cell r="H779">
            <v>57.082637795275971</v>
          </cell>
          <cell r="I779" t="e">
            <v>#N/A</v>
          </cell>
          <cell r="J779" t="e">
            <v>#N/A</v>
          </cell>
          <cell r="K779" t="e">
            <v>#N/A</v>
          </cell>
          <cell r="L779" t="e">
            <v>#N/A</v>
          </cell>
          <cell r="M779" t="e">
            <v>#N/A</v>
          </cell>
          <cell r="N779" t="e">
            <v>#N/A</v>
          </cell>
          <cell r="O779" t="e">
            <v>#N/A</v>
          </cell>
          <cell r="P779">
            <v>71.03</v>
          </cell>
          <cell r="Q779" t="str">
            <v/>
          </cell>
          <cell r="R779" t="e">
            <v>#N/A</v>
          </cell>
        </row>
        <row r="780">
          <cell r="A780">
            <v>40598</v>
          </cell>
          <cell r="B780">
            <v>40598</v>
          </cell>
          <cell r="C780" t="str">
            <v>Future</v>
          </cell>
          <cell r="D780" t="e">
            <v>#N/A</v>
          </cell>
          <cell r="E780">
            <v>8.9486614173225618</v>
          </cell>
          <cell r="F780">
            <v>100.72031496063062</v>
          </cell>
          <cell r="G780">
            <v>57.019527559055497</v>
          </cell>
          <cell r="H780">
            <v>57.019527559055497</v>
          </cell>
          <cell r="I780" t="e">
            <v>#N/A</v>
          </cell>
          <cell r="J780" t="e">
            <v>#N/A</v>
          </cell>
          <cell r="K780" t="e">
            <v>#N/A</v>
          </cell>
          <cell r="L780" t="e">
            <v>#N/A</v>
          </cell>
          <cell r="M780" t="e">
            <v>#N/A</v>
          </cell>
          <cell r="N780" t="e">
            <v>#N/A</v>
          </cell>
          <cell r="O780" t="e">
            <v>#N/A</v>
          </cell>
          <cell r="P780">
            <v>71.03</v>
          </cell>
          <cell r="Q780" t="str">
            <v/>
          </cell>
          <cell r="R780" t="e">
            <v>#N/A</v>
          </cell>
        </row>
        <row r="781">
          <cell r="A781">
            <v>40599</v>
          </cell>
          <cell r="B781">
            <v>40599</v>
          </cell>
          <cell r="C781" t="str">
            <v>Future</v>
          </cell>
          <cell r="D781" t="e">
            <v>#N/A</v>
          </cell>
          <cell r="E781">
            <v>8.6690157480312227</v>
          </cell>
          <cell r="F781">
            <v>100.85405511811094</v>
          </cell>
          <cell r="G781">
            <v>56.956417322835023</v>
          </cell>
          <cell r="H781">
            <v>56.956417322835023</v>
          </cell>
          <cell r="I781" t="e">
            <v>#N/A</v>
          </cell>
          <cell r="J781" t="e">
            <v>#N/A</v>
          </cell>
          <cell r="K781" t="e">
            <v>#N/A</v>
          </cell>
          <cell r="L781" t="e">
            <v>#N/A</v>
          </cell>
          <cell r="M781" t="e">
            <v>#N/A</v>
          </cell>
          <cell r="N781" t="e">
            <v>#N/A</v>
          </cell>
          <cell r="O781" t="e">
            <v>#N/A</v>
          </cell>
          <cell r="P781">
            <v>71.03</v>
          </cell>
          <cell r="Q781" t="str">
            <v/>
          </cell>
          <cell r="R781" t="e">
            <v>#N/A</v>
          </cell>
        </row>
        <row r="782">
          <cell r="A782">
            <v>40602</v>
          </cell>
          <cell r="B782">
            <v>40602</v>
          </cell>
          <cell r="C782" t="str">
            <v>Future</v>
          </cell>
          <cell r="D782" t="e">
            <v>#N/A</v>
          </cell>
          <cell r="E782">
            <v>8.3893700787398835</v>
          </cell>
          <cell r="F782">
            <v>100.98779527559125</v>
          </cell>
          <cell r="G782">
            <v>56.893307086614548</v>
          </cell>
          <cell r="H782">
            <v>56.893307086614548</v>
          </cell>
          <cell r="I782" t="e">
            <v>#N/A</v>
          </cell>
          <cell r="J782" t="e">
            <v>#N/A</v>
          </cell>
          <cell r="K782" t="e">
            <v>#N/A</v>
          </cell>
          <cell r="L782" t="e">
            <v>#N/A</v>
          </cell>
          <cell r="M782" t="e">
            <v>#N/A</v>
          </cell>
          <cell r="N782" t="e">
            <v>#N/A</v>
          </cell>
          <cell r="O782" t="e">
            <v>#N/A</v>
          </cell>
          <cell r="P782">
            <v>71.03</v>
          </cell>
          <cell r="Q782" t="str">
            <v/>
          </cell>
          <cell r="R782" t="e">
            <v>#N/A</v>
          </cell>
        </row>
        <row r="783">
          <cell r="A783">
            <v>40603</v>
          </cell>
          <cell r="B783">
            <v>40603</v>
          </cell>
          <cell r="C783" t="str">
            <v>Future</v>
          </cell>
          <cell r="D783" t="e">
            <v>#N/A</v>
          </cell>
          <cell r="E783">
            <v>8.1097244094485443</v>
          </cell>
          <cell r="F783">
            <v>101.12153543307157</v>
          </cell>
          <cell r="G783">
            <v>56.830196850394074</v>
          </cell>
          <cell r="H783">
            <v>56.830196850394074</v>
          </cell>
          <cell r="I783" t="e">
            <v>#N/A</v>
          </cell>
          <cell r="J783" t="e">
            <v>#N/A</v>
          </cell>
          <cell r="K783" t="e">
            <v>#N/A</v>
          </cell>
          <cell r="L783" t="e">
            <v>#N/A</v>
          </cell>
          <cell r="M783" t="e">
            <v>#N/A</v>
          </cell>
          <cell r="N783" t="e">
            <v>#N/A</v>
          </cell>
          <cell r="O783" t="e">
            <v>#N/A</v>
          </cell>
          <cell r="P783">
            <v>71.03</v>
          </cell>
          <cell r="Q783" t="str">
            <v/>
          </cell>
          <cell r="R783" t="e">
            <v>#N/A</v>
          </cell>
        </row>
        <row r="784">
          <cell r="A784">
            <v>40604</v>
          </cell>
          <cell r="B784">
            <v>40604</v>
          </cell>
          <cell r="C784" t="str">
            <v>Future</v>
          </cell>
          <cell r="D784" t="e">
            <v>#N/A</v>
          </cell>
          <cell r="E784">
            <v>7.8300787401572061</v>
          </cell>
          <cell r="F784">
            <v>101.25527559055189</v>
          </cell>
          <cell r="G784">
            <v>56.7670866141736</v>
          </cell>
          <cell r="H784">
            <v>56.7670866141736</v>
          </cell>
          <cell r="I784" t="e">
            <v>#N/A</v>
          </cell>
          <cell r="J784" t="e">
            <v>#N/A</v>
          </cell>
          <cell r="K784" t="e">
            <v>#N/A</v>
          </cell>
          <cell r="L784" t="e">
            <v>#N/A</v>
          </cell>
          <cell r="M784" t="e">
            <v>#N/A</v>
          </cell>
          <cell r="N784" t="e">
            <v>#N/A</v>
          </cell>
          <cell r="O784" t="e">
            <v>#N/A</v>
          </cell>
          <cell r="P784">
            <v>71.03</v>
          </cell>
          <cell r="Q784" t="str">
            <v/>
          </cell>
          <cell r="R784" t="e">
            <v>#N/A</v>
          </cell>
        </row>
        <row r="785">
          <cell r="A785">
            <v>40605</v>
          </cell>
          <cell r="B785">
            <v>40605</v>
          </cell>
          <cell r="C785" t="str">
            <v>Future</v>
          </cell>
          <cell r="D785" t="e">
            <v>#N/A</v>
          </cell>
          <cell r="E785">
            <v>7.5504330708658678</v>
          </cell>
          <cell r="F785">
            <v>101.38901574803221</v>
          </cell>
          <cell r="G785">
            <v>56.703976377953126</v>
          </cell>
          <cell r="H785">
            <v>56.703976377953126</v>
          </cell>
          <cell r="I785" t="e">
            <v>#N/A</v>
          </cell>
          <cell r="J785" t="e">
            <v>#N/A</v>
          </cell>
          <cell r="K785" t="e">
            <v>#N/A</v>
          </cell>
          <cell r="L785" t="e">
            <v>#N/A</v>
          </cell>
          <cell r="M785" t="e">
            <v>#N/A</v>
          </cell>
          <cell r="N785" t="e">
            <v>#N/A</v>
          </cell>
          <cell r="O785" t="e">
            <v>#N/A</v>
          </cell>
          <cell r="P785">
            <v>71.03</v>
          </cell>
          <cell r="Q785" t="str">
            <v/>
          </cell>
          <cell r="R785" t="e">
            <v>#N/A</v>
          </cell>
        </row>
        <row r="786">
          <cell r="A786">
            <v>40606</v>
          </cell>
          <cell r="B786">
            <v>40606</v>
          </cell>
          <cell r="C786" t="str">
            <v>Future</v>
          </cell>
          <cell r="D786" t="e">
            <v>#N/A</v>
          </cell>
          <cell r="E786">
            <v>7.2707874015745295</v>
          </cell>
          <cell r="F786">
            <v>101.52275590551253</v>
          </cell>
          <cell r="G786">
            <v>56.640866141732651</v>
          </cell>
          <cell r="H786">
            <v>56.640866141732651</v>
          </cell>
          <cell r="I786" t="e">
            <v>#N/A</v>
          </cell>
          <cell r="J786" t="e">
            <v>#N/A</v>
          </cell>
          <cell r="K786" t="e">
            <v>#N/A</v>
          </cell>
          <cell r="L786" t="e">
            <v>#N/A</v>
          </cell>
          <cell r="M786" t="e">
            <v>#N/A</v>
          </cell>
          <cell r="N786" t="e">
            <v>#N/A</v>
          </cell>
          <cell r="O786" t="e">
            <v>#N/A</v>
          </cell>
          <cell r="P786">
            <v>71.03</v>
          </cell>
          <cell r="Q786" t="str">
            <v/>
          </cell>
          <cell r="R786" t="e">
            <v>#N/A</v>
          </cell>
        </row>
        <row r="787">
          <cell r="A787">
            <v>40609</v>
          </cell>
          <cell r="B787">
            <v>40609</v>
          </cell>
          <cell r="C787" t="str">
            <v>Future</v>
          </cell>
          <cell r="D787" t="e">
            <v>#N/A</v>
          </cell>
          <cell r="E787">
            <v>6.9911417322831912</v>
          </cell>
          <cell r="F787">
            <v>101.65649606299284</v>
          </cell>
          <cell r="G787">
            <v>56.577755905512177</v>
          </cell>
          <cell r="H787">
            <v>56.577755905512177</v>
          </cell>
          <cell r="I787" t="e">
            <v>#N/A</v>
          </cell>
          <cell r="J787" t="e">
            <v>#N/A</v>
          </cell>
          <cell r="K787" t="e">
            <v>#N/A</v>
          </cell>
          <cell r="L787" t="e">
            <v>#N/A</v>
          </cell>
          <cell r="M787" t="e">
            <v>#N/A</v>
          </cell>
          <cell r="N787" t="e">
            <v>#N/A</v>
          </cell>
          <cell r="O787" t="e">
            <v>#N/A</v>
          </cell>
          <cell r="P787">
            <v>71.03</v>
          </cell>
          <cell r="Q787" t="str">
            <v/>
          </cell>
          <cell r="R787" t="e">
            <v>#N/A</v>
          </cell>
        </row>
        <row r="788">
          <cell r="A788">
            <v>40610</v>
          </cell>
          <cell r="B788">
            <v>40610</v>
          </cell>
          <cell r="C788" t="str">
            <v>Future</v>
          </cell>
          <cell r="D788" t="e">
            <v>#N/A</v>
          </cell>
          <cell r="E788">
            <v>6.711496062991853</v>
          </cell>
          <cell r="F788">
            <v>101.79023622047316</v>
          </cell>
          <cell r="G788">
            <v>56.514645669291703</v>
          </cell>
          <cell r="H788">
            <v>56.514645669291703</v>
          </cell>
          <cell r="I788" t="e">
            <v>#N/A</v>
          </cell>
          <cell r="J788" t="e">
            <v>#N/A</v>
          </cell>
          <cell r="K788" t="e">
            <v>#N/A</v>
          </cell>
          <cell r="L788" t="e">
            <v>#N/A</v>
          </cell>
          <cell r="M788" t="e">
            <v>#N/A</v>
          </cell>
          <cell r="N788" t="e">
            <v>#N/A</v>
          </cell>
          <cell r="O788" t="e">
            <v>#N/A</v>
          </cell>
          <cell r="P788">
            <v>71.03</v>
          </cell>
          <cell r="Q788" t="str">
            <v/>
          </cell>
          <cell r="R788" t="e">
            <v>#N/A</v>
          </cell>
        </row>
        <row r="789">
          <cell r="A789">
            <v>40611</v>
          </cell>
          <cell r="B789">
            <v>40611</v>
          </cell>
          <cell r="C789" t="str">
            <v>Future</v>
          </cell>
          <cell r="D789" t="e">
            <v>#N/A</v>
          </cell>
          <cell r="E789">
            <v>6.4318503937005147</v>
          </cell>
          <cell r="F789">
            <v>101.92397637795348</v>
          </cell>
          <cell r="G789">
            <v>56.451535433071228</v>
          </cell>
          <cell r="H789">
            <v>56.451535433071228</v>
          </cell>
          <cell r="I789" t="e">
            <v>#N/A</v>
          </cell>
          <cell r="J789" t="e">
            <v>#N/A</v>
          </cell>
          <cell r="K789" t="e">
            <v>#N/A</v>
          </cell>
          <cell r="L789" t="e">
            <v>#N/A</v>
          </cell>
          <cell r="M789" t="e">
            <v>#N/A</v>
          </cell>
          <cell r="N789" t="e">
            <v>#N/A</v>
          </cell>
          <cell r="O789" t="e">
            <v>#N/A</v>
          </cell>
          <cell r="P789">
            <v>71.03</v>
          </cell>
          <cell r="Q789" t="str">
            <v/>
          </cell>
          <cell r="R789" t="e">
            <v>#N/A</v>
          </cell>
        </row>
        <row r="790">
          <cell r="A790">
            <v>40612</v>
          </cell>
          <cell r="B790">
            <v>40612</v>
          </cell>
          <cell r="C790" t="str">
            <v>Future</v>
          </cell>
          <cell r="D790" t="e">
            <v>#N/A</v>
          </cell>
          <cell r="E790">
            <v>6.1522047244091764</v>
          </cell>
          <cell r="F790">
            <v>102.0577165354338</v>
          </cell>
          <cell r="G790">
            <v>56.388425196850754</v>
          </cell>
          <cell r="H790">
            <v>56.388425196850754</v>
          </cell>
          <cell r="I790" t="e">
            <v>#N/A</v>
          </cell>
          <cell r="J790" t="e">
            <v>#N/A</v>
          </cell>
          <cell r="K790" t="e">
            <v>#N/A</v>
          </cell>
          <cell r="L790" t="e">
            <v>#N/A</v>
          </cell>
          <cell r="M790" t="e">
            <v>#N/A</v>
          </cell>
          <cell r="N790" t="e">
            <v>#N/A</v>
          </cell>
          <cell r="O790" t="e">
            <v>#N/A</v>
          </cell>
          <cell r="P790">
            <v>71.03</v>
          </cell>
          <cell r="Q790" t="str">
            <v/>
          </cell>
          <cell r="R790" t="e">
            <v>#N/A</v>
          </cell>
        </row>
        <row r="791">
          <cell r="A791">
            <v>40613</v>
          </cell>
          <cell r="B791">
            <v>40613</v>
          </cell>
          <cell r="C791" t="str">
            <v>Future</v>
          </cell>
          <cell r="D791" t="e">
            <v>#N/A</v>
          </cell>
          <cell r="E791">
            <v>5.8725590551178382</v>
          </cell>
          <cell r="F791">
            <v>102.19145669291412</v>
          </cell>
          <cell r="G791">
            <v>56.32531496063028</v>
          </cell>
          <cell r="H791">
            <v>56.32531496063028</v>
          </cell>
          <cell r="I791" t="e">
            <v>#N/A</v>
          </cell>
          <cell r="J791" t="e">
            <v>#N/A</v>
          </cell>
          <cell r="K791" t="e">
            <v>#N/A</v>
          </cell>
          <cell r="L791" t="e">
            <v>#N/A</v>
          </cell>
          <cell r="M791" t="e">
            <v>#N/A</v>
          </cell>
          <cell r="N791" t="e">
            <v>#N/A</v>
          </cell>
          <cell r="O791" t="e">
            <v>#N/A</v>
          </cell>
          <cell r="P791">
            <v>71.03</v>
          </cell>
          <cell r="Q791" t="str">
            <v/>
          </cell>
          <cell r="R791" t="e">
            <v>#N/A</v>
          </cell>
        </row>
        <row r="792">
          <cell r="A792">
            <v>40616</v>
          </cell>
          <cell r="B792">
            <v>40616</v>
          </cell>
          <cell r="C792" t="str">
            <v>Future</v>
          </cell>
          <cell r="D792" t="e">
            <v>#N/A</v>
          </cell>
          <cell r="E792">
            <v>5.5929133858264999</v>
          </cell>
          <cell r="F792">
            <v>102.32519685039443</v>
          </cell>
          <cell r="G792">
            <v>56.262204724409806</v>
          </cell>
          <cell r="H792">
            <v>56.262204724409806</v>
          </cell>
          <cell r="I792" t="e">
            <v>#N/A</v>
          </cell>
          <cell r="J792" t="e">
            <v>#N/A</v>
          </cell>
          <cell r="K792" t="e">
            <v>#N/A</v>
          </cell>
          <cell r="L792" t="e">
            <v>#N/A</v>
          </cell>
          <cell r="M792" t="e">
            <v>#N/A</v>
          </cell>
          <cell r="N792" t="e">
            <v>#N/A</v>
          </cell>
          <cell r="O792" t="e">
            <v>#N/A</v>
          </cell>
          <cell r="P792">
            <v>71.03</v>
          </cell>
          <cell r="Q792" t="str">
            <v/>
          </cell>
          <cell r="R792" t="e">
            <v>#N/A</v>
          </cell>
        </row>
        <row r="793">
          <cell r="A793">
            <v>40617</v>
          </cell>
          <cell r="B793">
            <v>40617</v>
          </cell>
          <cell r="C793" t="str">
            <v>Future</v>
          </cell>
          <cell r="D793" t="e">
            <v>#N/A</v>
          </cell>
          <cell r="E793">
            <v>5.3132677165351616</v>
          </cell>
          <cell r="F793">
            <v>102.45893700787475</v>
          </cell>
          <cell r="G793">
            <v>56.199094488189331</v>
          </cell>
          <cell r="H793">
            <v>56.199094488189331</v>
          </cell>
          <cell r="I793" t="e">
            <v>#N/A</v>
          </cell>
          <cell r="J793" t="e">
            <v>#N/A</v>
          </cell>
          <cell r="K793" t="e">
            <v>#N/A</v>
          </cell>
          <cell r="L793" t="e">
            <v>#N/A</v>
          </cell>
          <cell r="M793" t="e">
            <v>#N/A</v>
          </cell>
          <cell r="N793" t="e">
            <v>#N/A</v>
          </cell>
          <cell r="O793" t="e">
            <v>#N/A</v>
          </cell>
          <cell r="P793">
            <v>71.03</v>
          </cell>
          <cell r="Q793" t="str">
            <v/>
          </cell>
          <cell r="R793" t="e">
            <v>#N/A</v>
          </cell>
        </row>
        <row r="794">
          <cell r="A794">
            <v>40618</v>
          </cell>
          <cell r="B794">
            <v>40618</v>
          </cell>
          <cell r="C794" t="str">
            <v>Future</v>
          </cell>
          <cell r="D794" t="e">
            <v>#N/A</v>
          </cell>
          <cell r="E794">
            <v>5.0336220472438233</v>
          </cell>
          <cell r="F794">
            <v>102.59267716535507</v>
          </cell>
          <cell r="G794">
            <v>56.135984251968857</v>
          </cell>
          <cell r="H794">
            <v>56.135984251968857</v>
          </cell>
          <cell r="I794" t="e">
            <v>#N/A</v>
          </cell>
          <cell r="J794" t="e">
            <v>#N/A</v>
          </cell>
          <cell r="K794" t="e">
            <v>#N/A</v>
          </cell>
          <cell r="L794" t="e">
            <v>#N/A</v>
          </cell>
          <cell r="M794" t="e">
            <v>#N/A</v>
          </cell>
          <cell r="N794" t="e">
            <v>#N/A</v>
          </cell>
          <cell r="O794" t="e">
            <v>#N/A</v>
          </cell>
          <cell r="P794">
            <v>71.03</v>
          </cell>
          <cell r="Q794" t="str">
            <v/>
          </cell>
          <cell r="R794" t="e">
            <v>#N/A</v>
          </cell>
        </row>
        <row r="795">
          <cell r="A795">
            <v>40619</v>
          </cell>
          <cell r="B795">
            <v>40619</v>
          </cell>
          <cell r="C795" t="str">
            <v>Future</v>
          </cell>
          <cell r="D795" t="e">
            <v>#N/A</v>
          </cell>
          <cell r="E795">
            <v>4.7539763779524851</v>
          </cell>
          <cell r="F795">
            <v>102.72641732283539</v>
          </cell>
          <cell r="G795">
            <v>56.072874015748383</v>
          </cell>
          <cell r="H795">
            <v>56.072874015748383</v>
          </cell>
          <cell r="I795" t="e">
            <v>#N/A</v>
          </cell>
          <cell r="J795" t="e">
            <v>#N/A</v>
          </cell>
          <cell r="K795" t="e">
            <v>#N/A</v>
          </cell>
          <cell r="L795" t="e">
            <v>#N/A</v>
          </cell>
          <cell r="M795" t="e">
            <v>#N/A</v>
          </cell>
          <cell r="N795" t="e">
            <v>#N/A</v>
          </cell>
          <cell r="O795" t="e">
            <v>#N/A</v>
          </cell>
          <cell r="P795">
            <v>71.03</v>
          </cell>
          <cell r="Q795" t="str">
            <v/>
          </cell>
          <cell r="R795" t="e">
            <v>#N/A</v>
          </cell>
        </row>
        <row r="796">
          <cell r="A796">
            <v>40620</v>
          </cell>
          <cell r="B796">
            <v>40620</v>
          </cell>
          <cell r="C796" t="str">
            <v>Future</v>
          </cell>
          <cell r="D796" t="e">
            <v>#N/A</v>
          </cell>
          <cell r="E796">
            <v>4.4743307086611468</v>
          </cell>
          <cell r="F796">
            <v>102.86015748031571</v>
          </cell>
          <cell r="G796">
            <v>56.009763779527908</v>
          </cell>
          <cell r="H796">
            <v>56.009763779527908</v>
          </cell>
          <cell r="I796" t="e">
            <v>#N/A</v>
          </cell>
          <cell r="J796" t="e">
            <v>#N/A</v>
          </cell>
          <cell r="K796" t="e">
            <v>#N/A</v>
          </cell>
          <cell r="L796" t="e">
            <v>#N/A</v>
          </cell>
          <cell r="M796" t="e">
            <v>#N/A</v>
          </cell>
          <cell r="N796" t="e">
            <v>#N/A</v>
          </cell>
          <cell r="O796" t="e">
            <v>#N/A</v>
          </cell>
          <cell r="P796">
            <v>71.03</v>
          </cell>
          <cell r="Q796" t="str">
            <v/>
          </cell>
          <cell r="R796" t="e">
            <v>#N/A</v>
          </cell>
        </row>
        <row r="797">
          <cell r="A797">
            <v>40623</v>
          </cell>
          <cell r="B797">
            <v>40623</v>
          </cell>
          <cell r="C797" t="str">
            <v>Future</v>
          </cell>
          <cell r="D797" t="e">
            <v>#N/A</v>
          </cell>
          <cell r="E797">
            <v>4.1946850393698085</v>
          </cell>
          <cell r="F797">
            <v>102.99389763779602</v>
          </cell>
          <cell r="G797">
            <v>55.946653543307434</v>
          </cell>
          <cell r="H797">
            <v>55.946653543307434</v>
          </cell>
          <cell r="I797" t="e">
            <v>#N/A</v>
          </cell>
          <cell r="J797" t="e">
            <v>#N/A</v>
          </cell>
          <cell r="K797" t="e">
            <v>#N/A</v>
          </cell>
          <cell r="L797" t="e">
            <v>#N/A</v>
          </cell>
          <cell r="M797" t="e">
            <v>#N/A</v>
          </cell>
          <cell r="N797" t="e">
            <v>#N/A</v>
          </cell>
          <cell r="O797" t="e">
            <v>#N/A</v>
          </cell>
          <cell r="P797">
            <v>71.03</v>
          </cell>
          <cell r="Q797" t="str">
            <v/>
          </cell>
          <cell r="R797" t="e">
            <v>#N/A</v>
          </cell>
        </row>
        <row r="798">
          <cell r="A798">
            <v>40624</v>
          </cell>
          <cell r="B798">
            <v>40624</v>
          </cell>
          <cell r="C798" t="str">
            <v>Future</v>
          </cell>
          <cell r="D798" t="e">
            <v>#N/A</v>
          </cell>
          <cell r="E798">
            <v>3.9150393700784698</v>
          </cell>
          <cell r="F798">
            <v>103.12763779527634</v>
          </cell>
          <cell r="G798">
            <v>55.88354330708696</v>
          </cell>
          <cell r="H798">
            <v>55.88354330708696</v>
          </cell>
          <cell r="I798" t="e">
            <v>#N/A</v>
          </cell>
          <cell r="J798" t="e">
            <v>#N/A</v>
          </cell>
          <cell r="K798" t="e">
            <v>#N/A</v>
          </cell>
          <cell r="L798" t="e">
            <v>#N/A</v>
          </cell>
          <cell r="M798" t="e">
            <v>#N/A</v>
          </cell>
          <cell r="N798" t="e">
            <v>#N/A</v>
          </cell>
          <cell r="O798" t="e">
            <v>#N/A</v>
          </cell>
          <cell r="P798">
            <v>71.03</v>
          </cell>
          <cell r="Q798" t="str">
            <v/>
          </cell>
          <cell r="R798" t="e">
            <v>#N/A</v>
          </cell>
        </row>
        <row r="799">
          <cell r="A799">
            <v>40625</v>
          </cell>
          <cell r="B799">
            <v>40625</v>
          </cell>
          <cell r="C799" t="str">
            <v>Future</v>
          </cell>
          <cell r="D799" t="e">
            <v>#N/A</v>
          </cell>
          <cell r="E799">
            <v>3.6353937007871311</v>
          </cell>
          <cell r="F799">
            <v>103.26137795275666</v>
          </cell>
          <cell r="G799">
            <v>55.820433070866486</v>
          </cell>
          <cell r="H799">
            <v>55.820433070866486</v>
          </cell>
          <cell r="I799" t="e">
            <v>#N/A</v>
          </cell>
          <cell r="J799" t="e">
            <v>#N/A</v>
          </cell>
          <cell r="K799" t="e">
            <v>#N/A</v>
          </cell>
          <cell r="L799" t="e">
            <v>#N/A</v>
          </cell>
          <cell r="M799" t="e">
            <v>#N/A</v>
          </cell>
          <cell r="N799" t="e">
            <v>#N/A</v>
          </cell>
          <cell r="O799" t="e">
            <v>#N/A</v>
          </cell>
          <cell r="P799">
            <v>71.03</v>
          </cell>
          <cell r="Q799" t="str">
            <v/>
          </cell>
          <cell r="R799" t="e">
            <v>#N/A</v>
          </cell>
        </row>
        <row r="800">
          <cell r="A800">
            <v>40626</v>
          </cell>
          <cell r="B800">
            <v>40626</v>
          </cell>
          <cell r="C800" t="str">
            <v>Future</v>
          </cell>
          <cell r="D800" t="e">
            <v>#N/A</v>
          </cell>
          <cell r="E800">
            <v>3.3557480314957924</v>
          </cell>
          <cell r="F800">
            <v>103.39511811023698</v>
          </cell>
          <cell r="G800">
            <v>55.757322834646011</v>
          </cell>
          <cell r="H800">
            <v>55.757322834646011</v>
          </cell>
          <cell r="I800" t="e">
            <v>#N/A</v>
          </cell>
          <cell r="J800" t="e">
            <v>#N/A</v>
          </cell>
          <cell r="K800" t="e">
            <v>#N/A</v>
          </cell>
          <cell r="L800" t="e">
            <v>#N/A</v>
          </cell>
          <cell r="M800" t="e">
            <v>#N/A</v>
          </cell>
          <cell r="N800" t="e">
            <v>#N/A</v>
          </cell>
          <cell r="O800" t="e">
            <v>#N/A</v>
          </cell>
          <cell r="P800">
            <v>71.03</v>
          </cell>
          <cell r="Q800" t="str">
            <v/>
          </cell>
          <cell r="R800" t="e">
            <v>#N/A</v>
          </cell>
        </row>
        <row r="801">
          <cell r="A801">
            <v>40627</v>
          </cell>
          <cell r="B801">
            <v>40627</v>
          </cell>
          <cell r="C801" t="str">
            <v>Future</v>
          </cell>
          <cell r="D801" t="e">
            <v>#N/A</v>
          </cell>
          <cell r="E801">
            <v>3.0761023622044537</v>
          </cell>
          <cell r="F801">
            <v>103.5288582677173</v>
          </cell>
          <cell r="G801">
            <v>55.694212598425537</v>
          </cell>
          <cell r="H801">
            <v>55.694212598425537</v>
          </cell>
          <cell r="I801" t="e">
            <v>#N/A</v>
          </cell>
          <cell r="J801" t="e">
            <v>#N/A</v>
          </cell>
          <cell r="K801" t="e">
            <v>#N/A</v>
          </cell>
          <cell r="L801" t="e">
            <v>#N/A</v>
          </cell>
          <cell r="M801" t="e">
            <v>#N/A</v>
          </cell>
          <cell r="N801" t="e">
            <v>#N/A</v>
          </cell>
          <cell r="O801" t="e">
            <v>#N/A</v>
          </cell>
          <cell r="P801">
            <v>71.03</v>
          </cell>
          <cell r="Q801" t="str">
            <v/>
          </cell>
          <cell r="R801" t="e">
            <v>#N/A</v>
          </cell>
        </row>
        <row r="802">
          <cell r="A802">
            <v>40630</v>
          </cell>
          <cell r="B802">
            <v>40630</v>
          </cell>
          <cell r="C802" t="str">
            <v>Future</v>
          </cell>
          <cell r="D802" t="e">
            <v>#N/A</v>
          </cell>
          <cell r="E802">
            <v>2.7964566929131149</v>
          </cell>
          <cell r="F802">
            <v>103.66259842519761</v>
          </cell>
          <cell r="G802">
            <v>55.631102362205063</v>
          </cell>
          <cell r="H802">
            <v>55.631102362205063</v>
          </cell>
          <cell r="I802" t="e">
            <v>#N/A</v>
          </cell>
          <cell r="J802" t="e">
            <v>#N/A</v>
          </cell>
          <cell r="K802" t="e">
            <v>#N/A</v>
          </cell>
          <cell r="L802" t="e">
            <v>#N/A</v>
          </cell>
          <cell r="M802" t="e">
            <v>#N/A</v>
          </cell>
          <cell r="N802" t="e">
            <v>#N/A</v>
          </cell>
          <cell r="O802" t="e">
            <v>#N/A</v>
          </cell>
          <cell r="P802">
            <v>71.03</v>
          </cell>
          <cell r="Q802" t="str">
            <v/>
          </cell>
          <cell r="R802" t="e">
            <v>#N/A</v>
          </cell>
        </row>
        <row r="803">
          <cell r="A803">
            <v>40631</v>
          </cell>
          <cell r="B803">
            <v>40631</v>
          </cell>
          <cell r="C803" t="str">
            <v>Future</v>
          </cell>
          <cell r="D803" t="e">
            <v>#N/A</v>
          </cell>
          <cell r="E803">
            <v>2.5168110236217762</v>
          </cell>
          <cell r="F803">
            <v>103.79633858267793</v>
          </cell>
          <cell r="G803">
            <v>55.567992125984588</v>
          </cell>
          <cell r="H803">
            <v>55.567992125984588</v>
          </cell>
          <cell r="I803" t="e">
            <v>#N/A</v>
          </cell>
          <cell r="J803" t="e">
            <v>#N/A</v>
          </cell>
          <cell r="K803" t="e">
            <v>#N/A</v>
          </cell>
          <cell r="L803" t="e">
            <v>#N/A</v>
          </cell>
          <cell r="M803" t="e">
            <v>#N/A</v>
          </cell>
          <cell r="N803" t="e">
            <v>#N/A</v>
          </cell>
          <cell r="O803" t="e">
            <v>#N/A</v>
          </cell>
          <cell r="P803">
            <v>71.03</v>
          </cell>
          <cell r="Q803" t="str">
            <v/>
          </cell>
          <cell r="R803" t="e">
            <v>#N/A</v>
          </cell>
        </row>
        <row r="804">
          <cell r="A804">
            <v>40632</v>
          </cell>
          <cell r="B804">
            <v>40632</v>
          </cell>
          <cell r="C804" t="str">
            <v>Future</v>
          </cell>
          <cell r="D804" t="e">
            <v>#N/A</v>
          </cell>
          <cell r="E804">
            <v>2.2371653543304375</v>
          </cell>
          <cell r="F804">
            <v>103.93007874015825</v>
          </cell>
          <cell r="G804">
            <v>55.504881889764114</v>
          </cell>
          <cell r="H804">
            <v>55.504881889764114</v>
          </cell>
          <cell r="I804" t="e">
            <v>#N/A</v>
          </cell>
          <cell r="J804" t="e">
            <v>#N/A</v>
          </cell>
          <cell r="K804" t="e">
            <v>#N/A</v>
          </cell>
          <cell r="L804" t="e">
            <v>#N/A</v>
          </cell>
          <cell r="M804" t="e">
            <v>#N/A</v>
          </cell>
          <cell r="N804" t="e">
            <v>#N/A</v>
          </cell>
          <cell r="O804" t="e">
            <v>#N/A</v>
          </cell>
          <cell r="P804">
            <v>71.03</v>
          </cell>
          <cell r="Q804" t="str">
            <v/>
          </cell>
          <cell r="R804" t="e">
            <v>#N/A</v>
          </cell>
        </row>
        <row r="805">
          <cell r="A805">
            <v>40633</v>
          </cell>
          <cell r="B805">
            <v>40633</v>
          </cell>
          <cell r="C805" t="str">
            <v>Future</v>
          </cell>
          <cell r="D805" t="e">
            <v>#N/A</v>
          </cell>
          <cell r="E805">
            <v>1.9575196850390988</v>
          </cell>
          <cell r="F805">
            <v>104.06381889763857</v>
          </cell>
          <cell r="G805">
            <v>55.44177165354364</v>
          </cell>
          <cell r="H805">
            <v>55.44177165354364</v>
          </cell>
          <cell r="I805" t="e">
            <v>#N/A</v>
          </cell>
          <cell r="J805" t="e">
            <v>#N/A</v>
          </cell>
          <cell r="K805" t="e">
            <v>#N/A</v>
          </cell>
          <cell r="L805" t="e">
            <v>#N/A</v>
          </cell>
          <cell r="M805" t="e">
            <v>#N/A</v>
          </cell>
          <cell r="N805" t="e">
            <v>#N/A</v>
          </cell>
          <cell r="O805" t="e">
            <v>#N/A</v>
          </cell>
          <cell r="P805">
            <v>71.03</v>
          </cell>
          <cell r="Q805" t="str">
            <v/>
          </cell>
          <cell r="R805" t="e">
            <v>#N/A</v>
          </cell>
        </row>
        <row r="806">
          <cell r="A806">
            <v>40634</v>
          </cell>
          <cell r="B806">
            <v>40634</v>
          </cell>
          <cell r="C806" t="str">
            <v>Future</v>
          </cell>
          <cell r="D806" t="e">
            <v>#N/A</v>
          </cell>
          <cell r="E806">
            <v>1.6778740157477601</v>
          </cell>
          <cell r="F806">
            <v>104.19755905511889</v>
          </cell>
          <cell r="G806">
            <v>55.378661417323165</v>
          </cell>
          <cell r="H806">
            <v>55.378661417323165</v>
          </cell>
          <cell r="I806" t="e">
            <v>#N/A</v>
          </cell>
          <cell r="J806" t="e">
            <v>#N/A</v>
          </cell>
          <cell r="K806" t="e">
            <v>#N/A</v>
          </cell>
          <cell r="L806" t="e">
            <v>#N/A</v>
          </cell>
          <cell r="M806" t="e">
            <v>#N/A</v>
          </cell>
          <cell r="N806" t="e">
            <v>#N/A</v>
          </cell>
          <cell r="O806" t="e">
            <v>#N/A</v>
          </cell>
          <cell r="P806">
            <v>71.03</v>
          </cell>
          <cell r="Q806" t="str">
            <v/>
          </cell>
          <cell r="R806" t="e">
            <v>#N/A</v>
          </cell>
        </row>
        <row r="807">
          <cell r="A807">
            <v>40637</v>
          </cell>
          <cell r="B807">
            <v>40637</v>
          </cell>
          <cell r="C807" t="str">
            <v>Future</v>
          </cell>
          <cell r="D807" t="e">
            <v>#N/A</v>
          </cell>
          <cell r="E807">
            <v>1.3982283464564214</v>
          </cell>
          <cell r="F807">
            <v>104.33129921259921</v>
          </cell>
          <cell r="G807">
            <v>55.315551181102691</v>
          </cell>
          <cell r="H807">
            <v>55.315551181102691</v>
          </cell>
          <cell r="I807" t="e">
            <v>#N/A</v>
          </cell>
          <cell r="J807" t="e">
            <v>#N/A</v>
          </cell>
          <cell r="K807" t="e">
            <v>#N/A</v>
          </cell>
          <cell r="L807" t="e">
            <v>#N/A</v>
          </cell>
          <cell r="M807" t="e">
            <v>#N/A</v>
          </cell>
          <cell r="N807" t="e">
            <v>#N/A</v>
          </cell>
          <cell r="O807" t="e">
            <v>#N/A</v>
          </cell>
          <cell r="P807">
            <v>71.03</v>
          </cell>
          <cell r="Q807" t="str">
            <v/>
          </cell>
          <cell r="R807" t="e">
            <v>#N/A</v>
          </cell>
        </row>
        <row r="808">
          <cell r="A808">
            <v>40638</v>
          </cell>
          <cell r="B808">
            <v>40638</v>
          </cell>
          <cell r="C808" t="str">
            <v>Future</v>
          </cell>
          <cell r="D808" t="e">
            <v>#N/A</v>
          </cell>
          <cell r="E808">
            <v>1.1185826771650826</v>
          </cell>
          <cell r="F808">
            <v>104.46503937007952</v>
          </cell>
          <cell r="G808">
            <v>55.252440944882217</v>
          </cell>
          <cell r="H808">
            <v>55.252440944882217</v>
          </cell>
          <cell r="I808" t="e">
            <v>#N/A</v>
          </cell>
          <cell r="J808" t="e">
            <v>#N/A</v>
          </cell>
          <cell r="K808" t="e">
            <v>#N/A</v>
          </cell>
          <cell r="L808" t="e">
            <v>#N/A</v>
          </cell>
          <cell r="M808" t="e">
            <v>#N/A</v>
          </cell>
          <cell r="N808" t="e">
            <v>#N/A</v>
          </cell>
          <cell r="O808" t="e">
            <v>#N/A</v>
          </cell>
          <cell r="P808">
            <v>71.03</v>
          </cell>
          <cell r="Q808" t="str">
            <v/>
          </cell>
          <cell r="R808" t="e">
            <v>#N/A</v>
          </cell>
        </row>
        <row r="809">
          <cell r="A809">
            <v>40639</v>
          </cell>
          <cell r="B809">
            <v>40639</v>
          </cell>
          <cell r="C809" t="str">
            <v>Future</v>
          </cell>
          <cell r="D809" t="e">
            <v>#N/A</v>
          </cell>
          <cell r="E809">
            <v>0.83893700787374403</v>
          </cell>
          <cell r="F809">
            <v>104.59877952755984</v>
          </cell>
          <cell r="G809">
            <v>55.189330708661743</v>
          </cell>
          <cell r="H809">
            <v>55.189330708661743</v>
          </cell>
          <cell r="I809" t="e">
            <v>#N/A</v>
          </cell>
          <cell r="J809" t="e">
            <v>#N/A</v>
          </cell>
          <cell r="K809" t="e">
            <v>#N/A</v>
          </cell>
          <cell r="L809" t="e">
            <v>#N/A</v>
          </cell>
          <cell r="M809" t="e">
            <v>#N/A</v>
          </cell>
          <cell r="N809" t="e">
            <v>#N/A</v>
          </cell>
          <cell r="O809" t="e">
            <v>#N/A</v>
          </cell>
          <cell r="P809">
            <v>71.03</v>
          </cell>
          <cell r="Q809" t="str">
            <v/>
          </cell>
          <cell r="R809" t="e">
            <v>#N/A</v>
          </cell>
        </row>
        <row r="810">
          <cell r="A810">
            <v>40640</v>
          </cell>
          <cell r="B810">
            <v>40640</v>
          </cell>
          <cell r="C810" t="str">
            <v>Future</v>
          </cell>
          <cell r="D810" t="e">
            <v>#N/A</v>
          </cell>
          <cell r="E810">
            <v>0.55929133858240543</v>
          </cell>
          <cell r="F810">
            <v>104.73251968504016</v>
          </cell>
          <cell r="G810">
            <v>55.126220472441268</v>
          </cell>
          <cell r="H810">
            <v>55.126220472441268</v>
          </cell>
          <cell r="I810" t="e">
            <v>#N/A</v>
          </cell>
          <cell r="J810" t="e">
            <v>#N/A</v>
          </cell>
          <cell r="K810" t="e">
            <v>#N/A</v>
          </cell>
          <cell r="L810" t="e">
            <v>#N/A</v>
          </cell>
          <cell r="M810" t="e">
            <v>#N/A</v>
          </cell>
          <cell r="N810" t="e">
            <v>#N/A</v>
          </cell>
          <cell r="O810" t="e">
            <v>#N/A</v>
          </cell>
          <cell r="P810">
            <v>71.03</v>
          </cell>
          <cell r="Q810" t="str">
            <v/>
          </cell>
          <cell r="R810" t="e">
            <v>#N/A</v>
          </cell>
        </row>
        <row r="811">
          <cell r="A811">
            <v>40641</v>
          </cell>
          <cell r="B811">
            <v>40641</v>
          </cell>
          <cell r="C811" t="str">
            <v>Future</v>
          </cell>
          <cell r="D811" t="e">
            <v>#N/A</v>
          </cell>
          <cell r="E811">
            <v>0.27964566929106682</v>
          </cell>
          <cell r="F811">
            <v>104.86625984252048</v>
          </cell>
          <cell r="G811">
            <v>55.063110236220794</v>
          </cell>
          <cell r="H811">
            <v>55.063110236220794</v>
          </cell>
          <cell r="I811" t="e">
            <v>#N/A</v>
          </cell>
          <cell r="J811" t="e">
            <v>#N/A</v>
          </cell>
          <cell r="K811">
            <v>105</v>
          </cell>
          <cell r="L811">
            <v>55</v>
          </cell>
          <cell r="M811" t="e">
            <v>#N/A</v>
          </cell>
          <cell r="N811">
            <v>90</v>
          </cell>
          <cell r="O811" t="e">
            <v>#N/A</v>
          </cell>
          <cell r="P811">
            <v>71.03</v>
          </cell>
          <cell r="Q811" t="str">
            <v/>
          </cell>
          <cell r="R811">
            <v>90</v>
          </cell>
        </row>
        <row r="812">
          <cell r="A812" t="str">
            <v/>
          </cell>
          <cell r="B812" t="str">
            <v/>
          </cell>
          <cell r="C812" t="str">
            <v>Future</v>
          </cell>
          <cell r="D812" t="e">
            <v>#N/A</v>
          </cell>
          <cell r="E812">
            <v>-2.7178259642823832E-13</v>
          </cell>
          <cell r="F812">
            <v>105.0000000000008</v>
          </cell>
          <cell r="G812">
            <v>55.00000000000032</v>
          </cell>
          <cell r="H812">
            <v>55.00000000000032</v>
          </cell>
          <cell r="I812" t="e">
            <v>#N/A</v>
          </cell>
          <cell r="J812" t="e">
            <v>#N/A</v>
          </cell>
          <cell r="K812">
            <v>105</v>
          </cell>
          <cell r="L812">
            <v>55</v>
          </cell>
          <cell r="M812" t="e">
            <v>#N/A</v>
          </cell>
          <cell r="N812">
            <v>90</v>
          </cell>
          <cell r="O812" t="e">
            <v>#N/A</v>
          </cell>
          <cell r="P812" t="str">
            <v/>
          </cell>
          <cell r="Q812" t="str">
            <v/>
          </cell>
          <cell r="R812">
            <v>90</v>
          </cell>
        </row>
        <row r="813">
          <cell r="A813" t="str">
            <v/>
          </cell>
          <cell r="B813" t="str">
            <v/>
          </cell>
          <cell r="C813" t="str">
            <v>Future</v>
          </cell>
          <cell r="D813" t="e">
            <v>#N/A</v>
          </cell>
          <cell r="E813">
            <v>-0.27964566929161039</v>
          </cell>
          <cell r="F813">
            <v>105.13374015748111</v>
          </cell>
          <cell r="G813">
            <v>54.936889763779845</v>
          </cell>
          <cell r="H813">
            <v>54.936889763779845</v>
          </cell>
          <cell r="I813" t="e">
            <v>#N/A</v>
          </cell>
          <cell r="J813" t="e">
            <v>#N/A</v>
          </cell>
          <cell r="K813">
            <v>105</v>
          </cell>
          <cell r="L813">
            <v>55</v>
          </cell>
          <cell r="M813" t="e">
            <v>#N/A</v>
          </cell>
          <cell r="N813">
            <v>90</v>
          </cell>
          <cell r="O813" t="e">
            <v>#N/A</v>
          </cell>
          <cell r="P813" t="str">
            <v/>
          </cell>
          <cell r="Q813" t="str">
            <v/>
          </cell>
          <cell r="R813">
            <v>90</v>
          </cell>
        </row>
        <row r="814">
          <cell r="A814" t="str">
            <v/>
          </cell>
          <cell r="B814" t="str">
            <v/>
          </cell>
          <cell r="C814" t="str">
            <v>Future</v>
          </cell>
          <cell r="D814" t="e">
            <v>#N/A</v>
          </cell>
          <cell r="E814">
            <v>-0.55929133858294899</v>
          </cell>
          <cell r="F814">
            <v>105.26748031496143</v>
          </cell>
          <cell r="G814">
            <v>54.873779527559371</v>
          </cell>
          <cell r="H814">
            <v>54.873779527559371</v>
          </cell>
          <cell r="I814" t="e">
            <v>#N/A</v>
          </cell>
          <cell r="J814" t="e">
            <v>#N/A</v>
          </cell>
          <cell r="K814">
            <v>105</v>
          </cell>
          <cell r="L814">
            <v>55</v>
          </cell>
          <cell r="M814" t="e">
            <v>#N/A</v>
          </cell>
          <cell r="N814">
            <v>90</v>
          </cell>
          <cell r="O814" t="e">
            <v>#N/A</v>
          </cell>
          <cell r="P814" t="str">
            <v/>
          </cell>
          <cell r="Q814" t="str">
            <v/>
          </cell>
          <cell r="R814">
            <v>90</v>
          </cell>
        </row>
        <row r="815">
          <cell r="A815" t="str">
            <v/>
          </cell>
          <cell r="B815" t="str">
            <v/>
          </cell>
          <cell r="C815" t="str">
            <v>Future</v>
          </cell>
          <cell r="D815" t="e">
            <v>#N/A</v>
          </cell>
          <cell r="E815">
            <v>-0.8389370078742876</v>
          </cell>
          <cell r="F815">
            <v>105.40122047244175</v>
          </cell>
          <cell r="G815">
            <v>54.810669291338897</v>
          </cell>
          <cell r="H815">
            <v>54.810669291338897</v>
          </cell>
          <cell r="I815" t="e">
            <v>#N/A</v>
          </cell>
          <cell r="J815" t="e">
            <v>#N/A</v>
          </cell>
          <cell r="K815">
            <v>105</v>
          </cell>
          <cell r="L815">
            <v>55</v>
          </cell>
          <cell r="M815" t="e">
            <v>#N/A</v>
          </cell>
          <cell r="N815">
            <v>90</v>
          </cell>
          <cell r="O815" t="e">
            <v>#N/A</v>
          </cell>
          <cell r="P815" t="str">
            <v/>
          </cell>
          <cell r="Q815" t="str">
            <v/>
          </cell>
          <cell r="R815">
            <v>90</v>
          </cell>
        </row>
        <row r="816">
          <cell r="A816" t="str">
            <v/>
          </cell>
          <cell r="B816" t="str">
            <v/>
          </cell>
          <cell r="C816" t="str">
            <v>Future</v>
          </cell>
          <cell r="D816" t="e">
            <v>#N/A</v>
          </cell>
          <cell r="E816">
            <v>-1.1185826771656262</v>
          </cell>
          <cell r="F816">
            <v>105.53496062992207</v>
          </cell>
          <cell r="G816">
            <v>54.747559055118423</v>
          </cell>
          <cell r="H816">
            <v>54.747559055118423</v>
          </cell>
          <cell r="I816" t="e">
            <v>#N/A</v>
          </cell>
          <cell r="J816" t="e">
            <v>#N/A</v>
          </cell>
          <cell r="K816">
            <v>105</v>
          </cell>
          <cell r="L816">
            <v>55</v>
          </cell>
          <cell r="M816" t="e">
            <v>#N/A</v>
          </cell>
          <cell r="N816">
            <v>90</v>
          </cell>
          <cell r="O816" t="e">
            <v>#N/A</v>
          </cell>
          <cell r="P816" t="str">
            <v/>
          </cell>
          <cell r="Q816" t="str">
            <v/>
          </cell>
          <cell r="R816">
            <v>90</v>
          </cell>
        </row>
        <row r="817">
          <cell r="A817" t="str">
            <v/>
          </cell>
          <cell r="B817" t="str">
            <v/>
          </cell>
          <cell r="C817" t="str">
            <v>Future</v>
          </cell>
          <cell r="D817" t="e">
            <v>#N/A</v>
          </cell>
          <cell r="E817">
            <v>-1.3982283464569649</v>
          </cell>
          <cell r="F817">
            <v>105.66870078740239</v>
          </cell>
          <cell r="G817">
            <v>54.684448818897948</v>
          </cell>
          <cell r="H817">
            <v>54.684448818897948</v>
          </cell>
          <cell r="I817" t="e">
            <v>#N/A</v>
          </cell>
          <cell r="J817" t="e">
            <v>#N/A</v>
          </cell>
          <cell r="K817">
            <v>105</v>
          </cell>
          <cell r="L817">
            <v>55</v>
          </cell>
          <cell r="M817" t="e">
            <v>#N/A</v>
          </cell>
          <cell r="N817">
            <v>90</v>
          </cell>
          <cell r="O817" t="e">
            <v>#N/A</v>
          </cell>
          <cell r="P817" t="str">
            <v/>
          </cell>
          <cell r="Q817" t="str">
            <v/>
          </cell>
          <cell r="R817">
            <v>90</v>
          </cell>
        </row>
        <row r="818">
          <cell r="A818" t="str">
            <v/>
          </cell>
          <cell r="B818" t="str">
            <v/>
          </cell>
          <cell r="C818" t="str">
            <v>Future</v>
          </cell>
          <cell r="D818" t="e">
            <v>#N/A</v>
          </cell>
          <cell r="E818">
            <v>-1.6778740157483036</v>
          </cell>
          <cell r="F818">
            <v>105.8024409448827</v>
          </cell>
          <cell r="G818">
            <v>54.621338582677474</v>
          </cell>
          <cell r="H818">
            <v>54.621338582677474</v>
          </cell>
          <cell r="I818" t="e">
            <v>#N/A</v>
          </cell>
          <cell r="J818" t="e">
            <v>#N/A</v>
          </cell>
          <cell r="K818">
            <v>105</v>
          </cell>
          <cell r="L818">
            <v>55</v>
          </cell>
          <cell r="M818" t="e">
            <v>#N/A</v>
          </cell>
          <cell r="N818">
            <v>90</v>
          </cell>
          <cell r="O818" t="e">
            <v>#N/A</v>
          </cell>
          <cell r="P818" t="str">
            <v/>
          </cell>
          <cell r="Q818" t="str">
            <v/>
          </cell>
          <cell r="R818">
            <v>90</v>
          </cell>
        </row>
        <row r="819">
          <cell r="A819" t="str">
            <v/>
          </cell>
          <cell r="B819" t="str">
            <v/>
          </cell>
          <cell r="C819" t="str">
            <v>Future</v>
          </cell>
          <cell r="D819" t="e">
            <v>#N/A</v>
          </cell>
          <cell r="E819">
            <v>-1.9575196850396424</v>
          </cell>
          <cell r="F819">
            <v>105.93618110236302</v>
          </cell>
          <cell r="G819">
            <v>54.558228346457</v>
          </cell>
          <cell r="H819">
            <v>54.558228346457</v>
          </cell>
          <cell r="I819" t="e">
            <v>#N/A</v>
          </cell>
          <cell r="J819" t="e">
            <v>#N/A</v>
          </cell>
          <cell r="K819">
            <v>105</v>
          </cell>
          <cell r="L819">
            <v>55</v>
          </cell>
          <cell r="M819" t="e">
            <v>#N/A</v>
          </cell>
          <cell r="N819">
            <v>90</v>
          </cell>
          <cell r="O819" t="e">
            <v>#N/A</v>
          </cell>
          <cell r="P819" t="str">
            <v/>
          </cell>
          <cell r="Q819" t="str">
            <v/>
          </cell>
          <cell r="R819">
            <v>90</v>
          </cell>
        </row>
        <row r="820">
          <cell r="A820" t="str">
            <v/>
          </cell>
          <cell r="B820" t="str">
            <v/>
          </cell>
          <cell r="C820" t="str">
            <v>Future</v>
          </cell>
          <cell r="D820" t="e">
            <v>#N/A</v>
          </cell>
          <cell r="E820">
            <v>-2.2371653543309811</v>
          </cell>
          <cell r="F820">
            <v>106.06992125984334</v>
          </cell>
          <cell r="G820">
            <v>54.495118110236525</v>
          </cell>
          <cell r="H820">
            <v>54.495118110236525</v>
          </cell>
          <cell r="I820" t="e">
            <v>#N/A</v>
          </cell>
          <cell r="J820" t="e">
            <v>#N/A</v>
          </cell>
          <cell r="K820">
            <v>105</v>
          </cell>
          <cell r="L820">
            <v>55</v>
          </cell>
          <cell r="M820" t="e">
            <v>#N/A</v>
          </cell>
          <cell r="N820">
            <v>90</v>
          </cell>
          <cell r="O820" t="e">
            <v>#N/A</v>
          </cell>
          <cell r="P820" t="str">
            <v/>
          </cell>
          <cell r="Q820" t="str">
            <v/>
          </cell>
          <cell r="R820">
            <v>90</v>
          </cell>
        </row>
        <row r="821">
          <cell r="A821" t="str">
            <v/>
          </cell>
          <cell r="B821" t="str">
            <v/>
          </cell>
          <cell r="C821" t="str">
            <v>Future</v>
          </cell>
          <cell r="D821" t="e">
            <v>#N/A</v>
          </cell>
          <cell r="E821">
            <v>-2.5168110236223198</v>
          </cell>
          <cell r="F821">
            <v>106.20366141732366</v>
          </cell>
          <cell r="G821">
            <v>54.432007874016051</v>
          </cell>
          <cell r="H821">
            <v>54.432007874016051</v>
          </cell>
          <cell r="I821" t="e">
            <v>#N/A</v>
          </cell>
          <cell r="J821" t="e">
            <v>#N/A</v>
          </cell>
          <cell r="K821">
            <v>105</v>
          </cell>
          <cell r="L821">
            <v>55</v>
          </cell>
          <cell r="M821" t="e">
            <v>#N/A</v>
          </cell>
          <cell r="N821">
            <v>90</v>
          </cell>
          <cell r="O821" t="e">
            <v>#N/A</v>
          </cell>
          <cell r="P821" t="str">
            <v/>
          </cell>
          <cell r="Q821" t="str">
            <v/>
          </cell>
          <cell r="R821">
            <v>90</v>
          </cell>
        </row>
        <row r="822">
          <cell r="A822" t="str">
            <v/>
          </cell>
          <cell r="B822" t="str">
            <v/>
          </cell>
          <cell r="C822" t="str">
            <v>Future</v>
          </cell>
          <cell r="D822" t="e">
            <v>#N/A</v>
          </cell>
          <cell r="E822">
            <v>-2.7964566929136585</v>
          </cell>
          <cell r="F822">
            <v>106.33740157480398</v>
          </cell>
          <cell r="G822">
            <v>54.368897637795577</v>
          </cell>
          <cell r="H822">
            <v>54.368897637795577</v>
          </cell>
          <cell r="I822" t="e">
            <v>#N/A</v>
          </cell>
          <cell r="J822" t="e">
            <v>#N/A</v>
          </cell>
          <cell r="K822">
            <v>105</v>
          </cell>
          <cell r="L822">
            <v>55</v>
          </cell>
          <cell r="M822" t="e">
            <v>#N/A</v>
          </cell>
          <cell r="N822">
            <v>90</v>
          </cell>
          <cell r="O822" t="e">
            <v>#N/A</v>
          </cell>
          <cell r="P822" t="str">
            <v/>
          </cell>
          <cell r="Q822" t="str">
            <v/>
          </cell>
          <cell r="R822">
            <v>90</v>
          </cell>
        </row>
        <row r="823">
          <cell r="A823" t="str">
            <v/>
          </cell>
          <cell r="B823" t="str">
            <v/>
          </cell>
          <cell r="C823" t="str">
            <v>Future</v>
          </cell>
          <cell r="D823" t="e">
            <v>#N/A</v>
          </cell>
          <cell r="E823">
            <v>-3.0761023622049972</v>
          </cell>
          <cell r="F823">
            <v>106.47114173228429</v>
          </cell>
          <cell r="G823">
            <v>54.305787401575103</v>
          </cell>
          <cell r="H823">
            <v>54.305787401575103</v>
          </cell>
          <cell r="I823" t="e">
            <v>#N/A</v>
          </cell>
          <cell r="J823" t="e">
            <v>#N/A</v>
          </cell>
          <cell r="K823">
            <v>105</v>
          </cell>
          <cell r="L823">
            <v>55</v>
          </cell>
          <cell r="M823" t="e">
            <v>#N/A</v>
          </cell>
          <cell r="N823">
            <v>90</v>
          </cell>
          <cell r="O823" t="e">
            <v>#N/A</v>
          </cell>
          <cell r="P823" t="str">
            <v/>
          </cell>
          <cell r="Q823" t="str">
            <v/>
          </cell>
          <cell r="R823">
            <v>90</v>
          </cell>
        </row>
        <row r="824">
          <cell r="A824" t="str">
            <v/>
          </cell>
          <cell r="B824" t="str">
            <v/>
          </cell>
          <cell r="C824" t="str">
            <v>Future</v>
          </cell>
          <cell r="D824" t="e">
            <v>#N/A</v>
          </cell>
          <cell r="E824">
            <v>-3.3557480314963359</v>
          </cell>
          <cell r="F824">
            <v>106.60488188976461</v>
          </cell>
          <cell r="G824">
            <v>54.242677165354628</v>
          </cell>
          <cell r="H824">
            <v>54.242677165354628</v>
          </cell>
          <cell r="I824" t="e">
            <v>#N/A</v>
          </cell>
          <cell r="J824" t="e">
            <v>#N/A</v>
          </cell>
          <cell r="K824">
            <v>105</v>
          </cell>
          <cell r="L824">
            <v>55</v>
          </cell>
          <cell r="M824" t="e">
            <v>#N/A</v>
          </cell>
          <cell r="N824">
            <v>90</v>
          </cell>
          <cell r="O824" t="e">
            <v>#N/A</v>
          </cell>
          <cell r="P824" t="str">
            <v/>
          </cell>
          <cell r="Q824" t="str">
            <v/>
          </cell>
          <cell r="R824">
            <v>90</v>
          </cell>
        </row>
        <row r="825">
          <cell r="A825" t="str">
            <v/>
          </cell>
          <cell r="B825" t="str">
            <v/>
          </cell>
          <cell r="C825" t="str">
            <v>Future</v>
          </cell>
          <cell r="D825" t="e">
            <v>#N/A</v>
          </cell>
          <cell r="E825">
            <v>-3.6353937007876747</v>
          </cell>
          <cell r="F825">
            <v>106.73862204724493</v>
          </cell>
          <cell r="G825">
            <v>54.179566929134154</v>
          </cell>
          <cell r="H825">
            <v>54.179566929134154</v>
          </cell>
          <cell r="I825" t="e">
            <v>#N/A</v>
          </cell>
          <cell r="J825" t="e">
            <v>#N/A</v>
          </cell>
          <cell r="K825">
            <v>105</v>
          </cell>
          <cell r="L825">
            <v>55</v>
          </cell>
          <cell r="M825" t="e">
            <v>#N/A</v>
          </cell>
          <cell r="N825">
            <v>90</v>
          </cell>
          <cell r="O825" t="e">
            <v>#N/A</v>
          </cell>
          <cell r="P825" t="str">
            <v/>
          </cell>
          <cell r="Q825" t="str">
            <v/>
          </cell>
          <cell r="R825">
            <v>90</v>
          </cell>
        </row>
        <row r="826">
          <cell r="A826" t="str">
            <v/>
          </cell>
          <cell r="B826" t="str">
            <v/>
          </cell>
          <cell r="C826" t="str">
            <v>Future</v>
          </cell>
          <cell r="D826" t="e">
            <v>#N/A</v>
          </cell>
          <cell r="E826">
            <v>-3.9150393700790134</v>
          </cell>
          <cell r="F826">
            <v>106.87236220472525</v>
          </cell>
          <cell r="G826">
            <v>54.11645669291368</v>
          </cell>
          <cell r="H826">
            <v>54.11645669291368</v>
          </cell>
          <cell r="I826" t="e">
            <v>#N/A</v>
          </cell>
          <cell r="J826" t="e">
            <v>#N/A</v>
          </cell>
          <cell r="K826">
            <v>105</v>
          </cell>
          <cell r="L826">
            <v>55</v>
          </cell>
          <cell r="M826" t="e">
            <v>#N/A</v>
          </cell>
          <cell r="N826">
            <v>90</v>
          </cell>
          <cell r="O826" t="e">
            <v>#N/A</v>
          </cell>
          <cell r="P826" t="str">
            <v/>
          </cell>
          <cell r="Q826" t="str">
            <v/>
          </cell>
          <cell r="R826">
            <v>90</v>
          </cell>
        </row>
        <row r="827">
          <cell r="A827" t="str">
            <v/>
          </cell>
          <cell r="B827" t="str">
            <v/>
          </cell>
          <cell r="C827" t="str">
            <v>Future</v>
          </cell>
          <cell r="D827" t="e">
            <v>#N/A</v>
          </cell>
          <cell r="E827">
            <v>-4.1946850393703521</v>
          </cell>
          <cell r="F827">
            <v>107.00610236220557</v>
          </cell>
          <cell r="G827">
            <v>54.053346456693205</v>
          </cell>
          <cell r="H827">
            <v>54.053346456693205</v>
          </cell>
          <cell r="I827" t="e">
            <v>#N/A</v>
          </cell>
          <cell r="J827" t="e">
            <v>#N/A</v>
          </cell>
          <cell r="K827">
            <v>105</v>
          </cell>
          <cell r="L827">
            <v>55</v>
          </cell>
          <cell r="M827" t="e">
            <v>#N/A</v>
          </cell>
          <cell r="N827">
            <v>90</v>
          </cell>
          <cell r="O827" t="e">
            <v>#N/A</v>
          </cell>
          <cell r="P827" t="str">
            <v/>
          </cell>
          <cell r="Q827" t="str">
            <v/>
          </cell>
          <cell r="R827">
            <v>90</v>
          </cell>
        </row>
        <row r="828">
          <cell r="A828" t="str">
            <v/>
          </cell>
          <cell r="B828" t="str">
            <v/>
          </cell>
          <cell r="C828" t="str">
            <v>Future</v>
          </cell>
          <cell r="D828" t="e">
            <v>#N/A</v>
          </cell>
          <cell r="E828">
            <v>-4.4743307086616904</v>
          </cell>
          <cell r="F828">
            <v>107.13984251968589</v>
          </cell>
          <cell r="G828">
            <v>53.990236220472731</v>
          </cell>
          <cell r="H828">
            <v>53.990236220472731</v>
          </cell>
          <cell r="I828" t="e">
            <v>#N/A</v>
          </cell>
          <cell r="J828" t="e">
            <v>#N/A</v>
          </cell>
          <cell r="K828">
            <v>105</v>
          </cell>
          <cell r="L828">
            <v>55</v>
          </cell>
          <cell r="M828" t="e">
            <v>#N/A</v>
          </cell>
          <cell r="N828">
            <v>90</v>
          </cell>
          <cell r="O828" t="e">
            <v>#N/A</v>
          </cell>
          <cell r="P828" t="str">
            <v/>
          </cell>
          <cell r="Q828" t="str">
            <v/>
          </cell>
          <cell r="R828">
            <v>90</v>
          </cell>
        </row>
        <row r="829">
          <cell r="A829" t="str">
            <v/>
          </cell>
          <cell r="B829" t="str">
            <v/>
          </cell>
          <cell r="C829" t="str">
            <v>Future</v>
          </cell>
          <cell r="D829" t="e">
            <v>#N/A</v>
          </cell>
          <cell r="E829">
            <v>-4.7539763779530286</v>
          </cell>
          <cell r="F829">
            <v>107.2735826771662</v>
          </cell>
          <cell r="G829">
            <v>53.927125984252257</v>
          </cell>
          <cell r="H829">
            <v>53.927125984252257</v>
          </cell>
          <cell r="I829" t="e">
            <v>#N/A</v>
          </cell>
          <cell r="J829" t="e">
            <v>#N/A</v>
          </cell>
          <cell r="K829">
            <v>105</v>
          </cell>
          <cell r="L829">
            <v>55</v>
          </cell>
          <cell r="M829" t="e">
            <v>#N/A</v>
          </cell>
          <cell r="N829">
            <v>90</v>
          </cell>
          <cell r="O829" t="e">
            <v>#N/A</v>
          </cell>
          <cell r="P829" t="str">
            <v/>
          </cell>
          <cell r="Q829" t="str">
            <v/>
          </cell>
          <cell r="R829">
            <v>90</v>
          </cell>
        </row>
        <row r="830">
          <cell r="A830" t="str">
            <v/>
          </cell>
          <cell r="B830" t="str">
            <v/>
          </cell>
          <cell r="C830" t="str">
            <v>Future</v>
          </cell>
          <cell r="D830" t="e">
            <v>#N/A</v>
          </cell>
          <cell r="E830">
            <v>-5.0336220472443669</v>
          </cell>
          <cell r="F830">
            <v>107.40732283464652</v>
          </cell>
          <cell r="G830">
            <v>53.864015748031782</v>
          </cell>
          <cell r="H830">
            <v>53.864015748031782</v>
          </cell>
          <cell r="I830" t="e">
            <v>#N/A</v>
          </cell>
          <cell r="J830" t="e">
            <v>#N/A</v>
          </cell>
          <cell r="K830">
            <v>105</v>
          </cell>
          <cell r="L830">
            <v>55</v>
          </cell>
          <cell r="M830" t="e">
            <v>#N/A</v>
          </cell>
          <cell r="N830">
            <v>90</v>
          </cell>
          <cell r="O830" t="e">
            <v>#N/A</v>
          </cell>
          <cell r="P830" t="str">
            <v/>
          </cell>
          <cell r="Q830" t="str">
            <v/>
          </cell>
          <cell r="R830">
            <v>90</v>
          </cell>
        </row>
        <row r="831">
          <cell r="A831" t="str">
            <v/>
          </cell>
          <cell r="B831" t="str">
            <v/>
          </cell>
          <cell r="C831" t="str">
            <v>Future</v>
          </cell>
          <cell r="D831" t="e">
            <v>#N/A</v>
          </cell>
          <cell r="E831">
            <v>-5.3132677165357052</v>
          </cell>
          <cell r="F831">
            <v>107.54106299212684</v>
          </cell>
          <cell r="G831">
            <v>53.800905511811308</v>
          </cell>
          <cell r="H831">
            <v>53.800905511811308</v>
          </cell>
          <cell r="I831" t="e">
            <v>#N/A</v>
          </cell>
          <cell r="J831" t="e">
            <v>#N/A</v>
          </cell>
          <cell r="K831">
            <v>105</v>
          </cell>
          <cell r="L831">
            <v>55</v>
          </cell>
          <cell r="M831" t="e">
            <v>#N/A</v>
          </cell>
          <cell r="N831">
            <v>90</v>
          </cell>
          <cell r="O831" t="e">
            <v>#N/A</v>
          </cell>
          <cell r="P831" t="str">
            <v/>
          </cell>
          <cell r="Q831" t="str">
            <v/>
          </cell>
          <cell r="R831">
            <v>90</v>
          </cell>
        </row>
        <row r="832">
          <cell r="A832" t="str">
            <v/>
          </cell>
          <cell r="B832" t="str">
            <v/>
          </cell>
          <cell r="C832" t="str">
            <v>Future</v>
          </cell>
          <cell r="D832" t="e">
            <v>#N/A</v>
          </cell>
          <cell r="E832">
            <v>-5.5929133858270434</v>
          </cell>
          <cell r="F832">
            <v>107.67480314960716</v>
          </cell>
          <cell r="G832">
            <v>53.737795275590834</v>
          </cell>
          <cell r="H832">
            <v>53.737795275590834</v>
          </cell>
          <cell r="I832" t="e">
            <v>#N/A</v>
          </cell>
          <cell r="J832" t="e">
            <v>#N/A</v>
          </cell>
          <cell r="K832">
            <v>105</v>
          </cell>
          <cell r="L832">
            <v>55</v>
          </cell>
          <cell r="M832" t="e">
            <v>#N/A</v>
          </cell>
          <cell r="N832">
            <v>90</v>
          </cell>
          <cell r="O832" t="e">
            <v>#N/A</v>
          </cell>
          <cell r="P832" t="str">
            <v/>
          </cell>
          <cell r="Q832" t="str">
            <v/>
          </cell>
          <cell r="R832">
            <v>90</v>
          </cell>
        </row>
        <row r="833">
          <cell r="A833" t="str">
            <v/>
          </cell>
          <cell r="B833" t="str">
            <v/>
          </cell>
          <cell r="C833" t="str">
            <v>Future</v>
          </cell>
          <cell r="D833" t="e">
            <v>#N/A</v>
          </cell>
          <cell r="E833">
            <v>-5.8725590551183817</v>
          </cell>
          <cell r="F833">
            <v>107.80854330708748</v>
          </cell>
          <cell r="G833">
            <v>53.67468503937036</v>
          </cell>
          <cell r="H833">
            <v>53.67468503937036</v>
          </cell>
          <cell r="I833" t="e">
            <v>#N/A</v>
          </cell>
          <cell r="J833" t="e">
            <v>#N/A</v>
          </cell>
          <cell r="K833">
            <v>105</v>
          </cell>
          <cell r="L833">
            <v>55</v>
          </cell>
          <cell r="M833" t="e">
            <v>#N/A</v>
          </cell>
          <cell r="N833">
            <v>90</v>
          </cell>
          <cell r="O833" t="e">
            <v>#N/A</v>
          </cell>
          <cell r="P833" t="str">
            <v/>
          </cell>
          <cell r="Q833" t="str">
            <v/>
          </cell>
          <cell r="R833">
            <v>90</v>
          </cell>
        </row>
        <row r="834">
          <cell r="A834" t="str">
            <v/>
          </cell>
          <cell r="B834" t="str">
            <v/>
          </cell>
          <cell r="C834" t="str">
            <v>Future</v>
          </cell>
          <cell r="D834" t="e">
            <v>#N/A</v>
          </cell>
          <cell r="E834">
            <v>-6.15220472440972</v>
          </cell>
          <cell r="F834">
            <v>107.94228346456779</v>
          </cell>
          <cell r="G834">
            <v>53.611574803149885</v>
          </cell>
          <cell r="H834">
            <v>53.611574803149885</v>
          </cell>
          <cell r="I834" t="e">
            <v>#N/A</v>
          </cell>
          <cell r="J834" t="e">
            <v>#N/A</v>
          </cell>
          <cell r="K834">
            <v>105</v>
          </cell>
          <cell r="L834">
            <v>55</v>
          </cell>
          <cell r="M834" t="e">
            <v>#N/A</v>
          </cell>
          <cell r="N834">
            <v>90</v>
          </cell>
          <cell r="O834" t="e">
            <v>#N/A</v>
          </cell>
          <cell r="P834" t="str">
            <v/>
          </cell>
          <cell r="Q834" t="str">
            <v/>
          </cell>
          <cell r="R834">
            <v>90</v>
          </cell>
        </row>
        <row r="835">
          <cell r="A835" t="str">
            <v/>
          </cell>
          <cell r="B835" t="str">
            <v/>
          </cell>
          <cell r="C835" t="str">
            <v>Future</v>
          </cell>
          <cell r="D835" t="e">
            <v>#N/A</v>
          </cell>
          <cell r="E835">
            <v>-6.4318503937010583</v>
          </cell>
          <cell r="F835">
            <v>108.07602362204811</v>
          </cell>
          <cell r="G835">
            <v>53.548464566929411</v>
          </cell>
          <cell r="H835">
            <v>53.548464566929411</v>
          </cell>
          <cell r="I835" t="e">
            <v>#N/A</v>
          </cell>
          <cell r="J835" t="e">
            <v>#N/A</v>
          </cell>
          <cell r="K835">
            <v>105</v>
          </cell>
          <cell r="L835">
            <v>55</v>
          </cell>
          <cell r="M835" t="e">
            <v>#N/A</v>
          </cell>
          <cell r="N835">
            <v>90</v>
          </cell>
          <cell r="O835" t="e">
            <v>#N/A</v>
          </cell>
          <cell r="P835" t="str">
            <v/>
          </cell>
          <cell r="Q835" t="str">
            <v/>
          </cell>
          <cell r="R835">
            <v>90</v>
          </cell>
        </row>
        <row r="836">
          <cell r="A836" t="str">
            <v/>
          </cell>
          <cell r="B836" t="str">
            <v/>
          </cell>
          <cell r="C836" t="str">
            <v>Future</v>
          </cell>
          <cell r="D836" t="e">
            <v>#N/A</v>
          </cell>
          <cell r="E836">
            <v>-6.7114960629923965</v>
          </cell>
          <cell r="F836">
            <v>108.20976377952843</v>
          </cell>
          <cell r="G836">
            <v>53.485354330708937</v>
          </cell>
          <cell r="H836">
            <v>53.485354330708937</v>
          </cell>
          <cell r="I836" t="e">
            <v>#N/A</v>
          </cell>
          <cell r="J836" t="e">
            <v>#N/A</v>
          </cell>
          <cell r="K836">
            <v>105</v>
          </cell>
          <cell r="L836">
            <v>55</v>
          </cell>
          <cell r="M836" t="e">
            <v>#N/A</v>
          </cell>
          <cell r="N836">
            <v>90</v>
          </cell>
          <cell r="O836" t="e">
            <v>#N/A</v>
          </cell>
          <cell r="P836" t="str">
            <v/>
          </cell>
          <cell r="Q836" t="str">
            <v/>
          </cell>
          <cell r="R836">
            <v>90</v>
          </cell>
        </row>
        <row r="837">
          <cell r="A837" t="str">
            <v/>
          </cell>
          <cell r="B837" t="str">
            <v/>
          </cell>
          <cell r="C837" t="str">
            <v>Future</v>
          </cell>
          <cell r="D837" t="e">
            <v>#N/A</v>
          </cell>
          <cell r="E837">
            <v>-6.9911417322837348</v>
          </cell>
          <cell r="F837">
            <v>108.34350393700875</v>
          </cell>
          <cell r="G837">
            <v>53.422244094488462</v>
          </cell>
          <cell r="H837">
            <v>53.422244094488462</v>
          </cell>
          <cell r="I837" t="e">
            <v>#N/A</v>
          </cell>
          <cell r="J837" t="e">
            <v>#N/A</v>
          </cell>
          <cell r="K837">
            <v>105</v>
          </cell>
          <cell r="L837">
            <v>55</v>
          </cell>
          <cell r="M837" t="e">
            <v>#N/A</v>
          </cell>
          <cell r="N837">
            <v>90</v>
          </cell>
          <cell r="O837" t="e">
            <v>#N/A</v>
          </cell>
          <cell r="P837" t="str">
            <v/>
          </cell>
          <cell r="Q837" t="str">
            <v/>
          </cell>
          <cell r="R837">
            <v>90</v>
          </cell>
        </row>
        <row r="838">
          <cell r="A838" t="str">
            <v/>
          </cell>
          <cell r="B838" t="str">
            <v/>
          </cell>
          <cell r="C838" t="str">
            <v>Future</v>
          </cell>
          <cell r="D838" t="e">
            <v>#N/A</v>
          </cell>
          <cell r="E838">
            <v>-7.2707874015750731</v>
          </cell>
          <cell r="F838">
            <v>108.47724409448907</v>
          </cell>
          <cell r="G838">
            <v>53.359133858267988</v>
          </cell>
          <cell r="H838">
            <v>53.359133858267988</v>
          </cell>
          <cell r="I838" t="e">
            <v>#N/A</v>
          </cell>
          <cell r="J838" t="e">
            <v>#N/A</v>
          </cell>
          <cell r="K838">
            <v>105</v>
          </cell>
          <cell r="L838">
            <v>55</v>
          </cell>
          <cell r="M838" t="e">
            <v>#N/A</v>
          </cell>
          <cell r="N838">
            <v>90</v>
          </cell>
          <cell r="O838" t="e">
            <v>#N/A</v>
          </cell>
          <cell r="P838" t="str">
            <v/>
          </cell>
          <cell r="Q838" t="str">
            <v/>
          </cell>
          <cell r="R838">
            <v>90</v>
          </cell>
        </row>
        <row r="839">
          <cell r="A839" t="str">
            <v/>
          </cell>
          <cell r="B839" t="str">
            <v/>
          </cell>
          <cell r="C839" t="str">
            <v>Future</v>
          </cell>
          <cell r="D839" t="e">
            <v>#N/A</v>
          </cell>
          <cell r="E839">
            <v>-7.5504330708664114</v>
          </cell>
          <cell r="F839">
            <v>108.61098425196938</v>
          </cell>
          <cell r="G839">
            <v>53.296023622047514</v>
          </cell>
          <cell r="H839">
            <v>53.296023622047514</v>
          </cell>
          <cell r="I839" t="e">
            <v>#N/A</v>
          </cell>
          <cell r="J839" t="e">
            <v>#N/A</v>
          </cell>
          <cell r="K839">
            <v>105</v>
          </cell>
          <cell r="L839">
            <v>55</v>
          </cell>
          <cell r="M839" t="e">
            <v>#N/A</v>
          </cell>
          <cell r="N839">
            <v>90</v>
          </cell>
          <cell r="O839" t="e">
            <v>#N/A</v>
          </cell>
          <cell r="P839" t="str">
            <v/>
          </cell>
          <cell r="Q839" t="str">
            <v/>
          </cell>
          <cell r="R839">
            <v>90</v>
          </cell>
        </row>
        <row r="840">
          <cell r="A840" t="str">
            <v/>
          </cell>
          <cell r="B840" t="str">
            <v/>
          </cell>
          <cell r="C840" t="str">
            <v>Future</v>
          </cell>
          <cell r="D840" t="e">
            <v>#N/A</v>
          </cell>
          <cell r="E840">
            <v>-7.8300787401577496</v>
          </cell>
          <cell r="F840">
            <v>108.7447244094497</v>
          </cell>
          <cell r="G840">
            <v>53.23291338582704</v>
          </cell>
          <cell r="H840">
            <v>53.23291338582704</v>
          </cell>
          <cell r="I840" t="e">
            <v>#N/A</v>
          </cell>
          <cell r="J840" t="e">
            <v>#N/A</v>
          </cell>
          <cell r="K840">
            <v>105</v>
          </cell>
          <cell r="L840">
            <v>55</v>
          </cell>
          <cell r="M840" t="e">
            <v>#N/A</v>
          </cell>
          <cell r="N840">
            <v>90</v>
          </cell>
          <cell r="O840" t="e">
            <v>#N/A</v>
          </cell>
          <cell r="P840" t="str">
            <v/>
          </cell>
          <cell r="Q840" t="str">
            <v/>
          </cell>
          <cell r="R840">
            <v>90</v>
          </cell>
        </row>
        <row r="841">
          <cell r="A841" t="str">
            <v/>
          </cell>
          <cell r="B841" t="str">
            <v/>
          </cell>
          <cell r="C841" t="str">
            <v>Future</v>
          </cell>
          <cell r="D841" t="e">
            <v>#N/A</v>
          </cell>
          <cell r="E841">
            <v>-8.1097244094490879</v>
          </cell>
          <cell r="F841">
            <v>108.87846456693002</v>
          </cell>
          <cell r="G841">
            <v>53.169803149606565</v>
          </cell>
          <cell r="H841">
            <v>53.169803149606565</v>
          </cell>
          <cell r="I841" t="e">
            <v>#N/A</v>
          </cell>
          <cell r="J841" t="e">
            <v>#N/A</v>
          </cell>
          <cell r="K841">
            <v>105</v>
          </cell>
          <cell r="L841">
            <v>55</v>
          </cell>
          <cell r="M841" t="e">
            <v>#N/A</v>
          </cell>
          <cell r="N841">
            <v>90</v>
          </cell>
          <cell r="O841" t="e">
            <v>#N/A</v>
          </cell>
          <cell r="P841" t="str">
            <v/>
          </cell>
          <cell r="Q841" t="str">
            <v/>
          </cell>
          <cell r="R841">
            <v>90</v>
          </cell>
        </row>
        <row r="842">
          <cell r="A842" t="str">
            <v/>
          </cell>
          <cell r="B842" t="str">
            <v/>
          </cell>
          <cell r="C842" t="str">
            <v>Future</v>
          </cell>
          <cell r="D842" t="e">
            <v>#N/A</v>
          </cell>
          <cell r="E842">
            <v>-8.3893700787404271</v>
          </cell>
          <cell r="F842">
            <v>109.01220472441034</v>
          </cell>
          <cell r="G842">
            <v>53.106692913386091</v>
          </cell>
          <cell r="H842">
            <v>53.106692913386091</v>
          </cell>
          <cell r="I842" t="e">
            <v>#N/A</v>
          </cell>
          <cell r="J842" t="e">
            <v>#N/A</v>
          </cell>
          <cell r="K842">
            <v>105</v>
          </cell>
          <cell r="L842">
            <v>55</v>
          </cell>
          <cell r="M842" t="e">
            <v>#N/A</v>
          </cell>
          <cell r="N842">
            <v>90</v>
          </cell>
          <cell r="O842" t="e">
            <v>#N/A</v>
          </cell>
          <cell r="P842" t="str">
            <v/>
          </cell>
          <cell r="Q842" t="str">
            <v/>
          </cell>
          <cell r="R842">
            <v>90</v>
          </cell>
        </row>
        <row r="843">
          <cell r="A843" t="str">
            <v/>
          </cell>
          <cell r="B843" t="str">
            <v/>
          </cell>
          <cell r="C843" t="str">
            <v>Future</v>
          </cell>
          <cell r="D843" t="e">
            <v>#N/A</v>
          </cell>
          <cell r="E843">
            <v>-8.6690157480317662</v>
          </cell>
          <cell r="F843">
            <v>109.14594488189066</v>
          </cell>
          <cell r="G843">
            <v>53.043582677165617</v>
          </cell>
          <cell r="H843">
            <v>53.043582677165617</v>
          </cell>
          <cell r="I843" t="e">
            <v>#N/A</v>
          </cell>
          <cell r="J843" t="e">
            <v>#N/A</v>
          </cell>
          <cell r="K843">
            <v>105</v>
          </cell>
          <cell r="L843">
            <v>55</v>
          </cell>
          <cell r="M843" t="e">
            <v>#N/A</v>
          </cell>
          <cell r="N843">
            <v>90</v>
          </cell>
          <cell r="O843" t="e">
            <v>#N/A</v>
          </cell>
          <cell r="P843" t="str">
            <v/>
          </cell>
          <cell r="Q843" t="str">
            <v/>
          </cell>
          <cell r="R843">
            <v>90</v>
          </cell>
        </row>
        <row r="844">
          <cell r="A844" t="str">
            <v/>
          </cell>
          <cell r="B844" t="str">
            <v/>
          </cell>
          <cell r="C844" t="str">
            <v>Future</v>
          </cell>
          <cell r="D844" t="e">
            <v>#N/A</v>
          </cell>
          <cell r="E844">
            <v>-8.9486614173231054</v>
          </cell>
          <cell r="F844">
            <v>109.27968503937097</v>
          </cell>
          <cell r="G844">
            <v>52.980472440945142</v>
          </cell>
          <cell r="H844">
            <v>52.980472440945142</v>
          </cell>
          <cell r="I844" t="e">
            <v>#N/A</v>
          </cell>
          <cell r="J844" t="e">
            <v>#N/A</v>
          </cell>
          <cell r="K844">
            <v>105</v>
          </cell>
          <cell r="L844">
            <v>55</v>
          </cell>
          <cell r="M844" t="e">
            <v>#N/A</v>
          </cell>
          <cell r="N844">
            <v>90</v>
          </cell>
          <cell r="O844" t="e">
            <v>#N/A</v>
          </cell>
          <cell r="P844" t="str">
            <v/>
          </cell>
          <cell r="Q844" t="str">
            <v/>
          </cell>
          <cell r="R844">
            <v>90</v>
          </cell>
        </row>
        <row r="845">
          <cell r="A845" t="str">
            <v/>
          </cell>
          <cell r="B845" t="str">
            <v/>
          </cell>
          <cell r="C845" t="str">
            <v>Future</v>
          </cell>
          <cell r="D845" t="e">
            <v>#N/A</v>
          </cell>
          <cell r="E845">
            <v>-9.2283070866144445</v>
          </cell>
          <cell r="F845">
            <v>109.41342519685129</v>
          </cell>
          <cell r="G845">
            <v>52.917362204724668</v>
          </cell>
          <cell r="H845">
            <v>52.917362204724668</v>
          </cell>
          <cell r="I845" t="e">
            <v>#N/A</v>
          </cell>
          <cell r="J845" t="e">
            <v>#N/A</v>
          </cell>
          <cell r="K845">
            <v>105</v>
          </cell>
          <cell r="L845">
            <v>55</v>
          </cell>
          <cell r="M845" t="e">
            <v>#N/A</v>
          </cell>
          <cell r="N845">
            <v>90</v>
          </cell>
          <cell r="O845" t="e">
            <v>#N/A</v>
          </cell>
          <cell r="P845" t="str">
            <v/>
          </cell>
          <cell r="Q845" t="str">
            <v/>
          </cell>
          <cell r="R845">
            <v>90</v>
          </cell>
        </row>
        <row r="846">
          <cell r="A846" t="str">
            <v/>
          </cell>
          <cell r="B846" t="str">
            <v/>
          </cell>
          <cell r="C846" t="str">
            <v>Future</v>
          </cell>
          <cell r="D846" t="e">
            <v>#N/A</v>
          </cell>
          <cell r="E846">
            <v>-9.5079527559057837</v>
          </cell>
          <cell r="F846">
            <v>109.54716535433161</v>
          </cell>
          <cell r="G846">
            <v>52.854251968504194</v>
          </cell>
          <cell r="H846">
            <v>52.854251968504194</v>
          </cell>
          <cell r="I846" t="e">
            <v>#N/A</v>
          </cell>
          <cell r="J846" t="e">
            <v>#N/A</v>
          </cell>
          <cell r="K846">
            <v>105</v>
          </cell>
          <cell r="L846">
            <v>55</v>
          </cell>
          <cell r="M846" t="e">
            <v>#N/A</v>
          </cell>
          <cell r="N846">
            <v>90</v>
          </cell>
          <cell r="O846" t="e">
            <v>#N/A</v>
          </cell>
          <cell r="P846" t="str">
            <v/>
          </cell>
          <cell r="Q846" t="str">
            <v/>
          </cell>
          <cell r="R846">
            <v>90</v>
          </cell>
        </row>
        <row r="847">
          <cell r="A847" t="str">
            <v/>
          </cell>
          <cell r="B847" t="str">
            <v/>
          </cell>
          <cell r="C847" t="str">
            <v>Future</v>
          </cell>
          <cell r="D847" t="e">
            <v>#N/A</v>
          </cell>
          <cell r="E847">
            <v>-9.7875984251971229</v>
          </cell>
          <cell r="F847">
            <v>109.68090551181193</v>
          </cell>
          <cell r="G847">
            <v>52.79114173228372</v>
          </cell>
          <cell r="H847">
            <v>52.79114173228372</v>
          </cell>
          <cell r="I847" t="e">
            <v>#N/A</v>
          </cell>
          <cell r="J847" t="e">
            <v>#N/A</v>
          </cell>
          <cell r="K847">
            <v>105</v>
          </cell>
          <cell r="L847">
            <v>55</v>
          </cell>
          <cell r="M847" t="e">
            <v>#N/A</v>
          </cell>
          <cell r="N847">
            <v>90</v>
          </cell>
          <cell r="O847" t="e">
            <v>#N/A</v>
          </cell>
          <cell r="P847" t="str">
            <v/>
          </cell>
          <cell r="Q847" t="str">
            <v/>
          </cell>
          <cell r="R847">
            <v>90</v>
          </cell>
        </row>
        <row r="848">
          <cell r="A848" t="str">
            <v/>
          </cell>
          <cell r="B848" t="str">
            <v/>
          </cell>
          <cell r="C848" t="str">
            <v>Future</v>
          </cell>
          <cell r="D848" t="e">
            <v>#N/A</v>
          </cell>
          <cell r="E848">
            <v>-10.067244094488462</v>
          </cell>
          <cell r="F848">
            <v>109.81464566929225</v>
          </cell>
          <cell r="G848">
            <v>52.728031496063245</v>
          </cell>
          <cell r="H848">
            <v>52.728031496063245</v>
          </cell>
          <cell r="I848" t="e">
            <v>#N/A</v>
          </cell>
          <cell r="J848" t="e">
            <v>#N/A</v>
          </cell>
          <cell r="K848">
            <v>105</v>
          </cell>
          <cell r="L848">
            <v>55</v>
          </cell>
          <cell r="M848" t="e">
            <v>#N/A</v>
          </cell>
          <cell r="N848">
            <v>90</v>
          </cell>
          <cell r="O848" t="e">
            <v>#N/A</v>
          </cell>
          <cell r="P848" t="str">
            <v/>
          </cell>
          <cell r="Q848" t="str">
            <v/>
          </cell>
          <cell r="R848">
            <v>90</v>
          </cell>
        </row>
        <row r="849">
          <cell r="A849" t="str">
            <v/>
          </cell>
          <cell r="B849" t="str">
            <v/>
          </cell>
          <cell r="C849" t="str">
            <v>Future</v>
          </cell>
          <cell r="D849" t="e">
            <v>#N/A</v>
          </cell>
          <cell r="E849">
            <v>-10.346889763779801</v>
          </cell>
          <cell r="F849">
            <v>109.94838582677257</v>
          </cell>
          <cell r="G849">
            <v>52.664921259842771</v>
          </cell>
          <cell r="H849">
            <v>52.664921259842771</v>
          </cell>
          <cell r="I849" t="e">
            <v>#N/A</v>
          </cell>
          <cell r="J849" t="e">
            <v>#N/A</v>
          </cell>
          <cell r="K849">
            <v>105</v>
          </cell>
          <cell r="L849">
            <v>55</v>
          </cell>
          <cell r="M849" t="e">
            <v>#N/A</v>
          </cell>
          <cell r="N849">
            <v>90</v>
          </cell>
          <cell r="O849" t="e">
            <v>#N/A</v>
          </cell>
          <cell r="P849" t="str">
            <v/>
          </cell>
          <cell r="Q849" t="str">
            <v/>
          </cell>
          <cell r="R849">
            <v>90</v>
          </cell>
        </row>
        <row r="850">
          <cell r="A850" t="str">
            <v/>
          </cell>
          <cell r="B850" t="str">
            <v/>
          </cell>
          <cell r="C850" t="str">
            <v>Future</v>
          </cell>
          <cell r="D850" t="e">
            <v>#N/A</v>
          </cell>
          <cell r="E850">
            <v>-10.62653543307114</v>
          </cell>
          <cell r="F850">
            <v>110.08212598425288</v>
          </cell>
          <cell r="G850">
            <v>52.601811023622297</v>
          </cell>
          <cell r="H850">
            <v>52.601811023622297</v>
          </cell>
          <cell r="I850" t="e">
            <v>#N/A</v>
          </cell>
          <cell r="J850" t="e">
            <v>#N/A</v>
          </cell>
          <cell r="K850">
            <v>105</v>
          </cell>
          <cell r="L850">
            <v>55</v>
          </cell>
          <cell r="M850" t="e">
            <v>#N/A</v>
          </cell>
          <cell r="N850">
            <v>90</v>
          </cell>
          <cell r="O850" t="e">
            <v>#N/A</v>
          </cell>
          <cell r="P850" t="str">
            <v/>
          </cell>
          <cell r="Q850" t="str">
            <v/>
          </cell>
          <cell r="R850">
            <v>90</v>
          </cell>
        </row>
        <row r="851">
          <cell r="A851" t="str">
            <v/>
          </cell>
          <cell r="B851" t="str">
            <v/>
          </cell>
          <cell r="C851" t="str">
            <v>Future</v>
          </cell>
          <cell r="D851" t="e">
            <v>#N/A</v>
          </cell>
          <cell r="E851">
            <v>-10.90618110236248</v>
          </cell>
          <cell r="F851">
            <v>110.2158661417332</v>
          </cell>
          <cell r="G851">
            <v>52.538700787401822</v>
          </cell>
          <cell r="H851">
            <v>52.538700787401822</v>
          </cell>
          <cell r="I851" t="e">
            <v>#N/A</v>
          </cell>
          <cell r="J851" t="e">
            <v>#N/A</v>
          </cell>
          <cell r="K851">
            <v>105</v>
          </cell>
          <cell r="L851">
            <v>55</v>
          </cell>
          <cell r="M851" t="e">
            <v>#N/A</v>
          </cell>
          <cell r="N851">
            <v>90</v>
          </cell>
          <cell r="O851" t="e">
            <v>#N/A</v>
          </cell>
          <cell r="P851" t="str">
            <v/>
          </cell>
          <cell r="Q851" t="str">
            <v/>
          </cell>
          <cell r="R851">
            <v>90</v>
          </cell>
        </row>
        <row r="852">
          <cell r="A852" t="str">
            <v/>
          </cell>
          <cell r="B852" t="str">
            <v/>
          </cell>
          <cell r="C852" t="str">
            <v>Future</v>
          </cell>
          <cell r="D852" t="e">
            <v>#N/A</v>
          </cell>
          <cell r="E852">
            <v>-11.185826771653819</v>
          </cell>
          <cell r="F852">
            <v>110.34960629921352</v>
          </cell>
          <cell r="G852">
            <v>52.475590551181348</v>
          </cell>
          <cell r="H852">
            <v>52.475590551181348</v>
          </cell>
          <cell r="I852" t="e">
            <v>#N/A</v>
          </cell>
          <cell r="J852" t="e">
            <v>#N/A</v>
          </cell>
          <cell r="K852">
            <v>105</v>
          </cell>
          <cell r="L852">
            <v>55</v>
          </cell>
          <cell r="M852" t="e">
            <v>#N/A</v>
          </cell>
          <cell r="N852">
            <v>90</v>
          </cell>
          <cell r="O852" t="e">
            <v>#N/A</v>
          </cell>
          <cell r="P852" t="str">
            <v/>
          </cell>
          <cell r="Q852" t="str">
            <v/>
          </cell>
          <cell r="R852">
            <v>90</v>
          </cell>
        </row>
        <row r="853">
          <cell r="A853" t="str">
            <v/>
          </cell>
          <cell r="B853" t="str">
            <v/>
          </cell>
          <cell r="C853" t="str">
            <v>Future</v>
          </cell>
          <cell r="D853" t="e">
            <v>#N/A</v>
          </cell>
          <cell r="E853">
            <v>-11.465472440945158</v>
          </cell>
          <cell r="F853">
            <v>110.48334645669384</v>
          </cell>
          <cell r="G853">
            <v>52.412480314960874</v>
          </cell>
          <cell r="H853">
            <v>52.412480314960874</v>
          </cell>
          <cell r="I853" t="e">
            <v>#N/A</v>
          </cell>
          <cell r="J853" t="e">
            <v>#N/A</v>
          </cell>
          <cell r="K853">
            <v>105</v>
          </cell>
          <cell r="L853">
            <v>55</v>
          </cell>
          <cell r="M853" t="e">
            <v>#N/A</v>
          </cell>
          <cell r="N853">
            <v>90</v>
          </cell>
          <cell r="O853" t="e">
            <v>#N/A</v>
          </cell>
          <cell r="P853" t="str">
            <v/>
          </cell>
          <cell r="Q853" t="str">
            <v/>
          </cell>
          <cell r="R853">
            <v>90</v>
          </cell>
        </row>
        <row r="854">
          <cell r="A854" t="str">
            <v/>
          </cell>
          <cell r="B854" t="str">
            <v/>
          </cell>
          <cell r="C854" t="str">
            <v>Future</v>
          </cell>
          <cell r="D854" t="e">
            <v>#N/A</v>
          </cell>
          <cell r="E854">
            <v>-11.745118110236497</v>
          </cell>
          <cell r="F854">
            <v>110.61708661417416</v>
          </cell>
          <cell r="G854">
            <v>52.349370078740399</v>
          </cell>
          <cell r="H854">
            <v>52.349370078740399</v>
          </cell>
          <cell r="I854" t="e">
            <v>#N/A</v>
          </cell>
          <cell r="J854" t="e">
            <v>#N/A</v>
          </cell>
          <cell r="K854">
            <v>105</v>
          </cell>
          <cell r="L854">
            <v>55</v>
          </cell>
          <cell r="M854" t="e">
            <v>#N/A</v>
          </cell>
          <cell r="N854">
            <v>90</v>
          </cell>
          <cell r="O854" t="e">
            <v>#N/A</v>
          </cell>
          <cell r="P854" t="str">
            <v/>
          </cell>
          <cell r="Q854" t="str">
            <v/>
          </cell>
          <cell r="R854">
            <v>90</v>
          </cell>
        </row>
        <row r="855">
          <cell r="A855" t="str">
            <v/>
          </cell>
          <cell r="B855" t="str">
            <v/>
          </cell>
          <cell r="C855" t="str">
            <v>Future</v>
          </cell>
          <cell r="D855" t="e">
            <v>#N/A</v>
          </cell>
          <cell r="E855">
            <v>-12.024763779527836</v>
          </cell>
          <cell r="F855">
            <v>110.75082677165447</v>
          </cell>
          <cell r="G855">
            <v>52.286259842519925</v>
          </cell>
          <cell r="H855">
            <v>52.286259842519925</v>
          </cell>
          <cell r="I855" t="e">
            <v>#N/A</v>
          </cell>
          <cell r="J855" t="e">
            <v>#N/A</v>
          </cell>
          <cell r="K855">
            <v>105</v>
          </cell>
          <cell r="L855">
            <v>55</v>
          </cell>
          <cell r="M855" t="e">
            <v>#N/A</v>
          </cell>
          <cell r="N855">
            <v>90</v>
          </cell>
          <cell r="O855" t="e">
            <v>#N/A</v>
          </cell>
          <cell r="P855" t="str">
            <v/>
          </cell>
          <cell r="Q855" t="str">
            <v/>
          </cell>
          <cell r="R855">
            <v>90</v>
          </cell>
        </row>
        <row r="856">
          <cell r="A856" t="str">
            <v/>
          </cell>
          <cell r="B856" t="str">
            <v/>
          </cell>
          <cell r="C856" t="str">
            <v>Future</v>
          </cell>
          <cell r="D856" t="e">
            <v>#N/A</v>
          </cell>
          <cell r="E856">
            <v>-12.304409448819175</v>
          </cell>
          <cell r="F856">
            <v>110.88456692913479</v>
          </cell>
          <cell r="G856">
            <v>52.223149606299451</v>
          </cell>
          <cell r="H856">
            <v>52.223149606299451</v>
          </cell>
          <cell r="I856" t="e">
            <v>#N/A</v>
          </cell>
          <cell r="J856" t="e">
            <v>#N/A</v>
          </cell>
          <cell r="K856">
            <v>105</v>
          </cell>
          <cell r="L856">
            <v>55</v>
          </cell>
          <cell r="M856" t="e">
            <v>#N/A</v>
          </cell>
          <cell r="N856">
            <v>90</v>
          </cell>
          <cell r="O856" t="e">
            <v>#N/A</v>
          </cell>
          <cell r="P856" t="str">
            <v/>
          </cell>
          <cell r="Q856" t="str">
            <v/>
          </cell>
          <cell r="R856">
            <v>90</v>
          </cell>
        </row>
        <row r="857">
          <cell r="A857" t="str">
            <v/>
          </cell>
          <cell r="B857" t="str">
            <v/>
          </cell>
          <cell r="C857" t="str">
            <v>Future</v>
          </cell>
          <cell r="D857" t="e">
            <v>#N/A</v>
          </cell>
          <cell r="E857">
            <v>-12.584055118110514</v>
          </cell>
          <cell r="F857">
            <v>111.01830708661511</v>
          </cell>
          <cell r="G857">
            <v>52.160039370078977</v>
          </cell>
          <cell r="H857">
            <v>52.160039370078977</v>
          </cell>
          <cell r="I857" t="e">
            <v>#N/A</v>
          </cell>
          <cell r="J857" t="e">
            <v>#N/A</v>
          </cell>
          <cell r="K857">
            <v>105</v>
          </cell>
          <cell r="L857">
            <v>55</v>
          </cell>
          <cell r="M857" t="e">
            <v>#N/A</v>
          </cell>
          <cell r="N857">
            <v>90</v>
          </cell>
          <cell r="O857" t="e">
            <v>#N/A</v>
          </cell>
          <cell r="P857" t="str">
            <v/>
          </cell>
          <cell r="Q857" t="str">
            <v/>
          </cell>
          <cell r="R857">
            <v>90</v>
          </cell>
        </row>
        <row r="858">
          <cell r="A858" t="str">
            <v/>
          </cell>
          <cell r="B858" t="str">
            <v/>
          </cell>
          <cell r="C858" t="str">
            <v>Future</v>
          </cell>
          <cell r="D858" t="e">
            <v>#N/A</v>
          </cell>
          <cell r="E858">
            <v>-12.863700787401854</v>
          </cell>
          <cell r="F858">
            <v>111.15204724409543</v>
          </cell>
          <cell r="G858">
            <v>52.096929133858502</v>
          </cell>
          <cell r="H858">
            <v>52.096929133858502</v>
          </cell>
          <cell r="I858" t="e">
            <v>#N/A</v>
          </cell>
          <cell r="J858" t="e">
            <v>#N/A</v>
          </cell>
          <cell r="K858">
            <v>105</v>
          </cell>
          <cell r="L858">
            <v>55</v>
          </cell>
          <cell r="M858" t="e">
            <v>#N/A</v>
          </cell>
          <cell r="N858">
            <v>90</v>
          </cell>
          <cell r="O858" t="e">
            <v>#N/A</v>
          </cell>
          <cell r="P858" t="str">
            <v/>
          </cell>
          <cell r="Q858" t="str">
            <v/>
          </cell>
          <cell r="R858">
            <v>90</v>
          </cell>
        </row>
        <row r="859">
          <cell r="A859" t="str">
            <v/>
          </cell>
          <cell r="B859" t="str">
            <v/>
          </cell>
          <cell r="C859" t="str">
            <v>Future</v>
          </cell>
          <cell r="D859" t="e">
            <v>#N/A</v>
          </cell>
          <cell r="E859">
            <v>-13.143346456693193</v>
          </cell>
          <cell r="F859">
            <v>111.28578740157575</v>
          </cell>
          <cell r="G859">
            <v>52.033818897638028</v>
          </cell>
          <cell r="H859">
            <v>52.033818897638028</v>
          </cell>
          <cell r="I859" t="e">
            <v>#N/A</v>
          </cell>
          <cell r="J859" t="e">
            <v>#N/A</v>
          </cell>
          <cell r="K859">
            <v>105</v>
          </cell>
          <cell r="L859">
            <v>55</v>
          </cell>
          <cell r="M859" t="e">
            <v>#N/A</v>
          </cell>
          <cell r="N859">
            <v>90</v>
          </cell>
          <cell r="O859" t="e">
            <v>#N/A</v>
          </cell>
          <cell r="P859" t="str">
            <v/>
          </cell>
          <cell r="Q859" t="str">
            <v/>
          </cell>
          <cell r="R859">
            <v>90</v>
          </cell>
        </row>
        <row r="860">
          <cell r="A860" t="str">
            <v/>
          </cell>
          <cell r="B860" t="str">
            <v/>
          </cell>
          <cell r="C860" t="str">
            <v>Future</v>
          </cell>
          <cell r="D860" t="e">
            <v>#N/A</v>
          </cell>
          <cell r="E860">
            <v>-13.422992125984532</v>
          </cell>
          <cell r="F860">
            <v>111.41952755905606</v>
          </cell>
          <cell r="G860">
            <v>51.970708661417554</v>
          </cell>
          <cell r="H860">
            <v>51.970708661417554</v>
          </cell>
          <cell r="I860" t="e">
            <v>#N/A</v>
          </cell>
          <cell r="J860" t="e">
            <v>#N/A</v>
          </cell>
          <cell r="K860">
            <v>105</v>
          </cell>
          <cell r="L860">
            <v>55</v>
          </cell>
          <cell r="M860" t="e">
            <v>#N/A</v>
          </cell>
          <cell r="N860">
            <v>90</v>
          </cell>
          <cell r="O860" t="e">
            <v>#N/A</v>
          </cell>
          <cell r="P860" t="str">
            <v/>
          </cell>
          <cell r="Q860" t="str">
            <v/>
          </cell>
          <cell r="R860">
            <v>90</v>
          </cell>
        </row>
        <row r="861">
          <cell r="A861" t="str">
            <v/>
          </cell>
          <cell r="B861" t="str">
            <v/>
          </cell>
          <cell r="C861" t="str">
            <v>Future</v>
          </cell>
          <cell r="D861" t="e">
            <v>#N/A</v>
          </cell>
          <cell r="E861">
            <v>-13.702637795275871</v>
          </cell>
          <cell r="F861">
            <v>111.55326771653638</v>
          </cell>
          <cell r="G861">
            <v>51.907598425197079</v>
          </cell>
          <cell r="H861">
            <v>51.907598425197079</v>
          </cell>
          <cell r="I861" t="e">
            <v>#N/A</v>
          </cell>
          <cell r="J861" t="e">
            <v>#N/A</v>
          </cell>
          <cell r="K861">
            <v>105</v>
          </cell>
          <cell r="L861">
            <v>55</v>
          </cell>
          <cell r="M861" t="e">
            <v>#N/A</v>
          </cell>
          <cell r="N861">
            <v>90</v>
          </cell>
          <cell r="O861" t="e">
            <v>#N/A</v>
          </cell>
          <cell r="P861" t="str">
            <v/>
          </cell>
          <cell r="Q861" t="str">
            <v/>
          </cell>
          <cell r="R861">
            <v>90</v>
          </cell>
        </row>
        <row r="862">
          <cell r="A862" t="str">
            <v/>
          </cell>
          <cell r="B862" t="str">
            <v/>
          </cell>
          <cell r="C862" t="str">
            <v>Future</v>
          </cell>
          <cell r="D862" t="e">
            <v>#N/A</v>
          </cell>
          <cell r="E862">
            <v>-13.98228346456721</v>
          </cell>
          <cell r="F862">
            <v>111.6870078740167</v>
          </cell>
          <cell r="G862">
            <v>51.844488188976605</v>
          </cell>
          <cell r="H862">
            <v>51.844488188976605</v>
          </cell>
          <cell r="I862" t="e">
            <v>#N/A</v>
          </cell>
          <cell r="J862" t="e">
            <v>#N/A</v>
          </cell>
          <cell r="K862">
            <v>105</v>
          </cell>
          <cell r="L862">
            <v>55</v>
          </cell>
          <cell r="M862" t="e">
            <v>#N/A</v>
          </cell>
          <cell r="N862">
            <v>90</v>
          </cell>
          <cell r="O862" t="e">
            <v>#N/A</v>
          </cell>
          <cell r="P862" t="str">
            <v/>
          </cell>
          <cell r="Q862" t="str">
            <v/>
          </cell>
          <cell r="R862">
            <v>90</v>
          </cell>
        </row>
        <row r="863">
          <cell r="A863" t="str">
            <v/>
          </cell>
          <cell r="B863" t="str">
            <v/>
          </cell>
          <cell r="C863" t="str">
            <v>Future</v>
          </cell>
          <cell r="D863" t="e">
            <v>#N/A</v>
          </cell>
          <cell r="E863">
            <v>-14.261929133858549</v>
          </cell>
          <cell r="F863">
            <v>111.82074803149702</v>
          </cell>
          <cell r="G863">
            <v>51.781377952756131</v>
          </cell>
          <cell r="H863">
            <v>51.781377952756131</v>
          </cell>
          <cell r="I863" t="e">
            <v>#N/A</v>
          </cell>
          <cell r="J863" t="e">
            <v>#N/A</v>
          </cell>
          <cell r="K863">
            <v>105</v>
          </cell>
          <cell r="L863">
            <v>55</v>
          </cell>
          <cell r="M863" t="e">
            <v>#N/A</v>
          </cell>
          <cell r="N863">
            <v>90</v>
          </cell>
          <cell r="O863" t="e">
            <v>#N/A</v>
          </cell>
          <cell r="P863" t="str">
            <v/>
          </cell>
          <cell r="Q863" t="str">
            <v/>
          </cell>
          <cell r="R863">
            <v>90</v>
          </cell>
        </row>
        <row r="864">
          <cell r="A864" t="str">
            <v/>
          </cell>
          <cell r="B864" t="str">
            <v/>
          </cell>
          <cell r="C864" t="str">
            <v>Future</v>
          </cell>
          <cell r="D864" t="e">
            <v>#N/A</v>
          </cell>
          <cell r="E864">
            <v>-14.541574803149889</v>
          </cell>
          <cell r="F864">
            <v>111.95448818897734</v>
          </cell>
          <cell r="G864">
            <v>51.718267716535657</v>
          </cell>
          <cell r="H864">
            <v>51.718267716535657</v>
          </cell>
          <cell r="I864" t="e">
            <v>#N/A</v>
          </cell>
          <cell r="J864" t="e">
            <v>#N/A</v>
          </cell>
          <cell r="K864">
            <v>105</v>
          </cell>
          <cell r="L864">
            <v>55</v>
          </cell>
          <cell r="M864" t="e">
            <v>#N/A</v>
          </cell>
          <cell r="N864">
            <v>90</v>
          </cell>
          <cell r="O864" t="e">
            <v>#N/A</v>
          </cell>
          <cell r="P864" t="str">
            <v/>
          </cell>
          <cell r="Q864" t="str">
            <v/>
          </cell>
          <cell r="R864">
            <v>90</v>
          </cell>
        </row>
        <row r="865">
          <cell r="A865" t="str">
            <v/>
          </cell>
          <cell r="B865" t="str">
            <v/>
          </cell>
          <cell r="C865" t="str">
            <v>Future</v>
          </cell>
          <cell r="D865" t="e">
            <v>#N/A</v>
          </cell>
          <cell r="E865">
            <v>-14.821220472441228</v>
          </cell>
          <cell r="F865">
            <v>112.08822834645765</v>
          </cell>
          <cell r="G865">
            <v>51.655157480315182</v>
          </cell>
          <cell r="H865">
            <v>51.655157480315182</v>
          </cell>
          <cell r="I865" t="e">
            <v>#N/A</v>
          </cell>
          <cell r="J865" t="e">
            <v>#N/A</v>
          </cell>
          <cell r="K865">
            <v>105</v>
          </cell>
          <cell r="L865">
            <v>55</v>
          </cell>
          <cell r="M865" t="e">
            <v>#N/A</v>
          </cell>
          <cell r="N865">
            <v>90</v>
          </cell>
          <cell r="O865" t="e">
            <v>#N/A</v>
          </cell>
          <cell r="P865" t="str">
            <v/>
          </cell>
          <cell r="Q865" t="str">
            <v/>
          </cell>
          <cell r="R865">
            <v>90</v>
          </cell>
        </row>
        <row r="866">
          <cell r="A866" t="str">
            <v/>
          </cell>
          <cell r="B866" t="str">
            <v/>
          </cell>
          <cell r="C866" t="str">
            <v>Future</v>
          </cell>
          <cell r="D866" t="e">
            <v>#N/A</v>
          </cell>
          <cell r="E866">
            <v>-15.100866141732567</v>
          </cell>
          <cell r="F866">
            <v>112.22196850393797</v>
          </cell>
          <cell r="G866">
            <v>51.592047244094708</v>
          </cell>
          <cell r="H866">
            <v>51.592047244094708</v>
          </cell>
          <cell r="I866" t="e">
            <v>#N/A</v>
          </cell>
          <cell r="J866" t="e">
            <v>#N/A</v>
          </cell>
          <cell r="K866">
            <v>105</v>
          </cell>
          <cell r="L866">
            <v>55</v>
          </cell>
          <cell r="M866" t="e">
            <v>#N/A</v>
          </cell>
          <cell r="N866">
            <v>90</v>
          </cell>
          <cell r="O866" t="e">
            <v>#N/A</v>
          </cell>
          <cell r="P866" t="str">
            <v/>
          </cell>
          <cell r="Q866" t="str">
            <v/>
          </cell>
          <cell r="R866">
            <v>90</v>
          </cell>
        </row>
        <row r="867">
          <cell r="A867" t="str">
            <v/>
          </cell>
          <cell r="B867" t="str">
            <v/>
          </cell>
          <cell r="C867" t="str">
            <v>Future</v>
          </cell>
          <cell r="D867" t="e">
            <v>#N/A</v>
          </cell>
          <cell r="E867">
            <v>-15.380511811023906</v>
          </cell>
          <cell r="F867">
            <v>112.35570866141829</v>
          </cell>
          <cell r="G867">
            <v>51.528937007874234</v>
          </cell>
          <cell r="H867">
            <v>51.528937007874234</v>
          </cell>
          <cell r="I867" t="e">
            <v>#N/A</v>
          </cell>
          <cell r="J867" t="e">
            <v>#N/A</v>
          </cell>
          <cell r="K867">
            <v>105</v>
          </cell>
          <cell r="L867">
            <v>55</v>
          </cell>
          <cell r="M867" t="e">
            <v>#N/A</v>
          </cell>
          <cell r="N867">
            <v>90</v>
          </cell>
          <cell r="O867" t="e">
            <v>#N/A</v>
          </cell>
          <cell r="P867" t="str">
            <v/>
          </cell>
          <cell r="Q867" t="str">
            <v/>
          </cell>
          <cell r="R867">
            <v>90</v>
          </cell>
        </row>
        <row r="868">
          <cell r="A868" t="str">
            <v/>
          </cell>
          <cell r="B868" t="str">
            <v/>
          </cell>
          <cell r="C868" t="str">
            <v>Future</v>
          </cell>
          <cell r="D868" t="e">
            <v>#N/A</v>
          </cell>
          <cell r="E868">
            <v>-15.660157480315245</v>
          </cell>
          <cell r="F868">
            <v>112.48944881889861</v>
          </cell>
          <cell r="G868">
            <v>51.465826771653759</v>
          </cell>
          <cell r="H868">
            <v>51.465826771653759</v>
          </cell>
          <cell r="I868" t="e">
            <v>#N/A</v>
          </cell>
          <cell r="J868" t="e">
            <v>#N/A</v>
          </cell>
          <cell r="K868">
            <v>105</v>
          </cell>
          <cell r="L868">
            <v>55</v>
          </cell>
          <cell r="M868" t="e">
            <v>#N/A</v>
          </cell>
          <cell r="N868">
            <v>90</v>
          </cell>
          <cell r="O868" t="e">
            <v>#N/A</v>
          </cell>
          <cell r="P868" t="str">
            <v/>
          </cell>
          <cell r="Q868" t="str">
            <v/>
          </cell>
          <cell r="R868">
            <v>90</v>
          </cell>
        </row>
        <row r="869">
          <cell r="A869" t="str">
            <v/>
          </cell>
          <cell r="B869" t="str">
            <v/>
          </cell>
          <cell r="C869" t="str">
            <v>Future</v>
          </cell>
          <cell r="D869" t="e">
            <v>#N/A</v>
          </cell>
          <cell r="E869">
            <v>-15.939803149606584</v>
          </cell>
          <cell r="F869">
            <v>112.62318897637893</v>
          </cell>
          <cell r="G869">
            <v>51.402716535433285</v>
          </cell>
          <cell r="H869">
            <v>51.402716535433285</v>
          </cell>
          <cell r="I869" t="e">
            <v>#N/A</v>
          </cell>
          <cell r="J869" t="e">
            <v>#N/A</v>
          </cell>
          <cell r="K869">
            <v>105</v>
          </cell>
          <cell r="L869">
            <v>55</v>
          </cell>
          <cell r="M869" t="e">
            <v>#N/A</v>
          </cell>
          <cell r="N869">
            <v>90</v>
          </cell>
          <cell r="O869" t="e">
            <v>#N/A</v>
          </cell>
          <cell r="P869" t="str">
            <v/>
          </cell>
          <cell r="Q869" t="str">
            <v/>
          </cell>
          <cell r="R869">
            <v>90</v>
          </cell>
        </row>
        <row r="870">
          <cell r="A870" t="str">
            <v/>
          </cell>
          <cell r="B870" t="str">
            <v/>
          </cell>
          <cell r="C870" t="str">
            <v>Future</v>
          </cell>
          <cell r="D870" t="e">
            <v>#N/A</v>
          </cell>
          <cell r="E870">
            <v>-16.219448818897924</v>
          </cell>
          <cell r="F870">
            <v>112.75692913385924</v>
          </cell>
          <cell r="G870">
            <v>51.339606299212811</v>
          </cell>
          <cell r="H870">
            <v>51.339606299212811</v>
          </cell>
          <cell r="I870" t="e">
            <v>#N/A</v>
          </cell>
          <cell r="J870" t="e">
            <v>#N/A</v>
          </cell>
          <cell r="K870">
            <v>105</v>
          </cell>
          <cell r="L870">
            <v>55</v>
          </cell>
          <cell r="M870" t="e">
            <v>#N/A</v>
          </cell>
          <cell r="N870">
            <v>90</v>
          </cell>
          <cell r="O870" t="e">
            <v>#N/A</v>
          </cell>
          <cell r="P870" t="str">
            <v/>
          </cell>
          <cell r="Q870" t="str">
            <v/>
          </cell>
          <cell r="R870">
            <v>90</v>
          </cell>
        </row>
        <row r="871">
          <cell r="A871" t="str">
            <v/>
          </cell>
          <cell r="B871" t="str">
            <v/>
          </cell>
          <cell r="C871" t="str">
            <v>Future</v>
          </cell>
          <cell r="D871" t="e">
            <v>#N/A</v>
          </cell>
          <cell r="E871">
            <v>-16.499094488189261</v>
          </cell>
          <cell r="F871">
            <v>112.89066929133956</v>
          </cell>
          <cell r="G871">
            <v>51.276496062992337</v>
          </cell>
          <cell r="H871">
            <v>51.276496062992337</v>
          </cell>
          <cell r="I871" t="e">
            <v>#N/A</v>
          </cell>
          <cell r="J871" t="e">
            <v>#N/A</v>
          </cell>
          <cell r="K871">
            <v>105</v>
          </cell>
          <cell r="L871">
            <v>55</v>
          </cell>
          <cell r="M871" t="e">
            <v>#N/A</v>
          </cell>
          <cell r="N871">
            <v>90</v>
          </cell>
          <cell r="O871" t="e">
            <v>#N/A</v>
          </cell>
          <cell r="P871" t="str">
            <v/>
          </cell>
          <cell r="Q871" t="str">
            <v/>
          </cell>
          <cell r="R871">
            <v>90</v>
          </cell>
        </row>
        <row r="872">
          <cell r="A872" t="str">
            <v/>
          </cell>
          <cell r="B872" t="str">
            <v/>
          </cell>
          <cell r="C872" t="str">
            <v>Future</v>
          </cell>
          <cell r="D872" t="e">
            <v>#N/A</v>
          </cell>
          <cell r="E872">
            <v>-16.778740157480598</v>
          </cell>
          <cell r="F872">
            <v>113.02440944881988</v>
          </cell>
          <cell r="G872">
            <v>51.213385826771862</v>
          </cell>
          <cell r="H872">
            <v>51.213385826771862</v>
          </cell>
          <cell r="I872" t="e">
            <v>#N/A</v>
          </cell>
          <cell r="J872" t="e">
            <v>#N/A</v>
          </cell>
          <cell r="K872">
            <v>105</v>
          </cell>
          <cell r="L872">
            <v>55</v>
          </cell>
          <cell r="M872" t="e">
            <v>#N/A</v>
          </cell>
          <cell r="N872">
            <v>90</v>
          </cell>
          <cell r="O872" t="e">
            <v>#N/A</v>
          </cell>
          <cell r="P872" t="str">
            <v/>
          </cell>
          <cell r="Q872" t="str">
            <v/>
          </cell>
          <cell r="R872">
            <v>90</v>
          </cell>
        </row>
        <row r="873">
          <cell r="A873" t="str">
            <v/>
          </cell>
          <cell r="B873" t="str">
            <v/>
          </cell>
          <cell r="C873" t="str">
            <v>Future</v>
          </cell>
          <cell r="D873" t="e">
            <v>#N/A</v>
          </cell>
          <cell r="E873">
            <v>-17.058385826771936</v>
          </cell>
          <cell r="F873">
            <v>113.1581496063002</v>
          </cell>
          <cell r="G873">
            <v>51.150275590551388</v>
          </cell>
          <cell r="H873">
            <v>51.150275590551388</v>
          </cell>
          <cell r="I873" t="e">
            <v>#N/A</v>
          </cell>
          <cell r="J873" t="e">
            <v>#N/A</v>
          </cell>
          <cell r="K873">
            <v>105</v>
          </cell>
          <cell r="L873">
            <v>55</v>
          </cell>
          <cell r="M873" t="e">
            <v>#N/A</v>
          </cell>
          <cell r="N873">
            <v>90</v>
          </cell>
          <cell r="O873" t="e">
            <v>#N/A</v>
          </cell>
          <cell r="P873" t="str">
            <v/>
          </cell>
          <cell r="Q873" t="str">
            <v/>
          </cell>
          <cell r="R873">
            <v>90</v>
          </cell>
        </row>
        <row r="874">
          <cell r="A874" t="str">
            <v/>
          </cell>
          <cell r="B874" t="str">
            <v/>
          </cell>
          <cell r="C874" t="str">
            <v>Future</v>
          </cell>
          <cell r="D874" t="e">
            <v>#N/A</v>
          </cell>
          <cell r="E874">
            <v>-17.338031496063273</v>
          </cell>
          <cell r="F874">
            <v>113.29188976378052</v>
          </cell>
          <cell r="G874">
            <v>51.087165354330914</v>
          </cell>
          <cell r="H874">
            <v>51.087165354330914</v>
          </cell>
          <cell r="I874" t="e">
            <v>#N/A</v>
          </cell>
          <cell r="J874" t="e">
            <v>#N/A</v>
          </cell>
          <cell r="K874">
            <v>105</v>
          </cell>
          <cell r="L874">
            <v>55</v>
          </cell>
          <cell r="M874" t="e">
            <v>#N/A</v>
          </cell>
          <cell r="N874">
            <v>90</v>
          </cell>
          <cell r="O874" t="e">
            <v>#N/A</v>
          </cell>
          <cell r="P874" t="str">
            <v/>
          </cell>
          <cell r="Q874" t="str">
            <v/>
          </cell>
          <cell r="R874">
            <v>90</v>
          </cell>
        </row>
        <row r="875">
          <cell r="A875" t="str">
            <v/>
          </cell>
          <cell r="B875" t="str">
            <v/>
          </cell>
          <cell r="C875" t="str">
            <v>Future</v>
          </cell>
          <cell r="D875" t="e">
            <v>#N/A</v>
          </cell>
          <cell r="E875">
            <v>-17.61767716535461</v>
          </cell>
          <cell r="F875">
            <v>113.42562992126084</v>
          </cell>
          <cell r="G875">
            <v>51.024055118110439</v>
          </cell>
          <cell r="H875">
            <v>51.024055118110439</v>
          </cell>
          <cell r="I875" t="e">
            <v>#N/A</v>
          </cell>
          <cell r="J875" t="e">
            <v>#N/A</v>
          </cell>
          <cell r="K875">
            <v>105</v>
          </cell>
          <cell r="L875">
            <v>55</v>
          </cell>
          <cell r="M875" t="e">
            <v>#N/A</v>
          </cell>
          <cell r="N875">
            <v>90</v>
          </cell>
          <cell r="O875" t="e">
            <v>#N/A</v>
          </cell>
          <cell r="P875" t="str">
            <v/>
          </cell>
          <cell r="Q875" t="str">
            <v/>
          </cell>
          <cell r="R875">
            <v>90</v>
          </cell>
        </row>
        <row r="876">
          <cell r="A876" t="str">
            <v/>
          </cell>
          <cell r="B876" t="str">
            <v/>
          </cell>
          <cell r="C876" t="str">
            <v>Future</v>
          </cell>
          <cell r="D876" t="e">
            <v>#N/A</v>
          </cell>
          <cell r="E876">
            <v>-17.897322834645948</v>
          </cell>
          <cell r="F876">
            <v>113.55937007874115</v>
          </cell>
          <cell r="G876">
            <v>50.960944881889965</v>
          </cell>
          <cell r="H876">
            <v>50.960944881889965</v>
          </cell>
          <cell r="I876" t="e">
            <v>#N/A</v>
          </cell>
          <cell r="J876" t="e">
            <v>#N/A</v>
          </cell>
          <cell r="K876">
            <v>105</v>
          </cell>
          <cell r="L876">
            <v>55</v>
          </cell>
          <cell r="M876" t="e">
            <v>#N/A</v>
          </cell>
          <cell r="N876">
            <v>90</v>
          </cell>
          <cell r="O876" t="e">
            <v>#N/A</v>
          </cell>
          <cell r="P876" t="str">
            <v/>
          </cell>
          <cell r="Q876" t="str">
            <v/>
          </cell>
          <cell r="R876">
            <v>90</v>
          </cell>
        </row>
        <row r="877">
          <cell r="A877" t="str">
            <v/>
          </cell>
          <cell r="B877" t="str">
            <v/>
          </cell>
          <cell r="C877" t="str">
            <v>Future</v>
          </cell>
          <cell r="D877" t="e">
            <v>#N/A</v>
          </cell>
          <cell r="E877">
            <v>-18.176968503937285</v>
          </cell>
          <cell r="F877">
            <v>113.69311023622147</v>
          </cell>
          <cell r="G877">
            <v>50.897834645669491</v>
          </cell>
          <cell r="H877">
            <v>50.897834645669491</v>
          </cell>
          <cell r="I877" t="e">
            <v>#N/A</v>
          </cell>
          <cell r="J877" t="e">
            <v>#N/A</v>
          </cell>
          <cell r="K877">
            <v>105</v>
          </cell>
          <cell r="L877">
            <v>55</v>
          </cell>
          <cell r="M877" t="e">
            <v>#N/A</v>
          </cell>
          <cell r="N877">
            <v>90</v>
          </cell>
          <cell r="O877" t="e">
            <v>#N/A</v>
          </cell>
          <cell r="P877" t="str">
            <v/>
          </cell>
          <cell r="Q877" t="str">
            <v/>
          </cell>
          <cell r="R877">
            <v>90</v>
          </cell>
        </row>
        <row r="878">
          <cell r="A878" t="str">
            <v/>
          </cell>
          <cell r="B878" t="str">
            <v/>
          </cell>
          <cell r="C878" t="str">
            <v>Future</v>
          </cell>
          <cell r="D878" t="e">
            <v>#N/A</v>
          </cell>
          <cell r="E878">
            <v>-18.456614173228623</v>
          </cell>
          <cell r="F878">
            <v>113.82685039370179</v>
          </cell>
          <cell r="G878">
            <v>50.834724409449016</v>
          </cell>
          <cell r="H878">
            <v>50.834724409449016</v>
          </cell>
          <cell r="I878" t="e">
            <v>#N/A</v>
          </cell>
          <cell r="J878" t="e">
            <v>#N/A</v>
          </cell>
          <cell r="K878">
            <v>105</v>
          </cell>
          <cell r="L878">
            <v>55</v>
          </cell>
          <cell r="M878" t="e">
            <v>#N/A</v>
          </cell>
          <cell r="N878">
            <v>90</v>
          </cell>
          <cell r="O878" t="e">
            <v>#N/A</v>
          </cell>
          <cell r="P878" t="str">
            <v/>
          </cell>
          <cell r="Q878" t="str">
            <v/>
          </cell>
          <cell r="R878">
            <v>90</v>
          </cell>
        </row>
        <row r="879">
          <cell r="A879" t="str">
            <v/>
          </cell>
          <cell r="B879" t="str">
            <v/>
          </cell>
          <cell r="C879" t="str">
            <v>Future</v>
          </cell>
          <cell r="D879" t="e">
            <v>#N/A</v>
          </cell>
          <cell r="E879">
            <v>-18.73625984251996</v>
          </cell>
          <cell r="F879">
            <v>113.96059055118211</v>
          </cell>
          <cell r="G879">
            <v>50.771614173228542</v>
          </cell>
          <cell r="H879">
            <v>50.771614173228542</v>
          </cell>
          <cell r="I879" t="e">
            <v>#N/A</v>
          </cell>
          <cell r="J879" t="e">
            <v>#N/A</v>
          </cell>
          <cell r="K879">
            <v>105</v>
          </cell>
          <cell r="L879">
            <v>55</v>
          </cell>
          <cell r="M879" t="e">
            <v>#N/A</v>
          </cell>
          <cell r="N879">
            <v>90</v>
          </cell>
          <cell r="O879" t="e">
            <v>#N/A</v>
          </cell>
          <cell r="P879" t="str">
            <v/>
          </cell>
          <cell r="Q879" t="str">
            <v/>
          </cell>
          <cell r="R879">
            <v>90</v>
          </cell>
        </row>
        <row r="880">
          <cell r="A880" t="str">
            <v/>
          </cell>
          <cell r="B880" t="str">
            <v/>
          </cell>
          <cell r="C880" t="str">
            <v>Future</v>
          </cell>
          <cell r="D880" t="e">
            <v>#N/A</v>
          </cell>
          <cell r="E880">
            <v>-19.015905511811297</v>
          </cell>
          <cell r="F880">
            <v>114.09433070866243</v>
          </cell>
          <cell r="G880">
            <v>50.708503937008068</v>
          </cell>
          <cell r="H880">
            <v>50.708503937008068</v>
          </cell>
          <cell r="I880" t="e">
            <v>#N/A</v>
          </cell>
          <cell r="J880" t="e">
            <v>#N/A</v>
          </cell>
          <cell r="K880">
            <v>105</v>
          </cell>
          <cell r="L880">
            <v>55</v>
          </cell>
          <cell r="M880" t="e">
            <v>#N/A</v>
          </cell>
          <cell r="N880">
            <v>90</v>
          </cell>
          <cell r="O880" t="e">
            <v>#N/A</v>
          </cell>
          <cell r="P880" t="str">
            <v/>
          </cell>
          <cell r="Q880" t="str">
            <v/>
          </cell>
          <cell r="R880">
            <v>90</v>
          </cell>
        </row>
        <row r="881">
          <cell r="A881" t="str">
            <v/>
          </cell>
          <cell r="B881" t="str">
            <v/>
          </cell>
          <cell r="C881" t="str">
            <v>Future</v>
          </cell>
          <cell r="D881" t="e">
            <v>#N/A</v>
          </cell>
          <cell r="E881">
            <v>-19.295551181102635</v>
          </cell>
          <cell r="F881">
            <v>114.22807086614274</v>
          </cell>
          <cell r="G881">
            <v>50.645393700787594</v>
          </cell>
          <cell r="H881">
            <v>50.645393700787594</v>
          </cell>
          <cell r="I881" t="e">
            <v>#N/A</v>
          </cell>
          <cell r="J881" t="e">
            <v>#N/A</v>
          </cell>
          <cell r="K881">
            <v>105</v>
          </cell>
          <cell r="L881">
            <v>55</v>
          </cell>
          <cell r="M881" t="e">
            <v>#N/A</v>
          </cell>
          <cell r="N881">
            <v>90</v>
          </cell>
          <cell r="O881" t="e">
            <v>#N/A</v>
          </cell>
          <cell r="P881" t="str">
            <v/>
          </cell>
          <cell r="Q881" t="str">
            <v/>
          </cell>
          <cell r="R881">
            <v>90</v>
          </cell>
        </row>
        <row r="882">
          <cell r="A882" t="str">
            <v/>
          </cell>
          <cell r="B882" t="str">
            <v/>
          </cell>
          <cell r="C882" t="str">
            <v>Future</v>
          </cell>
          <cell r="D882" t="e">
            <v>#N/A</v>
          </cell>
          <cell r="E882">
            <v>-19.575196850393972</v>
          </cell>
          <cell r="F882">
            <v>114.36181102362306</v>
          </cell>
          <cell r="G882">
            <v>50.582283464567119</v>
          </cell>
          <cell r="H882">
            <v>50.582283464567119</v>
          </cell>
          <cell r="I882" t="e">
            <v>#N/A</v>
          </cell>
          <cell r="J882" t="e">
            <v>#N/A</v>
          </cell>
          <cell r="K882">
            <v>105</v>
          </cell>
          <cell r="L882">
            <v>55</v>
          </cell>
          <cell r="M882" t="e">
            <v>#N/A</v>
          </cell>
          <cell r="N882">
            <v>90</v>
          </cell>
          <cell r="O882" t="e">
            <v>#N/A</v>
          </cell>
          <cell r="P882" t="str">
            <v/>
          </cell>
          <cell r="Q882" t="str">
            <v/>
          </cell>
          <cell r="R882">
            <v>90</v>
          </cell>
        </row>
        <row r="883">
          <cell r="A883" t="str">
            <v/>
          </cell>
          <cell r="B883" t="str">
            <v/>
          </cell>
          <cell r="C883" t="str">
            <v>Future</v>
          </cell>
          <cell r="D883" t="e">
            <v>#N/A</v>
          </cell>
          <cell r="E883">
            <v>-19.85484251968531</v>
          </cell>
          <cell r="F883">
            <v>114.49555118110338</v>
          </cell>
          <cell r="G883">
            <v>50.519173228346645</v>
          </cell>
          <cell r="H883">
            <v>50.519173228346645</v>
          </cell>
          <cell r="I883" t="e">
            <v>#N/A</v>
          </cell>
          <cell r="J883" t="e">
            <v>#N/A</v>
          </cell>
          <cell r="K883">
            <v>105</v>
          </cell>
          <cell r="L883">
            <v>55</v>
          </cell>
          <cell r="M883" t="e">
            <v>#N/A</v>
          </cell>
          <cell r="N883">
            <v>90</v>
          </cell>
          <cell r="O883" t="e">
            <v>#N/A</v>
          </cell>
          <cell r="P883" t="str">
            <v/>
          </cell>
          <cell r="Q883" t="str">
            <v/>
          </cell>
          <cell r="R883">
            <v>90</v>
          </cell>
        </row>
        <row r="884">
          <cell r="A884" t="str">
            <v/>
          </cell>
          <cell r="B884" t="str">
            <v/>
          </cell>
          <cell r="C884" t="str">
            <v>Future</v>
          </cell>
          <cell r="D884" t="e">
            <v>#N/A</v>
          </cell>
          <cell r="E884">
            <v>-20.134488188976647</v>
          </cell>
          <cell r="F884">
            <v>114.6292913385837</v>
          </cell>
          <cell r="G884">
            <v>50.456062992126171</v>
          </cell>
          <cell r="H884">
            <v>50.456062992126171</v>
          </cell>
          <cell r="I884" t="e">
            <v>#N/A</v>
          </cell>
          <cell r="J884" t="e">
            <v>#N/A</v>
          </cell>
          <cell r="K884">
            <v>105</v>
          </cell>
          <cell r="L884">
            <v>55</v>
          </cell>
          <cell r="M884" t="e">
            <v>#N/A</v>
          </cell>
          <cell r="N884">
            <v>90</v>
          </cell>
          <cell r="O884" t="e">
            <v>#N/A</v>
          </cell>
          <cell r="P884" t="str">
            <v/>
          </cell>
          <cell r="Q884" t="str">
            <v/>
          </cell>
          <cell r="R884">
            <v>90</v>
          </cell>
        </row>
        <row r="885">
          <cell r="A885" t="str">
            <v/>
          </cell>
          <cell r="B885" t="str">
            <v/>
          </cell>
          <cell r="C885" t="str">
            <v>Future</v>
          </cell>
          <cell r="D885" t="e">
            <v>#N/A</v>
          </cell>
          <cell r="E885">
            <v>-20.414133858267984</v>
          </cell>
          <cell r="F885">
            <v>114.76303149606402</v>
          </cell>
          <cell r="G885">
            <v>50.392952755905696</v>
          </cell>
          <cell r="H885">
            <v>50.392952755905696</v>
          </cell>
          <cell r="I885" t="e">
            <v>#N/A</v>
          </cell>
          <cell r="J885" t="e">
            <v>#N/A</v>
          </cell>
          <cell r="K885">
            <v>105</v>
          </cell>
          <cell r="L885">
            <v>55</v>
          </cell>
          <cell r="M885" t="e">
            <v>#N/A</v>
          </cell>
          <cell r="N885">
            <v>90</v>
          </cell>
          <cell r="O885" t="e">
            <v>#N/A</v>
          </cell>
          <cell r="P885" t="str">
            <v/>
          </cell>
          <cell r="Q885" t="str">
            <v/>
          </cell>
          <cell r="R885">
            <v>90</v>
          </cell>
        </row>
        <row r="886">
          <cell r="A886" t="str">
            <v/>
          </cell>
          <cell r="B886" t="str">
            <v/>
          </cell>
          <cell r="C886" t="str">
            <v>Future</v>
          </cell>
          <cell r="D886" t="e">
            <v>#N/A</v>
          </cell>
          <cell r="E886">
            <v>-20.693779527559322</v>
          </cell>
          <cell r="F886">
            <v>114.89677165354433</v>
          </cell>
          <cell r="G886">
            <v>50.329842519685222</v>
          </cell>
          <cell r="H886">
            <v>50.329842519685222</v>
          </cell>
          <cell r="I886" t="e">
            <v>#N/A</v>
          </cell>
          <cell r="J886" t="e">
            <v>#N/A</v>
          </cell>
          <cell r="K886">
            <v>105</v>
          </cell>
          <cell r="L886">
            <v>55</v>
          </cell>
          <cell r="M886" t="e">
            <v>#N/A</v>
          </cell>
          <cell r="N886">
            <v>90</v>
          </cell>
          <cell r="O886" t="e">
            <v>#N/A</v>
          </cell>
          <cell r="P886" t="str">
            <v/>
          </cell>
          <cell r="Q886" t="str">
            <v/>
          </cell>
          <cell r="R886">
            <v>90</v>
          </cell>
        </row>
        <row r="887">
          <cell r="A887" t="str">
            <v/>
          </cell>
          <cell r="B887" t="str">
            <v/>
          </cell>
          <cell r="C887" t="str">
            <v>Future</v>
          </cell>
          <cell r="D887" t="e">
            <v>#N/A</v>
          </cell>
          <cell r="E887">
            <v>-20.973425196850659</v>
          </cell>
          <cell r="F887">
            <v>115.03051181102465</v>
          </cell>
          <cell r="G887">
            <v>50.266732283464748</v>
          </cell>
          <cell r="H887">
            <v>50.266732283464748</v>
          </cell>
          <cell r="I887" t="e">
            <v>#N/A</v>
          </cell>
          <cell r="J887" t="e">
            <v>#N/A</v>
          </cell>
          <cell r="K887">
            <v>105</v>
          </cell>
          <cell r="L887">
            <v>55</v>
          </cell>
          <cell r="M887" t="e">
            <v>#N/A</v>
          </cell>
          <cell r="N887">
            <v>90</v>
          </cell>
          <cell r="O887" t="e">
            <v>#N/A</v>
          </cell>
          <cell r="P887" t="str">
            <v/>
          </cell>
          <cell r="Q887" t="str">
            <v/>
          </cell>
          <cell r="R887">
            <v>90</v>
          </cell>
        </row>
        <row r="888">
          <cell r="A888" t="str">
            <v/>
          </cell>
          <cell r="B888" t="str">
            <v/>
          </cell>
          <cell r="C888" t="str">
            <v>Future</v>
          </cell>
          <cell r="D888" t="e">
            <v>#N/A</v>
          </cell>
          <cell r="E888">
            <v>-21.253070866141996</v>
          </cell>
          <cell r="F888">
            <v>115.16425196850497</v>
          </cell>
          <cell r="G888">
            <v>50.203622047244274</v>
          </cell>
          <cell r="H888">
            <v>50.203622047244274</v>
          </cell>
          <cell r="I888" t="e">
            <v>#N/A</v>
          </cell>
          <cell r="J888" t="e">
            <v>#N/A</v>
          </cell>
          <cell r="K888">
            <v>105</v>
          </cell>
          <cell r="L888">
            <v>55</v>
          </cell>
          <cell r="M888" t="e">
            <v>#N/A</v>
          </cell>
          <cell r="N888">
            <v>90</v>
          </cell>
          <cell r="O888" t="e">
            <v>#N/A</v>
          </cell>
          <cell r="P888" t="str">
            <v/>
          </cell>
          <cell r="Q888" t="str">
            <v/>
          </cell>
          <cell r="R888">
            <v>90</v>
          </cell>
        </row>
        <row r="889">
          <cell r="A889" t="str">
            <v/>
          </cell>
          <cell r="B889" t="str">
            <v/>
          </cell>
          <cell r="C889" t="str">
            <v>Future</v>
          </cell>
          <cell r="D889" t="e">
            <v>#N/A</v>
          </cell>
          <cell r="E889">
            <v>-21.532716535433334</v>
          </cell>
          <cell r="F889">
            <v>115.29799212598529</v>
          </cell>
          <cell r="G889">
            <v>50.140511811023799</v>
          </cell>
          <cell r="H889">
            <v>50.140511811023799</v>
          </cell>
          <cell r="I889" t="e">
            <v>#N/A</v>
          </cell>
          <cell r="J889" t="e">
            <v>#N/A</v>
          </cell>
          <cell r="K889">
            <v>105</v>
          </cell>
          <cell r="L889">
            <v>55</v>
          </cell>
          <cell r="M889" t="e">
            <v>#N/A</v>
          </cell>
          <cell r="N889">
            <v>90</v>
          </cell>
          <cell r="O889" t="e">
            <v>#N/A</v>
          </cell>
          <cell r="P889" t="str">
            <v/>
          </cell>
          <cell r="Q889" t="str">
            <v/>
          </cell>
          <cell r="R889">
            <v>90</v>
          </cell>
        </row>
        <row r="890">
          <cell r="A890" t="str">
            <v/>
          </cell>
          <cell r="B890" t="str">
            <v/>
          </cell>
          <cell r="C890" t="str">
            <v>Future</v>
          </cell>
          <cell r="D890" t="e">
            <v>#N/A</v>
          </cell>
          <cell r="E890">
            <v>-21.812362204724671</v>
          </cell>
          <cell r="F890">
            <v>115.43173228346561</v>
          </cell>
          <cell r="G890">
            <v>50.077401574803325</v>
          </cell>
          <cell r="H890">
            <v>50.077401574803325</v>
          </cell>
          <cell r="I890" t="e">
            <v>#N/A</v>
          </cell>
          <cell r="J890" t="e">
            <v>#N/A</v>
          </cell>
          <cell r="K890">
            <v>105</v>
          </cell>
          <cell r="L890">
            <v>55</v>
          </cell>
          <cell r="M890" t="e">
            <v>#N/A</v>
          </cell>
          <cell r="N890">
            <v>90</v>
          </cell>
          <cell r="O890" t="e">
            <v>#N/A</v>
          </cell>
          <cell r="P890" t="str">
            <v/>
          </cell>
          <cell r="Q890" t="str">
            <v/>
          </cell>
          <cell r="R890">
            <v>90</v>
          </cell>
        </row>
        <row r="891">
          <cell r="A891" t="str">
            <v/>
          </cell>
          <cell r="B891" t="str">
            <v/>
          </cell>
          <cell r="C891" t="str">
            <v>Future</v>
          </cell>
          <cell r="D891" t="e">
            <v>#N/A</v>
          </cell>
          <cell r="E891">
            <v>-22.092007874016009</v>
          </cell>
          <cell r="F891">
            <v>115.56547244094592</v>
          </cell>
          <cell r="G891">
            <v>50.014291338582851</v>
          </cell>
          <cell r="H891">
            <v>50.014291338582851</v>
          </cell>
          <cell r="I891" t="e">
            <v>#N/A</v>
          </cell>
          <cell r="J891" t="e">
            <v>#N/A</v>
          </cell>
          <cell r="K891">
            <v>105</v>
          </cell>
          <cell r="L891">
            <v>55</v>
          </cell>
          <cell r="M891" t="e">
            <v>#N/A</v>
          </cell>
          <cell r="N891">
            <v>90</v>
          </cell>
          <cell r="O891" t="e">
            <v>#N/A</v>
          </cell>
          <cell r="P891" t="str">
            <v/>
          </cell>
          <cell r="Q891" t="str">
            <v/>
          </cell>
          <cell r="R891">
            <v>90</v>
          </cell>
        </row>
        <row r="892">
          <cell r="A892" t="str">
            <v/>
          </cell>
          <cell r="B892" t="str">
            <v/>
          </cell>
          <cell r="C892" t="str">
            <v>Future</v>
          </cell>
          <cell r="D892" t="e">
            <v>#N/A</v>
          </cell>
          <cell r="E892">
            <v>-22.371653543307346</v>
          </cell>
          <cell r="F892">
            <v>115.69921259842624</v>
          </cell>
          <cell r="G892">
            <v>49.951181102362376</v>
          </cell>
          <cell r="H892">
            <v>49.951181102362376</v>
          </cell>
          <cell r="I892" t="e">
            <v>#N/A</v>
          </cell>
          <cell r="J892" t="e">
            <v>#N/A</v>
          </cell>
          <cell r="K892">
            <v>105</v>
          </cell>
          <cell r="L892">
            <v>55</v>
          </cell>
          <cell r="M892" t="e">
            <v>#N/A</v>
          </cell>
          <cell r="N892">
            <v>90</v>
          </cell>
          <cell r="O892" t="e">
            <v>#N/A</v>
          </cell>
          <cell r="P892" t="str">
            <v/>
          </cell>
          <cell r="Q892" t="str">
            <v/>
          </cell>
          <cell r="R892">
            <v>90</v>
          </cell>
        </row>
        <row r="893">
          <cell r="A893" t="str">
            <v/>
          </cell>
          <cell r="B893" t="str">
            <v/>
          </cell>
          <cell r="C893" t="str">
            <v>Future</v>
          </cell>
          <cell r="D893" t="e">
            <v>#N/A</v>
          </cell>
          <cell r="E893">
            <v>-22.651299212598683</v>
          </cell>
          <cell r="F893">
            <v>115.83295275590656</v>
          </cell>
          <cell r="G893">
            <v>49.888070866141902</v>
          </cell>
          <cell r="H893">
            <v>49.888070866141902</v>
          </cell>
          <cell r="I893" t="e">
            <v>#N/A</v>
          </cell>
          <cell r="J893" t="e">
            <v>#N/A</v>
          </cell>
          <cell r="K893">
            <v>105</v>
          </cell>
          <cell r="L893">
            <v>55</v>
          </cell>
          <cell r="M893" t="e">
            <v>#N/A</v>
          </cell>
          <cell r="N893">
            <v>90</v>
          </cell>
          <cell r="O893" t="e">
            <v>#N/A</v>
          </cell>
          <cell r="P893" t="str">
            <v/>
          </cell>
          <cell r="Q893" t="str">
            <v/>
          </cell>
          <cell r="R893">
            <v>90</v>
          </cell>
        </row>
        <row r="894">
          <cell r="A894" t="str">
            <v/>
          </cell>
          <cell r="B894" t="str">
            <v/>
          </cell>
          <cell r="C894" t="str">
            <v>Future</v>
          </cell>
          <cell r="D894" t="e">
            <v>#N/A</v>
          </cell>
          <cell r="E894">
            <v>-22.930944881890021</v>
          </cell>
          <cell r="F894">
            <v>115.96669291338688</v>
          </cell>
          <cell r="G894">
            <v>49.824960629921428</v>
          </cell>
          <cell r="H894">
            <v>49.824960629921428</v>
          </cell>
          <cell r="I894" t="e">
            <v>#N/A</v>
          </cell>
          <cell r="J894" t="e">
            <v>#N/A</v>
          </cell>
          <cell r="K894">
            <v>105</v>
          </cell>
          <cell r="L894">
            <v>55</v>
          </cell>
          <cell r="M894" t="e">
            <v>#N/A</v>
          </cell>
          <cell r="N894">
            <v>90</v>
          </cell>
          <cell r="O894" t="e">
            <v>#N/A</v>
          </cell>
          <cell r="P894" t="str">
            <v/>
          </cell>
          <cell r="Q894" t="str">
            <v/>
          </cell>
          <cell r="R894">
            <v>90</v>
          </cell>
        </row>
        <row r="895">
          <cell r="A895" t="str">
            <v/>
          </cell>
          <cell r="B895" t="str">
            <v/>
          </cell>
          <cell r="C895" t="str">
            <v>Future</v>
          </cell>
          <cell r="D895" t="e">
            <v>#N/A</v>
          </cell>
          <cell r="E895">
            <v>-23.210590551181358</v>
          </cell>
          <cell r="F895">
            <v>116.1004330708672</v>
          </cell>
          <cell r="G895">
            <v>49.761850393700954</v>
          </cell>
          <cell r="H895">
            <v>49.761850393700954</v>
          </cell>
          <cell r="I895" t="e">
            <v>#N/A</v>
          </cell>
          <cell r="J895" t="e">
            <v>#N/A</v>
          </cell>
          <cell r="K895">
            <v>105</v>
          </cell>
          <cell r="L895">
            <v>55</v>
          </cell>
          <cell r="M895" t="e">
            <v>#N/A</v>
          </cell>
          <cell r="N895">
            <v>90</v>
          </cell>
          <cell r="O895" t="e">
            <v>#N/A</v>
          </cell>
          <cell r="P895" t="str">
            <v/>
          </cell>
          <cell r="Q895" t="str">
            <v/>
          </cell>
          <cell r="R895">
            <v>90</v>
          </cell>
        </row>
        <row r="896">
          <cell r="A896" t="str">
            <v/>
          </cell>
          <cell r="B896" t="str">
            <v/>
          </cell>
          <cell r="C896" t="str">
            <v>Future</v>
          </cell>
          <cell r="D896" t="e">
            <v>#N/A</v>
          </cell>
          <cell r="E896">
            <v>-23.490236220472696</v>
          </cell>
          <cell r="F896">
            <v>116.23417322834752</v>
          </cell>
          <cell r="G896">
            <v>49.698740157480479</v>
          </cell>
          <cell r="H896">
            <v>49.698740157480479</v>
          </cell>
          <cell r="I896" t="e">
            <v>#N/A</v>
          </cell>
          <cell r="J896" t="e">
            <v>#N/A</v>
          </cell>
          <cell r="K896">
            <v>105</v>
          </cell>
          <cell r="L896">
            <v>55</v>
          </cell>
          <cell r="M896" t="e">
            <v>#N/A</v>
          </cell>
          <cell r="N896">
            <v>90</v>
          </cell>
          <cell r="O896" t="e">
            <v>#N/A</v>
          </cell>
          <cell r="P896" t="str">
            <v/>
          </cell>
          <cell r="Q896" t="str">
            <v/>
          </cell>
          <cell r="R896">
            <v>90</v>
          </cell>
        </row>
        <row r="897">
          <cell r="A897" t="str">
            <v/>
          </cell>
          <cell r="B897" t="str">
            <v/>
          </cell>
          <cell r="C897" t="str">
            <v>Future</v>
          </cell>
          <cell r="D897" t="e">
            <v>#N/A</v>
          </cell>
          <cell r="E897">
            <v>-23.769881889764033</v>
          </cell>
          <cell r="F897">
            <v>116.36791338582783</v>
          </cell>
          <cell r="G897">
            <v>49.635629921260005</v>
          </cell>
          <cell r="H897">
            <v>49.635629921260005</v>
          </cell>
          <cell r="I897" t="e">
            <v>#N/A</v>
          </cell>
          <cell r="J897" t="e">
            <v>#N/A</v>
          </cell>
          <cell r="K897">
            <v>105</v>
          </cell>
          <cell r="L897">
            <v>55</v>
          </cell>
          <cell r="M897" t="e">
            <v>#N/A</v>
          </cell>
          <cell r="N897">
            <v>90</v>
          </cell>
          <cell r="O897" t="e">
            <v>#N/A</v>
          </cell>
          <cell r="P897" t="str">
            <v/>
          </cell>
          <cell r="Q897" t="str">
            <v/>
          </cell>
          <cell r="R897">
            <v>90</v>
          </cell>
        </row>
        <row r="898">
          <cell r="A898" t="str">
            <v/>
          </cell>
          <cell r="B898" t="str">
            <v/>
          </cell>
          <cell r="C898" t="str">
            <v>Future</v>
          </cell>
          <cell r="D898" t="e">
            <v>#N/A</v>
          </cell>
          <cell r="E898">
            <v>-24.04952755905537</v>
          </cell>
          <cell r="F898">
            <v>116.50165354330815</v>
          </cell>
          <cell r="G898">
            <v>49.572519685039531</v>
          </cell>
          <cell r="H898">
            <v>49.572519685039531</v>
          </cell>
          <cell r="I898" t="e">
            <v>#N/A</v>
          </cell>
          <cell r="J898" t="e">
            <v>#N/A</v>
          </cell>
          <cell r="K898">
            <v>105</v>
          </cell>
          <cell r="L898">
            <v>55</v>
          </cell>
          <cell r="M898" t="e">
            <v>#N/A</v>
          </cell>
          <cell r="N898">
            <v>90</v>
          </cell>
          <cell r="O898" t="e">
            <v>#N/A</v>
          </cell>
          <cell r="P898" t="str">
            <v/>
          </cell>
          <cell r="Q898" t="str">
            <v/>
          </cell>
          <cell r="R898">
            <v>90</v>
          </cell>
        </row>
        <row r="899">
          <cell r="A899" t="str">
            <v/>
          </cell>
          <cell r="B899" t="str">
            <v/>
          </cell>
          <cell r="C899" t="str">
            <v>Future</v>
          </cell>
          <cell r="D899" t="e">
            <v>#N/A</v>
          </cell>
          <cell r="E899">
            <v>-24.329173228346708</v>
          </cell>
          <cell r="F899">
            <v>116.63539370078847</v>
          </cell>
          <cell r="G899">
            <v>49.509409448819056</v>
          </cell>
          <cell r="H899">
            <v>49.509409448819056</v>
          </cell>
          <cell r="I899" t="e">
            <v>#N/A</v>
          </cell>
          <cell r="J899" t="e">
            <v>#N/A</v>
          </cell>
          <cell r="K899">
            <v>105</v>
          </cell>
          <cell r="L899">
            <v>55</v>
          </cell>
          <cell r="M899" t="e">
            <v>#N/A</v>
          </cell>
          <cell r="N899">
            <v>90</v>
          </cell>
          <cell r="O899" t="e">
            <v>#N/A</v>
          </cell>
          <cell r="P899" t="str">
            <v/>
          </cell>
          <cell r="Q899" t="str">
            <v/>
          </cell>
          <cell r="R899">
            <v>90</v>
          </cell>
        </row>
        <row r="900">
          <cell r="A900" t="str">
            <v/>
          </cell>
          <cell r="B900" t="str">
            <v/>
          </cell>
          <cell r="C900" t="str">
            <v>Future</v>
          </cell>
          <cell r="D900" t="e">
            <v>#N/A</v>
          </cell>
          <cell r="E900">
            <v>-24.608818897638045</v>
          </cell>
          <cell r="F900">
            <v>116.76913385826879</v>
          </cell>
          <cell r="G900">
            <v>49.446299212598582</v>
          </cell>
          <cell r="H900">
            <v>49.446299212598582</v>
          </cell>
          <cell r="I900" t="e">
            <v>#N/A</v>
          </cell>
          <cell r="J900" t="e">
            <v>#N/A</v>
          </cell>
          <cell r="K900">
            <v>105</v>
          </cell>
          <cell r="L900">
            <v>55</v>
          </cell>
          <cell r="M900" t="e">
            <v>#N/A</v>
          </cell>
          <cell r="N900">
            <v>90</v>
          </cell>
          <cell r="O900" t="e">
            <v>#N/A</v>
          </cell>
          <cell r="P900" t="str">
            <v/>
          </cell>
          <cell r="Q900" t="str">
            <v/>
          </cell>
          <cell r="R900">
            <v>90</v>
          </cell>
        </row>
        <row r="901">
          <cell r="A901" t="str">
            <v/>
          </cell>
          <cell r="B901" t="str">
            <v/>
          </cell>
          <cell r="C901" t="str">
            <v>Future</v>
          </cell>
          <cell r="D901" t="e">
            <v>#N/A</v>
          </cell>
          <cell r="E901">
            <v>-24.888464566929382</v>
          </cell>
          <cell r="F901">
            <v>116.90287401574911</v>
          </cell>
          <cell r="G901">
            <v>49.383188976378108</v>
          </cell>
          <cell r="H901">
            <v>49.383188976378108</v>
          </cell>
          <cell r="I901" t="e">
            <v>#N/A</v>
          </cell>
          <cell r="J901" t="e">
            <v>#N/A</v>
          </cell>
          <cell r="K901">
            <v>105</v>
          </cell>
          <cell r="L901">
            <v>55</v>
          </cell>
          <cell r="M901" t="e">
            <v>#N/A</v>
          </cell>
          <cell r="N901">
            <v>90</v>
          </cell>
          <cell r="O901" t="e">
            <v>#N/A</v>
          </cell>
          <cell r="P901" t="str">
            <v/>
          </cell>
          <cell r="Q901" t="str">
            <v/>
          </cell>
          <cell r="R901">
            <v>90</v>
          </cell>
        </row>
        <row r="902">
          <cell r="A902" t="str">
            <v/>
          </cell>
          <cell r="B902" t="str">
            <v/>
          </cell>
          <cell r="C902" t="str">
            <v>Future</v>
          </cell>
          <cell r="D902" t="e">
            <v>#N/A</v>
          </cell>
          <cell r="E902">
            <v>-25.16811023622072</v>
          </cell>
          <cell r="F902">
            <v>117.03661417322942</v>
          </cell>
          <cell r="G902">
            <v>49.320078740157633</v>
          </cell>
          <cell r="H902">
            <v>49.320078740157633</v>
          </cell>
          <cell r="I902" t="e">
            <v>#N/A</v>
          </cell>
          <cell r="J902" t="e">
            <v>#N/A</v>
          </cell>
          <cell r="K902">
            <v>105</v>
          </cell>
          <cell r="L902">
            <v>55</v>
          </cell>
          <cell r="M902" t="e">
            <v>#N/A</v>
          </cell>
          <cell r="N902">
            <v>90</v>
          </cell>
          <cell r="O902" t="e">
            <v>#N/A</v>
          </cell>
          <cell r="P902" t="str">
            <v/>
          </cell>
          <cell r="Q902" t="str">
            <v/>
          </cell>
          <cell r="R902">
            <v>90</v>
          </cell>
        </row>
        <row r="903">
          <cell r="A903" t="str">
            <v/>
          </cell>
          <cell r="B903" t="str">
            <v/>
          </cell>
          <cell r="C903" t="str">
            <v>Future</v>
          </cell>
          <cell r="D903" t="e">
            <v>#N/A</v>
          </cell>
          <cell r="E903">
            <v>-25.447755905512057</v>
          </cell>
          <cell r="F903">
            <v>117.17035433070974</v>
          </cell>
          <cell r="G903">
            <v>49.256968503937159</v>
          </cell>
          <cell r="H903">
            <v>49.256968503937159</v>
          </cell>
          <cell r="I903" t="e">
            <v>#N/A</v>
          </cell>
          <cell r="J903" t="e">
            <v>#N/A</v>
          </cell>
          <cell r="K903">
            <v>105</v>
          </cell>
          <cell r="L903">
            <v>55</v>
          </cell>
          <cell r="M903" t="e">
            <v>#N/A</v>
          </cell>
          <cell r="N903">
            <v>90</v>
          </cell>
          <cell r="O903" t="e">
            <v>#N/A</v>
          </cell>
          <cell r="P903" t="str">
            <v/>
          </cell>
          <cell r="Q903" t="str">
            <v/>
          </cell>
          <cell r="R903">
            <v>90</v>
          </cell>
        </row>
        <row r="904">
          <cell r="A904" t="str">
            <v/>
          </cell>
          <cell r="B904" t="str">
            <v/>
          </cell>
          <cell r="C904" t="str">
            <v>Future</v>
          </cell>
          <cell r="D904" t="e">
            <v>#N/A</v>
          </cell>
          <cell r="E904">
            <v>-25.727401574803395</v>
          </cell>
          <cell r="F904">
            <v>117.30409448819006</v>
          </cell>
          <cell r="G904">
            <v>49.193858267716685</v>
          </cell>
          <cell r="H904">
            <v>49.193858267716685</v>
          </cell>
          <cell r="I904" t="e">
            <v>#N/A</v>
          </cell>
          <cell r="J904" t="e">
            <v>#N/A</v>
          </cell>
          <cell r="K904">
            <v>105</v>
          </cell>
          <cell r="L904">
            <v>55</v>
          </cell>
          <cell r="M904" t="e">
            <v>#N/A</v>
          </cell>
          <cell r="N904">
            <v>90</v>
          </cell>
          <cell r="O904" t="e">
            <v>#N/A</v>
          </cell>
          <cell r="P904" t="str">
            <v/>
          </cell>
          <cell r="Q904" t="str">
            <v/>
          </cell>
          <cell r="R904">
            <v>90</v>
          </cell>
        </row>
        <row r="905">
          <cell r="A905" t="str">
            <v/>
          </cell>
          <cell r="B905" t="str">
            <v/>
          </cell>
          <cell r="C905" t="str">
            <v>Future</v>
          </cell>
          <cell r="D905" t="e">
            <v>#N/A</v>
          </cell>
          <cell r="E905">
            <v>-26.007047244094732</v>
          </cell>
          <cell r="F905">
            <v>117.43783464567038</v>
          </cell>
          <cell r="G905">
            <v>49.130748031496211</v>
          </cell>
          <cell r="H905">
            <v>49.130748031496211</v>
          </cell>
          <cell r="I905" t="e">
            <v>#N/A</v>
          </cell>
          <cell r="J905" t="e">
            <v>#N/A</v>
          </cell>
          <cell r="K905">
            <v>105</v>
          </cell>
          <cell r="L905">
            <v>55</v>
          </cell>
          <cell r="M905" t="e">
            <v>#N/A</v>
          </cell>
          <cell r="N905">
            <v>90</v>
          </cell>
          <cell r="O905" t="e">
            <v>#N/A</v>
          </cell>
          <cell r="P905" t="str">
            <v/>
          </cell>
          <cell r="Q905" t="str">
            <v/>
          </cell>
          <cell r="R905">
            <v>90</v>
          </cell>
        </row>
        <row r="906">
          <cell r="A906" t="str">
            <v/>
          </cell>
          <cell r="B906" t="str">
            <v/>
          </cell>
          <cell r="C906" t="str">
            <v>Future</v>
          </cell>
          <cell r="D906" t="e">
            <v>#N/A</v>
          </cell>
          <cell r="E906">
            <v>-26.286692913386069</v>
          </cell>
          <cell r="F906">
            <v>117.5715748031507</v>
          </cell>
          <cell r="G906">
            <v>49.067637795275736</v>
          </cell>
          <cell r="H906">
            <v>49.067637795275736</v>
          </cell>
          <cell r="I906" t="e">
            <v>#N/A</v>
          </cell>
          <cell r="J906" t="e">
            <v>#N/A</v>
          </cell>
          <cell r="K906">
            <v>105</v>
          </cell>
          <cell r="L906">
            <v>55</v>
          </cell>
          <cell r="M906" t="e">
            <v>#N/A</v>
          </cell>
          <cell r="N906">
            <v>90</v>
          </cell>
          <cell r="O906" t="e">
            <v>#N/A</v>
          </cell>
          <cell r="P906" t="str">
            <v/>
          </cell>
          <cell r="Q906" t="str">
            <v/>
          </cell>
          <cell r="R906">
            <v>90</v>
          </cell>
        </row>
        <row r="907">
          <cell r="A907" t="str">
            <v/>
          </cell>
          <cell r="B907" t="str">
            <v/>
          </cell>
          <cell r="C907" t="str">
            <v>Future</v>
          </cell>
          <cell r="D907" t="e">
            <v>#N/A</v>
          </cell>
          <cell r="E907">
            <v>-26.566338582677407</v>
          </cell>
          <cell r="F907">
            <v>117.70531496063101</v>
          </cell>
          <cell r="G907">
            <v>49.004527559055262</v>
          </cell>
          <cell r="H907">
            <v>49.004527559055262</v>
          </cell>
          <cell r="I907" t="e">
            <v>#N/A</v>
          </cell>
          <cell r="J907" t="e">
            <v>#N/A</v>
          </cell>
          <cell r="K907">
            <v>105</v>
          </cell>
          <cell r="L907">
            <v>55</v>
          </cell>
          <cell r="M907" t="e">
            <v>#N/A</v>
          </cell>
          <cell r="N907">
            <v>90</v>
          </cell>
          <cell r="O907" t="e">
            <v>#N/A</v>
          </cell>
          <cell r="P907" t="str">
            <v/>
          </cell>
          <cell r="Q907" t="str">
            <v/>
          </cell>
          <cell r="R907">
            <v>90</v>
          </cell>
        </row>
        <row r="908">
          <cell r="A908" t="str">
            <v/>
          </cell>
          <cell r="B908" t="str">
            <v/>
          </cell>
          <cell r="C908" t="str">
            <v>Future</v>
          </cell>
          <cell r="D908" t="e">
            <v>#N/A</v>
          </cell>
          <cell r="E908">
            <v>-26.845984251968744</v>
          </cell>
          <cell r="F908">
            <v>117.83905511811133</v>
          </cell>
          <cell r="G908">
            <v>48.941417322834788</v>
          </cell>
          <cell r="H908">
            <v>48.941417322834788</v>
          </cell>
          <cell r="I908" t="e">
            <v>#N/A</v>
          </cell>
          <cell r="J908" t="e">
            <v>#N/A</v>
          </cell>
          <cell r="K908">
            <v>105</v>
          </cell>
          <cell r="L908">
            <v>55</v>
          </cell>
          <cell r="M908" t="e">
            <v>#N/A</v>
          </cell>
          <cell r="N908">
            <v>90</v>
          </cell>
          <cell r="O908" t="e">
            <v>#N/A</v>
          </cell>
          <cell r="P908" t="str">
            <v/>
          </cell>
          <cell r="Q908" t="str">
            <v/>
          </cell>
          <cell r="R908">
            <v>90</v>
          </cell>
        </row>
        <row r="909">
          <cell r="A909" t="str">
            <v/>
          </cell>
          <cell r="B909" t="str">
            <v/>
          </cell>
          <cell r="C909" t="str">
            <v>Future</v>
          </cell>
          <cell r="D909" t="e">
            <v>#N/A</v>
          </cell>
          <cell r="E909">
            <v>-27.125629921260082</v>
          </cell>
          <cell r="F909">
            <v>117.97279527559165</v>
          </cell>
          <cell r="G909">
            <v>48.878307086614313</v>
          </cell>
          <cell r="H909">
            <v>48.878307086614313</v>
          </cell>
          <cell r="I909" t="e">
            <v>#N/A</v>
          </cell>
          <cell r="J909" t="e">
            <v>#N/A</v>
          </cell>
          <cell r="K909">
            <v>105</v>
          </cell>
          <cell r="L909">
            <v>55</v>
          </cell>
          <cell r="M909" t="e">
            <v>#N/A</v>
          </cell>
          <cell r="N909">
            <v>90</v>
          </cell>
          <cell r="O909" t="e">
            <v>#N/A</v>
          </cell>
          <cell r="P909" t="str">
            <v/>
          </cell>
          <cell r="Q909" t="str">
            <v/>
          </cell>
          <cell r="R909">
            <v>90</v>
          </cell>
        </row>
        <row r="910">
          <cell r="A910" t="str">
            <v/>
          </cell>
          <cell r="B910" t="str">
            <v/>
          </cell>
          <cell r="C910" t="str">
            <v>Future</v>
          </cell>
          <cell r="D910" t="e">
            <v>#N/A</v>
          </cell>
          <cell r="E910">
            <v>-27.405275590551419</v>
          </cell>
          <cell r="F910">
            <v>118.10653543307197</v>
          </cell>
          <cell r="G910">
            <v>48.815196850393839</v>
          </cell>
          <cell r="H910">
            <v>48.815196850393839</v>
          </cell>
          <cell r="I910" t="e">
            <v>#N/A</v>
          </cell>
          <cell r="J910" t="e">
            <v>#N/A</v>
          </cell>
          <cell r="K910">
            <v>105</v>
          </cell>
          <cell r="L910">
            <v>55</v>
          </cell>
          <cell r="M910" t="e">
            <v>#N/A</v>
          </cell>
          <cell r="N910">
            <v>90</v>
          </cell>
          <cell r="O910" t="e">
            <v>#N/A</v>
          </cell>
          <cell r="P910" t="str">
            <v/>
          </cell>
          <cell r="Q910" t="str">
            <v/>
          </cell>
          <cell r="R910">
            <v>90</v>
          </cell>
        </row>
        <row r="911">
          <cell r="A911" t="str">
            <v/>
          </cell>
          <cell r="B911" t="str">
            <v/>
          </cell>
          <cell r="C911" t="str">
            <v>Future</v>
          </cell>
          <cell r="D911" t="e">
            <v>#N/A</v>
          </cell>
          <cell r="E911">
            <v>-27.684921259842756</v>
          </cell>
          <cell r="F911">
            <v>118.24027559055229</v>
          </cell>
          <cell r="G911">
            <v>48.752086614173365</v>
          </cell>
          <cell r="H911">
            <v>48.752086614173365</v>
          </cell>
          <cell r="I911" t="e">
            <v>#N/A</v>
          </cell>
          <cell r="J911" t="e">
            <v>#N/A</v>
          </cell>
          <cell r="K911">
            <v>105</v>
          </cell>
          <cell r="L911">
            <v>55</v>
          </cell>
          <cell r="M911" t="e">
            <v>#N/A</v>
          </cell>
          <cell r="N911">
            <v>90</v>
          </cell>
          <cell r="O911" t="e">
            <v>#N/A</v>
          </cell>
          <cell r="P911" t="str">
            <v/>
          </cell>
          <cell r="Q911" t="str">
            <v/>
          </cell>
          <cell r="R911">
            <v>90</v>
          </cell>
        </row>
        <row r="912">
          <cell r="A912" t="str">
            <v/>
          </cell>
          <cell r="B912" t="str">
            <v/>
          </cell>
          <cell r="C912" t="str">
            <v>Future</v>
          </cell>
          <cell r="D912" t="e">
            <v>#N/A</v>
          </cell>
          <cell r="E912">
            <v>-27.964566929134094</v>
          </cell>
          <cell r="F912">
            <v>118.3740157480326</v>
          </cell>
          <cell r="G912">
            <v>48.688976377952891</v>
          </cell>
          <cell r="H912">
            <v>48.688976377952891</v>
          </cell>
          <cell r="I912" t="e">
            <v>#N/A</v>
          </cell>
          <cell r="J912" t="e">
            <v>#N/A</v>
          </cell>
          <cell r="K912">
            <v>105</v>
          </cell>
          <cell r="L912">
            <v>55</v>
          </cell>
          <cell r="M912" t="e">
            <v>#N/A</v>
          </cell>
          <cell r="N912">
            <v>90</v>
          </cell>
          <cell r="O912" t="e">
            <v>#N/A</v>
          </cell>
          <cell r="P912" t="str">
            <v/>
          </cell>
          <cell r="Q912" t="str">
            <v/>
          </cell>
          <cell r="R912">
            <v>90</v>
          </cell>
        </row>
        <row r="913">
          <cell r="A913" t="str">
            <v/>
          </cell>
          <cell r="B913" t="str">
            <v/>
          </cell>
          <cell r="C913" t="str">
            <v>Future</v>
          </cell>
          <cell r="D913" t="e">
            <v>#N/A</v>
          </cell>
          <cell r="E913">
            <v>-28.244212598425431</v>
          </cell>
          <cell r="F913">
            <v>118.50775590551292</v>
          </cell>
          <cell r="G913">
            <v>48.625866141732416</v>
          </cell>
          <cell r="H913">
            <v>48.625866141732416</v>
          </cell>
          <cell r="I913" t="e">
            <v>#N/A</v>
          </cell>
          <cell r="J913" t="e">
            <v>#N/A</v>
          </cell>
          <cell r="K913">
            <v>105</v>
          </cell>
          <cell r="L913">
            <v>55</v>
          </cell>
          <cell r="M913" t="e">
            <v>#N/A</v>
          </cell>
          <cell r="N913">
            <v>90</v>
          </cell>
          <cell r="O913" t="e">
            <v>#N/A</v>
          </cell>
          <cell r="P913" t="str">
            <v/>
          </cell>
          <cell r="Q913" t="str">
            <v/>
          </cell>
          <cell r="R913">
            <v>90</v>
          </cell>
        </row>
        <row r="914">
          <cell r="A914" t="str">
            <v/>
          </cell>
          <cell r="B914" t="str">
            <v/>
          </cell>
          <cell r="C914" t="str">
            <v>Future</v>
          </cell>
          <cell r="D914" t="e">
            <v>#N/A</v>
          </cell>
          <cell r="E914">
            <v>-28.523858267716768</v>
          </cell>
          <cell r="F914">
            <v>118.64149606299324</v>
          </cell>
          <cell r="G914">
            <v>48.562755905511942</v>
          </cell>
          <cell r="H914">
            <v>48.562755905511942</v>
          </cell>
          <cell r="I914" t="e">
            <v>#N/A</v>
          </cell>
          <cell r="J914" t="e">
            <v>#N/A</v>
          </cell>
          <cell r="K914">
            <v>105</v>
          </cell>
          <cell r="L914">
            <v>55</v>
          </cell>
          <cell r="M914" t="e">
            <v>#N/A</v>
          </cell>
          <cell r="N914">
            <v>90</v>
          </cell>
          <cell r="O914" t="e">
            <v>#N/A</v>
          </cell>
          <cell r="P914" t="str">
            <v/>
          </cell>
          <cell r="Q914" t="str">
            <v/>
          </cell>
          <cell r="R914">
            <v>90</v>
          </cell>
        </row>
        <row r="915">
          <cell r="A915" t="str">
            <v/>
          </cell>
          <cell r="B915" t="str">
            <v/>
          </cell>
          <cell r="C915" t="str">
            <v>Future</v>
          </cell>
          <cell r="D915" t="e">
            <v>#N/A</v>
          </cell>
          <cell r="E915">
            <v>-28.803503937008106</v>
          </cell>
          <cell r="F915">
            <v>118.77523622047356</v>
          </cell>
          <cell r="G915">
            <v>48.499645669291468</v>
          </cell>
          <cell r="H915">
            <v>48.499645669291468</v>
          </cell>
          <cell r="I915" t="e">
            <v>#N/A</v>
          </cell>
          <cell r="J915" t="e">
            <v>#N/A</v>
          </cell>
          <cell r="K915">
            <v>105</v>
          </cell>
          <cell r="L915">
            <v>55</v>
          </cell>
          <cell r="M915" t="e">
            <v>#N/A</v>
          </cell>
          <cell r="N915">
            <v>90</v>
          </cell>
          <cell r="O915" t="e">
            <v>#N/A</v>
          </cell>
          <cell r="P915" t="str">
            <v/>
          </cell>
          <cell r="Q915" t="str">
            <v/>
          </cell>
          <cell r="R915">
            <v>90</v>
          </cell>
        </row>
        <row r="916">
          <cell r="A916" t="str">
            <v/>
          </cell>
          <cell r="B916" t="str">
            <v/>
          </cell>
          <cell r="C916" t="str">
            <v>Future</v>
          </cell>
          <cell r="D916" t="e">
            <v>#N/A</v>
          </cell>
          <cell r="E916">
            <v>-29.083149606299443</v>
          </cell>
          <cell r="F916">
            <v>118.90897637795388</v>
          </cell>
          <cell r="G916">
            <v>48.436535433070993</v>
          </cell>
          <cell r="H916">
            <v>48.436535433070993</v>
          </cell>
          <cell r="I916" t="e">
            <v>#N/A</v>
          </cell>
          <cell r="J916" t="e">
            <v>#N/A</v>
          </cell>
          <cell r="K916">
            <v>105</v>
          </cell>
          <cell r="L916">
            <v>55</v>
          </cell>
          <cell r="M916" t="e">
            <v>#N/A</v>
          </cell>
          <cell r="N916">
            <v>90</v>
          </cell>
          <cell r="O916" t="e">
            <v>#N/A</v>
          </cell>
          <cell r="P916" t="str">
            <v/>
          </cell>
          <cell r="Q916" t="str">
            <v/>
          </cell>
          <cell r="R916">
            <v>90</v>
          </cell>
        </row>
        <row r="917">
          <cell r="A917" t="str">
            <v/>
          </cell>
          <cell r="B917" t="str">
            <v/>
          </cell>
          <cell r="C917" t="str">
            <v>Future</v>
          </cell>
          <cell r="D917" t="e">
            <v>#N/A</v>
          </cell>
          <cell r="E917">
            <v>-29.362795275590781</v>
          </cell>
          <cell r="F917">
            <v>119.0427165354342</v>
          </cell>
          <cell r="G917">
            <v>48.373425196850519</v>
          </cell>
          <cell r="H917">
            <v>48.373425196850519</v>
          </cell>
          <cell r="I917" t="e">
            <v>#N/A</v>
          </cell>
          <cell r="J917" t="e">
            <v>#N/A</v>
          </cell>
          <cell r="K917">
            <v>105</v>
          </cell>
          <cell r="L917">
            <v>55</v>
          </cell>
          <cell r="M917" t="e">
            <v>#N/A</v>
          </cell>
          <cell r="N917">
            <v>90</v>
          </cell>
          <cell r="O917" t="e">
            <v>#N/A</v>
          </cell>
          <cell r="P917" t="str">
            <v/>
          </cell>
          <cell r="Q917" t="str">
            <v/>
          </cell>
          <cell r="R917">
            <v>90</v>
          </cell>
        </row>
        <row r="918">
          <cell r="A918" t="str">
            <v/>
          </cell>
          <cell r="B918" t="str">
            <v/>
          </cell>
          <cell r="C918" t="str">
            <v>Future</v>
          </cell>
          <cell r="D918" t="e">
            <v>#N/A</v>
          </cell>
          <cell r="E918">
            <v>-29.642440944882118</v>
          </cell>
          <cell r="F918">
            <v>119.17645669291451</v>
          </cell>
          <cell r="G918">
            <v>48.310314960630045</v>
          </cell>
          <cell r="H918">
            <v>48.310314960630045</v>
          </cell>
          <cell r="I918" t="e">
            <v>#N/A</v>
          </cell>
          <cell r="J918" t="e">
            <v>#N/A</v>
          </cell>
          <cell r="K918">
            <v>105</v>
          </cell>
          <cell r="L918">
            <v>55</v>
          </cell>
          <cell r="M918" t="e">
            <v>#N/A</v>
          </cell>
          <cell r="N918">
            <v>90</v>
          </cell>
          <cell r="O918" t="e">
            <v>#N/A</v>
          </cell>
          <cell r="P918" t="str">
            <v/>
          </cell>
          <cell r="Q918" t="str">
            <v/>
          </cell>
          <cell r="R918">
            <v>90</v>
          </cell>
        </row>
        <row r="919">
          <cell r="A919" t="str">
            <v/>
          </cell>
          <cell r="B919" t="str">
            <v/>
          </cell>
          <cell r="C919" t="str">
            <v>Future</v>
          </cell>
          <cell r="D919" t="e">
            <v>#N/A</v>
          </cell>
          <cell r="E919">
            <v>-29.922086614173455</v>
          </cell>
          <cell r="F919">
            <v>119.31019685039483</v>
          </cell>
          <cell r="G919">
            <v>48.247204724409571</v>
          </cell>
          <cell r="H919">
            <v>48.247204724409571</v>
          </cell>
          <cell r="I919" t="e">
            <v>#N/A</v>
          </cell>
          <cell r="J919" t="e">
            <v>#N/A</v>
          </cell>
          <cell r="K919">
            <v>105</v>
          </cell>
          <cell r="L919">
            <v>55</v>
          </cell>
          <cell r="M919" t="e">
            <v>#N/A</v>
          </cell>
          <cell r="N919">
            <v>90</v>
          </cell>
          <cell r="O919" t="e">
            <v>#N/A</v>
          </cell>
          <cell r="P919" t="str">
            <v/>
          </cell>
          <cell r="Q919" t="str">
            <v/>
          </cell>
          <cell r="R919">
            <v>90</v>
          </cell>
        </row>
        <row r="920">
          <cell r="A920" t="str">
            <v/>
          </cell>
          <cell r="B920" t="str">
            <v/>
          </cell>
          <cell r="C920" t="str">
            <v>Future</v>
          </cell>
          <cell r="D920" t="e">
            <v>#N/A</v>
          </cell>
          <cell r="E920">
            <v>-30.201732283464793</v>
          </cell>
          <cell r="F920">
            <v>119.44393700787515</v>
          </cell>
          <cell r="G920">
            <v>48.184094488189096</v>
          </cell>
          <cell r="H920">
            <v>48.184094488189096</v>
          </cell>
          <cell r="I920" t="e">
            <v>#N/A</v>
          </cell>
          <cell r="J920" t="e">
            <v>#N/A</v>
          </cell>
          <cell r="K920">
            <v>105</v>
          </cell>
          <cell r="L920">
            <v>55</v>
          </cell>
          <cell r="M920" t="e">
            <v>#N/A</v>
          </cell>
          <cell r="N920">
            <v>90</v>
          </cell>
          <cell r="O920" t="e">
            <v>#N/A</v>
          </cell>
          <cell r="P920" t="str">
            <v/>
          </cell>
          <cell r="Q920" t="str">
            <v/>
          </cell>
          <cell r="R920">
            <v>90</v>
          </cell>
        </row>
        <row r="921">
          <cell r="A921" t="str">
            <v/>
          </cell>
          <cell r="B921" t="str">
            <v/>
          </cell>
          <cell r="C921" t="str">
            <v>Future</v>
          </cell>
          <cell r="D921" t="e">
            <v>#N/A</v>
          </cell>
          <cell r="E921">
            <v>-30.48137795275613</v>
          </cell>
          <cell r="F921">
            <v>119.57767716535547</v>
          </cell>
          <cell r="G921">
            <v>48.120984251968622</v>
          </cell>
          <cell r="H921">
            <v>48.120984251968622</v>
          </cell>
          <cell r="I921" t="e">
            <v>#N/A</v>
          </cell>
          <cell r="J921" t="e">
            <v>#N/A</v>
          </cell>
          <cell r="K921">
            <v>105</v>
          </cell>
          <cell r="L921">
            <v>55</v>
          </cell>
          <cell r="M921" t="e">
            <v>#N/A</v>
          </cell>
          <cell r="N921">
            <v>90</v>
          </cell>
          <cell r="O921" t="e">
            <v>#N/A</v>
          </cell>
          <cell r="P921" t="str">
            <v/>
          </cell>
          <cell r="Q921" t="str">
            <v/>
          </cell>
          <cell r="R921">
            <v>90</v>
          </cell>
        </row>
        <row r="922">
          <cell r="A922" t="str">
            <v/>
          </cell>
          <cell r="B922" t="str">
            <v/>
          </cell>
          <cell r="C922" t="str">
            <v>Future</v>
          </cell>
          <cell r="D922" t="e">
            <v>#N/A</v>
          </cell>
          <cell r="E922">
            <v>-30.761023622047468</v>
          </cell>
          <cell r="F922">
            <v>119.71141732283579</v>
          </cell>
          <cell r="G922">
            <v>48.057874015748148</v>
          </cell>
          <cell r="H922">
            <v>48.057874015748148</v>
          </cell>
          <cell r="I922" t="e">
            <v>#N/A</v>
          </cell>
          <cell r="J922" t="e">
            <v>#N/A</v>
          </cell>
          <cell r="K922">
            <v>105</v>
          </cell>
          <cell r="L922">
            <v>55</v>
          </cell>
          <cell r="M922" t="e">
            <v>#N/A</v>
          </cell>
          <cell r="N922">
            <v>90</v>
          </cell>
          <cell r="O922" t="e">
            <v>#N/A</v>
          </cell>
          <cell r="P922" t="str">
            <v/>
          </cell>
          <cell r="Q922" t="str">
            <v/>
          </cell>
          <cell r="R922">
            <v>90</v>
          </cell>
        </row>
        <row r="923">
          <cell r="A923" t="str">
            <v/>
          </cell>
          <cell r="B923" t="str">
            <v/>
          </cell>
          <cell r="C923" t="str">
            <v>Future</v>
          </cell>
          <cell r="D923" t="e">
            <v>#N/A</v>
          </cell>
          <cell r="E923">
            <v>-31.040669291338805</v>
          </cell>
          <cell r="F923">
            <v>119.8451574803161</v>
          </cell>
          <cell r="G923">
            <v>47.994763779527673</v>
          </cell>
          <cell r="H923">
            <v>47.994763779527673</v>
          </cell>
          <cell r="I923" t="e">
            <v>#N/A</v>
          </cell>
          <cell r="J923" t="e">
            <v>#N/A</v>
          </cell>
          <cell r="K923">
            <v>105</v>
          </cell>
          <cell r="L923">
            <v>55</v>
          </cell>
          <cell r="M923" t="e">
            <v>#N/A</v>
          </cell>
          <cell r="N923">
            <v>90</v>
          </cell>
          <cell r="O923" t="e">
            <v>#N/A</v>
          </cell>
          <cell r="P923" t="str">
            <v/>
          </cell>
          <cell r="Q923" t="str">
            <v/>
          </cell>
          <cell r="R923">
            <v>90</v>
          </cell>
        </row>
        <row r="924">
          <cell r="A924" t="str">
            <v/>
          </cell>
          <cell r="B924" t="str">
            <v/>
          </cell>
          <cell r="C924" t="str">
            <v>Future</v>
          </cell>
          <cell r="D924" t="e">
            <v>#N/A</v>
          </cell>
          <cell r="E924">
            <v>-31.320314960630142</v>
          </cell>
          <cell r="F924">
            <v>119.97889763779642</v>
          </cell>
          <cell r="G924">
            <v>47.931653543307199</v>
          </cell>
          <cell r="H924">
            <v>47.931653543307199</v>
          </cell>
          <cell r="I924" t="e">
            <v>#N/A</v>
          </cell>
          <cell r="J924" t="e">
            <v>#N/A</v>
          </cell>
          <cell r="K924">
            <v>105</v>
          </cell>
          <cell r="L924">
            <v>55</v>
          </cell>
          <cell r="M924" t="e">
            <v>#N/A</v>
          </cell>
          <cell r="N924">
            <v>90</v>
          </cell>
          <cell r="O924" t="e">
            <v>#N/A</v>
          </cell>
          <cell r="P924" t="str">
            <v/>
          </cell>
          <cell r="Q924" t="str">
            <v/>
          </cell>
          <cell r="R924">
            <v>90</v>
          </cell>
        </row>
        <row r="925">
          <cell r="A925" t="str">
            <v/>
          </cell>
          <cell r="B925" t="str">
            <v/>
          </cell>
          <cell r="C925" t="str">
            <v>Future</v>
          </cell>
          <cell r="D925" t="e">
            <v>#N/A</v>
          </cell>
          <cell r="E925">
            <v>-31.59996062992148</v>
          </cell>
          <cell r="F925">
            <v>120.11263779527674</v>
          </cell>
          <cell r="G925">
            <v>47.868543307086725</v>
          </cell>
          <cell r="H925">
            <v>47.868543307086725</v>
          </cell>
          <cell r="I925" t="e">
            <v>#N/A</v>
          </cell>
          <cell r="J925" t="e">
            <v>#N/A</v>
          </cell>
          <cell r="K925">
            <v>105</v>
          </cell>
          <cell r="L925">
            <v>55</v>
          </cell>
          <cell r="M925" t="e">
            <v>#N/A</v>
          </cell>
          <cell r="N925">
            <v>90</v>
          </cell>
          <cell r="O925" t="e">
            <v>#N/A</v>
          </cell>
          <cell r="P925" t="str">
            <v/>
          </cell>
          <cell r="Q925" t="str">
            <v/>
          </cell>
          <cell r="R925">
            <v>90</v>
          </cell>
        </row>
        <row r="926">
          <cell r="A926" t="str">
            <v/>
          </cell>
          <cell r="B926" t="str">
            <v/>
          </cell>
          <cell r="C926" t="str">
            <v>Future</v>
          </cell>
          <cell r="D926" t="e">
            <v>#N/A</v>
          </cell>
          <cell r="E926">
            <v>-31.879606299212817</v>
          </cell>
          <cell r="F926">
            <v>120.24637795275706</v>
          </cell>
          <cell r="G926">
            <v>47.80543307086625</v>
          </cell>
          <cell r="H926">
            <v>47.80543307086625</v>
          </cell>
          <cell r="I926" t="e">
            <v>#N/A</v>
          </cell>
          <cell r="J926" t="e">
            <v>#N/A</v>
          </cell>
          <cell r="K926">
            <v>105</v>
          </cell>
          <cell r="L926">
            <v>55</v>
          </cell>
          <cell r="M926" t="e">
            <v>#N/A</v>
          </cell>
          <cell r="N926">
            <v>90</v>
          </cell>
          <cell r="O926" t="e">
            <v>#N/A</v>
          </cell>
          <cell r="P926" t="str">
            <v/>
          </cell>
          <cell r="Q926" t="str">
            <v/>
          </cell>
          <cell r="R926">
            <v>90</v>
          </cell>
        </row>
        <row r="927">
          <cell r="A927" t="str">
            <v/>
          </cell>
          <cell r="B927" t="str">
            <v/>
          </cell>
          <cell r="C927" t="str">
            <v>Future</v>
          </cell>
          <cell r="D927" t="e">
            <v>#N/A</v>
          </cell>
          <cell r="E927">
            <v>-32.159251968504158</v>
          </cell>
          <cell r="F927">
            <v>120.38011811023738</v>
          </cell>
          <cell r="G927">
            <v>47.742322834645776</v>
          </cell>
          <cell r="H927">
            <v>47.742322834645776</v>
          </cell>
          <cell r="I927" t="e">
            <v>#N/A</v>
          </cell>
          <cell r="J927" t="e">
            <v>#N/A</v>
          </cell>
          <cell r="K927">
            <v>105</v>
          </cell>
          <cell r="L927">
            <v>55</v>
          </cell>
          <cell r="M927" t="e">
            <v>#N/A</v>
          </cell>
          <cell r="N927">
            <v>90</v>
          </cell>
          <cell r="O927" t="e">
            <v>#N/A</v>
          </cell>
          <cell r="P927" t="str">
            <v/>
          </cell>
          <cell r="Q927" t="str">
            <v/>
          </cell>
          <cell r="R927">
            <v>90</v>
          </cell>
        </row>
        <row r="928">
          <cell r="A928" t="str">
            <v/>
          </cell>
          <cell r="B928" t="str">
            <v/>
          </cell>
          <cell r="C928" t="str">
            <v>Future</v>
          </cell>
          <cell r="D928" t="e">
            <v>#N/A</v>
          </cell>
          <cell r="E928">
            <v>-32.438897637795499</v>
          </cell>
          <cell r="F928">
            <v>120.51385826771769</v>
          </cell>
          <cell r="G928">
            <v>47.679212598425302</v>
          </cell>
          <cell r="H928">
            <v>47.679212598425302</v>
          </cell>
          <cell r="I928" t="e">
            <v>#N/A</v>
          </cell>
          <cell r="J928" t="e">
            <v>#N/A</v>
          </cell>
          <cell r="K928">
            <v>105</v>
          </cell>
          <cell r="L928">
            <v>55</v>
          </cell>
          <cell r="M928" t="e">
            <v>#N/A</v>
          </cell>
          <cell r="N928">
            <v>90</v>
          </cell>
          <cell r="O928" t="e">
            <v>#N/A</v>
          </cell>
          <cell r="P928" t="str">
            <v/>
          </cell>
          <cell r="Q928" t="str">
            <v/>
          </cell>
          <cell r="R928">
            <v>90</v>
          </cell>
        </row>
        <row r="929">
          <cell r="A929" t="str">
            <v/>
          </cell>
          <cell r="B929" t="str">
            <v/>
          </cell>
          <cell r="C929" t="str">
            <v>Future</v>
          </cell>
          <cell r="D929" t="e">
            <v>#N/A</v>
          </cell>
          <cell r="E929">
            <v>-32.71854330708684</v>
          </cell>
          <cell r="F929">
            <v>120.64759842519801</v>
          </cell>
          <cell r="G929">
            <v>47.616102362204828</v>
          </cell>
          <cell r="H929">
            <v>47.616102362204828</v>
          </cell>
          <cell r="I929" t="e">
            <v>#N/A</v>
          </cell>
          <cell r="J929" t="e">
            <v>#N/A</v>
          </cell>
          <cell r="K929">
            <v>105</v>
          </cell>
          <cell r="L929">
            <v>55</v>
          </cell>
          <cell r="M929" t="e">
            <v>#N/A</v>
          </cell>
          <cell r="N929">
            <v>90</v>
          </cell>
          <cell r="O929" t="e">
            <v>#N/A</v>
          </cell>
          <cell r="P929" t="str">
            <v/>
          </cell>
          <cell r="Q929" t="str">
            <v/>
          </cell>
          <cell r="R929">
            <v>90</v>
          </cell>
        </row>
        <row r="930">
          <cell r="A930" t="str">
            <v/>
          </cell>
          <cell r="B930" t="str">
            <v/>
          </cell>
          <cell r="C930" t="str">
            <v>Future</v>
          </cell>
          <cell r="D930" t="e">
            <v>#N/A</v>
          </cell>
          <cell r="E930">
            <v>-32.998188976378181</v>
          </cell>
          <cell r="F930">
            <v>120.78133858267833</v>
          </cell>
          <cell r="G930">
            <v>47.552992125984353</v>
          </cell>
          <cell r="H930">
            <v>47.552992125984353</v>
          </cell>
          <cell r="I930" t="e">
            <v>#N/A</v>
          </cell>
          <cell r="J930" t="e">
            <v>#N/A</v>
          </cell>
          <cell r="K930">
            <v>105</v>
          </cell>
          <cell r="L930">
            <v>55</v>
          </cell>
          <cell r="M930" t="e">
            <v>#N/A</v>
          </cell>
          <cell r="N930">
            <v>90</v>
          </cell>
          <cell r="O930" t="e">
            <v>#N/A</v>
          </cell>
          <cell r="P930" t="str">
            <v/>
          </cell>
          <cell r="Q930" t="str">
            <v/>
          </cell>
          <cell r="R930">
            <v>90</v>
          </cell>
        </row>
        <row r="931">
          <cell r="A931" t="str">
            <v/>
          </cell>
          <cell r="B931" t="str">
            <v/>
          </cell>
          <cell r="C931" t="str">
            <v>Future</v>
          </cell>
          <cell r="D931" t="e">
            <v>#N/A</v>
          </cell>
          <cell r="E931">
            <v>-33.277834645669522</v>
          </cell>
          <cell r="F931">
            <v>120.91507874015865</v>
          </cell>
          <cell r="G931">
            <v>47.489881889763879</v>
          </cell>
          <cell r="H931">
            <v>47.489881889763879</v>
          </cell>
          <cell r="I931" t="e">
            <v>#N/A</v>
          </cell>
          <cell r="J931" t="e">
            <v>#N/A</v>
          </cell>
          <cell r="K931">
            <v>105</v>
          </cell>
          <cell r="L931">
            <v>55</v>
          </cell>
          <cell r="M931" t="e">
            <v>#N/A</v>
          </cell>
          <cell r="N931">
            <v>90</v>
          </cell>
          <cell r="O931" t="e">
            <v>#N/A</v>
          </cell>
          <cell r="P931" t="str">
            <v/>
          </cell>
          <cell r="Q931" t="str">
            <v/>
          </cell>
          <cell r="R931">
            <v>90</v>
          </cell>
        </row>
        <row r="932">
          <cell r="A932" t="str">
            <v/>
          </cell>
          <cell r="B932" t="str">
            <v/>
          </cell>
          <cell r="C932" t="str">
            <v>Future</v>
          </cell>
          <cell r="D932" t="e">
            <v>#N/A</v>
          </cell>
          <cell r="E932">
            <v>-33.557480314960863</v>
          </cell>
          <cell r="F932">
            <v>121.04881889763897</v>
          </cell>
          <cell r="G932">
            <v>47.426771653543405</v>
          </cell>
          <cell r="H932">
            <v>47.426771653543405</v>
          </cell>
          <cell r="I932" t="e">
            <v>#N/A</v>
          </cell>
          <cell r="J932" t="e">
            <v>#N/A</v>
          </cell>
          <cell r="K932">
            <v>105</v>
          </cell>
          <cell r="L932">
            <v>55</v>
          </cell>
          <cell r="M932" t="e">
            <v>#N/A</v>
          </cell>
          <cell r="N932">
            <v>90</v>
          </cell>
          <cell r="O932" t="e">
            <v>#N/A</v>
          </cell>
          <cell r="P932" t="str">
            <v/>
          </cell>
          <cell r="Q932" t="str">
            <v/>
          </cell>
          <cell r="R932">
            <v>90</v>
          </cell>
        </row>
        <row r="933">
          <cell r="A933" t="str">
            <v/>
          </cell>
          <cell r="B933" t="str">
            <v/>
          </cell>
          <cell r="C933" t="str">
            <v>Future</v>
          </cell>
          <cell r="D933" t="e">
            <v>#N/A</v>
          </cell>
          <cell r="E933">
            <v>-33.837125984252204</v>
          </cell>
          <cell r="F933">
            <v>121.18255905511928</v>
          </cell>
          <cell r="G933">
            <v>47.36366141732293</v>
          </cell>
          <cell r="H933">
            <v>47.36366141732293</v>
          </cell>
          <cell r="I933" t="e">
            <v>#N/A</v>
          </cell>
          <cell r="J933" t="e">
            <v>#N/A</v>
          </cell>
          <cell r="K933">
            <v>105</v>
          </cell>
          <cell r="L933">
            <v>55</v>
          </cell>
          <cell r="M933" t="e">
            <v>#N/A</v>
          </cell>
          <cell r="N933">
            <v>90</v>
          </cell>
          <cell r="O933" t="e">
            <v>#N/A</v>
          </cell>
          <cell r="P933" t="str">
            <v/>
          </cell>
          <cell r="Q933" t="str">
            <v/>
          </cell>
          <cell r="R933">
            <v>90</v>
          </cell>
        </row>
        <row r="934">
          <cell r="A934" t="str">
            <v/>
          </cell>
          <cell r="B934" t="str">
            <v/>
          </cell>
          <cell r="C934" t="str">
            <v>Future</v>
          </cell>
          <cell r="D934" t="e">
            <v>#N/A</v>
          </cell>
          <cell r="E934">
            <v>-34.116771653543545</v>
          </cell>
          <cell r="F934">
            <v>121.3162992125996</v>
          </cell>
          <cell r="G934">
            <v>47.300551181102456</v>
          </cell>
          <cell r="H934">
            <v>47.300551181102456</v>
          </cell>
          <cell r="I934" t="e">
            <v>#N/A</v>
          </cell>
          <cell r="J934" t="e">
            <v>#N/A</v>
          </cell>
          <cell r="K934">
            <v>105</v>
          </cell>
          <cell r="L934">
            <v>55</v>
          </cell>
          <cell r="M934" t="e">
            <v>#N/A</v>
          </cell>
          <cell r="N934">
            <v>90</v>
          </cell>
          <cell r="O934" t="e">
            <v>#N/A</v>
          </cell>
          <cell r="P934" t="str">
            <v/>
          </cell>
          <cell r="Q934" t="str">
            <v/>
          </cell>
          <cell r="R934">
            <v>90</v>
          </cell>
        </row>
        <row r="935">
          <cell r="A935" t="str">
            <v/>
          </cell>
          <cell r="B935" t="str">
            <v/>
          </cell>
          <cell r="C935" t="str">
            <v>Future</v>
          </cell>
          <cell r="D935" t="e">
            <v>#N/A</v>
          </cell>
          <cell r="E935">
            <v>-34.396417322834886</v>
          </cell>
          <cell r="F935">
            <v>121.45003937007992</v>
          </cell>
          <cell r="G935">
            <v>47.237440944881982</v>
          </cell>
          <cell r="H935">
            <v>47.237440944881982</v>
          </cell>
          <cell r="I935" t="e">
            <v>#N/A</v>
          </cell>
          <cell r="J935" t="e">
            <v>#N/A</v>
          </cell>
          <cell r="K935">
            <v>105</v>
          </cell>
          <cell r="L935">
            <v>55</v>
          </cell>
          <cell r="M935" t="e">
            <v>#N/A</v>
          </cell>
          <cell r="N935">
            <v>90</v>
          </cell>
          <cell r="O935" t="e">
            <v>#N/A</v>
          </cell>
          <cell r="P935" t="str">
            <v/>
          </cell>
          <cell r="Q935" t="str">
            <v/>
          </cell>
          <cell r="R935">
            <v>90</v>
          </cell>
        </row>
        <row r="936">
          <cell r="A936" t="str">
            <v/>
          </cell>
          <cell r="B936" t="str">
            <v/>
          </cell>
          <cell r="C936" t="str">
            <v>Future</v>
          </cell>
          <cell r="D936" t="e">
            <v>#N/A</v>
          </cell>
          <cell r="E936">
            <v>-34.676062992126226</v>
          </cell>
          <cell r="F936">
            <v>121.58377952756024</v>
          </cell>
          <cell r="G936">
            <v>47.174330708661508</v>
          </cell>
          <cell r="H936">
            <v>47.174330708661508</v>
          </cell>
          <cell r="I936" t="e">
            <v>#N/A</v>
          </cell>
          <cell r="J936" t="e">
            <v>#N/A</v>
          </cell>
          <cell r="K936">
            <v>105</v>
          </cell>
          <cell r="L936">
            <v>55</v>
          </cell>
          <cell r="M936" t="e">
            <v>#N/A</v>
          </cell>
          <cell r="N936">
            <v>90</v>
          </cell>
          <cell r="O936" t="e">
            <v>#N/A</v>
          </cell>
          <cell r="P936" t="str">
            <v/>
          </cell>
          <cell r="Q936" t="str">
            <v/>
          </cell>
          <cell r="R936">
            <v>90</v>
          </cell>
        </row>
        <row r="937">
          <cell r="A937" t="str">
            <v/>
          </cell>
          <cell r="B937" t="str">
            <v/>
          </cell>
          <cell r="C937" t="str">
            <v>Future</v>
          </cell>
          <cell r="D937" t="e">
            <v>#N/A</v>
          </cell>
          <cell r="E937">
            <v>-34.955708661417567</v>
          </cell>
          <cell r="F937">
            <v>121.71751968504056</v>
          </cell>
          <cell r="G937">
            <v>47.111220472441033</v>
          </cell>
          <cell r="H937">
            <v>47.111220472441033</v>
          </cell>
          <cell r="I937" t="e">
            <v>#N/A</v>
          </cell>
          <cell r="J937" t="e">
            <v>#N/A</v>
          </cell>
          <cell r="K937">
            <v>105</v>
          </cell>
          <cell r="L937">
            <v>55</v>
          </cell>
          <cell r="M937" t="e">
            <v>#N/A</v>
          </cell>
          <cell r="N937">
            <v>90</v>
          </cell>
          <cell r="O937" t="e">
            <v>#N/A</v>
          </cell>
          <cell r="P937" t="str">
            <v/>
          </cell>
          <cell r="Q937" t="str">
            <v/>
          </cell>
          <cell r="R937">
            <v>90</v>
          </cell>
        </row>
        <row r="938">
          <cell r="A938" t="str">
            <v/>
          </cell>
          <cell r="B938" t="str">
            <v/>
          </cell>
          <cell r="C938" t="str">
            <v>Future</v>
          </cell>
          <cell r="D938" t="e">
            <v>#N/A</v>
          </cell>
          <cell r="E938">
            <v>-35.235354330708908</v>
          </cell>
          <cell r="F938">
            <v>121.85125984252088</v>
          </cell>
          <cell r="G938">
            <v>47.048110236220559</v>
          </cell>
          <cell r="H938">
            <v>47.048110236220559</v>
          </cell>
          <cell r="I938" t="e">
            <v>#N/A</v>
          </cell>
          <cell r="J938" t="e">
            <v>#N/A</v>
          </cell>
          <cell r="K938">
            <v>105</v>
          </cell>
          <cell r="L938">
            <v>55</v>
          </cell>
          <cell r="M938" t="e">
            <v>#N/A</v>
          </cell>
          <cell r="N938">
            <v>90</v>
          </cell>
          <cell r="O938" t="e">
            <v>#N/A</v>
          </cell>
          <cell r="P938" t="str">
            <v/>
          </cell>
          <cell r="Q938" t="str">
            <v/>
          </cell>
          <cell r="R938">
            <v>90</v>
          </cell>
        </row>
        <row r="939">
          <cell r="A939" t="str">
            <v/>
          </cell>
          <cell r="B939" t="str">
            <v/>
          </cell>
          <cell r="C939" t="str">
            <v>Future</v>
          </cell>
          <cell r="D939" t="e">
            <v>#N/A</v>
          </cell>
          <cell r="E939">
            <v>-35.515000000000249</v>
          </cell>
          <cell r="F939">
            <v>121.98500000000119</v>
          </cell>
          <cell r="G939">
            <v>46.985000000000085</v>
          </cell>
          <cell r="H939">
            <v>46.985000000000085</v>
          </cell>
          <cell r="I939" t="e">
            <v>#N/A</v>
          </cell>
          <cell r="J939" t="e">
            <v>#N/A</v>
          </cell>
          <cell r="K939">
            <v>105</v>
          </cell>
          <cell r="L939">
            <v>55</v>
          </cell>
          <cell r="M939" t="e">
            <v>#N/A</v>
          </cell>
          <cell r="N939">
            <v>90</v>
          </cell>
          <cell r="O939" t="e">
            <v>#N/A</v>
          </cell>
          <cell r="P939" t="str">
            <v/>
          </cell>
          <cell r="Q939" t="str">
            <v/>
          </cell>
          <cell r="R939">
            <v>90</v>
          </cell>
        </row>
        <row r="940">
          <cell r="A940" t="str">
            <v/>
          </cell>
          <cell r="B940" t="str">
            <v/>
          </cell>
          <cell r="C940" t="str">
            <v>Future</v>
          </cell>
          <cell r="D940" t="e">
            <v>#N/A</v>
          </cell>
          <cell r="E940">
            <v>-35.79464566929159</v>
          </cell>
          <cell r="F940">
            <v>122.11874015748151</v>
          </cell>
          <cell r="G940">
            <v>46.92188976377961</v>
          </cell>
          <cell r="H940">
            <v>46.92188976377961</v>
          </cell>
          <cell r="I940" t="e">
            <v>#N/A</v>
          </cell>
          <cell r="J940" t="e">
            <v>#N/A</v>
          </cell>
          <cell r="K940">
            <v>105</v>
          </cell>
          <cell r="L940">
            <v>55</v>
          </cell>
          <cell r="M940" t="e">
            <v>#N/A</v>
          </cell>
          <cell r="N940">
            <v>90</v>
          </cell>
          <cell r="O940" t="e">
            <v>#N/A</v>
          </cell>
          <cell r="P940" t="str">
            <v/>
          </cell>
          <cell r="Q940" t="str">
            <v/>
          </cell>
          <cell r="R940">
            <v>90</v>
          </cell>
        </row>
        <row r="941">
          <cell r="A941" t="str">
            <v/>
          </cell>
          <cell r="B941" t="str">
            <v/>
          </cell>
          <cell r="C941" t="str">
            <v>Future</v>
          </cell>
          <cell r="D941" t="e">
            <v>#N/A</v>
          </cell>
          <cell r="E941">
            <v>-36.074291338582931</v>
          </cell>
          <cell r="F941">
            <v>122.25248031496183</v>
          </cell>
          <cell r="G941">
            <v>46.858779527559136</v>
          </cell>
          <cell r="H941">
            <v>46.858779527559136</v>
          </cell>
          <cell r="I941" t="e">
            <v>#N/A</v>
          </cell>
          <cell r="J941" t="e">
            <v>#N/A</v>
          </cell>
          <cell r="K941">
            <v>105</v>
          </cell>
          <cell r="L941">
            <v>55</v>
          </cell>
          <cell r="M941" t="e">
            <v>#N/A</v>
          </cell>
          <cell r="N941">
            <v>90</v>
          </cell>
          <cell r="O941" t="e">
            <v>#N/A</v>
          </cell>
          <cell r="P941" t="str">
            <v/>
          </cell>
          <cell r="Q941" t="str">
            <v/>
          </cell>
          <cell r="R941">
            <v>90</v>
          </cell>
        </row>
        <row r="942">
          <cell r="A942" t="str">
            <v/>
          </cell>
          <cell r="B942" t="str">
            <v/>
          </cell>
          <cell r="C942" t="str">
            <v>Future</v>
          </cell>
          <cell r="D942" t="e">
            <v>#N/A</v>
          </cell>
          <cell r="E942">
            <v>-36.353937007874272</v>
          </cell>
          <cell r="F942">
            <v>122.38622047244215</v>
          </cell>
          <cell r="G942">
            <v>46.795669291338662</v>
          </cell>
          <cell r="H942">
            <v>46.795669291338662</v>
          </cell>
          <cell r="I942" t="e">
            <v>#N/A</v>
          </cell>
          <cell r="J942" t="e">
            <v>#N/A</v>
          </cell>
          <cell r="K942">
            <v>105</v>
          </cell>
          <cell r="L942">
            <v>55</v>
          </cell>
          <cell r="M942" t="e">
            <v>#N/A</v>
          </cell>
          <cell r="N942">
            <v>90</v>
          </cell>
          <cell r="O942" t="e">
            <v>#N/A</v>
          </cell>
          <cell r="P942" t="str">
            <v/>
          </cell>
          <cell r="Q942" t="str">
            <v/>
          </cell>
          <cell r="R942">
            <v>90</v>
          </cell>
        </row>
        <row r="943">
          <cell r="A943" t="str">
            <v/>
          </cell>
          <cell r="B943" t="str">
            <v/>
          </cell>
          <cell r="C943" t="str">
            <v>Future</v>
          </cell>
          <cell r="D943" t="e">
            <v>#N/A</v>
          </cell>
          <cell r="E943">
            <v>-36.633582677165613</v>
          </cell>
          <cell r="F943">
            <v>122.51996062992247</v>
          </cell>
          <cell r="G943">
            <v>46.732559055118188</v>
          </cell>
          <cell r="H943">
            <v>46.732559055118188</v>
          </cell>
          <cell r="I943" t="e">
            <v>#N/A</v>
          </cell>
          <cell r="J943" t="e">
            <v>#N/A</v>
          </cell>
          <cell r="K943">
            <v>105</v>
          </cell>
          <cell r="L943">
            <v>55</v>
          </cell>
          <cell r="M943" t="e">
            <v>#N/A</v>
          </cell>
          <cell r="N943">
            <v>90</v>
          </cell>
          <cell r="O943" t="e">
            <v>#N/A</v>
          </cell>
          <cell r="P943" t="str">
            <v/>
          </cell>
          <cell r="Q943" t="str">
            <v/>
          </cell>
          <cell r="R943">
            <v>90</v>
          </cell>
        </row>
        <row r="944">
          <cell r="A944" t="str">
            <v/>
          </cell>
          <cell r="B944" t="str">
            <v/>
          </cell>
          <cell r="C944" t="str">
            <v>Future</v>
          </cell>
          <cell r="D944" t="e">
            <v>#N/A</v>
          </cell>
          <cell r="E944">
            <v>-36.913228346456954</v>
          </cell>
          <cell r="F944">
            <v>122.65370078740278</v>
          </cell>
          <cell r="G944">
            <v>46.669448818897713</v>
          </cell>
          <cell r="H944">
            <v>46.669448818897713</v>
          </cell>
          <cell r="I944" t="e">
            <v>#N/A</v>
          </cell>
          <cell r="J944" t="e">
            <v>#N/A</v>
          </cell>
          <cell r="K944">
            <v>105</v>
          </cell>
          <cell r="L944">
            <v>55</v>
          </cell>
          <cell r="M944" t="e">
            <v>#N/A</v>
          </cell>
          <cell r="N944">
            <v>90</v>
          </cell>
          <cell r="O944" t="e">
            <v>#N/A</v>
          </cell>
          <cell r="P944" t="str">
            <v/>
          </cell>
          <cell r="Q944" t="str">
            <v/>
          </cell>
          <cell r="R944">
            <v>90</v>
          </cell>
        </row>
        <row r="945">
          <cell r="A945" t="str">
            <v/>
          </cell>
          <cell r="B945" t="str">
            <v/>
          </cell>
          <cell r="C945" t="str">
            <v>Future</v>
          </cell>
          <cell r="D945" t="e">
            <v>#N/A</v>
          </cell>
          <cell r="E945">
            <v>-37.192874015748295</v>
          </cell>
          <cell r="F945">
            <v>122.7874409448831</v>
          </cell>
          <cell r="G945">
            <v>46.606338582677239</v>
          </cell>
          <cell r="H945">
            <v>46.606338582677239</v>
          </cell>
          <cell r="I945" t="e">
            <v>#N/A</v>
          </cell>
          <cell r="J945" t="e">
            <v>#N/A</v>
          </cell>
          <cell r="K945">
            <v>105</v>
          </cell>
          <cell r="L945">
            <v>55</v>
          </cell>
          <cell r="M945" t="e">
            <v>#N/A</v>
          </cell>
          <cell r="N945">
            <v>90</v>
          </cell>
          <cell r="O945" t="e">
            <v>#N/A</v>
          </cell>
          <cell r="P945" t="str">
            <v/>
          </cell>
          <cell r="Q945" t="str">
            <v/>
          </cell>
          <cell r="R945">
            <v>90</v>
          </cell>
        </row>
        <row r="946">
          <cell r="A946" t="str">
            <v/>
          </cell>
          <cell r="B946" t="str">
            <v/>
          </cell>
          <cell r="C946" t="str">
            <v>Future</v>
          </cell>
          <cell r="D946" t="e">
            <v>#N/A</v>
          </cell>
          <cell r="E946">
            <v>-37.472519685039636</v>
          </cell>
          <cell r="F946">
            <v>122.92118110236342</v>
          </cell>
          <cell r="G946">
            <v>46.543228346456765</v>
          </cell>
          <cell r="H946">
            <v>46.543228346456765</v>
          </cell>
          <cell r="I946" t="e">
            <v>#N/A</v>
          </cell>
          <cell r="J946" t="e">
            <v>#N/A</v>
          </cell>
          <cell r="K946">
            <v>105</v>
          </cell>
          <cell r="L946">
            <v>55</v>
          </cell>
          <cell r="M946" t="e">
            <v>#N/A</v>
          </cell>
          <cell r="N946">
            <v>90</v>
          </cell>
          <cell r="O946" t="e">
            <v>#N/A</v>
          </cell>
          <cell r="P946" t="str">
            <v/>
          </cell>
          <cell r="Q946" t="str">
            <v/>
          </cell>
          <cell r="R946">
            <v>90</v>
          </cell>
        </row>
        <row r="947">
          <cell r="A947" t="str">
            <v/>
          </cell>
          <cell r="B947" t="str">
            <v/>
          </cell>
          <cell r="C947" t="str">
            <v>Future</v>
          </cell>
          <cell r="D947" t="e">
            <v>#N/A</v>
          </cell>
          <cell r="E947">
            <v>-37.752165354330977</v>
          </cell>
          <cell r="F947">
            <v>123.05492125984374</v>
          </cell>
          <cell r="G947">
            <v>46.48011811023629</v>
          </cell>
          <cell r="H947">
            <v>46.48011811023629</v>
          </cell>
          <cell r="I947" t="e">
            <v>#N/A</v>
          </cell>
          <cell r="J947" t="e">
            <v>#N/A</v>
          </cell>
          <cell r="K947">
            <v>105</v>
          </cell>
          <cell r="L947">
            <v>55</v>
          </cell>
          <cell r="M947" t="e">
            <v>#N/A</v>
          </cell>
          <cell r="N947">
            <v>90</v>
          </cell>
          <cell r="O947" t="e">
            <v>#N/A</v>
          </cell>
          <cell r="P947" t="str">
            <v/>
          </cell>
          <cell r="Q947" t="str">
            <v/>
          </cell>
          <cell r="R947">
            <v>90</v>
          </cell>
        </row>
        <row r="948">
          <cell r="A948" t="str">
            <v/>
          </cell>
          <cell r="B948" t="str">
            <v/>
          </cell>
          <cell r="C948" t="str">
            <v>Future</v>
          </cell>
          <cell r="D948" t="e">
            <v>#N/A</v>
          </cell>
          <cell r="E948">
            <v>-38.031811023622318</v>
          </cell>
          <cell r="F948">
            <v>123.18866141732406</v>
          </cell>
          <cell r="G948">
            <v>46.417007874015816</v>
          </cell>
          <cell r="H948">
            <v>46.417007874015816</v>
          </cell>
          <cell r="I948" t="e">
            <v>#N/A</v>
          </cell>
          <cell r="J948" t="e">
            <v>#N/A</v>
          </cell>
          <cell r="K948">
            <v>105</v>
          </cell>
          <cell r="L948">
            <v>55</v>
          </cell>
          <cell r="M948" t="e">
            <v>#N/A</v>
          </cell>
          <cell r="N948">
            <v>90</v>
          </cell>
          <cell r="O948" t="e">
            <v>#N/A</v>
          </cell>
          <cell r="P948" t="str">
            <v/>
          </cell>
          <cell r="Q948" t="str">
            <v/>
          </cell>
          <cell r="R948">
            <v>90</v>
          </cell>
        </row>
        <row r="949">
          <cell r="A949" t="str">
            <v/>
          </cell>
          <cell r="B949" t="str">
            <v/>
          </cell>
          <cell r="C949" t="str">
            <v>Future</v>
          </cell>
          <cell r="D949" t="e">
            <v>#N/A</v>
          </cell>
          <cell r="E949">
            <v>-38.311456692913659</v>
          </cell>
          <cell r="F949">
            <v>123.32240157480437</v>
          </cell>
          <cell r="G949">
            <v>46.353897637795342</v>
          </cell>
          <cell r="H949">
            <v>46.353897637795342</v>
          </cell>
          <cell r="I949" t="e">
            <v>#N/A</v>
          </cell>
          <cell r="J949" t="e">
            <v>#N/A</v>
          </cell>
          <cell r="K949">
            <v>105</v>
          </cell>
          <cell r="L949">
            <v>55</v>
          </cell>
          <cell r="M949" t="e">
            <v>#N/A</v>
          </cell>
          <cell r="N949">
            <v>90</v>
          </cell>
          <cell r="O949" t="e">
            <v>#N/A</v>
          </cell>
          <cell r="P949" t="str">
            <v/>
          </cell>
          <cell r="Q949" t="str">
            <v/>
          </cell>
          <cell r="R949">
            <v>90</v>
          </cell>
        </row>
        <row r="950">
          <cell r="A950" t="str">
            <v/>
          </cell>
          <cell r="B950" t="str">
            <v/>
          </cell>
          <cell r="C950" t="str">
            <v>Future</v>
          </cell>
          <cell r="D950" t="e">
            <v>#N/A</v>
          </cell>
          <cell r="E950">
            <v>-38.591102362205</v>
          </cell>
          <cell r="F950">
            <v>123.45614173228469</v>
          </cell>
          <cell r="G950">
            <v>46.290787401574867</v>
          </cell>
          <cell r="H950">
            <v>46.290787401574867</v>
          </cell>
          <cell r="I950" t="e">
            <v>#N/A</v>
          </cell>
          <cell r="J950" t="e">
            <v>#N/A</v>
          </cell>
          <cell r="K950">
            <v>105</v>
          </cell>
          <cell r="L950">
            <v>55</v>
          </cell>
          <cell r="M950" t="e">
            <v>#N/A</v>
          </cell>
          <cell r="N950">
            <v>90</v>
          </cell>
          <cell r="O950" t="e">
            <v>#N/A</v>
          </cell>
          <cell r="P950" t="str">
            <v/>
          </cell>
          <cell r="Q950" t="str">
            <v/>
          </cell>
          <cell r="R950">
            <v>90</v>
          </cell>
        </row>
        <row r="951">
          <cell r="A951" t="str">
            <v/>
          </cell>
          <cell r="B951" t="str">
            <v/>
          </cell>
          <cell r="C951" t="str">
            <v>Future</v>
          </cell>
          <cell r="D951" t="e">
            <v>#N/A</v>
          </cell>
          <cell r="E951">
            <v>-38.870748031496341</v>
          </cell>
          <cell r="F951">
            <v>123.58988188976501</v>
          </cell>
          <cell r="G951">
            <v>46.227677165354393</v>
          </cell>
          <cell r="H951">
            <v>46.227677165354393</v>
          </cell>
          <cell r="I951" t="e">
            <v>#N/A</v>
          </cell>
          <cell r="J951" t="e">
            <v>#N/A</v>
          </cell>
          <cell r="K951">
            <v>105</v>
          </cell>
          <cell r="L951">
            <v>55</v>
          </cell>
          <cell r="M951" t="e">
            <v>#N/A</v>
          </cell>
          <cell r="N951">
            <v>90</v>
          </cell>
          <cell r="O951" t="e">
            <v>#N/A</v>
          </cell>
          <cell r="P951" t="str">
            <v/>
          </cell>
          <cell r="Q951" t="str">
            <v/>
          </cell>
          <cell r="R951">
            <v>90</v>
          </cell>
        </row>
        <row r="952">
          <cell r="A952" t="str">
            <v/>
          </cell>
          <cell r="B952" t="str">
            <v/>
          </cell>
          <cell r="C952" t="str">
            <v>Future</v>
          </cell>
          <cell r="D952" t="e">
            <v>#N/A</v>
          </cell>
          <cell r="E952">
            <v>-39.150393700787681</v>
          </cell>
          <cell r="F952">
            <v>123.72362204724533</v>
          </cell>
          <cell r="G952">
            <v>46.164566929133919</v>
          </cell>
          <cell r="H952">
            <v>46.164566929133919</v>
          </cell>
          <cell r="I952" t="e">
            <v>#N/A</v>
          </cell>
          <cell r="J952" t="e">
            <v>#N/A</v>
          </cell>
          <cell r="K952">
            <v>105</v>
          </cell>
          <cell r="L952">
            <v>55</v>
          </cell>
          <cell r="M952" t="e">
            <v>#N/A</v>
          </cell>
          <cell r="N952">
            <v>90</v>
          </cell>
          <cell r="O952" t="e">
            <v>#N/A</v>
          </cell>
          <cell r="P952" t="str">
            <v/>
          </cell>
          <cell r="Q952" t="str">
            <v/>
          </cell>
          <cell r="R952">
            <v>90</v>
          </cell>
        </row>
        <row r="953">
          <cell r="A953" t="str">
            <v/>
          </cell>
          <cell r="B953" t="str">
            <v/>
          </cell>
          <cell r="C953" t="str">
            <v>Future</v>
          </cell>
          <cell r="D953" t="e">
            <v>#N/A</v>
          </cell>
          <cell r="E953">
            <v>-39.430039370079022</v>
          </cell>
          <cell r="F953">
            <v>123.85736220472565</v>
          </cell>
          <cell r="G953">
            <v>46.101456692913445</v>
          </cell>
          <cell r="H953">
            <v>46.101456692913445</v>
          </cell>
          <cell r="I953" t="e">
            <v>#N/A</v>
          </cell>
          <cell r="J953" t="e">
            <v>#N/A</v>
          </cell>
          <cell r="K953">
            <v>105</v>
          </cell>
          <cell r="L953">
            <v>55</v>
          </cell>
          <cell r="M953" t="e">
            <v>#N/A</v>
          </cell>
          <cell r="N953">
            <v>90</v>
          </cell>
          <cell r="O953" t="e">
            <v>#N/A</v>
          </cell>
          <cell r="P953" t="str">
            <v/>
          </cell>
          <cell r="Q953" t="str">
            <v/>
          </cell>
          <cell r="R953">
            <v>90</v>
          </cell>
        </row>
        <row r="954">
          <cell r="A954" t="str">
            <v/>
          </cell>
          <cell r="B954" t="str">
            <v/>
          </cell>
          <cell r="C954" t="str">
            <v>Future</v>
          </cell>
          <cell r="D954" t="e">
            <v>#N/A</v>
          </cell>
          <cell r="E954">
            <v>-39.709685039370363</v>
          </cell>
          <cell r="F954">
            <v>123.99110236220596</v>
          </cell>
          <cell r="G954">
            <v>46.03834645669297</v>
          </cell>
          <cell r="H954">
            <v>46.03834645669297</v>
          </cell>
          <cell r="I954" t="e">
            <v>#N/A</v>
          </cell>
          <cell r="J954" t="e">
            <v>#N/A</v>
          </cell>
          <cell r="K954">
            <v>105</v>
          </cell>
          <cell r="L954">
            <v>55</v>
          </cell>
          <cell r="M954" t="e">
            <v>#N/A</v>
          </cell>
          <cell r="N954">
            <v>90</v>
          </cell>
          <cell r="O954" t="e">
            <v>#N/A</v>
          </cell>
          <cell r="P954" t="str">
            <v/>
          </cell>
          <cell r="Q954" t="str">
            <v/>
          </cell>
          <cell r="R954">
            <v>90</v>
          </cell>
        </row>
        <row r="955">
          <cell r="A955" t="str">
            <v/>
          </cell>
          <cell r="B955" t="str">
            <v/>
          </cell>
          <cell r="C955" t="str">
            <v>Future</v>
          </cell>
          <cell r="D955" t="e">
            <v>#N/A</v>
          </cell>
          <cell r="E955">
            <v>-39.989330708661704</v>
          </cell>
          <cell r="F955">
            <v>124.12484251968628</v>
          </cell>
          <cell r="G955">
            <v>45.975236220472496</v>
          </cell>
          <cell r="H955">
            <v>45.975236220472496</v>
          </cell>
          <cell r="I955" t="e">
            <v>#N/A</v>
          </cell>
          <cell r="J955" t="e">
            <v>#N/A</v>
          </cell>
          <cell r="K955">
            <v>105</v>
          </cell>
          <cell r="L955">
            <v>55</v>
          </cell>
          <cell r="M955" t="e">
            <v>#N/A</v>
          </cell>
          <cell r="N955">
            <v>90</v>
          </cell>
          <cell r="O955" t="e">
            <v>#N/A</v>
          </cell>
          <cell r="P955" t="str">
            <v/>
          </cell>
          <cell r="Q955" t="str">
            <v/>
          </cell>
          <cell r="R955">
            <v>90</v>
          </cell>
        </row>
        <row r="956">
          <cell r="A956" t="str">
            <v/>
          </cell>
          <cell r="B956" t="str">
            <v/>
          </cell>
          <cell r="C956" t="str">
            <v>Future</v>
          </cell>
          <cell r="D956" t="e">
            <v>#N/A</v>
          </cell>
          <cell r="E956">
            <v>-40.268976377953045</v>
          </cell>
          <cell r="F956">
            <v>124.2585826771666</v>
          </cell>
          <cell r="G956">
            <v>45.912125984252022</v>
          </cell>
          <cell r="H956">
            <v>45.912125984252022</v>
          </cell>
          <cell r="I956" t="e">
            <v>#N/A</v>
          </cell>
          <cell r="J956" t="e">
            <v>#N/A</v>
          </cell>
          <cell r="K956">
            <v>105</v>
          </cell>
          <cell r="L956">
            <v>55</v>
          </cell>
          <cell r="M956" t="e">
            <v>#N/A</v>
          </cell>
          <cell r="N956">
            <v>90</v>
          </cell>
          <cell r="O956" t="e">
            <v>#N/A</v>
          </cell>
          <cell r="P956" t="str">
            <v/>
          </cell>
          <cell r="Q956" t="str">
            <v/>
          </cell>
          <cell r="R956">
            <v>90</v>
          </cell>
        </row>
        <row r="957">
          <cell r="A957" t="str">
            <v/>
          </cell>
          <cell r="B957" t="str">
            <v/>
          </cell>
          <cell r="C957" t="str">
            <v>Future</v>
          </cell>
          <cell r="D957" t="e">
            <v>#N/A</v>
          </cell>
          <cell r="E957">
            <v>-40.548622047244386</v>
          </cell>
          <cell r="F957">
            <v>124.39232283464692</v>
          </cell>
          <cell r="G957">
            <v>45.849015748031547</v>
          </cell>
          <cell r="H957">
            <v>45.849015748031547</v>
          </cell>
          <cell r="I957" t="e">
            <v>#N/A</v>
          </cell>
          <cell r="J957" t="e">
            <v>#N/A</v>
          </cell>
          <cell r="K957">
            <v>105</v>
          </cell>
          <cell r="L957">
            <v>55</v>
          </cell>
          <cell r="M957" t="e">
            <v>#N/A</v>
          </cell>
          <cell r="N957">
            <v>90</v>
          </cell>
          <cell r="O957" t="e">
            <v>#N/A</v>
          </cell>
          <cell r="P957" t="str">
            <v/>
          </cell>
          <cell r="Q957" t="str">
            <v/>
          </cell>
          <cell r="R957">
            <v>90</v>
          </cell>
        </row>
        <row r="958">
          <cell r="A958" t="str">
            <v/>
          </cell>
          <cell r="B958" t="str">
            <v/>
          </cell>
          <cell r="C958" t="str">
            <v>Future</v>
          </cell>
          <cell r="D958" t="e">
            <v>#N/A</v>
          </cell>
          <cell r="E958">
            <v>-40.828267716535727</v>
          </cell>
          <cell r="F958">
            <v>124.52606299212724</v>
          </cell>
          <cell r="G958">
            <v>45.785905511811073</v>
          </cell>
          <cell r="H958">
            <v>45.785905511811073</v>
          </cell>
          <cell r="I958" t="e">
            <v>#N/A</v>
          </cell>
          <cell r="J958" t="e">
            <v>#N/A</v>
          </cell>
          <cell r="K958">
            <v>105</v>
          </cell>
          <cell r="L958">
            <v>55</v>
          </cell>
          <cell r="M958" t="e">
            <v>#N/A</v>
          </cell>
          <cell r="N958">
            <v>90</v>
          </cell>
          <cell r="O958" t="e">
            <v>#N/A</v>
          </cell>
          <cell r="P958" t="str">
            <v/>
          </cell>
          <cell r="Q958" t="str">
            <v/>
          </cell>
          <cell r="R958">
            <v>90</v>
          </cell>
        </row>
        <row r="959">
          <cell r="A959" t="str">
            <v/>
          </cell>
          <cell r="B959" t="str">
            <v/>
          </cell>
          <cell r="C959" t="str">
            <v>Future</v>
          </cell>
          <cell r="D959" t="e">
            <v>#N/A</v>
          </cell>
          <cell r="E959">
            <v>-41.107913385827068</v>
          </cell>
          <cell r="F959">
            <v>124.65980314960755</v>
          </cell>
          <cell r="G959">
            <v>45.722795275590599</v>
          </cell>
          <cell r="H959">
            <v>45.722795275590599</v>
          </cell>
          <cell r="I959" t="e">
            <v>#N/A</v>
          </cell>
          <cell r="J959" t="e">
            <v>#N/A</v>
          </cell>
          <cell r="K959">
            <v>105</v>
          </cell>
          <cell r="L959">
            <v>55</v>
          </cell>
          <cell r="M959" t="e">
            <v>#N/A</v>
          </cell>
          <cell r="N959">
            <v>90</v>
          </cell>
          <cell r="O959" t="e">
            <v>#N/A</v>
          </cell>
          <cell r="P959" t="str">
            <v/>
          </cell>
          <cell r="Q959" t="str">
            <v/>
          </cell>
          <cell r="R959">
            <v>90</v>
          </cell>
        </row>
        <row r="960">
          <cell r="A960" t="str">
            <v/>
          </cell>
          <cell r="B960" t="str">
            <v/>
          </cell>
          <cell r="C960" t="str">
            <v>Future</v>
          </cell>
          <cell r="D960" t="e">
            <v>#N/A</v>
          </cell>
          <cell r="E960">
            <v>-41.387559055118409</v>
          </cell>
          <cell r="F960">
            <v>124.79354330708787</v>
          </cell>
          <cell r="G960">
            <v>45.659685039370125</v>
          </cell>
          <cell r="H960">
            <v>45.659685039370125</v>
          </cell>
          <cell r="I960" t="e">
            <v>#N/A</v>
          </cell>
          <cell r="J960" t="e">
            <v>#N/A</v>
          </cell>
          <cell r="K960">
            <v>105</v>
          </cell>
          <cell r="L960">
            <v>55</v>
          </cell>
          <cell r="M960" t="e">
            <v>#N/A</v>
          </cell>
          <cell r="N960">
            <v>90</v>
          </cell>
          <cell r="O960" t="e">
            <v>#N/A</v>
          </cell>
          <cell r="P960" t="str">
            <v/>
          </cell>
          <cell r="Q960" t="str">
            <v/>
          </cell>
          <cell r="R960">
            <v>90</v>
          </cell>
        </row>
        <row r="961">
          <cell r="A961" t="str">
            <v/>
          </cell>
          <cell r="B961" t="str">
            <v/>
          </cell>
          <cell r="C961" t="str">
            <v>Future</v>
          </cell>
          <cell r="D961" t="e">
            <v>#N/A</v>
          </cell>
          <cell r="E961">
            <v>-41.66720472440975</v>
          </cell>
          <cell r="F961">
            <v>124.92728346456819</v>
          </cell>
          <cell r="G961">
            <v>45.59657480314965</v>
          </cell>
          <cell r="H961">
            <v>45.59657480314965</v>
          </cell>
          <cell r="I961" t="e">
            <v>#N/A</v>
          </cell>
          <cell r="J961" t="e">
            <v>#N/A</v>
          </cell>
          <cell r="K961">
            <v>105</v>
          </cell>
          <cell r="L961">
            <v>55</v>
          </cell>
          <cell r="M961" t="e">
            <v>#N/A</v>
          </cell>
          <cell r="N961">
            <v>90</v>
          </cell>
          <cell r="O961" t="e">
            <v>#N/A</v>
          </cell>
          <cell r="P961" t="str">
            <v/>
          </cell>
          <cell r="Q961" t="str">
            <v/>
          </cell>
          <cell r="R961">
            <v>90</v>
          </cell>
        </row>
        <row r="962">
          <cell r="A962" t="str">
            <v/>
          </cell>
          <cell r="B962" t="str">
            <v/>
          </cell>
          <cell r="C962" t="str">
            <v>Future</v>
          </cell>
          <cell r="D962" t="e">
            <v>#N/A</v>
          </cell>
          <cell r="E962">
            <v>-41.946850393701091</v>
          </cell>
          <cell r="F962">
            <v>125.06102362204851</v>
          </cell>
          <cell r="G962">
            <v>45.533464566929176</v>
          </cell>
          <cell r="H962">
            <v>45.533464566929176</v>
          </cell>
          <cell r="I962" t="e">
            <v>#N/A</v>
          </cell>
          <cell r="J962" t="e">
            <v>#N/A</v>
          </cell>
          <cell r="K962">
            <v>105</v>
          </cell>
          <cell r="L962">
            <v>55</v>
          </cell>
          <cell r="M962" t="e">
            <v>#N/A</v>
          </cell>
          <cell r="N962">
            <v>90</v>
          </cell>
          <cell r="O962" t="e">
            <v>#N/A</v>
          </cell>
          <cell r="P962" t="str">
            <v/>
          </cell>
          <cell r="Q962" t="str">
            <v/>
          </cell>
          <cell r="R962">
            <v>90</v>
          </cell>
        </row>
        <row r="963">
          <cell r="A963" t="str">
            <v/>
          </cell>
          <cell r="B963" t="str">
            <v/>
          </cell>
          <cell r="C963" t="str">
            <v>Future</v>
          </cell>
          <cell r="D963" t="e">
            <v>#N/A</v>
          </cell>
          <cell r="E963">
            <v>-42.226496062992432</v>
          </cell>
          <cell r="F963">
            <v>125.19476377952883</v>
          </cell>
          <cell r="G963">
            <v>45.470354330708702</v>
          </cell>
          <cell r="H963">
            <v>45.470354330708702</v>
          </cell>
          <cell r="I963" t="e">
            <v>#N/A</v>
          </cell>
          <cell r="J963" t="e">
            <v>#N/A</v>
          </cell>
          <cell r="K963">
            <v>105</v>
          </cell>
          <cell r="L963">
            <v>55</v>
          </cell>
          <cell r="M963" t="e">
            <v>#N/A</v>
          </cell>
          <cell r="N963">
            <v>90</v>
          </cell>
          <cell r="O963" t="e">
            <v>#N/A</v>
          </cell>
          <cell r="P963" t="str">
            <v/>
          </cell>
          <cell r="Q963" t="str">
            <v/>
          </cell>
          <cell r="R963">
            <v>90</v>
          </cell>
        </row>
        <row r="964">
          <cell r="A964" t="str">
            <v/>
          </cell>
          <cell r="B964" t="str">
            <v/>
          </cell>
          <cell r="C964" t="str">
            <v>Future</v>
          </cell>
          <cell r="D964" t="e">
            <v>#N/A</v>
          </cell>
          <cell r="E964">
            <v>-42.506141732283773</v>
          </cell>
          <cell r="F964">
            <v>125.32850393700915</v>
          </cell>
          <cell r="G964">
            <v>45.407244094488227</v>
          </cell>
          <cell r="H964">
            <v>45.407244094488227</v>
          </cell>
          <cell r="I964" t="e">
            <v>#N/A</v>
          </cell>
          <cell r="J964" t="e">
            <v>#N/A</v>
          </cell>
          <cell r="K964">
            <v>105</v>
          </cell>
          <cell r="L964">
            <v>55</v>
          </cell>
          <cell r="M964" t="e">
            <v>#N/A</v>
          </cell>
          <cell r="N964">
            <v>90</v>
          </cell>
          <cell r="O964" t="e">
            <v>#N/A</v>
          </cell>
          <cell r="P964" t="str">
            <v/>
          </cell>
          <cell r="Q964" t="str">
            <v/>
          </cell>
          <cell r="R964">
            <v>90</v>
          </cell>
        </row>
        <row r="965">
          <cell r="A965" t="str">
            <v/>
          </cell>
          <cell r="B965" t="str">
            <v/>
          </cell>
          <cell r="C965" t="str">
            <v>Future</v>
          </cell>
          <cell r="D965" t="e">
            <v>#N/A</v>
          </cell>
          <cell r="E965">
            <v>-42.785787401575114</v>
          </cell>
          <cell r="F965">
            <v>125.46224409448946</v>
          </cell>
          <cell r="G965">
            <v>45.344133858267753</v>
          </cell>
          <cell r="H965">
            <v>45.344133858267753</v>
          </cell>
          <cell r="I965" t="e">
            <v>#N/A</v>
          </cell>
          <cell r="J965" t="e">
            <v>#N/A</v>
          </cell>
          <cell r="K965">
            <v>105</v>
          </cell>
          <cell r="L965">
            <v>55</v>
          </cell>
          <cell r="M965" t="e">
            <v>#N/A</v>
          </cell>
          <cell r="N965">
            <v>90</v>
          </cell>
          <cell r="O965" t="e">
            <v>#N/A</v>
          </cell>
          <cell r="P965" t="str">
            <v/>
          </cell>
          <cell r="Q965" t="str">
            <v/>
          </cell>
          <cell r="R965">
            <v>90</v>
          </cell>
        </row>
        <row r="966">
          <cell r="A966" t="str">
            <v/>
          </cell>
          <cell r="B966" t="str">
            <v/>
          </cell>
          <cell r="C966" t="str">
            <v>Future</v>
          </cell>
          <cell r="D966" t="e">
            <v>#N/A</v>
          </cell>
          <cell r="E966">
            <v>-43.065433070866455</v>
          </cell>
          <cell r="F966">
            <v>125.59598425196978</v>
          </cell>
          <cell r="G966">
            <v>45.281023622047279</v>
          </cell>
          <cell r="H966">
            <v>45.281023622047279</v>
          </cell>
          <cell r="I966" t="e">
            <v>#N/A</v>
          </cell>
          <cell r="J966" t="e">
            <v>#N/A</v>
          </cell>
          <cell r="K966">
            <v>105</v>
          </cell>
          <cell r="L966">
            <v>55</v>
          </cell>
          <cell r="M966" t="e">
            <v>#N/A</v>
          </cell>
          <cell r="N966">
            <v>90</v>
          </cell>
          <cell r="O966" t="e">
            <v>#N/A</v>
          </cell>
          <cell r="P966" t="str">
            <v/>
          </cell>
          <cell r="Q966" t="str">
            <v/>
          </cell>
          <cell r="R966">
            <v>90</v>
          </cell>
        </row>
        <row r="967">
          <cell r="A967" t="str">
            <v/>
          </cell>
          <cell r="B967" t="str">
            <v/>
          </cell>
          <cell r="C967" t="str">
            <v>Future</v>
          </cell>
          <cell r="D967" t="e">
            <v>#N/A</v>
          </cell>
          <cell r="E967">
            <v>-43.345078740157795</v>
          </cell>
          <cell r="F967">
            <v>125.7297244094501</v>
          </cell>
          <cell r="G967">
            <v>45.217913385826805</v>
          </cell>
          <cell r="H967">
            <v>45.217913385826805</v>
          </cell>
          <cell r="I967" t="e">
            <v>#N/A</v>
          </cell>
          <cell r="J967" t="e">
            <v>#N/A</v>
          </cell>
          <cell r="K967">
            <v>105</v>
          </cell>
          <cell r="L967">
            <v>55</v>
          </cell>
          <cell r="M967" t="e">
            <v>#N/A</v>
          </cell>
          <cell r="N967">
            <v>90</v>
          </cell>
          <cell r="O967" t="e">
            <v>#N/A</v>
          </cell>
          <cell r="P967" t="str">
            <v/>
          </cell>
          <cell r="Q967" t="str">
            <v/>
          </cell>
          <cell r="R967">
            <v>90</v>
          </cell>
        </row>
        <row r="968">
          <cell r="A968" t="str">
            <v/>
          </cell>
          <cell r="B968" t="str">
            <v/>
          </cell>
          <cell r="C968" t="str">
            <v>Future</v>
          </cell>
          <cell r="D968" t="e">
            <v>#N/A</v>
          </cell>
          <cell r="E968">
            <v>-43.624724409449136</v>
          </cell>
          <cell r="F968">
            <v>125.86346456693042</v>
          </cell>
          <cell r="G968">
            <v>45.15480314960633</v>
          </cell>
          <cell r="H968">
            <v>45.15480314960633</v>
          </cell>
          <cell r="I968" t="e">
            <v>#N/A</v>
          </cell>
          <cell r="J968" t="e">
            <v>#N/A</v>
          </cell>
          <cell r="K968">
            <v>105</v>
          </cell>
          <cell r="L968">
            <v>55</v>
          </cell>
          <cell r="M968" t="e">
            <v>#N/A</v>
          </cell>
          <cell r="N968">
            <v>90</v>
          </cell>
          <cell r="O968" t="e">
            <v>#N/A</v>
          </cell>
          <cell r="P968" t="str">
            <v/>
          </cell>
          <cell r="Q968" t="str">
            <v/>
          </cell>
          <cell r="R968">
            <v>90</v>
          </cell>
        </row>
        <row r="969">
          <cell r="A969" t="str">
            <v/>
          </cell>
          <cell r="B969" t="str">
            <v/>
          </cell>
          <cell r="C969" t="str">
            <v>Future</v>
          </cell>
          <cell r="D969" t="e">
            <v>#N/A</v>
          </cell>
          <cell r="E969">
            <v>-43.904370078740477</v>
          </cell>
          <cell r="F969">
            <v>125.99720472441074</v>
          </cell>
          <cell r="G969">
            <v>45.091692913385856</v>
          </cell>
          <cell r="H969">
            <v>45.091692913385856</v>
          </cell>
          <cell r="I969" t="e">
            <v>#N/A</v>
          </cell>
          <cell r="J969" t="e">
            <v>#N/A</v>
          </cell>
          <cell r="K969">
            <v>105</v>
          </cell>
          <cell r="L969">
            <v>55</v>
          </cell>
          <cell r="M969" t="e">
            <v>#N/A</v>
          </cell>
          <cell r="N969">
            <v>90</v>
          </cell>
          <cell r="O969" t="e">
            <v>#N/A</v>
          </cell>
          <cell r="P969" t="str">
            <v/>
          </cell>
          <cell r="Q969" t="str">
            <v/>
          </cell>
          <cell r="R969">
            <v>90</v>
          </cell>
        </row>
        <row r="970">
          <cell r="A970" t="str">
            <v/>
          </cell>
          <cell r="B970" t="str">
            <v/>
          </cell>
          <cell r="C970" t="str">
            <v>Future</v>
          </cell>
          <cell r="D970" t="e">
            <v>#N/A</v>
          </cell>
          <cell r="E970">
            <v>-44.184015748031818</v>
          </cell>
          <cell r="F970">
            <v>126.13094488189105</v>
          </cell>
          <cell r="G970">
            <v>45.028582677165382</v>
          </cell>
          <cell r="H970">
            <v>45.028582677165382</v>
          </cell>
          <cell r="I970" t="e">
            <v>#N/A</v>
          </cell>
          <cell r="J970" t="e">
            <v>#N/A</v>
          </cell>
          <cell r="K970">
            <v>105</v>
          </cell>
          <cell r="L970">
            <v>55</v>
          </cell>
          <cell r="M970" t="e">
            <v>#N/A</v>
          </cell>
          <cell r="N970">
            <v>90</v>
          </cell>
          <cell r="O970" t="e">
            <v>#N/A</v>
          </cell>
          <cell r="P970" t="str">
            <v/>
          </cell>
          <cell r="Q970" t="str">
            <v/>
          </cell>
          <cell r="R970">
            <v>90</v>
          </cell>
        </row>
        <row r="971">
          <cell r="A971" t="str">
            <v/>
          </cell>
          <cell r="B971" t="str">
            <v/>
          </cell>
          <cell r="C971" t="str">
            <v>Future</v>
          </cell>
          <cell r="D971" t="e">
            <v>#N/A</v>
          </cell>
          <cell r="E971">
            <v>-44.463661417323159</v>
          </cell>
          <cell r="F971">
            <v>126.26468503937137</v>
          </cell>
          <cell r="G971">
            <v>44.965472440944907</v>
          </cell>
          <cell r="H971">
            <v>44.965472440944907</v>
          </cell>
          <cell r="I971" t="e">
            <v>#N/A</v>
          </cell>
          <cell r="J971" t="e">
            <v>#N/A</v>
          </cell>
          <cell r="K971">
            <v>105</v>
          </cell>
          <cell r="L971">
            <v>55</v>
          </cell>
          <cell r="M971" t="e">
            <v>#N/A</v>
          </cell>
          <cell r="N971">
            <v>90</v>
          </cell>
          <cell r="O971" t="e">
            <v>#N/A</v>
          </cell>
          <cell r="P971" t="str">
            <v/>
          </cell>
          <cell r="Q971" t="str">
            <v/>
          </cell>
          <cell r="R971">
            <v>90</v>
          </cell>
        </row>
        <row r="972">
          <cell r="A972" t="str">
            <v/>
          </cell>
          <cell r="B972" t="str">
            <v/>
          </cell>
          <cell r="C972" t="str">
            <v>Future</v>
          </cell>
          <cell r="D972" t="e">
            <v>#N/A</v>
          </cell>
          <cell r="E972">
            <v>-44.7433070866145</v>
          </cell>
          <cell r="F972">
            <v>126.39842519685169</v>
          </cell>
          <cell r="G972">
            <v>44.902362204724433</v>
          </cell>
          <cell r="H972">
            <v>44.902362204724433</v>
          </cell>
          <cell r="I972" t="e">
            <v>#N/A</v>
          </cell>
          <cell r="J972" t="e">
            <v>#N/A</v>
          </cell>
          <cell r="K972">
            <v>105</v>
          </cell>
          <cell r="L972">
            <v>55</v>
          </cell>
          <cell r="M972" t="e">
            <v>#N/A</v>
          </cell>
          <cell r="N972">
            <v>90</v>
          </cell>
          <cell r="O972" t="e">
            <v>#N/A</v>
          </cell>
          <cell r="P972" t="str">
            <v/>
          </cell>
          <cell r="Q972" t="str">
            <v/>
          </cell>
          <cell r="R972">
            <v>90</v>
          </cell>
        </row>
        <row r="973">
          <cell r="A973" t="str">
            <v/>
          </cell>
          <cell r="B973" t="str">
            <v/>
          </cell>
          <cell r="C973" t="str">
            <v>Future</v>
          </cell>
          <cell r="D973" t="e">
            <v>#N/A</v>
          </cell>
          <cell r="E973">
            <v>-45.022952755905841</v>
          </cell>
          <cell r="F973">
            <v>126.53216535433201</v>
          </cell>
          <cell r="G973">
            <v>44.839251968503959</v>
          </cell>
          <cell r="H973">
            <v>44.839251968503959</v>
          </cell>
          <cell r="I973" t="e">
            <v>#N/A</v>
          </cell>
          <cell r="J973" t="e">
            <v>#N/A</v>
          </cell>
          <cell r="K973">
            <v>105</v>
          </cell>
          <cell r="L973">
            <v>55</v>
          </cell>
          <cell r="M973" t="e">
            <v>#N/A</v>
          </cell>
          <cell r="N973">
            <v>90</v>
          </cell>
          <cell r="O973" t="e">
            <v>#N/A</v>
          </cell>
          <cell r="P973" t="str">
            <v/>
          </cell>
          <cell r="Q973" t="str">
            <v/>
          </cell>
          <cell r="R973">
            <v>90</v>
          </cell>
        </row>
        <row r="974">
          <cell r="A974" t="str">
            <v/>
          </cell>
          <cell r="B974" t="str">
            <v/>
          </cell>
          <cell r="C974" t="str">
            <v>Future</v>
          </cell>
          <cell r="D974" t="e">
            <v>#N/A</v>
          </cell>
          <cell r="E974">
            <v>-45.302598425197182</v>
          </cell>
          <cell r="F974">
            <v>126.66590551181233</v>
          </cell>
          <cell r="G974">
            <v>44.776141732283484</v>
          </cell>
          <cell r="H974">
            <v>44.776141732283484</v>
          </cell>
          <cell r="I974" t="e">
            <v>#N/A</v>
          </cell>
          <cell r="J974" t="e">
            <v>#N/A</v>
          </cell>
          <cell r="K974">
            <v>105</v>
          </cell>
          <cell r="L974">
            <v>55</v>
          </cell>
          <cell r="M974" t="e">
            <v>#N/A</v>
          </cell>
          <cell r="N974">
            <v>90</v>
          </cell>
          <cell r="O974" t="e">
            <v>#N/A</v>
          </cell>
          <cell r="P974" t="str">
            <v/>
          </cell>
          <cell r="Q974" t="str">
            <v/>
          </cell>
          <cell r="R974">
            <v>90</v>
          </cell>
        </row>
        <row r="975">
          <cell r="A975" t="str">
            <v/>
          </cell>
          <cell r="B975" t="str">
            <v/>
          </cell>
          <cell r="C975" t="str">
            <v>Future</v>
          </cell>
          <cell r="D975" t="e">
            <v>#N/A</v>
          </cell>
          <cell r="E975">
            <v>-45.582244094488523</v>
          </cell>
          <cell r="F975">
            <v>126.79964566929264</v>
          </cell>
          <cell r="G975">
            <v>44.71303149606301</v>
          </cell>
          <cell r="H975">
            <v>44.71303149606301</v>
          </cell>
          <cell r="I975" t="e">
            <v>#N/A</v>
          </cell>
          <cell r="J975" t="e">
            <v>#N/A</v>
          </cell>
          <cell r="K975">
            <v>105</v>
          </cell>
          <cell r="L975">
            <v>55</v>
          </cell>
          <cell r="M975" t="e">
            <v>#N/A</v>
          </cell>
          <cell r="N975">
            <v>90</v>
          </cell>
          <cell r="O975" t="e">
            <v>#N/A</v>
          </cell>
          <cell r="P975" t="str">
            <v/>
          </cell>
          <cell r="Q975" t="str">
            <v/>
          </cell>
          <cell r="R975">
            <v>90</v>
          </cell>
        </row>
        <row r="976">
          <cell r="A976" t="str">
            <v/>
          </cell>
          <cell r="B976" t="str">
            <v/>
          </cell>
          <cell r="C976" t="str">
            <v>Future</v>
          </cell>
          <cell r="D976" t="e">
            <v>#N/A</v>
          </cell>
          <cell r="E976">
            <v>-45.861889763779864</v>
          </cell>
          <cell r="F976">
            <v>126.93338582677296</v>
          </cell>
          <cell r="G976">
            <v>44.649921259842536</v>
          </cell>
          <cell r="H976">
            <v>44.649921259842536</v>
          </cell>
          <cell r="I976" t="e">
            <v>#N/A</v>
          </cell>
          <cell r="J976" t="e">
            <v>#N/A</v>
          </cell>
          <cell r="K976">
            <v>105</v>
          </cell>
          <cell r="L976">
            <v>55</v>
          </cell>
          <cell r="M976" t="e">
            <v>#N/A</v>
          </cell>
          <cell r="N976">
            <v>90</v>
          </cell>
          <cell r="O976" t="e">
            <v>#N/A</v>
          </cell>
          <cell r="P976" t="str">
            <v/>
          </cell>
          <cell r="Q976" t="str">
            <v/>
          </cell>
          <cell r="R976">
            <v>90</v>
          </cell>
        </row>
        <row r="977">
          <cell r="A977" t="str">
            <v/>
          </cell>
          <cell r="B977" t="str">
            <v/>
          </cell>
          <cell r="C977" t="str">
            <v>Future</v>
          </cell>
          <cell r="D977" t="e">
            <v>#N/A</v>
          </cell>
          <cell r="E977">
            <v>-46.141535433071205</v>
          </cell>
          <cell r="F977">
            <v>127.06712598425328</v>
          </cell>
          <cell r="G977">
            <v>44.586811023622062</v>
          </cell>
          <cell r="H977">
            <v>44.586811023622062</v>
          </cell>
          <cell r="I977" t="e">
            <v>#N/A</v>
          </cell>
          <cell r="J977" t="e">
            <v>#N/A</v>
          </cell>
          <cell r="K977">
            <v>105</v>
          </cell>
          <cell r="L977">
            <v>55</v>
          </cell>
          <cell r="M977" t="e">
            <v>#N/A</v>
          </cell>
          <cell r="N977">
            <v>90</v>
          </cell>
          <cell r="O977" t="e">
            <v>#N/A</v>
          </cell>
          <cell r="P977" t="str">
            <v/>
          </cell>
          <cell r="Q977" t="str">
            <v/>
          </cell>
          <cell r="R977">
            <v>90</v>
          </cell>
        </row>
        <row r="978">
          <cell r="A978" t="str">
            <v/>
          </cell>
          <cell r="B978" t="str">
            <v/>
          </cell>
          <cell r="C978" t="str">
            <v>Future</v>
          </cell>
          <cell r="D978" t="e">
            <v>#N/A</v>
          </cell>
          <cell r="E978">
            <v>-46.421181102362546</v>
          </cell>
          <cell r="F978">
            <v>127.2008661417336</v>
          </cell>
          <cell r="G978">
            <v>44.523700787401587</v>
          </cell>
          <cell r="H978">
            <v>44.523700787401587</v>
          </cell>
          <cell r="I978" t="e">
            <v>#N/A</v>
          </cell>
          <cell r="J978" t="e">
            <v>#N/A</v>
          </cell>
          <cell r="K978">
            <v>105</v>
          </cell>
          <cell r="L978">
            <v>55</v>
          </cell>
          <cell r="M978" t="e">
            <v>#N/A</v>
          </cell>
          <cell r="N978">
            <v>90</v>
          </cell>
          <cell r="O978" t="e">
            <v>#N/A</v>
          </cell>
          <cell r="P978" t="str">
            <v/>
          </cell>
          <cell r="Q978" t="str">
            <v/>
          </cell>
          <cell r="R978">
            <v>90</v>
          </cell>
        </row>
        <row r="979">
          <cell r="A979" t="str">
            <v/>
          </cell>
          <cell r="B979" t="str">
            <v/>
          </cell>
          <cell r="C979" t="str">
            <v>Future</v>
          </cell>
          <cell r="D979" t="e">
            <v>#N/A</v>
          </cell>
          <cell r="E979">
            <v>-46.700826771653887</v>
          </cell>
          <cell r="F979">
            <v>127.33460629921392</v>
          </cell>
          <cell r="G979">
            <v>44.460590551181113</v>
          </cell>
          <cell r="H979">
            <v>44.460590551181113</v>
          </cell>
          <cell r="I979" t="e">
            <v>#N/A</v>
          </cell>
          <cell r="J979" t="e">
            <v>#N/A</v>
          </cell>
          <cell r="K979">
            <v>105</v>
          </cell>
          <cell r="L979">
            <v>55</v>
          </cell>
          <cell r="M979" t="e">
            <v>#N/A</v>
          </cell>
          <cell r="N979">
            <v>90</v>
          </cell>
          <cell r="O979" t="e">
            <v>#N/A</v>
          </cell>
          <cell r="P979" t="str">
            <v/>
          </cell>
          <cell r="Q979" t="str">
            <v/>
          </cell>
          <cell r="R979">
            <v>90</v>
          </cell>
        </row>
        <row r="980">
          <cell r="A980" t="str">
            <v/>
          </cell>
          <cell r="B980" t="str">
            <v/>
          </cell>
          <cell r="C980" t="str">
            <v>Future</v>
          </cell>
          <cell r="D980" t="e">
            <v>#N/A</v>
          </cell>
          <cell r="E980">
            <v>-46.980472440945228</v>
          </cell>
          <cell r="F980">
            <v>127.46834645669423</v>
          </cell>
          <cell r="G980">
            <v>44.397480314960639</v>
          </cell>
          <cell r="H980">
            <v>44.397480314960639</v>
          </cell>
          <cell r="I980" t="e">
            <v>#N/A</v>
          </cell>
          <cell r="J980" t="e">
            <v>#N/A</v>
          </cell>
          <cell r="K980">
            <v>105</v>
          </cell>
          <cell r="L980">
            <v>55</v>
          </cell>
          <cell r="M980" t="e">
            <v>#N/A</v>
          </cell>
          <cell r="N980">
            <v>90</v>
          </cell>
          <cell r="O980" t="e">
            <v>#N/A</v>
          </cell>
          <cell r="P980" t="str">
            <v/>
          </cell>
          <cell r="Q980" t="str">
            <v/>
          </cell>
          <cell r="R980">
            <v>90</v>
          </cell>
        </row>
        <row r="981">
          <cell r="A981" t="str">
            <v/>
          </cell>
          <cell r="B981" t="str">
            <v/>
          </cell>
          <cell r="C981" t="str">
            <v>Future</v>
          </cell>
          <cell r="D981" t="e">
            <v>#N/A</v>
          </cell>
          <cell r="E981">
            <v>-47.260118110236569</v>
          </cell>
          <cell r="F981">
            <v>127.60208661417455</v>
          </cell>
          <cell r="G981">
            <v>44.334370078740164</v>
          </cell>
          <cell r="H981">
            <v>44.334370078740164</v>
          </cell>
          <cell r="I981" t="e">
            <v>#N/A</v>
          </cell>
          <cell r="J981" t="e">
            <v>#N/A</v>
          </cell>
          <cell r="K981">
            <v>105</v>
          </cell>
          <cell r="L981">
            <v>55</v>
          </cell>
          <cell r="M981" t="e">
            <v>#N/A</v>
          </cell>
          <cell r="N981">
            <v>90</v>
          </cell>
          <cell r="O981" t="e">
            <v>#N/A</v>
          </cell>
          <cell r="P981" t="str">
            <v/>
          </cell>
          <cell r="Q981" t="str">
            <v/>
          </cell>
          <cell r="R981">
            <v>90</v>
          </cell>
        </row>
        <row r="982">
          <cell r="A982" t="str">
            <v/>
          </cell>
          <cell r="B982" t="str">
            <v/>
          </cell>
          <cell r="C982" t="str">
            <v>Future</v>
          </cell>
          <cell r="D982" t="e">
            <v>#N/A</v>
          </cell>
          <cell r="E982">
            <v>-47.53976377952791</v>
          </cell>
          <cell r="F982">
            <v>127.73582677165487</v>
          </cell>
          <cell r="G982">
            <v>44.27125984251969</v>
          </cell>
          <cell r="H982">
            <v>44.27125984251969</v>
          </cell>
          <cell r="I982" t="e">
            <v>#N/A</v>
          </cell>
          <cell r="J982" t="e">
            <v>#N/A</v>
          </cell>
          <cell r="K982">
            <v>105</v>
          </cell>
          <cell r="L982">
            <v>55</v>
          </cell>
          <cell r="M982" t="e">
            <v>#N/A</v>
          </cell>
          <cell r="N982">
            <v>90</v>
          </cell>
          <cell r="O982" t="e">
            <v>#N/A</v>
          </cell>
          <cell r="P982" t="str">
            <v/>
          </cell>
          <cell r="Q982" t="str">
            <v/>
          </cell>
          <cell r="R982">
            <v>90</v>
          </cell>
        </row>
        <row r="983">
          <cell r="A983" t="str">
            <v/>
          </cell>
          <cell r="B983" t="str">
            <v/>
          </cell>
          <cell r="C983" t="str">
            <v>Future</v>
          </cell>
          <cell r="D983" t="e">
            <v>#N/A</v>
          </cell>
          <cell r="E983">
            <v>-47.81940944881925</v>
          </cell>
          <cell r="F983">
            <v>127.86956692913519</v>
          </cell>
          <cell r="G983">
            <v>44.208149606299216</v>
          </cell>
          <cell r="H983">
            <v>44.208149606299216</v>
          </cell>
          <cell r="I983" t="e">
            <v>#N/A</v>
          </cell>
          <cell r="J983" t="e">
            <v>#N/A</v>
          </cell>
          <cell r="K983">
            <v>105</v>
          </cell>
          <cell r="L983">
            <v>55</v>
          </cell>
          <cell r="M983" t="e">
            <v>#N/A</v>
          </cell>
          <cell r="N983">
            <v>90</v>
          </cell>
          <cell r="O983" t="e">
            <v>#N/A</v>
          </cell>
          <cell r="P983" t="str">
            <v/>
          </cell>
          <cell r="Q983" t="str">
            <v/>
          </cell>
          <cell r="R983">
            <v>90</v>
          </cell>
        </row>
        <row r="984">
          <cell r="A984" t="str">
            <v/>
          </cell>
          <cell r="B984" t="str">
            <v/>
          </cell>
          <cell r="C984" t="str">
            <v>Future</v>
          </cell>
          <cell r="D984" t="e">
            <v>#N/A</v>
          </cell>
          <cell r="E984">
            <v>-48.099055118110591</v>
          </cell>
          <cell r="F984">
            <v>128.00330708661551</v>
          </cell>
          <cell r="G984">
            <v>44.145039370078742</v>
          </cell>
          <cell r="H984">
            <v>44.145039370078742</v>
          </cell>
          <cell r="I984" t="e">
            <v>#N/A</v>
          </cell>
          <cell r="J984" t="e">
            <v>#N/A</v>
          </cell>
          <cell r="K984">
            <v>105</v>
          </cell>
          <cell r="L984">
            <v>55</v>
          </cell>
          <cell r="M984" t="e">
            <v>#N/A</v>
          </cell>
          <cell r="N984">
            <v>90</v>
          </cell>
          <cell r="O984" t="e">
            <v>#N/A</v>
          </cell>
          <cell r="P984" t="str">
            <v/>
          </cell>
          <cell r="Q984" t="str">
            <v/>
          </cell>
          <cell r="R984">
            <v>90</v>
          </cell>
        </row>
        <row r="985">
          <cell r="A985" t="str">
            <v/>
          </cell>
          <cell r="B985" t="str">
            <v/>
          </cell>
          <cell r="C985" t="str">
            <v>Future</v>
          </cell>
          <cell r="D985" t="e">
            <v>#N/A</v>
          </cell>
          <cell r="E985">
            <v>-48.378700787401932</v>
          </cell>
          <cell r="F985">
            <v>128.13704724409581</v>
          </cell>
          <cell r="G985">
            <v>44.081929133858267</v>
          </cell>
          <cell r="H985">
            <v>44.081929133858267</v>
          </cell>
          <cell r="I985" t="e">
            <v>#N/A</v>
          </cell>
          <cell r="J985" t="e">
            <v>#N/A</v>
          </cell>
          <cell r="K985">
            <v>105</v>
          </cell>
          <cell r="L985">
            <v>55</v>
          </cell>
          <cell r="M985" t="e">
            <v>#N/A</v>
          </cell>
          <cell r="N985">
            <v>90</v>
          </cell>
          <cell r="O985" t="e">
            <v>#N/A</v>
          </cell>
          <cell r="P985" t="str">
            <v/>
          </cell>
          <cell r="Q985" t="str">
            <v/>
          </cell>
          <cell r="R985">
            <v>90</v>
          </cell>
        </row>
        <row r="986">
          <cell r="A986" t="str">
            <v/>
          </cell>
          <cell r="B986" t="str">
            <v/>
          </cell>
          <cell r="C986" t="str">
            <v>Future</v>
          </cell>
          <cell r="D986" t="e">
            <v>#N/A</v>
          </cell>
          <cell r="E986">
            <v>-48.658346456693273</v>
          </cell>
          <cell r="F986">
            <v>128.27078740157611</v>
          </cell>
          <cell r="G986">
            <v>44.018818897637793</v>
          </cell>
          <cell r="H986">
            <v>44.018818897637793</v>
          </cell>
          <cell r="I986" t="e">
            <v>#N/A</v>
          </cell>
          <cell r="J986" t="e">
            <v>#N/A</v>
          </cell>
          <cell r="K986">
            <v>105</v>
          </cell>
          <cell r="L986">
            <v>55</v>
          </cell>
          <cell r="M986" t="e">
            <v>#N/A</v>
          </cell>
          <cell r="N986">
            <v>90</v>
          </cell>
          <cell r="O986" t="e">
            <v>#N/A</v>
          </cell>
          <cell r="P986" t="str">
            <v/>
          </cell>
          <cell r="Q986" t="str">
            <v/>
          </cell>
          <cell r="R986">
            <v>90</v>
          </cell>
        </row>
        <row r="987">
          <cell r="A987" t="str">
            <v/>
          </cell>
          <cell r="B987" t="str">
            <v/>
          </cell>
          <cell r="C987" t="str">
            <v>Future</v>
          </cell>
          <cell r="D987" t="e">
            <v>#N/A</v>
          </cell>
          <cell r="E987">
            <v>-48.937992125984614</v>
          </cell>
          <cell r="F987">
            <v>128.40452755905642</v>
          </cell>
          <cell r="G987">
            <v>43.955708661417319</v>
          </cell>
          <cell r="H987">
            <v>43.955708661417319</v>
          </cell>
          <cell r="I987" t="e">
            <v>#N/A</v>
          </cell>
          <cell r="J987" t="e">
            <v>#N/A</v>
          </cell>
          <cell r="K987">
            <v>105</v>
          </cell>
          <cell r="L987">
            <v>55</v>
          </cell>
          <cell r="M987" t="e">
            <v>#N/A</v>
          </cell>
          <cell r="N987">
            <v>90</v>
          </cell>
          <cell r="O987" t="e">
            <v>#N/A</v>
          </cell>
          <cell r="P987" t="str">
            <v/>
          </cell>
          <cell r="Q987" t="str">
            <v/>
          </cell>
          <cell r="R987">
            <v>90</v>
          </cell>
        </row>
        <row r="988">
          <cell r="A988" t="str">
            <v/>
          </cell>
          <cell r="B988" t="str">
            <v/>
          </cell>
          <cell r="C988" t="str">
            <v>Future</v>
          </cell>
          <cell r="D988" t="e">
            <v>#N/A</v>
          </cell>
          <cell r="E988">
            <v>-49.217637795275955</v>
          </cell>
          <cell r="F988">
            <v>128.53826771653672</v>
          </cell>
          <cell r="G988">
            <v>43.892598425196844</v>
          </cell>
          <cell r="H988">
            <v>43.892598425196844</v>
          </cell>
          <cell r="I988" t="e">
            <v>#N/A</v>
          </cell>
          <cell r="J988" t="e">
            <v>#N/A</v>
          </cell>
          <cell r="K988">
            <v>105</v>
          </cell>
          <cell r="L988">
            <v>55</v>
          </cell>
          <cell r="M988" t="e">
            <v>#N/A</v>
          </cell>
          <cell r="N988">
            <v>90</v>
          </cell>
          <cell r="O988" t="e">
            <v>#N/A</v>
          </cell>
          <cell r="P988" t="str">
            <v/>
          </cell>
          <cell r="Q988" t="str">
            <v/>
          </cell>
          <cell r="R988">
            <v>90</v>
          </cell>
        </row>
        <row r="989">
          <cell r="A989" t="str">
            <v/>
          </cell>
          <cell r="B989" t="str">
            <v/>
          </cell>
          <cell r="C989" t="str">
            <v>Future</v>
          </cell>
          <cell r="D989" t="e">
            <v>#N/A</v>
          </cell>
          <cell r="E989">
            <v>-49.497283464567296</v>
          </cell>
          <cell r="F989">
            <v>128.67200787401703</v>
          </cell>
          <cell r="G989">
            <v>43.82948818897637</v>
          </cell>
          <cell r="H989">
            <v>43.82948818897637</v>
          </cell>
          <cell r="I989" t="e">
            <v>#N/A</v>
          </cell>
          <cell r="J989" t="e">
            <v>#N/A</v>
          </cell>
          <cell r="K989">
            <v>105</v>
          </cell>
          <cell r="L989">
            <v>55</v>
          </cell>
          <cell r="M989" t="e">
            <v>#N/A</v>
          </cell>
          <cell r="N989">
            <v>90</v>
          </cell>
          <cell r="O989" t="e">
            <v>#N/A</v>
          </cell>
          <cell r="P989" t="str">
            <v/>
          </cell>
          <cell r="Q989" t="str">
            <v/>
          </cell>
          <cell r="R989">
            <v>90</v>
          </cell>
        </row>
        <row r="990">
          <cell r="A990" t="str">
            <v/>
          </cell>
          <cell r="B990" t="str">
            <v/>
          </cell>
          <cell r="C990" t="str">
            <v>Future</v>
          </cell>
          <cell r="D990" t="e">
            <v>#N/A</v>
          </cell>
          <cell r="E990">
            <v>-49.776929133858637</v>
          </cell>
          <cell r="F990">
            <v>128.80574803149733</v>
          </cell>
          <cell r="G990">
            <v>43.766377952755896</v>
          </cell>
          <cell r="H990">
            <v>43.766377952755896</v>
          </cell>
          <cell r="I990" t="e">
            <v>#N/A</v>
          </cell>
          <cell r="J990" t="e">
            <v>#N/A</v>
          </cell>
          <cell r="K990">
            <v>105</v>
          </cell>
          <cell r="L990">
            <v>55</v>
          </cell>
          <cell r="M990" t="e">
            <v>#N/A</v>
          </cell>
          <cell r="N990">
            <v>90</v>
          </cell>
          <cell r="O990" t="e">
            <v>#N/A</v>
          </cell>
          <cell r="P990" t="str">
            <v/>
          </cell>
          <cell r="Q990" t="str">
            <v/>
          </cell>
          <cell r="R990">
            <v>90</v>
          </cell>
        </row>
        <row r="991">
          <cell r="A991" t="str">
            <v/>
          </cell>
          <cell r="B991" t="str">
            <v/>
          </cell>
          <cell r="C991" t="str">
            <v>Future</v>
          </cell>
          <cell r="D991" t="e">
            <v>#N/A</v>
          </cell>
          <cell r="E991">
            <v>-50.056574803149978</v>
          </cell>
          <cell r="F991">
            <v>128.93948818897763</v>
          </cell>
          <cell r="G991">
            <v>43.703267716535422</v>
          </cell>
          <cell r="H991">
            <v>43.703267716535422</v>
          </cell>
          <cell r="I991" t="e">
            <v>#N/A</v>
          </cell>
          <cell r="J991" t="e">
            <v>#N/A</v>
          </cell>
          <cell r="K991">
            <v>105</v>
          </cell>
          <cell r="L991">
            <v>55</v>
          </cell>
          <cell r="M991" t="e">
            <v>#N/A</v>
          </cell>
          <cell r="N991">
            <v>90</v>
          </cell>
          <cell r="O991" t="e">
            <v>#N/A</v>
          </cell>
          <cell r="P991" t="str">
            <v/>
          </cell>
          <cell r="Q991" t="str">
            <v/>
          </cell>
          <cell r="R991">
            <v>90</v>
          </cell>
        </row>
        <row r="992">
          <cell r="A992" t="str">
            <v/>
          </cell>
          <cell r="B992" t="str">
            <v/>
          </cell>
          <cell r="C992" t="str">
            <v>Future</v>
          </cell>
          <cell r="D992" t="e">
            <v>#N/A</v>
          </cell>
          <cell r="E992">
            <v>-50.336220472441319</v>
          </cell>
          <cell r="F992">
            <v>129.07322834645794</v>
          </cell>
          <cell r="G992">
            <v>43.640157480314947</v>
          </cell>
          <cell r="H992">
            <v>43.640157480314947</v>
          </cell>
          <cell r="I992" t="e">
            <v>#N/A</v>
          </cell>
          <cell r="J992" t="e">
            <v>#N/A</v>
          </cell>
          <cell r="K992">
            <v>105</v>
          </cell>
          <cell r="L992">
            <v>55</v>
          </cell>
          <cell r="M992" t="e">
            <v>#N/A</v>
          </cell>
          <cell r="N992">
            <v>90</v>
          </cell>
          <cell r="O992" t="e">
            <v>#N/A</v>
          </cell>
          <cell r="P992" t="str">
            <v/>
          </cell>
          <cell r="Q992" t="str">
            <v/>
          </cell>
          <cell r="R992">
            <v>90</v>
          </cell>
        </row>
        <row r="993">
          <cell r="A993" t="str">
            <v/>
          </cell>
          <cell r="B993" t="str">
            <v/>
          </cell>
          <cell r="C993" t="str">
            <v>Future</v>
          </cell>
          <cell r="D993" t="e">
            <v>#N/A</v>
          </cell>
          <cell r="E993">
            <v>-50.61586614173266</v>
          </cell>
          <cell r="F993">
            <v>129.20696850393824</v>
          </cell>
          <cell r="G993">
            <v>43.577047244094473</v>
          </cell>
          <cell r="H993">
            <v>43.577047244094473</v>
          </cell>
          <cell r="I993" t="e">
            <v>#N/A</v>
          </cell>
          <cell r="J993" t="e">
            <v>#N/A</v>
          </cell>
          <cell r="K993">
            <v>105</v>
          </cell>
          <cell r="L993">
            <v>55</v>
          </cell>
          <cell r="M993" t="e">
            <v>#N/A</v>
          </cell>
          <cell r="N993">
            <v>90</v>
          </cell>
          <cell r="O993" t="e">
            <v>#N/A</v>
          </cell>
          <cell r="P993" t="str">
            <v/>
          </cell>
          <cell r="Q993" t="str">
            <v/>
          </cell>
          <cell r="R993">
            <v>90</v>
          </cell>
        </row>
        <row r="994">
          <cell r="A994" t="str">
            <v/>
          </cell>
          <cell r="B994" t="str">
            <v/>
          </cell>
          <cell r="C994" t="str">
            <v>Future</v>
          </cell>
          <cell r="D994" t="e">
            <v>#N/A</v>
          </cell>
          <cell r="E994">
            <v>-50.895511811024001</v>
          </cell>
          <cell r="F994">
            <v>129.34070866141855</v>
          </cell>
          <cell r="G994">
            <v>43.513937007873999</v>
          </cell>
          <cell r="H994">
            <v>43.513937007873999</v>
          </cell>
          <cell r="I994" t="e">
            <v>#N/A</v>
          </cell>
          <cell r="J994" t="e">
            <v>#N/A</v>
          </cell>
          <cell r="K994">
            <v>105</v>
          </cell>
          <cell r="L994">
            <v>55</v>
          </cell>
          <cell r="M994" t="e">
            <v>#N/A</v>
          </cell>
          <cell r="N994">
            <v>90</v>
          </cell>
          <cell r="O994" t="e">
            <v>#N/A</v>
          </cell>
          <cell r="P994" t="str">
            <v/>
          </cell>
          <cell r="Q994" t="str">
            <v/>
          </cell>
          <cell r="R994">
            <v>90</v>
          </cell>
        </row>
        <row r="995">
          <cell r="A995" t="str">
            <v/>
          </cell>
          <cell r="B995" t="str">
            <v/>
          </cell>
          <cell r="C995" t="str">
            <v>Future</v>
          </cell>
          <cell r="D995" t="e">
            <v>#N/A</v>
          </cell>
          <cell r="E995">
            <v>-51.175157480315342</v>
          </cell>
          <cell r="F995">
            <v>129.47444881889885</v>
          </cell>
          <cell r="G995">
            <v>43.450826771653524</v>
          </cell>
          <cell r="H995">
            <v>43.450826771653524</v>
          </cell>
          <cell r="I995" t="e">
            <v>#N/A</v>
          </cell>
          <cell r="J995" t="e">
            <v>#N/A</v>
          </cell>
          <cell r="K995">
            <v>105</v>
          </cell>
          <cell r="L995">
            <v>55</v>
          </cell>
          <cell r="M995" t="e">
            <v>#N/A</v>
          </cell>
          <cell r="N995">
            <v>90</v>
          </cell>
          <cell r="O995" t="e">
            <v>#N/A</v>
          </cell>
          <cell r="P995" t="str">
            <v/>
          </cell>
          <cell r="Q995" t="str">
            <v/>
          </cell>
          <cell r="R995">
            <v>90</v>
          </cell>
        </row>
        <row r="996">
          <cell r="A996" t="str">
            <v/>
          </cell>
          <cell r="B996" t="str">
            <v/>
          </cell>
          <cell r="C996" t="str">
            <v>Future</v>
          </cell>
          <cell r="D996" t="e">
            <v>#N/A</v>
          </cell>
          <cell r="E996">
            <v>-51.454803149606683</v>
          </cell>
          <cell r="F996">
            <v>129.60818897637915</v>
          </cell>
          <cell r="G996">
            <v>43.38771653543305</v>
          </cell>
          <cell r="H996">
            <v>43.38771653543305</v>
          </cell>
          <cell r="I996" t="e">
            <v>#N/A</v>
          </cell>
          <cell r="J996" t="e">
            <v>#N/A</v>
          </cell>
          <cell r="K996">
            <v>105</v>
          </cell>
          <cell r="L996">
            <v>55</v>
          </cell>
          <cell r="M996" t="e">
            <v>#N/A</v>
          </cell>
          <cell r="N996">
            <v>90</v>
          </cell>
          <cell r="O996" t="e">
            <v>#N/A</v>
          </cell>
          <cell r="P996" t="str">
            <v/>
          </cell>
          <cell r="Q996" t="str">
            <v/>
          </cell>
          <cell r="R996">
            <v>90</v>
          </cell>
        </row>
        <row r="997">
          <cell r="A997" t="str">
            <v/>
          </cell>
          <cell r="B997" t="str">
            <v/>
          </cell>
          <cell r="C997" t="str">
            <v>Future</v>
          </cell>
          <cell r="D997" t="e">
            <v>#N/A</v>
          </cell>
          <cell r="E997">
            <v>-51.734448818898024</v>
          </cell>
          <cell r="F997">
            <v>129.74192913385946</v>
          </cell>
          <cell r="G997">
            <v>43.324606299212576</v>
          </cell>
          <cell r="H997">
            <v>43.324606299212576</v>
          </cell>
          <cell r="I997" t="e">
            <v>#N/A</v>
          </cell>
          <cell r="J997" t="e">
            <v>#N/A</v>
          </cell>
          <cell r="K997">
            <v>105</v>
          </cell>
          <cell r="L997">
            <v>55</v>
          </cell>
          <cell r="M997" t="e">
            <v>#N/A</v>
          </cell>
          <cell r="N997">
            <v>90</v>
          </cell>
          <cell r="O997" t="e">
            <v>#N/A</v>
          </cell>
          <cell r="P997" t="str">
            <v/>
          </cell>
          <cell r="Q997" t="str">
            <v/>
          </cell>
          <cell r="R997">
            <v>90</v>
          </cell>
        </row>
        <row r="998">
          <cell r="A998" t="str">
            <v/>
          </cell>
          <cell r="B998" t="str">
            <v/>
          </cell>
          <cell r="C998" t="str">
            <v>Future</v>
          </cell>
          <cell r="D998" t="e">
            <v>#N/A</v>
          </cell>
          <cell r="E998">
            <v>-52.014094488189365</v>
          </cell>
          <cell r="F998">
            <v>129.87566929133976</v>
          </cell>
          <cell r="G998">
            <v>43.261496062992101</v>
          </cell>
          <cell r="H998">
            <v>43.261496062992101</v>
          </cell>
          <cell r="I998" t="e">
            <v>#N/A</v>
          </cell>
          <cell r="J998" t="e">
            <v>#N/A</v>
          </cell>
          <cell r="K998">
            <v>105</v>
          </cell>
          <cell r="L998">
            <v>55</v>
          </cell>
          <cell r="M998" t="e">
            <v>#N/A</v>
          </cell>
          <cell r="N998">
            <v>90</v>
          </cell>
          <cell r="O998" t="e">
            <v>#N/A</v>
          </cell>
          <cell r="P998" t="str">
            <v/>
          </cell>
          <cell r="Q998" t="str">
            <v/>
          </cell>
          <cell r="R998">
            <v>90</v>
          </cell>
        </row>
        <row r="999">
          <cell r="A999" t="str">
            <v/>
          </cell>
          <cell r="B999" t="str">
            <v/>
          </cell>
          <cell r="C999" t="str">
            <v>Future</v>
          </cell>
          <cell r="D999" t="e">
            <v>#N/A</v>
          </cell>
          <cell r="E999">
            <v>-52.293740157480705</v>
          </cell>
          <cell r="F999">
            <v>130.00940944882007</v>
          </cell>
          <cell r="G999">
            <v>43.198385826771627</v>
          </cell>
          <cell r="H999">
            <v>43.198385826771627</v>
          </cell>
          <cell r="I999" t="e">
            <v>#N/A</v>
          </cell>
          <cell r="J999" t="e">
            <v>#N/A</v>
          </cell>
          <cell r="K999">
            <v>105</v>
          </cell>
          <cell r="L999">
            <v>55</v>
          </cell>
          <cell r="M999" t="e">
            <v>#N/A</v>
          </cell>
          <cell r="N999">
            <v>90</v>
          </cell>
          <cell r="O999" t="e">
            <v>#N/A</v>
          </cell>
          <cell r="P999" t="str">
            <v/>
          </cell>
          <cell r="Q999" t="str">
            <v/>
          </cell>
          <cell r="R999">
            <v>90</v>
          </cell>
        </row>
        <row r="1000">
          <cell r="A1000" t="str">
            <v/>
          </cell>
          <cell r="B1000" t="str">
            <v/>
          </cell>
          <cell r="C1000" t="str">
            <v>Future</v>
          </cell>
          <cell r="D1000" t="e">
            <v>#N/A</v>
          </cell>
          <cell r="E1000">
            <v>-52.573385826772046</v>
          </cell>
          <cell r="F1000">
            <v>130.14314960630037</v>
          </cell>
          <cell r="G1000">
            <v>43.135275590551153</v>
          </cell>
          <cell r="H1000">
            <v>43.135275590551153</v>
          </cell>
          <cell r="I1000" t="e">
            <v>#N/A</v>
          </cell>
          <cell r="J1000" t="e">
            <v>#N/A</v>
          </cell>
          <cell r="K1000">
            <v>105</v>
          </cell>
          <cell r="L1000">
            <v>55</v>
          </cell>
          <cell r="M1000" t="e">
            <v>#N/A</v>
          </cell>
          <cell r="N1000">
            <v>90</v>
          </cell>
          <cell r="O1000" t="e">
            <v>#N/A</v>
          </cell>
          <cell r="P1000" t="str">
            <v/>
          </cell>
          <cell r="Q1000" t="str">
            <v/>
          </cell>
          <cell r="R1000">
            <v>90</v>
          </cell>
        </row>
        <row r="1001">
          <cell r="A1001" t="str">
            <v/>
          </cell>
          <cell r="B1001" t="str">
            <v/>
          </cell>
          <cell r="C1001" t="str">
            <v>Future</v>
          </cell>
          <cell r="D1001" t="e">
            <v>#N/A</v>
          </cell>
          <cell r="E1001">
            <v>-52.853031496063387</v>
          </cell>
          <cell r="F1001">
            <v>130.27688976378067</v>
          </cell>
          <cell r="G1001">
            <v>43.072165354330679</v>
          </cell>
          <cell r="H1001">
            <v>43.072165354330679</v>
          </cell>
          <cell r="I1001" t="e">
            <v>#N/A</v>
          </cell>
          <cell r="J1001" t="e">
            <v>#N/A</v>
          </cell>
          <cell r="K1001">
            <v>105</v>
          </cell>
          <cell r="L1001">
            <v>55</v>
          </cell>
          <cell r="M1001" t="e">
            <v>#N/A</v>
          </cell>
          <cell r="N1001">
            <v>90</v>
          </cell>
          <cell r="O1001" t="e">
            <v>#N/A</v>
          </cell>
          <cell r="P1001" t="str">
            <v/>
          </cell>
          <cell r="Q1001" t="str">
            <v/>
          </cell>
          <cell r="R1001">
            <v>90</v>
          </cell>
        </row>
        <row r="1002">
          <cell r="A1002" t="str">
            <v/>
          </cell>
          <cell r="B1002" t="str">
            <v/>
          </cell>
          <cell r="C1002" t="str">
            <v>Future</v>
          </cell>
          <cell r="D1002" t="e">
            <v>#N/A</v>
          </cell>
          <cell r="E1002">
            <v>-53.132677165354728</v>
          </cell>
          <cell r="F1002">
            <v>130.41062992126098</v>
          </cell>
          <cell r="G1002">
            <v>43.009055118110204</v>
          </cell>
          <cell r="H1002">
            <v>43.009055118110204</v>
          </cell>
          <cell r="I1002" t="e">
            <v>#N/A</v>
          </cell>
          <cell r="J1002" t="e">
            <v>#N/A</v>
          </cell>
          <cell r="K1002">
            <v>105</v>
          </cell>
          <cell r="L1002">
            <v>55</v>
          </cell>
          <cell r="M1002" t="e">
            <v>#N/A</v>
          </cell>
          <cell r="N1002">
            <v>90</v>
          </cell>
          <cell r="O1002" t="e">
            <v>#N/A</v>
          </cell>
          <cell r="P1002" t="str">
            <v/>
          </cell>
          <cell r="Q1002" t="str">
            <v/>
          </cell>
          <cell r="R1002">
            <v>90</v>
          </cell>
        </row>
        <row r="1003">
          <cell r="A1003" t="str">
            <v/>
          </cell>
          <cell r="B1003" t="str">
            <v/>
          </cell>
          <cell r="C1003" t="str">
            <v>Future</v>
          </cell>
          <cell r="D1003" t="e">
            <v>#N/A</v>
          </cell>
          <cell r="E1003">
            <v>-53.412322834646069</v>
          </cell>
          <cell r="F1003">
            <v>130.54437007874128</v>
          </cell>
          <cell r="G1003">
            <v>42.94594488188973</v>
          </cell>
          <cell r="H1003">
            <v>42.94594488188973</v>
          </cell>
          <cell r="I1003" t="e">
            <v>#N/A</v>
          </cell>
          <cell r="J1003" t="e">
            <v>#N/A</v>
          </cell>
          <cell r="K1003">
            <v>105</v>
          </cell>
          <cell r="L1003">
            <v>55</v>
          </cell>
          <cell r="M1003" t="e">
            <v>#N/A</v>
          </cell>
          <cell r="N1003">
            <v>90</v>
          </cell>
          <cell r="O1003" t="e">
            <v>#N/A</v>
          </cell>
          <cell r="P1003" t="str">
            <v/>
          </cell>
          <cell r="Q1003" t="str">
            <v/>
          </cell>
          <cell r="R1003">
            <v>90</v>
          </cell>
        </row>
        <row r="1004">
          <cell r="A1004" t="str">
            <v/>
          </cell>
          <cell r="B1004" t="str">
            <v/>
          </cell>
          <cell r="C1004" t="str">
            <v>Future</v>
          </cell>
          <cell r="D1004" t="e">
            <v>#N/A</v>
          </cell>
          <cell r="E1004">
            <v>-53.69196850393741</v>
          </cell>
          <cell r="F1004">
            <v>130.67811023622158</v>
          </cell>
          <cell r="G1004">
            <v>42.882834645669256</v>
          </cell>
          <cell r="H1004">
            <v>42.882834645669256</v>
          </cell>
          <cell r="I1004" t="e">
            <v>#N/A</v>
          </cell>
          <cell r="J1004" t="e">
            <v>#N/A</v>
          </cell>
          <cell r="K1004">
            <v>105</v>
          </cell>
          <cell r="L1004">
            <v>55</v>
          </cell>
          <cell r="M1004" t="e">
            <v>#N/A</v>
          </cell>
          <cell r="N1004">
            <v>90</v>
          </cell>
          <cell r="O1004" t="e">
            <v>#N/A</v>
          </cell>
          <cell r="P1004" t="str">
            <v/>
          </cell>
          <cell r="Q1004" t="str">
            <v/>
          </cell>
          <cell r="R1004">
            <v>90</v>
          </cell>
        </row>
        <row r="1005">
          <cell r="A1005" t="str">
            <v/>
          </cell>
          <cell r="B1005" t="str">
            <v/>
          </cell>
          <cell r="C1005" t="str">
            <v>Future</v>
          </cell>
          <cell r="D1005" t="e">
            <v>#N/A</v>
          </cell>
          <cell r="E1005">
            <v>-53.971614173228751</v>
          </cell>
          <cell r="F1005">
            <v>130.81185039370189</v>
          </cell>
          <cell r="G1005">
            <v>42.819724409448781</v>
          </cell>
          <cell r="H1005">
            <v>42.819724409448781</v>
          </cell>
          <cell r="I1005" t="e">
            <v>#N/A</v>
          </cell>
          <cell r="J1005" t="e">
            <v>#N/A</v>
          </cell>
          <cell r="K1005">
            <v>105</v>
          </cell>
          <cell r="L1005">
            <v>55</v>
          </cell>
          <cell r="M1005" t="e">
            <v>#N/A</v>
          </cell>
          <cell r="N1005">
            <v>90</v>
          </cell>
          <cell r="O1005" t="e">
            <v>#N/A</v>
          </cell>
          <cell r="P1005" t="str">
            <v/>
          </cell>
          <cell r="Q1005" t="str">
            <v/>
          </cell>
          <cell r="R1005">
            <v>90</v>
          </cell>
        </row>
        <row r="1006">
          <cell r="A1006" t="str">
            <v/>
          </cell>
          <cell r="B1006" t="str">
            <v/>
          </cell>
          <cell r="C1006" t="str">
            <v>Future</v>
          </cell>
          <cell r="D1006" t="e">
            <v>#N/A</v>
          </cell>
          <cell r="E1006">
            <v>-54.251259842520092</v>
          </cell>
          <cell r="F1006">
            <v>130.94559055118219</v>
          </cell>
          <cell r="G1006">
            <v>42.756614173228307</v>
          </cell>
          <cell r="H1006">
            <v>42.756614173228307</v>
          </cell>
          <cell r="I1006" t="e">
            <v>#N/A</v>
          </cell>
          <cell r="J1006" t="e">
            <v>#N/A</v>
          </cell>
          <cell r="K1006">
            <v>105</v>
          </cell>
          <cell r="L1006">
            <v>55</v>
          </cell>
          <cell r="M1006" t="e">
            <v>#N/A</v>
          </cell>
          <cell r="N1006">
            <v>90</v>
          </cell>
          <cell r="O1006" t="e">
            <v>#N/A</v>
          </cell>
          <cell r="P1006" t="str">
            <v/>
          </cell>
          <cell r="Q1006" t="str">
            <v/>
          </cell>
          <cell r="R1006">
            <v>90</v>
          </cell>
        </row>
        <row r="1007">
          <cell r="A1007" t="str">
            <v/>
          </cell>
          <cell r="B1007" t="str">
            <v/>
          </cell>
          <cell r="C1007" t="str">
            <v>Future</v>
          </cell>
          <cell r="D1007" t="e">
            <v>#N/A</v>
          </cell>
          <cell r="E1007">
            <v>-54.530905511811433</v>
          </cell>
          <cell r="F1007">
            <v>131.0793307086625</v>
          </cell>
          <cell r="G1007">
            <v>42.693503937007833</v>
          </cell>
          <cell r="H1007">
            <v>42.693503937007833</v>
          </cell>
          <cell r="I1007" t="e">
            <v>#N/A</v>
          </cell>
          <cell r="J1007" t="e">
            <v>#N/A</v>
          </cell>
          <cell r="K1007">
            <v>105</v>
          </cell>
          <cell r="L1007">
            <v>55</v>
          </cell>
          <cell r="M1007" t="e">
            <v>#N/A</v>
          </cell>
          <cell r="N1007">
            <v>90</v>
          </cell>
          <cell r="O1007" t="e">
            <v>#N/A</v>
          </cell>
          <cell r="P1007" t="str">
            <v/>
          </cell>
          <cell r="Q1007" t="str">
            <v/>
          </cell>
          <cell r="R1007">
            <v>90</v>
          </cell>
        </row>
        <row r="1008">
          <cell r="A1008" t="str">
            <v/>
          </cell>
          <cell r="B1008" t="str">
            <v/>
          </cell>
          <cell r="C1008" t="str">
            <v>Future</v>
          </cell>
          <cell r="D1008" t="e">
            <v>#N/A</v>
          </cell>
          <cell r="E1008">
            <v>-54.810551181102774</v>
          </cell>
          <cell r="F1008">
            <v>131.2130708661428</v>
          </cell>
          <cell r="G1008">
            <v>42.630393700787359</v>
          </cell>
          <cell r="H1008">
            <v>42.630393700787359</v>
          </cell>
          <cell r="I1008" t="e">
            <v>#N/A</v>
          </cell>
          <cell r="J1008" t="e">
            <v>#N/A</v>
          </cell>
          <cell r="K1008">
            <v>105</v>
          </cell>
          <cell r="L1008">
            <v>55</v>
          </cell>
          <cell r="M1008" t="e">
            <v>#N/A</v>
          </cell>
          <cell r="N1008">
            <v>90</v>
          </cell>
          <cell r="O1008" t="e">
            <v>#N/A</v>
          </cell>
          <cell r="P1008" t="str">
            <v/>
          </cell>
          <cell r="Q1008" t="str">
            <v/>
          </cell>
          <cell r="R1008">
            <v>90</v>
          </cell>
        </row>
        <row r="1009">
          <cell r="A1009" t="str">
            <v/>
          </cell>
          <cell r="B1009" t="str">
            <v/>
          </cell>
          <cell r="C1009" t="str">
            <v>Future</v>
          </cell>
          <cell r="D1009" t="e">
            <v>#N/A</v>
          </cell>
          <cell r="E1009">
            <v>-55.090196850394115</v>
          </cell>
          <cell r="F1009">
            <v>131.3468110236231</v>
          </cell>
          <cell r="G1009">
            <v>42.567283464566884</v>
          </cell>
          <cell r="H1009">
            <v>42.567283464566884</v>
          </cell>
          <cell r="I1009" t="e">
            <v>#N/A</v>
          </cell>
          <cell r="J1009" t="e">
            <v>#N/A</v>
          </cell>
          <cell r="K1009">
            <v>105</v>
          </cell>
          <cell r="L1009">
            <v>55</v>
          </cell>
          <cell r="M1009" t="e">
            <v>#N/A</v>
          </cell>
          <cell r="N1009">
            <v>90</v>
          </cell>
          <cell r="O1009" t="e">
            <v>#N/A</v>
          </cell>
          <cell r="P1009" t="str">
            <v/>
          </cell>
          <cell r="Q1009" t="str">
            <v/>
          </cell>
          <cell r="R1009">
            <v>90</v>
          </cell>
        </row>
        <row r="1010">
          <cell r="A1010" t="str">
            <v/>
          </cell>
          <cell r="B1010" t="str">
            <v/>
          </cell>
          <cell r="C1010" t="str">
            <v>Future</v>
          </cell>
          <cell r="D1010" t="e">
            <v>#N/A</v>
          </cell>
          <cell r="E1010">
            <v>-55.369842519685456</v>
          </cell>
          <cell r="F1010">
            <v>131.48055118110341</v>
          </cell>
          <cell r="G1010">
            <v>42.50417322834641</v>
          </cell>
          <cell r="H1010">
            <v>42.50417322834641</v>
          </cell>
          <cell r="I1010" t="e">
            <v>#N/A</v>
          </cell>
          <cell r="J1010" t="e">
            <v>#N/A</v>
          </cell>
          <cell r="K1010">
            <v>105</v>
          </cell>
          <cell r="L1010">
            <v>55</v>
          </cell>
          <cell r="M1010" t="e">
            <v>#N/A</v>
          </cell>
          <cell r="N1010">
            <v>90</v>
          </cell>
          <cell r="O1010" t="e">
            <v>#N/A</v>
          </cell>
          <cell r="P1010" t="str">
            <v/>
          </cell>
          <cell r="Q1010" t="str">
            <v/>
          </cell>
          <cell r="R1010">
            <v>90</v>
          </cell>
        </row>
        <row r="1011">
          <cell r="A1011" t="str">
            <v/>
          </cell>
          <cell r="B1011" t="str">
            <v/>
          </cell>
          <cell r="C1011" t="str">
            <v>Future</v>
          </cell>
          <cell r="D1011" t="e">
            <v>#N/A</v>
          </cell>
          <cell r="E1011">
            <v>-55.649488188976797</v>
          </cell>
          <cell r="F1011">
            <v>131.61429133858371</v>
          </cell>
          <cell r="G1011">
            <v>42.441062992125936</v>
          </cell>
          <cell r="H1011">
            <v>42.441062992125936</v>
          </cell>
          <cell r="I1011" t="e">
            <v>#N/A</v>
          </cell>
          <cell r="J1011" t="e">
            <v>#N/A</v>
          </cell>
          <cell r="K1011">
            <v>105</v>
          </cell>
          <cell r="L1011">
            <v>55</v>
          </cell>
          <cell r="M1011" t="e">
            <v>#N/A</v>
          </cell>
          <cell r="N1011">
            <v>90</v>
          </cell>
          <cell r="O1011" t="e">
            <v>#N/A</v>
          </cell>
          <cell r="P1011" t="str">
            <v/>
          </cell>
          <cell r="Q1011" t="str">
            <v/>
          </cell>
          <cell r="R1011">
            <v>90</v>
          </cell>
        </row>
        <row r="1012">
          <cell r="A1012" t="str">
            <v/>
          </cell>
          <cell r="B1012" t="str">
            <v/>
          </cell>
          <cell r="C1012" t="str">
            <v>Future</v>
          </cell>
          <cell r="D1012" t="e">
            <v>#N/A</v>
          </cell>
          <cell r="E1012">
            <v>-55.929133858268138</v>
          </cell>
          <cell r="F1012">
            <v>131.74803149606402</v>
          </cell>
          <cell r="G1012">
            <v>42.377952755905461</v>
          </cell>
          <cell r="H1012">
            <v>42.377952755905461</v>
          </cell>
          <cell r="I1012" t="e">
            <v>#N/A</v>
          </cell>
          <cell r="J1012" t="e">
            <v>#N/A</v>
          </cell>
          <cell r="K1012">
            <v>105</v>
          </cell>
          <cell r="L1012">
            <v>55</v>
          </cell>
          <cell r="M1012" t="e">
            <v>#N/A</v>
          </cell>
          <cell r="N1012">
            <v>90</v>
          </cell>
          <cell r="O1012" t="e">
            <v>#N/A</v>
          </cell>
          <cell r="P1012" t="str">
            <v/>
          </cell>
          <cell r="Q1012" t="str">
            <v/>
          </cell>
          <cell r="R1012">
            <v>90</v>
          </cell>
        </row>
        <row r="1013">
          <cell r="A1013" t="str">
            <v/>
          </cell>
          <cell r="B1013" t="str">
            <v/>
          </cell>
          <cell r="C1013" t="str">
            <v>Future</v>
          </cell>
          <cell r="D1013" t="e">
            <v>#N/A</v>
          </cell>
          <cell r="E1013">
            <v>-56.208779527559479</v>
          </cell>
          <cell r="F1013">
            <v>131.88177165354432</v>
          </cell>
          <cell r="G1013">
            <v>42.314842519684987</v>
          </cell>
          <cell r="H1013">
            <v>42.314842519684987</v>
          </cell>
          <cell r="I1013" t="e">
            <v>#N/A</v>
          </cell>
          <cell r="J1013" t="e">
            <v>#N/A</v>
          </cell>
          <cell r="K1013">
            <v>105</v>
          </cell>
          <cell r="L1013">
            <v>55</v>
          </cell>
          <cell r="M1013" t="e">
            <v>#N/A</v>
          </cell>
          <cell r="N1013">
            <v>90</v>
          </cell>
          <cell r="O1013" t="e">
            <v>#N/A</v>
          </cell>
          <cell r="P1013" t="str">
            <v/>
          </cell>
          <cell r="Q1013" t="str">
            <v/>
          </cell>
          <cell r="R1013">
            <v>90</v>
          </cell>
        </row>
        <row r="1014">
          <cell r="A1014" t="str">
            <v/>
          </cell>
          <cell r="B1014" t="str">
            <v/>
          </cell>
          <cell r="C1014" t="str">
            <v>Future</v>
          </cell>
          <cell r="D1014" t="e">
            <v>#N/A</v>
          </cell>
          <cell r="E1014">
            <v>-56.48842519685082</v>
          </cell>
          <cell r="F1014">
            <v>132.01551181102462</v>
          </cell>
          <cell r="G1014">
            <v>42.251732283464513</v>
          </cell>
          <cell r="H1014">
            <v>42.251732283464513</v>
          </cell>
          <cell r="I1014" t="e">
            <v>#N/A</v>
          </cell>
          <cell r="J1014" t="e">
            <v>#N/A</v>
          </cell>
          <cell r="K1014">
            <v>105</v>
          </cell>
          <cell r="L1014">
            <v>55</v>
          </cell>
          <cell r="M1014" t="e">
            <v>#N/A</v>
          </cell>
          <cell r="N1014">
            <v>90</v>
          </cell>
          <cell r="O1014" t="e">
            <v>#N/A</v>
          </cell>
          <cell r="P1014" t="str">
            <v/>
          </cell>
          <cell r="Q1014" t="str">
            <v/>
          </cell>
          <cell r="R1014">
            <v>90</v>
          </cell>
        </row>
        <row r="1015">
          <cell r="A1015" t="str">
            <v/>
          </cell>
          <cell r="B1015" t="str">
            <v/>
          </cell>
          <cell r="C1015" t="str">
            <v>Future</v>
          </cell>
          <cell r="D1015" t="e">
            <v>#N/A</v>
          </cell>
          <cell r="E1015">
            <v>-56.76807086614216</v>
          </cell>
          <cell r="F1015">
            <v>132.14925196850493</v>
          </cell>
          <cell r="G1015">
            <v>42.188622047244039</v>
          </cell>
          <cell r="H1015">
            <v>42.188622047244039</v>
          </cell>
          <cell r="I1015" t="e">
            <v>#N/A</v>
          </cell>
          <cell r="J1015" t="e">
            <v>#N/A</v>
          </cell>
          <cell r="K1015">
            <v>105</v>
          </cell>
          <cell r="L1015">
            <v>55</v>
          </cell>
          <cell r="M1015" t="e">
            <v>#N/A</v>
          </cell>
          <cell r="N1015">
            <v>90</v>
          </cell>
          <cell r="O1015" t="e">
            <v>#N/A</v>
          </cell>
          <cell r="P1015" t="str">
            <v/>
          </cell>
          <cell r="Q1015" t="str">
            <v/>
          </cell>
          <cell r="R1015">
            <v>90</v>
          </cell>
        </row>
        <row r="1016">
          <cell r="A1016" t="str">
            <v/>
          </cell>
          <cell r="B1016" t="str">
            <v/>
          </cell>
          <cell r="C1016" t="str">
            <v>Future</v>
          </cell>
          <cell r="D1016" t="e">
            <v>#N/A</v>
          </cell>
          <cell r="E1016">
            <v>-57.047716535433501</v>
          </cell>
          <cell r="F1016">
            <v>132.28299212598523</v>
          </cell>
          <cell r="G1016">
            <v>42.125511811023564</v>
          </cell>
          <cell r="H1016">
            <v>42.125511811023564</v>
          </cell>
          <cell r="I1016" t="e">
            <v>#N/A</v>
          </cell>
          <cell r="J1016" t="e">
            <v>#N/A</v>
          </cell>
          <cell r="K1016">
            <v>105</v>
          </cell>
          <cell r="L1016">
            <v>55</v>
          </cell>
          <cell r="M1016" t="e">
            <v>#N/A</v>
          </cell>
          <cell r="N1016">
            <v>90</v>
          </cell>
          <cell r="O1016" t="e">
            <v>#N/A</v>
          </cell>
          <cell r="P1016" t="str">
            <v/>
          </cell>
          <cell r="Q1016" t="str">
            <v/>
          </cell>
          <cell r="R1016">
            <v>90</v>
          </cell>
        </row>
        <row r="1017">
          <cell r="A1017" t="str">
            <v/>
          </cell>
          <cell r="B1017" t="str">
            <v/>
          </cell>
          <cell r="C1017" t="str">
            <v>Future</v>
          </cell>
          <cell r="D1017" t="e">
            <v>#N/A</v>
          </cell>
          <cell r="E1017">
            <v>-57.327362204724842</v>
          </cell>
          <cell r="F1017">
            <v>132.41673228346554</v>
          </cell>
          <cell r="G1017">
            <v>42.06240157480309</v>
          </cell>
          <cell r="H1017">
            <v>42.06240157480309</v>
          </cell>
          <cell r="I1017" t="e">
            <v>#N/A</v>
          </cell>
          <cell r="J1017" t="e">
            <v>#N/A</v>
          </cell>
          <cell r="K1017">
            <v>105</v>
          </cell>
          <cell r="L1017">
            <v>55</v>
          </cell>
          <cell r="M1017" t="e">
            <v>#N/A</v>
          </cell>
          <cell r="N1017">
            <v>90</v>
          </cell>
          <cell r="O1017" t="e">
            <v>#N/A</v>
          </cell>
          <cell r="P1017" t="str">
            <v/>
          </cell>
          <cell r="Q1017" t="str">
            <v/>
          </cell>
          <cell r="R1017">
            <v>90</v>
          </cell>
        </row>
        <row r="1018">
          <cell r="A1018" t="str">
            <v/>
          </cell>
          <cell r="B1018" t="str">
            <v/>
          </cell>
          <cell r="C1018" t="str">
            <v>Future</v>
          </cell>
          <cell r="D1018" t="e">
            <v>#N/A</v>
          </cell>
          <cell r="E1018">
            <v>-57.607007874016183</v>
          </cell>
          <cell r="F1018">
            <v>132.55047244094584</v>
          </cell>
          <cell r="G1018">
            <v>41.999291338582616</v>
          </cell>
          <cell r="H1018">
            <v>41.999291338582616</v>
          </cell>
          <cell r="I1018" t="e">
            <v>#N/A</v>
          </cell>
          <cell r="J1018" t="e">
            <v>#N/A</v>
          </cell>
          <cell r="K1018">
            <v>105</v>
          </cell>
          <cell r="L1018">
            <v>55</v>
          </cell>
          <cell r="M1018" t="e">
            <v>#N/A</v>
          </cell>
          <cell r="N1018">
            <v>90</v>
          </cell>
          <cell r="O1018" t="e">
            <v>#N/A</v>
          </cell>
          <cell r="P1018" t="str">
            <v/>
          </cell>
          <cell r="Q1018" t="str">
            <v/>
          </cell>
          <cell r="R1018">
            <v>90</v>
          </cell>
        </row>
        <row r="1019">
          <cell r="A1019" t="str">
            <v/>
          </cell>
          <cell r="B1019" t="str">
            <v/>
          </cell>
          <cell r="C1019" t="str">
            <v>Future</v>
          </cell>
          <cell r="D1019" t="e">
            <v>#N/A</v>
          </cell>
          <cell r="E1019">
            <v>-57.886653543307524</v>
          </cell>
          <cell r="F1019">
            <v>132.68421259842614</v>
          </cell>
          <cell r="G1019">
            <v>41.936181102362141</v>
          </cell>
          <cell r="H1019">
            <v>41.936181102362141</v>
          </cell>
          <cell r="I1019" t="e">
            <v>#N/A</v>
          </cell>
          <cell r="J1019" t="e">
            <v>#N/A</v>
          </cell>
          <cell r="K1019">
            <v>105</v>
          </cell>
          <cell r="L1019">
            <v>55</v>
          </cell>
          <cell r="M1019" t="e">
            <v>#N/A</v>
          </cell>
          <cell r="N1019">
            <v>90</v>
          </cell>
          <cell r="O1019" t="e">
            <v>#N/A</v>
          </cell>
          <cell r="P1019" t="str">
            <v/>
          </cell>
          <cell r="Q1019" t="str">
            <v/>
          </cell>
          <cell r="R1019">
            <v>90</v>
          </cell>
        </row>
        <row r="1020">
          <cell r="A1020" t="str">
            <v/>
          </cell>
          <cell r="B1020" t="str">
            <v/>
          </cell>
          <cell r="C1020" t="str">
            <v>Future</v>
          </cell>
          <cell r="D1020" t="e">
            <v>#N/A</v>
          </cell>
          <cell r="E1020">
            <v>-58.166299212598865</v>
          </cell>
          <cell r="F1020">
            <v>132.81795275590645</v>
          </cell>
          <cell r="G1020">
            <v>41.873070866141667</v>
          </cell>
          <cell r="H1020">
            <v>41.873070866141667</v>
          </cell>
          <cell r="I1020" t="e">
            <v>#N/A</v>
          </cell>
          <cell r="J1020" t="e">
            <v>#N/A</v>
          </cell>
          <cell r="K1020">
            <v>105</v>
          </cell>
          <cell r="L1020">
            <v>55</v>
          </cell>
          <cell r="M1020" t="e">
            <v>#N/A</v>
          </cell>
          <cell r="N1020">
            <v>90</v>
          </cell>
          <cell r="O1020" t="e">
            <v>#N/A</v>
          </cell>
          <cell r="P1020" t="str">
            <v/>
          </cell>
          <cell r="Q1020" t="str">
            <v/>
          </cell>
          <cell r="R1020">
            <v>90</v>
          </cell>
        </row>
        <row r="1021">
          <cell r="A1021" t="str">
            <v/>
          </cell>
          <cell r="B1021" t="str">
            <v/>
          </cell>
          <cell r="C1021" t="str">
            <v>Future</v>
          </cell>
          <cell r="D1021" t="e">
            <v>#N/A</v>
          </cell>
          <cell r="E1021">
            <v>-58.445944881890206</v>
          </cell>
          <cell r="F1021">
            <v>132.95169291338675</v>
          </cell>
          <cell r="G1021">
            <v>41.809960629921193</v>
          </cell>
          <cell r="H1021">
            <v>41.809960629921193</v>
          </cell>
          <cell r="I1021" t="e">
            <v>#N/A</v>
          </cell>
          <cell r="J1021" t="e">
            <v>#N/A</v>
          </cell>
          <cell r="K1021">
            <v>105</v>
          </cell>
          <cell r="L1021">
            <v>55</v>
          </cell>
          <cell r="M1021" t="e">
            <v>#N/A</v>
          </cell>
          <cell r="N1021">
            <v>90</v>
          </cell>
          <cell r="O1021" t="e">
            <v>#N/A</v>
          </cell>
          <cell r="P1021" t="str">
            <v/>
          </cell>
          <cell r="Q1021" t="str">
            <v/>
          </cell>
          <cell r="R1021">
            <v>90</v>
          </cell>
        </row>
        <row r="1022">
          <cell r="A1022" t="str">
            <v/>
          </cell>
          <cell r="B1022" t="str">
            <v/>
          </cell>
          <cell r="C1022" t="str">
            <v>Future</v>
          </cell>
          <cell r="D1022" t="e">
            <v>#N/A</v>
          </cell>
          <cell r="E1022">
            <v>-58.725590551181547</v>
          </cell>
          <cell r="F1022">
            <v>133.08543307086705</v>
          </cell>
          <cell r="G1022">
            <v>41.746850393700718</v>
          </cell>
          <cell r="H1022">
            <v>41.746850393700718</v>
          </cell>
          <cell r="I1022" t="e">
            <v>#N/A</v>
          </cell>
          <cell r="J1022" t="e">
            <v>#N/A</v>
          </cell>
          <cell r="K1022">
            <v>105</v>
          </cell>
          <cell r="L1022">
            <v>55</v>
          </cell>
          <cell r="M1022" t="e">
            <v>#N/A</v>
          </cell>
          <cell r="N1022">
            <v>90</v>
          </cell>
          <cell r="O1022" t="e">
            <v>#N/A</v>
          </cell>
          <cell r="P1022" t="str">
            <v/>
          </cell>
          <cell r="Q1022" t="str">
            <v/>
          </cell>
          <cell r="R1022">
            <v>90</v>
          </cell>
        </row>
        <row r="1023">
          <cell r="A1023" t="str">
            <v/>
          </cell>
          <cell r="B1023" t="str">
            <v/>
          </cell>
          <cell r="C1023" t="str">
            <v>Future</v>
          </cell>
          <cell r="D1023" t="e">
            <v>#N/A</v>
          </cell>
          <cell r="E1023">
            <v>-59.005236220472888</v>
          </cell>
          <cell r="F1023">
            <v>133.21917322834736</v>
          </cell>
          <cell r="G1023">
            <v>41.683740157480244</v>
          </cell>
          <cell r="H1023">
            <v>41.683740157480244</v>
          </cell>
          <cell r="I1023" t="e">
            <v>#N/A</v>
          </cell>
          <cell r="J1023" t="e">
            <v>#N/A</v>
          </cell>
          <cell r="K1023">
            <v>105</v>
          </cell>
          <cell r="L1023">
            <v>55</v>
          </cell>
          <cell r="M1023" t="e">
            <v>#N/A</v>
          </cell>
          <cell r="N1023">
            <v>90</v>
          </cell>
          <cell r="O1023" t="e">
            <v>#N/A</v>
          </cell>
          <cell r="P1023" t="str">
            <v/>
          </cell>
          <cell r="Q1023" t="str">
            <v/>
          </cell>
          <cell r="R1023">
            <v>90</v>
          </cell>
        </row>
        <row r="1024">
          <cell r="A1024" t="str">
            <v/>
          </cell>
          <cell r="B1024" t="str">
            <v/>
          </cell>
          <cell r="C1024" t="str">
            <v>Future</v>
          </cell>
          <cell r="D1024" t="e">
            <v>#N/A</v>
          </cell>
          <cell r="E1024">
            <v>-59.284881889764229</v>
          </cell>
          <cell r="F1024">
            <v>133.35291338582766</v>
          </cell>
          <cell r="G1024">
            <v>41.62062992125977</v>
          </cell>
          <cell r="H1024">
            <v>41.62062992125977</v>
          </cell>
          <cell r="I1024" t="e">
            <v>#N/A</v>
          </cell>
          <cell r="J1024" t="e">
            <v>#N/A</v>
          </cell>
          <cell r="K1024">
            <v>105</v>
          </cell>
          <cell r="L1024">
            <v>55</v>
          </cell>
          <cell r="M1024" t="e">
            <v>#N/A</v>
          </cell>
          <cell r="N1024">
            <v>90</v>
          </cell>
          <cell r="O1024" t="e">
            <v>#N/A</v>
          </cell>
          <cell r="P1024" t="str">
            <v/>
          </cell>
          <cell r="Q1024" t="str">
            <v/>
          </cell>
          <cell r="R1024">
            <v>90</v>
          </cell>
        </row>
        <row r="1025">
          <cell r="A1025" t="str">
            <v/>
          </cell>
          <cell r="B1025" t="str">
            <v/>
          </cell>
          <cell r="C1025" t="str">
            <v>Future</v>
          </cell>
          <cell r="D1025" t="e">
            <v>#N/A</v>
          </cell>
          <cell r="E1025">
            <v>-59.56452755905557</v>
          </cell>
          <cell r="F1025">
            <v>133.48665354330797</v>
          </cell>
          <cell r="G1025">
            <v>41.557519685039296</v>
          </cell>
          <cell r="H1025">
            <v>41.557519685039296</v>
          </cell>
          <cell r="I1025" t="e">
            <v>#N/A</v>
          </cell>
          <cell r="J1025" t="e">
            <v>#N/A</v>
          </cell>
          <cell r="K1025">
            <v>105</v>
          </cell>
          <cell r="L1025">
            <v>55</v>
          </cell>
          <cell r="M1025" t="e">
            <v>#N/A</v>
          </cell>
          <cell r="N1025">
            <v>90</v>
          </cell>
          <cell r="O1025" t="e">
            <v>#N/A</v>
          </cell>
          <cell r="P1025" t="str">
            <v/>
          </cell>
          <cell r="Q1025" t="str">
            <v/>
          </cell>
          <cell r="R1025">
            <v>90</v>
          </cell>
        </row>
        <row r="1026">
          <cell r="A1026" t="str">
            <v/>
          </cell>
          <cell r="B1026" t="str">
            <v/>
          </cell>
          <cell r="C1026" t="str">
            <v>Future</v>
          </cell>
          <cell r="D1026" t="e">
            <v>#N/A</v>
          </cell>
          <cell r="E1026">
            <v>-59.844173228346911</v>
          </cell>
          <cell r="F1026">
            <v>133.62039370078827</v>
          </cell>
          <cell r="G1026">
            <v>41.494409448818821</v>
          </cell>
          <cell r="H1026">
            <v>41.494409448818821</v>
          </cell>
          <cell r="I1026" t="e">
            <v>#N/A</v>
          </cell>
          <cell r="J1026" t="e">
            <v>#N/A</v>
          </cell>
          <cell r="K1026">
            <v>105</v>
          </cell>
          <cell r="L1026">
            <v>55</v>
          </cell>
          <cell r="M1026" t="e">
            <v>#N/A</v>
          </cell>
          <cell r="N1026">
            <v>90</v>
          </cell>
          <cell r="O1026" t="e">
            <v>#N/A</v>
          </cell>
          <cell r="P1026" t="str">
            <v/>
          </cell>
          <cell r="Q1026" t="str">
            <v/>
          </cell>
          <cell r="R1026">
            <v>90</v>
          </cell>
        </row>
        <row r="1027">
          <cell r="A1027" t="str">
            <v/>
          </cell>
          <cell r="B1027" t="str">
            <v/>
          </cell>
          <cell r="C1027" t="str">
            <v>Future</v>
          </cell>
          <cell r="D1027" t="e">
            <v>#N/A</v>
          </cell>
          <cell r="E1027">
            <v>-60.123818897638252</v>
          </cell>
          <cell r="F1027">
            <v>133.75413385826857</v>
          </cell>
          <cell r="G1027">
            <v>41.431299212598347</v>
          </cell>
          <cell r="H1027">
            <v>41.431299212598347</v>
          </cell>
          <cell r="I1027" t="e">
            <v>#N/A</v>
          </cell>
          <cell r="J1027" t="e">
            <v>#N/A</v>
          </cell>
          <cell r="K1027">
            <v>105</v>
          </cell>
          <cell r="L1027">
            <v>55</v>
          </cell>
          <cell r="M1027" t="e">
            <v>#N/A</v>
          </cell>
          <cell r="N1027">
            <v>90</v>
          </cell>
          <cell r="O1027" t="e">
            <v>#N/A</v>
          </cell>
          <cell r="P1027" t="str">
            <v/>
          </cell>
          <cell r="Q1027" t="str">
            <v/>
          </cell>
          <cell r="R1027">
            <v>90</v>
          </cell>
        </row>
        <row r="1028">
          <cell r="A1028" t="str">
            <v/>
          </cell>
          <cell r="B1028" t="str">
            <v/>
          </cell>
          <cell r="C1028" t="str">
            <v>Future</v>
          </cell>
          <cell r="D1028" t="e">
            <v>#N/A</v>
          </cell>
          <cell r="E1028">
            <v>-60.403464566929593</v>
          </cell>
          <cell r="F1028">
            <v>133.88787401574888</v>
          </cell>
          <cell r="G1028">
            <v>41.368188976377873</v>
          </cell>
          <cell r="H1028">
            <v>41.368188976377873</v>
          </cell>
          <cell r="I1028" t="e">
            <v>#N/A</v>
          </cell>
          <cell r="J1028" t="e">
            <v>#N/A</v>
          </cell>
          <cell r="K1028">
            <v>105</v>
          </cell>
          <cell r="L1028">
            <v>55</v>
          </cell>
          <cell r="M1028" t="e">
            <v>#N/A</v>
          </cell>
          <cell r="N1028">
            <v>90</v>
          </cell>
          <cell r="O1028" t="e">
            <v>#N/A</v>
          </cell>
          <cell r="P1028" t="str">
            <v/>
          </cell>
          <cell r="Q1028" t="str">
            <v/>
          </cell>
          <cell r="R1028">
            <v>90</v>
          </cell>
        </row>
        <row r="1029">
          <cell r="A1029" t="str">
            <v/>
          </cell>
          <cell r="B1029" t="str">
            <v/>
          </cell>
          <cell r="C1029" t="str">
            <v>Future</v>
          </cell>
          <cell r="D1029" t="e">
            <v>#N/A</v>
          </cell>
          <cell r="E1029">
            <v>-60.683110236220934</v>
          </cell>
          <cell r="F1029">
            <v>134.02161417322918</v>
          </cell>
          <cell r="G1029">
            <v>41.305078740157398</v>
          </cell>
          <cell r="H1029">
            <v>41.305078740157398</v>
          </cell>
          <cell r="I1029" t="e">
            <v>#N/A</v>
          </cell>
          <cell r="J1029" t="e">
            <v>#N/A</v>
          </cell>
          <cell r="K1029">
            <v>105</v>
          </cell>
          <cell r="L1029">
            <v>55</v>
          </cell>
          <cell r="M1029" t="e">
            <v>#N/A</v>
          </cell>
          <cell r="N1029">
            <v>90</v>
          </cell>
          <cell r="O1029" t="e">
            <v>#N/A</v>
          </cell>
          <cell r="P1029" t="str">
            <v/>
          </cell>
          <cell r="Q1029" t="str">
            <v/>
          </cell>
          <cell r="R1029">
            <v>90</v>
          </cell>
        </row>
        <row r="1030">
          <cell r="A1030" t="str">
            <v/>
          </cell>
          <cell r="B1030" t="str">
            <v/>
          </cell>
          <cell r="C1030" t="str">
            <v>Future</v>
          </cell>
          <cell r="D1030" t="e">
            <v>#N/A</v>
          </cell>
          <cell r="E1030">
            <v>-60.962755905512275</v>
          </cell>
          <cell r="F1030">
            <v>134.15535433070949</v>
          </cell>
          <cell r="G1030">
            <v>41.241968503936924</v>
          </cell>
          <cell r="H1030">
            <v>41.241968503936924</v>
          </cell>
          <cell r="I1030" t="e">
            <v>#N/A</v>
          </cell>
          <cell r="J1030" t="e">
            <v>#N/A</v>
          </cell>
          <cell r="K1030">
            <v>105</v>
          </cell>
          <cell r="L1030">
            <v>55</v>
          </cell>
          <cell r="M1030" t="e">
            <v>#N/A</v>
          </cell>
          <cell r="N1030">
            <v>90</v>
          </cell>
          <cell r="O1030" t="e">
            <v>#N/A</v>
          </cell>
          <cell r="P1030" t="str">
            <v/>
          </cell>
          <cell r="Q1030" t="str">
            <v/>
          </cell>
          <cell r="R1030">
            <v>90</v>
          </cell>
        </row>
        <row r="1031">
          <cell r="A1031" t="str">
            <v/>
          </cell>
          <cell r="B1031" t="str">
            <v/>
          </cell>
          <cell r="C1031" t="str">
            <v>Future</v>
          </cell>
          <cell r="D1031" t="e">
            <v>#N/A</v>
          </cell>
          <cell r="E1031">
            <v>-61.242401574803615</v>
          </cell>
          <cell r="F1031">
            <v>134.28909448818979</v>
          </cell>
          <cell r="G1031">
            <v>41.17885826771645</v>
          </cell>
          <cell r="H1031">
            <v>41.17885826771645</v>
          </cell>
          <cell r="I1031" t="e">
            <v>#N/A</v>
          </cell>
          <cell r="J1031" t="e">
            <v>#N/A</v>
          </cell>
          <cell r="K1031">
            <v>105</v>
          </cell>
          <cell r="L1031">
            <v>55</v>
          </cell>
          <cell r="M1031" t="e">
            <v>#N/A</v>
          </cell>
          <cell r="N1031">
            <v>90</v>
          </cell>
          <cell r="O1031" t="e">
            <v>#N/A</v>
          </cell>
          <cell r="P1031" t="str">
            <v/>
          </cell>
          <cell r="Q1031" t="str">
            <v/>
          </cell>
          <cell r="R1031">
            <v>90</v>
          </cell>
        </row>
        <row r="1032">
          <cell r="A1032" t="str">
            <v/>
          </cell>
          <cell r="B1032" t="str">
            <v/>
          </cell>
          <cell r="C1032" t="str">
            <v>Future</v>
          </cell>
          <cell r="D1032" t="e">
            <v>#N/A</v>
          </cell>
          <cell r="E1032">
            <v>-61.522047244094956</v>
          </cell>
          <cell r="F1032">
            <v>134.42283464567009</v>
          </cell>
          <cell r="G1032">
            <v>41.115748031495976</v>
          </cell>
          <cell r="H1032">
            <v>41.115748031495976</v>
          </cell>
          <cell r="I1032" t="e">
            <v>#N/A</v>
          </cell>
          <cell r="J1032" t="e">
            <v>#N/A</v>
          </cell>
          <cell r="K1032">
            <v>105</v>
          </cell>
          <cell r="L1032">
            <v>55</v>
          </cell>
          <cell r="M1032" t="e">
            <v>#N/A</v>
          </cell>
          <cell r="N1032">
            <v>90</v>
          </cell>
          <cell r="O1032" t="e">
            <v>#N/A</v>
          </cell>
          <cell r="P1032" t="str">
            <v/>
          </cell>
          <cell r="Q1032" t="str">
            <v/>
          </cell>
          <cell r="R1032">
            <v>90</v>
          </cell>
        </row>
        <row r="1033">
          <cell r="A1033" t="str">
            <v/>
          </cell>
          <cell r="B1033" t="str">
            <v/>
          </cell>
          <cell r="C1033" t="str">
            <v>Future</v>
          </cell>
          <cell r="D1033" t="e">
            <v>#N/A</v>
          </cell>
          <cell r="E1033">
            <v>-61.801692913386297</v>
          </cell>
          <cell r="F1033">
            <v>134.5565748031504</v>
          </cell>
          <cell r="G1033">
            <v>41.052637795275501</v>
          </cell>
          <cell r="H1033">
            <v>41.052637795275501</v>
          </cell>
          <cell r="I1033" t="e">
            <v>#N/A</v>
          </cell>
          <cell r="J1033" t="e">
            <v>#N/A</v>
          </cell>
          <cell r="K1033">
            <v>105</v>
          </cell>
          <cell r="L1033">
            <v>55</v>
          </cell>
          <cell r="M1033" t="e">
            <v>#N/A</v>
          </cell>
          <cell r="N1033">
            <v>90</v>
          </cell>
          <cell r="O1033" t="e">
            <v>#N/A</v>
          </cell>
          <cell r="P1033" t="str">
            <v/>
          </cell>
          <cell r="Q1033" t="str">
            <v/>
          </cell>
          <cell r="R1033">
            <v>90</v>
          </cell>
        </row>
        <row r="1034">
          <cell r="A1034" t="str">
            <v/>
          </cell>
          <cell r="B1034" t="str">
            <v/>
          </cell>
          <cell r="C1034" t="str">
            <v>Future</v>
          </cell>
          <cell r="D1034" t="e">
            <v>#N/A</v>
          </cell>
          <cell r="E1034">
            <v>-62.081338582677638</v>
          </cell>
          <cell r="F1034">
            <v>134.6903149606307</v>
          </cell>
          <cell r="G1034">
            <v>40.989527559055027</v>
          </cell>
          <cell r="H1034">
            <v>40.989527559055027</v>
          </cell>
          <cell r="I1034" t="e">
            <v>#N/A</v>
          </cell>
          <cell r="J1034" t="e">
            <v>#N/A</v>
          </cell>
          <cell r="K1034">
            <v>105</v>
          </cell>
          <cell r="L1034">
            <v>55</v>
          </cell>
          <cell r="M1034" t="e">
            <v>#N/A</v>
          </cell>
          <cell r="N1034">
            <v>90</v>
          </cell>
          <cell r="O1034" t="e">
            <v>#N/A</v>
          </cell>
          <cell r="P1034" t="str">
            <v/>
          </cell>
          <cell r="Q1034" t="str">
            <v/>
          </cell>
          <cell r="R1034">
            <v>90</v>
          </cell>
        </row>
        <row r="1035">
          <cell r="A1035" t="str">
            <v/>
          </cell>
          <cell r="B1035" t="str">
            <v/>
          </cell>
          <cell r="C1035" t="str">
            <v>Future</v>
          </cell>
          <cell r="D1035" t="e">
            <v>#N/A</v>
          </cell>
          <cell r="E1035">
            <v>-62.360984251968979</v>
          </cell>
          <cell r="F1035">
            <v>134.824055118111</v>
          </cell>
          <cell r="G1035">
            <v>40.926417322834553</v>
          </cell>
          <cell r="H1035">
            <v>40.926417322834553</v>
          </cell>
          <cell r="I1035" t="e">
            <v>#N/A</v>
          </cell>
          <cell r="J1035" t="e">
            <v>#N/A</v>
          </cell>
          <cell r="K1035">
            <v>105</v>
          </cell>
          <cell r="L1035">
            <v>55</v>
          </cell>
          <cell r="M1035" t="e">
            <v>#N/A</v>
          </cell>
          <cell r="N1035">
            <v>90</v>
          </cell>
          <cell r="O1035" t="e">
            <v>#N/A</v>
          </cell>
          <cell r="P1035" t="str">
            <v/>
          </cell>
          <cell r="Q1035" t="str">
            <v/>
          </cell>
          <cell r="R1035">
            <v>90</v>
          </cell>
        </row>
        <row r="1036">
          <cell r="A1036" t="str">
            <v/>
          </cell>
          <cell r="B1036" t="str">
            <v/>
          </cell>
          <cell r="C1036" t="str">
            <v>Future</v>
          </cell>
          <cell r="D1036" t="e">
            <v>#N/A</v>
          </cell>
          <cell r="E1036">
            <v>-62.64062992126032</v>
          </cell>
          <cell r="F1036">
            <v>134.95779527559131</v>
          </cell>
          <cell r="G1036">
            <v>40.863307086614078</v>
          </cell>
          <cell r="H1036">
            <v>40.863307086614078</v>
          </cell>
          <cell r="I1036" t="e">
            <v>#N/A</v>
          </cell>
          <cell r="J1036" t="e">
            <v>#N/A</v>
          </cell>
          <cell r="K1036">
            <v>105</v>
          </cell>
          <cell r="L1036">
            <v>55</v>
          </cell>
          <cell r="M1036" t="e">
            <v>#N/A</v>
          </cell>
          <cell r="N1036">
            <v>90</v>
          </cell>
          <cell r="O1036" t="e">
            <v>#N/A</v>
          </cell>
          <cell r="P1036" t="str">
            <v/>
          </cell>
          <cell r="Q1036" t="str">
            <v/>
          </cell>
          <cell r="R1036">
            <v>90</v>
          </cell>
        </row>
        <row r="1037">
          <cell r="A1037" t="str">
            <v/>
          </cell>
          <cell r="B1037" t="str">
            <v/>
          </cell>
          <cell r="C1037" t="str">
            <v>Future</v>
          </cell>
          <cell r="D1037" t="e">
            <v>#N/A</v>
          </cell>
          <cell r="E1037">
            <v>-62.920275590551661</v>
          </cell>
          <cell r="F1037">
            <v>135.09153543307161</v>
          </cell>
          <cell r="G1037">
            <v>40.800196850393604</v>
          </cell>
          <cell r="H1037">
            <v>40.800196850393604</v>
          </cell>
          <cell r="I1037" t="e">
            <v>#N/A</v>
          </cell>
          <cell r="J1037" t="e">
            <v>#N/A</v>
          </cell>
          <cell r="K1037">
            <v>105</v>
          </cell>
          <cell r="L1037">
            <v>55</v>
          </cell>
          <cell r="M1037" t="e">
            <v>#N/A</v>
          </cell>
          <cell r="N1037">
            <v>90</v>
          </cell>
          <cell r="O1037" t="e">
            <v>#N/A</v>
          </cell>
          <cell r="P1037" t="str">
            <v/>
          </cell>
          <cell r="Q1037" t="str">
            <v/>
          </cell>
          <cell r="R1037">
            <v>90</v>
          </cell>
        </row>
        <row r="1038">
          <cell r="A1038" t="str">
            <v/>
          </cell>
          <cell r="B1038" t="str">
            <v/>
          </cell>
          <cell r="C1038" t="str">
            <v>Future</v>
          </cell>
          <cell r="D1038" t="e">
            <v>#N/A</v>
          </cell>
          <cell r="E1038">
            <v>-63.199921259843002</v>
          </cell>
          <cell r="F1038">
            <v>135.22527559055192</v>
          </cell>
          <cell r="G1038">
            <v>40.73708661417313</v>
          </cell>
          <cell r="H1038">
            <v>40.73708661417313</v>
          </cell>
          <cell r="I1038" t="e">
            <v>#N/A</v>
          </cell>
          <cell r="J1038" t="e">
            <v>#N/A</v>
          </cell>
          <cell r="K1038">
            <v>105</v>
          </cell>
          <cell r="L1038">
            <v>55</v>
          </cell>
          <cell r="M1038" t="e">
            <v>#N/A</v>
          </cell>
          <cell r="N1038">
            <v>90</v>
          </cell>
          <cell r="O1038" t="e">
            <v>#N/A</v>
          </cell>
          <cell r="P1038" t="str">
            <v/>
          </cell>
          <cell r="Q1038" t="str">
            <v/>
          </cell>
          <cell r="R1038">
            <v>90</v>
          </cell>
        </row>
        <row r="1039">
          <cell r="A1039" t="str">
            <v/>
          </cell>
          <cell r="B1039" t="str">
            <v/>
          </cell>
          <cell r="C1039" t="str">
            <v>Future</v>
          </cell>
          <cell r="D1039" t="e">
            <v>#N/A</v>
          </cell>
          <cell r="E1039">
            <v>-63.479566929134343</v>
          </cell>
          <cell r="F1039">
            <v>135.35901574803222</v>
          </cell>
          <cell r="G1039">
            <v>40.673976377952656</v>
          </cell>
          <cell r="H1039">
            <v>40.673976377952656</v>
          </cell>
          <cell r="I1039" t="e">
            <v>#N/A</v>
          </cell>
          <cell r="J1039" t="e">
            <v>#N/A</v>
          </cell>
          <cell r="K1039">
            <v>105</v>
          </cell>
          <cell r="L1039">
            <v>55</v>
          </cell>
          <cell r="M1039" t="e">
            <v>#N/A</v>
          </cell>
          <cell r="N1039">
            <v>90</v>
          </cell>
          <cell r="O1039" t="e">
            <v>#N/A</v>
          </cell>
          <cell r="P1039" t="str">
            <v/>
          </cell>
          <cell r="Q1039" t="str">
            <v/>
          </cell>
          <cell r="R1039">
            <v>90</v>
          </cell>
        </row>
        <row r="1040">
          <cell r="A1040" t="str">
            <v/>
          </cell>
          <cell r="B1040" t="str">
            <v/>
          </cell>
          <cell r="C1040" t="str">
            <v>Future</v>
          </cell>
          <cell r="D1040" t="e">
            <v>#N/A</v>
          </cell>
          <cell r="E1040">
            <v>-63.759212598425684</v>
          </cell>
          <cell r="F1040">
            <v>135.49275590551252</v>
          </cell>
          <cell r="G1040">
            <v>40.610866141732181</v>
          </cell>
          <cell r="H1040">
            <v>40.610866141732181</v>
          </cell>
          <cell r="I1040" t="e">
            <v>#N/A</v>
          </cell>
          <cell r="J1040" t="e">
            <v>#N/A</v>
          </cell>
          <cell r="K1040">
            <v>105</v>
          </cell>
          <cell r="L1040">
            <v>55</v>
          </cell>
          <cell r="M1040" t="e">
            <v>#N/A</v>
          </cell>
          <cell r="N1040">
            <v>90</v>
          </cell>
          <cell r="O1040" t="e">
            <v>#N/A</v>
          </cell>
          <cell r="P1040" t="str">
            <v/>
          </cell>
          <cell r="Q1040" t="str">
            <v/>
          </cell>
          <cell r="R1040">
            <v>90</v>
          </cell>
        </row>
        <row r="1041">
          <cell r="A1041" t="str">
            <v/>
          </cell>
          <cell r="B1041" t="str">
            <v/>
          </cell>
          <cell r="C1041" t="str">
            <v>Future</v>
          </cell>
          <cell r="D1041" t="e">
            <v>#N/A</v>
          </cell>
          <cell r="E1041">
            <v>-64.038858267717018</v>
          </cell>
          <cell r="F1041">
            <v>135.62649606299283</v>
          </cell>
          <cell r="G1041">
            <v>40.547755905511707</v>
          </cell>
          <cell r="H1041">
            <v>40.547755905511707</v>
          </cell>
          <cell r="I1041" t="e">
            <v>#N/A</v>
          </cell>
          <cell r="J1041" t="e">
            <v>#N/A</v>
          </cell>
          <cell r="K1041">
            <v>105</v>
          </cell>
          <cell r="L1041">
            <v>55</v>
          </cell>
          <cell r="M1041" t="e">
            <v>#N/A</v>
          </cell>
          <cell r="N1041">
            <v>90</v>
          </cell>
          <cell r="O1041" t="e">
            <v>#N/A</v>
          </cell>
          <cell r="P1041" t="str">
            <v/>
          </cell>
          <cell r="Q1041" t="str">
            <v/>
          </cell>
          <cell r="R1041">
            <v>90</v>
          </cell>
        </row>
        <row r="1042">
          <cell r="A1042" t="str">
            <v/>
          </cell>
          <cell r="B1042" t="str">
            <v/>
          </cell>
          <cell r="C1042" t="str">
            <v>Future</v>
          </cell>
          <cell r="D1042" t="e">
            <v>#N/A</v>
          </cell>
          <cell r="E1042">
            <v>-64.318503937008359</v>
          </cell>
          <cell r="F1042">
            <v>135.76023622047313</v>
          </cell>
          <cell r="G1042">
            <v>40.484645669291233</v>
          </cell>
          <cell r="H1042">
            <v>40.484645669291233</v>
          </cell>
          <cell r="I1042" t="e">
            <v>#N/A</v>
          </cell>
          <cell r="J1042" t="e">
            <v>#N/A</v>
          </cell>
          <cell r="K1042">
            <v>105</v>
          </cell>
          <cell r="L1042">
            <v>55</v>
          </cell>
          <cell r="M1042" t="e">
            <v>#N/A</v>
          </cell>
          <cell r="N1042">
            <v>90</v>
          </cell>
          <cell r="O1042" t="e">
            <v>#N/A</v>
          </cell>
          <cell r="P1042" t="str">
            <v/>
          </cell>
          <cell r="Q1042" t="str">
            <v/>
          </cell>
          <cell r="R1042">
            <v>90</v>
          </cell>
        </row>
        <row r="1043">
          <cell r="A1043" t="str">
            <v/>
          </cell>
          <cell r="B1043" t="str">
            <v/>
          </cell>
          <cell r="C1043" t="str">
            <v>Future</v>
          </cell>
          <cell r="D1043" t="e">
            <v>#N/A</v>
          </cell>
          <cell r="E1043">
            <v>-64.5981496062997</v>
          </cell>
          <cell r="F1043">
            <v>135.89397637795344</v>
          </cell>
          <cell r="G1043">
            <v>40.421535433070758</v>
          </cell>
          <cell r="H1043">
            <v>40.421535433070758</v>
          </cell>
          <cell r="I1043" t="e">
            <v>#N/A</v>
          </cell>
          <cell r="J1043" t="e">
            <v>#N/A</v>
          </cell>
          <cell r="K1043">
            <v>105</v>
          </cell>
          <cell r="L1043">
            <v>55</v>
          </cell>
          <cell r="M1043" t="e">
            <v>#N/A</v>
          </cell>
          <cell r="N1043">
            <v>90</v>
          </cell>
          <cell r="O1043" t="e">
            <v>#N/A</v>
          </cell>
          <cell r="P1043" t="str">
            <v/>
          </cell>
          <cell r="Q1043" t="str">
            <v/>
          </cell>
          <cell r="R1043">
            <v>90</v>
          </cell>
        </row>
        <row r="1044">
          <cell r="A1044" t="str">
            <v/>
          </cell>
          <cell r="B1044" t="str">
            <v/>
          </cell>
          <cell r="C1044" t="str">
            <v>Future</v>
          </cell>
          <cell r="D1044" t="e">
            <v>#N/A</v>
          </cell>
          <cell r="E1044">
            <v>-64.877795275591041</v>
          </cell>
          <cell r="F1044">
            <v>136.02771653543374</v>
          </cell>
          <cell r="G1044">
            <v>40.358425196850284</v>
          </cell>
          <cell r="H1044">
            <v>40.358425196850284</v>
          </cell>
          <cell r="I1044" t="e">
            <v>#N/A</v>
          </cell>
          <cell r="J1044" t="e">
            <v>#N/A</v>
          </cell>
          <cell r="K1044">
            <v>105</v>
          </cell>
          <cell r="L1044">
            <v>55</v>
          </cell>
          <cell r="M1044" t="e">
            <v>#N/A</v>
          </cell>
          <cell r="N1044">
            <v>90</v>
          </cell>
          <cell r="O1044" t="e">
            <v>#N/A</v>
          </cell>
          <cell r="P1044" t="str">
            <v/>
          </cell>
          <cell r="Q1044" t="str">
            <v/>
          </cell>
          <cell r="R1044">
            <v>90</v>
          </cell>
        </row>
        <row r="1045">
          <cell r="A1045" t="str">
            <v/>
          </cell>
          <cell r="B1045" t="str">
            <v/>
          </cell>
          <cell r="C1045" t="str">
            <v>Future</v>
          </cell>
          <cell r="D1045" t="e">
            <v>#N/A</v>
          </cell>
          <cell r="E1045">
            <v>-65.157440944882381</v>
          </cell>
          <cell r="F1045">
            <v>136.16145669291404</v>
          </cell>
          <cell r="G1045">
            <v>40.29531496062981</v>
          </cell>
          <cell r="H1045">
            <v>40.29531496062981</v>
          </cell>
          <cell r="I1045" t="e">
            <v>#N/A</v>
          </cell>
          <cell r="J1045" t="e">
            <v>#N/A</v>
          </cell>
          <cell r="K1045">
            <v>105</v>
          </cell>
          <cell r="L1045">
            <v>55</v>
          </cell>
          <cell r="M1045" t="e">
            <v>#N/A</v>
          </cell>
          <cell r="N1045">
            <v>90</v>
          </cell>
          <cell r="O1045" t="e">
            <v>#N/A</v>
          </cell>
          <cell r="P1045" t="str">
            <v/>
          </cell>
          <cell r="Q1045" t="str">
            <v/>
          </cell>
          <cell r="R1045">
            <v>90</v>
          </cell>
        </row>
        <row r="1046">
          <cell r="A1046" t="str">
            <v/>
          </cell>
          <cell r="B1046" t="str">
            <v/>
          </cell>
          <cell r="C1046" t="str">
            <v>Future</v>
          </cell>
          <cell r="D1046" t="e">
            <v>#N/A</v>
          </cell>
          <cell r="E1046">
            <v>-65.437086614173722</v>
          </cell>
          <cell r="F1046">
            <v>136.29519685039435</v>
          </cell>
          <cell r="G1046">
            <v>40.232204724409335</v>
          </cell>
          <cell r="H1046">
            <v>40.232204724409335</v>
          </cell>
          <cell r="I1046" t="e">
            <v>#N/A</v>
          </cell>
          <cell r="J1046" t="e">
            <v>#N/A</v>
          </cell>
          <cell r="K1046">
            <v>105</v>
          </cell>
          <cell r="L1046">
            <v>55</v>
          </cell>
          <cell r="M1046" t="e">
            <v>#N/A</v>
          </cell>
          <cell r="N1046">
            <v>90</v>
          </cell>
          <cell r="O1046" t="e">
            <v>#N/A</v>
          </cell>
          <cell r="P1046" t="str">
            <v/>
          </cell>
          <cell r="Q1046" t="str">
            <v/>
          </cell>
          <cell r="R1046">
            <v>90</v>
          </cell>
        </row>
        <row r="1047">
          <cell r="A1047" t="str">
            <v/>
          </cell>
          <cell r="B1047" t="str">
            <v/>
          </cell>
          <cell r="C1047" t="str">
            <v>Future</v>
          </cell>
          <cell r="D1047" t="e">
            <v>#N/A</v>
          </cell>
          <cell r="E1047">
            <v>-65.716732283465063</v>
          </cell>
          <cell r="F1047">
            <v>136.42893700787465</v>
          </cell>
          <cell r="G1047">
            <v>40.169094488188861</v>
          </cell>
          <cell r="H1047">
            <v>40.169094488188861</v>
          </cell>
          <cell r="I1047" t="e">
            <v>#N/A</v>
          </cell>
          <cell r="J1047" t="e">
            <v>#N/A</v>
          </cell>
          <cell r="K1047">
            <v>105</v>
          </cell>
          <cell r="L1047">
            <v>55</v>
          </cell>
          <cell r="M1047" t="e">
            <v>#N/A</v>
          </cell>
          <cell r="N1047">
            <v>90</v>
          </cell>
          <cell r="O1047" t="e">
            <v>#N/A</v>
          </cell>
          <cell r="P1047" t="str">
            <v/>
          </cell>
          <cell r="Q1047" t="str">
            <v/>
          </cell>
          <cell r="R1047">
            <v>90</v>
          </cell>
        </row>
        <row r="1048">
          <cell r="A1048" t="str">
            <v/>
          </cell>
          <cell r="B1048" t="str">
            <v/>
          </cell>
          <cell r="C1048" t="str">
            <v>Future</v>
          </cell>
          <cell r="D1048" t="e">
            <v>#N/A</v>
          </cell>
          <cell r="E1048">
            <v>-65.996377952756404</v>
          </cell>
          <cell r="F1048">
            <v>136.56267716535496</v>
          </cell>
          <cell r="G1048">
            <v>40.105984251968387</v>
          </cell>
          <cell r="H1048">
            <v>40.105984251968387</v>
          </cell>
          <cell r="I1048" t="e">
            <v>#N/A</v>
          </cell>
          <cell r="J1048" t="e">
            <v>#N/A</v>
          </cell>
          <cell r="K1048">
            <v>105</v>
          </cell>
          <cell r="L1048">
            <v>55</v>
          </cell>
          <cell r="M1048" t="e">
            <v>#N/A</v>
          </cell>
          <cell r="N1048">
            <v>90</v>
          </cell>
          <cell r="O1048" t="e">
            <v>#N/A</v>
          </cell>
          <cell r="P1048" t="str">
            <v/>
          </cell>
          <cell r="Q1048" t="str">
            <v/>
          </cell>
          <cell r="R1048">
            <v>90</v>
          </cell>
        </row>
        <row r="1049">
          <cell r="A1049" t="str">
            <v/>
          </cell>
          <cell r="B1049" t="str">
            <v/>
          </cell>
          <cell r="C1049" t="str">
            <v>Future</v>
          </cell>
          <cell r="D1049" t="e">
            <v>#N/A</v>
          </cell>
          <cell r="E1049">
            <v>-66.276023622047745</v>
          </cell>
          <cell r="F1049">
            <v>136.69641732283526</v>
          </cell>
          <cell r="G1049">
            <v>40.042874015747913</v>
          </cell>
          <cell r="H1049">
            <v>40.042874015747913</v>
          </cell>
          <cell r="I1049" t="e">
            <v>#N/A</v>
          </cell>
          <cell r="J1049" t="e">
            <v>#N/A</v>
          </cell>
          <cell r="K1049">
            <v>105</v>
          </cell>
          <cell r="L1049">
            <v>55</v>
          </cell>
          <cell r="M1049" t="e">
            <v>#N/A</v>
          </cell>
          <cell r="N1049">
            <v>90</v>
          </cell>
          <cell r="O1049" t="e">
            <v>#N/A</v>
          </cell>
          <cell r="P1049" t="str">
            <v/>
          </cell>
          <cell r="Q1049" t="str">
            <v/>
          </cell>
          <cell r="R1049">
            <v>90</v>
          </cell>
        </row>
        <row r="1050">
          <cell r="A1050" t="str">
            <v/>
          </cell>
          <cell r="B1050" t="str">
            <v/>
          </cell>
          <cell r="C1050" t="str">
            <v>Future</v>
          </cell>
          <cell r="D1050" t="e">
            <v>#N/A</v>
          </cell>
          <cell r="E1050">
            <v>-66.555669291339086</v>
          </cell>
          <cell r="F1050">
            <v>136.83015748031556</v>
          </cell>
          <cell r="G1050">
            <v>39.979763779527438</v>
          </cell>
          <cell r="H1050">
            <v>39.979763779527438</v>
          </cell>
          <cell r="I1050" t="e">
            <v>#N/A</v>
          </cell>
          <cell r="J1050" t="e">
            <v>#N/A</v>
          </cell>
          <cell r="K1050">
            <v>105</v>
          </cell>
          <cell r="L1050">
            <v>55</v>
          </cell>
          <cell r="M1050" t="e">
            <v>#N/A</v>
          </cell>
          <cell r="N1050">
            <v>90</v>
          </cell>
          <cell r="O1050" t="e">
            <v>#N/A</v>
          </cell>
          <cell r="P1050" t="str">
            <v/>
          </cell>
          <cell r="Q1050" t="str">
            <v/>
          </cell>
          <cell r="R1050">
            <v>90</v>
          </cell>
        </row>
        <row r="1051">
          <cell r="A1051" t="str">
            <v/>
          </cell>
          <cell r="B1051" t="str">
            <v/>
          </cell>
          <cell r="C1051" t="str">
            <v>Future</v>
          </cell>
          <cell r="D1051" t="e">
            <v>#N/A</v>
          </cell>
          <cell r="E1051">
            <v>-66.835314960630427</v>
          </cell>
          <cell r="F1051">
            <v>136.96389763779587</v>
          </cell>
          <cell r="G1051">
            <v>39.916653543306964</v>
          </cell>
          <cell r="H1051">
            <v>39.916653543306964</v>
          </cell>
          <cell r="I1051" t="e">
            <v>#N/A</v>
          </cell>
          <cell r="J1051" t="e">
            <v>#N/A</v>
          </cell>
          <cell r="K1051">
            <v>105</v>
          </cell>
          <cell r="L1051">
            <v>55</v>
          </cell>
          <cell r="M1051" t="e">
            <v>#N/A</v>
          </cell>
          <cell r="N1051">
            <v>90</v>
          </cell>
          <cell r="O1051" t="e">
            <v>#N/A</v>
          </cell>
          <cell r="P1051" t="str">
            <v/>
          </cell>
          <cell r="Q1051" t="str">
            <v/>
          </cell>
          <cell r="R1051">
            <v>90</v>
          </cell>
        </row>
        <row r="1052">
          <cell r="A1052" t="str">
            <v/>
          </cell>
          <cell r="B1052" t="str">
            <v/>
          </cell>
          <cell r="C1052" t="str">
            <v>Future</v>
          </cell>
          <cell r="D1052" t="e">
            <v>#N/A</v>
          </cell>
          <cell r="E1052">
            <v>-67.114960629921768</v>
          </cell>
          <cell r="F1052">
            <v>137.09763779527617</v>
          </cell>
          <cell r="G1052">
            <v>39.85354330708649</v>
          </cell>
          <cell r="H1052">
            <v>39.85354330708649</v>
          </cell>
          <cell r="I1052" t="e">
            <v>#N/A</v>
          </cell>
          <cell r="J1052" t="e">
            <v>#N/A</v>
          </cell>
          <cell r="K1052">
            <v>105</v>
          </cell>
          <cell r="L1052">
            <v>55</v>
          </cell>
          <cell r="M1052" t="e">
            <v>#N/A</v>
          </cell>
          <cell r="N1052">
            <v>90</v>
          </cell>
          <cell r="O1052" t="e">
            <v>#N/A</v>
          </cell>
          <cell r="P1052" t="str">
            <v/>
          </cell>
          <cell r="Q1052" t="str">
            <v/>
          </cell>
          <cell r="R1052">
            <v>90</v>
          </cell>
        </row>
        <row r="1053">
          <cell r="A1053" t="str">
            <v/>
          </cell>
          <cell r="B1053" t="str">
            <v/>
          </cell>
          <cell r="C1053" t="str">
            <v>Future</v>
          </cell>
          <cell r="D1053" t="e">
            <v>#N/A</v>
          </cell>
          <cell r="E1053">
            <v>-67.394606299213109</v>
          </cell>
          <cell r="F1053">
            <v>137.23137795275647</v>
          </cell>
          <cell r="G1053">
            <v>39.790433070866015</v>
          </cell>
          <cell r="H1053">
            <v>39.790433070866015</v>
          </cell>
          <cell r="I1053" t="e">
            <v>#N/A</v>
          </cell>
          <cell r="J1053" t="e">
            <v>#N/A</v>
          </cell>
          <cell r="K1053">
            <v>105</v>
          </cell>
          <cell r="L1053">
            <v>55</v>
          </cell>
          <cell r="M1053" t="e">
            <v>#N/A</v>
          </cell>
          <cell r="N1053">
            <v>90</v>
          </cell>
          <cell r="O1053" t="e">
            <v>#N/A</v>
          </cell>
          <cell r="P1053" t="str">
            <v/>
          </cell>
          <cell r="Q1053" t="str">
            <v/>
          </cell>
          <cell r="R1053">
            <v>90</v>
          </cell>
        </row>
        <row r="1054">
          <cell r="A1054" t="str">
            <v/>
          </cell>
          <cell r="B1054" t="str">
            <v/>
          </cell>
          <cell r="C1054" t="str">
            <v>Future</v>
          </cell>
          <cell r="D1054" t="e">
            <v>#N/A</v>
          </cell>
          <cell r="E1054">
            <v>-67.67425196850445</v>
          </cell>
          <cell r="F1054">
            <v>137.36511811023678</v>
          </cell>
          <cell r="G1054">
            <v>39.727322834645541</v>
          </cell>
          <cell r="H1054">
            <v>39.727322834645541</v>
          </cell>
          <cell r="I1054" t="e">
            <v>#N/A</v>
          </cell>
          <cell r="J1054" t="e">
            <v>#N/A</v>
          </cell>
          <cell r="K1054">
            <v>105</v>
          </cell>
          <cell r="L1054">
            <v>55</v>
          </cell>
          <cell r="M1054" t="e">
            <v>#N/A</v>
          </cell>
          <cell r="N1054">
            <v>90</v>
          </cell>
          <cell r="O1054" t="e">
            <v>#N/A</v>
          </cell>
          <cell r="P1054" t="str">
            <v/>
          </cell>
          <cell r="Q1054" t="str">
            <v/>
          </cell>
          <cell r="R1054">
            <v>90</v>
          </cell>
        </row>
        <row r="1055">
          <cell r="A1055" t="str">
            <v/>
          </cell>
          <cell r="B1055" t="str">
            <v/>
          </cell>
          <cell r="C1055" t="str">
            <v>Future</v>
          </cell>
          <cell r="D1055" t="e">
            <v>#N/A</v>
          </cell>
          <cell r="E1055">
            <v>-67.953897637795791</v>
          </cell>
          <cell r="F1055">
            <v>137.49885826771708</v>
          </cell>
          <cell r="G1055">
            <v>39.664212598425067</v>
          </cell>
          <cell r="H1055">
            <v>39.664212598425067</v>
          </cell>
          <cell r="I1055" t="e">
            <v>#N/A</v>
          </cell>
          <cell r="J1055" t="e">
            <v>#N/A</v>
          </cell>
          <cell r="K1055">
            <v>105</v>
          </cell>
          <cell r="L1055">
            <v>55</v>
          </cell>
          <cell r="M1055" t="e">
            <v>#N/A</v>
          </cell>
          <cell r="N1055">
            <v>90</v>
          </cell>
          <cell r="O1055" t="e">
            <v>#N/A</v>
          </cell>
          <cell r="P1055" t="str">
            <v/>
          </cell>
          <cell r="Q1055" t="str">
            <v/>
          </cell>
          <cell r="R1055">
            <v>90</v>
          </cell>
        </row>
        <row r="1056">
          <cell r="A1056" t="str">
            <v/>
          </cell>
          <cell r="B1056" t="str">
            <v/>
          </cell>
          <cell r="C1056" t="str">
            <v>Future</v>
          </cell>
          <cell r="D1056" t="e">
            <v>#N/A</v>
          </cell>
          <cell r="E1056">
            <v>-68.233543307087132</v>
          </cell>
          <cell r="F1056">
            <v>137.63259842519739</v>
          </cell>
          <cell r="G1056">
            <v>39.601102362204593</v>
          </cell>
          <cell r="H1056">
            <v>39.601102362204593</v>
          </cell>
          <cell r="I1056" t="e">
            <v>#N/A</v>
          </cell>
          <cell r="J1056" t="e">
            <v>#N/A</v>
          </cell>
          <cell r="K1056">
            <v>105</v>
          </cell>
          <cell r="L1056">
            <v>55</v>
          </cell>
          <cell r="M1056" t="e">
            <v>#N/A</v>
          </cell>
          <cell r="N1056">
            <v>90</v>
          </cell>
          <cell r="O1056" t="e">
            <v>#N/A</v>
          </cell>
          <cell r="P1056" t="str">
            <v/>
          </cell>
          <cell r="Q1056" t="str">
            <v/>
          </cell>
          <cell r="R1056">
            <v>90</v>
          </cell>
        </row>
        <row r="1057">
          <cell r="A1057" t="str">
            <v/>
          </cell>
          <cell r="B1057" t="str">
            <v/>
          </cell>
          <cell r="C1057" t="str">
            <v>Future</v>
          </cell>
          <cell r="D1057" t="e">
            <v>#N/A</v>
          </cell>
          <cell r="E1057">
            <v>-68.513188976378473</v>
          </cell>
          <cell r="F1057">
            <v>137.76633858267769</v>
          </cell>
          <cell r="G1057">
            <v>39.537992125984118</v>
          </cell>
          <cell r="H1057">
            <v>39.537992125984118</v>
          </cell>
          <cell r="I1057" t="e">
            <v>#N/A</v>
          </cell>
          <cell r="J1057" t="e">
            <v>#N/A</v>
          </cell>
          <cell r="K1057">
            <v>105</v>
          </cell>
          <cell r="L1057">
            <v>55</v>
          </cell>
          <cell r="M1057" t="e">
            <v>#N/A</v>
          </cell>
          <cell r="N1057">
            <v>90</v>
          </cell>
          <cell r="O1057" t="e">
            <v>#N/A</v>
          </cell>
          <cell r="P1057" t="str">
            <v/>
          </cell>
          <cell r="Q1057" t="str">
            <v/>
          </cell>
          <cell r="R1057">
            <v>90</v>
          </cell>
        </row>
        <row r="1058">
          <cell r="A1058" t="str">
            <v/>
          </cell>
          <cell r="B1058" t="str">
            <v/>
          </cell>
          <cell r="C1058" t="str">
            <v>Future</v>
          </cell>
          <cell r="D1058" t="e">
            <v>#N/A</v>
          </cell>
          <cell r="E1058">
            <v>-68.792834645669814</v>
          </cell>
          <cell r="F1058">
            <v>137.90007874015799</v>
          </cell>
          <cell r="G1058">
            <v>39.474881889763644</v>
          </cell>
          <cell r="H1058">
            <v>39.474881889763644</v>
          </cell>
          <cell r="I1058" t="e">
            <v>#N/A</v>
          </cell>
          <cell r="J1058" t="e">
            <v>#N/A</v>
          </cell>
          <cell r="K1058">
            <v>105</v>
          </cell>
          <cell r="L1058">
            <v>55</v>
          </cell>
          <cell r="M1058" t="e">
            <v>#N/A</v>
          </cell>
          <cell r="N1058">
            <v>90</v>
          </cell>
          <cell r="O1058" t="e">
            <v>#N/A</v>
          </cell>
          <cell r="P1058" t="str">
            <v/>
          </cell>
          <cell r="Q1058" t="str">
            <v/>
          </cell>
          <cell r="R1058">
            <v>90</v>
          </cell>
        </row>
        <row r="1059">
          <cell r="A1059" t="str">
            <v/>
          </cell>
          <cell r="B1059" t="str">
            <v/>
          </cell>
          <cell r="C1059" t="str">
            <v>Future</v>
          </cell>
          <cell r="D1059" t="e">
            <v>#N/A</v>
          </cell>
          <cell r="E1059">
            <v>-69.072480314961155</v>
          </cell>
          <cell r="F1059">
            <v>138.0338188976383</v>
          </cell>
          <cell r="G1059">
            <v>39.41177165354317</v>
          </cell>
          <cell r="H1059">
            <v>39.41177165354317</v>
          </cell>
          <cell r="I1059" t="e">
            <v>#N/A</v>
          </cell>
          <cell r="J1059" t="e">
            <v>#N/A</v>
          </cell>
          <cell r="K1059">
            <v>105</v>
          </cell>
          <cell r="L1059">
            <v>55</v>
          </cell>
          <cell r="M1059" t="e">
            <v>#N/A</v>
          </cell>
          <cell r="N1059">
            <v>90</v>
          </cell>
          <cell r="O1059" t="e">
            <v>#N/A</v>
          </cell>
          <cell r="P1059" t="str">
            <v/>
          </cell>
          <cell r="Q1059" t="str">
            <v/>
          </cell>
          <cell r="R1059">
            <v>90</v>
          </cell>
        </row>
        <row r="1060">
          <cell r="A1060" t="str">
            <v/>
          </cell>
          <cell r="B1060" t="str">
            <v/>
          </cell>
          <cell r="C1060" t="str">
            <v>Future</v>
          </cell>
          <cell r="D1060" t="e">
            <v>#N/A</v>
          </cell>
          <cell r="E1060">
            <v>-69.352125984252496</v>
          </cell>
          <cell r="F1060">
            <v>138.1675590551186</v>
          </cell>
          <cell r="G1060">
            <v>39.348661417322695</v>
          </cell>
          <cell r="H1060">
            <v>39.348661417322695</v>
          </cell>
          <cell r="I1060" t="e">
            <v>#N/A</v>
          </cell>
          <cell r="J1060" t="e">
            <v>#N/A</v>
          </cell>
          <cell r="K1060">
            <v>105</v>
          </cell>
          <cell r="L1060">
            <v>55</v>
          </cell>
          <cell r="M1060" t="e">
            <v>#N/A</v>
          </cell>
          <cell r="N1060">
            <v>90</v>
          </cell>
          <cell r="O1060" t="e">
            <v>#N/A</v>
          </cell>
          <cell r="P1060" t="str">
            <v/>
          </cell>
          <cell r="Q1060" t="str">
            <v/>
          </cell>
          <cell r="R1060">
            <v>90</v>
          </cell>
        </row>
        <row r="1061">
          <cell r="A1061" t="str">
            <v/>
          </cell>
          <cell r="B1061" t="str">
            <v/>
          </cell>
          <cell r="C1061" t="str">
            <v>Future</v>
          </cell>
          <cell r="D1061" t="e">
            <v>#N/A</v>
          </cell>
          <cell r="E1061">
            <v>-69.631771653543836</v>
          </cell>
          <cell r="F1061">
            <v>138.30129921259891</v>
          </cell>
          <cell r="G1061">
            <v>39.285551181102221</v>
          </cell>
          <cell r="H1061">
            <v>39.285551181102221</v>
          </cell>
          <cell r="I1061" t="e">
            <v>#N/A</v>
          </cell>
          <cell r="J1061" t="e">
            <v>#N/A</v>
          </cell>
          <cell r="K1061">
            <v>105</v>
          </cell>
          <cell r="L1061">
            <v>55</v>
          </cell>
          <cell r="M1061" t="e">
            <v>#N/A</v>
          </cell>
          <cell r="N1061">
            <v>90</v>
          </cell>
          <cell r="O1061" t="e">
            <v>#N/A</v>
          </cell>
          <cell r="P1061" t="str">
            <v/>
          </cell>
          <cell r="Q1061" t="str">
            <v/>
          </cell>
          <cell r="R1061">
            <v>90</v>
          </cell>
        </row>
        <row r="1062">
          <cell r="A1062" t="str">
            <v/>
          </cell>
          <cell r="B1062" t="str">
            <v/>
          </cell>
          <cell r="C1062" t="str">
            <v>Future</v>
          </cell>
          <cell r="D1062" t="e">
            <v>#N/A</v>
          </cell>
          <cell r="E1062">
            <v>-69.911417322835177</v>
          </cell>
          <cell r="F1062">
            <v>138.43503937007921</v>
          </cell>
          <cell r="G1062">
            <v>39.222440944881747</v>
          </cell>
          <cell r="H1062">
            <v>39.222440944881747</v>
          </cell>
          <cell r="I1062" t="e">
            <v>#N/A</v>
          </cell>
          <cell r="J1062" t="e">
            <v>#N/A</v>
          </cell>
          <cell r="K1062">
            <v>105</v>
          </cell>
          <cell r="L1062">
            <v>55</v>
          </cell>
          <cell r="M1062" t="e">
            <v>#N/A</v>
          </cell>
          <cell r="N1062">
            <v>90</v>
          </cell>
          <cell r="O1062" t="e">
            <v>#N/A</v>
          </cell>
          <cell r="P1062" t="str">
            <v/>
          </cell>
          <cell r="Q1062" t="str">
            <v/>
          </cell>
          <cell r="R1062">
            <v>90</v>
          </cell>
        </row>
        <row r="1063">
          <cell r="A1063" t="str">
            <v/>
          </cell>
          <cell r="B1063" t="str">
            <v/>
          </cell>
          <cell r="C1063" t="str">
            <v>Future</v>
          </cell>
          <cell r="D1063" t="e">
            <v>#N/A</v>
          </cell>
          <cell r="E1063">
            <v>-70.191062992126518</v>
          </cell>
          <cell r="F1063">
            <v>138.56877952755951</v>
          </cell>
          <cell r="G1063">
            <v>39.159330708661273</v>
          </cell>
          <cell r="H1063">
            <v>39.159330708661273</v>
          </cell>
          <cell r="I1063" t="e">
            <v>#N/A</v>
          </cell>
          <cell r="J1063" t="e">
            <v>#N/A</v>
          </cell>
          <cell r="K1063">
            <v>105</v>
          </cell>
          <cell r="L1063">
            <v>55</v>
          </cell>
          <cell r="M1063" t="e">
            <v>#N/A</v>
          </cell>
          <cell r="N1063">
            <v>90</v>
          </cell>
          <cell r="O1063" t="e">
            <v>#N/A</v>
          </cell>
          <cell r="P1063" t="str">
            <v/>
          </cell>
          <cell r="Q1063" t="str">
            <v/>
          </cell>
          <cell r="R1063">
            <v>90</v>
          </cell>
        </row>
        <row r="1064">
          <cell r="A1064" t="str">
            <v/>
          </cell>
          <cell r="B1064" t="str">
            <v/>
          </cell>
          <cell r="C1064" t="str">
            <v>Future</v>
          </cell>
          <cell r="D1064" t="e">
            <v>#N/A</v>
          </cell>
          <cell r="E1064">
            <v>-70.470708661417859</v>
          </cell>
          <cell r="F1064">
            <v>138.70251968503982</v>
          </cell>
          <cell r="G1064">
            <v>39.096220472440798</v>
          </cell>
          <cell r="H1064">
            <v>39.096220472440798</v>
          </cell>
          <cell r="I1064" t="e">
            <v>#N/A</v>
          </cell>
          <cell r="J1064" t="e">
            <v>#N/A</v>
          </cell>
          <cell r="K1064">
            <v>105</v>
          </cell>
          <cell r="L1064">
            <v>55</v>
          </cell>
          <cell r="M1064" t="e">
            <v>#N/A</v>
          </cell>
          <cell r="N1064">
            <v>90</v>
          </cell>
          <cell r="O1064" t="e">
            <v>#N/A</v>
          </cell>
          <cell r="P1064" t="str">
            <v/>
          </cell>
          <cell r="Q1064" t="str">
            <v/>
          </cell>
          <cell r="R1064">
            <v>90</v>
          </cell>
        </row>
        <row r="1065">
          <cell r="A1065" t="str">
            <v/>
          </cell>
          <cell r="B1065" t="str">
            <v/>
          </cell>
          <cell r="C1065" t="str">
            <v>Future</v>
          </cell>
          <cell r="D1065" t="e">
            <v>#N/A</v>
          </cell>
          <cell r="E1065">
            <v>-70.7503543307092</v>
          </cell>
          <cell r="F1065">
            <v>138.83625984252012</v>
          </cell>
          <cell r="G1065">
            <v>39.033110236220324</v>
          </cell>
          <cell r="H1065">
            <v>39.033110236220324</v>
          </cell>
          <cell r="I1065" t="e">
            <v>#N/A</v>
          </cell>
          <cell r="J1065" t="e">
            <v>#N/A</v>
          </cell>
          <cell r="K1065">
            <v>105</v>
          </cell>
          <cell r="L1065">
            <v>55</v>
          </cell>
          <cell r="M1065" t="e">
            <v>#N/A</v>
          </cell>
          <cell r="N1065">
            <v>90</v>
          </cell>
          <cell r="O1065" t="e">
            <v>#N/A</v>
          </cell>
          <cell r="P1065" t="str">
            <v/>
          </cell>
          <cell r="Q1065" t="str">
            <v/>
          </cell>
          <cell r="R1065">
            <v>90</v>
          </cell>
        </row>
        <row r="1066">
          <cell r="A1066" t="str">
            <v/>
          </cell>
          <cell r="B1066" t="str">
            <v/>
          </cell>
          <cell r="C1066" t="str">
            <v>Future</v>
          </cell>
          <cell r="D1066" t="e">
            <v>#N/A</v>
          </cell>
          <cell r="E1066">
            <v>-71.030000000000541</v>
          </cell>
          <cell r="F1066">
            <v>138.97000000000043</v>
          </cell>
          <cell r="G1066">
            <v>38.96999999999985</v>
          </cell>
          <cell r="H1066">
            <v>38.96999999999985</v>
          </cell>
          <cell r="I1066" t="e">
            <v>#N/A</v>
          </cell>
          <cell r="J1066" t="e">
            <v>#N/A</v>
          </cell>
          <cell r="K1066">
            <v>105</v>
          </cell>
          <cell r="L1066">
            <v>55</v>
          </cell>
          <cell r="M1066" t="e">
            <v>#N/A</v>
          </cell>
          <cell r="N1066">
            <v>90</v>
          </cell>
          <cell r="O1066" t="e">
            <v>#N/A</v>
          </cell>
          <cell r="P1066" t="str">
            <v/>
          </cell>
          <cell r="Q1066" t="str">
            <v/>
          </cell>
          <cell r="R1066">
            <v>90</v>
          </cell>
        </row>
        <row r="1067">
          <cell r="A1067" t="str">
            <v/>
          </cell>
          <cell r="B1067" t="str">
            <v/>
          </cell>
          <cell r="C1067" t="str">
            <v>Future</v>
          </cell>
          <cell r="D1067" t="e">
            <v>#N/A</v>
          </cell>
          <cell r="E1067">
            <v>-71.309645669291882</v>
          </cell>
          <cell r="F1067">
            <v>139.10374015748073</v>
          </cell>
          <cell r="G1067">
            <v>38.906889763779375</v>
          </cell>
          <cell r="H1067">
            <v>38.906889763779375</v>
          </cell>
          <cell r="I1067" t="e">
            <v>#N/A</v>
          </cell>
          <cell r="J1067" t="e">
            <v>#N/A</v>
          </cell>
          <cell r="K1067">
            <v>105</v>
          </cell>
          <cell r="L1067">
            <v>55</v>
          </cell>
          <cell r="M1067" t="e">
            <v>#N/A</v>
          </cell>
          <cell r="N1067">
            <v>90</v>
          </cell>
          <cell r="O1067" t="e">
            <v>#N/A</v>
          </cell>
          <cell r="P1067" t="str">
            <v/>
          </cell>
          <cell r="Q1067" t="str">
            <v/>
          </cell>
          <cell r="R1067">
            <v>90</v>
          </cell>
        </row>
        <row r="1068">
          <cell r="A1068" t="str">
            <v/>
          </cell>
          <cell r="B1068" t="str">
            <v/>
          </cell>
          <cell r="C1068" t="str">
            <v>Future</v>
          </cell>
          <cell r="D1068" t="e">
            <v>#N/A</v>
          </cell>
          <cell r="E1068">
            <v>-71.589291338583223</v>
          </cell>
          <cell r="F1068">
            <v>139.23748031496103</v>
          </cell>
          <cell r="G1068">
            <v>38.843779527558901</v>
          </cell>
          <cell r="H1068">
            <v>38.843779527558901</v>
          </cell>
          <cell r="I1068" t="e">
            <v>#N/A</v>
          </cell>
          <cell r="J1068" t="e">
            <v>#N/A</v>
          </cell>
          <cell r="K1068">
            <v>105</v>
          </cell>
          <cell r="L1068">
            <v>55</v>
          </cell>
          <cell r="M1068" t="e">
            <v>#N/A</v>
          </cell>
          <cell r="N1068">
            <v>90</v>
          </cell>
          <cell r="O1068" t="e">
            <v>#N/A</v>
          </cell>
          <cell r="P1068" t="str">
            <v/>
          </cell>
          <cell r="Q1068" t="str">
            <v/>
          </cell>
          <cell r="R1068">
            <v>90</v>
          </cell>
        </row>
        <row r="1069">
          <cell r="A1069" t="str">
            <v/>
          </cell>
          <cell r="B1069" t="str">
            <v/>
          </cell>
          <cell r="C1069" t="str">
            <v>Future</v>
          </cell>
          <cell r="D1069" t="e">
            <v>#N/A</v>
          </cell>
          <cell r="E1069">
            <v>-71.868937007874564</v>
          </cell>
          <cell r="F1069">
            <v>139.37122047244134</v>
          </cell>
          <cell r="G1069">
            <v>38.780669291338427</v>
          </cell>
          <cell r="H1069">
            <v>38.780669291338427</v>
          </cell>
          <cell r="I1069" t="e">
            <v>#N/A</v>
          </cell>
          <cell r="J1069" t="e">
            <v>#N/A</v>
          </cell>
          <cell r="K1069">
            <v>105</v>
          </cell>
          <cell r="L1069">
            <v>55</v>
          </cell>
          <cell r="M1069" t="e">
            <v>#N/A</v>
          </cell>
          <cell r="N1069">
            <v>90</v>
          </cell>
          <cell r="O1069" t="e">
            <v>#N/A</v>
          </cell>
          <cell r="P1069" t="str">
            <v/>
          </cell>
          <cell r="Q1069" t="str">
            <v/>
          </cell>
          <cell r="R1069">
            <v>90</v>
          </cell>
        </row>
        <row r="1070">
          <cell r="A1070" t="str">
            <v/>
          </cell>
          <cell r="B1070" t="str">
            <v/>
          </cell>
          <cell r="C1070" t="str">
            <v>Future</v>
          </cell>
          <cell r="D1070" t="e">
            <v>#N/A</v>
          </cell>
          <cell r="E1070">
            <v>-72.148582677165905</v>
          </cell>
          <cell r="F1070">
            <v>139.50496062992164</v>
          </cell>
          <cell r="G1070">
            <v>38.717559055117952</v>
          </cell>
          <cell r="H1070">
            <v>38.717559055117952</v>
          </cell>
          <cell r="I1070" t="e">
            <v>#N/A</v>
          </cell>
          <cell r="J1070" t="e">
            <v>#N/A</v>
          </cell>
          <cell r="K1070">
            <v>105</v>
          </cell>
          <cell r="L1070">
            <v>55</v>
          </cell>
          <cell r="M1070" t="e">
            <v>#N/A</v>
          </cell>
          <cell r="N1070">
            <v>90</v>
          </cell>
          <cell r="O1070" t="e">
            <v>#N/A</v>
          </cell>
          <cell r="P1070" t="str">
            <v/>
          </cell>
          <cell r="Q1070" t="str">
            <v/>
          </cell>
          <cell r="R1070">
            <v>90</v>
          </cell>
        </row>
        <row r="1071">
          <cell r="A1071" t="str">
            <v/>
          </cell>
          <cell r="B1071" t="str">
            <v/>
          </cell>
          <cell r="C1071" t="str">
            <v>Future</v>
          </cell>
          <cell r="D1071" t="e">
            <v>#N/A</v>
          </cell>
          <cell r="E1071">
            <v>-72.428228346457246</v>
          </cell>
          <cell r="F1071">
            <v>139.63870078740194</v>
          </cell>
          <cell r="G1071">
            <v>38.654448818897478</v>
          </cell>
          <cell r="H1071">
            <v>38.654448818897478</v>
          </cell>
          <cell r="I1071" t="e">
            <v>#N/A</v>
          </cell>
          <cell r="J1071" t="e">
            <v>#N/A</v>
          </cell>
          <cell r="K1071">
            <v>105</v>
          </cell>
          <cell r="L1071">
            <v>55</v>
          </cell>
          <cell r="M1071" t="e">
            <v>#N/A</v>
          </cell>
          <cell r="N1071">
            <v>90</v>
          </cell>
          <cell r="O1071" t="e">
            <v>#N/A</v>
          </cell>
          <cell r="P1071" t="str">
            <v/>
          </cell>
          <cell r="Q1071" t="str">
            <v/>
          </cell>
          <cell r="R1071">
            <v>90</v>
          </cell>
        </row>
        <row r="1072">
          <cell r="A1072" t="str">
            <v/>
          </cell>
          <cell r="B1072" t="str">
            <v/>
          </cell>
          <cell r="C1072" t="str">
            <v>Future</v>
          </cell>
          <cell r="D1072" t="e">
            <v>#N/A</v>
          </cell>
          <cell r="E1072">
            <v>-72.707874015748587</v>
          </cell>
          <cell r="F1072">
            <v>139.77244094488225</v>
          </cell>
          <cell r="G1072">
            <v>38.591338582677004</v>
          </cell>
          <cell r="H1072">
            <v>38.591338582677004</v>
          </cell>
          <cell r="I1072" t="e">
            <v>#N/A</v>
          </cell>
          <cell r="J1072" t="e">
            <v>#N/A</v>
          </cell>
          <cell r="K1072">
            <v>105</v>
          </cell>
          <cell r="L1072">
            <v>55</v>
          </cell>
          <cell r="M1072" t="e">
            <v>#N/A</v>
          </cell>
          <cell r="N1072">
            <v>90</v>
          </cell>
          <cell r="O1072" t="e">
            <v>#N/A</v>
          </cell>
          <cell r="P1072" t="str">
            <v/>
          </cell>
          <cell r="Q1072" t="str">
            <v/>
          </cell>
          <cell r="R1072">
            <v>90</v>
          </cell>
        </row>
        <row r="1073">
          <cell r="A1073" t="str">
            <v/>
          </cell>
          <cell r="B1073" t="str">
            <v/>
          </cell>
          <cell r="C1073" t="str">
            <v>Future</v>
          </cell>
          <cell r="D1073" t="e">
            <v>#N/A</v>
          </cell>
          <cell r="E1073">
            <v>-72.987519685039928</v>
          </cell>
          <cell r="F1073">
            <v>139.90618110236255</v>
          </cell>
          <cell r="G1073">
            <v>38.52822834645653</v>
          </cell>
          <cell r="H1073">
            <v>38.52822834645653</v>
          </cell>
          <cell r="I1073" t="e">
            <v>#N/A</v>
          </cell>
          <cell r="J1073" t="e">
            <v>#N/A</v>
          </cell>
          <cell r="K1073">
            <v>105</v>
          </cell>
          <cell r="L1073">
            <v>55</v>
          </cell>
          <cell r="M1073" t="e">
            <v>#N/A</v>
          </cell>
          <cell r="N1073">
            <v>90</v>
          </cell>
          <cell r="O1073" t="e">
            <v>#N/A</v>
          </cell>
          <cell r="P1073" t="str">
            <v/>
          </cell>
          <cell r="Q1073" t="str">
            <v/>
          </cell>
          <cell r="R1073">
            <v>90</v>
          </cell>
        </row>
        <row r="1074">
          <cell r="A1074" t="str">
            <v/>
          </cell>
          <cell r="B1074" t="str">
            <v/>
          </cell>
          <cell r="C1074" t="str">
            <v>Future</v>
          </cell>
          <cell r="D1074" t="e">
            <v>#N/A</v>
          </cell>
          <cell r="E1074">
            <v>-73.267165354331269</v>
          </cell>
          <cell r="F1074">
            <v>140.03992125984286</v>
          </cell>
          <cell r="G1074">
            <v>38.465118110236055</v>
          </cell>
          <cell r="H1074">
            <v>38.465118110236055</v>
          </cell>
          <cell r="I1074" t="e">
            <v>#N/A</v>
          </cell>
          <cell r="J1074" t="e">
            <v>#N/A</v>
          </cell>
          <cell r="K1074">
            <v>105</v>
          </cell>
          <cell r="L1074">
            <v>55</v>
          </cell>
          <cell r="M1074" t="e">
            <v>#N/A</v>
          </cell>
          <cell r="N1074">
            <v>90</v>
          </cell>
          <cell r="O1074" t="e">
            <v>#N/A</v>
          </cell>
          <cell r="P1074" t="str">
            <v/>
          </cell>
          <cell r="Q1074" t="str">
            <v/>
          </cell>
          <cell r="R1074">
            <v>90</v>
          </cell>
        </row>
        <row r="1075">
          <cell r="A1075" t="str">
            <v/>
          </cell>
          <cell r="B1075" t="str">
            <v/>
          </cell>
          <cell r="C1075" t="str">
            <v>Future</v>
          </cell>
          <cell r="D1075" t="e">
            <v>#N/A</v>
          </cell>
          <cell r="E1075">
            <v>-73.54681102362261</v>
          </cell>
          <cell r="F1075">
            <v>140.17366141732316</v>
          </cell>
          <cell r="G1075">
            <v>38.402007874015581</v>
          </cell>
          <cell r="H1075">
            <v>38.402007874015581</v>
          </cell>
          <cell r="I1075" t="e">
            <v>#N/A</v>
          </cell>
          <cell r="J1075" t="e">
            <v>#N/A</v>
          </cell>
          <cell r="K1075">
            <v>105</v>
          </cell>
          <cell r="L1075">
            <v>55</v>
          </cell>
          <cell r="M1075" t="e">
            <v>#N/A</v>
          </cell>
          <cell r="N1075">
            <v>90</v>
          </cell>
          <cell r="O1075" t="e">
            <v>#N/A</v>
          </cell>
          <cell r="P1075" t="str">
            <v/>
          </cell>
          <cell r="Q1075" t="str">
            <v/>
          </cell>
          <cell r="R1075">
            <v>90</v>
          </cell>
        </row>
        <row r="1076">
          <cell r="A1076" t="str">
            <v/>
          </cell>
          <cell r="B1076" t="str">
            <v/>
          </cell>
          <cell r="C1076" t="str">
            <v>Future</v>
          </cell>
          <cell r="D1076" t="e">
            <v>#N/A</v>
          </cell>
          <cell r="E1076">
            <v>-73.826456692913951</v>
          </cell>
          <cell r="F1076">
            <v>140.30740157480346</v>
          </cell>
          <cell r="G1076">
            <v>38.338897637795107</v>
          </cell>
          <cell r="H1076">
            <v>38.338897637795107</v>
          </cell>
          <cell r="I1076" t="e">
            <v>#N/A</v>
          </cell>
          <cell r="J1076" t="e">
            <v>#N/A</v>
          </cell>
          <cell r="K1076">
            <v>105</v>
          </cell>
          <cell r="L1076">
            <v>55</v>
          </cell>
          <cell r="M1076" t="e">
            <v>#N/A</v>
          </cell>
          <cell r="N1076">
            <v>90</v>
          </cell>
          <cell r="O1076" t="e">
            <v>#N/A</v>
          </cell>
          <cell r="P1076" t="str">
            <v/>
          </cell>
          <cell r="Q1076" t="str">
            <v/>
          </cell>
          <cell r="R1076">
            <v>90</v>
          </cell>
        </row>
        <row r="1077">
          <cell r="A1077" t="str">
            <v/>
          </cell>
          <cell r="B1077" t="str">
            <v/>
          </cell>
          <cell r="C1077" t="str">
            <v>Future</v>
          </cell>
          <cell r="D1077" t="e">
            <v>#N/A</v>
          </cell>
          <cell r="E1077">
            <v>-74.106102362205291</v>
          </cell>
          <cell r="F1077">
            <v>140.44114173228377</v>
          </cell>
          <cell r="G1077">
            <v>38.275787401574632</v>
          </cell>
          <cell r="H1077">
            <v>38.275787401574632</v>
          </cell>
          <cell r="I1077" t="e">
            <v>#N/A</v>
          </cell>
          <cell r="J1077" t="e">
            <v>#N/A</v>
          </cell>
          <cell r="K1077">
            <v>105</v>
          </cell>
          <cell r="L1077">
            <v>55</v>
          </cell>
          <cell r="M1077" t="e">
            <v>#N/A</v>
          </cell>
          <cell r="N1077">
            <v>90</v>
          </cell>
          <cell r="O1077" t="e">
            <v>#N/A</v>
          </cell>
          <cell r="P1077" t="str">
            <v/>
          </cell>
          <cell r="Q1077" t="str">
            <v/>
          </cell>
          <cell r="R1077">
            <v>90</v>
          </cell>
        </row>
        <row r="1078">
          <cell r="A1078" t="str">
            <v/>
          </cell>
          <cell r="B1078" t="str">
            <v/>
          </cell>
          <cell r="C1078" t="str">
            <v>Future</v>
          </cell>
          <cell r="D1078" t="e">
            <v>#N/A</v>
          </cell>
          <cell r="E1078">
            <v>-74.385748031496632</v>
          </cell>
          <cell r="F1078">
            <v>140.57488188976407</v>
          </cell>
          <cell r="G1078">
            <v>38.212677165354158</v>
          </cell>
          <cell r="H1078">
            <v>38.212677165354158</v>
          </cell>
          <cell r="I1078" t="e">
            <v>#N/A</v>
          </cell>
          <cell r="J1078" t="e">
            <v>#N/A</v>
          </cell>
          <cell r="K1078">
            <v>105</v>
          </cell>
          <cell r="L1078">
            <v>55</v>
          </cell>
          <cell r="M1078" t="e">
            <v>#N/A</v>
          </cell>
          <cell r="N1078">
            <v>90</v>
          </cell>
          <cell r="O1078" t="e">
            <v>#N/A</v>
          </cell>
          <cell r="P1078" t="str">
            <v/>
          </cell>
          <cell r="Q1078" t="str">
            <v/>
          </cell>
          <cell r="R1078">
            <v>90</v>
          </cell>
        </row>
        <row r="1079">
          <cell r="A1079" t="str">
            <v/>
          </cell>
          <cell r="B1079" t="str">
            <v/>
          </cell>
          <cell r="C1079" t="str">
            <v>Future</v>
          </cell>
          <cell r="D1079" t="e">
            <v>#N/A</v>
          </cell>
          <cell r="E1079">
            <v>-74.665393700787973</v>
          </cell>
          <cell r="F1079">
            <v>140.70862204724438</v>
          </cell>
          <cell r="G1079">
            <v>38.149566929133684</v>
          </cell>
          <cell r="H1079">
            <v>38.149566929133684</v>
          </cell>
          <cell r="I1079" t="e">
            <v>#N/A</v>
          </cell>
          <cell r="J1079" t="e">
            <v>#N/A</v>
          </cell>
          <cell r="K1079">
            <v>105</v>
          </cell>
          <cell r="L1079">
            <v>55</v>
          </cell>
          <cell r="M1079" t="e">
            <v>#N/A</v>
          </cell>
          <cell r="N1079">
            <v>90</v>
          </cell>
          <cell r="O1079" t="e">
            <v>#N/A</v>
          </cell>
          <cell r="P1079" t="str">
            <v/>
          </cell>
          <cell r="Q1079" t="str">
            <v/>
          </cell>
          <cell r="R1079">
            <v>90</v>
          </cell>
        </row>
        <row r="1080">
          <cell r="A1080" t="str">
            <v/>
          </cell>
          <cell r="B1080" t="str">
            <v/>
          </cell>
          <cell r="C1080" t="str">
            <v>Future</v>
          </cell>
          <cell r="D1080" t="e">
            <v>#N/A</v>
          </cell>
          <cell r="E1080">
            <v>-74.945039370079314</v>
          </cell>
          <cell r="F1080">
            <v>140.84236220472468</v>
          </cell>
          <cell r="G1080">
            <v>38.08645669291321</v>
          </cell>
          <cell r="H1080">
            <v>38.08645669291321</v>
          </cell>
          <cell r="I1080" t="e">
            <v>#N/A</v>
          </cell>
          <cell r="J1080" t="e">
            <v>#N/A</v>
          </cell>
          <cell r="K1080">
            <v>105</v>
          </cell>
          <cell r="L1080">
            <v>55</v>
          </cell>
          <cell r="M1080" t="e">
            <v>#N/A</v>
          </cell>
          <cell r="N1080">
            <v>90</v>
          </cell>
          <cell r="O1080" t="e">
            <v>#N/A</v>
          </cell>
          <cell r="P1080" t="str">
            <v/>
          </cell>
          <cell r="Q1080" t="str">
            <v/>
          </cell>
          <cell r="R1080">
            <v>90</v>
          </cell>
        </row>
        <row r="1081">
          <cell r="A1081" t="str">
            <v/>
          </cell>
          <cell r="B1081" t="str">
            <v/>
          </cell>
          <cell r="C1081" t="str">
            <v>Future</v>
          </cell>
          <cell r="D1081" t="e">
            <v>#N/A</v>
          </cell>
          <cell r="E1081">
            <v>-75.224685039370655</v>
          </cell>
          <cell r="F1081">
            <v>140.97610236220498</v>
          </cell>
          <cell r="G1081">
            <v>38.023346456692735</v>
          </cell>
          <cell r="H1081">
            <v>38.023346456692735</v>
          </cell>
          <cell r="I1081" t="e">
            <v>#N/A</v>
          </cell>
          <cell r="J1081" t="e">
            <v>#N/A</v>
          </cell>
          <cell r="K1081">
            <v>105</v>
          </cell>
          <cell r="L1081">
            <v>55</v>
          </cell>
          <cell r="M1081" t="e">
            <v>#N/A</v>
          </cell>
          <cell r="N1081">
            <v>90</v>
          </cell>
          <cell r="O1081" t="e">
            <v>#N/A</v>
          </cell>
          <cell r="P1081" t="str">
            <v/>
          </cell>
          <cell r="Q1081" t="str">
            <v/>
          </cell>
          <cell r="R1081">
            <v>90</v>
          </cell>
        </row>
        <row r="1082">
          <cell r="A1082" t="str">
            <v/>
          </cell>
          <cell r="B1082" t="str">
            <v/>
          </cell>
          <cell r="C1082" t="str">
            <v>Future</v>
          </cell>
          <cell r="D1082" t="e">
            <v>#N/A</v>
          </cell>
          <cell r="E1082">
            <v>-75.504330708661996</v>
          </cell>
          <cell r="F1082">
            <v>141.10984251968529</v>
          </cell>
          <cell r="G1082">
            <v>37.960236220472261</v>
          </cell>
          <cell r="H1082">
            <v>37.960236220472261</v>
          </cell>
          <cell r="I1082" t="e">
            <v>#N/A</v>
          </cell>
          <cell r="J1082" t="e">
            <v>#N/A</v>
          </cell>
          <cell r="K1082">
            <v>105</v>
          </cell>
          <cell r="L1082">
            <v>55</v>
          </cell>
          <cell r="M1082" t="e">
            <v>#N/A</v>
          </cell>
          <cell r="N1082">
            <v>90</v>
          </cell>
          <cell r="O1082" t="e">
            <v>#N/A</v>
          </cell>
          <cell r="P1082" t="str">
            <v/>
          </cell>
          <cell r="Q1082" t="str">
            <v/>
          </cell>
          <cell r="R1082">
            <v>90</v>
          </cell>
        </row>
        <row r="1083">
          <cell r="A1083" t="str">
            <v/>
          </cell>
          <cell r="B1083" t="str">
            <v/>
          </cell>
          <cell r="C1083" t="str">
            <v>Future</v>
          </cell>
          <cell r="D1083" t="e">
            <v>#N/A</v>
          </cell>
          <cell r="E1083">
            <v>-75.783976377953337</v>
          </cell>
          <cell r="F1083">
            <v>141.24358267716559</v>
          </cell>
          <cell r="G1083">
            <v>37.897125984251787</v>
          </cell>
          <cell r="H1083">
            <v>37.897125984251787</v>
          </cell>
          <cell r="I1083" t="e">
            <v>#N/A</v>
          </cell>
          <cell r="J1083" t="e">
            <v>#N/A</v>
          </cell>
          <cell r="K1083">
            <v>105</v>
          </cell>
          <cell r="L1083">
            <v>55</v>
          </cell>
          <cell r="M1083" t="e">
            <v>#N/A</v>
          </cell>
          <cell r="N1083">
            <v>90</v>
          </cell>
          <cell r="O1083" t="e">
            <v>#N/A</v>
          </cell>
          <cell r="P1083" t="str">
            <v/>
          </cell>
          <cell r="Q1083" t="str">
            <v/>
          </cell>
          <cell r="R1083">
            <v>90</v>
          </cell>
        </row>
        <row r="1084">
          <cell r="A1084" t="str">
            <v/>
          </cell>
          <cell r="B1084" t="str">
            <v/>
          </cell>
          <cell r="C1084" t="str">
            <v>Future</v>
          </cell>
          <cell r="D1084" t="e">
            <v>#N/A</v>
          </cell>
          <cell r="E1084">
            <v>-76.063622047244678</v>
          </cell>
          <cell r="F1084">
            <v>141.37732283464589</v>
          </cell>
          <cell r="G1084">
            <v>37.834015748031312</v>
          </cell>
          <cell r="H1084">
            <v>37.834015748031312</v>
          </cell>
          <cell r="I1084" t="e">
            <v>#N/A</v>
          </cell>
          <cell r="J1084" t="e">
            <v>#N/A</v>
          </cell>
          <cell r="K1084">
            <v>105</v>
          </cell>
          <cell r="L1084">
            <v>55</v>
          </cell>
          <cell r="M1084" t="e">
            <v>#N/A</v>
          </cell>
          <cell r="N1084">
            <v>90</v>
          </cell>
          <cell r="O1084" t="e">
            <v>#N/A</v>
          </cell>
          <cell r="P1084" t="str">
            <v/>
          </cell>
          <cell r="Q1084" t="str">
            <v/>
          </cell>
          <cell r="R1084">
            <v>90</v>
          </cell>
        </row>
        <row r="1085">
          <cell r="A1085" t="str">
            <v/>
          </cell>
          <cell r="B1085" t="str">
            <v/>
          </cell>
          <cell r="C1085" t="str">
            <v>Future</v>
          </cell>
          <cell r="D1085" t="e">
            <v>#N/A</v>
          </cell>
          <cell r="E1085">
            <v>-76.343267716536019</v>
          </cell>
          <cell r="F1085">
            <v>141.5110629921262</v>
          </cell>
          <cell r="G1085">
            <v>37.770905511810838</v>
          </cell>
          <cell r="H1085">
            <v>37.770905511810838</v>
          </cell>
          <cell r="I1085" t="e">
            <v>#N/A</v>
          </cell>
          <cell r="J1085" t="e">
            <v>#N/A</v>
          </cell>
          <cell r="K1085">
            <v>105</v>
          </cell>
          <cell r="L1085">
            <v>55</v>
          </cell>
          <cell r="M1085" t="e">
            <v>#N/A</v>
          </cell>
          <cell r="N1085">
            <v>90</v>
          </cell>
          <cell r="O1085" t="e">
            <v>#N/A</v>
          </cell>
          <cell r="P1085" t="str">
            <v/>
          </cell>
          <cell r="Q1085" t="str">
            <v/>
          </cell>
          <cell r="R1085">
            <v>90</v>
          </cell>
        </row>
        <row r="1086">
          <cell r="A1086" t="str">
            <v/>
          </cell>
          <cell r="B1086" t="str">
            <v/>
          </cell>
          <cell r="C1086" t="str">
            <v>Future</v>
          </cell>
          <cell r="D1086" t="e">
            <v>#N/A</v>
          </cell>
          <cell r="E1086">
            <v>-76.62291338582736</v>
          </cell>
          <cell r="F1086">
            <v>141.6448031496065</v>
          </cell>
          <cell r="G1086">
            <v>37.707795275590364</v>
          </cell>
          <cell r="H1086">
            <v>37.707795275590364</v>
          </cell>
          <cell r="I1086" t="e">
            <v>#N/A</v>
          </cell>
          <cell r="J1086" t="e">
            <v>#N/A</v>
          </cell>
          <cell r="K1086">
            <v>105</v>
          </cell>
          <cell r="L1086">
            <v>55</v>
          </cell>
          <cell r="M1086" t="e">
            <v>#N/A</v>
          </cell>
          <cell r="N1086">
            <v>90</v>
          </cell>
          <cell r="O1086" t="e">
            <v>#N/A</v>
          </cell>
          <cell r="P1086" t="str">
            <v/>
          </cell>
          <cell r="Q1086" t="str">
            <v/>
          </cell>
          <cell r="R1086">
            <v>90</v>
          </cell>
        </row>
        <row r="1087">
          <cell r="A1087" t="str">
            <v/>
          </cell>
          <cell r="B1087" t="str">
            <v/>
          </cell>
          <cell r="C1087" t="str">
            <v>Future</v>
          </cell>
          <cell r="D1087" t="e">
            <v>#N/A</v>
          </cell>
          <cell r="E1087">
            <v>-76.902559055118701</v>
          </cell>
          <cell r="F1087">
            <v>141.77854330708681</v>
          </cell>
          <cell r="G1087">
            <v>37.64468503936989</v>
          </cell>
          <cell r="H1087">
            <v>37.64468503936989</v>
          </cell>
          <cell r="I1087" t="e">
            <v>#N/A</v>
          </cell>
          <cell r="J1087" t="e">
            <v>#N/A</v>
          </cell>
          <cell r="K1087">
            <v>105</v>
          </cell>
          <cell r="L1087">
            <v>55</v>
          </cell>
          <cell r="M1087" t="e">
            <v>#N/A</v>
          </cell>
          <cell r="N1087">
            <v>90</v>
          </cell>
          <cell r="O1087" t="e">
            <v>#N/A</v>
          </cell>
          <cell r="P1087" t="str">
            <v/>
          </cell>
          <cell r="Q1087" t="str">
            <v/>
          </cell>
          <cell r="R1087">
            <v>90</v>
          </cell>
        </row>
        <row r="1088">
          <cell r="A1088" t="str">
            <v/>
          </cell>
          <cell r="B1088" t="str">
            <v/>
          </cell>
          <cell r="C1088" t="str">
            <v>Future</v>
          </cell>
          <cell r="D1088" t="e">
            <v>#N/A</v>
          </cell>
          <cell r="E1088">
            <v>-77.182204724410042</v>
          </cell>
          <cell r="F1088">
            <v>141.91228346456711</v>
          </cell>
          <cell r="G1088">
            <v>37.581574803149415</v>
          </cell>
          <cell r="H1088">
            <v>37.581574803149415</v>
          </cell>
          <cell r="I1088" t="e">
            <v>#N/A</v>
          </cell>
          <cell r="J1088" t="e">
            <v>#N/A</v>
          </cell>
          <cell r="K1088">
            <v>105</v>
          </cell>
          <cell r="L1088">
            <v>55</v>
          </cell>
          <cell r="M1088" t="e">
            <v>#N/A</v>
          </cell>
          <cell r="N1088">
            <v>90</v>
          </cell>
          <cell r="O1088" t="e">
            <v>#N/A</v>
          </cell>
          <cell r="P1088" t="str">
            <v/>
          </cell>
          <cell r="Q1088" t="str">
            <v/>
          </cell>
          <cell r="R1088">
            <v>90</v>
          </cell>
        </row>
        <row r="1089">
          <cell r="A1089" t="str">
            <v/>
          </cell>
          <cell r="B1089" t="str">
            <v/>
          </cell>
          <cell r="C1089" t="str">
            <v>Future</v>
          </cell>
          <cell r="D1089" t="e">
            <v>#N/A</v>
          </cell>
          <cell r="E1089">
            <v>-77.461850393701383</v>
          </cell>
          <cell r="F1089">
            <v>142.04602362204741</v>
          </cell>
          <cell r="G1089">
            <v>37.518464566928941</v>
          </cell>
          <cell r="H1089">
            <v>37.518464566928941</v>
          </cell>
          <cell r="I1089" t="e">
            <v>#N/A</v>
          </cell>
          <cell r="J1089" t="e">
            <v>#N/A</v>
          </cell>
          <cell r="K1089">
            <v>105</v>
          </cell>
          <cell r="L1089">
            <v>55</v>
          </cell>
          <cell r="M1089" t="e">
            <v>#N/A</v>
          </cell>
          <cell r="N1089">
            <v>90</v>
          </cell>
          <cell r="O1089" t="e">
            <v>#N/A</v>
          </cell>
          <cell r="P1089" t="str">
            <v/>
          </cell>
          <cell r="Q1089" t="str">
            <v/>
          </cell>
          <cell r="R1089">
            <v>90</v>
          </cell>
        </row>
        <row r="1090">
          <cell r="A1090" t="str">
            <v/>
          </cell>
          <cell r="B1090" t="str">
            <v/>
          </cell>
          <cell r="C1090" t="str">
            <v>Future</v>
          </cell>
          <cell r="D1090" t="e">
            <v>#N/A</v>
          </cell>
          <cell r="E1090">
            <v>-77.741496062992724</v>
          </cell>
          <cell r="F1090">
            <v>142.17976377952772</v>
          </cell>
          <cell r="G1090">
            <v>37.455354330708467</v>
          </cell>
          <cell r="H1090">
            <v>37.455354330708467</v>
          </cell>
          <cell r="I1090" t="e">
            <v>#N/A</v>
          </cell>
          <cell r="J1090" t="e">
            <v>#N/A</v>
          </cell>
          <cell r="K1090">
            <v>105</v>
          </cell>
          <cell r="L1090">
            <v>55</v>
          </cell>
          <cell r="M1090" t="e">
            <v>#N/A</v>
          </cell>
          <cell r="N1090">
            <v>90</v>
          </cell>
          <cell r="O1090" t="e">
            <v>#N/A</v>
          </cell>
          <cell r="P1090" t="str">
            <v/>
          </cell>
          <cell r="Q1090" t="str">
            <v/>
          </cell>
          <cell r="R1090">
            <v>90</v>
          </cell>
        </row>
        <row r="1091">
          <cell r="A1091" t="str">
            <v/>
          </cell>
          <cell r="B1091" t="str">
            <v/>
          </cell>
          <cell r="C1091" t="str">
            <v>Future</v>
          </cell>
          <cell r="D1091" t="e">
            <v>#N/A</v>
          </cell>
          <cell r="E1091">
            <v>-78.021141732284065</v>
          </cell>
          <cell r="F1091">
            <v>142.31350393700802</v>
          </cell>
          <cell r="G1091">
            <v>37.392244094487992</v>
          </cell>
          <cell r="H1091">
            <v>37.392244094487992</v>
          </cell>
          <cell r="I1091" t="e">
            <v>#N/A</v>
          </cell>
          <cell r="J1091" t="e">
            <v>#N/A</v>
          </cell>
          <cell r="K1091">
            <v>105</v>
          </cell>
          <cell r="L1091">
            <v>55</v>
          </cell>
          <cell r="M1091" t="e">
            <v>#N/A</v>
          </cell>
          <cell r="N1091">
            <v>90</v>
          </cell>
          <cell r="O1091" t="e">
            <v>#N/A</v>
          </cell>
          <cell r="P1091" t="str">
            <v/>
          </cell>
          <cell r="Q1091" t="str">
            <v/>
          </cell>
          <cell r="R1091">
            <v>90</v>
          </cell>
        </row>
        <row r="1092">
          <cell r="A1092" t="str">
            <v/>
          </cell>
          <cell r="B1092" t="str">
            <v/>
          </cell>
          <cell r="C1092" t="str">
            <v>Future</v>
          </cell>
          <cell r="D1092" t="e">
            <v>#N/A</v>
          </cell>
          <cell r="E1092">
            <v>-78.300787401575406</v>
          </cell>
          <cell r="F1092">
            <v>142.44724409448833</v>
          </cell>
          <cell r="G1092">
            <v>37.329133858267518</v>
          </cell>
          <cell r="H1092">
            <v>37.329133858267518</v>
          </cell>
          <cell r="I1092" t="e">
            <v>#N/A</v>
          </cell>
          <cell r="J1092" t="e">
            <v>#N/A</v>
          </cell>
          <cell r="K1092">
            <v>105</v>
          </cell>
          <cell r="L1092">
            <v>55</v>
          </cell>
          <cell r="M1092" t="e">
            <v>#N/A</v>
          </cell>
          <cell r="N1092">
            <v>90</v>
          </cell>
          <cell r="O1092" t="e">
            <v>#N/A</v>
          </cell>
          <cell r="P1092" t="str">
            <v/>
          </cell>
          <cell r="Q1092" t="str">
            <v/>
          </cell>
          <cell r="R1092">
            <v>90</v>
          </cell>
        </row>
        <row r="1093">
          <cell r="A1093" t="str">
            <v/>
          </cell>
          <cell r="B1093" t="str">
            <v/>
          </cell>
          <cell r="C1093" t="str">
            <v>Future</v>
          </cell>
          <cell r="D1093" t="e">
            <v>#N/A</v>
          </cell>
          <cell r="E1093">
            <v>-78.580433070866746</v>
          </cell>
          <cell r="F1093">
            <v>142.58098425196863</v>
          </cell>
          <cell r="G1093">
            <v>37.266023622047044</v>
          </cell>
          <cell r="H1093">
            <v>37.266023622047044</v>
          </cell>
          <cell r="I1093" t="e">
            <v>#N/A</v>
          </cell>
          <cell r="J1093" t="e">
            <v>#N/A</v>
          </cell>
          <cell r="K1093">
            <v>105</v>
          </cell>
          <cell r="L1093">
            <v>55</v>
          </cell>
          <cell r="M1093" t="e">
            <v>#N/A</v>
          </cell>
          <cell r="N1093">
            <v>90</v>
          </cell>
          <cell r="O1093" t="e">
            <v>#N/A</v>
          </cell>
          <cell r="P1093" t="str">
            <v/>
          </cell>
          <cell r="Q1093" t="str">
            <v/>
          </cell>
          <cell r="R1093">
            <v>90</v>
          </cell>
        </row>
        <row r="1094">
          <cell r="A1094" t="str">
            <v/>
          </cell>
          <cell r="B1094" t="str">
            <v/>
          </cell>
          <cell r="C1094" t="str">
            <v>Future</v>
          </cell>
          <cell r="D1094" t="e">
            <v>#N/A</v>
          </cell>
          <cell r="E1094">
            <v>-78.860078740158087</v>
          </cell>
          <cell r="F1094">
            <v>142.71472440944893</v>
          </cell>
          <cell r="G1094">
            <v>37.202913385826569</v>
          </cell>
          <cell r="H1094">
            <v>37.202913385826569</v>
          </cell>
          <cell r="I1094" t="e">
            <v>#N/A</v>
          </cell>
          <cell r="J1094" t="e">
            <v>#N/A</v>
          </cell>
          <cell r="K1094">
            <v>105</v>
          </cell>
          <cell r="L1094">
            <v>55</v>
          </cell>
          <cell r="M1094" t="e">
            <v>#N/A</v>
          </cell>
          <cell r="N1094">
            <v>90</v>
          </cell>
          <cell r="O1094" t="e">
            <v>#N/A</v>
          </cell>
          <cell r="P1094" t="str">
            <v/>
          </cell>
          <cell r="Q1094" t="str">
            <v/>
          </cell>
          <cell r="R1094">
            <v>90</v>
          </cell>
        </row>
        <row r="1095">
          <cell r="A1095" t="str">
            <v/>
          </cell>
          <cell r="B1095" t="str">
            <v/>
          </cell>
          <cell r="C1095" t="str">
            <v>Future</v>
          </cell>
          <cell r="D1095" t="e">
            <v>#N/A</v>
          </cell>
          <cell r="E1095">
            <v>-79.139724409449428</v>
          </cell>
          <cell r="F1095">
            <v>142.84846456692924</v>
          </cell>
          <cell r="G1095">
            <v>37.139803149606095</v>
          </cell>
          <cell r="H1095">
            <v>37.139803149606095</v>
          </cell>
          <cell r="I1095" t="e">
            <v>#N/A</v>
          </cell>
          <cell r="J1095" t="e">
            <v>#N/A</v>
          </cell>
          <cell r="K1095">
            <v>105</v>
          </cell>
          <cell r="L1095">
            <v>55</v>
          </cell>
          <cell r="M1095" t="e">
            <v>#N/A</v>
          </cell>
          <cell r="N1095">
            <v>90</v>
          </cell>
          <cell r="O1095" t="e">
            <v>#N/A</v>
          </cell>
          <cell r="P1095" t="str">
            <v/>
          </cell>
          <cell r="Q1095" t="str">
            <v/>
          </cell>
          <cell r="R1095">
            <v>90</v>
          </cell>
        </row>
        <row r="1096">
          <cell r="A1096" t="str">
            <v/>
          </cell>
          <cell r="B1096" t="str">
            <v/>
          </cell>
          <cell r="C1096" t="str">
            <v>Future</v>
          </cell>
          <cell r="D1096" t="e">
            <v>#N/A</v>
          </cell>
          <cell r="E1096">
            <v>-79.419370078740769</v>
          </cell>
          <cell r="F1096">
            <v>142.98220472440954</v>
          </cell>
          <cell r="G1096">
            <v>37.076692913385621</v>
          </cell>
          <cell r="H1096">
            <v>37.076692913385621</v>
          </cell>
          <cell r="I1096" t="e">
            <v>#N/A</v>
          </cell>
          <cell r="J1096" t="e">
            <v>#N/A</v>
          </cell>
          <cell r="K1096">
            <v>105</v>
          </cell>
          <cell r="L1096">
            <v>55</v>
          </cell>
          <cell r="M1096" t="e">
            <v>#N/A</v>
          </cell>
          <cell r="N1096">
            <v>90</v>
          </cell>
          <cell r="O1096" t="e">
            <v>#N/A</v>
          </cell>
          <cell r="P1096" t="str">
            <v/>
          </cell>
          <cell r="Q1096" t="str">
            <v/>
          </cell>
          <cell r="R1096">
            <v>90</v>
          </cell>
        </row>
        <row r="1097">
          <cell r="A1097" t="str">
            <v/>
          </cell>
          <cell r="B1097" t="str">
            <v/>
          </cell>
          <cell r="C1097" t="str">
            <v>Future</v>
          </cell>
          <cell r="D1097" t="e">
            <v>#N/A</v>
          </cell>
          <cell r="E1097">
            <v>-79.69901574803211</v>
          </cell>
          <cell r="F1097">
            <v>143.11594488188985</v>
          </cell>
          <cell r="G1097">
            <v>37.013582677165147</v>
          </cell>
          <cell r="H1097">
            <v>37.013582677165147</v>
          </cell>
          <cell r="I1097" t="e">
            <v>#N/A</v>
          </cell>
          <cell r="J1097" t="e">
            <v>#N/A</v>
          </cell>
          <cell r="K1097">
            <v>105</v>
          </cell>
          <cell r="L1097">
            <v>55</v>
          </cell>
          <cell r="M1097" t="e">
            <v>#N/A</v>
          </cell>
          <cell r="N1097">
            <v>90</v>
          </cell>
          <cell r="O1097" t="e">
            <v>#N/A</v>
          </cell>
          <cell r="P1097" t="str">
            <v/>
          </cell>
          <cell r="Q1097" t="str">
            <v/>
          </cell>
          <cell r="R1097">
            <v>90</v>
          </cell>
        </row>
        <row r="1098">
          <cell r="A1098" t="str">
            <v/>
          </cell>
          <cell r="B1098" t="str">
            <v/>
          </cell>
          <cell r="C1098" t="str">
            <v>Future</v>
          </cell>
          <cell r="D1098" t="e">
            <v>#N/A</v>
          </cell>
          <cell r="E1098">
            <v>-79.978661417323451</v>
          </cell>
          <cell r="F1098">
            <v>143.24968503937015</v>
          </cell>
          <cell r="G1098">
            <v>36.950472440944672</v>
          </cell>
          <cell r="H1098">
            <v>36.950472440944672</v>
          </cell>
          <cell r="I1098" t="e">
            <v>#N/A</v>
          </cell>
          <cell r="J1098" t="e">
            <v>#N/A</v>
          </cell>
          <cell r="K1098">
            <v>105</v>
          </cell>
          <cell r="L1098">
            <v>55</v>
          </cell>
          <cell r="M1098" t="e">
            <v>#N/A</v>
          </cell>
          <cell r="N1098">
            <v>90</v>
          </cell>
          <cell r="O1098" t="e">
            <v>#N/A</v>
          </cell>
          <cell r="P1098" t="str">
            <v/>
          </cell>
          <cell r="Q1098" t="str">
            <v/>
          </cell>
          <cell r="R1098">
            <v>90</v>
          </cell>
        </row>
        <row r="1099">
          <cell r="A1099" t="str">
            <v/>
          </cell>
          <cell r="B1099" t="str">
            <v/>
          </cell>
          <cell r="C1099" t="str">
            <v>Future</v>
          </cell>
          <cell r="D1099" t="e">
            <v>#N/A</v>
          </cell>
          <cell r="E1099">
            <v>-80.258307086614792</v>
          </cell>
          <cell r="F1099">
            <v>143.38342519685045</v>
          </cell>
          <cell r="G1099">
            <v>36.887362204724198</v>
          </cell>
          <cell r="H1099">
            <v>36.887362204724198</v>
          </cell>
          <cell r="I1099" t="e">
            <v>#N/A</v>
          </cell>
          <cell r="J1099" t="e">
            <v>#N/A</v>
          </cell>
          <cell r="K1099">
            <v>105</v>
          </cell>
          <cell r="L1099">
            <v>55</v>
          </cell>
          <cell r="M1099" t="e">
            <v>#N/A</v>
          </cell>
          <cell r="N1099">
            <v>90</v>
          </cell>
          <cell r="O1099" t="e">
            <v>#N/A</v>
          </cell>
          <cell r="P1099" t="str">
            <v/>
          </cell>
          <cell r="Q1099" t="str">
            <v/>
          </cell>
          <cell r="R1099">
            <v>90</v>
          </cell>
        </row>
        <row r="1100">
          <cell r="A1100" t="str">
            <v/>
          </cell>
          <cell r="B1100" t="str">
            <v/>
          </cell>
          <cell r="C1100" t="str">
            <v>Future</v>
          </cell>
          <cell r="D1100" t="e">
            <v>#N/A</v>
          </cell>
          <cell r="E1100">
            <v>-80.537952755906133</v>
          </cell>
          <cell r="F1100">
            <v>143.51716535433076</v>
          </cell>
          <cell r="G1100">
            <v>36.824251968503724</v>
          </cell>
          <cell r="H1100">
            <v>36.824251968503724</v>
          </cell>
          <cell r="I1100" t="e">
            <v>#N/A</v>
          </cell>
          <cell r="J1100" t="e">
            <v>#N/A</v>
          </cell>
          <cell r="K1100">
            <v>105</v>
          </cell>
          <cell r="L1100">
            <v>55</v>
          </cell>
          <cell r="M1100" t="e">
            <v>#N/A</v>
          </cell>
          <cell r="N1100">
            <v>90</v>
          </cell>
          <cell r="O1100" t="e">
            <v>#N/A</v>
          </cell>
          <cell r="P1100" t="str">
            <v/>
          </cell>
          <cell r="Q1100" t="str">
            <v/>
          </cell>
          <cell r="R1100">
            <v>90</v>
          </cell>
        </row>
        <row r="1101">
          <cell r="A1101" t="str">
            <v/>
          </cell>
          <cell r="B1101" t="str">
            <v/>
          </cell>
          <cell r="C1101" t="str">
            <v>Future</v>
          </cell>
          <cell r="D1101" t="e">
            <v>#N/A</v>
          </cell>
          <cell r="E1101">
            <v>-80.817598425197474</v>
          </cell>
          <cell r="F1101">
            <v>143.65090551181106</v>
          </cell>
          <cell r="G1101">
            <v>36.761141732283249</v>
          </cell>
          <cell r="H1101">
            <v>36.761141732283249</v>
          </cell>
          <cell r="I1101" t="e">
            <v>#N/A</v>
          </cell>
          <cell r="J1101" t="e">
            <v>#N/A</v>
          </cell>
          <cell r="K1101">
            <v>105</v>
          </cell>
          <cell r="L1101">
            <v>55</v>
          </cell>
          <cell r="M1101" t="e">
            <v>#N/A</v>
          </cell>
          <cell r="N1101">
            <v>90</v>
          </cell>
          <cell r="O1101" t="e">
            <v>#N/A</v>
          </cell>
          <cell r="P1101" t="str">
            <v/>
          </cell>
          <cell r="Q1101" t="str">
            <v/>
          </cell>
          <cell r="R1101">
            <v>90</v>
          </cell>
        </row>
        <row r="1102">
          <cell r="A1102" t="str">
            <v/>
          </cell>
          <cell r="B1102" t="str">
            <v/>
          </cell>
          <cell r="C1102" t="str">
            <v>Future</v>
          </cell>
          <cell r="D1102" t="e">
            <v>#N/A</v>
          </cell>
          <cell r="E1102">
            <v>-81.097244094488815</v>
          </cell>
          <cell r="F1102">
            <v>143.78464566929136</v>
          </cell>
          <cell r="G1102">
            <v>36.698031496062775</v>
          </cell>
          <cell r="H1102">
            <v>36.698031496062775</v>
          </cell>
          <cell r="I1102" t="e">
            <v>#N/A</v>
          </cell>
          <cell r="J1102" t="e">
            <v>#N/A</v>
          </cell>
          <cell r="K1102">
            <v>105</v>
          </cell>
          <cell r="L1102">
            <v>55</v>
          </cell>
          <cell r="M1102" t="e">
            <v>#N/A</v>
          </cell>
          <cell r="N1102">
            <v>90</v>
          </cell>
          <cell r="O1102" t="e">
            <v>#N/A</v>
          </cell>
          <cell r="P1102" t="str">
            <v/>
          </cell>
          <cell r="Q1102" t="str">
            <v/>
          </cell>
          <cell r="R1102">
            <v>90</v>
          </cell>
        </row>
        <row r="1103">
          <cell r="A1103" t="str">
            <v/>
          </cell>
          <cell r="B1103" t="str">
            <v/>
          </cell>
          <cell r="C1103" t="str">
            <v>Future</v>
          </cell>
          <cell r="D1103" t="e">
            <v>#N/A</v>
          </cell>
          <cell r="E1103">
            <v>-81.376889763780156</v>
          </cell>
          <cell r="F1103">
            <v>143.91838582677167</v>
          </cell>
          <cell r="G1103">
            <v>36.634921259842301</v>
          </cell>
          <cell r="H1103">
            <v>36.634921259842301</v>
          </cell>
          <cell r="I1103" t="e">
            <v>#N/A</v>
          </cell>
          <cell r="J1103" t="e">
            <v>#N/A</v>
          </cell>
          <cell r="K1103">
            <v>105</v>
          </cell>
          <cell r="L1103">
            <v>55</v>
          </cell>
          <cell r="M1103" t="e">
            <v>#N/A</v>
          </cell>
          <cell r="N1103">
            <v>90</v>
          </cell>
          <cell r="O1103" t="e">
            <v>#N/A</v>
          </cell>
          <cell r="P1103" t="str">
            <v/>
          </cell>
          <cell r="Q1103" t="str">
            <v/>
          </cell>
          <cell r="R1103">
            <v>90</v>
          </cell>
        </row>
        <row r="1104">
          <cell r="A1104" t="str">
            <v/>
          </cell>
          <cell r="B1104" t="str">
            <v/>
          </cell>
          <cell r="C1104" t="str">
            <v>Future</v>
          </cell>
          <cell r="D1104" t="e">
            <v>#N/A</v>
          </cell>
          <cell r="E1104">
            <v>-81.656535433071497</v>
          </cell>
          <cell r="F1104">
            <v>144.05212598425197</v>
          </cell>
          <cell r="G1104">
            <v>36.571811023621827</v>
          </cell>
          <cell r="H1104">
            <v>36.571811023621827</v>
          </cell>
          <cell r="I1104" t="e">
            <v>#N/A</v>
          </cell>
          <cell r="J1104" t="e">
            <v>#N/A</v>
          </cell>
          <cell r="K1104">
            <v>105</v>
          </cell>
          <cell r="L1104">
            <v>55</v>
          </cell>
          <cell r="M1104" t="e">
            <v>#N/A</v>
          </cell>
          <cell r="N1104">
            <v>90</v>
          </cell>
          <cell r="O1104" t="e">
            <v>#N/A</v>
          </cell>
          <cell r="P1104" t="str">
            <v/>
          </cell>
          <cell r="Q1104" t="str">
            <v/>
          </cell>
          <cell r="R1104">
            <v>90</v>
          </cell>
        </row>
        <row r="1105">
          <cell r="A1105" t="str">
            <v/>
          </cell>
          <cell r="B1105" t="str">
            <v/>
          </cell>
          <cell r="C1105" t="str">
            <v>Future</v>
          </cell>
          <cell r="D1105" t="e">
            <v>#N/A</v>
          </cell>
          <cell r="E1105">
            <v>-81.936181102362838</v>
          </cell>
          <cell r="F1105">
            <v>144.18586614173228</v>
          </cell>
          <cell r="G1105">
            <v>36.508700787401352</v>
          </cell>
          <cell r="H1105">
            <v>36.508700787401352</v>
          </cell>
          <cell r="I1105" t="e">
            <v>#N/A</v>
          </cell>
          <cell r="J1105" t="e">
            <v>#N/A</v>
          </cell>
          <cell r="K1105">
            <v>105</v>
          </cell>
          <cell r="L1105">
            <v>55</v>
          </cell>
          <cell r="M1105" t="e">
            <v>#N/A</v>
          </cell>
          <cell r="N1105">
            <v>90</v>
          </cell>
          <cell r="O1105" t="e">
            <v>#N/A</v>
          </cell>
          <cell r="P1105" t="str">
            <v/>
          </cell>
          <cell r="Q1105" t="str">
            <v/>
          </cell>
          <cell r="R1105">
            <v>90</v>
          </cell>
        </row>
        <row r="1106">
          <cell r="A1106" t="str">
            <v/>
          </cell>
          <cell r="B1106" t="str">
            <v/>
          </cell>
          <cell r="C1106" t="str">
            <v>Future</v>
          </cell>
          <cell r="D1106" t="e">
            <v>#N/A</v>
          </cell>
          <cell r="E1106">
            <v>-82.215826771654179</v>
          </cell>
          <cell r="F1106">
            <v>144.31960629921258</v>
          </cell>
          <cell r="G1106">
            <v>36.445590551180878</v>
          </cell>
          <cell r="H1106">
            <v>36.445590551180878</v>
          </cell>
          <cell r="I1106" t="e">
            <v>#N/A</v>
          </cell>
          <cell r="J1106" t="e">
            <v>#N/A</v>
          </cell>
          <cell r="K1106">
            <v>105</v>
          </cell>
          <cell r="L1106">
            <v>55</v>
          </cell>
          <cell r="M1106" t="e">
            <v>#N/A</v>
          </cell>
          <cell r="N1106">
            <v>90</v>
          </cell>
          <cell r="O1106" t="e">
            <v>#N/A</v>
          </cell>
          <cell r="P1106" t="str">
            <v/>
          </cell>
          <cell r="Q1106" t="str">
            <v/>
          </cell>
          <cell r="R1106">
            <v>90</v>
          </cell>
        </row>
        <row r="1107">
          <cell r="A1107" t="str">
            <v/>
          </cell>
          <cell r="B1107" t="str">
            <v/>
          </cell>
          <cell r="C1107" t="str">
            <v>Future</v>
          </cell>
          <cell r="D1107" t="e">
            <v>#N/A</v>
          </cell>
          <cell r="E1107">
            <v>-82.49547244094552</v>
          </cell>
          <cell r="F1107">
            <v>144.45334645669288</v>
          </cell>
          <cell r="G1107">
            <v>36.382480314960404</v>
          </cell>
          <cell r="H1107">
            <v>36.382480314960404</v>
          </cell>
          <cell r="I1107" t="e">
            <v>#N/A</v>
          </cell>
          <cell r="J1107" t="e">
            <v>#N/A</v>
          </cell>
          <cell r="K1107">
            <v>105</v>
          </cell>
          <cell r="L1107">
            <v>55</v>
          </cell>
          <cell r="M1107" t="e">
            <v>#N/A</v>
          </cell>
          <cell r="N1107">
            <v>90</v>
          </cell>
          <cell r="O1107" t="e">
            <v>#N/A</v>
          </cell>
          <cell r="P1107" t="str">
            <v/>
          </cell>
          <cell r="Q1107" t="str">
            <v/>
          </cell>
          <cell r="R1107">
            <v>90</v>
          </cell>
        </row>
        <row r="1108">
          <cell r="A1108" t="str">
            <v/>
          </cell>
          <cell r="B1108" t="str">
            <v/>
          </cell>
          <cell r="C1108" t="str">
            <v>Future</v>
          </cell>
          <cell r="D1108" t="e">
            <v>#N/A</v>
          </cell>
          <cell r="E1108">
            <v>-82.775118110236861</v>
          </cell>
          <cell r="F1108">
            <v>144.58708661417319</v>
          </cell>
          <cell r="G1108">
            <v>36.319370078739929</v>
          </cell>
          <cell r="H1108">
            <v>36.319370078739929</v>
          </cell>
          <cell r="I1108" t="e">
            <v>#N/A</v>
          </cell>
          <cell r="J1108" t="e">
            <v>#N/A</v>
          </cell>
          <cell r="K1108">
            <v>105</v>
          </cell>
          <cell r="L1108">
            <v>55</v>
          </cell>
          <cell r="M1108" t="e">
            <v>#N/A</v>
          </cell>
          <cell r="N1108">
            <v>90</v>
          </cell>
          <cell r="O1108" t="e">
            <v>#N/A</v>
          </cell>
          <cell r="P1108" t="str">
            <v/>
          </cell>
          <cell r="Q1108" t="str">
            <v/>
          </cell>
          <cell r="R1108">
            <v>90</v>
          </cell>
        </row>
        <row r="1109">
          <cell r="A1109" t="str">
            <v/>
          </cell>
          <cell r="B1109" t="str">
            <v/>
          </cell>
          <cell r="C1109" t="str">
            <v>Future</v>
          </cell>
          <cell r="D1109" t="e">
            <v>#N/A</v>
          </cell>
          <cell r="E1109">
            <v>-83.054763779528201</v>
          </cell>
          <cell r="F1109">
            <v>144.72082677165349</v>
          </cell>
          <cell r="G1109">
            <v>36.256259842519455</v>
          </cell>
          <cell r="H1109">
            <v>36.256259842519455</v>
          </cell>
          <cell r="I1109" t="e">
            <v>#N/A</v>
          </cell>
          <cell r="J1109" t="e">
            <v>#N/A</v>
          </cell>
          <cell r="K1109">
            <v>105</v>
          </cell>
          <cell r="L1109">
            <v>55</v>
          </cell>
          <cell r="M1109" t="e">
            <v>#N/A</v>
          </cell>
          <cell r="N1109">
            <v>90</v>
          </cell>
          <cell r="O1109" t="e">
            <v>#N/A</v>
          </cell>
          <cell r="P1109" t="str">
            <v/>
          </cell>
          <cell r="Q1109" t="str">
            <v/>
          </cell>
          <cell r="R1109">
            <v>90</v>
          </cell>
        </row>
        <row r="1110">
          <cell r="A1110" t="str">
            <v/>
          </cell>
          <cell r="B1110" t="str">
            <v/>
          </cell>
          <cell r="C1110" t="str">
            <v>Future</v>
          </cell>
          <cell r="D1110" t="e">
            <v>#N/A</v>
          </cell>
          <cell r="E1110">
            <v>-83.334409448819542</v>
          </cell>
          <cell r="F1110">
            <v>144.8545669291338</v>
          </cell>
          <cell r="G1110">
            <v>36.193149606298981</v>
          </cell>
          <cell r="H1110">
            <v>36.193149606298981</v>
          </cell>
          <cell r="I1110" t="e">
            <v>#N/A</v>
          </cell>
          <cell r="J1110" t="e">
            <v>#N/A</v>
          </cell>
          <cell r="K1110">
            <v>105</v>
          </cell>
          <cell r="L1110">
            <v>55</v>
          </cell>
          <cell r="M1110" t="e">
            <v>#N/A</v>
          </cell>
          <cell r="N1110">
            <v>90</v>
          </cell>
          <cell r="O1110" t="e">
            <v>#N/A</v>
          </cell>
          <cell r="P1110" t="str">
            <v/>
          </cell>
          <cell r="Q1110" t="str">
            <v/>
          </cell>
          <cell r="R1110">
            <v>90</v>
          </cell>
        </row>
        <row r="1111">
          <cell r="A1111" t="str">
            <v/>
          </cell>
          <cell r="B1111" t="str">
            <v/>
          </cell>
          <cell r="C1111" t="str">
            <v>Future</v>
          </cell>
          <cell r="D1111" t="e">
            <v>#N/A</v>
          </cell>
          <cell r="E1111">
            <v>-83.614055118110883</v>
          </cell>
          <cell r="F1111">
            <v>144.9883070866141</v>
          </cell>
          <cell r="G1111">
            <v>36.130039370078507</v>
          </cell>
          <cell r="H1111">
            <v>36.130039370078507</v>
          </cell>
          <cell r="I1111" t="e">
            <v>#N/A</v>
          </cell>
          <cell r="J1111" t="e">
            <v>#N/A</v>
          </cell>
          <cell r="K1111">
            <v>105</v>
          </cell>
          <cell r="L1111">
            <v>55</v>
          </cell>
          <cell r="M1111" t="e">
            <v>#N/A</v>
          </cell>
          <cell r="N1111">
            <v>90</v>
          </cell>
          <cell r="O1111" t="e">
            <v>#N/A</v>
          </cell>
          <cell r="P1111" t="str">
            <v/>
          </cell>
          <cell r="Q1111" t="str">
            <v/>
          </cell>
          <cell r="R1111">
            <v>90</v>
          </cell>
        </row>
        <row r="1112">
          <cell r="A1112" t="str">
            <v/>
          </cell>
          <cell r="B1112" t="str">
            <v/>
          </cell>
          <cell r="C1112" t="str">
            <v>Future</v>
          </cell>
          <cell r="D1112" t="e">
            <v>#N/A</v>
          </cell>
          <cell r="E1112">
            <v>-83.893700787402224</v>
          </cell>
          <cell r="F1112">
            <v>145.1220472440944</v>
          </cell>
          <cell r="G1112">
            <v>36.066929133858032</v>
          </cell>
          <cell r="H1112">
            <v>36.066929133858032</v>
          </cell>
          <cell r="I1112" t="e">
            <v>#N/A</v>
          </cell>
          <cell r="J1112" t="e">
            <v>#N/A</v>
          </cell>
          <cell r="K1112">
            <v>105</v>
          </cell>
          <cell r="L1112">
            <v>55</v>
          </cell>
          <cell r="M1112" t="e">
            <v>#N/A</v>
          </cell>
          <cell r="N1112">
            <v>90</v>
          </cell>
          <cell r="O1112" t="e">
            <v>#N/A</v>
          </cell>
          <cell r="P1112" t="str">
            <v/>
          </cell>
          <cell r="Q1112" t="str">
            <v/>
          </cell>
          <cell r="R1112">
            <v>90</v>
          </cell>
        </row>
        <row r="1113">
          <cell r="A1113" t="str">
            <v/>
          </cell>
          <cell r="B1113" t="str">
            <v/>
          </cell>
          <cell r="C1113" t="str">
            <v>Future</v>
          </cell>
          <cell r="D1113" t="e">
            <v>#N/A</v>
          </cell>
          <cell r="E1113">
            <v>-84.173346456693565</v>
          </cell>
          <cell r="F1113">
            <v>145.25578740157471</v>
          </cell>
          <cell r="G1113">
            <v>36.003818897637558</v>
          </cell>
          <cell r="H1113">
            <v>36.003818897637558</v>
          </cell>
          <cell r="I1113" t="e">
            <v>#N/A</v>
          </cell>
          <cell r="J1113" t="e">
            <v>#N/A</v>
          </cell>
          <cell r="K1113">
            <v>105</v>
          </cell>
          <cell r="L1113">
            <v>55</v>
          </cell>
          <cell r="M1113" t="e">
            <v>#N/A</v>
          </cell>
          <cell r="N1113">
            <v>90</v>
          </cell>
          <cell r="O1113" t="e">
            <v>#N/A</v>
          </cell>
          <cell r="P1113" t="str">
            <v/>
          </cell>
          <cell r="Q1113" t="str">
            <v/>
          </cell>
          <cell r="R1113">
            <v>90</v>
          </cell>
        </row>
        <row r="1114">
          <cell r="A1114" t="str">
            <v/>
          </cell>
          <cell r="B1114" t="str">
            <v/>
          </cell>
          <cell r="C1114" t="str">
            <v>Future</v>
          </cell>
          <cell r="D1114" t="e">
            <v>#N/A</v>
          </cell>
          <cell r="E1114">
            <v>-84.452992125984906</v>
          </cell>
          <cell r="F1114">
            <v>145.38952755905501</v>
          </cell>
          <cell r="G1114">
            <v>35.940708661417084</v>
          </cell>
          <cell r="H1114">
            <v>35.940708661417084</v>
          </cell>
          <cell r="I1114" t="e">
            <v>#N/A</v>
          </cell>
          <cell r="J1114" t="e">
            <v>#N/A</v>
          </cell>
          <cell r="K1114">
            <v>105</v>
          </cell>
          <cell r="L1114">
            <v>55</v>
          </cell>
          <cell r="M1114" t="e">
            <v>#N/A</v>
          </cell>
          <cell r="N1114">
            <v>90</v>
          </cell>
          <cell r="O1114" t="e">
            <v>#N/A</v>
          </cell>
          <cell r="P1114" t="str">
            <v/>
          </cell>
          <cell r="Q1114" t="str">
            <v/>
          </cell>
          <cell r="R1114">
            <v>90</v>
          </cell>
        </row>
        <row r="1115">
          <cell r="A1115" t="str">
            <v/>
          </cell>
          <cell r="B1115" t="str">
            <v/>
          </cell>
          <cell r="C1115" t="str">
            <v>Future</v>
          </cell>
          <cell r="D1115" t="e">
            <v>#N/A</v>
          </cell>
          <cell r="E1115">
            <v>-84.732637795276247</v>
          </cell>
          <cell r="F1115">
            <v>145.52326771653532</v>
          </cell>
          <cell r="G1115">
            <v>35.877598425196609</v>
          </cell>
          <cell r="H1115">
            <v>35.877598425196609</v>
          </cell>
          <cell r="I1115" t="e">
            <v>#N/A</v>
          </cell>
          <cell r="J1115" t="e">
            <v>#N/A</v>
          </cell>
          <cell r="K1115">
            <v>105</v>
          </cell>
          <cell r="L1115">
            <v>55</v>
          </cell>
          <cell r="M1115" t="e">
            <v>#N/A</v>
          </cell>
          <cell r="N1115">
            <v>90</v>
          </cell>
          <cell r="O1115" t="e">
            <v>#N/A</v>
          </cell>
          <cell r="P1115" t="str">
            <v/>
          </cell>
          <cell r="Q1115" t="str">
            <v/>
          </cell>
          <cell r="R1115">
            <v>90</v>
          </cell>
        </row>
        <row r="1116">
          <cell r="A1116" t="str">
            <v/>
          </cell>
          <cell r="B1116" t="str">
            <v/>
          </cell>
          <cell r="C1116" t="str">
            <v>Future</v>
          </cell>
          <cell r="D1116" t="e">
            <v>#N/A</v>
          </cell>
          <cell r="E1116">
            <v>-85.012283464567588</v>
          </cell>
          <cell r="F1116">
            <v>145.65700787401562</v>
          </cell>
          <cell r="G1116">
            <v>35.814488188976135</v>
          </cell>
          <cell r="H1116">
            <v>35.814488188976135</v>
          </cell>
          <cell r="I1116" t="e">
            <v>#N/A</v>
          </cell>
          <cell r="J1116" t="e">
            <v>#N/A</v>
          </cell>
          <cell r="K1116">
            <v>105</v>
          </cell>
          <cell r="L1116">
            <v>55</v>
          </cell>
          <cell r="M1116" t="e">
            <v>#N/A</v>
          </cell>
          <cell r="N1116">
            <v>90</v>
          </cell>
          <cell r="O1116" t="e">
            <v>#N/A</v>
          </cell>
          <cell r="P1116" t="str">
            <v/>
          </cell>
          <cell r="Q1116" t="str">
            <v/>
          </cell>
          <cell r="R1116">
            <v>90</v>
          </cell>
        </row>
        <row r="1117">
          <cell r="A1117" t="str">
            <v/>
          </cell>
          <cell r="B1117" t="str">
            <v/>
          </cell>
          <cell r="C1117" t="str">
            <v>Future</v>
          </cell>
          <cell r="D1117" t="e">
            <v>#N/A</v>
          </cell>
          <cell r="E1117">
            <v>-85.291929133858929</v>
          </cell>
          <cell r="F1117">
            <v>145.79074803149592</v>
          </cell>
          <cell r="G1117">
            <v>35.751377952755661</v>
          </cell>
          <cell r="H1117">
            <v>35.751377952755661</v>
          </cell>
          <cell r="I1117" t="e">
            <v>#N/A</v>
          </cell>
          <cell r="J1117" t="e">
            <v>#N/A</v>
          </cell>
          <cell r="K1117">
            <v>105</v>
          </cell>
          <cell r="L1117">
            <v>55</v>
          </cell>
          <cell r="M1117" t="e">
            <v>#N/A</v>
          </cell>
          <cell r="N1117">
            <v>90</v>
          </cell>
          <cell r="O1117" t="e">
            <v>#N/A</v>
          </cell>
          <cell r="P1117" t="str">
            <v/>
          </cell>
          <cell r="Q1117" t="str">
            <v/>
          </cell>
          <cell r="R1117">
            <v>90</v>
          </cell>
        </row>
        <row r="1118">
          <cell r="A1118" t="str">
            <v/>
          </cell>
          <cell r="B1118" t="str">
            <v/>
          </cell>
          <cell r="C1118" t="str">
            <v>Future</v>
          </cell>
          <cell r="D1118" t="e">
            <v>#N/A</v>
          </cell>
          <cell r="E1118">
            <v>-85.57157480315027</v>
          </cell>
          <cell r="F1118">
            <v>145.92448818897623</v>
          </cell>
          <cell r="G1118">
            <v>35.688267716535186</v>
          </cell>
          <cell r="H1118">
            <v>35.688267716535186</v>
          </cell>
          <cell r="I1118" t="e">
            <v>#N/A</v>
          </cell>
          <cell r="J1118" t="e">
            <v>#N/A</v>
          </cell>
          <cell r="K1118">
            <v>105</v>
          </cell>
          <cell r="L1118">
            <v>55</v>
          </cell>
          <cell r="M1118" t="e">
            <v>#N/A</v>
          </cell>
          <cell r="N1118">
            <v>90</v>
          </cell>
          <cell r="O1118" t="e">
            <v>#N/A</v>
          </cell>
          <cell r="P1118" t="str">
            <v/>
          </cell>
          <cell r="Q1118" t="str">
            <v/>
          </cell>
          <cell r="R1118">
            <v>90</v>
          </cell>
        </row>
        <row r="1119">
          <cell r="A1119" t="str">
            <v/>
          </cell>
          <cell r="B1119" t="str">
            <v/>
          </cell>
          <cell r="C1119" t="str">
            <v>Future</v>
          </cell>
          <cell r="D1119" t="e">
            <v>#N/A</v>
          </cell>
          <cell r="E1119">
            <v>-85.851220472441611</v>
          </cell>
          <cell r="F1119">
            <v>146.05822834645653</v>
          </cell>
          <cell r="G1119">
            <v>35.625157480314712</v>
          </cell>
          <cell r="H1119">
            <v>35.625157480314712</v>
          </cell>
          <cell r="I1119" t="e">
            <v>#N/A</v>
          </cell>
          <cell r="J1119" t="e">
            <v>#N/A</v>
          </cell>
          <cell r="K1119">
            <v>105</v>
          </cell>
          <cell r="L1119">
            <v>55</v>
          </cell>
          <cell r="M1119" t="e">
            <v>#N/A</v>
          </cell>
          <cell r="N1119">
            <v>90</v>
          </cell>
          <cell r="O1119" t="e">
            <v>#N/A</v>
          </cell>
          <cell r="P1119" t="str">
            <v/>
          </cell>
          <cell r="Q1119" t="str">
            <v/>
          </cell>
          <cell r="R1119">
            <v>90</v>
          </cell>
        </row>
        <row r="1120">
          <cell r="A1120" t="str">
            <v/>
          </cell>
          <cell r="B1120" t="str">
            <v/>
          </cell>
          <cell r="C1120" t="str">
            <v>Future</v>
          </cell>
          <cell r="D1120" t="e">
            <v>#N/A</v>
          </cell>
          <cell r="E1120">
            <v>-86.130866141732952</v>
          </cell>
          <cell r="F1120">
            <v>146.19196850393683</v>
          </cell>
          <cell r="G1120">
            <v>35.562047244094238</v>
          </cell>
          <cell r="H1120">
            <v>35.562047244094238</v>
          </cell>
          <cell r="I1120" t="e">
            <v>#N/A</v>
          </cell>
          <cell r="J1120" t="e">
            <v>#N/A</v>
          </cell>
          <cell r="K1120">
            <v>105</v>
          </cell>
          <cell r="L1120">
            <v>55</v>
          </cell>
          <cell r="M1120" t="e">
            <v>#N/A</v>
          </cell>
          <cell r="N1120">
            <v>90</v>
          </cell>
          <cell r="O1120" t="e">
            <v>#N/A</v>
          </cell>
          <cell r="P1120" t="str">
            <v/>
          </cell>
          <cell r="Q1120" t="str">
            <v/>
          </cell>
          <cell r="R1120">
            <v>90</v>
          </cell>
        </row>
        <row r="1121">
          <cell r="A1121" t="str">
            <v/>
          </cell>
          <cell r="B1121" t="str">
            <v/>
          </cell>
          <cell r="C1121" t="str">
            <v>Future</v>
          </cell>
          <cell r="D1121" t="e">
            <v>#N/A</v>
          </cell>
          <cell r="E1121">
            <v>-86.410511811024293</v>
          </cell>
          <cell r="F1121">
            <v>146.32570866141714</v>
          </cell>
          <cell r="G1121">
            <v>35.498937007873764</v>
          </cell>
          <cell r="H1121">
            <v>35.498937007873764</v>
          </cell>
          <cell r="I1121" t="e">
            <v>#N/A</v>
          </cell>
          <cell r="J1121" t="e">
            <v>#N/A</v>
          </cell>
          <cell r="K1121">
            <v>105</v>
          </cell>
          <cell r="L1121">
            <v>55</v>
          </cell>
          <cell r="M1121" t="e">
            <v>#N/A</v>
          </cell>
          <cell r="N1121">
            <v>90</v>
          </cell>
          <cell r="O1121" t="e">
            <v>#N/A</v>
          </cell>
          <cell r="P1121" t="str">
            <v/>
          </cell>
          <cell r="Q1121" t="str">
            <v/>
          </cell>
          <cell r="R1121">
            <v>90</v>
          </cell>
        </row>
        <row r="1122">
          <cell r="A1122" t="str">
            <v/>
          </cell>
          <cell r="B1122" t="str">
            <v/>
          </cell>
          <cell r="C1122" t="str">
            <v>Future</v>
          </cell>
          <cell r="D1122" t="e">
            <v>#N/A</v>
          </cell>
          <cell r="E1122">
            <v>-86.690157480315634</v>
          </cell>
          <cell r="F1122">
            <v>146.45944881889744</v>
          </cell>
          <cell r="G1122">
            <v>35.435826771653289</v>
          </cell>
          <cell r="H1122">
            <v>35.435826771653289</v>
          </cell>
          <cell r="I1122" t="e">
            <v>#N/A</v>
          </cell>
          <cell r="J1122" t="e">
            <v>#N/A</v>
          </cell>
          <cell r="K1122">
            <v>105</v>
          </cell>
          <cell r="L1122">
            <v>55</v>
          </cell>
          <cell r="M1122" t="e">
            <v>#N/A</v>
          </cell>
          <cell r="N1122">
            <v>90</v>
          </cell>
          <cell r="O1122" t="e">
            <v>#N/A</v>
          </cell>
          <cell r="P1122" t="str">
            <v/>
          </cell>
          <cell r="Q1122" t="str">
            <v/>
          </cell>
          <cell r="R1122">
            <v>90</v>
          </cell>
        </row>
        <row r="1123">
          <cell r="A1123" t="str">
            <v/>
          </cell>
          <cell r="B1123" t="str">
            <v/>
          </cell>
          <cell r="C1123" t="str">
            <v>Future</v>
          </cell>
          <cell r="D1123" t="e">
            <v>#N/A</v>
          </cell>
          <cell r="E1123">
            <v>-86.969803149606975</v>
          </cell>
          <cell r="F1123">
            <v>146.59318897637775</v>
          </cell>
          <cell r="G1123">
            <v>35.372716535432815</v>
          </cell>
          <cell r="H1123">
            <v>35.372716535432815</v>
          </cell>
          <cell r="I1123" t="e">
            <v>#N/A</v>
          </cell>
          <cell r="J1123" t="e">
            <v>#N/A</v>
          </cell>
          <cell r="K1123">
            <v>105</v>
          </cell>
          <cell r="L1123">
            <v>55</v>
          </cell>
          <cell r="M1123" t="e">
            <v>#N/A</v>
          </cell>
          <cell r="N1123">
            <v>90</v>
          </cell>
          <cell r="O1123" t="e">
            <v>#N/A</v>
          </cell>
          <cell r="P1123" t="str">
            <v/>
          </cell>
          <cell r="Q1123" t="str">
            <v/>
          </cell>
          <cell r="R1123">
            <v>90</v>
          </cell>
        </row>
        <row r="1124">
          <cell r="A1124" t="str">
            <v/>
          </cell>
          <cell r="B1124" t="str">
            <v/>
          </cell>
          <cell r="C1124" t="str">
            <v>Future</v>
          </cell>
          <cell r="D1124" t="e">
            <v>#N/A</v>
          </cell>
          <cell r="E1124">
            <v>-87.249448818898315</v>
          </cell>
          <cell r="F1124">
            <v>146.72692913385805</v>
          </cell>
          <cell r="G1124">
            <v>35.309606299212341</v>
          </cell>
          <cell r="H1124">
            <v>35.309606299212341</v>
          </cell>
          <cell r="I1124" t="e">
            <v>#N/A</v>
          </cell>
          <cell r="J1124" t="e">
            <v>#N/A</v>
          </cell>
          <cell r="K1124">
            <v>105</v>
          </cell>
          <cell r="L1124">
            <v>55</v>
          </cell>
          <cell r="M1124" t="e">
            <v>#N/A</v>
          </cell>
          <cell r="N1124">
            <v>90</v>
          </cell>
          <cell r="O1124" t="e">
            <v>#N/A</v>
          </cell>
          <cell r="P1124" t="str">
            <v/>
          </cell>
          <cell r="Q1124" t="str">
            <v/>
          </cell>
          <cell r="R1124">
            <v>90</v>
          </cell>
        </row>
        <row r="1125">
          <cell r="A1125" t="str">
            <v/>
          </cell>
          <cell r="B1125" t="str">
            <v/>
          </cell>
          <cell r="C1125" t="str">
            <v>Future</v>
          </cell>
          <cell r="D1125" t="e">
            <v>#N/A</v>
          </cell>
          <cell r="E1125">
            <v>-87.529094488189656</v>
          </cell>
          <cell r="F1125">
            <v>146.86066929133835</v>
          </cell>
          <cell r="G1125">
            <v>35.246496062991866</v>
          </cell>
          <cell r="H1125">
            <v>35.246496062991866</v>
          </cell>
          <cell r="I1125" t="e">
            <v>#N/A</v>
          </cell>
          <cell r="J1125" t="e">
            <v>#N/A</v>
          </cell>
          <cell r="K1125">
            <v>105</v>
          </cell>
          <cell r="L1125">
            <v>55</v>
          </cell>
          <cell r="M1125" t="e">
            <v>#N/A</v>
          </cell>
          <cell r="N1125">
            <v>90</v>
          </cell>
          <cell r="O1125" t="e">
            <v>#N/A</v>
          </cell>
          <cell r="P1125" t="str">
            <v/>
          </cell>
          <cell r="Q1125" t="str">
            <v/>
          </cell>
          <cell r="R1125">
            <v>90</v>
          </cell>
        </row>
        <row r="1126">
          <cell r="A1126" t="str">
            <v/>
          </cell>
          <cell r="B1126" t="str">
            <v/>
          </cell>
          <cell r="C1126" t="str">
            <v>Future</v>
          </cell>
          <cell r="D1126" t="e">
            <v>#N/A</v>
          </cell>
          <cell r="E1126">
            <v>-87.808740157480997</v>
          </cell>
          <cell r="F1126">
            <v>146.99440944881866</v>
          </cell>
          <cell r="G1126">
            <v>35.183385826771392</v>
          </cell>
          <cell r="H1126">
            <v>35.183385826771392</v>
          </cell>
          <cell r="I1126" t="e">
            <v>#N/A</v>
          </cell>
          <cell r="J1126" t="e">
            <v>#N/A</v>
          </cell>
          <cell r="K1126">
            <v>105</v>
          </cell>
          <cell r="L1126">
            <v>55</v>
          </cell>
          <cell r="M1126" t="e">
            <v>#N/A</v>
          </cell>
          <cell r="N1126">
            <v>90</v>
          </cell>
          <cell r="O1126" t="e">
            <v>#N/A</v>
          </cell>
          <cell r="P1126" t="str">
            <v/>
          </cell>
          <cell r="Q1126" t="str">
            <v/>
          </cell>
          <cell r="R1126">
            <v>90</v>
          </cell>
        </row>
        <row r="1127">
          <cell r="A1127" t="str">
            <v/>
          </cell>
          <cell r="B1127" t="str">
            <v/>
          </cell>
          <cell r="C1127" t="str">
            <v>Future</v>
          </cell>
          <cell r="D1127" t="e">
            <v>#N/A</v>
          </cell>
          <cell r="E1127">
            <v>-88.088385826772338</v>
          </cell>
          <cell r="F1127">
            <v>147.12814960629896</v>
          </cell>
          <cell r="G1127">
            <v>35.120275590550918</v>
          </cell>
          <cell r="H1127">
            <v>35.120275590550918</v>
          </cell>
          <cell r="I1127" t="e">
            <v>#N/A</v>
          </cell>
          <cell r="J1127" t="e">
            <v>#N/A</v>
          </cell>
          <cell r="K1127">
            <v>105</v>
          </cell>
          <cell r="L1127">
            <v>55</v>
          </cell>
          <cell r="M1127" t="e">
            <v>#N/A</v>
          </cell>
          <cell r="N1127">
            <v>90</v>
          </cell>
          <cell r="O1127" t="e">
            <v>#N/A</v>
          </cell>
          <cell r="P1127" t="str">
            <v/>
          </cell>
          <cell r="Q1127" t="str">
            <v/>
          </cell>
          <cell r="R1127">
            <v>90</v>
          </cell>
        </row>
        <row r="1128">
          <cell r="A1128" t="str">
            <v/>
          </cell>
          <cell r="B1128" t="str">
            <v/>
          </cell>
          <cell r="C1128" t="str">
            <v>Future</v>
          </cell>
          <cell r="D1128" t="e">
            <v>#N/A</v>
          </cell>
          <cell r="E1128">
            <v>-88.368031496063679</v>
          </cell>
          <cell r="F1128">
            <v>147.26188976377927</v>
          </cell>
          <cell r="G1128">
            <v>35.057165354330444</v>
          </cell>
          <cell r="H1128">
            <v>35.057165354330444</v>
          </cell>
          <cell r="I1128" t="e">
            <v>#N/A</v>
          </cell>
          <cell r="J1128" t="e">
            <v>#N/A</v>
          </cell>
          <cell r="K1128">
            <v>105</v>
          </cell>
          <cell r="L1128">
            <v>55</v>
          </cell>
          <cell r="M1128" t="e">
            <v>#N/A</v>
          </cell>
          <cell r="N1128">
            <v>90</v>
          </cell>
          <cell r="O1128" t="e">
            <v>#N/A</v>
          </cell>
          <cell r="P1128" t="str">
            <v/>
          </cell>
          <cell r="Q1128" t="str">
            <v/>
          </cell>
          <cell r="R1128">
            <v>90</v>
          </cell>
        </row>
        <row r="1129">
          <cell r="A1129" t="str">
            <v/>
          </cell>
          <cell r="B1129" t="str">
            <v/>
          </cell>
          <cell r="C1129" t="str">
            <v>Future</v>
          </cell>
          <cell r="D1129" t="e">
            <v>#N/A</v>
          </cell>
          <cell r="E1129">
            <v>-88.64767716535502</v>
          </cell>
          <cell r="F1129">
            <v>147.39562992125957</v>
          </cell>
          <cell r="G1129">
            <v>34.994055118109969</v>
          </cell>
          <cell r="H1129">
            <v>34.994055118109969</v>
          </cell>
          <cell r="I1129" t="e">
            <v>#N/A</v>
          </cell>
          <cell r="J1129" t="e">
            <v>#N/A</v>
          </cell>
          <cell r="K1129">
            <v>105</v>
          </cell>
          <cell r="L1129">
            <v>55</v>
          </cell>
          <cell r="M1129" t="e">
            <v>#N/A</v>
          </cell>
          <cell r="N1129">
            <v>90</v>
          </cell>
          <cell r="O1129" t="e">
            <v>#N/A</v>
          </cell>
          <cell r="P1129" t="str">
            <v/>
          </cell>
          <cell r="Q1129" t="str">
            <v/>
          </cell>
          <cell r="R1129">
            <v>90</v>
          </cell>
        </row>
        <row r="1130">
          <cell r="A1130" t="str">
            <v/>
          </cell>
          <cell r="B1130" t="str">
            <v/>
          </cell>
          <cell r="C1130" t="str">
            <v>Future</v>
          </cell>
          <cell r="D1130" t="e">
            <v>#N/A</v>
          </cell>
          <cell r="E1130">
            <v>-88.927322834646361</v>
          </cell>
          <cell r="F1130">
            <v>147.52937007873987</v>
          </cell>
          <cell r="G1130">
            <v>34.930944881889495</v>
          </cell>
          <cell r="H1130">
            <v>34.930944881889495</v>
          </cell>
          <cell r="I1130" t="e">
            <v>#N/A</v>
          </cell>
          <cell r="J1130" t="e">
            <v>#N/A</v>
          </cell>
          <cell r="K1130">
            <v>105</v>
          </cell>
          <cell r="L1130">
            <v>55</v>
          </cell>
          <cell r="M1130" t="e">
            <v>#N/A</v>
          </cell>
          <cell r="N1130">
            <v>90</v>
          </cell>
          <cell r="O1130" t="e">
            <v>#N/A</v>
          </cell>
          <cell r="P1130" t="str">
            <v/>
          </cell>
          <cell r="Q1130" t="str">
            <v/>
          </cell>
          <cell r="R1130">
            <v>90</v>
          </cell>
        </row>
        <row r="1131">
          <cell r="A1131" t="str">
            <v/>
          </cell>
          <cell r="B1131" t="str">
            <v/>
          </cell>
          <cell r="C1131" t="str">
            <v>Future</v>
          </cell>
          <cell r="D1131" t="e">
            <v>#N/A</v>
          </cell>
          <cell r="E1131">
            <v>-89.206968503937702</v>
          </cell>
          <cell r="F1131">
            <v>147.66311023622018</v>
          </cell>
          <cell r="G1131">
            <v>34.867834645669021</v>
          </cell>
          <cell r="H1131">
            <v>34.867834645669021</v>
          </cell>
          <cell r="I1131" t="e">
            <v>#N/A</v>
          </cell>
          <cell r="J1131" t="e">
            <v>#N/A</v>
          </cell>
          <cell r="K1131">
            <v>105</v>
          </cell>
          <cell r="L1131">
            <v>55</v>
          </cell>
          <cell r="M1131" t="e">
            <v>#N/A</v>
          </cell>
          <cell r="N1131">
            <v>90</v>
          </cell>
          <cell r="O1131" t="e">
            <v>#N/A</v>
          </cell>
          <cell r="P1131" t="str">
            <v/>
          </cell>
          <cell r="Q1131" t="str">
            <v/>
          </cell>
          <cell r="R1131">
            <v>90</v>
          </cell>
        </row>
        <row r="1132">
          <cell r="A1132" t="str">
            <v/>
          </cell>
          <cell r="B1132" t="str">
            <v/>
          </cell>
          <cell r="C1132" t="str">
            <v>Future</v>
          </cell>
          <cell r="D1132" t="e">
            <v>#N/A</v>
          </cell>
          <cell r="E1132">
            <v>-89.486614173229043</v>
          </cell>
          <cell r="F1132">
            <v>147.79685039370048</v>
          </cell>
          <cell r="G1132">
            <v>34.804724409448546</v>
          </cell>
          <cell r="H1132">
            <v>34.804724409448546</v>
          </cell>
          <cell r="I1132" t="e">
            <v>#N/A</v>
          </cell>
          <cell r="J1132" t="e">
            <v>#N/A</v>
          </cell>
          <cell r="K1132">
            <v>105</v>
          </cell>
          <cell r="L1132">
            <v>55</v>
          </cell>
          <cell r="M1132" t="e">
            <v>#N/A</v>
          </cell>
          <cell r="N1132">
            <v>90</v>
          </cell>
          <cell r="O1132" t="e">
            <v>#N/A</v>
          </cell>
          <cell r="P1132" t="str">
            <v/>
          </cell>
          <cell r="Q1132" t="str">
            <v/>
          </cell>
          <cell r="R1132">
            <v>90</v>
          </cell>
        </row>
        <row r="1133">
          <cell r="A1133" t="str">
            <v/>
          </cell>
          <cell r="B1133" t="str">
            <v/>
          </cell>
          <cell r="C1133" t="str">
            <v>Future</v>
          </cell>
          <cell r="D1133" t="e">
            <v>#N/A</v>
          </cell>
          <cell r="E1133">
            <v>-89.766259842520384</v>
          </cell>
          <cell r="F1133">
            <v>147.93059055118079</v>
          </cell>
          <cell r="G1133">
            <v>34.741614173228072</v>
          </cell>
          <cell r="H1133">
            <v>34.741614173228072</v>
          </cell>
          <cell r="I1133" t="e">
            <v>#N/A</v>
          </cell>
          <cell r="J1133" t="e">
            <v>#N/A</v>
          </cell>
          <cell r="K1133">
            <v>105</v>
          </cell>
          <cell r="L1133">
            <v>55</v>
          </cell>
          <cell r="M1133" t="e">
            <v>#N/A</v>
          </cell>
          <cell r="N1133">
            <v>90</v>
          </cell>
          <cell r="O1133" t="e">
            <v>#N/A</v>
          </cell>
          <cell r="P1133" t="str">
            <v/>
          </cell>
          <cell r="Q1133" t="str">
            <v/>
          </cell>
          <cell r="R1133">
            <v>90</v>
          </cell>
        </row>
        <row r="1134">
          <cell r="A1134" t="str">
            <v/>
          </cell>
          <cell r="B1134" t="str">
            <v/>
          </cell>
          <cell r="C1134" t="str">
            <v>Future</v>
          </cell>
          <cell r="D1134" t="e">
            <v>#N/A</v>
          </cell>
          <cell r="E1134">
            <v>-90.045905511811725</v>
          </cell>
          <cell r="F1134">
            <v>148.06433070866109</v>
          </cell>
          <cell r="G1134">
            <v>34.678503937007598</v>
          </cell>
          <cell r="H1134">
            <v>34.678503937007598</v>
          </cell>
          <cell r="I1134" t="e">
            <v>#N/A</v>
          </cell>
          <cell r="J1134" t="e">
            <v>#N/A</v>
          </cell>
          <cell r="K1134">
            <v>105</v>
          </cell>
          <cell r="L1134">
            <v>55</v>
          </cell>
          <cell r="M1134" t="e">
            <v>#N/A</v>
          </cell>
          <cell r="N1134">
            <v>90</v>
          </cell>
          <cell r="O1134" t="e">
            <v>#N/A</v>
          </cell>
          <cell r="P1134" t="str">
            <v/>
          </cell>
          <cell r="Q1134" t="str">
            <v/>
          </cell>
          <cell r="R1134">
            <v>90</v>
          </cell>
        </row>
        <row r="1135">
          <cell r="A1135" t="str">
            <v/>
          </cell>
          <cell r="B1135" t="str">
            <v/>
          </cell>
          <cell r="C1135" t="str">
            <v>Future</v>
          </cell>
          <cell r="D1135" t="e">
            <v>#N/A</v>
          </cell>
          <cell r="E1135">
            <v>-90.325551181103066</v>
          </cell>
          <cell r="F1135">
            <v>148.19807086614139</v>
          </cell>
          <cell r="G1135">
            <v>34.615393700787124</v>
          </cell>
          <cell r="H1135">
            <v>34.615393700787124</v>
          </cell>
          <cell r="I1135" t="e">
            <v>#N/A</v>
          </cell>
          <cell r="J1135" t="e">
            <v>#N/A</v>
          </cell>
          <cell r="K1135">
            <v>105</v>
          </cell>
          <cell r="L1135">
            <v>55</v>
          </cell>
          <cell r="M1135" t="e">
            <v>#N/A</v>
          </cell>
          <cell r="N1135">
            <v>90</v>
          </cell>
          <cell r="O1135" t="e">
            <v>#N/A</v>
          </cell>
          <cell r="P1135" t="str">
            <v/>
          </cell>
          <cell r="Q1135" t="str">
            <v/>
          </cell>
          <cell r="R1135">
            <v>90</v>
          </cell>
        </row>
        <row r="1136">
          <cell r="A1136" t="str">
            <v/>
          </cell>
          <cell r="B1136" t="str">
            <v/>
          </cell>
          <cell r="C1136" t="str">
            <v>Future</v>
          </cell>
          <cell r="D1136" t="e">
            <v>#N/A</v>
          </cell>
          <cell r="E1136">
            <v>-90.605196850394407</v>
          </cell>
          <cell r="F1136">
            <v>148.3318110236217</v>
          </cell>
          <cell r="G1136">
            <v>34.552283464566649</v>
          </cell>
          <cell r="H1136">
            <v>34.552283464566649</v>
          </cell>
          <cell r="I1136" t="e">
            <v>#N/A</v>
          </cell>
          <cell r="J1136" t="e">
            <v>#N/A</v>
          </cell>
          <cell r="K1136">
            <v>105</v>
          </cell>
          <cell r="L1136">
            <v>55</v>
          </cell>
          <cell r="M1136" t="e">
            <v>#N/A</v>
          </cell>
          <cell r="N1136">
            <v>90</v>
          </cell>
          <cell r="O1136" t="e">
            <v>#N/A</v>
          </cell>
          <cell r="P1136" t="str">
            <v/>
          </cell>
          <cell r="Q1136" t="str">
            <v/>
          </cell>
          <cell r="R1136">
            <v>90</v>
          </cell>
        </row>
        <row r="1137">
          <cell r="A1137" t="str">
            <v/>
          </cell>
          <cell r="B1137" t="str">
            <v/>
          </cell>
          <cell r="C1137" t="str">
            <v>Future</v>
          </cell>
          <cell r="D1137" t="e">
            <v>#N/A</v>
          </cell>
          <cell r="E1137">
            <v>-90.884842519685748</v>
          </cell>
          <cell r="F1137">
            <v>148.465551181102</v>
          </cell>
          <cell r="G1137">
            <v>34.489173228346175</v>
          </cell>
          <cell r="H1137">
            <v>34.489173228346175</v>
          </cell>
          <cell r="I1137" t="e">
            <v>#N/A</v>
          </cell>
          <cell r="J1137" t="e">
            <v>#N/A</v>
          </cell>
          <cell r="K1137">
            <v>105</v>
          </cell>
          <cell r="L1137">
            <v>55</v>
          </cell>
          <cell r="M1137" t="e">
            <v>#N/A</v>
          </cell>
          <cell r="N1137">
            <v>90</v>
          </cell>
          <cell r="O1137" t="e">
            <v>#N/A</v>
          </cell>
          <cell r="P1137" t="str">
            <v/>
          </cell>
          <cell r="Q1137" t="str">
            <v/>
          </cell>
          <cell r="R1137">
            <v>90</v>
          </cell>
        </row>
        <row r="1138">
          <cell r="A1138" t="str">
            <v/>
          </cell>
          <cell r="B1138" t="str">
            <v/>
          </cell>
          <cell r="C1138" t="str">
            <v>Future</v>
          </cell>
          <cell r="D1138" t="e">
            <v>#N/A</v>
          </cell>
          <cell r="E1138">
            <v>-91.164488188977089</v>
          </cell>
          <cell r="F1138">
            <v>148.5992913385823</v>
          </cell>
          <cell r="G1138">
            <v>34.426062992125701</v>
          </cell>
          <cell r="H1138">
            <v>34.426062992125701</v>
          </cell>
          <cell r="I1138" t="e">
            <v>#N/A</v>
          </cell>
          <cell r="J1138" t="e">
            <v>#N/A</v>
          </cell>
          <cell r="K1138">
            <v>105</v>
          </cell>
          <cell r="L1138">
            <v>55</v>
          </cell>
          <cell r="M1138" t="e">
            <v>#N/A</v>
          </cell>
          <cell r="N1138">
            <v>90</v>
          </cell>
          <cell r="O1138" t="e">
            <v>#N/A</v>
          </cell>
          <cell r="P1138" t="str">
            <v/>
          </cell>
          <cell r="Q1138" t="str">
            <v/>
          </cell>
          <cell r="R1138">
            <v>90</v>
          </cell>
        </row>
        <row r="1139">
          <cell r="A1139" t="str">
            <v/>
          </cell>
          <cell r="B1139" t="str">
            <v/>
          </cell>
          <cell r="C1139" t="str">
            <v>Future</v>
          </cell>
          <cell r="D1139" t="e">
            <v>#N/A</v>
          </cell>
          <cell r="E1139">
            <v>-91.44413385826843</v>
          </cell>
          <cell r="F1139">
            <v>148.73303149606261</v>
          </cell>
          <cell r="G1139">
            <v>34.362952755905226</v>
          </cell>
          <cell r="H1139">
            <v>34.362952755905226</v>
          </cell>
          <cell r="I1139" t="e">
            <v>#N/A</v>
          </cell>
          <cell r="J1139" t="e">
            <v>#N/A</v>
          </cell>
          <cell r="K1139">
            <v>105</v>
          </cell>
          <cell r="L1139">
            <v>55</v>
          </cell>
          <cell r="M1139" t="e">
            <v>#N/A</v>
          </cell>
          <cell r="N1139">
            <v>90</v>
          </cell>
          <cell r="O1139" t="e">
            <v>#N/A</v>
          </cell>
          <cell r="P1139" t="str">
            <v/>
          </cell>
          <cell r="Q1139" t="str">
            <v/>
          </cell>
          <cell r="R1139">
            <v>90</v>
          </cell>
        </row>
        <row r="1140">
          <cell r="A1140" t="str">
            <v/>
          </cell>
          <cell r="B1140" t="str">
            <v/>
          </cell>
          <cell r="C1140" t="str">
            <v>Future</v>
          </cell>
          <cell r="D1140" t="e">
            <v>#N/A</v>
          </cell>
          <cell r="E1140">
            <v>-91.72377952755977</v>
          </cell>
          <cell r="F1140">
            <v>148.86677165354291</v>
          </cell>
          <cell r="G1140">
            <v>34.299842519684752</v>
          </cell>
          <cell r="H1140">
            <v>34.299842519684752</v>
          </cell>
          <cell r="I1140" t="e">
            <v>#N/A</v>
          </cell>
          <cell r="J1140" t="e">
            <v>#N/A</v>
          </cell>
          <cell r="K1140">
            <v>105</v>
          </cell>
          <cell r="L1140">
            <v>55</v>
          </cell>
          <cell r="M1140" t="e">
            <v>#N/A</v>
          </cell>
          <cell r="N1140">
            <v>90</v>
          </cell>
          <cell r="O1140" t="e">
            <v>#N/A</v>
          </cell>
          <cell r="P1140" t="str">
            <v/>
          </cell>
          <cell r="Q1140" t="str">
            <v/>
          </cell>
          <cell r="R1140">
            <v>90</v>
          </cell>
        </row>
        <row r="1141">
          <cell r="A1141" t="str">
            <v/>
          </cell>
          <cell r="B1141" t="str">
            <v/>
          </cell>
          <cell r="C1141" t="str">
            <v>Future</v>
          </cell>
          <cell r="D1141" t="e">
            <v>#N/A</v>
          </cell>
          <cell r="E1141">
            <v>-92.003425196851111</v>
          </cell>
          <cell r="F1141">
            <v>149.00051181102322</v>
          </cell>
          <cell r="G1141">
            <v>34.236732283464278</v>
          </cell>
          <cell r="H1141">
            <v>34.236732283464278</v>
          </cell>
          <cell r="I1141" t="e">
            <v>#N/A</v>
          </cell>
          <cell r="J1141" t="e">
            <v>#N/A</v>
          </cell>
          <cell r="K1141">
            <v>105</v>
          </cell>
          <cell r="L1141">
            <v>55</v>
          </cell>
          <cell r="M1141" t="e">
            <v>#N/A</v>
          </cell>
          <cell r="N1141">
            <v>90</v>
          </cell>
          <cell r="O1141" t="e">
            <v>#N/A</v>
          </cell>
          <cell r="P1141" t="str">
            <v/>
          </cell>
          <cell r="Q1141" t="str">
            <v/>
          </cell>
          <cell r="R1141">
            <v>90</v>
          </cell>
        </row>
        <row r="1142">
          <cell r="A1142" t="str">
            <v/>
          </cell>
          <cell r="B1142" t="str">
            <v/>
          </cell>
          <cell r="C1142" t="str">
            <v>Future</v>
          </cell>
          <cell r="D1142" t="e">
            <v>#N/A</v>
          </cell>
          <cell r="E1142">
            <v>-92.283070866142452</v>
          </cell>
          <cell r="F1142">
            <v>149.13425196850352</v>
          </cell>
          <cell r="G1142">
            <v>34.173622047243803</v>
          </cell>
          <cell r="H1142">
            <v>34.173622047243803</v>
          </cell>
          <cell r="I1142" t="e">
            <v>#N/A</v>
          </cell>
          <cell r="J1142" t="e">
            <v>#N/A</v>
          </cell>
          <cell r="K1142">
            <v>105</v>
          </cell>
          <cell r="L1142">
            <v>55</v>
          </cell>
          <cell r="M1142" t="e">
            <v>#N/A</v>
          </cell>
          <cell r="N1142">
            <v>90</v>
          </cell>
          <cell r="O1142" t="e">
            <v>#N/A</v>
          </cell>
          <cell r="P1142" t="str">
            <v/>
          </cell>
          <cell r="Q1142" t="str">
            <v/>
          </cell>
          <cell r="R1142">
            <v>90</v>
          </cell>
        </row>
        <row r="1143">
          <cell r="A1143" t="str">
            <v/>
          </cell>
          <cell r="B1143" t="str">
            <v/>
          </cell>
          <cell r="C1143" t="str">
            <v>Future</v>
          </cell>
          <cell r="D1143" t="e">
            <v>#N/A</v>
          </cell>
          <cell r="E1143">
            <v>-92.562716535433793</v>
          </cell>
          <cell r="F1143">
            <v>149.26799212598382</v>
          </cell>
          <cell r="G1143">
            <v>34.110511811023329</v>
          </cell>
          <cell r="H1143">
            <v>34.110511811023329</v>
          </cell>
          <cell r="I1143" t="e">
            <v>#N/A</v>
          </cell>
          <cell r="J1143" t="e">
            <v>#N/A</v>
          </cell>
          <cell r="K1143">
            <v>105</v>
          </cell>
          <cell r="L1143">
            <v>55</v>
          </cell>
          <cell r="M1143" t="e">
            <v>#N/A</v>
          </cell>
          <cell r="N1143">
            <v>90</v>
          </cell>
          <cell r="O1143" t="e">
            <v>#N/A</v>
          </cell>
          <cell r="P1143" t="str">
            <v/>
          </cell>
          <cell r="Q1143" t="str">
            <v/>
          </cell>
          <cell r="R1143">
            <v>90</v>
          </cell>
        </row>
        <row r="1144">
          <cell r="A1144" t="str">
            <v/>
          </cell>
          <cell r="B1144" t="str">
            <v/>
          </cell>
          <cell r="C1144" t="str">
            <v>Future</v>
          </cell>
          <cell r="D1144" t="e">
            <v>#N/A</v>
          </cell>
          <cell r="E1144">
            <v>-92.842362204725134</v>
          </cell>
          <cell r="F1144">
            <v>149.40173228346413</v>
          </cell>
          <cell r="G1144">
            <v>34.047401574802855</v>
          </cell>
          <cell r="H1144">
            <v>34.047401574802855</v>
          </cell>
          <cell r="I1144" t="e">
            <v>#N/A</v>
          </cell>
          <cell r="J1144" t="e">
            <v>#N/A</v>
          </cell>
          <cell r="K1144">
            <v>105</v>
          </cell>
          <cell r="L1144">
            <v>55</v>
          </cell>
          <cell r="M1144" t="e">
            <v>#N/A</v>
          </cell>
          <cell r="N1144">
            <v>90</v>
          </cell>
          <cell r="O1144" t="e">
            <v>#N/A</v>
          </cell>
          <cell r="P1144" t="str">
            <v/>
          </cell>
          <cell r="Q1144" t="str">
            <v/>
          </cell>
          <cell r="R1144">
            <v>90</v>
          </cell>
        </row>
        <row r="1145">
          <cell r="A1145" t="str">
            <v/>
          </cell>
          <cell r="B1145" t="str">
            <v/>
          </cell>
          <cell r="C1145" t="str">
            <v>Future</v>
          </cell>
          <cell r="D1145" t="e">
            <v>#N/A</v>
          </cell>
          <cell r="E1145">
            <v>-93.122007874016475</v>
          </cell>
          <cell r="F1145">
            <v>149.53547244094443</v>
          </cell>
          <cell r="G1145">
            <v>33.984291338582381</v>
          </cell>
          <cell r="H1145">
            <v>33.984291338582381</v>
          </cell>
          <cell r="I1145" t="e">
            <v>#N/A</v>
          </cell>
          <cell r="J1145" t="e">
            <v>#N/A</v>
          </cell>
          <cell r="K1145">
            <v>105</v>
          </cell>
          <cell r="L1145">
            <v>55</v>
          </cell>
          <cell r="M1145" t="e">
            <v>#N/A</v>
          </cell>
          <cell r="N1145">
            <v>90</v>
          </cell>
          <cell r="O1145" t="e">
            <v>#N/A</v>
          </cell>
          <cell r="P1145" t="str">
            <v/>
          </cell>
          <cell r="Q1145" t="str">
            <v/>
          </cell>
          <cell r="R1145">
            <v>90</v>
          </cell>
        </row>
        <row r="1146">
          <cell r="A1146" t="str">
            <v/>
          </cell>
          <cell r="B1146" t="str">
            <v/>
          </cell>
          <cell r="C1146" t="str">
            <v>Future</v>
          </cell>
          <cell r="D1146" t="e">
            <v>#N/A</v>
          </cell>
          <cell r="E1146">
            <v>-93.401653543307816</v>
          </cell>
          <cell r="F1146">
            <v>149.66921259842474</v>
          </cell>
          <cell r="G1146">
            <v>33.921181102361906</v>
          </cell>
          <cell r="H1146">
            <v>33.921181102361906</v>
          </cell>
          <cell r="I1146" t="e">
            <v>#N/A</v>
          </cell>
          <cell r="J1146" t="e">
            <v>#N/A</v>
          </cell>
          <cell r="K1146">
            <v>105</v>
          </cell>
          <cell r="L1146">
            <v>55</v>
          </cell>
          <cell r="M1146" t="e">
            <v>#N/A</v>
          </cell>
          <cell r="N1146">
            <v>90</v>
          </cell>
          <cell r="O1146" t="e">
            <v>#N/A</v>
          </cell>
          <cell r="P1146" t="str">
            <v/>
          </cell>
          <cell r="Q1146" t="str">
            <v/>
          </cell>
          <cell r="R1146">
            <v>90</v>
          </cell>
        </row>
        <row r="1147">
          <cell r="A1147" t="str">
            <v/>
          </cell>
          <cell r="B1147" t="str">
            <v/>
          </cell>
          <cell r="C1147" t="str">
            <v>Future</v>
          </cell>
          <cell r="D1147" t="e">
            <v>#N/A</v>
          </cell>
          <cell r="E1147">
            <v>-93.681299212599157</v>
          </cell>
          <cell r="F1147">
            <v>149.80295275590504</v>
          </cell>
          <cell r="G1147">
            <v>33.858070866141432</v>
          </cell>
          <cell r="H1147">
            <v>33.858070866141432</v>
          </cell>
          <cell r="I1147" t="e">
            <v>#N/A</v>
          </cell>
          <cell r="J1147" t="e">
            <v>#N/A</v>
          </cell>
          <cell r="K1147">
            <v>105</v>
          </cell>
          <cell r="L1147">
            <v>55</v>
          </cell>
          <cell r="M1147" t="e">
            <v>#N/A</v>
          </cell>
          <cell r="N1147">
            <v>90</v>
          </cell>
          <cell r="O1147" t="e">
            <v>#N/A</v>
          </cell>
          <cell r="P1147" t="str">
            <v/>
          </cell>
          <cell r="Q1147" t="str">
            <v/>
          </cell>
          <cell r="R1147">
            <v>90</v>
          </cell>
        </row>
        <row r="1148">
          <cell r="A1148" t="str">
            <v/>
          </cell>
          <cell r="B1148" t="str">
            <v/>
          </cell>
          <cell r="C1148" t="str">
            <v>Future</v>
          </cell>
          <cell r="D1148" t="e">
            <v>#N/A</v>
          </cell>
          <cell r="E1148">
            <v>-93.960944881890498</v>
          </cell>
          <cell r="F1148">
            <v>149.93669291338534</v>
          </cell>
          <cell r="G1148">
            <v>33.794960629920958</v>
          </cell>
          <cell r="H1148">
            <v>33.794960629920958</v>
          </cell>
          <cell r="I1148" t="e">
            <v>#N/A</v>
          </cell>
          <cell r="J1148" t="e">
            <v>#N/A</v>
          </cell>
          <cell r="K1148">
            <v>105</v>
          </cell>
          <cell r="L1148">
            <v>55</v>
          </cell>
          <cell r="M1148" t="e">
            <v>#N/A</v>
          </cell>
          <cell r="N1148">
            <v>90</v>
          </cell>
          <cell r="O1148" t="e">
            <v>#N/A</v>
          </cell>
          <cell r="P1148" t="str">
            <v/>
          </cell>
          <cell r="Q1148" t="str">
            <v/>
          </cell>
          <cell r="R1148">
            <v>90</v>
          </cell>
        </row>
        <row r="1149">
          <cell r="A1149" t="str">
            <v/>
          </cell>
          <cell r="B1149" t="str">
            <v/>
          </cell>
          <cell r="C1149" t="str">
            <v>Future</v>
          </cell>
          <cell r="D1149" t="e">
            <v>#N/A</v>
          </cell>
          <cell r="E1149">
            <v>-94.240590551181839</v>
          </cell>
          <cell r="F1149">
            <v>150.07043307086565</v>
          </cell>
          <cell r="G1149">
            <v>33.731850393700483</v>
          </cell>
          <cell r="H1149">
            <v>33.731850393700483</v>
          </cell>
          <cell r="I1149" t="e">
            <v>#N/A</v>
          </cell>
          <cell r="J1149" t="e">
            <v>#N/A</v>
          </cell>
          <cell r="K1149">
            <v>105</v>
          </cell>
          <cell r="L1149">
            <v>55</v>
          </cell>
          <cell r="M1149" t="e">
            <v>#N/A</v>
          </cell>
          <cell r="N1149">
            <v>90</v>
          </cell>
          <cell r="O1149" t="e">
            <v>#N/A</v>
          </cell>
          <cell r="P1149" t="str">
            <v/>
          </cell>
          <cell r="Q1149" t="str">
            <v/>
          </cell>
          <cell r="R1149">
            <v>90</v>
          </cell>
        </row>
        <row r="1150">
          <cell r="A1150" t="str">
            <v/>
          </cell>
          <cell r="B1150" t="str">
            <v/>
          </cell>
          <cell r="C1150" t="str">
            <v>Future</v>
          </cell>
          <cell r="D1150" t="e">
            <v>#N/A</v>
          </cell>
          <cell r="E1150">
            <v>-94.52023622047318</v>
          </cell>
          <cell r="F1150">
            <v>150.20417322834595</v>
          </cell>
          <cell r="G1150">
            <v>33.668740157480009</v>
          </cell>
          <cell r="H1150">
            <v>33.668740157480009</v>
          </cell>
          <cell r="I1150" t="e">
            <v>#N/A</v>
          </cell>
          <cell r="J1150" t="e">
            <v>#N/A</v>
          </cell>
          <cell r="K1150">
            <v>105</v>
          </cell>
          <cell r="L1150">
            <v>55</v>
          </cell>
          <cell r="M1150" t="e">
            <v>#N/A</v>
          </cell>
          <cell r="N1150">
            <v>90</v>
          </cell>
          <cell r="O1150" t="e">
            <v>#N/A</v>
          </cell>
          <cell r="P1150" t="str">
            <v/>
          </cell>
          <cell r="Q1150" t="str">
            <v/>
          </cell>
          <cell r="R1150">
            <v>90</v>
          </cell>
        </row>
        <row r="1151">
          <cell r="A1151" t="str">
            <v/>
          </cell>
          <cell r="B1151" t="str">
            <v/>
          </cell>
          <cell r="C1151" t="str">
            <v>Future</v>
          </cell>
          <cell r="D1151" t="e">
            <v>#N/A</v>
          </cell>
          <cell r="E1151">
            <v>-94.799881889764521</v>
          </cell>
          <cell r="F1151">
            <v>150.33791338582625</v>
          </cell>
          <cell r="G1151">
            <v>33.605629921259535</v>
          </cell>
          <cell r="H1151">
            <v>33.605629921259535</v>
          </cell>
          <cell r="I1151" t="e">
            <v>#N/A</v>
          </cell>
          <cell r="J1151" t="e">
            <v>#N/A</v>
          </cell>
          <cell r="K1151">
            <v>105</v>
          </cell>
          <cell r="L1151">
            <v>55</v>
          </cell>
          <cell r="M1151" t="e">
            <v>#N/A</v>
          </cell>
          <cell r="N1151">
            <v>90</v>
          </cell>
          <cell r="O1151" t="e">
            <v>#N/A</v>
          </cell>
          <cell r="P1151" t="str">
            <v/>
          </cell>
          <cell r="Q1151" t="str">
            <v/>
          </cell>
          <cell r="R1151">
            <v>90</v>
          </cell>
        </row>
        <row r="1152">
          <cell r="A1152" t="str">
            <v/>
          </cell>
          <cell r="B1152" t="str">
            <v/>
          </cell>
          <cell r="C1152" t="str">
            <v>Future</v>
          </cell>
          <cell r="D1152" t="e">
            <v>#N/A</v>
          </cell>
          <cell r="E1152">
            <v>-95.079527559055862</v>
          </cell>
          <cell r="F1152">
            <v>150.47165354330656</v>
          </cell>
          <cell r="G1152">
            <v>33.542519685039061</v>
          </cell>
          <cell r="H1152">
            <v>33.542519685039061</v>
          </cell>
          <cell r="I1152" t="e">
            <v>#N/A</v>
          </cell>
          <cell r="J1152" t="e">
            <v>#N/A</v>
          </cell>
          <cell r="K1152">
            <v>105</v>
          </cell>
          <cell r="L1152">
            <v>55</v>
          </cell>
          <cell r="M1152" t="e">
            <v>#N/A</v>
          </cell>
          <cell r="N1152">
            <v>90</v>
          </cell>
          <cell r="O1152" t="e">
            <v>#N/A</v>
          </cell>
          <cell r="P1152" t="str">
            <v/>
          </cell>
          <cell r="Q1152" t="str">
            <v/>
          </cell>
          <cell r="R1152">
            <v>90</v>
          </cell>
        </row>
        <row r="1153">
          <cell r="A1153" t="str">
            <v/>
          </cell>
          <cell r="B1153" t="str">
            <v/>
          </cell>
          <cell r="C1153" t="str">
            <v>Future</v>
          </cell>
          <cell r="D1153" t="e">
            <v>#N/A</v>
          </cell>
          <cell r="E1153">
            <v>-95.359173228347203</v>
          </cell>
          <cell r="F1153">
            <v>150.60539370078686</v>
          </cell>
          <cell r="G1153">
            <v>33.479409448818586</v>
          </cell>
          <cell r="H1153">
            <v>33.479409448818586</v>
          </cell>
          <cell r="I1153" t="e">
            <v>#N/A</v>
          </cell>
          <cell r="J1153" t="e">
            <v>#N/A</v>
          </cell>
          <cell r="K1153">
            <v>105</v>
          </cell>
          <cell r="L1153">
            <v>55</v>
          </cell>
          <cell r="M1153" t="e">
            <v>#N/A</v>
          </cell>
          <cell r="N1153">
            <v>90</v>
          </cell>
          <cell r="O1153" t="e">
            <v>#N/A</v>
          </cell>
          <cell r="P1153" t="str">
            <v/>
          </cell>
          <cell r="Q1153" t="str">
            <v/>
          </cell>
          <cell r="R1153">
            <v>90</v>
          </cell>
        </row>
        <row r="1154">
          <cell r="A1154" t="str">
            <v/>
          </cell>
          <cell r="B1154" t="str">
            <v/>
          </cell>
          <cell r="C1154" t="str">
            <v>Future</v>
          </cell>
          <cell r="D1154" t="e">
            <v>#N/A</v>
          </cell>
          <cell r="E1154">
            <v>-95.638818897638544</v>
          </cell>
          <cell r="F1154">
            <v>150.73913385826717</v>
          </cell>
          <cell r="G1154">
            <v>33.416299212598112</v>
          </cell>
          <cell r="H1154">
            <v>33.416299212598112</v>
          </cell>
          <cell r="I1154" t="e">
            <v>#N/A</v>
          </cell>
          <cell r="J1154" t="e">
            <v>#N/A</v>
          </cell>
          <cell r="K1154">
            <v>105</v>
          </cell>
          <cell r="L1154">
            <v>55</v>
          </cell>
          <cell r="M1154" t="e">
            <v>#N/A</v>
          </cell>
          <cell r="N1154">
            <v>90</v>
          </cell>
          <cell r="O1154" t="e">
            <v>#N/A</v>
          </cell>
          <cell r="P1154" t="str">
            <v/>
          </cell>
          <cell r="Q1154" t="str">
            <v/>
          </cell>
          <cell r="R1154">
            <v>90</v>
          </cell>
        </row>
        <row r="1155">
          <cell r="A1155" t="str">
            <v/>
          </cell>
          <cell r="B1155" t="str">
            <v/>
          </cell>
          <cell r="C1155" t="str">
            <v>Future</v>
          </cell>
          <cell r="D1155" t="e">
            <v>#N/A</v>
          </cell>
          <cell r="E1155">
            <v>-95.918464566929885</v>
          </cell>
          <cell r="F1155">
            <v>150.87287401574747</v>
          </cell>
          <cell r="G1155">
            <v>33.353188976377638</v>
          </cell>
          <cell r="H1155">
            <v>33.353188976377638</v>
          </cell>
          <cell r="I1155" t="e">
            <v>#N/A</v>
          </cell>
          <cell r="J1155" t="e">
            <v>#N/A</v>
          </cell>
          <cell r="K1155">
            <v>105</v>
          </cell>
          <cell r="L1155">
            <v>55</v>
          </cell>
          <cell r="M1155" t="e">
            <v>#N/A</v>
          </cell>
          <cell r="N1155">
            <v>90</v>
          </cell>
          <cell r="O1155" t="e">
            <v>#N/A</v>
          </cell>
          <cell r="P1155" t="str">
            <v/>
          </cell>
          <cell r="Q1155" t="str">
            <v/>
          </cell>
          <cell r="R1155">
            <v>90</v>
          </cell>
        </row>
        <row r="1156">
          <cell r="A1156" t="str">
            <v/>
          </cell>
          <cell r="B1156" t="str">
            <v/>
          </cell>
          <cell r="C1156" t="str">
            <v>Future</v>
          </cell>
          <cell r="D1156" t="e">
            <v>#N/A</v>
          </cell>
          <cell r="E1156">
            <v>-96.198110236221225</v>
          </cell>
          <cell r="F1156">
            <v>151.00661417322777</v>
          </cell>
          <cell r="G1156">
            <v>33.290078740157163</v>
          </cell>
          <cell r="H1156">
            <v>33.290078740157163</v>
          </cell>
          <cell r="I1156" t="e">
            <v>#N/A</v>
          </cell>
          <cell r="J1156" t="e">
            <v>#N/A</v>
          </cell>
          <cell r="K1156">
            <v>105</v>
          </cell>
          <cell r="L1156">
            <v>55</v>
          </cell>
          <cell r="M1156" t="e">
            <v>#N/A</v>
          </cell>
          <cell r="N1156">
            <v>90</v>
          </cell>
          <cell r="O1156" t="e">
            <v>#N/A</v>
          </cell>
          <cell r="P1156" t="str">
            <v/>
          </cell>
          <cell r="Q1156" t="str">
            <v/>
          </cell>
          <cell r="R1156">
            <v>90</v>
          </cell>
        </row>
        <row r="1157">
          <cell r="A1157" t="str">
            <v/>
          </cell>
          <cell r="B1157" t="str">
            <v/>
          </cell>
          <cell r="C1157" t="str">
            <v>Future</v>
          </cell>
          <cell r="D1157" t="e">
            <v>#N/A</v>
          </cell>
          <cell r="E1157">
            <v>-96.477755905512566</v>
          </cell>
          <cell r="F1157">
            <v>151.14035433070808</v>
          </cell>
          <cell r="G1157">
            <v>33.226968503936689</v>
          </cell>
          <cell r="H1157">
            <v>33.226968503936689</v>
          </cell>
          <cell r="I1157" t="e">
            <v>#N/A</v>
          </cell>
          <cell r="J1157" t="e">
            <v>#N/A</v>
          </cell>
          <cell r="K1157">
            <v>105</v>
          </cell>
          <cell r="L1157">
            <v>55</v>
          </cell>
          <cell r="M1157" t="e">
            <v>#N/A</v>
          </cell>
          <cell r="N1157">
            <v>90</v>
          </cell>
          <cell r="O1157" t="e">
            <v>#N/A</v>
          </cell>
          <cell r="P1157" t="str">
            <v/>
          </cell>
          <cell r="Q1157" t="str">
            <v/>
          </cell>
          <cell r="R1157">
            <v>90</v>
          </cell>
        </row>
        <row r="1158">
          <cell r="A1158" t="str">
            <v/>
          </cell>
          <cell r="B1158" t="str">
            <v/>
          </cell>
          <cell r="C1158" t="str">
            <v>Future</v>
          </cell>
          <cell r="D1158" t="e">
            <v>#N/A</v>
          </cell>
          <cell r="E1158">
            <v>-96.757401574803907</v>
          </cell>
          <cell r="F1158">
            <v>151.27409448818838</v>
          </cell>
          <cell r="G1158">
            <v>33.163858267716215</v>
          </cell>
          <cell r="H1158">
            <v>33.163858267716215</v>
          </cell>
          <cell r="I1158" t="e">
            <v>#N/A</v>
          </cell>
          <cell r="J1158" t="e">
            <v>#N/A</v>
          </cell>
          <cell r="K1158">
            <v>105</v>
          </cell>
          <cell r="L1158">
            <v>55</v>
          </cell>
          <cell r="M1158" t="e">
            <v>#N/A</v>
          </cell>
          <cell r="N1158">
            <v>90</v>
          </cell>
          <cell r="O1158" t="e">
            <v>#N/A</v>
          </cell>
          <cell r="P1158" t="str">
            <v/>
          </cell>
          <cell r="Q1158" t="str">
            <v/>
          </cell>
          <cell r="R1158">
            <v>90</v>
          </cell>
        </row>
        <row r="1159">
          <cell r="A1159" t="str">
            <v/>
          </cell>
          <cell r="B1159" t="str">
            <v/>
          </cell>
          <cell r="C1159" t="str">
            <v>Future</v>
          </cell>
          <cell r="D1159" t="e">
            <v>#N/A</v>
          </cell>
          <cell r="E1159">
            <v>-97.037047244095248</v>
          </cell>
          <cell r="F1159">
            <v>151.40783464566869</v>
          </cell>
          <cell r="G1159">
            <v>33.100748031495741</v>
          </cell>
          <cell r="H1159">
            <v>33.100748031495741</v>
          </cell>
          <cell r="I1159" t="e">
            <v>#N/A</v>
          </cell>
          <cell r="J1159" t="e">
            <v>#N/A</v>
          </cell>
          <cell r="K1159">
            <v>105</v>
          </cell>
          <cell r="L1159">
            <v>55</v>
          </cell>
          <cell r="M1159" t="e">
            <v>#N/A</v>
          </cell>
          <cell r="N1159">
            <v>90</v>
          </cell>
          <cell r="O1159" t="e">
            <v>#N/A</v>
          </cell>
          <cell r="P1159" t="str">
            <v/>
          </cell>
          <cell r="Q1159" t="str">
            <v/>
          </cell>
          <cell r="R1159">
            <v>90</v>
          </cell>
        </row>
        <row r="1160">
          <cell r="A1160" t="str">
            <v/>
          </cell>
          <cell r="B1160" t="str">
            <v/>
          </cell>
          <cell r="C1160" t="str">
            <v>Future</v>
          </cell>
          <cell r="D1160" t="e">
            <v>#N/A</v>
          </cell>
          <cell r="E1160">
            <v>-97.316692913386589</v>
          </cell>
          <cell r="F1160">
            <v>151.54157480314899</v>
          </cell>
          <cell r="G1160">
            <v>33.037637795275266</v>
          </cell>
          <cell r="H1160">
            <v>33.037637795275266</v>
          </cell>
          <cell r="I1160" t="e">
            <v>#N/A</v>
          </cell>
          <cell r="J1160" t="e">
            <v>#N/A</v>
          </cell>
          <cell r="K1160">
            <v>105</v>
          </cell>
          <cell r="L1160">
            <v>55</v>
          </cell>
          <cell r="M1160" t="e">
            <v>#N/A</v>
          </cell>
          <cell r="N1160">
            <v>90</v>
          </cell>
          <cell r="O1160" t="e">
            <v>#N/A</v>
          </cell>
          <cell r="P1160" t="str">
            <v/>
          </cell>
          <cell r="Q1160" t="str">
            <v/>
          </cell>
          <cell r="R1160">
            <v>90</v>
          </cell>
        </row>
        <row r="1161">
          <cell r="A1161" t="str">
            <v/>
          </cell>
          <cell r="B1161" t="str">
            <v/>
          </cell>
          <cell r="C1161" t="str">
            <v>Future</v>
          </cell>
          <cell r="D1161" t="e">
            <v>#N/A</v>
          </cell>
          <cell r="E1161">
            <v>-97.59633858267793</v>
          </cell>
          <cell r="F1161">
            <v>151.67531496062929</v>
          </cell>
          <cell r="G1161">
            <v>32.974527559054792</v>
          </cell>
          <cell r="H1161">
            <v>32.974527559054792</v>
          </cell>
          <cell r="I1161" t="e">
            <v>#N/A</v>
          </cell>
          <cell r="J1161" t="e">
            <v>#N/A</v>
          </cell>
          <cell r="K1161">
            <v>105</v>
          </cell>
          <cell r="L1161">
            <v>55</v>
          </cell>
          <cell r="M1161" t="e">
            <v>#N/A</v>
          </cell>
          <cell r="N1161">
            <v>90</v>
          </cell>
          <cell r="O1161" t="e">
            <v>#N/A</v>
          </cell>
          <cell r="P1161" t="str">
            <v/>
          </cell>
          <cell r="Q1161" t="str">
            <v/>
          </cell>
          <cell r="R1161">
            <v>90</v>
          </cell>
        </row>
        <row r="1162">
          <cell r="A1162" t="str">
            <v/>
          </cell>
          <cell r="B1162" t="str">
            <v/>
          </cell>
          <cell r="C1162" t="str">
            <v>Future</v>
          </cell>
          <cell r="D1162" t="e">
            <v>#N/A</v>
          </cell>
          <cell r="E1162">
            <v>-97.875984251969271</v>
          </cell>
          <cell r="F1162">
            <v>151.8090551181096</v>
          </cell>
          <cell r="G1162">
            <v>32.911417322834318</v>
          </cell>
          <cell r="H1162">
            <v>32.911417322834318</v>
          </cell>
          <cell r="I1162" t="e">
            <v>#N/A</v>
          </cell>
          <cell r="J1162" t="e">
            <v>#N/A</v>
          </cell>
          <cell r="K1162">
            <v>105</v>
          </cell>
          <cell r="L1162">
            <v>55</v>
          </cell>
          <cell r="M1162" t="e">
            <v>#N/A</v>
          </cell>
          <cell r="N1162">
            <v>90</v>
          </cell>
          <cell r="O1162" t="e">
            <v>#N/A</v>
          </cell>
          <cell r="P1162" t="str">
            <v/>
          </cell>
          <cell r="Q1162" t="str">
            <v/>
          </cell>
          <cell r="R1162">
            <v>90</v>
          </cell>
        </row>
        <row r="1163">
          <cell r="A1163" t="str">
            <v/>
          </cell>
          <cell r="B1163" t="str">
            <v/>
          </cell>
          <cell r="C1163" t="str">
            <v>Future</v>
          </cell>
          <cell r="D1163" t="e">
            <v>#N/A</v>
          </cell>
          <cell r="E1163">
            <v>-98.155629921260612</v>
          </cell>
          <cell r="F1163">
            <v>151.9427952755899</v>
          </cell>
          <cell r="G1163">
            <v>32.848307086613843</v>
          </cell>
          <cell r="H1163">
            <v>32.848307086613843</v>
          </cell>
          <cell r="I1163" t="e">
            <v>#N/A</v>
          </cell>
          <cell r="J1163" t="e">
            <v>#N/A</v>
          </cell>
          <cell r="K1163">
            <v>105</v>
          </cell>
          <cell r="L1163">
            <v>55</v>
          </cell>
          <cell r="M1163" t="e">
            <v>#N/A</v>
          </cell>
          <cell r="N1163">
            <v>90</v>
          </cell>
          <cell r="O1163" t="e">
            <v>#N/A</v>
          </cell>
          <cell r="P1163" t="str">
            <v/>
          </cell>
          <cell r="Q1163" t="str">
            <v/>
          </cell>
          <cell r="R1163">
            <v>90</v>
          </cell>
        </row>
        <row r="1164">
          <cell r="A1164" t="str">
            <v/>
          </cell>
          <cell r="B1164" t="str">
            <v/>
          </cell>
          <cell r="C1164" t="str">
            <v>Future</v>
          </cell>
          <cell r="D1164" t="e">
            <v>#N/A</v>
          </cell>
          <cell r="E1164">
            <v>-98.435275590551953</v>
          </cell>
          <cell r="F1164">
            <v>152.07653543307021</v>
          </cell>
          <cell r="G1164">
            <v>32.785196850393369</v>
          </cell>
          <cell r="H1164">
            <v>32.785196850393369</v>
          </cell>
          <cell r="I1164" t="e">
            <v>#N/A</v>
          </cell>
          <cell r="J1164" t="e">
            <v>#N/A</v>
          </cell>
          <cell r="K1164">
            <v>105</v>
          </cell>
          <cell r="L1164">
            <v>55</v>
          </cell>
          <cell r="M1164" t="e">
            <v>#N/A</v>
          </cell>
          <cell r="N1164">
            <v>90</v>
          </cell>
          <cell r="O1164" t="e">
            <v>#N/A</v>
          </cell>
          <cell r="P1164" t="str">
            <v/>
          </cell>
          <cell r="Q1164" t="str">
            <v/>
          </cell>
          <cell r="R1164">
            <v>90</v>
          </cell>
        </row>
        <row r="1165">
          <cell r="A1165" t="str">
            <v/>
          </cell>
          <cell r="B1165" t="str">
            <v/>
          </cell>
          <cell r="C1165" t="str">
            <v>Future</v>
          </cell>
          <cell r="D1165" t="e">
            <v>#N/A</v>
          </cell>
          <cell r="E1165">
            <v>-98.714921259843294</v>
          </cell>
          <cell r="F1165">
            <v>152.21027559055051</v>
          </cell>
          <cell r="G1165">
            <v>32.722086614172895</v>
          </cell>
          <cell r="H1165">
            <v>32.722086614172895</v>
          </cell>
          <cell r="I1165" t="e">
            <v>#N/A</v>
          </cell>
          <cell r="J1165" t="e">
            <v>#N/A</v>
          </cell>
          <cell r="K1165">
            <v>105</v>
          </cell>
          <cell r="L1165">
            <v>55</v>
          </cell>
          <cell r="M1165" t="e">
            <v>#N/A</v>
          </cell>
          <cell r="N1165">
            <v>90</v>
          </cell>
          <cell r="O1165" t="e">
            <v>#N/A</v>
          </cell>
          <cell r="P1165" t="str">
            <v/>
          </cell>
          <cell r="Q1165" t="str">
            <v/>
          </cell>
          <cell r="R1165">
            <v>90</v>
          </cell>
        </row>
        <row r="1166">
          <cell r="A1166" t="str">
            <v/>
          </cell>
          <cell r="B1166" t="str">
            <v/>
          </cell>
          <cell r="C1166" t="str">
            <v>Future</v>
          </cell>
          <cell r="D1166" t="e">
            <v>#N/A</v>
          </cell>
          <cell r="E1166">
            <v>-98.994566929134635</v>
          </cell>
          <cell r="F1166">
            <v>152.34401574803081</v>
          </cell>
          <cell r="G1166">
            <v>32.65897637795242</v>
          </cell>
          <cell r="H1166">
            <v>32.65897637795242</v>
          </cell>
          <cell r="I1166" t="e">
            <v>#N/A</v>
          </cell>
          <cell r="J1166" t="e">
            <v>#N/A</v>
          </cell>
          <cell r="K1166">
            <v>105</v>
          </cell>
          <cell r="L1166">
            <v>55</v>
          </cell>
          <cell r="M1166" t="e">
            <v>#N/A</v>
          </cell>
          <cell r="N1166">
            <v>90</v>
          </cell>
          <cell r="O1166" t="e">
            <v>#N/A</v>
          </cell>
          <cell r="P1166" t="str">
            <v/>
          </cell>
          <cell r="Q1166" t="str">
            <v/>
          </cell>
          <cell r="R1166">
            <v>90</v>
          </cell>
        </row>
        <row r="1167">
          <cell r="A1167" t="str">
            <v/>
          </cell>
          <cell r="B1167" t="str">
            <v/>
          </cell>
          <cell r="C1167" t="str">
            <v>Future</v>
          </cell>
          <cell r="D1167" t="e">
            <v>#N/A</v>
          </cell>
          <cell r="E1167">
            <v>-99.274212598425976</v>
          </cell>
          <cell r="F1167">
            <v>152.47775590551112</v>
          </cell>
          <cell r="G1167">
            <v>32.595866141731946</v>
          </cell>
          <cell r="H1167">
            <v>32.595866141731946</v>
          </cell>
          <cell r="I1167" t="e">
            <v>#N/A</v>
          </cell>
          <cell r="J1167" t="e">
            <v>#N/A</v>
          </cell>
          <cell r="K1167">
            <v>105</v>
          </cell>
          <cell r="L1167">
            <v>55</v>
          </cell>
          <cell r="M1167" t="e">
            <v>#N/A</v>
          </cell>
          <cell r="N1167">
            <v>90</v>
          </cell>
          <cell r="O1167" t="e">
            <v>#N/A</v>
          </cell>
          <cell r="P1167" t="str">
            <v/>
          </cell>
          <cell r="Q1167" t="str">
            <v/>
          </cell>
          <cell r="R1167">
            <v>90</v>
          </cell>
        </row>
        <row r="1168">
          <cell r="A1168" t="str">
            <v/>
          </cell>
          <cell r="B1168" t="str">
            <v/>
          </cell>
          <cell r="C1168" t="str">
            <v>Future</v>
          </cell>
          <cell r="D1168" t="e">
            <v>#N/A</v>
          </cell>
          <cell r="E1168">
            <v>-99.553858267717317</v>
          </cell>
          <cell r="F1168">
            <v>152.61149606299142</v>
          </cell>
          <cell r="G1168">
            <v>32.532755905511472</v>
          </cell>
          <cell r="H1168">
            <v>32.532755905511472</v>
          </cell>
          <cell r="I1168" t="e">
            <v>#N/A</v>
          </cell>
          <cell r="J1168" t="e">
            <v>#N/A</v>
          </cell>
          <cell r="K1168">
            <v>105</v>
          </cell>
          <cell r="L1168">
            <v>55</v>
          </cell>
          <cell r="M1168" t="e">
            <v>#N/A</v>
          </cell>
          <cell r="N1168">
            <v>90</v>
          </cell>
          <cell r="O1168" t="e">
            <v>#N/A</v>
          </cell>
          <cell r="P1168" t="str">
            <v/>
          </cell>
          <cell r="Q1168" t="str">
            <v/>
          </cell>
          <cell r="R1168">
            <v>90</v>
          </cell>
        </row>
        <row r="1169">
          <cell r="A1169" t="str">
            <v/>
          </cell>
          <cell r="B1169" t="str">
            <v/>
          </cell>
          <cell r="C1169" t="str">
            <v>Future</v>
          </cell>
          <cell r="D1169" t="e">
            <v>#N/A</v>
          </cell>
          <cell r="E1169">
            <v>-99.833503937008658</v>
          </cell>
          <cell r="F1169">
            <v>152.74523622047172</v>
          </cell>
          <cell r="G1169">
            <v>32.469645669290998</v>
          </cell>
          <cell r="H1169">
            <v>32.469645669290998</v>
          </cell>
          <cell r="I1169" t="e">
            <v>#N/A</v>
          </cell>
          <cell r="J1169" t="e">
            <v>#N/A</v>
          </cell>
          <cell r="K1169">
            <v>105</v>
          </cell>
          <cell r="L1169">
            <v>55</v>
          </cell>
          <cell r="M1169" t="e">
            <v>#N/A</v>
          </cell>
          <cell r="N1169">
            <v>90</v>
          </cell>
          <cell r="O1169" t="e">
            <v>#N/A</v>
          </cell>
          <cell r="P1169" t="str">
            <v/>
          </cell>
          <cell r="Q1169" t="str">
            <v/>
          </cell>
          <cell r="R1169">
            <v>90</v>
          </cell>
        </row>
        <row r="1170">
          <cell r="A1170" t="str">
            <v/>
          </cell>
          <cell r="B1170" t="str">
            <v/>
          </cell>
          <cell r="C1170" t="str">
            <v>Future</v>
          </cell>
          <cell r="D1170" t="e">
            <v>#N/A</v>
          </cell>
          <cell r="E1170">
            <v>-100.1131496063</v>
          </cell>
          <cell r="F1170">
            <v>152.87897637795203</v>
          </cell>
          <cell r="G1170">
            <v>32.406535433070523</v>
          </cell>
          <cell r="H1170">
            <v>32.406535433070523</v>
          </cell>
          <cell r="I1170" t="e">
            <v>#N/A</v>
          </cell>
          <cell r="J1170" t="e">
            <v>#N/A</v>
          </cell>
          <cell r="K1170">
            <v>105</v>
          </cell>
          <cell r="L1170">
            <v>55</v>
          </cell>
          <cell r="M1170" t="e">
            <v>#N/A</v>
          </cell>
          <cell r="N1170">
            <v>90</v>
          </cell>
          <cell r="O1170" t="e">
            <v>#N/A</v>
          </cell>
          <cell r="P1170" t="str">
            <v/>
          </cell>
          <cell r="Q1170" t="str">
            <v/>
          </cell>
          <cell r="R1170">
            <v>90</v>
          </cell>
        </row>
        <row r="1171">
          <cell r="A1171" t="str">
            <v/>
          </cell>
          <cell r="B1171" t="str">
            <v/>
          </cell>
          <cell r="C1171" t="str">
            <v>Future</v>
          </cell>
          <cell r="D1171" t="e">
            <v>#N/A</v>
          </cell>
          <cell r="E1171">
            <v>-100.39279527559134</v>
          </cell>
          <cell r="F1171">
            <v>153.01271653543233</v>
          </cell>
          <cell r="G1171">
            <v>32.343425196850049</v>
          </cell>
          <cell r="H1171">
            <v>32.343425196850049</v>
          </cell>
          <cell r="I1171" t="e">
            <v>#N/A</v>
          </cell>
          <cell r="J1171" t="e">
            <v>#N/A</v>
          </cell>
          <cell r="K1171">
            <v>105</v>
          </cell>
          <cell r="L1171">
            <v>55</v>
          </cell>
          <cell r="M1171" t="e">
            <v>#N/A</v>
          </cell>
          <cell r="N1171">
            <v>90</v>
          </cell>
          <cell r="O1171" t="e">
            <v>#N/A</v>
          </cell>
          <cell r="P1171" t="str">
            <v/>
          </cell>
          <cell r="Q1171" t="str">
            <v/>
          </cell>
          <cell r="R1171">
            <v>90</v>
          </cell>
        </row>
        <row r="1172">
          <cell r="A1172" t="str">
            <v/>
          </cell>
          <cell r="B1172" t="str">
            <v/>
          </cell>
          <cell r="C1172" t="str">
            <v>Future</v>
          </cell>
          <cell r="D1172" t="e">
            <v>#N/A</v>
          </cell>
          <cell r="E1172">
            <v>-100.67244094488268</v>
          </cell>
          <cell r="F1172">
            <v>153.14645669291264</v>
          </cell>
          <cell r="G1172">
            <v>32.280314960629575</v>
          </cell>
          <cell r="H1172">
            <v>32.280314960629575</v>
          </cell>
          <cell r="I1172" t="e">
            <v>#N/A</v>
          </cell>
          <cell r="J1172" t="e">
            <v>#N/A</v>
          </cell>
          <cell r="K1172">
            <v>105</v>
          </cell>
          <cell r="L1172">
            <v>55</v>
          </cell>
          <cell r="M1172" t="e">
            <v>#N/A</v>
          </cell>
          <cell r="N1172">
            <v>90</v>
          </cell>
          <cell r="O1172" t="e">
            <v>#N/A</v>
          </cell>
          <cell r="P1172" t="str">
            <v/>
          </cell>
          <cell r="Q1172" t="str">
            <v/>
          </cell>
          <cell r="R1172">
            <v>90</v>
          </cell>
        </row>
        <row r="1173">
          <cell r="A1173" t="str">
            <v/>
          </cell>
          <cell r="B1173" t="str">
            <v/>
          </cell>
          <cell r="C1173" t="str">
            <v>Future</v>
          </cell>
          <cell r="D1173" t="e">
            <v>#N/A</v>
          </cell>
          <cell r="E1173">
            <v>-100.95208661417402</v>
          </cell>
          <cell r="F1173">
            <v>153.28019685039294</v>
          </cell>
          <cell r="G1173">
            <v>32.2172047244091</v>
          </cell>
          <cell r="H1173">
            <v>32.2172047244091</v>
          </cell>
          <cell r="I1173" t="e">
            <v>#N/A</v>
          </cell>
          <cell r="J1173" t="e">
            <v>#N/A</v>
          </cell>
          <cell r="K1173">
            <v>105</v>
          </cell>
          <cell r="L1173">
            <v>55</v>
          </cell>
          <cell r="M1173" t="e">
            <v>#N/A</v>
          </cell>
          <cell r="N1173">
            <v>90</v>
          </cell>
          <cell r="O1173" t="e">
            <v>#N/A</v>
          </cell>
          <cell r="P1173" t="str">
            <v/>
          </cell>
          <cell r="Q1173" t="str">
            <v/>
          </cell>
          <cell r="R1173">
            <v>90</v>
          </cell>
        </row>
        <row r="1174">
          <cell r="A1174" t="str">
            <v/>
          </cell>
          <cell r="B1174" t="str">
            <v/>
          </cell>
          <cell r="C1174" t="str">
            <v>Future</v>
          </cell>
          <cell r="D1174" t="e">
            <v>#N/A</v>
          </cell>
          <cell r="E1174">
            <v>-101.23173228346536</v>
          </cell>
          <cell r="F1174">
            <v>153.41393700787324</v>
          </cell>
          <cell r="G1174">
            <v>32.154094488188626</v>
          </cell>
          <cell r="H1174">
            <v>32.154094488188626</v>
          </cell>
          <cell r="I1174" t="e">
            <v>#N/A</v>
          </cell>
          <cell r="J1174" t="e">
            <v>#N/A</v>
          </cell>
          <cell r="K1174">
            <v>105</v>
          </cell>
          <cell r="L1174">
            <v>55</v>
          </cell>
          <cell r="M1174" t="e">
            <v>#N/A</v>
          </cell>
          <cell r="N1174">
            <v>90</v>
          </cell>
          <cell r="O1174" t="e">
            <v>#N/A</v>
          </cell>
          <cell r="P1174" t="str">
            <v/>
          </cell>
          <cell r="Q1174" t="str">
            <v/>
          </cell>
          <cell r="R1174">
            <v>90</v>
          </cell>
        </row>
        <row r="1175">
          <cell r="A1175" t="str">
            <v/>
          </cell>
          <cell r="B1175" t="str">
            <v/>
          </cell>
          <cell r="C1175" t="str">
            <v>Future</v>
          </cell>
          <cell r="D1175" t="e">
            <v>#N/A</v>
          </cell>
          <cell r="E1175">
            <v>-101.5113779527567</v>
          </cell>
          <cell r="F1175">
            <v>153.54767716535355</v>
          </cell>
          <cell r="G1175">
            <v>32.090984251968152</v>
          </cell>
          <cell r="H1175">
            <v>32.090984251968152</v>
          </cell>
          <cell r="I1175" t="e">
            <v>#N/A</v>
          </cell>
          <cell r="J1175" t="e">
            <v>#N/A</v>
          </cell>
          <cell r="K1175">
            <v>105</v>
          </cell>
          <cell r="L1175">
            <v>55</v>
          </cell>
          <cell r="M1175" t="e">
            <v>#N/A</v>
          </cell>
          <cell r="N1175">
            <v>90</v>
          </cell>
          <cell r="O1175" t="e">
            <v>#N/A</v>
          </cell>
          <cell r="P1175" t="str">
            <v/>
          </cell>
          <cell r="Q1175" t="str">
            <v/>
          </cell>
          <cell r="R1175">
            <v>90</v>
          </cell>
        </row>
        <row r="1176">
          <cell r="A1176" t="str">
            <v/>
          </cell>
          <cell r="B1176" t="str">
            <v/>
          </cell>
          <cell r="C1176" t="str">
            <v>Future</v>
          </cell>
          <cell r="D1176" t="e">
            <v>#N/A</v>
          </cell>
          <cell r="E1176">
            <v>-101.79102362204804</v>
          </cell>
          <cell r="F1176">
            <v>153.68141732283385</v>
          </cell>
          <cell r="G1176">
            <v>32.027874015747678</v>
          </cell>
          <cell r="H1176">
            <v>32.027874015747678</v>
          </cell>
          <cell r="I1176" t="e">
            <v>#N/A</v>
          </cell>
          <cell r="J1176" t="e">
            <v>#N/A</v>
          </cell>
          <cell r="K1176">
            <v>105</v>
          </cell>
          <cell r="L1176">
            <v>55</v>
          </cell>
          <cell r="M1176" t="e">
            <v>#N/A</v>
          </cell>
          <cell r="N1176">
            <v>90</v>
          </cell>
          <cell r="O1176" t="e">
            <v>#N/A</v>
          </cell>
          <cell r="P1176" t="str">
            <v/>
          </cell>
          <cell r="Q1176" t="str">
            <v/>
          </cell>
          <cell r="R1176">
            <v>90</v>
          </cell>
        </row>
        <row r="1177">
          <cell r="A1177" t="str">
            <v/>
          </cell>
          <cell r="B1177" t="str">
            <v/>
          </cell>
          <cell r="C1177" t="str">
            <v>Future</v>
          </cell>
          <cell r="D1177" t="e">
            <v>#N/A</v>
          </cell>
          <cell r="E1177">
            <v>-102.07066929133939</v>
          </cell>
          <cell r="F1177">
            <v>153.81515748031416</v>
          </cell>
          <cell r="G1177">
            <v>31.964763779527207</v>
          </cell>
          <cell r="H1177">
            <v>31.964763779527207</v>
          </cell>
          <cell r="I1177" t="e">
            <v>#N/A</v>
          </cell>
          <cell r="J1177" t="e">
            <v>#N/A</v>
          </cell>
          <cell r="K1177">
            <v>105</v>
          </cell>
          <cell r="L1177">
            <v>55</v>
          </cell>
          <cell r="M1177" t="e">
            <v>#N/A</v>
          </cell>
          <cell r="N1177">
            <v>90</v>
          </cell>
          <cell r="O1177" t="e">
            <v>#N/A</v>
          </cell>
          <cell r="P1177" t="str">
            <v/>
          </cell>
          <cell r="Q1177" t="str">
            <v/>
          </cell>
          <cell r="R1177">
            <v>90</v>
          </cell>
        </row>
        <row r="1178">
          <cell r="A1178" t="str">
            <v/>
          </cell>
          <cell r="B1178" t="str">
            <v/>
          </cell>
          <cell r="C1178" t="str">
            <v>Future</v>
          </cell>
          <cell r="D1178" t="e">
            <v>#N/A</v>
          </cell>
          <cell r="E1178">
            <v>-102.35031496063073</v>
          </cell>
          <cell r="F1178">
            <v>153.94889763779446</v>
          </cell>
          <cell r="G1178">
            <v>31.901653543306736</v>
          </cell>
          <cell r="H1178">
            <v>31.901653543306736</v>
          </cell>
          <cell r="I1178" t="e">
            <v>#N/A</v>
          </cell>
          <cell r="J1178" t="e">
            <v>#N/A</v>
          </cell>
          <cell r="K1178">
            <v>105</v>
          </cell>
          <cell r="L1178">
            <v>55</v>
          </cell>
          <cell r="M1178" t="e">
            <v>#N/A</v>
          </cell>
          <cell r="N1178">
            <v>90</v>
          </cell>
          <cell r="O1178" t="e">
            <v>#N/A</v>
          </cell>
          <cell r="P1178" t="str">
            <v/>
          </cell>
          <cell r="Q1178" t="str">
            <v/>
          </cell>
          <cell r="R1178">
            <v>90</v>
          </cell>
        </row>
        <row r="1179">
          <cell r="A1179" t="str">
            <v/>
          </cell>
          <cell r="B1179" t="str">
            <v/>
          </cell>
          <cell r="C1179" t="str">
            <v>Future</v>
          </cell>
          <cell r="D1179" t="e">
            <v>#N/A</v>
          </cell>
          <cell r="E1179">
            <v>-102.62996062992207</v>
          </cell>
          <cell r="F1179">
            <v>154.08263779527476</v>
          </cell>
          <cell r="G1179">
            <v>31.838543307086265</v>
          </cell>
          <cell r="H1179">
            <v>31.838543307086265</v>
          </cell>
          <cell r="I1179" t="e">
            <v>#N/A</v>
          </cell>
          <cell r="J1179" t="e">
            <v>#N/A</v>
          </cell>
          <cell r="K1179">
            <v>105</v>
          </cell>
          <cell r="L1179">
            <v>55</v>
          </cell>
          <cell r="M1179" t="e">
            <v>#N/A</v>
          </cell>
          <cell r="N1179">
            <v>90</v>
          </cell>
          <cell r="O1179" t="e">
            <v>#N/A</v>
          </cell>
          <cell r="P1179" t="str">
            <v/>
          </cell>
          <cell r="Q1179" t="str">
            <v/>
          </cell>
          <cell r="R1179">
            <v>90</v>
          </cell>
        </row>
        <row r="1180">
          <cell r="A1180" t="str">
            <v/>
          </cell>
          <cell r="B1180" t="str">
            <v/>
          </cell>
          <cell r="C1180" t="str">
            <v>Future</v>
          </cell>
          <cell r="D1180" t="e">
            <v>#N/A</v>
          </cell>
          <cell r="E1180">
            <v>-102.90960629921341</v>
          </cell>
          <cell r="F1180">
            <v>154.21637795275507</v>
          </cell>
          <cell r="G1180">
            <v>31.775433070865795</v>
          </cell>
          <cell r="H1180">
            <v>31.775433070865795</v>
          </cell>
          <cell r="I1180" t="e">
            <v>#N/A</v>
          </cell>
          <cell r="J1180" t="e">
            <v>#N/A</v>
          </cell>
          <cell r="K1180">
            <v>105</v>
          </cell>
          <cell r="L1180">
            <v>55</v>
          </cell>
          <cell r="M1180" t="e">
            <v>#N/A</v>
          </cell>
          <cell r="N1180">
            <v>90</v>
          </cell>
          <cell r="O1180" t="e">
            <v>#N/A</v>
          </cell>
          <cell r="P1180" t="str">
            <v/>
          </cell>
          <cell r="Q1180" t="str">
            <v/>
          </cell>
          <cell r="R1180">
            <v>90</v>
          </cell>
        </row>
        <row r="1181">
          <cell r="A1181" t="str">
            <v/>
          </cell>
          <cell r="B1181" t="str">
            <v/>
          </cell>
          <cell r="C1181" t="str">
            <v>Future</v>
          </cell>
          <cell r="D1181" t="e">
            <v>#N/A</v>
          </cell>
          <cell r="E1181">
            <v>-103.18925196850475</v>
          </cell>
          <cell r="F1181">
            <v>154.35011811023537</v>
          </cell>
          <cell r="G1181">
            <v>31.712322834645324</v>
          </cell>
          <cell r="H1181">
            <v>31.712322834645324</v>
          </cell>
          <cell r="I1181" t="e">
            <v>#N/A</v>
          </cell>
          <cell r="J1181" t="e">
            <v>#N/A</v>
          </cell>
          <cell r="K1181">
            <v>105</v>
          </cell>
          <cell r="L1181">
            <v>55</v>
          </cell>
          <cell r="M1181" t="e">
            <v>#N/A</v>
          </cell>
          <cell r="N1181">
            <v>90</v>
          </cell>
          <cell r="O1181" t="e">
            <v>#N/A</v>
          </cell>
          <cell r="P1181" t="str">
            <v/>
          </cell>
          <cell r="Q1181" t="str">
            <v/>
          </cell>
          <cell r="R1181">
            <v>90</v>
          </cell>
        </row>
        <row r="1182">
          <cell r="A1182" t="str">
            <v/>
          </cell>
          <cell r="B1182" t="str">
            <v/>
          </cell>
          <cell r="C1182" t="str">
            <v>Future</v>
          </cell>
          <cell r="D1182" t="e">
            <v>#N/A</v>
          </cell>
          <cell r="E1182">
            <v>-103.46889763779609</v>
          </cell>
          <cell r="F1182">
            <v>154.48385826771568</v>
          </cell>
          <cell r="G1182">
            <v>31.649212598424853</v>
          </cell>
          <cell r="H1182">
            <v>31.649212598424853</v>
          </cell>
          <cell r="I1182" t="e">
            <v>#N/A</v>
          </cell>
          <cell r="J1182" t="e">
            <v>#N/A</v>
          </cell>
          <cell r="K1182">
            <v>105</v>
          </cell>
          <cell r="L1182">
            <v>55</v>
          </cell>
          <cell r="M1182" t="e">
            <v>#N/A</v>
          </cell>
          <cell r="N1182">
            <v>90</v>
          </cell>
          <cell r="O1182" t="e">
            <v>#N/A</v>
          </cell>
          <cell r="P1182" t="str">
            <v/>
          </cell>
          <cell r="Q1182" t="str">
            <v/>
          </cell>
          <cell r="R1182">
            <v>90</v>
          </cell>
        </row>
        <row r="1183">
          <cell r="A1183" t="str">
            <v/>
          </cell>
          <cell r="B1183" t="str">
            <v/>
          </cell>
          <cell r="C1183" t="str">
            <v>Future</v>
          </cell>
          <cell r="D1183" t="e">
            <v>#N/A</v>
          </cell>
          <cell r="E1183">
            <v>-103.74854330708743</v>
          </cell>
          <cell r="F1183">
            <v>154.61759842519598</v>
          </cell>
          <cell r="G1183">
            <v>31.586102362204382</v>
          </cell>
          <cell r="H1183">
            <v>31.586102362204382</v>
          </cell>
          <cell r="I1183" t="e">
            <v>#N/A</v>
          </cell>
          <cell r="J1183" t="e">
            <v>#N/A</v>
          </cell>
          <cell r="K1183">
            <v>105</v>
          </cell>
          <cell r="L1183">
            <v>55</v>
          </cell>
          <cell r="M1183" t="e">
            <v>#N/A</v>
          </cell>
          <cell r="N1183">
            <v>90</v>
          </cell>
          <cell r="O1183" t="e">
            <v>#N/A</v>
          </cell>
          <cell r="P1183" t="str">
            <v/>
          </cell>
          <cell r="Q1183" t="str">
            <v/>
          </cell>
          <cell r="R1183">
            <v>90</v>
          </cell>
        </row>
        <row r="1184">
          <cell r="A1184" t="str">
            <v/>
          </cell>
          <cell r="B1184" t="str">
            <v/>
          </cell>
          <cell r="C1184" t="str">
            <v>Future</v>
          </cell>
          <cell r="D1184" t="e">
            <v>#N/A</v>
          </cell>
          <cell r="E1184">
            <v>-104.02818897637877</v>
          </cell>
          <cell r="F1184">
            <v>154.75133858267628</v>
          </cell>
          <cell r="G1184">
            <v>31.522992125983912</v>
          </cell>
          <cell r="H1184">
            <v>31.522992125983912</v>
          </cell>
          <cell r="I1184" t="e">
            <v>#N/A</v>
          </cell>
          <cell r="J1184" t="e">
            <v>#N/A</v>
          </cell>
          <cell r="K1184">
            <v>105</v>
          </cell>
          <cell r="L1184">
            <v>55</v>
          </cell>
          <cell r="M1184" t="e">
            <v>#N/A</v>
          </cell>
          <cell r="N1184">
            <v>90</v>
          </cell>
          <cell r="O1184" t="e">
            <v>#N/A</v>
          </cell>
          <cell r="P1184" t="str">
            <v/>
          </cell>
          <cell r="Q1184" t="str">
            <v/>
          </cell>
          <cell r="R1184">
            <v>90</v>
          </cell>
        </row>
        <row r="1185">
          <cell r="A1185" t="str">
            <v/>
          </cell>
          <cell r="B1185" t="str">
            <v/>
          </cell>
          <cell r="C1185" t="str">
            <v>Future</v>
          </cell>
          <cell r="D1185" t="e">
            <v>#N/A</v>
          </cell>
          <cell r="E1185">
            <v>-104.30783464567011</v>
          </cell>
          <cell r="F1185">
            <v>154.88507874015659</v>
          </cell>
          <cell r="G1185">
            <v>31.459881889763441</v>
          </cell>
          <cell r="H1185">
            <v>31.459881889763441</v>
          </cell>
          <cell r="I1185" t="e">
            <v>#N/A</v>
          </cell>
          <cell r="J1185" t="e">
            <v>#N/A</v>
          </cell>
          <cell r="K1185">
            <v>105</v>
          </cell>
          <cell r="L1185">
            <v>55</v>
          </cell>
          <cell r="M1185" t="e">
            <v>#N/A</v>
          </cell>
          <cell r="N1185">
            <v>90</v>
          </cell>
          <cell r="O1185" t="e">
            <v>#N/A</v>
          </cell>
          <cell r="P1185" t="str">
            <v/>
          </cell>
          <cell r="Q1185" t="str">
            <v/>
          </cell>
          <cell r="R1185">
            <v>90</v>
          </cell>
        </row>
        <row r="1186">
          <cell r="A1186" t="str">
            <v/>
          </cell>
          <cell r="B1186" t="str">
            <v/>
          </cell>
          <cell r="C1186" t="str">
            <v>Future</v>
          </cell>
          <cell r="D1186" t="e">
            <v>#N/A</v>
          </cell>
          <cell r="E1186">
            <v>-104.58748031496145</v>
          </cell>
          <cell r="F1186">
            <v>155.01881889763689</v>
          </cell>
          <cell r="G1186">
            <v>31.39677165354297</v>
          </cell>
          <cell r="H1186">
            <v>31.39677165354297</v>
          </cell>
          <cell r="I1186" t="e">
            <v>#N/A</v>
          </cell>
          <cell r="J1186" t="e">
            <v>#N/A</v>
          </cell>
          <cell r="K1186">
            <v>105</v>
          </cell>
          <cell r="L1186">
            <v>55</v>
          </cell>
          <cell r="M1186" t="e">
            <v>#N/A</v>
          </cell>
          <cell r="N1186">
            <v>90</v>
          </cell>
          <cell r="O1186" t="e">
            <v>#N/A</v>
          </cell>
          <cell r="P1186" t="str">
            <v/>
          </cell>
          <cell r="Q1186" t="str">
            <v/>
          </cell>
          <cell r="R1186">
            <v>90</v>
          </cell>
        </row>
        <row r="1187">
          <cell r="A1187" t="str">
            <v/>
          </cell>
          <cell r="B1187" t="str">
            <v/>
          </cell>
          <cell r="C1187" t="str">
            <v>Future</v>
          </cell>
          <cell r="D1187" t="e">
            <v>#N/A</v>
          </cell>
          <cell r="E1187">
            <v>-104.86712598425279</v>
          </cell>
          <cell r="F1187">
            <v>155.15255905511719</v>
          </cell>
          <cell r="G1187">
            <v>31.333661417322499</v>
          </cell>
          <cell r="H1187">
            <v>31.333661417322499</v>
          </cell>
          <cell r="I1187" t="e">
            <v>#N/A</v>
          </cell>
          <cell r="J1187" t="e">
            <v>#N/A</v>
          </cell>
          <cell r="K1187">
            <v>105</v>
          </cell>
          <cell r="L1187">
            <v>55</v>
          </cell>
          <cell r="M1187" t="e">
            <v>#N/A</v>
          </cell>
          <cell r="N1187">
            <v>90</v>
          </cell>
          <cell r="O1187" t="e">
            <v>#N/A</v>
          </cell>
          <cell r="P1187" t="str">
            <v/>
          </cell>
          <cell r="Q1187" t="str">
            <v/>
          </cell>
          <cell r="R1187">
            <v>90</v>
          </cell>
        </row>
        <row r="1188">
          <cell r="A1188" t="str">
            <v/>
          </cell>
          <cell r="B1188" t="str">
            <v/>
          </cell>
          <cell r="C1188" t="str">
            <v>Future</v>
          </cell>
          <cell r="D1188" t="e">
            <v>#N/A</v>
          </cell>
          <cell r="E1188">
            <v>-105.14677165354414</v>
          </cell>
          <cell r="F1188">
            <v>155.2862992125975</v>
          </cell>
          <cell r="G1188">
            <v>31.270551181102029</v>
          </cell>
          <cell r="H1188">
            <v>31.270551181102029</v>
          </cell>
          <cell r="I1188" t="e">
            <v>#N/A</v>
          </cell>
          <cell r="J1188" t="e">
            <v>#N/A</v>
          </cell>
          <cell r="K1188">
            <v>105</v>
          </cell>
          <cell r="L1188">
            <v>55</v>
          </cell>
          <cell r="M1188" t="e">
            <v>#N/A</v>
          </cell>
          <cell r="N1188">
            <v>90</v>
          </cell>
          <cell r="O1188" t="e">
            <v>#N/A</v>
          </cell>
          <cell r="P1188" t="str">
            <v/>
          </cell>
          <cell r="Q1188" t="str">
            <v/>
          </cell>
          <cell r="R1188">
            <v>90</v>
          </cell>
        </row>
        <row r="1189">
          <cell r="A1189" t="str">
            <v/>
          </cell>
          <cell r="B1189" t="str">
            <v/>
          </cell>
          <cell r="C1189" t="str">
            <v>Future</v>
          </cell>
          <cell r="D1189" t="e">
            <v>#N/A</v>
          </cell>
          <cell r="E1189">
            <v>-105.42641732283548</v>
          </cell>
          <cell r="F1189">
            <v>155.4200393700778</v>
          </cell>
          <cell r="G1189">
            <v>31.207440944881558</v>
          </cell>
          <cell r="H1189">
            <v>31.207440944881558</v>
          </cell>
          <cell r="I1189" t="e">
            <v>#N/A</v>
          </cell>
          <cell r="J1189" t="e">
            <v>#N/A</v>
          </cell>
          <cell r="K1189">
            <v>105</v>
          </cell>
          <cell r="L1189">
            <v>55</v>
          </cell>
          <cell r="M1189" t="e">
            <v>#N/A</v>
          </cell>
          <cell r="N1189">
            <v>90</v>
          </cell>
          <cell r="O1189" t="e">
            <v>#N/A</v>
          </cell>
          <cell r="P1189" t="str">
            <v/>
          </cell>
          <cell r="Q1189" t="str">
            <v/>
          </cell>
          <cell r="R1189">
            <v>90</v>
          </cell>
        </row>
        <row r="1190">
          <cell r="A1190" t="str">
            <v/>
          </cell>
          <cell r="B1190" t="str">
            <v/>
          </cell>
          <cell r="C1190" t="str">
            <v>Future</v>
          </cell>
          <cell r="D1190" t="e">
            <v>#N/A</v>
          </cell>
          <cell r="E1190">
            <v>-105.70606299212682</v>
          </cell>
          <cell r="F1190">
            <v>155.55377952755811</v>
          </cell>
          <cell r="G1190">
            <v>31.144330708661087</v>
          </cell>
          <cell r="H1190">
            <v>31.144330708661087</v>
          </cell>
          <cell r="I1190" t="e">
            <v>#N/A</v>
          </cell>
          <cell r="J1190" t="e">
            <v>#N/A</v>
          </cell>
          <cell r="K1190">
            <v>105</v>
          </cell>
          <cell r="L1190">
            <v>55</v>
          </cell>
          <cell r="M1190" t="e">
            <v>#N/A</v>
          </cell>
          <cell r="N1190">
            <v>90</v>
          </cell>
          <cell r="O1190" t="e">
            <v>#N/A</v>
          </cell>
          <cell r="P1190" t="str">
            <v/>
          </cell>
          <cell r="Q1190" t="str">
            <v/>
          </cell>
          <cell r="R1190">
            <v>90</v>
          </cell>
        </row>
        <row r="1191">
          <cell r="A1191" t="str">
            <v/>
          </cell>
          <cell r="B1191" t="str">
            <v/>
          </cell>
          <cell r="C1191" t="str">
            <v>Future</v>
          </cell>
          <cell r="D1191" t="e">
            <v>#N/A</v>
          </cell>
          <cell r="E1191">
            <v>-105.98570866141816</v>
          </cell>
          <cell r="F1191">
            <v>155.68751968503841</v>
          </cell>
          <cell r="G1191">
            <v>31.081220472440616</v>
          </cell>
          <cell r="H1191">
            <v>31.081220472440616</v>
          </cell>
          <cell r="I1191" t="e">
            <v>#N/A</v>
          </cell>
          <cell r="J1191" t="e">
            <v>#N/A</v>
          </cell>
          <cell r="K1191">
            <v>105</v>
          </cell>
          <cell r="L1191">
            <v>55</v>
          </cell>
          <cell r="M1191" t="e">
            <v>#N/A</v>
          </cell>
          <cell r="N1191">
            <v>90</v>
          </cell>
          <cell r="O1191" t="e">
            <v>#N/A</v>
          </cell>
          <cell r="P1191" t="str">
            <v/>
          </cell>
          <cell r="Q1191" t="str">
            <v/>
          </cell>
          <cell r="R1191">
            <v>90</v>
          </cell>
        </row>
        <row r="1192">
          <cell r="A1192" t="str">
            <v/>
          </cell>
          <cell r="B1192" t="str">
            <v/>
          </cell>
          <cell r="C1192" t="str">
            <v>Future</v>
          </cell>
          <cell r="D1192" t="e">
            <v>#N/A</v>
          </cell>
          <cell r="E1192">
            <v>-106.2653543307095</v>
          </cell>
          <cell r="F1192">
            <v>155.82125984251871</v>
          </cell>
          <cell r="G1192">
            <v>31.018110236220146</v>
          </cell>
          <cell r="H1192">
            <v>31.018110236220146</v>
          </cell>
          <cell r="I1192" t="e">
            <v>#N/A</v>
          </cell>
          <cell r="J1192" t="e">
            <v>#N/A</v>
          </cell>
          <cell r="K1192">
            <v>105</v>
          </cell>
          <cell r="L1192">
            <v>55</v>
          </cell>
          <cell r="M1192" t="e">
            <v>#N/A</v>
          </cell>
          <cell r="N1192">
            <v>90</v>
          </cell>
          <cell r="O1192" t="e">
            <v>#N/A</v>
          </cell>
          <cell r="P1192" t="str">
            <v/>
          </cell>
          <cell r="Q1192" t="str">
            <v/>
          </cell>
          <cell r="R1192">
            <v>90</v>
          </cell>
        </row>
        <row r="1193">
          <cell r="A1193" t="str">
            <v/>
          </cell>
          <cell r="B1193" t="str">
            <v/>
          </cell>
          <cell r="C1193" t="str">
            <v>Future</v>
          </cell>
          <cell r="D1193" t="e">
            <v>#N/A</v>
          </cell>
          <cell r="E1193">
            <v>-106.54500000000084</v>
          </cell>
          <cell r="F1193">
            <v>155.95499999999902</v>
          </cell>
          <cell r="G1193">
            <v>30.954999999999675</v>
          </cell>
          <cell r="H1193">
            <v>30.954999999999675</v>
          </cell>
          <cell r="I1193" t="e">
            <v>#N/A</v>
          </cell>
          <cell r="J1193" t="e">
            <v>#N/A</v>
          </cell>
          <cell r="K1193">
            <v>105</v>
          </cell>
          <cell r="L1193">
            <v>55</v>
          </cell>
          <cell r="M1193" t="e">
            <v>#N/A</v>
          </cell>
          <cell r="N1193">
            <v>90</v>
          </cell>
          <cell r="O1193" t="e">
            <v>#N/A</v>
          </cell>
          <cell r="P1193" t="str">
            <v/>
          </cell>
          <cell r="Q1193" t="str">
            <v/>
          </cell>
          <cell r="R1193">
            <v>90</v>
          </cell>
        </row>
        <row r="1194">
          <cell r="A1194" t="str">
            <v/>
          </cell>
          <cell r="B1194" t="str">
            <v/>
          </cell>
          <cell r="C1194" t="str">
            <v>Future</v>
          </cell>
          <cell r="D1194" t="e">
            <v>#N/A</v>
          </cell>
          <cell r="E1194">
            <v>-106.82464566929218</v>
          </cell>
          <cell r="F1194">
            <v>156.08874015747932</v>
          </cell>
          <cell r="G1194">
            <v>30.891889763779204</v>
          </cell>
          <cell r="H1194">
            <v>30.891889763779204</v>
          </cell>
          <cell r="I1194" t="e">
            <v>#N/A</v>
          </cell>
          <cell r="J1194" t="e">
            <v>#N/A</v>
          </cell>
          <cell r="K1194">
            <v>105</v>
          </cell>
          <cell r="L1194">
            <v>55</v>
          </cell>
          <cell r="M1194" t="e">
            <v>#N/A</v>
          </cell>
          <cell r="N1194">
            <v>90</v>
          </cell>
          <cell r="O1194" t="e">
            <v>#N/A</v>
          </cell>
          <cell r="P1194" t="str">
            <v/>
          </cell>
          <cell r="Q1194" t="str">
            <v/>
          </cell>
          <cell r="R1194">
            <v>90</v>
          </cell>
        </row>
        <row r="1195">
          <cell r="A1195" t="str">
            <v/>
          </cell>
          <cell r="B1195" t="str">
            <v/>
          </cell>
          <cell r="C1195" t="str">
            <v>Future</v>
          </cell>
          <cell r="D1195" t="e">
            <v>#N/A</v>
          </cell>
          <cell r="E1195">
            <v>-107.10429133858352</v>
          </cell>
          <cell r="F1195">
            <v>156.22248031495963</v>
          </cell>
          <cell r="G1195">
            <v>30.828779527558734</v>
          </cell>
          <cell r="H1195">
            <v>30.828779527558734</v>
          </cell>
          <cell r="I1195" t="e">
            <v>#N/A</v>
          </cell>
          <cell r="J1195" t="e">
            <v>#N/A</v>
          </cell>
          <cell r="K1195">
            <v>105</v>
          </cell>
          <cell r="L1195">
            <v>55</v>
          </cell>
          <cell r="M1195" t="e">
            <v>#N/A</v>
          </cell>
          <cell r="N1195">
            <v>90</v>
          </cell>
          <cell r="O1195" t="e">
            <v>#N/A</v>
          </cell>
          <cell r="P1195" t="str">
            <v/>
          </cell>
          <cell r="Q1195" t="str">
            <v/>
          </cell>
          <cell r="R1195">
            <v>90</v>
          </cell>
        </row>
        <row r="1196">
          <cell r="A1196" t="str">
            <v/>
          </cell>
          <cell r="B1196" t="str">
            <v/>
          </cell>
          <cell r="C1196" t="str">
            <v>Future</v>
          </cell>
          <cell r="D1196" t="e">
            <v>#N/A</v>
          </cell>
          <cell r="E1196">
            <v>-107.38393700787486</v>
          </cell>
          <cell r="F1196">
            <v>156.35622047243993</v>
          </cell>
          <cell r="G1196">
            <v>30.765669291338263</v>
          </cell>
          <cell r="H1196">
            <v>30.765669291338263</v>
          </cell>
          <cell r="I1196" t="e">
            <v>#N/A</v>
          </cell>
          <cell r="J1196" t="e">
            <v>#N/A</v>
          </cell>
          <cell r="K1196">
            <v>105</v>
          </cell>
          <cell r="L1196">
            <v>55</v>
          </cell>
          <cell r="M1196" t="e">
            <v>#N/A</v>
          </cell>
          <cell r="N1196">
            <v>90</v>
          </cell>
          <cell r="O1196" t="e">
            <v>#N/A</v>
          </cell>
          <cell r="P1196" t="str">
            <v/>
          </cell>
          <cell r="Q1196" t="str">
            <v/>
          </cell>
          <cell r="R1196">
            <v>90</v>
          </cell>
        </row>
        <row r="1197">
          <cell r="A1197" t="str">
            <v/>
          </cell>
          <cell r="B1197" t="str">
            <v/>
          </cell>
          <cell r="C1197" t="str">
            <v>Future</v>
          </cell>
          <cell r="D1197" t="e">
            <v>#N/A</v>
          </cell>
          <cell r="E1197">
            <v>-107.6635826771662</v>
          </cell>
          <cell r="F1197">
            <v>156.48996062992023</v>
          </cell>
          <cell r="G1197">
            <v>30.702559055117792</v>
          </cell>
          <cell r="H1197">
            <v>30.702559055117792</v>
          </cell>
          <cell r="I1197" t="e">
            <v>#N/A</v>
          </cell>
          <cell r="J1197" t="e">
            <v>#N/A</v>
          </cell>
          <cell r="K1197">
            <v>105</v>
          </cell>
          <cell r="L1197">
            <v>55</v>
          </cell>
          <cell r="M1197" t="e">
            <v>#N/A</v>
          </cell>
          <cell r="N1197">
            <v>90</v>
          </cell>
          <cell r="O1197" t="e">
            <v>#N/A</v>
          </cell>
          <cell r="P1197" t="str">
            <v/>
          </cell>
          <cell r="Q1197" t="str">
            <v/>
          </cell>
          <cell r="R1197">
            <v>90</v>
          </cell>
        </row>
        <row r="1198">
          <cell r="A1198" t="str">
            <v/>
          </cell>
          <cell r="B1198" t="str">
            <v/>
          </cell>
          <cell r="C1198" t="str">
            <v>Future</v>
          </cell>
          <cell r="D1198" t="e">
            <v>#N/A</v>
          </cell>
          <cell r="E1198">
            <v>-107.94322834645754</v>
          </cell>
          <cell r="F1198">
            <v>156.62370078740054</v>
          </cell>
          <cell r="G1198">
            <v>30.639448818897321</v>
          </cell>
          <cell r="H1198">
            <v>30.639448818897321</v>
          </cell>
          <cell r="I1198" t="e">
            <v>#N/A</v>
          </cell>
          <cell r="J1198" t="e">
            <v>#N/A</v>
          </cell>
          <cell r="K1198">
            <v>105</v>
          </cell>
          <cell r="L1198">
            <v>55</v>
          </cell>
          <cell r="M1198" t="e">
            <v>#N/A</v>
          </cell>
          <cell r="N1198">
            <v>90</v>
          </cell>
          <cell r="O1198" t="e">
            <v>#N/A</v>
          </cell>
          <cell r="P1198" t="str">
            <v/>
          </cell>
          <cell r="Q1198" t="str">
            <v/>
          </cell>
          <cell r="R1198">
            <v>90</v>
          </cell>
        </row>
        <row r="1199">
          <cell r="A1199" t="str">
            <v/>
          </cell>
          <cell r="B1199" t="str">
            <v/>
          </cell>
          <cell r="C1199" t="str">
            <v>Future</v>
          </cell>
          <cell r="D1199" t="e">
            <v>#N/A</v>
          </cell>
          <cell r="E1199">
            <v>-108.22287401574889</v>
          </cell>
          <cell r="F1199">
            <v>156.75744094488084</v>
          </cell>
          <cell r="G1199">
            <v>30.576338582676851</v>
          </cell>
          <cell r="H1199">
            <v>30.576338582676851</v>
          </cell>
          <cell r="I1199" t="e">
            <v>#N/A</v>
          </cell>
          <cell r="J1199" t="e">
            <v>#N/A</v>
          </cell>
          <cell r="K1199">
            <v>105</v>
          </cell>
          <cell r="L1199">
            <v>55</v>
          </cell>
          <cell r="M1199" t="e">
            <v>#N/A</v>
          </cell>
          <cell r="N1199">
            <v>90</v>
          </cell>
          <cell r="O1199" t="e">
            <v>#N/A</v>
          </cell>
          <cell r="P1199" t="str">
            <v/>
          </cell>
          <cell r="Q1199" t="str">
            <v/>
          </cell>
          <cell r="R1199">
            <v>90</v>
          </cell>
        </row>
        <row r="1200">
          <cell r="A1200" t="str">
            <v/>
          </cell>
          <cell r="B1200" t="str">
            <v/>
          </cell>
          <cell r="C1200" t="str">
            <v>Future</v>
          </cell>
          <cell r="D1200" t="e">
            <v>#N/A</v>
          </cell>
          <cell r="E1200">
            <v>-108.50251968504023</v>
          </cell>
          <cell r="F1200">
            <v>156.89118110236114</v>
          </cell>
          <cell r="G1200">
            <v>30.51322834645638</v>
          </cell>
          <cell r="H1200">
            <v>30.51322834645638</v>
          </cell>
          <cell r="I1200" t="e">
            <v>#N/A</v>
          </cell>
          <cell r="J1200" t="e">
            <v>#N/A</v>
          </cell>
          <cell r="K1200">
            <v>105</v>
          </cell>
          <cell r="L1200">
            <v>55</v>
          </cell>
          <cell r="M1200" t="e">
            <v>#N/A</v>
          </cell>
          <cell r="N1200">
            <v>90</v>
          </cell>
          <cell r="O1200" t="e">
            <v>#N/A</v>
          </cell>
          <cell r="P1200" t="str">
            <v/>
          </cell>
          <cell r="Q1200" t="str">
            <v/>
          </cell>
          <cell r="R1200">
            <v>90</v>
          </cell>
        </row>
        <row r="1201">
          <cell r="A1201" t="str">
            <v/>
          </cell>
          <cell r="B1201" t="str">
            <v/>
          </cell>
          <cell r="C1201" t="str">
            <v>Future</v>
          </cell>
          <cell r="D1201" t="e">
            <v>#N/A</v>
          </cell>
          <cell r="E1201">
            <v>-108.78216535433157</v>
          </cell>
          <cell r="F1201">
            <v>157.02492125984145</v>
          </cell>
          <cell r="G1201">
            <v>30.450118110235909</v>
          </cell>
          <cell r="H1201">
            <v>30.450118110235909</v>
          </cell>
          <cell r="I1201" t="e">
            <v>#N/A</v>
          </cell>
          <cell r="J1201" t="e">
            <v>#N/A</v>
          </cell>
          <cell r="K1201">
            <v>105</v>
          </cell>
          <cell r="L1201">
            <v>55</v>
          </cell>
          <cell r="M1201" t="e">
            <v>#N/A</v>
          </cell>
          <cell r="N1201">
            <v>90</v>
          </cell>
          <cell r="O1201" t="e">
            <v>#N/A</v>
          </cell>
          <cell r="P1201" t="str">
            <v/>
          </cell>
          <cell r="Q1201" t="str">
            <v/>
          </cell>
          <cell r="R1201">
            <v>90</v>
          </cell>
        </row>
        <row r="1202">
          <cell r="A1202" t="str">
            <v/>
          </cell>
          <cell r="B1202" t="str">
            <v/>
          </cell>
          <cell r="C1202" t="str">
            <v>Future</v>
          </cell>
          <cell r="D1202" t="e">
            <v>#N/A</v>
          </cell>
          <cell r="E1202">
            <v>-109.06181102362291</v>
          </cell>
          <cell r="F1202">
            <v>157.15866141732175</v>
          </cell>
          <cell r="G1202">
            <v>30.387007874015438</v>
          </cell>
          <cell r="H1202">
            <v>30.387007874015438</v>
          </cell>
          <cell r="I1202" t="e">
            <v>#N/A</v>
          </cell>
          <cell r="J1202" t="e">
            <v>#N/A</v>
          </cell>
          <cell r="K1202">
            <v>105</v>
          </cell>
          <cell r="L1202">
            <v>55</v>
          </cell>
          <cell r="M1202" t="e">
            <v>#N/A</v>
          </cell>
          <cell r="N1202">
            <v>90</v>
          </cell>
          <cell r="O1202" t="e">
            <v>#N/A</v>
          </cell>
          <cell r="P1202" t="str">
            <v/>
          </cell>
          <cell r="Q1202" t="str">
            <v/>
          </cell>
          <cell r="R1202">
            <v>90</v>
          </cell>
        </row>
        <row r="1203">
          <cell r="A1203" t="str">
            <v/>
          </cell>
          <cell r="B1203" t="str">
            <v/>
          </cell>
          <cell r="C1203" t="str">
            <v>Future</v>
          </cell>
          <cell r="D1203" t="e">
            <v>#N/A</v>
          </cell>
          <cell r="E1203">
            <v>-109.34145669291425</v>
          </cell>
          <cell r="F1203">
            <v>157.29240157480206</v>
          </cell>
          <cell r="G1203">
            <v>30.323897637794968</v>
          </cell>
          <cell r="H1203">
            <v>30.323897637794968</v>
          </cell>
          <cell r="I1203" t="e">
            <v>#N/A</v>
          </cell>
          <cell r="J1203" t="e">
            <v>#N/A</v>
          </cell>
          <cell r="K1203">
            <v>105</v>
          </cell>
          <cell r="L1203">
            <v>55</v>
          </cell>
          <cell r="M1203" t="e">
            <v>#N/A</v>
          </cell>
          <cell r="N1203">
            <v>90</v>
          </cell>
          <cell r="O1203" t="e">
            <v>#N/A</v>
          </cell>
          <cell r="P1203" t="str">
            <v/>
          </cell>
          <cell r="Q1203" t="str">
            <v/>
          </cell>
          <cell r="R1203">
            <v>90</v>
          </cell>
        </row>
        <row r="1204">
          <cell r="A1204" t="str">
            <v/>
          </cell>
          <cell r="B1204" t="str">
            <v/>
          </cell>
          <cell r="C1204" t="str">
            <v>Future</v>
          </cell>
          <cell r="D1204" t="e">
            <v>#N/A</v>
          </cell>
          <cell r="E1204">
            <v>-109.62110236220559</v>
          </cell>
          <cell r="F1204">
            <v>157.42614173228236</v>
          </cell>
          <cell r="G1204">
            <v>30.260787401574497</v>
          </cell>
          <cell r="H1204">
            <v>30.260787401574497</v>
          </cell>
          <cell r="I1204" t="e">
            <v>#N/A</v>
          </cell>
          <cell r="J1204" t="e">
            <v>#N/A</v>
          </cell>
          <cell r="K1204">
            <v>105</v>
          </cell>
          <cell r="L1204">
            <v>55</v>
          </cell>
          <cell r="M1204" t="e">
            <v>#N/A</v>
          </cell>
          <cell r="N1204">
            <v>90</v>
          </cell>
          <cell r="O1204" t="e">
            <v>#N/A</v>
          </cell>
          <cell r="P1204" t="str">
            <v/>
          </cell>
          <cell r="Q1204" t="str">
            <v/>
          </cell>
          <cell r="R1204">
            <v>90</v>
          </cell>
        </row>
        <row r="1205">
          <cell r="A1205" t="str">
            <v/>
          </cell>
          <cell r="B1205" t="str">
            <v/>
          </cell>
          <cell r="C1205" t="str">
            <v>Future</v>
          </cell>
          <cell r="D1205" t="e">
            <v>#N/A</v>
          </cell>
          <cell r="E1205">
            <v>-109.90074803149693</v>
          </cell>
          <cell r="F1205">
            <v>157.55988188976266</v>
          </cell>
          <cell r="G1205">
            <v>30.197677165354026</v>
          </cell>
          <cell r="H1205">
            <v>30.197677165354026</v>
          </cell>
          <cell r="I1205" t="e">
            <v>#N/A</v>
          </cell>
          <cell r="J1205" t="e">
            <v>#N/A</v>
          </cell>
          <cell r="K1205">
            <v>105</v>
          </cell>
          <cell r="L1205">
            <v>55</v>
          </cell>
          <cell r="M1205" t="e">
            <v>#N/A</v>
          </cell>
          <cell r="N1205">
            <v>90</v>
          </cell>
          <cell r="O1205" t="e">
            <v>#N/A</v>
          </cell>
          <cell r="P1205" t="str">
            <v/>
          </cell>
          <cell r="Q1205" t="str">
            <v/>
          </cell>
          <cell r="R1205">
            <v>90</v>
          </cell>
        </row>
        <row r="1206">
          <cell r="A1206" t="str">
            <v/>
          </cell>
          <cell r="B1206" t="str">
            <v/>
          </cell>
          <cell r="C1206" t="str">
            <v>Future</v>
          </cell>
          <cell r="D1206" t="e">
            <v>#N/A</v>
          </cell>
          <cell r="E1206">
            <v>-110.18039370078827</v>
          </cell>
          <cell r="F1206">
            <v>157.69362204724297</v>
          </cell>
          <cell r="G1206">
            <v>30.134566929133555</v>
          </cell>
          <cell r="H1206">
            <v>30.134566929133555</v>
          </cell>
          <cell r="I1206" t="e">
            <v>#N/A</v>
          </cell>
          <cell r="J1206" t="e">
            <v>#N/A</v>
          </cell>
          <cell r="K1206">
            <v>105</v>
          </cell>
          <cell r="L1206">
            <v>55</v>
          </cell>
          <cell r="M1206" t="e">
            <v>#N/A</v>
          </cell>
          <cell r="N1206">
            <v>90</v>
          </cell>
          <cell r="O1206" t="e">
            <v>#N/A</v>
          </cell>
          <cell r="P1206" t="str">
            <v/>
          </cell>
          <cell r="Q1206" t="str">
            <v/>
          </cell>
          <cell r="R1206">
            <v>90</v>
          </cell>
        </row>
        <row r="1207">
          <cell r="A1207" t="str">
            <v/>
          </cell>
          <cell r="B1207" t="str">
            <v/>
          </cell>
          <cell r="C1207" t="str">
            <v>Future</v>
          </cell>
          <cell r="D1207" t="e">
            <v>#N/A</v>
          </cell>
          <cell r="E1207">
            <v>-110.46003937007961</v>
          </cell>
          <cell r="F1207">
            <v>157.82736220472327</v>
          </cell>
          <cell r="G1207">
            <v>30.071456692913085</v>
          </cell>
          <cell r="H1207">
            <v>30.071456692913085</v>
          </cell>
          <cell r="I1207" t="e">
            <v>#N/A</v>
          </cell>
          <cell r="J1207" t="e">
            <v>#N/A</v>
          </cell>
          <cell r="K1207">
            <v>105</v>
          </cell>
          <cell r="L1207">
            <v>55</v>
          </cell>
          <cell r="M1207" t="e">
            <v>#N/A</v>
          </cell>
          <cell r="N1207">
            <v>90</v>
          </cell>
          <cell r="O1207" t="e">
            <v>#N/A</v>
          </cell>
          <cell r="P1207" t="str">
            <v/>
          </cell>
          <cell r="Q1207" t="str">
            <v/>
          </cell>
          <cell r="R1207">
            <v>90</v>
          </cell>
        </row>
        <row r="1208">
          <cell r="A1208" t="str">
            <v/>
          </cell>
          <cell r="B1208" t="str">
            <v/>
          </cell>
          <cell r="C1208" t="str">
            <v>Future</v>
          </cell>
          <cell r="D1208" t="e">
            <v>#N/A</v>
          </cell>
          <cell r="E1208">
            <v>-110.73968503937095</v>
          </cell>
          <cell r="F1208">
            <v>157.96110236220358</v>
          </cell>
          <cell r="G1208">
            <v>30.008346456692614</v>
          </cell>
          <cell r="H1208">
            <v>30.008346456692614</v>
          </cell>
          <cell r="I1208" t="e">
            <v>#N/A</v>
          </cell>
          <cell r="J1208" t="e">
            <v>#N/A</v>
          </cell>
          <cell r="K1208">
            <v>105</v>
          </cell>
          <cell r="L1208">
            <v>55</v>
          </cell>
          <cell r="M1208" t="e">
            <v>#N/A</v>
          </cell>
          <cell r="N1208">
            <v>90</v>
          </cell>
          <cell r="O1208" t="e">
            <v>#N/A</v>
          </cell>
          <cell r="P1208" t="str">
            <v/>
          </cell>
          <cell r="Q1208" t="str">
            <v/>
          </cell>
          <cell r="R1208">
            <v>90</v>
          </cell>
        </row>
        <row r="1209">
          <cell r="A1209" t="str">
            <v/>
          </cell>
          <cell r="B1209" t="str">
            <v/>
          </cell>
          <cell r="C1209" t="str">
            <v>Future</v>
          </cell>
          <cell r="D1209" t="e">
            <v>#N/A</v>
          </cell>
          <cell r="E1209">
            <v>-111.0193307086623</v>
          </cell>
          <cell r="F1209">
            <v>158.09484251968388</v>
          </cell>
          <cell r="G1209">
            <v>29.945236220472143</v>
          </cell>
          <cell r="H1209">
            <v>29.945236220472143</v>
          </cell>
          <cell r="I1209" t="e">
            <v>#N/A</v>
          </cell>
          <cell r="J1209" t="e">
            <v>#N/A</v>
          </cell>
          <cell r="K1209">
            <v>105</v>
          </cell>
          <cell r="L1209">
            <v>55</v>
          </cell>
          <cell r="M1209" t="e">
            <v>#N/A</v>
          </cell>
          <cell r="N1209">
            <v>90</v>
          </cell>
          <cell r="O1209" t="e">
            <v>#N/A</v>
          </cell>
          <cell r="P1209" t="str">
            <v/>
          </cell>
          <cell r="Q1209" t="str">
            <v/>
          </cell>
          <cell r="R1209">
            <v>90</v>
          </cell>
        </row>
        <row r="1210">
          <cell r="A1210" t="str">
            <v/>
          </cell>
          <cell r="B1210" t="str">
            <v/>
          </cell>
          <cell r="C1210" t="str">
            <v>Future</v>
          </cell>
          <cell r="D1210" t="e">
            <v>#N/A</v>
          </cell>
          <cell r="E1210">
            <v>-111.29897637795364</v>
          </cell>
          <cell r="F1210">
            <v>158.22858267716418</v>
          </cell>
          <cell r="G1210">
            <v>29.882125984251672</v>
          </cell>
          <cell r="H1210">
            <v>29.882125984251672</v>
          </cell>
          <cell r="I1210" t="e">
            <v>#N/A</v>
          </cell>
          <cell r="J1210" t="e">
            <v>#N/A</v>
          </cell>
          <cell r="K1210">
            <v>105</v>
          </cell>
          <cell r="L1210">
            <v>55</v>
          </cell>
          <cell r="M1210" t="e">
            <v>#N/A</v>
          </cell>
          <cell r="N1210">
            <v>90</v>
          </cell>
          <cell r="O1210" t="e">
            <v>#N/A</v>
          </cell>
          <cell r="P1210" t="str">
            <v/>
          </cell>
          <cell r="Q1210" t="str">
            <v/>
          </cell>
          <cell r="R1210">
            <v>90</v>
          </cell>
        </row>
        <row r="1211">
          <cell r="A1211" t="str">
            <v/>
          </cell>
          <cell r="B1211" t="str">
            <v/>
          </cell>
          <cell r="C1211" t="str">
            <v>Future</v>
          </cell>
          <cell r="D1211" t="e">
            <v>#N/A</v>
          </cell>
          <cell r="E1211">
            <v>-111.57862204724498</v>
          </cell>
          <cell r="F1211">
            <v>158.36232283464449</v>
          </cell>
          <cell r="G1211">
            <v>29.819015748031202</v>
          </cell>
          <cell r="H1211">
            <v>29.819015748031202</v>
          </cell>
          <cell r="I1211" t="e">
            <v>#N/A</v>
          </cell>
          <cell r="J1211" t="e">
            <v>#N/A</v>
          </cell>
          <cell r="K1211">
            <v>105</v>
          </cell>
          <cell r="L1211">
            <v>55</v>
          </cell>
          <cell r="M1211" t="e">
            <v>#N/A</v>
          </cell>
          <cell r="N1211">
            <v>90</v>
          </cell>
          <cell r="O1211" t="e">
            <v>#N/A</v>
          </cell>
          <cell r="P1211" t="str">
            <v/>
          </cell>
          <cell r="Q1211" t="str">
            <v/>
          </cell>
          <cell r="R1211">
            <v>90</v>
          </cell>
        </row>
        <row r="1212">
          <cell r="A1212" t="str">
            <v/>
          </cell>
          <cell r="B1212" t="str">
            <v/>
          </cell>
          <cell r="C1212" t="str">
            <v>Future</v>
          </cell>
          <cell r="D1212" t="e">
            <v>#N/A</v>
          </cell>
          <cell r="E1212">
            <v>-111.85826771653632</v>
          </cell>
          <cell r="F1212">
            <v>158.49606299212479</v>
          </cell>
          <cell r="G1212">
            <v>29.755905511810731</v>
          </cell>
          <cell r="H1212">
            <v>29.755905511810731</v>
          </cell>
          <cell r="I1212" t="e">
            <v>#N/A</v>
          </cell>
          <cell r="J1212" t="e">
            <v>#N/A</v>
          </cell>
          <cell r="K1212">
            <v>105</v>
          </cell>
          <cell r="L1212">
            <v>55</v>
          </cell>
          <cell r="M1212" t="e">
            <v>#N/A</v>
          </cell>
          <cell r="N1212">
            <v>90</v>
          </cell>
          <cell r="O1212" t="e">
            <v>#N/A</v>
          </cell>
          <cell r="P1212" t="str">
            <v/>
          </cell>
          <cell r="Q1212" t="str">
            <v/>
          </cell>
          <cell r="R1212">
            <v>90</v>
          </cell>
        </row>
        <row r="1213">
          <cell r="A1213" t="str">
            <v/>
          </cell>
          <cell r="B1213" t="str">
            <v/>
          </cell>
          <cell r="C1213" t="str">
            <v>Future</v>
          </cell>
          <cell r="D1213" t="e">
            <v>#N/A</v>
          </cell>
          <cell r="E1213">
            <v>-112.13791338582766</v>
          </cell>
          <cell r="F1213">
            <v>158.6298031496051</v>
          </cell>
          <cell r="G1213">
            <v>29.69279527559026</v>
          </cell>
          <cell r="H1213">
            <v>29.69279527559026</v>
          </cell>
          <cell r="I1213" t="e">
            <v>#N/A</v>
          </cell>
          <cell r="J1213" t="e">
            <v>#N/A</v>
          </cell>
          <cell r="K1213">
            <v>105</v>
          </cell>
          <cell r="L1213">
            <v>55</v>
          </cell>
          <cell r="M1213" t="e">
            <v>#N/A</v>
          </cell>
          <cell r="N1213">
            <v>90</v>
          </cell>
          <cell r="O1213" t="e">
            <v>#N/A</v>
          </cell>
          <cell r="P1213" t="str">
            <v/>
          </cell>
          <cell r="Q1213" t="str">
            <v/>
          </cell>
          <cell r="R1213">
            <v>90</v>
          </cell>
        </row>
        <row r="1214">
          <cell r="A1214" t="str">
            <v/>
          </cell>
          <cell r="B1214" t="str">
            <v/>
          </cell>
          <cell r="C1214" t="str">
            <v>Future</v>
          </cell>
          <cell r="D1214" t="e">
            <v>#N/A</v>
          </cell>
          <cell r="E1214">
            <v>-112.417559055119</v>
          </cell>
          <cell r="F1214">
            <v>158.7635433070854</v>
          </cell>
          <cell r="G1214">
            <v>29.629685039369789</v>
          </cell>
          <cell r="H1214">
            <v>29.629685039369789</v>
          </cell>
          <cell r="I1214" t="e">
            <v>#N/A</v>
          </cell>
          <cell r="J1214" t="e">
            <v>#N/A</v>
          </cell>
          <cell r="K1214">
            <v>105</v>
          </cell>
          <cell r="L1214">
            <v>55</v>
          </cell>
          <cell r="M1214" t="e">
            <v>#N/A</v>
          </cell>
          <cell r="N1214">
            <v>90</v>
          </cell>
          <cell r="O1214" t="e">
            <v>#N/A</v>
          </cell>
          <cell r="P1214" t="str">
            <v/>
          </cell>
          <cell r="Q1214" t="str">
            <v/>
          </cell>
          <cell r="R1214">
            <v>90</v>
          </cell>
        </row>
        <row r="1215">
          <cell r="A1215" t="str">
            <v/>
          </cell>
          <cell r="B1215" t="str">
            <v/>
          </cell>
          <cell r="C1215" t="str">
            <v>Future</v>
          </cell>
          <cell r="D1215" t="e">
            <v>#N/A</v>
          </cell>
          <cell r="E1215">
            <v>-112.69720472441034</v>
          </cell>
          <cell r="F1215">
            <v>158.8972834645657</v>
          </cell>
          <cell r="G1215">
            <v>29.566574803149319</v>
          </cell>
          <cell r="H1215">
            <v>29.566574803149319</v>
          </cell>
          <cell r="I1215" t="e">
            <v>#N/A</v>
          </cell>
          <cell r="J1215" t="e">
            <v>#N/A</v>
          </cell>
          <cell r="K1215">
            <v>105</v>
          </cell>
          <cell r="L1215">
            <v>55</v>
          </cell>
          <cell r="M1215" t="e">
            <v>#N/A</v>
          </cell>
          <cell r="N1215">
            <v>90</v>
          </cell>
          <cell r="O1215" t="e">
            <v>#N/A</v>
          </cell>
          <cell r="P1215" t="str">
            <v/>
          </cell>
          <cell r="Q1215" t="str">
            <v/>
          </cell>
          <cell r="R1215">
            <v>90</v>
          </cell>
        </row>
        <row r="1216">
          <cell r="A1216" t="str">
            <v/>
          </cell>
          <cell r="B1216" t="str">
            <v/>
          </cell>
          <cell r="C1216" t="str">
            <v>Future</v>
          </cell>
          <cell r="D1216" t="e">
            <v>#N/A</v>
          </cell>
          <cell r="E1216">
            <v>-112.97685039370168</v>
          </cell>
          <cell r="F1216">
            <v>159.03102362204601</v>
          </cell>
          <cell r="G1216">
            <v>29.503464566928848</v>
          </cell>
          <cell r="H1216">
            <v>29.503464566928848</v>
          </cell>
          <cell r="I1216" t="e">
            <v>#N/A</v>
          </cell>
          <cell r="J1216" t="e">
            <v>#N/A</v>
          </cell>
          <cell r="K1216">
            <v>105</v>
          </cell>
          <cell r="L1216">
            <v>55</v>
          </cell>
          <cell r="M1216" t="e">
            <v>#N/A</v>
          </cell>
          <cell r="N1216">
            <v>90</v>
          </cell>
          <cell r="O1216" t="e">
            <v>#N/A</v>
          </cell>
          <cell r="P1216" t="str">
            <v/>
          </cell>
          <cell r="Q1216" t="str">
            <v/>
          </cell>
          <cell r="R1216">
            <v>90</v>
          </cell>
        </row>
        <row r="1217">
          <cell r="A1217" t="str">
            <v/>
          </cell>
          <cell r="B1217" t="str">
            <v/>
          </cell>
          <cell r="C1217" t="str">
            <v>Future</v>
          </cell>
          <cell r="D1217" t="e">
            <v>#N/A</v>
          </cell>
          <cell r="E1217">
            <v>-113.25649606299302</v>
          </cell>
          <cell r="F1217">
            <v>159.16476377952631</v>
          </cell>
          <cell r="G1217">
            <v>29.440354330708377</v>
          </cell>
          <cell r="H1217">
            <v>29.440354330708377</v>
          </cell>
          <cell r="I1217" t="e">
            <v>#N/A</v>
          </cell>
          <cell r="J1217" t="e">
            <v>#N/A</v>
          </cell>
          <cell r="K1217">
            <v>105</v>
          </cell>
          <cell r="L1217">
            <v>55</v>
          </cell>
          <cell r="M1217" t="e">
            <v>#N/A</v>
          </cell>
          <cell r="N1217">
            <v>90</v>
          </cell>
          <cell r="O1217" t="e">
            <v>#N/A</v>
          </cell>
          <cell r="P1217" t="str">
            <v/>
          </cell>
          <cell r="Q1217" t="str">
            <v/>
          </cell>
          <cell r="R1217">
            <v>90</v>
          </cell>
        </row>
        <row r="1218">
          <cell r="A1218" t="str">
            <v/>
          </cell>
          <cell r="B1218" t="str">
            <v/>
          </cell>
          <cell r="C1218" t="str">
            <v>Future</v>
          </cell>
          <cell r="D1218" t="e">
            <v>#N/A</v>
          </cell>
          <cell r="E1218">
            <v>-113.53614173228436</v>
          </cell>
          <cell r="F1218">
            <v>159.29850393700661</v>
          </cell>
          <cell r="G1218">
            <v>29.377244094487907</v>
          </cell>
          <cell r="H1218">
            <v>29.377244094487907</v>
          </cell>
          <cell r="I1218" t="e">
            <v>#N/A</v>
          </cell>
          <cell r="J1218" t="e">
            <v>#N/A</v>
          </cell>
          <cell r="K1218">
            <v>105</v>
          </cell>
          <cell r="L1218">
            <v>55</v>
          </cell>
          <cell r="M1218" t="e">
            <v>#N/A</v>
          </cell>
          <cell r="N1218">
            <v>90</v>
          </cell>
          <cell r="O1218" t="e">
            <v>#N/A</v>
          </cell>
          <cell r="P1218" t="str">
            <v/>
          </cell>
          <cell r="Q1218" t="str">
            <v/>
          </cell>
          <cell r="R1218">
            <v>90</v>
          </cell>
        </row>
        <row r="1219">
          <cell r="A1219" t="str">
            <v/>
          </cell>
          <cell r="B1219" t="str">
            <v/>
          </cell>
          <cell r="C1219" t="str">
            <v>Future</v>
          </cell>
          <cell r="D1219" t="e">
            <v>#N/A</v>
          </cell>
          <cell r="E1219">
            <v>-113.8157874015757</v>
          </cell>
          <cell r="F1219">
            <v>159.43224409448692</v>
          </cell>
          <cell r="G1219">
            <v>29.314133858267436</v>
          </cell>
          <cell r="H1219">
            <v>29.314133858267436</v>
          </cell>
          <cell r="I1219" t="e">
            <v>#N/A</v>
          </cell>
          <cell r="J1219" t="e">
            <v>#N/A</v>
          </cell>
          <cell r="K1219">
            <v>105</v>
          </cell>
          <cell r="L1219">
            <v>55</v>
          </cell>
          <cell r="M1219" t="e">
            <v>#N/A</v>
          </cell>
          <cell r="N1219">
            <v>90</v>
          </cell>
          <cell r="O1219" t="e">
            <v>#N/A</v>
          </cell>
          <cell r="P1219" t="str">
            <v/>
          </cell>
          <cell r="Q1219" t="str">
            <v/>
          </cell>
          <cell r="R1219">
            <v>90</v>
          </cell>
        </row>
        <row r="1220">
          <cell r="A1220" t="str">
            <v/>
          </cell>
          <cell r="B1220" t="str">
            <v/>
          </cell>
          <cell r="C1220" t="str">
            <v>Future</v>
          </cell>
          <cell r="D1220" t="e">
            <v>#N/A</v>
          </cell>
          <cell r="E1220">
            <v>-114.09543307086705</v>
          </cell>
          <cell r="F1220">
            <v>159.56598425196722</v>
          </cell>
          <cell r="G1220">
            <v>29.251023622046965</v>
          </cell>
          <cell r="H1220">
            <v>29.251023622046965</v>
          </cell>
          <cell r="I1220" t="e">
            <v>#N/A</v>
          </cell>
          <cell r="J1220" t="e">
            <v>#N/A</v>
          </cell>
          <cell r="K1220">
            <v>105</v>
          </cell>
          <cell r="L1220">
            <v>55</v>
          </cell>
          <cell r="M1220" t="e">
            <v>#N/A</v>
          </cell>
          <cell r="N1220">
            <v>90</v>
          </cell>
          <cell r="O1220" t="e">
            <v>#N/A</v>
          </cell>
          <cell r="P1220" t="str">
            <v/>
          </cell>
          <cell r="Q1220" t="str">
            <v/>
          </cell>
          <cell r="R1220">
            <v>90</v>
          </cell>
        </row>
        <row r="1221">
          <cell r="A1221" t="str">
            <v/>
          </cell>
          <cell r="B1221" t="str">
            <v/>
          </cell>
          <cell r="C1221" t="str">
            <v>Future</v>
          </cell>
          <cell r="D1221" t="e">
            <v>#N/A</v>
          </cell>
          <cell r="E1221">
            <v>-114.37507874015839</v>
          </cell>
          <cell r="F1221">
            <v>159.69972440944753</v>
          </cell>
          <cell r="G1221">
            <v>29.187913385826494</v>
          </cell>
          <cell r="H1221">
            <v>29.187913385826494</v>
          </cell>
          <cell r="I1221" t="e">
            <v>#N/A</v>
          </cell>
          <cell r="J1221" t="e">
            <v>#N/A</v>
          </cell>
          <cell r="K1221">
            <v>105</v>
          </cell>
          <cell r="L1221">
            <v>55</v>
          </cell>
          <cell r="M1221" t="e">
            <v>#N/A</v>
          </cell>
          <cell r="N1221">
            <v>90</v>
          </cell>
          <cell r="O1221" t="e">
            <v>#N/A</v>
          </cell>
          <cell r="P1221" t="str">
            <v/>
          </cell>
          <cell r="Q1221" t="str">
            <v/>
          </cell>
          <cell r="R1221">
            <v>90</v>
          </cell>
        </row>
        <row r="1222">
          <cell r="A1222" t="str">
            <v/>
          </cell>
          <cell r="B1222" t="str">
            <v/>
          </cell>
          <cell r="C1222" t="str">
            <v>Future</v>
          </cell>
          <cell r="D1222" t="e">
            <v>#N/A</v>
          </cell>
          <cell r="E1222">
            <v>-114.65472440944973</v>
          </cell>
          <cell r="F1222">
            <v>159.83346456692783</v>
          </cell>
          <cell r="G1222">
            <v>29.124803149606024</v>
          </cell>
          <cell r="H1222">
            <v>29.124803149606024</v>
          </cell>
          <cell r="I1222" t="e">
            <v>#N/A</v>
          </cell>
          <cell r="J1222" t="e">
            <v>#N/A</v>
          </cell>
          <cell r="K1222">
            <v>105</v>
          </cell>
          <cell r="L1222">
            <v>55</v>
          </cell>
          <cell r="M1222" t="e">
            <v>#N/A</v>
          </cell>
          <cell r="N1222">
            <v>90</v>
          </cell>
          <cell r="O1222" t="e">
            <v>#N/A</v>
          </cell>
          <cell r="P1222" t="str">
            <v/>
          </cell>
          <cell r="Q1222" t="str">
            <v/>
          </cell>
          <cell r="R1222">
            <v>90</v>
          </cell>
        </row>
        <row r="1223">
          <cell r="A1223" t="str">
            <v/>
          </cell>
          <cell r="B1223" t="str">
            <v/>
          </cell>
          <cell r="C1223" t="str">
            <v>Future</v>
          </cell>
          <cell r="D1223" t="e">
            <v>#N/A</v>
          </cell>
          <cell r="E1223">
            <v>-114.93437007874107</v>
          </cell>
          <cell r="F1223">
            <v>159.96720472440813</v>
          </cell>
          <cell r="G1223">
            <v>29.061692913385553</v>
          </cell>
          <cell r="H1223">
            <v>29.061692913385553</v>
          </cell>
          <cell r="I1223" t="e">
            <v>#N/A</v>
          </cell>
          <cell r="J1223" t="e">
            <v>#N/A</v>
          </cell>
          <cell r="K1223">
            <v>105</v>
          </cell>
          <cell r="L1223">
            <v>55</v>
          </cell>
          <cell r="M1223" t="e">
            <v>#N/A</v>
          </cell>
          <cell r="N1223">
            <v>90</v>
          </cell>
          <cell r="O1223" t="e">
            <v>#N/A</v>
          </cell>
          <cell r="P1223" t="str">
            <v/>
          </cell>
          <cell r="Q1223" t="str">
            <v/>
          </cell>
          <cell r="R1223">
            <v>90</v>
          </cell>
        </row>
        <row r="1224">
          <cell r="A1224" t="str">
            <v/>
          </cell>
          <cell r="B1224" t="str">
            <v/>
          </cell>
          <cell r="C1224" t="str">
            <v>Future</v>
          </cell>
          <cell r="D1224" t="e">
            <v>#N/A</v>
          </cell>
          <cell r="E1224">
            <v>-115.21401574803241</v>
          </cell>
          <cell r="F1224">
            <v>160.10094488188844</v>
          </cell>
          <cell r="G1224">
            <v>28.998582677165082</v>
          </cell>
          <cell r="H1224">
            <v>28.998582677165082</v>
          </cell>
          <cell r="I1224" t="e">
            <v>#N/A</v>
          </cell>
          <cell r="J1224" t="e">
            <v>#N/A</v>
          </cell>
          <cell r="K1224">
            <v>105</v>
          </cell>
          <cell r="L1224">
            <v>55</v>
          </cell>
          <cell r="M1224" t="e">
            <v>#N/A</v>
          </cell>
          <cell r="N1224">
            <v>90</v>
          </cell>
          <cell r="O1224" t="e">
            <v>#N/A</v>
          </cell>
          <cell r="P1224" t="str">
            <v/>
          </cell>
          <cell r="Q1224" t="str">
            <v/>
          </cell>
          <cell r="R1224">
            <v>90</v>
          </cell>
        </row>
        <row r="1225">
          <cell r="A1225" t="str">
            <v/>
          </cell>
          <cell r="B1225" t="str">
            <v/>
          </cell>
          <cell r="C1225" t="str">
            <v>Future</v>
          </cell>
          <cell r="D1225" t="e">
            <v>#N/A</v>
          </cell>
          <cell r="E1225">
            <v>-115.49366141732375</v>
          </cell>
          <cell r="F1225">
            <v>160.23468503936874</v>
          </cell>
          <cell r="G1225">
            <v>28.935472440944611</v>
          </cell>
          <cell r="H1225">
            <v>28.935472440944611</v>
          </cell>
          <cell r="I1225" t="e">
            <v>#N/A</v>
          </cell>
          <cell r="J1225" t="e">
            <v>#N/A</v>
          </cell>
          <cell r="K1225">
            <v>105</v>
          </cell>
          <cell r="L1225">
            <v>55</v>
          </cell>
          <cell r="M1225" t="e">
            <v>#N/A</v>
          </cell>
          <cell r="N1225">
            <v>90</v>
          </cell>
          <cell r="O1225" t="e">
            <v>#N/A</v>
          </cell>
          <cell r="P1225" t="str">
            <v/>
          </cell>
          <cell r="Q1225" t="str">
            <v/>
          </cell>
          <cell r="R1225">
            <v>90</v>
          </cell>
        </row>
        <row r="1226">
          <cell r="A1226" t="str">
            <v/>
          </cell>
          <cell r="B1226" t="str">
            <v/>
          </cell>
          <cell r="C1226" t="str">
            <v>Future</v>
          </cell>
          <cell r="D1226" t="e">
            <v>#N/A</v>
          </cell>
          <cell r="E1226">
            <v>-115.77330708661509</v>
          </cell>
          <cell r="F1226">
            <v>160.36842519684905</v>
          </cell>
          <cell r="G1226">
            <v>28.872362204724141</v>
          </cell>
          <cell r="H1226">
            <v>28.872362204724141</v>
          </cell>
          <cell r="I1226" t="e">
            <v>#N/A</v>
          </cell>
          <cell r="J1226" t="e">
            <v>#N/A</v>
          </cell>
          <cell r="K1226">
            <v>105</v>
          </cell>
          <cell r="L1226">
            <v>55</v>
          </cell>
          <cell r="M1226" t="e">
            <v>#N/A</v>
          </cell>
          <cell r="N1226">
            <v>90</v>
          </cell>
          <cell r="O1226" t="e">
            <v>#N/A</v>
          </cell>
          <cell r="P1226" t="str">
            <v/>
          </cell>
          <cell r="Q1226" t="str">
            <v/>
          </cell>
          <cell r="R1226">
            <v>90</v>
          </cell>
        </row>
        <row r="1227">
          <cell r="A1227" t="str">
            <v/>
          </cell>
          <cell r="B1227" t="str">
            <v/>
          </cell>
          <cell r="C1227" t="str">
            <v>Future</v>
          </cell>
          <cell r="D1227" t="e">
            <v>#N/A</v>
          </cell>
          <cell r="E1227">
            <v>-116.05295275590643</v>
          </cell>
          <cell r="F1227">
            <v>160.50216535432935</v>
          </cell>
          <cell r="G1227">
            <v>28.80925196850367</v>
          </cell>
          <cell r="H1227">
            <v>28.80925196850367</v>
          </cell>
          <cell r="I1227" t="e">
            <v>#N/A</v>
          </cell>
          <cell r="J1227" t="e">
            <v>#N/A</v>
          </cell>
          <cell r="K1227">
            <v>105</v>
          </cell>
          <cell r="L1227">
            <v>55</v>
          </cell>
          <cell r="M1227" t="e">
            <v>#N/A</v>
          </cell>
          <cell r="N1227">
            <v>90</v>
          </cell>
          <cell r="O1227" t="e">
            <v>#N/A</v>
          </cell>
          <cell r="P1227" t="str">
            <v/>
          </cell>
          <cell r="Q1227" t="str">
            <v/>
          </cell>
          <cell r="R1227">
            <v>90</v>
          </cell>
        </row>
        <row r="1228">
          <cell r="A1228" t="str">
            <v/>
          </cell>
          <cell r="B1228" t="str">
            <v/>
          </cell>
          <cell r="C1228" t="str">
            <v>Future</v>
          </cell>
          <cell r="D1228" t="e">
            <v>#N/A</v>
          </cell>
          <cell r="E1228">
            <v>-116.33259842519777</v>
          </cell>
          <cell r="F1228">
            <v>160.63590551180965</v>
          </cell>
          <cell r="G1228">
            <v>28.746141732283199</v>
          </cell>
          <cell r="H1228">
            <v>28.746141732283199</v>
          </cell>
          <cell r="I1228" t="e">
            <v>#N/A</v>
          </cell>
          <cell r="J1228" t="e">
            <v>#N/A</v>
          </cell>
          <cell r="K1228">
            <v>105</v>
          </cell>
          <cell r="L1228">
            <v>55</v>
          </cell>
          <cell r="M1228" t="e">
            <v>#N/A</v>
          </cell>
          <cell r="N1228">
            <v>90</v>
          </cell>
          <cell r="O1228" t="e">
            <v>#N/A</v>
          </cell>
          <cell r="P1228" t="str">
            <v/>
          </cell>
          <cell r="Q1228" t="str">
            <v/>
          </cell>
          <cell r="R1228">
            <v>90</v>
          </cell>
        </row>
        <row r="1229">
          <cell r="A1229" t="str">
            <v/>
          </cell>
          <cell r="B1229" t="str">
            <v/>
          </cell>
          <cell r="C1229" t="str">
            <v>Future</v>
          </cell>
          <cell r="D1229" t="e">
            <v>#N/A</v>
          </cell>
          <cell r="E1229">
            <v>-116.61224409448911</v>
          </cell>
          <cell r="F1229">
            <v>160.76964566928996</v>
          </cell>
          <cell r="G1229">
            <v>28.683031496062728</v>
          </cell>
          <cell r="H1229">
            <v>28.683031496062728</v>
          </cell>
          <cell r="I1229" t="e">
            <v>#N/A</v>
          </cell>
          <cell r="J1229" t="e">
            <v>#N/A</v>
          </cell>
          <cell r="K1229">
            <v>105</v>
          </cell>
          <cell r="L1229">
            <v>55</v>
          </cell>
          <cell r="M1229" t="e">
            <v>#N/A</v>
          </cell>
          <cell r="N1229">
            <v>90</v>
          </cell>
          <cell r="O1229" t="e">
            <v>#N/A</v>
          </cell>
          <cell r="P1229" t="str">
            <v/>
          </cell>
          <cell r="Q1229" t="str">
            <v/>
          </cell>
          <cell r="R1229">
            <v>90</v>
          </cell>
        </row>
        <row r="1230">
          <cell r="A1230" t="str">
            <v/>
          </cell>
          <cell r="B1230" t="str">
            <v/>
          </cell>
          <cell r="C1230" t="str">
            <v>Future</v>
          </cell>
          <cell r="D1230" t="e">
            <v>#N/A</v>
          </cell>
          <cell r="E1230">
            <v>-116.89188976378045</v>
          </cell>
          <cell r="F1230">
            <v>160.90338582677026</v>
          </cell>
          <cell r="G1230">
            <v>28.619921259842258</v>
          </cell>
          <cell r="H1230">
            <v>28.619921259842258</v>
          </cell>
          <cell r="I1230" t="e">
            <v>#N/A</v>
          </cell>
          <cell r="J1230" t="e">
            <v>#N/A</v>
          </cell>
          <cell r="K1230">
            <v>105</v>
          </cell>
          <cell r="L1230">
            <v>55</v>
          </cell>
          <cell r="M1230" t="e">
            <v>#N/A</v>
          </cell>
          <cell r="N1230">
            <v>90</v>
          </cell>
          <cell r="O1230" t="e">
            <v>#N/A</v>
          </cell>
          <cell r="P1230" t="str">
            <v/>
          </cell>
          <cell r="Q1230" t="str">
            <v/>
          </cell>
          <cell r="R1230">
            <v>90</v>
          </cell>
        </row>
        <row r="1231">
          <cell r="A1231" t="str">
            <v/>
          </cell>
          <cell r="B1231" t="str">
            <v/>
          </cell>
          <cell r="C1231" t="str">
            <v>Future</v>
          </cell>
          <cell r="D1231" t="e">
            <v>#N/A</v>
          </cell>
          <cell r="E1231">
            <v>-117.1715354330718</v>
          </cell>
          <cell r="F1231">
            <v>161.03712598425057</v>
          </cell>
          <cell r="G1231">
            <v>28.556811023621787</v>
          </cell>
          <cell r="H1231">
            <v>28.556811023621787</v>
          </cell>
          <cell r="I1231" t="e">
            <v>#N/A</v>
          </cell>
          <cell r="J1231" t="e">
            <v>#N/A</v>
          </cell>
          <cell r="K1231">
            <v>105</v>
          </cell>
          <cell r="L1231">
            <v>55</v>
          </cell>
          <cell r="M1231" t="e">
            <v>#N/A</v>
          </cell>
          <cell r="N1231">
            <v>90</v>
          </cell>
          <cell r="O1231" t="e">
            <v>#N/A</v>
          </cell>
          <cell r="P1231" t="str">
            <v/>
          </cell>
          <cell r="Q1231" t="str">
            <v/>
          </cell>
          <cell r="R1231">
            <v>90</v>
          </cell>
        </row>
        <row r="1232">
          <cell r="A1232" t="str">
            <v/>
          </cell>
          <cell r="B1232" t="str">
            <v/>
          </cell>
          <cell r="C1232" t="str">
            <v>Future</v>
          </cell>
          <cell r="D1232" t="e">
            <v>#N/A</v>
          </cell>
          <cell r="E1232">
            <v>-117.45118110236314</v>
          </cell>
          <cell r="F1232">
            <v>161.17086614173087</v>
          </cell>
          <cell r="G1232">
            <v>28.493700787401316</v>
          </cell>
          <cell r="H1232">
            <v>28.493700787401316</v>
          </cell>
          <cell r="I1232" t="e">
            <v>#N/A</v>
          </cell>
          <cell r="J1232" t="e">
            <v>#N/A</v>
          </cell>
          <cell r="K1232">
            <v>105</v>
          </cell>
          <cell r="L1232">
            <v>55</v>
          </cell>
          <cell r="M1232" t="e">
            <v>#N/A</v>
          </cell>
          <cell r="N1232">
            <v>90</v>
          </cell>
          <cell r="O1232" t="e">
            <v>#N/A</v>
          </cell>
          <cell r="P1232" t="str">
            <v/>
          </cell>
          <cell r="Q1232" t="str">
            <v/>
          </cell>
          <cell r="R1232">
            <v>90</v>
          </cell>
        </row>
        <row r="1233">
          <cell r="A1233" t="str">
            <v/>
          </cell>
          <cell r="B1233" t="str">
            <v/>
          </cell>
          <cell r="C1233" t="str">
            <v>Future</v>
          </cell>
          <cell r="D1233" t="e">
            <v>#N/A</v>
          </cell>
          <cell r="E1233">
            <v>-117.73082677165448</v>
          </cell>
          <cell r="F1233">
            <v>161.30460629921117</v>
          </cell>
          <cell r="G1233">
            <v>28.430590551180845</v>
          </cell>
          <cell r="H1233">
            <v>28.430590551180845</v>
          </cell>
          <cell r="I1233" t="e">
            <v>#N/A</v>
          </cell>
          <cell r="J1233" t="e">
            <v>#N/A</v>
          </cell>
          <cell r="K1233">
            <v>105</v>
          </cell>
          <cell r="L1233">
            <v>55</v>
          </cell>
          <cell r="M1233" t="e">
            <v>#N/A</v>
          </cell>
          <cell r="N1233">
            <v>90</v>
          </cell>
          <cell r="O1233" t="e">
            <v>#N/A</v>
          </cell>
          <cell r="P1233" t="str">
            <v/>
          </cell>
          <cell r="Q1233" t="str">
            <v/>
          </cell>
          <cell r="R1233">
            <v>90</v>
          </cell>
        </row>
        <row r="1234">
          <cell r="A1234" t="str">
            <v/>
          </cell>
          <cell r="B1234" t="str">
            <v/>
          </cell>
          <cell r="C1234" t="str">
            <v>Future</v>
          </cell>
          <cell r="D1234" t="e">
            <v>#N/A</v>
          </cell>
          <cell r="E1234">
            <v>-118.01047244094582</v>
          </cell>
          <cell r="F1234">
            <v>161.43834645669148</v>
          </cell>
          <cell r="G1234">
            <v>28.367480314960375</v>
          </cell>
          <cell r="H1234">
            <v>28.367480314960375</v>
          </cell>
          <cell r="I1234" t="e">
            <v>#N/A</v>
          </cell>
          <cell r="J1234" t="e">
            <v>#N/A</v>
          </cell>
          <cell r="K1234">
            <v>105</v>
          </cell>
          <cell r="L1234">
            <v>55</v>
          </cell>
          <cell r="M1234" t="e">
            <v>#N/A</v>
          </cell>
          <cell r="N1234">
            <v>90</v>
          </cell>
          <cell r="O1234" t="e">
            <v>#N/A</v>
          </cell>
          <cell r="P1234" t="str">
            <v/>
          </cell>
          <cell r="Q1234" t="str">
            <v/>
          </cell>
          <cell r="R1234">
            <v>90</v>
          </cell>
        </row>
        <row r="1235">
          <cell r="A1235" t="str">
            <v/>
          </cell>
          <cell r="B1235" t="str">
            <v/>
          </cell>
          <cell r="C1235" t="str">
            <v>Future</v>
          </cell>
          <cell r="D1235" t="e">
            <v>#N/A</v>
          </cell>
          <cell r="E1235">
            <v>-118.29011811023716</v>
          </cell>
          <cell r="F1235">
            <v>161.57208661417178</v>
          </cell>
          <cell r="G1235">
            <v>28.304370078739904</v>
          </cell>
          <cell r="H1235">
            <v>28.304370078739904</v>
          </cell>
          <cell r="I1235" t="e">
            <v>#N/A</v>
          </cell>
          <cell r="J1235" t="e">
            <v>#N/A</v>
          </cell>
          <cell r="K1235">
            <v>105</v>
          </cell>
          <cell r="L1235">
            <v>55</v>
          </cell>
          <cell r="M1235" t="e">
            <v>#N/A</v>
          </cell>
          <cell r="N1235">
            <v>90</v>
          </cell>
          <cell r="O1235" t="e">
            <v>#N/A</v>
          </cell>
          <cell r="P1235" t="str">
            <v/>
          </cell>
          <cell r="Q1235" t="str">
            <v/>
          </cell>
          <cell r="R1235">
            <v>90</v>
          </cell>
        </row>
        <row r="1236">
          <cell r="A1236" t="str">
            <v/>
          </cell>
          <cell r="B1236" t="str">
            <v/>
          </cell>
          <cell r="C1236" t="str">
            <v>Future</v>
          </cell>
          <cell r="D1236" t="e">
            <v>#N/A</v>
          </cell>
          <cell r="E1236">
            <v>-118.5697637795285</v>
          </cell>
          <cell r="F1236">
            <v>161.70582677165208</v>
          </cell>
          <cell r="G1236">
            <v>28.241259842519433</v>
          </cell>
          <cell r="H1236">
            <v>28.241259842519433</v>
          </cell>
          <cell r="I1236" t="e">
            <v>#N/A</v>
          </cell>
          <cell r="J1236" t="e">
            <v>#N/A</v>
          </cell>
          <cell r="K1236">
            <v>105</v>
          </cell>
          <cell r="L1236">
            <v>55</v>
          </cell>
          <cell r="M1236" t="e">
            <v>#N/A</v>
          </cell>
          <cell r="N1236">
            <v>90</v>
          </cell>
          <cell r="O1236" t="e">
            <v>#N/A</v>
          </cell>
          <cell r="P1236" t="str">
            <v/>
          </cell>
          <cell r="Q1236" t="str">
            <v/>
          </cell>
          <cell r="R1236">
            <v>90</v>
          </cell>
        </row>
        <row r="1237">
          <cell r="A1237" t="str">
            <v/>
          </cell>
          <cell r="B1237" t="str">
            <v/>
          </cell>
          <cell r="C1237" t="str">
            <v>Future</v>
          </cell>
          <cell r="D1237" t="e">
            <v>#N/A</v>
          </cell>
          <cell r="E1237">
            <v>-118.84940944881984</v>
          </cell>
          <cell r="F1237">
            <v>161.83956692913239</v>
          </cell>
          <cell r="G1237">
            <v>28.178149606298962</v>
          </cell>
          <cell r="H1237">
            <v>28.178149606298962</v>
          </cell>
          <cell r="I1237" t="e">
            <v>#N/A</v>
          </cell>
          <cell r="J1237" t="e">
            <v>#N/A</v>
          </cell>
          <cell r="K1237">
            <v>105</v>
          </cell>
          <cell r="L1237">
            <v>55</v>
          </cell>
          <cell r="M1237" t="e">
            <v>#N/A</v>
          </cell>
          <cell r="N1237">
            <v>90</v>
          </cell>
          <cell r="O1237" t="e">
            <v>#N/A</v>
          </cell>
          <cell r="P1237" t="str">
            <v/>
          </cell>
          <cell r="Q1237" t="str">
            <v/>
          </cell>
          <cell r="R1237">
            <v>90</v>
          </cell>
        </row>
        <row r="1238">
          <cell r="A1238" t="str">
            <v/>
          </cell>
          <cell r="B1238" t="str">
            <v/>
          </cell>
          <cell r="C1238" t="str">
            <v>Future</v>
          </cell>
          <cell r="D1238" t="e">
            <v>#N/A</v>
          </cell>
          <cell r="E1238">
            <v>-119.12905511811118</v>
          </cell>
          <cell r="F1238">
            <v>161.97330708661269</v>
          </cell>
          <cell r="G1238">
            <v>28.115039370078492</v>
          </cell>
          <cell r="H1238">
            <v>28.115039370078492</v>
          </cell>
          <cell r="I1238" t="e">
            <v>#N/A</v>
          </cell>
          <cell r="J1238" t="e">
            <v>#N/A</v>
          </cell>
          <cell r="K1238">
            <v>105</v>
          </cell>
          <cell r="L1238">
            <v>55</v>
          </cell>
          <cell r="M1238" t="e">
            <v>#N/A</v>
          </cell>
          <cell r="N1238">
            <v>90</v>
          </cell>
          <cell r="O1238" t="e">
            <v>#N/A</v>
          </cell>
          <cell r="P1238" t="str">
            <v/>
          </cell>
          <cell r="Q1238" t="str">
            <v/>
          </cell>
          <cell r="R1238">
            <v>90</v>
          </cell>
        </row>
        <row r="1239">
          <cell r="A1239" t="str">
            <v/>
          </cell>
          <cell r="B1239" t="str">
            <v/>
          </cell>
          <cell r="C1239" t="str">
            <v>Future</v>
          </cell>
          <cell r="D1239" t="e">
            <v>#N/A</v>
          </cell>
          <cell r="E1239">
            <v>-119.40870078740252</v>
          </cell>
          <cell r="F1239">
            <v>162.107047244093</v>
          </cell>
          <cell r="G1239">
            <v>28.051929133858021</v>
          </cell>
          <cell r="H1239">
            <v>28.051929133858021</v>
          </cell>
          <cell r="I1239" t="e">
            <v>#N/A</v>
          </cell>
          <cell r="J1239" t="e">
            <v>#N/A</v>
          </cell>
          <cell r="K1239">
            <v>105</v>
          </cell>
          <cell r="L1239">
            <v>55</v>
          </cell>
          <cell r="M1239" t="e">
            <v>#N/A</v>
          </cell>
          <cell r="N1239">
            <v>90</v>
          </cell>
          <cell r="O1239" t="e">
            <v>#N/A</v>
          </cell>
          <cell r="P1239" t="str">
            <v/>
          </cell>
          <cell r="Q1239" t="str">
            <v/>
          </cell>
          <cell r="R1239">
            <v>90</v>
          </cell>
        </row>
        <row r="1240">
          <cell r="A1240" t="str">
            <v/>
          </cell>
          <cell r="B1240" t="str">
            <v/>
          </cell>
          <cell r="C1240" t="str">
            <v>Future</v>
          </cell>
          <cell r="D1240" t="e">
            <v>#N/A</v>
          </cell>
          <cell r="E1240">
            <v>-119.68834645669386</v>
          </cell>
          <cell r="F1240">
            <v>162.2407874015733</v>
          </cell>
          <cell r="G1240">
            <v>27.98881889763755</v>
          </cell>
          <cell r="H1240">
            <v>27.98881889763755</v>
          </cell>
          <cell r="I1240" t="e">
            <v>#N/A</v>
          </cell>
          <cell r="J1240" t="e">
            <v>#N/A</v>
          </cell>
          <cell r="K1240">
            <v>105</v>
          </cell>
          <cell r="L1240">
            <v>55</v>
          </cell>
          <cell r="M1240" t="e">
            <v>#N/A</v>
          </cell>
          <cell r="N1240">
            <v>90</v>
          </cell>
          <cell r="O1240" t="e">
            <v>#N/A</v>
          </cell>
          <cell r="P1240" t="str">
            <v/>
          </cell>
          <cell r="Q1240" t="str">
            <v/>
          </cell>
          <cell r="R1240">
            <v>90</v>
          </cell>
        </row>
        <row r="1241">
          <cell r="A1241" t="str">
            <v/>
          </cell>
          <cell r="B1241" t="str">
            <v/>
          </cell>
          <cell r="C1241" t="str">
            <v>Future</v>
          </cell>
          <cell r="D1241" t="e">
            <v>#N/A</v>
          </cell>
          <cell r="E1241">
            <v>-119.96799212598521</v>
          </cell>
          <cell r="F1241">
            <v>162.3745275590536</v>
          </cell>
          <cell r="G1241">
            <v>27.92570866141708</v>
          </cell>
          <cell r="H1241">
            <v>27.92570866141708</v>
          </cell>
          <cell r="I1241" t="e">
            <v>#N/A</v>
          </cell>
          <cell r="J1241" t="e">
            <v>#N/A</v>
          </cell>
          <cell r="K1241">
            <v>105</v>
          </cell>
          <cell r="L1241">
            <v>55</v>
          </cell>
          <cell r="M1241" t="e">
            <v>#N/A</v>
          </cell>
          <cell r="N1241">
            <v>90</v>
          </cell>
          <cell r="O1241" t="e">
            <v>#N/A</v>
          </cell>
          <cell r="P1241" t="str">
            <v/>
          </cell>
          <cell r="Q1241" t="str">
            <v/>
          </cell>
          <cell r="R1241">
            <v>90</v>
          </cell>
        </row>
        <row r="1242">
          <cell r="A1242" t="str">
            <v/>
          </cell>
          <cell r="B1242" t="str">
            <v/>
          </cell>
          <cell r="C1242" t="str">
            <v>Future</v>
          </cell>
          <cell r="D1242" t="e">
            <v>#N/A</v>
          </cell>
          <cell r="E1242">
            <v>-120.24763779527655</v>
          </cell>
          <cell r="F1242">
            <v>162.50826771653391</v>
          </cell>
          <cell r="G1242">
            <v>27.862598425196609</v>
          </cell>
          <cell r="H1242">
            <v>27.862598425196609</v>
          </cell>
          <cell r="I1242" t="e">
            <v>#N/A</v>
          </cell>
          <cell r="J1242" t="e">
            <v>#N/A</v>
          </cell>
          <cell r="K1242">
            <v>105</v>
          </cell>
          <cell r="L1242">
            <v>55</v>
          </cell>
          <cell r="M1242" t="e">
            <v>#N/A</v>
          </cell>
          <cell r="N1242">
            <v>90</v>
          </cell>
          <cell r="O1242" t="e">
            <v>#N/A</v>
          </cell>
          <cell r="P1242" t="str">
            <v/>
          </cell>
          <cell r="Q1242" t="str">
            <v/>
          </cell>
          <cell r="R1242">
            <v>90</v>
          </cell>
        </row>
        <row r="1243">
          <cell r="A1243" t="str">
            <v/>
          </cell>
          <cell r="B1243" t="str">
            <v/>
          </cell>
          <cell r="C1243" t="str">
            <v>Future</v>
          </cell>
          <cell r="D1243" t="e">
            <v>#N/A</v>
          </cell>
          <cell r="E1243">
            <v>-120.52728346456789</v>
          </cell>
          <cell r="F1243">
            <v>162.64200787401421</v>
          </cell>
          <cell r="G1243">
            <v>27.799488188976138</v>
          </cell>
          <cell r="H1243">
            <v>27.799488188976138</v>
          </cell>
          <cell r="I1243" t="e">
            <v>#N/A</v>
          </cell>
          <cell r="J1243" t="e">
            <v>#N/A</v>
          </cell>
          <cell r="K1243">
            <v>105</v>
          </cell>
          <cell r="L1243">
            <v>55</v>
          </cell>
          <cell r="M1243" t="e">
            <v>#N/A</v>
          </cell>
          <cell r="N1243">
            <v>90</v>
          </cell>
          <cell r="O1243" t="e">
            <v>#N/A</v>
          </cell>
          <cell r="P1243" t="str">
            <v/>
          </cell>
          <cell r="Q1243" t="str">
            <v/>
          </cell>
          <cell r="R1243">
            <v>90</v>
          </cell>
        </row>
        <row r="1244">
          <cell r="A1244" t="str">
            <v/>
          </cell>
          <cell r="B1244" t="str">
            <v/>
          </cell>
          <cell r="C1244" t="str">
            <v>Future</v>
          </cell>
          <cell r="D1244" t="e">
            <v>#N/A</v>
          </cell>
          <cell r="E1244">
            <v>-120.80692913385923</v>
          </cell>
          <cell r="F1244">
            <v>162.77574803149452</v>
          </cell>
          <cell r="G1244">
            <v>27.736377952755667</v>
          </cell>
          <cell r="H1244">
            <v>27.736377952755667</v>
          </cell>
          <cell r="I1244" t="e">
            <v>#N/A</v>
          </cell>
          <cell r="J1244" t="e">
            <v>#N/A</v>
          </cell>
          <cell r="K1244">
            <v>105</v>
          </cell>
          <cell r="L1244">
            <v>55</v>
          </cell>
          <cell r="M1244" t="e">
            <v>#N/A</v>
          </cell>
          <cell r="N1244">
            <v>90</v>
          </cell>
          <cell r="O1244" t="e">
            <v>#N/A</v>
          </cell>
          <cell r="P1244" t="str">
            <v/>
          </cell>
          <cell r="Q1244" t="str">
            <v/>
          </cell>
          <cell r="R1244">
            <v>90</v>
          </cell>
        </row>
        <row r="1245">
          <cell r="A1245" t="str">
            <v/>
          </cell>
          <cell r="B1245" t="str">
            <v/>
          </cell>
          <cell r="C1245" t="str">
            <v>Future</v>
          </cell>
          <cell r="D1245" t="e">
            <v>#N/A</v>
          </cell>
          <cell r="E1245">
            <v>-121.08657480315057</v>
          </cell>
          <cell r="F1245">
            <v>162.90948818897482</v>
          </cell>
          <cell r="G1245">
            <v>27.673267716535197</v>
          </cell>
          <cell r="H1245">
            <v>27.673267716535197</v>
          </cell>
          <cell r="I1245" t="e">
            <v>#N/A</v>
          </cell>
          <cell r="J1245" t="e">
            <v>#N/A</v>
          </cell>
          <cell r="K1245">
            <v>105</v>
          </cell>
          <cell r="L1245">
            <v>55</v>
          </cell>
          <cell r="M1245" t="e">
            <v>#N/A</v>
          </cell>
          <cell r="N1245">
            <v>90</v>
          </cell>
          <cell r="O1245" t="e">
            <v>#N/A</v>
          </cell>
          <cell r="P1245" t="str">
            <v/>
          </cell>
          <cell r="Q1245" t="str">
            <v/>
          </cell>
          <cell r="R1245">
            <v>90</v>
          </cell>
        </row>
        <row r="1246">
          <cell r="A1246" t="str">
            <v/>
          </cell>
          <cell r="B1246" t="str">
            <v/>
          </cell>
          <cell r="C1246" t="str">
            <v>Future</v>
          </cell>
          <cell r="D1246" t="e">
            <v>#N/A</v>
          </cell>
          <cell r="E1246">
            <v>-121.36622047244191</v>
          </cell>
          <cell r="F1246">
            <v>163.04322834645512</v>
          </cell>
          <cell r="G1246">
            <v>27.610157480314726</v>
          </cell>
          <cell r="H1246">
            <v>27.610157480314726</v>
          </cell>
          <cell r="I1246" t="e">
            <v>#N/A</v>
          </cell>
          <cell r="J1246" t="e">
            <v>#N/A</v>
          </cell>
          <cell r="K1246">
            <v>105</v>
          </cell>
          <cell r="L1246">
            <v>55</v>
          </cell>
          <cell r="M1246" t="e">
            <v>#N/A</v>
          </cell>
          <cell r="N1246">
            <v>90</v>
          </cell>
          <cell r="O1246" t="e">
            <v>#N/A</v>
          </cell>
          <cell r="P1246" t="str">
            <v/>
          </cell>
          <cell r="Q1246" t="str">
            <v/>
          </cell>
          <cell r="R1246">
            <v>90</v>
          </cell>
        </row>
        <row r="1247">
          <cell r="A1247" t="str">
            <v/>
          </cell>
          <cell r="B1247" t="str">
            <v/>
          </cell>
          <cell r="C1247" t="str">
            <v>Future</v>
          </cell>
          <cell r="D1247" t="e">
            <v>#N/A</v>
          </cell>
          <cell r="E1247">
            <v>-121.64586614173325</v>
          </cell>
          <cell r="F1247">
            <v>163.17696850393543</v>
          </cell>
          <cell r="G1247">
            <v>27.547047244094255</v>
          </cell>
          <cell r="H1247">
            <v>27.547047244094255</v>
          </cell>
          <cell r="I1247" t="e">
            <v>#N/A</v>
          </cell>
          <cell r="J1247" t="e">
            <v>#N/A</v>
          </cell>
          <cell r="K1247">
            <v>105</v>
          </cell>
          <cell r="L1247">
            <v>55</v>
          </cell>
          <cell r="M1247" t="e">
            <v>#N/A</v>
          </cell>
          <cell r="N1247">
            <v>90</v>
          </cell>
          <cell r="O1247" t="e">
            <v>#N/A</v>
          </cell>
          <cell r="P1247" t="str">
            <v/>
          </cell>
          <cell r="Q1247" t="str">
            <v/>
          </cell>
          <cell r="R1247">
            <v>90</v>
          </cell>
        </row>
        <row r="1248">
          <cell r="A1248" t="str">
            <v/>
          </cell>
          <cell r="B1248" t="str">
            <v/>
          </cell>
          <cell r="C1248" t="str">
            <v>Future</v>
          </cell>
          <cell r="D1248" t="e">
            <v>#N/A</v>
          </cell>
          <cell r="E1248">
            <v>-121.92551181102459</v>
          </cell>
          <cell r="F1248">
            <v>163.31070866141573</v>
          </cell>
          <cell r="G1248">
            <v>27.483937007873784</v>
          </cell>
          <cell r="H1248">
            <v>27.483937007873784</v>
          </cell>
          <cell r="I1248" t="e">
            <v>#N/A</v>
          </cell>
          <cell r="J1248" t="e">
            <v>#N/A</v>
          </cell>
          <cell r="K1248">
            <v>105</v>
          </cell>
          <cell r="L1248">
            <v>55</v>
          </cell>
          <cell r="M1248" t="e">
            <v>#N/A</v>
          </cell>
          <cell r="N1248">
            <v>90</v>
          </cell>
          <cell r="O1248" t="e">
            <v>#N/A</v>
          </cell>
          <cell r="P1248" t="str">
            <v/>
          </cell>
          <cell r="Q1248" t="str">
            <v/>
          </cell>
          <cell r="R1248">
            <v>90</v>
          </cell>
        </row>
        <row r="1249">
          <cell r="A1249" t="str">
            <v/>
          </cell>
          <cell r="B1249" t="str">
            <v/>
          </cell>
          <cell r="C1249" t="str">
            <v>Future</v>
          </cell>
          <cell r="D1249" t="e">
            <v>#N/A</v>
          </cell>
          <cell r="E1249">
            <v>-122.20515748031593</v>
          </cell>
          <cell r="F1249">
            <v>163.44444881889603</v>
          </cell>
          <cell r="G1249">
            <v>27.420826771653314</v>
          </cell>
          <cell r="H1249">
            <v>27.420826771653314</v>
          </cell>
          <cell r="I1249" t="e">
            <v>#N/A</v>
          </cell>
          <cell r="J1249" t="e">
            <v>#N/A</v>
          </cell>
          <cell r="K1249">
            <v>105</v>
          </cell>
          <cell r="L1249">
            <v>55</v>
          </cell>
          <cell r="M1249" t="e">
            <v>#N/A</v>
          </cell>
          <cell r="N1249">
            <v>90</v>
          </cell>
          <cell r="O1249" t="e">
            <v>#N/A</v>
          </cell>
          <cell r="P1249" t="str">
            <v/>
          </cell>
          <cell r="Q1249" t="str">
            <v/>
          </cell>
          <cell r="R1249">
            <v>90</v>
          </cell>
        </row>
        <row r="1250">
          <cell r="A1250" t="str">
            <v/>
          </cell>
          <cell r="B1250" t="str">
            <v/>
          </cell>
          <cell r="C1250" t="str">
            <v>Future</v>
          </cell>
          <cell r="D1250" t="e">
            <v>#N/A</v>
          </cell>
          <cell r="E1250">
            <v>-122.48480314960727</v>
          </cell>
          <cell r="F1250">
            <v>163.57818897637634</v>
          </cell>
          <cell r="G1250">
            <v>27.357716535432843</v>
          </cell>
          <cell r="H1250">
            <v>27.357716535432843</v>
          </cell>
          <cell r="I1250" t="e">
            <v>#N/A</v>
          </cell>
          <cell r="J1250" t="e">
            <v>#N/A</v>
          </cell>
          <cell r="K1250">
            <v>105</v>
          </cell>
          <cell r="L1250">
            <v>55</v>
          </cell>
          <cell r="M1250" t="e">
            <v>#N/A</v>
          </cell>
          <cell r="N1250">
            <v>90</v>
          </cell>
          <cell r="O1250" t="e">
            <v>#N/A</v>
          </cell>
          <cell r="P1250" t="str">
            <v/>
          </cell>
          <cell r="Q1250" t="str">
            <v/>
          </cell>
          <cell r="R1250">
            <v>90</v>
          </cell>
        </row>
        <row r="1251">
          <cell r="A1251" t="str">
            <v/>
          </cell>
          <cell r="B1251" t="str">
            <v/>
          </cell>
          <cell r="C1251" t="str">
            <v>Future</v>
          </cell>
          <cell r="D1251" t="e">
            <v>#N/A</v>
          </cell>
          <cell r="E1251">
            <v>-122.76444881889861</v>
          </cell>
          <cell r="F1251">
            <v>163.71192913385664</v>
          </cell>
          <cell r="G1251">
            <v>27.294606299212372</v>
          </cell>
          <cell r="H1251">
            <v>27.294606299212372</v>
          </cell>
          <cell r="I1251" t="e">
            <v>#N/A</v>
          </cell>
          <cell r="J1251" t="e">
            <v>#N/A</v>
          </cell>
          <cell r="K1251">
            <v>105</v>
          </cell>
          <cell r="L1251">
            <v>55</v>
          </cell>
          <cell r="M1251" t="e">
            <v>#N/A</v>
          </cell>
          <cell r="N1251">
            <v>90</v>
          </cell>
          <cell r="O1251" t="e">
            <v>#N/A</v>
          </cell>
          <cell r="P1251" t="str">
            <v/>
          </cell>
          <cell r="Q1251" t="str">
            <v/>
          </cell>
          <cell r="R1251">
            <v>90</v>
          </cell>
        </row>
        <row r="1252">
          <cell r="A1252" t="str">
            <v/>
          </cell>
          <cell r="B1252" t="str">
            <v/>
          </cell>
          <cell r="C1252" t="str">
            <v>Future</v>
          </cell>
          <cell r="D1252" t="e">
            <v>#N/A</v>
          </cell>
          <cell r="E1252">
            <v>-123.04409448818996</v>
          </cell>
          <cell r="F1252">
            <v>163.84566929133695</v>
          </cell>
          <cell r="G1252">
            <v>27.231496062991901</v>
          </cell>
          <cell r="H1252">
            <v>27.231496062991901</v>
          </cell>
          <cell r="I1252" t="e">
            <v>#N/A</v>
          </cell>
          <cell r="J1252" t="e">
            <v>#N/A</v>
          </cell>
          <cell r="K1252">
            <v>105</v>
          </cell>
          <cell r="L1252">
            <v>55</v>
          </cell>
          <cell r="M1252" t="e">
            <v>#N/A</v>
          </cell>
          <cell r="N1252">
            <v>90</v>
          </cell>
          <cell r="O1252" t="e">
            <v>#N/A</v>
          </cell>
          <cell r="P1252" t="str">
            <v/>
          </cell>
          <cell r="Q1252" t="str">
            <v/>
          </cell>
          <cell r="R1252">
            <v>90</v>
          </cell>
        </row>
        <row r="1253">
          <cell r="A1253" t="str">
            <v/>
          </cell>
          <cell r="P1253" t="str">
            <v/>
          </cell>
          <cell r="Q1253" t="str">
            <v/>
          </cell>
        </row>
      </sheetData>
      <sheetData sheetId="20"/>
      <sheetData sheetId="21"/>
      <sheetData sheetId="22"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are_Cached"/>
      <sheetName val="TOC"/>
      <sheetName val="To Do's"/>
      <sheetName val="Main"/>
      <sheetName val="Otis"/>
      <sheetName val="Carrier"/>
      <sheetName val="F&amp;S"/>
      <sheetName val="Pratt"/>
      <sheetName val="Hamilton"/>
      <sheetName val="Sikorsky"/>
      <sheetName val="Sikorsky-simple"/>
      <sheetName val="2011 Guide"/>
      <sheetName val="Valuation"/>
      <sheetName val="DCF"/>
      <sheetName val="SOTP"/>
      <sheetName val="RI"/>
      <sheetName val="DDM"/>
      <sheetName val="__FDSCACHE__"/>
      <sheetName val="Valuation Summary"/>
      <sheetName val="Variance"/>
      <sheetName val="QTR Analysis"/>
      <sheetName val="Adj Fin"/>
      <sheetName val="Old Pratt Model"/>
      <sheetName val="Airline Monitor"/>
      <sheetName val="Inc Margin"/>
      <sheetName val="Guidance"/>
      <sheetName val="FX"/>
      <sheetName val="MW-Cache"/>
      <sheetName val="mStartup"/>
      <sheetName val="Sheet1"/>
      <sheetName val="Output"/>
      <sheetName val="Output 2"/>
      <sheetName val="MWA RR"/>
      <sheetName val="mwareDates"/>
      <sheetName val="mwareSettings"/>
      <sheetName val="Dividend History"/>
      <sheetName val="International"/>
      <sheetName val="Segment Charts"/>
      <sheetName val="Seg. Sensitivity"/>
      <sheetName val="#REF"/>
    </sheetNames>
    <sheetDataSet>
      <sheetData sheetId="0"/>
      <sheetData sheetId="1">
        <row r="1">
          <cell r="A1" t="str">
            <v>United Technologies Corporation</v>
          </cell>
        </row>
      </sheetData>
      <sheetData sheetId="2"/>
      <sheetData sheetId="3"/>
      <sheetData sheetId="4"/>
      <sheetData sheetId="5"/>
      <sheetData sheetId="6"/>
      <sheetData sheetId="7"/>
      <sheetData sheetId="8"/>
      <sheetData sheetId="9"/>
      <sheetData sheetId="10"/>
      <sheetData sheetId="11"/>
      <sheetData sheetId="12"/>
      <sheetData sheetId="13">
        <row r="1">
          <cell r="A1" t="str">
            <v>United Technologies Corporation</v>
          </cell>
        </row>
      </sheetData>
      <sheetData sheetId="14">
        <row r="1">
          <cell r="A1" t="str">
            <v>United Technologies Corporation</v>
          </cell>
        </row>
        <row r="2">
          <cell r="A2" t="str">
            <v>Sum-of-the-Parts Valuation Analysis</v>
          </cell>
        </row>
        <row r="3">
          <cell r="A3" t="str">
            <v>Morgan Stanley Research</v>
          </cell>
        </row>
        <row r="4">
          <cell r="A4" t="str">
            <v>($ in Millions Except EPS)</v>
          </cell>
        </row>
        <row r="5">
          <cell r="A5" t="str">
            <v>Model Updated: 7/11</v>
          </cell>
          <cell r="K5" t="str">
            <v>07/19/2011</v>
          </cell>
        </row>
        <row r="8">
          <cell r="B8" t="str">
            <v>Current Peer Multiple SOTP: 2011 P/E Basis</v>
          </cell>
        </row>
        <row r="10">
          <cell r="G10">
            <v>2012</v>
          </cell>
          <cell r="I10" t="str">
            <v>Implied</v>
          </cell>
          <cell r="J10" t="str">
            <v>Peer</v>
          </cell>
          <cell r="K10" t="str">
            <v>Implied</v>
          </cell>
        </row>
        <row r="11">
          <cell r="G11" t="str">
            <v>EBIT</v>
          </cell>
          <cell r="H11" t="str">
            <v>% Total</v>
          </cell>
          <cell r="I11" t="str">
            <v>EPS</v>
          </cell>
          <cell r="J11" t="str">
            <v>P/E</v>
          </cell>
          <cell r="K11" t="str">
            <v>Value</v>
          </cell>
          <cell r="L11" t="str">
            <v>% Total</v>
          </cell>
          <cell r="N11" t="str">
            <v>Best Trading Comps</v>
          </cell>
        </row>
        <row r="12">
          <cell r="B12" t="str">
            <v>Industrial Businesses</v>
          </cell>
        </row>
        <row r="13">
          <cell r="C13" t="str">
            <v>Otis</v>
          </cell>
          <cell r="G13">
            <v>2950</v>
          </cell>
          <cell r="H13">
            <v>0.29854814387018908</v>
          </cell>
          <cell r="I13">
            <v>1.8506759847366159</v>
          </cell>
          <cell r="J13">
            <v>16</v>
          </cell>
          <cell r="K13">
            <v>29.5</v>
          </cell>
          <cell r="L13">
            <v>0.34402332361516036</v>
          </cell>
          <cell r="N13" t="str">
            <v>Kone Oyj, Schindler-Hldg AG Ptg</v>
          </cell>
        </row>
        <row r="14">
          <cell r="C14" t="str">
            <v>Carrier</v>
          </cell>
          <cell r="G14">
            <v>1582.3379250000003</v>
          </cell>
          <cell r="H14">
            <v>0.16013696626581575</v>
          </cell>
          <cell r="I14">
            <v>0.99267620255439615</v>
          </cell>
          <cell r="J14">
            <v>13</v>
          </cell>
          <cell r="K14">
            <v>13</v>
          </cell>
          <cell r="L14">
            <v>0.15160349854227406</v>
          </cell>
          <cell r="N14" t="str">
            <v>Lennox International Inc., Ingersoll-Rand Plc</v>
          </cell>
        </row>
        <row r="15">
          <cell r="C15" t="str">
            <v>UTC Fire &amp; Security</v>
          </cell>
          <cell r="G15">
            <v>1023.9347520000001</v>
          </cell>
          <cell r="H15">
            <v>0.10362502361145165</v>
          </cell>
          <cell r="I15">
            <v>0.6423632052419127</v>
          </cell>
          <cell r="J15">
            <v>12</v>
          </cell>
          <cell r="K15">
            <v>7.75</v>
          </cell>
          <cell r="L15">
            <v>9.0379008746355682E-2</v>
          </cell>
          <cell r="N15" t="str">
            <v>G4S PLC, Securitas AB</v>
          </cell>
        </row>
        <row r="16">
          <cell r="C16" t="str">
            <v>Total Industrial</v>
          </cell>
          <cell r="G16">
            <v>5556.2726769999999</v>
          </cell>
          <cell r="H16">
            <v>0.56231013374745642</v>
          </cell>
          <cell r="I16">
            <v>3.4857153925329247</v>
          </cell>
          <cell r="J16">
            <v>14.415979029052458</v>
          </cell>
          <cell r="K16">
            <v>50.25</v>
          </cell>
          <cell r="L16">
            <v>0.5860058309037901</v>
          </cell>
        </row>
        <row r="18">
          <cell r="B18" t="str">
            <v>Aerospace &amp; Defense Businesses</v>
          </cell>
        </row>
        <row r="19">
          <cell r="C19" t="str">
            <v>Pratt &amp; Whitney</v>
          </cell>
          <cell r="G19">
            <v>2211.9115000000002</v>
          </cell>
          <cell r="H19">
            <v>0.22385155007800872</v>
          </cell>
          <cell r="I19">
            <v>1.3876377943772018</v>
          </cell>
          <cell r="J19">
            <v>13</v>
          </cell>
          <cell r="K19">
            <v>18</v>
          </cell>
          <cell r="L19">
            <v>0.2099125364431487</v>
          </cell>
          <cell r="N19" t="str">
            <v>Rolls-Royce Holdings PLC, MTU Aero Engines Holding AG</v>
          </cell>
        </row>
        <row r="20">
          <cell r="C20" t="str">
            <v>Hamilton Sundstrand</v>
          </cell>
          <cell r="G20">
            <v>1155.1312499999999</v>
          </cell>
          <cell r="H20">
            <v>0.11690247139455975</v>
          </cell>
          <cell r="I20">
            <v>0.72466903850636866</v>
          </cell>
          <cell r="J20">
            <v>16</v>
          </cell>
          <cell r="K20">
            <v>11.5</v>
          </cell>
          <cell r="L20">
            <v>0.13411078717201166</v>
          </cell>
          <cell r="N20" t="str">
            <v>Goodrich Corp., Rockwell Collins Inc.</v>
          </cell>
        </row>
        <row r="21">
          <cell r="C21" t="str">
            <v>Sikorsky</v>
          </cell>
          <cell r="G21">
            <v>957.83795000000009</v>
          </cell>
          <cell r="H21">
            <v>9.6935844779975244E-2</v>
          </cell>
          <cell r="I21">
            <v>0.60089752248622086</v>
          </cell>
          <cell r="J21">
            <v>10</v>
          </cell>
          <cell r="K21">
            <v>6</v>
          </cell>
          <cell r="L21">
            <v>6.9970845481049565E-2</v>
          </cell>
          <cell r="N21" t="str">
            <v>Defense Primes (LMT, NOC, GD, RTN); no appropriate helo comp</v>
          </cell>
        </row>
        <row r="22">
          <cell r="C22" t="str">
            <v>Total Aerospace &amp; Defense</v>
          </cell>
          <cell r="G22">
            <v>4324.8806999999997</v>
          </cell>
          <cell r="H22">
            <v>0.43768986625254369</v>
          </cell>
          <cell r="I22">
            <v>2.7132043553697911</v>
          </cell>
          <cell r="J22">
            <v>13.084160037463008</v>
          </cell>
          <cell r="K22">
            <v>35.5</v>
          </cell>
          <cell r="L22">
            <v>0.4139941690962099</v>
          </cell>
        </row>
        <row r="24">
          <cell r="B24" t="str">
            <v>Total Segmet EBIT</v>
          </cell>
          <cell r="G24">
            <v>9881.1533769999987</v>
          </cell>
          <cell r="H24">
            <v>1</v>
          </cell>
          <cell r="I24">
            <v>6.1989197479027149</v>
          </cell>
          <cell r="J24">
            <v>13.833055352751076</v>
          </cell>
          <cell r="K24">
            <v>85.75</v>
          </cell>
          <cell r="L24">
            <v>1</v>
          </cell>
        </row>
        <row r="25">
          <cell r="B25" t="str">
            <v>Eliminations &amp; Corporate expense</v>
          </cell>
          <cell r="G25">
            <v>-780</v>
          </cell>
        </row>
        <row r="26">
          <cell r="B26" t="str">
            <v>EBIT</v>
          </cell>
          <cell r="G26">
            <v>9101.1533769999987</v>
          </cell>
          <cell r="I26" t="str">
            <v>SOTP vs. Current</v>
          </cell>
          <cell r="K26">
            <v>-3.4564287322675025E-2</v>
          </cell>
        </row>
        <row r="27">
          <cell r="I27" t="str">
            <v>Current Price</v>
          </cell>
          <cell r="K27">
            <v>88.82</v>
          </cell>
        </row>
        <row r="28">
          <cell r="C28" t="str">
            <v>CHECK</v>
          </cell>
          <cell r="G28">
            <v>-813.20412699999906</v>
          </cell>
        </row>
        <row r="30">
          <cell r="B30" t="str">
            <v>Peer 2012 P/E Valuation</v>
          </cell>
        </row>
        <row r="31">
          <cell r="K31">
            <v>2012</v>
          </cell>
        </row>
        <row r="32">
          <cell r="D32" t="str">
            <v>Ticker</v>
          </cell>
          <cell r="F32" t="str">
            <v>Company</v>
          </cell>
          <cell r="J32" t="str">
            <v xml:space="preserve">Price </v>
          </cell>
          <cell r="K32" t="str">
            <v xml:space="preserve">EPS </v>
          </cell>
          <cell r="L32" t="str">
            <v xml:space="preserve">P/E </v>
          </cell>
          <cell r="N32" t="str">
            <v>Comments</v>
          </cell>
        </row>
        <row r="33">
          <cell r="C33" t="str">
            <v>Otis</v>
          </cell>
          <cell r="L33">
            <v>16</v>
          </cell>
          <cell r="N33" t="str">
            <v>Elevator OEMs</v>
          </cell>
        </row>
        <row r="34">
          <cell r="D34" t="str">
            <v>KNEBV-FI</v>
          </cell>
          <cell r="F34" t="str">
            <v>Kone Oyj</v>
          </cell>
          <cell r="J34">
            <v>40.96</v>
          </cell>
          <cell r="K34">
            <v>2.5442610000000001</v>
          </cell>
          <cell r="L34">
            <v>16.098977266876314</v>
          </cell>
        </row>
        <row r="35">
          <cell r="D35" t="str">
            <v>SCHP-CH</v>
          </cell>
          <cell r="F35" t="str">
            <v>Schindler-Hldg AG Ptg</v>
          </cell>
          <cell r="J35">
            <v>95</v>
          </cell>
          <cell r="K35">
            <v>6.4285039999999993</v>
          </cell>
          <cell r="L35">
            <v>14.777932781872735</v>
          </cell>
        </row>
        <row r="36">
          <cell r="D36" t="str">
            <v>TKA-DE</v>
          </cell>
          <cell r="F36" t="str">
            <v>ThyssenKrupp AG</v>
          </cell>
          <cell r="J36">
            <v>31.65</v>
          </cell>
          <cell r="K36">
            <v>2.198693</v>
          </cell>
          <cell r="L36">
            <v>14.39491552481406</v>
          </cell>
        </row>
        <row r="37">
          <cell r="C37" t="str">
            <v>Carrier</v>
          </cell>
          <cell r="L37">
            <v>13</v>
          </cell>
          <cell r="N37" t="str">
            <v>HVAC OEMs</v>
          </cell>
        </row>
        <row r="38">
          <cell r="D38" t="str">
            <v>LII</v>
          </cell>
          <cell r="F38" t="str">
            <v>Lennox International Inc.</v>
          </cell>
          <cell r="J38">
            <v>42.17</v>
          </cell>
          <cell r="K38">
            <v>3.6622379999999999</v>
          </cell>
          <cell r="L38">
            <v>11.514816896116528</v>
          </cell>
        </row>
        <row r="39">
          <cell r="D39" t="str">
            <v>WSO</v>
          </cell>
          <cell r="F39" t="str">
            <v>Watsco Inc.</v>
          </cell>
          <cell r="J39">
            <v>64.55</v>
          </cell>
          <cell r="K39">
            <v>3.9321259999999998</v>
          </cell>
          <cell r="L39">
            <v>16.41605584358182</v>
          </cell>
        </row>
        <row r="40">
          <cell r="D40" t="str">
            <v>IR</v>
          </cell>
          <cell r="F40" t="str">
            <v>Ingersoll-Rand Plc</v>
          </cell>
          <cell r="J40">
            <v>44.5</v>
          </cell>
          <cell r="K40">
            <v>3.9741549999999997</v>
          </cell>
          <cell r="L40">
            <v>11.197348870388801</v>
          </cell>
        </row>
        <row r="41">
          <cell r="D41" t="str">
            <v>JCI</v>
          </cell>
          <cell r="F41" t="str">
            <v>Johnson Controls Inc.</v>
          </cell>
          <cell r="J41">
            <v>41.51</v>
          </cell>
          <cell r="K41">
            <v>3.465697</v>
          </cell>
          <cell r="L41">
            <v>11.977388675351595</v>
          </cell>
        </row>
        <row r="42">
          <cell r="D42" t="str">
            <v>6367-JP</v>
          </cell>
          <cell r="F42" t="str">
            <v>Daikin Industries Ltd.</v>
          </cell>
          <cell r="J42">
            <v>2723</v>
          </cell>
          <cell r="K42">
            <v>155.9563</v>
          </cell>
          <cell r="L42">
            <v>17.460019248981926</v>
          </cell>
        </row>
        <row r="43">
          <cell r="C43" t="str">
            <v>UTC Fire &amp; Safety</v>
          </cell>
          <cell r="L43">
            <v>12</v>
          </cell>
          <cell r="N43" t="str">
            <v>Security/fire comps</v>
          </cell>
        </row>
        <row r="44">
          <cell r="D44" t="str">
            <v>GFS-GB</v>
          </cell>
          <cell r="F44" t="str">
            <v>G4S PLC</v>
          </cell>
          <cell r="J44">
            <v>2.7360000000000002</v>
          </cell>
          <cell r="K44">
            <v>0.25413940000000002</v>
          </cell>
          <cell r="L44">
            <v>10.765745098949631</v>
          </cell>
        </row>
        <row r="45">
          <cell r="D45" t="str">
            <v>SECU.B-SE</v>
          </cell>
          <cell r="F45" t="str">
            <v>Securitas AB</v>
          </cell>
          <cell r="J45">
            <v>62.7</v>
          </cell>
          <cell r="K45">
            <v>6.4632300000000003</v>
          </cell>
          <cell r="L45">
            <v>9.7010318370226649</v>
          </cell>
        </row>
        <row r="46">
          <cell r="D46" t="str">
            <v>TYC</v>
          </cell>
          <cell r="F46" t="str">
            <v>Tyco International Ltd.</v>
          </cell>
          <cell r="J46">
            <v>47.46</v>
          </cell>
          <cell r="K46">
            <v>3.8420579999999998</v>
          </cell>
          <cell r="L46">
            <v>12.352754695530365</v>
          </cell>
        </row>
        <row r="47">
          <cell r="C47" t="str">
            <v>Pratt &amp; Whitney</v>
          </cell>
          <cell r="L47">
            <v>13</v>
          </cell>
          <cell r="N47" t="str">
            <v>Engine OEMs (N.B. both European); GE not a relevant comp</v>
          </cell>
        </row>
        <row r="48">
          <cell r="D48" t="str">
            <v>RR-GB</v>
          </cell>
          <cell r="F48" t="str">
            <v>Rolls-Royce Holdings PLC</v>
          </cell>
          <cell r="J48">
            <v>6.3550000000000004</v>
          </cell>
          <cell r="K48">
            <v>0.49636829999999998</v>
          </cell>
          <cell r="L48">
            <v>12.802993261253793</v>
          </cell>
        </row>
        <row r="49">
          <cell r="D49" t="str">
            <v>MTX-DE</v>
          </cell>
          <cell r="F49" t="str">
            <v>MTU Aero Engines Holding AG</v>
          </cell>
          <cell r="J49">
            <v>51.71</v>
          </cell>
          <cell r="K49">
            <v>4.469595</v>
          </cell>
          <cell r="L49">
            <v>11.56928088562834</v>
          </cell>
        </row>
        <row r="50">
          <cell r="C50" t="str">
            <v>Hamilton Sundstrand</v>
          </cell>
          <cell r="L50">
            <v>16</v>
          </cell>
          <cell r="N50" t="str">
            <v>Aerospace suppliers; GR and COL the highest quality</v>
          </cell>
        </row>
        <row r="51">
          <cell r="D51" t="str">
            <v>GR</v>
          </cell>
          <cell r="F51" t="str">
            <v>Goodrich Corp.</v>
          </cell>
          <cell r="J51">
            <v>93.79</v>
          </cell>
          <cell r="K51">
            <v>6.4829539999999994</v>
          </cell>
          <cell r="L51">
            <v>14.467170367088832</v>
          </cell>
        </row>
        <row r="52">
          <cell r="D52" t="str">
            <v>COL</v>
          </cell>
          <cell r="F52" t="str">
            <v>Rockwell Collins Inc.</v>
          </cell>
          <cell r="J52">
            <v>58.47</v>
          </cell>
          <cell r="K52">
            <v>4.7760700000000007</v>
          </cell>
          <cell r="L52">
            <v>12.24228288111355</v>
          </cell>
        </row>
        <row r="53">
          <cell r="D53" t="str">
            <v>TDG</v>
          </cell>
          <cell r="F53" t="str">
            <v>TransDigm Group Inc.</v>
          </cell>
          <cell r="J53">
            <v>91.39</v>
          </cell>
          <cell r="K53">
            <v>5.2577100000000003</v>
          </cell>
          <cell r="L53">
            <v>17.382092203639989</v>
          </cell>
        </row>
        <row r="54">
          <cell r="D54" t="str">
            <v>TGI</v>
          </cell>
          <cell r="F54" t="str">
            <v>Triumph Group Inc.</v>
          </cell>
          <cell r="J54">
            <v>50.88</v>
          </cell>
          <cell r="K54">
            <v>4.6277210000000002</v>
          </cell>
          <cell r="L54">
            <v>10.994612683003146</v>
          </cell>
        </row>
        <row r="55">
          <cell r="D55" t="str">
            <v>BEAV</v>
          </cell>
          <cell r="F55" t="str">
            <v>BE Aerospace Inc.</v>
          </cell>
          <cell r="J55">
            <v>40.68</v>
          </cell>
          <cell r="K55">
            <v>2.5907329999999997</v>
          </cell>
          <cell r="L55">
            <v>15.70211982477546</v>
          </cell>
        </row>
        <row r="56">
          <cell r="C56" t="str">
            <v>Sikorsky</v>
          </cell>
          <cell r="L56">
            <v>10</v>
          </cell>
          <cell r="N56" t="str">
            <v>Defense Primes; competitor helo OEMs not good stock comps</v>
          </cell>
        </row>
        <row r="57">
          <cell r="D57" t="str">
            <v>LMT</v>
          </cell>
          <cell r="F57" t="str">
            <v>Lockheed Martin Corp.</v>
          </cell>
          <cell r="J57">
            <v>78.400000000000006</v>
          </cell>
          <cell r="K57">
            <v>8.728021</v>
          </cell>
          <cell r="L57">
            <v>8.9825631721096926</v>
          </cell>
        </row>
        <row r="58">
          <cell r="D58" t="str">
            <v>GD</v>
          </cell>
          <cell r="F58" t="str">
            <v>General Dynamics Corp.</v>
          </cell>
          <cell r="J58">
            <v>69.930000000000007</v>
          </cell>
          <cell r="K58">
            <v>7.7194079999999996</v>
          </cell>
          <cell r="L58">
            <v>9.0589848340701788</v>
          </cell>
        </row>
        <row r="59">
          <cell r="D59" t="str">
            <v>RTN</v>
          </cell>
          <cell r="F59" t="str">
            <v>Raytheon Co.</v>
          </cell>
          <cell r="J59">
            <v>45.75</v>
          </cell>
          <cell r="K59">
            <v>5.5639000000000003</v>
          </cell>
          <cell r="L59">
            <v>8.2226495803303425</v>
          </cell>
        </row>
        <row r="60">
          <cell r="D60" t="str">
            <v>NOC</v>
          </cell>
          <cell r="F60" t="str">
            <v>Northrop Grumman Corp.</v>
          </cell>
          <cell r="J60">
            <v>64.41</v>
          </cell>
          <cell r="K60">
            <v>7.2479449999999996</v>
          </cell>
          <cell r="L60">
            <v>8.8866568385935594</v>
          </cell>
        </row>
        <row r="62">
          <cell r="C62" t="str">
            <v>Overall Industrial Business</v>
          </cell>
        </row>
        <row r="63">
          <cell r="D63" t="str">
            <v>HON</v>
          </cell>
          <cell r="F63" t="str">
            <v>Honeywell International Inc.</v>
          </cell>
          <cell r="J63">
            <v>57.43</v>
          </cell>
          <cell r="K63">
            <v>4.6044</v>
          </cell>
          <cell r="L63">
            <v>12.472852054556512</v>
          </cell>
        </row>
        <row r="64">
          <cell r="D64" t="str">
            <v>TYC</v>
          </cell>
          <cell r="F64" t="str">
            <v>Tyco International Ltd.</v>
          </cell>
          <cell r="J64">
            <v>47.46</v>
          </cell>
          <cell r="K64">
            <v>3.8420579999999998</v>
          </cell>
          <cell r="L64">
            <v>12.352754695530365</v>
          </cell>
        </row>
        <row r="65">
          <cell r="D65" t="str">
            <v>SIE-DE</v>
          </cell>
          <cell r="F65" t="str">
            <v>Siemens AG</v>
          </cell>
          <cell r="J65">
            <v>93</v>
          </cell>
          <cell r="K65">
            <v>8.1367270000000005</v>
          </cell>
          <cell r="L65">
            <v>11.429657158216074</v>
          </cell>
        </row>
        <row r="66">
          <cell r="D66" t="str">
            <v>IR</v>
          </cell>
          <cell r="F66" t="str">
            <v>Ingersoll-Rand Plc</v>
          </cell>
          <cell r="J66">
            <v>44.5</v>
          </cell>
          <cell r="K66">
            <v>3.9741549999999997</v>
          </cell>
          <cell r="L66">
            <v>11.197348870388801</v>
          </cell>
        </row>
        <row r="67">
          <cell r="D67" t="str">
            <v>SCHP-CH</v>
          </cell>
          <cell r="F67" t="str">
            <v>Schindler-Hldg AG Ptg</v>
          </cell>
          <cell r="J67">
            <v>95</v>
          </cell>
          <cell r="K67">
            <v>6.4285039999999993</v>
          </cell>
          <cell r="L67">
            <v>14.777932781872735</v>
          </cell>
        </row>
        <row r="68">
          <cell r="L68">
            <v>12.446109112112897</v>
          </cell>
        </row>
        <row r="70">
          <cell r="C70" t="str">
            <v>Overall Aerospace &amp; Defense Business</v>
          </cell>
        </row>
        <row r="71">
          <cell r="D71" t="str">
            <v>COL</v>
          </cell>
          <cell r="F71" t="str">
            <v>Rockwell Collins Inc.</v>
          </cell>
          <cell r="J71">
            <v>58.47</v>
          </cell>
          <cell r="K71">
            <v>4.7760700000000007</v>
          </cell>
          <cell r="L71">
            <v>12.24228288111355</v>
          </cell>
        </row>
        <row r="72">
          <cell r="D72" t="str">
            <v>GR</v>
          </cell>
          <cell r="F72" t="str">
            <v>Goodrich Corp.</v>
          </cell>
          <cell r="J72">
            <v>93.79</v>
          </cell>
          <cell r="K72">
            <v>6.4829539999999994</v>
          </cell>
          <cell r="L72">
            <v>14.467170367088832</v>
          </cell>
        </row>
        <row r="73">
          <cell r="D73" t="str">
            <v>RR-GB</v>
          </cell>
          <cell r="F73" t="str">
            <v>Rolls-Royce Holdings PLC</v>
          </cell>
          <cell r="J73">
            <v>6.3550000000000004</v>
          </cell>
          <cell r="K73">
            <v>0.49636829999999998</v>
          </cell>
          <cell r="L73">
            <v>12.802993261253793</v>
          </cell>
        </row>
        <row r="74">
          <cell r="L74">
            <v>13.170815503152056</v>
          </cell>
        </row>
        <row r="76">
          <cell r="L76" t="str">
            <v>FYE</v>
          </cell>
        </row>
        <row r="77">
          <cell r="D77" t="str">
            <v>UTX</v>
          </cell>
          <cell r="L77" t="str">
            <v>12/2012</v>
          </cell>
        </row>
      </sheetData>
      <sheetData sheetId="15">
        <row r="1">
          <cell r="A1" t="str">
            <v>United Technologies Corporation</v>
          </cell>
        </row>
        <row r="2">
          <cell r="A2" t="str">
            <v>Residual Income Valuation</v>
          </cell>
        </row>
        <row r="3">
          <cell r="A3" t="str">
            <v>Morgan Stanley Research</v>
          </cell>
        </row>
        <row r="4">
          <cell r="A4" t="str">
            <v>($ in Millions Except EPS)</v>
          </cell>
        </row>
        <row r="5">
          <cell r="A5" t="str">
            <v>Updated:</v>
          </cell>
        </row>
        <row r="9">
          <cell r="H9" t="str">
            <v xml:space="preserve">2009 </v>
          </cell>
          <cell r="I9" t="str">
            <v>2010A</v>
          </cell>
          <cell r="J9" t="str">
            <v xml:space="preserve">2011E </v>
          </cell>
          <cell r="K9" t="str">
            <v xml:space="preserve">2012E </v>
          </cell>
          <cell r="L9" t="str">
            <v xml:space="preserve">2013E </v>
          </cell>
          <cell r="M9" t="str">
            <v xml:space="preserve">2014E </v>
          </cell>
          <cell r="N9" t="str">
            <v xml:space="preserve">2015E </v>
          </cell>
        </row>
        <row r="11">
          <cell r="B11" t="str">
            <v>EBIT</v>
          </cell>
          <cell r="H11">
            <v>6377</v>
          </cell>
          <cell r="I11">
            <v>7186</v>
          </cell>
          <cell r="J11">
            <v>8287.9492499999997</v>
          </cell>
          <cell r="K11">
            <v>9101.1533769999987</v>
          </cell>
          <cell r="L11">
            <v>9672.9900626620001</v>
          </cell>
          <cell r="M11">
            <v>10348.278970559641</v>
          </cell>
          <cell r="N11">
            <v>10848.874985682076</v>
          </cell>
        </row>
        <row r="12">
          <cell r="B12" t="str">
            <v>Taxes</v>
          </cell>
          <cell r="H12">
            <v>-1750.3536458333333</v>
          </cell>
          <cell r="I12">
            <v>-2008.0792291220557</v>
          </cell>
          <cell r="J12">
            <v>-2527.8245212499996</v>
          </cell>
          <cell r="K12">
            <v>-2748.5483198539996</v>
          </cell>
          <cell r="L12">
            <v>-2921.242998923924</v>
          </cell>
          <cell r="M12">
            <v>-3125.1802491090116</v>
          </cell>
          <cell r="N12">
            <v>-3276.3602456759868</v>
          </cell>
        </row>
        <row r="13">
          <cell r="B13" t="str">
            <v>Tax Rate</v>
          </cell>
          <cell r="H13">
            <v>0.27447916666666666</v>
          </cell>
          <cell r="I13">
            <v>0.27944325481798715</v>
          </cell>
          <cell r="J13">
            <v>0.30499999999999999</v>
          </cell>
          <cell r="K13">
            <v>0.30199999999999999</v>
          </cell>
          <cell r="L13">
            <v>0.30199999999999999</v>
          </cell>
          <cell r="M13">
            <v>0.30199999999999999</v>
          </cell>
          <cell r="N13">
            <v>0.30199999999999999</v>
          </cell>
        </row>
        <row r="15">
          <cell r="B15" t="str">
            <v>NOPLAT</v>
          </cell>
          <cell r="H15">
            <v>4626.6463541666672</v>
          </cell>
          <cell r="I15">
            <v>5177.9207708779441</v>
          </cell>
          <cell r="J15">
            <v>5760.12472875</v>
          </cell>
          <cell r="K15">
            <v>6352.6050571459991</v>
          </cell>
          <cell r="L15">
            <v>6751.7470637380757</v>
          </cell>
          <cell r="M15">
            <v>7223.0987214506295</v>
          </cell>
          <cell r="N15">
            <v>7572.5147400060887</v>
          </cell>
        </row>
        <row r="16">
          <cell r="B16" t="str">
            <v>Net Operating Assets</v>
          </cell>
          <cell r="H16">
            <v>31132</v>
          </cell>
          <cell r="I16">
            <v>32938</v>
          </cell>
          <cell r="J16">
            <v>34714.282836218743</v>
          </cell>
          <cell r="K16">
            <v>36913.805190903644</v>
          </cell>
          <cell r="L16">
            <v>39296.479994009758</v>
          </cell>
          <cell r="M16">
            <v>41862.21213380195</v>
          </cell>
          <cell r="N16">
            <v>44475.648776444694</v>
          </cell>
        </row>
        <row r="17">
          <cell r="B17" t="str">
            <v>RONOA</v>
          </cell>
          <cell r="H17">
            <v>0.14861384922801835</v>
          </cell>
          <cell r="I17">
            <v>0.15720203931258558</v>
          </cell>
          <cell r="J17">
            <v>0.16592953269195124</v>
          </cell>
          <cell r="K17">
            <v>0.17209293445346072</v>
          </cell>
          <cell r="L17">
            <v>0.17181556884401078</v>
          </cell>
          <cell r="M17">
            <v>0.17254460176074368</v>
          </cell>
          <cell r="N17">
            <v>0.1702620411018414</v>
          </cell>
        </row>
        <row r="19">
          <cell r="B19" t="str">
            <v>Residual Income</v>
          </cell>
          <cell r="I19">
            <v>2048.8107708779439</v>
          </cell>
          <cell r="J19">
            <v>2462.2678593092196</v>
          </cell>
          <cell r="K19">
            <v>2845.7935640101527</v>
          </cell>
          <cell r="L19">
            <v>3018.5814643071485</v>
          </cell>
          <cell r="M19">
            <v>3246.1885687394442</v>
          </cell>
          <cell r="N19">
            <v>3347.3281062438427</v>
          </cell>
        </row>
        <row r="21">
          <cell r="B21" t="str">
            <v>$B</v>
          </cell>
        </row>
        <row r="22">
          <cell r="B22" t="str">
            <v>EVA Terminal Value</v>
          </cell>
          <cell r="M22">
            <v>32.256647431651444</v>
          </cell>
        </row>
        <row r="23">
          <cell r="B23" t="str">
            <v>Discounted Residual Income</v>
          </cell>
          <cell r="M23">
            <v>10.253844546845704</v>
          </cell>
        </row>
        <row r="24">
          <cell r="B24" t="str">
            <v>Total Discounted Operating Profits</v>
          </cell>
          <cell r="M24">
            <v>42.51049197849715</v>
          </cell>
        </row>
        <row r="25">
          <cell r="B25" t="str">
            <v>Book Value of NOA (2009)</v>
          </cell>
          <cell r="M25">
            <v>31.132000000000001</v>
          </cell>
        </row>
        <row r="26">
          <cell r="B26" t="str">
            <v>Enterprise Value</v>
          </cell>
          <cell r="M26">
            <v>73.642491978497148</v>
          </cell>
        </row>
        <row r="27">
          <cell r="B27" t="str">
            <v>Net Debt (1)</v>
          </cell>
          <cell r="M27">
            <v>12.214999999999998</v>
          </cell>
        </row>
        <row r="28">
          <cell r="B28" t="str">
            <v>Shares (MM)</v>
          </cell>
          <cell r="M28">
            <v>922.7</v>
          </cell>
        </row>
        <row r="29">
          <cell r="B29" t="str">
            <v>Implied Value per Share</v>
          </cell>
          <cell r="M29">
            <v>66.573633877205097</v>
          </cell>
        </row>
        <row r="30">
          <cell r="B30" t="str">
            <v>Implied Value today</v>
          </cell>
          <cell r="N30">
            <v>78.435723205567143</v>
          </cell>
        </row>
        <row r="32">
          <cell r="B32" t="str">
            <v>Perpetuity Growth Rate</v>
          </cell>
          <cell r="H32">
            <v>2.5000000000000001E-2</v>
          </cell>
        </row>
        <row r="33">
          <cell r="B33" t="str">
            <v>WACC</v>
          </cell>
          <cell r="H33">
            <v>9.5000000000000001E-2</v>
          </cell>
        </row>
        <row r="35">
          <cell r="B35" t="str">
            <v>Total Assets</v>
          </cell>
          <cell r="H35">
            <v>55762</v>
          </cell>
          <cell r="I35">
            <v>58493</v>
          </cell>
          <cell r="J35">
            <v>61078.001523482788</v>
          </cell>
          <cell r="K35">
            <v>63717.756282527364</v>
          </cell>
          <cell r="L35">
            <v>66761.428839094355</v>
          </cell>
          <cell r="M35">
            <v>69911.863313740076</v>
          </cell>
          <cell r="N35">
            <v>73047.694299827097</v>
          </cell>
        </row>
        <row r="37">
          <cell r="B37" t="str">
            <v>Total Liabilities</v>
          </cell>
          <cell r="H37">
            <v>34374</v>
          </cell>
          <cell r="I37">
            <v>35844</v>
          </cell>
          <cell r="J37">
            <v>36652.718687264045</v>
          </cell>
          <cell r="K37">
            <v>37092.95109162372</v>
          </cell>
          <cell r="L37">
            <v>37753.948845084597</v>
          </cell>
          <cell r="M37">
            <v>38338.651179938126</v>
          </cell>
          <cell r="N37">
            <v>38861.045523382403</v>
          </cell>
        </row>
        <row r="38">
          <cell r="B38" t="str">
            <v>Debt</v>
          </cell>
          <cell r="H38">
            <v>9744</v>
          </cell>
          <cell r="I38">
            <v>10289</v>
          </cell>
          <cell r="J38">
            <v>10289</v>
          </cell>
          <cell r="K38">
            <v>10289</v>
          </cell>
          <cell r="L38">
            <v>10289</v>
          </cell>
          <cell r="M38">
            <v>10289</v>
          </cell>
          <cell r="N38">
            <v>10289</v>
          </cell>
        </row>
        <row r="39">
          <cell r="B39" t="str">
            <v>Operating Liabilities</v>
          </cell>
          <cell r="H39">
            <v>24630</v>
          </cell>
          <cell r="I39">
            <v>25555</v>
          </cell>
          <cell r="J39">
            <v>26363.718687264045</v>
          </cell>
          <cell r="K39">
            <v>26803.95109162372</v>
          </cell>
          <cell r="L39">
            <v>27464.948845084597</v>
          </cell>
          <cell r="M39">
            <v>28049.651179938126</v>
          </cell>
          <cell r="N39">
            <v>28572.045523382403</v>
          </cell>
        </row>
        <row r="41">
          <cell r="B41" t="str">
            <v>NOA</v>
          </cell>
          <cell r="H41">
            <v>31132</v>
          </cell>
          <cell r="I41">
            <v>32938</v>
          </cell>
          <cell r="J41">
            <v>34714.282836218743</v>
          </cell>
          <cell r="K41">
            <v>36913.805190903644</v>
          </cell>
          <cell r="L41">
            <v>39296.479994009758</v>
          </cell>
          <cell r="M41">
            <v>41862.21213380195</v>
          </cell>
          <cell r="N41">
            <v>44475.648776444694</v>
          </cell>
        </row>
        <row r="45">
          <cell r="J45" t="str">
            <v xml:space="preserve">Terminal </v>
          </cell>
          <cell r="K45" t="str">
            <v>Discount Rate</v>
          </cell>
        </row>
        <row r="46">
          <cell r="B46" t="str">
            <v>Growth Implied to = RNOA*(1-FCF/NOPAT)</v>
          </cell>
          <cell r="H46">
            <v>1.5475115791089714E-2</v>
          </cell>
          <cell r="J46">
            <v>78.435723205567143</v>
          </cell>
          <cell r="K46">
            <v>9.2499999999999999E-2</v>
          </cell>
          <cell r="L46">
            <v>9.5000000000000001E-2</v>
          </cell>
          <cell r="M46">
            <v>9.7500000000000003E-2</v>
          </cell>
        </row>
        <row r="47">
          <cell r="B47" t="str">
            <v>ROIC</v>
          </cell>
          <cell r="H47">
            <v>0.1702620411018414</v>
          </cell>
          <cell r="J47">
            <v>0.02</v>
          </cell>
          <cell r="K47">
            <v>79.219360813614273</v>
          </cell>
          <cell r="L47">
            <v>75.689858785583752</v>
          </cell>
          <cell r="M47">
            <v>72.385719505286886</v>
          </cell>
        </row>
        <row r="48">
          <cell r="B48" t="str">
            <v>NOPAT</v>
          </cell>
          <cell r="H48">
            <v>7572.5147400060887</v>
          </cell>
          <cell r="J48">
            <v>2.5000000000000001E-2</v>
          </cell>
          <cell r="K48">
            <v>82.288013845138522</v>
          </cell>
          <cell r="L48">
            <v>78.435723205567143</v>
          </cell>
          <cell r="M48">
            <v>74.846115052502114</v>
          </cell>
        </row>
        <row r="49">
          <cell r="B49" t="str">
            <v>FCF</v>
          </cell>
          <cell r="H49">
            <v>6884.2489253067697</v>
          </cell>
          <cell r="J49">
            <v>3.0000000000000002E-2</v>
          </cell>
          <cell r="K49">
            <v>85.847651361706696</v>
          </cell>
          <cell r="L49">
            <v>81.604028305548027</v>
          </cell>
          <cell r="M49">
            <v>77.67101364374922</v>
          </cell>
        </row>
        <row r="51">
          <cell r="B51" t="str">
            <v>Start of Cash Flows</v>
          </cell>
          <cell r="H51">
            <v>40178</v>
          </cell>
        </row>
        <row r="52">
          <cell r="B52" t="str">
            <v>Today</v>
          </cell>
          <cell r="H52">
            <v>40765</v>
          </cell>
        </row>
        <row r="53">
          <cell r="B53" t="str">
            <v>Midpoint Cost of Equity</v>
          </cell>
          <cell r="H53">
            <v>0.10733700000000002</v>
          </cell>
        </row>
      </sheetData>
      <sheetData sheetId="16">
        <row r="2">
          <cell r="B2" t="str">
            <v>United Technologies</v>
          </cell>
          <cell r="C2">
            <v>0</v>
          </cell>
          <cell r="D2">
            <v>1</v>
          </cell>
          <cell r="E2">
            <v>2</v>
          </cell>
          <cell r="F2">
            <v>3</v>
          </cell>
          <cell r="G2">
            <v>4</v>
          </cell>
          <cell r="H2">
            <v>5</v>
          </cell>
          <cell r="I2">
            <v>6</v>
          </cell>
          <cell r="J2">
            <v>6</v>
          </cell>
        </row>
        <row r="3">
          <cell r="B3" t="str">
            <v>Dividend Discount Model</v>
          </cell>
          <cell r="C3" t="str">
            <v xml:space="preserve">2009 </v>
          </cell>
          <cell r="D3" t="str">
            <v>2010A</v>
          </cell>
          <cell r="E3" t="str">
            <v xml:space="preserve">2011E </v>
          </cell>
          <cell r="F3" t="str">
            <v xml:space="preserve">2012E </v>
          </cell>
          <cell r="G3" t="str">
            <v xml:space="preserve">2013E </v>
          </cell>
          <cell r="H3" t="str">
            <v xml:space="preserve">2014E </v>
          </cell>
          <cell r="I3" t="str">
            <v xml:space="preserve">2015E </v>
          </cell>
          <cell r="J3" t="str">
            <v>Term Val</v>
          </cell>
        </row>
        <row r="4">
          <cell r="B4" t="str">
            <v>Net Income After Minority Interest $MM</v>
          </cell>
          <cell r="C4">
            <v>3829</v>
          </cell>
          <cell r="D4">
            <v>4373</v>
          </cell>
          <cell r="E4">
            <v>4917.5446393749999</v>
          </cell>
          <cell r="F4">
            <v>5479.8450571459998</v>
          </cell>
          <cell r="G4">
            <v>5845.063033957721</v>
          </cell>
          <cell r="H4">
            <v>6281.0633173418319</v>
          </cell>
          <cell r="I4">
            <v>6604.2731345056318</v>
          </cell>
        </row>
        <row r="5">
          <cell r="B5" t="str">
            <v>Equity Book Value (Excl. MI)</v>
          </cell>
          <cell r="C5">
            <v>20066</v>
          </cell>
          <cell r="D5">
            <v>21385</v>
          </cell>
          <cell r="E5">
            <v>23161.282836218757</v>
          </cell>
          <cell r="F5">
            <v>25360.805190903659</v>
          </cell>
          <cell r="G5">
            <v>27743.479994009766</v>
          </cell>
          <cell r="H5">
            <v>30309.212133801942</v>
          </cell>
          <cell r="I5">
            <v>32922.648776444701</v>
          </cell>
        </row>
        <row r="6">
          <cell r="B6" t="str">
            <v>ROE (%)</v>
          </cell>
          <cell r="C6">
            <v>0.19082029303299114</v>
          </cell>
          <cell r="D6">
            <v>0.20448912789338322</v>
          </cell>
          <cell r="E6">
            <v>0.21231745556360659</v>
          </cell>
          <cell r="F6">
            <v>0.21607535785620463</v>
          </cell>
          <cell r="G6">
            <v>0.21068240304459851</v>
          </cell>
          <cell r="H6">
            <v>0.20723281389214865</v>
          </cell>
          <cell r="I6">
            <v>0.20059968987765095</v>
          </cell>
        </row>
        <row r="8">
          <cell r="B8" t="str">
            <v>Total Dividend (Cash Outflow)</v>
          </cell>
          <cell r="C8">
            <v>-1356</v>
          </cell>
          <cell r="D8">
            <v>-1482</v>
          </cell>
          <cell r="E8">
            <v>-1721.1406237812498</v>
          </cell>
          <cell r="F8">
            <v>-1917.9457700010998</v>
          </cell>
          <cell r="G8">
            <v>-2045.7720618852022</v>
          </cell>
          <cell r="H8">
            <v>-2198.3721610696412</v>
          </cell>
          <cell r="I8">
            <v>-2311.4955970769711</v>
          </cell>
        </row>
        <row r="9">
          <cell r="B9" t="str">
            <v>Dividend Payout (% of Net Income)</v>
          </cell>
          <cell r="C9">
            <v>0.35413946200052232</v>
          </cell>
          <cell r="D9">
            <v>0.3388977818431283</v>
          </cell>
          <cell r="E9">
            <v>0.35</v>
          </cell>
          <cell r="F9">
            <v>0.35</v>
          </cell>
          <cell r="G9">
            <v>0.35</v>
          </cell>
          <cell r="H9">
            <v>0.35</v>
          </cell>
          <cell r="I9">
            <v>0.35</v>
          </cell>
        </row>
        <row r="10">
          <cell r="B10" t="str">
            <v>Y/Y Change in Dividend</v>
          </cell>
          <cell r="D10">
            <v>9.2920353982300918E-2</v>
          </cell>
          <cell r="E10">
            <v>0.16136344384699708</v>
          </cell>
          <cell r="F10">
            <v>0.11434576785915374</v>
          </cell>
          <cell r="G10">
            <v>6.6647500614174904E-2</v>
          </cell>
          <cell r="H10">
            <v>7.4592913857576271E-2</v>
          </cell>
          <cell r="I10">
            <v>5.1457818658096732E-2</v>
          </cell>
        </row>
        <row r="12">
          <cell r="B12" t="str">
            <v>Dividend Per Share</v>
          </cell>
          <cell r="C12">
            <v>1.54</v>
          </cell>
          <cell r="D12">
            <v>1.7</v>
          </cell>
          <cell r="E12">
            <v>2.033724003050041</v>
          </cell>
          <cell r="F12">
            <v>2.3329267868451073</v>
          </cell>
          <cell r="G12">
            <v>2.5391944145961141</v>
          </cell>
          <cell r="H12">
            <v>2.7842860457466538</v>
          </cell>
          <cell r="I12">
            <v>2.9873054410009741</v>
          </cell>
          <cell r="J12">
            <v>85.609899613547967</v>
          </cell>
        </row>
        <row r="13">
          <cell r="B13" t="str">
            <v>Cost of Equity (%)</v>
          </cell>
          <cell r="C13">
            <v>0.10733700000000002</v>
          </cell>
          <cell r="D13">
            <v>0.10733700000000002</v>
          </cell>
          <cell r="E13">
            <v>0.10733700000000002</v>
          </cell>
          <cell r="F13">
            <v>0.10733700000000002</v>
          </cell>
          <cell r="G13">
            <v>0.10733700000000002</v>
          </cell>
          <cell r="H13">
            <v>0.10733700000000002</v>
          </cell>
          <cell r="I13">
            <v>0.10733700000000002</v>
          </cell>
          <cell r="J13">
            <v>0.10733700000000002</v>
          </cell>
        </row>
        <row r="14">
          <cell r="B14" t="str">
            <v>Discount Factor</v>
          </cell>
          <cell r="C14">
            <v>1</v>
          </cell>
          <cell r="D14">
            <v>0.9030674492047136</v>
          </cell>
          <cell r="E14">
            <v>0.81553081781310799</v>
          </cell>
          <cell r="F14">
            <v>0.7364793353903174</v>
          </cell>
          <cell r="G14">
            <v>0.66509051480291681</v>
          </cell>
          <cell r="H14">
            <v>0.60062159469331988</v>
          </cell>
          <cell r="I14">
            <v>0.54240181145696376</v>
          </cell>
          <cell r="J14">
            <v>0.54240181145696376</v>
          </cell>
        </row>
        <row r="15">
          <cell r="B15" t="str">
            <v>Discounted Dividend Cash Flows</v>
          </cell>
          <cell r="C15">
            <v>1.54</v>
          </cell>
          <cell r="D15">
            <v>1.5352146636480131</v>
          </cell>
          <cell r="E15">
            <v>1.6585645994135476</v>
          </cell>
          <cell r="F15">
            <v>1.7181523694899534</v>
          </cell>
          <cell r="G15">
            <v>1.6887941203884205</v>
          </cell>
          <cell r="H15">
            <v>1.672302324878713</v>
          </cell>
          <cell r="I15">
            <v>1.6203198825741723</v>
          </cell>
          <cell r="J15">
            <v>46.434964629037239</v>
          </cell>
        </row>
        <row r="18">
          <cell r="B18" t="str">
            <v>Implied Dividend Growth</v>
          </cell>
          <cell r="C18">
            <v>6.9999999999999993E-2</v>
          </cell>
          <cell r="E18" t="str">
            <v xml:space="preserve">Payout </v>
          </cell>
          <cell r="F18" t="str">
            <v>ROE (%)</v>
          </cell>
          <cell r="L18" t="str">
            <v>Last Divd</v>
          </cell>
          <cell r="P18">
            <v>1.54</v>
          </cell>
        </row>
        <row r="19">
          <cell r="B19" t="str">
            <v>Normalized Payout Ratio</v>
          </cell>
          <cell r="C19">
            <v>0.35</v>
          </cell>
          <cell r="E19">
            <v>56.328312589430055</v>
          </cell>
          <cell r="F19">
            <v>0.19</v>
          </cell>
          <cell r="G19">
            <v>0.2</v>
          </cell>
          <cell r="H19">
            <v>0.21</v>
          </cell>
          <cell r="L19" t="str">
            <v>Nom Growth</v>
          </cell>
          <cell r="P19">
            <v>0.06</v>
          </cell>
        </row>
        <row r="20">
          <cell r="B20" t="str">
            <v>Normalized ROE</v>
          </cell>
          <cell r="C20">
            <v>0.2</v>
          </cell>
          <cell r="E20">
            <v>0.375</v>
          </cell>
          <cell r="F20">
            <v>57.99287616189423</v>
          </cell>
          <cell r="G20">
            <v>63.758699531881675</v>
          </cell>
          <cell r="H20">
            <v>71.037227112695888</v>
          </cell>
          <cell r="L20" t="str">
            <v>Ke</v>
          </cell>
          <cell r="P20">
            <v>9.7000000000000003E-2</v>
          </cell>
        </row>
        <row r="21">
          <cell r="B21" t="str">
            <v>DDM Implied Value Per Share</v>
          </cell>
          <cell r="C21">
            <v>56.328312589430055</v>
          </cell>
          <cell r="E21">
            <v>0.35</v>
          </cell>
          <cell r="F21">
            <v>52.209658041088119</v>
          </cell>
          <cell r="G21">
            <v>56.328312589430055</v>
          </cell>
          <cell r="H21">
            <v>61.299010221922302</v>
          </cell>
        </row>
        <row r="22">
          <cell r="B22" t="str">
            <v>Price as today</v>
          </cell>
          <cell r="C22">
            <v>88.82</v>
          </cell>
          <cell r="E22">
            <v>0.32500000000000001</v>
          </cell>
          <cell r="F22">
            <v>47.631620610997757</v>
          </cell>
          <cell r="G22">
            <v>50.652983148088992</v>
          </cell>
          <cell r="H22">
            <v>54.176785281237571</v>
          </cell>
          <cell r="L22" t="str">
            <v>Value</v>
          </cell>
          <cell r="P22">
            <v>44.118918918918915</v>
          </cell>
        </row>
        <row r="23">
          <cell r="B23" t="str">
            <v>Implied Upside</v>
          </cell>
          <cell r="C23">
            <v>-0.36581498998615114</v>
          </cell>
        </row>
        <row r="30">
          <cell r="E30" t="str">
            <v>Valuation Window</v>
          </cell>
        </row>
        <row r="31">
          <cell r="E31" t="str">
            <v>DCF</v>
          </cell>
          <cell r="F31" t="str">
            <v>RI</v>
          </cell>
          <cell r="G31" t="str">
            <v>SOP</v>
          </cell>
          <cell r="H31" t="str">
            <v>DDM</v>
          </cell>
          <cell r="I31" t="str">
            <v>AVG</v>
          </cell>
        </row>
        <row r="32">
          <cell r="E32" t="str">
            <v>Implied Share Price</v>
          </cell>
        </row>
        <row r="33">
          <cell r="E33">
            <v>82.158845115433664</v>
          </cell>
          <cell r="F33">
            <v>66.573633877205097</v>
          </cell>
          <cell r="G33">
            <v>85.75</v>
          </cell>
          <cell r="H33">
            <v>56.328312589430055</v>
          </cell>
          <cell r="I33">
            <v>72.702697895517204</v>
          </cell>
        </row>
      </sheetData>
      <sheetData sheetId="17"/>
      <sheetData sheetId="18"/>
      <sheetData sheetId="19"/>
      <sheetData sheetId="20"/>
      <sheetData sheetId="21"/>
      <sheetData sheetId="22"/>
      <sheetData sheetId="23"/>
      <sheetData sheetId="24"/>
      <sheetData sheetId="25">
        <row r="1">
          <cell r="A1" t="str">
            <v>United Technologies Corporation</v>
          </cell>
        </row>
        <row r="2">
          <cell r="A2" t="str">
            <v>2010 Guidance</v>
          </cell>
        </row>
        <row r="3">
          <cell r="A3" t="str">
            <v>Morgan Stanley Research</v>
          </cell>
        </row>
        <row r="4">
          <cell r="A4" t="str">
            <v>($ in Millions Except EPS)</v>
          </cell>
        </row>
        <row r="5">
          <cell r="A5" t="str">
            <v>Updated:</v>
          </cell>
        </row>
        <row r="6">
          <cell r="K6" t="str">
            <v>Y/Y Change</v>
          </cell>
          <cell r="N6" t="str">
            <v>Guidance</v>
          </cell>
          <cell r="Y6" t="str">
            <v>Guidance</v>
          </cell>
        </row>
        <row r="7">
          <cell r="I7" t="str">
            <v>2010A</v>
          </cell>
          <cell r="J7" t="str">
            <v>2011E</v>
          </cell>
          <cell r="K7" t="str">
            <v>$MM</v>
          </cell>
          <cell r="L7" t="str">
            <v>%</v>
          </cell>
          <cell r="N7" t="str">
            <v>Dec '09</v>
          </cell>
          <cell r="P7" t="str">
            <v>At 4Q09</v>
          </cell>
          <cell r="R7" t="str">
            <v>At 1Q09</v>
          </cell>
          <cell r="T7" t="str">
            <v>At 2Q09</v>
          </cell>
          <cell r="V7" t="str">
            <v>At 3Q09</v>
          </cell>
          <cell r="Y7" t="str">
            <v>Dec '09</v>
          </cell>
          <cell r="AA7" t="str">
            <v>At 4Q09</v>
          </cell>
          <cell r="AC7" t="str">
            <v>At 1Q09</v>
          </cell>
          <cell r="AE7" t="str">
            <v>At 2Q09</v>
          </cell>
          <cell r="AG7" t="str">
            <v>At 3Q09</v>
          </cell>
        </row>
        <row r="9">
          <cell r="B9" t="str">
            <v>Revenue</v>
          </cell>
        </row>
        <row r="10">
          <cell r="C10" t="str">
            <v>Otis</v>
          </cell>
          <cell r="I10">
            <v>11579</v>
          </cell>
          <cell r="J10">
            <v>12415.311709940001</v>
          </cell>
          <cell r="K10">
            <v>836.31170994000058</v>
          </cell>
          <cell r="L10">
            <v>7.2226592101217735E-2</v>
          </cell>
          <cell r="N10" t="str">
            <v>up mid single digits</v>
          </cell>
          <cell r="P10" t="str">
            <v>No Change</v>
          </cell>
          <cell r="R10" t="str">
            <v>Flattish</v>
          </cell>
          <cell r="T10" t="str">
            <v>Down low sgl digits</v>
          </cell>
          <cell r="Y10" t="str">
            <v>Up low sgl digits</v>
          </cell>
          <cell r="AA10" t="str">
            <v>No Change</v>
          </cell>
          <cell r="AC10" t="str">
            <v>Flattish</v>
          </cell>
          <cell r="AE10" t="str">
            <v>Down low sgl digits</v>
          </cell>
        </row>
        <row r="11">
          <cell r="C11" t="str">
            <v>Carrier</v>
          </cell>
          <cell r="I11">
            <v>11386</v>
          </cell>
          <cell r="J11">
            <v>12500</v>
          </cell>
          <cell r="K11">
            <v>1114</v>
          </cell>
          <cell r="L11">
            <v>9.7839451958545487E-2</v>
          </cell>
          <cell r="N11" t="str">
            <v>up mid single digits</v>
          </cell>
          <cell r="P11" t="str">
            <v>No Change</v>
          </cell>
          <cell r="R11" t="str">
            <v>Flattish</v>
          </cell>
          <cell r="T11" t="str">
            <v>Flattish</v>
          </cell>
          <cell r="Y11" t="str">
            <v>Flattish</v>
          </cell>
          <cell r="AA11" t="str">
            <v>No Change</v>
          </cell>
          <cell r="AC11" t="str">
            <v>Flattish</v>
          </cell>
          <cell r="AE11" t="str">
            <v>Flattish</v>
          </cell>
        </row>
        <row r="12">
          <cell r="C12" t="str">
            <v>UTC Fire &amp; Security</v>
          </cell>
          <cell r="I12">
            <v>6490</v>
          </cell>
          <cell r="J12">
            <v>7050</v>
          </cell>
          <cell r="K12">
            <v>560</v>
          </cell>
          <cell r="L12">
            <v>8.6286594761171065E-2</v>
          </cell>
          <cell r="N12" t="str">
            <v>up mid single digits</v>
          </cell>
          <cell r="P12" t="str">
            <v>No Change</v>
          </cell>
          <cell r="R12" t="str">
            <v>Up low 20s</v>
          </cell>
          <cell r="T12" t="str">
            <v>Up high teens</v>
          </cell>
          <cell r="Y12" t="str">
            <v>Up low 20s</v>
          </cell>
          <cell r="AA12" t="str">
            <v>No Change</v>
          </cell>
          <cell r="AC12" t="str">
            <v>Up low 20s</v>
          </cell>
          <cell r="AE12" t="str">
            <v>Up high teens</v>
          </cell>
        </row>
        <row r="13">
          <cell r="C13" t="str">
            <v>Pratt &amp; Whitney</v>
          </cell>
          <cell r="I13">
            <v>12935</v>
          </cell>
          <cell r="J13">
            <v>13080</v>
          </cell>
          <cell r="K13">
            <v>145</v>
          </cell>
          <cell r="L13">
            <v>1.1209895632006139E-2</v>
          </cell>
          <cell r="N13" t="str">
            <v>flattish</v>
          </cell>
          <cell r="P13" t="str">
            <v>No Change</v>
          </cell>
          <cell r="R13" t="str">
            <v>Up low sgl digits</v>
          </cell>
          <cell r="T13" t="str">
            <v>Up low sgl digits</v>
          </cell>
          <cell r="Y13" t="str">
            <v>Up low sgl digits</v>
          </cell>
          <cell r="AA13" t="str">
            <v>No Change</v>
          </cell>
          <cell r="AC13" t="str">
            <v>Up low sgl digits</v>
          </cell>
          <cell r="AE13" t="str">
            <v>Up low sgl digits</v>
          </cell>
        </row>
        <row r="14">
          <cell r="C14" t="str">
            <v>Hamilton Sundstrand</v>
          </cell>
          <cell r="I14">
            <v>5608</v>
          </cell>
          <cell r="J14">
            <v>5901.5</v>
          </cell>
          <cell r="K14">
            <v>293.5</v>
          </cell>
          <cell r="L14">
            <v>5.2335948644793184E-2</v>
          </cell>
          <cell r="N14" t="str">
            <v>up mid single digits</v>
          </cell>
          <cell r="P14" t="str">
            <v>No Change</v>
          </cell>
          <cell r="R14" t="str">
            <v>Up slightly</v>
          </cell>
          <cell r="T14" t="str">
            <v>Up slightly</v>
          </cell>
          <cell r="Y14" t="str">
            <v>Up slightly</v>
          </cell>
          <cell r="AA14" t="str">
            <v>No Change</v>
          </cell>
          <cell r="AC14" t="str">
            <v>Up slightly</v>
          </cell>
          <cell r="AE14" t="str">
            <v>Up slightly</v>
          </cell>
        </row>
        <row r="15">
          <cell r="C15" t="str">
            <v>Sikorsky</v>
          </cell>
          <cell r="I15">
            <v>6684</v>
          </cell>
          <cell r="J15">
            <v>7292.5</v>
          </cell>
          <cell r="K15">
            <v>608.5</v>
          </cell>
          <cell r="L15">
            <v>9.1038300418910811E-2</v>
          </cell>
          <cell r="N15" t="str">
            <v>up mid single digits</v>
          </cell>
          <cell r="P15" t="str">
            <v>No Change</v>
          </cell>
          <cell r="R15" t="str">
            <v>Up high sgl digits</v>
          </cell>
          <cell r="T15" t="str">
            <v>Up high sgl digits</v>
          </cell>
          <cell r="Y15" t="str">
            <v>Up high sgl digits</v>
          </cell>
          <cell r="AA15" t="str">
            <v>No Change</v>
          </cell>
          <cell r="AC15" t="str">
            <v>Up high sgl digits</v>
          </cell>
          <cell r="AE15" t="str">
            <v>Up high sgl digits</v>
          </cell>
        </row>
        <row r="16">
          <cell r="B16" t="str">
            <v>Total Segment Revenue</v>
          </cell>
          <cell r="I16">
            <v>54682</v>
          </cell>
          <cell r="J16">
            <v>58239.311709939997</v>
          </cell>
          <cell r="K16">
            <v>3557.3117099400006</v>
          </cell>
          <cell r="L16">
            <v>6.5054528180022553E-2</v>
          </cell>
        </row>
        <row r="17">
          <cell r="C17" t="str">
            <v>Eliminations</v>
          </cell>
          <cell r="I17">
            <v>-356</v>
          </cell>
          <cell r="J17">
            <v>-300</v>
          </cell>
          <cell r="K17">
            <v>56</v>
          </cell>
          <cell r="L17">
            <v>-0.15730337078651691</v>
          </cell>
        </row>
        <row r="18">
          <cell r="B18" t="str">
            <v>Total Revenue</v>
          </cell>
          <cell r="I18">
            <v>54326</v>
          </cell>
          <cell r="J18">
            <v>57939.311709939997</v>
          </cell>
          <cell r="K18">
            <v>3613.3117099400006</v>
          </cell>
          <cell r="L18">
            <v>6.6511646540146518E-2</v>
          </cell>
          <cell r="N18">
            <v>54</v>
          </cell>
          <cell r="O18">
            <v>55</v>
          </cell>
          <cell r="P18" t="str">
            <v>No Change</v>
          </cell>
          <cell r="Y18">
            <v>54</v>
          </cell>
          <cell r="Z18">
            <v>55</v>
          </cell>
          <cell r="AA18" t="str">
            <v>No Change</v>
          </cell>
        </row>
        <row r="19">
          <cell r="C19" t="str">
            <v>CHECK</v>
          </cell>
          <cell r="I19">
            <v>0</v>
          </cell>
          <cell r="J19">
            <v>0</v>
          </cell>
        </row>
        <row r="21">
          <cell r="N21" t="str">
            <v>Dec '09</v>
          </cell>
          <cell r="P21" t="str">
            <v>At 4Q09</v>
          </cell>
          <cell r="R21" t="str">
            <v>At 1Q09</v>
          </cell>
          <cell r="T21" t="str">
            <v>At 2Q09</v>
          </cell>
          <cell r="V21" t="str">
            <v>At 3Q09</v>
          </cell>
          <cell r="Y21" t="str">
            <v>Dec '09</v>
          </cell>
          <cell r="AA21" t="str">
            <v>At 4Q09</v>
          </cell>
          <cell r="AC21" t="str">
            <v>At 1Q09</v>
          </cell>
          <cell r="AE21" t="str">
            <v>At 2Q09</v>
          </cell>
          <cell r="AG21" t="str">
            <v>At 3Q09</v>
          </cell>
        </row>
        <row r="22">
          <cell r="N22" t="str">
            <v>Low</v>
          </cell>
          <cell r="O22" t="str">
            <v>High</v>
          </cell>
          <cell r="P22" t="str">
            <v>Low</v>
          </cell>
          <cell r="Q22" t="str">
            <v>High</v>
          </cell>
          <cell r="R22" t="str">
            <v>Low</v>
          </cell>
          <cell r="S22" t="str">
            <v>High</v>
          </cell>
          <cell r="T22" t="str">
            <v>Low</v>
          </cell>
          <cell r="U22" t="str">
            <v>High</v>
          </cell>
          <cell r="V22" t="str">
            <v>Low</v>
          </cell>
          <cell r="W22" t="str">
            <v>High</v>
          </cell>
          <cell r="Y22" t="str">
            <v>Low</v>
          </cell>
          <cell r="Z22" t="str">
            <v>High</v>
          </cell>
          <cell r="AA22" t="str">
            <v>Low</v>
          </cell>
          <cell r="AB22" t="str">
            <v>High</v>
          </cell>
          <cell r="AC22" t="str">
            <v>Low</v>
          </cell>
          <cell r="AD22" t="str">
            <v>High</v>
          </cell>
          <cell r="AE22" t="str">
            <v>Low</v>
          </cell>
          <cell r="AF22" t="str">
            <v>High</v>
          </cell>
          <cell r="AG22" t="str">
            <v>Low</v>
          </cell>
          <cell r="AH22" t="str">
            <v>High</v>
          </cell>
        </row>
        <row r="23">
          <cell r="B23" t="str">
            <v>Segment Operating Income (GAAP)</v>
          </cell>
        </row>
        <row r="24">
          <cell r="C24" t="str">
            <v>Otis</v>
          </cell>
          <cell r="I24">
            <v>2575</v>
          </cell>
          <cell r="J24">
            <v>2850</v>
          </cell>
          <cell r="K24">
            <v>275</v>
          </cell>
          <cell r="L24">
            <v>0.10679611650485432</v>
          </cell>
          <cell r="N24" t="str">
            <v>~$150M</v>
          </cell>
          <cell r="O24">
            <v>175</v>
          </cell>
          <cell r="P24" t="str">
            <v>No Change</v>
          </cell>
          <cell r="R24">
            <v>100</v>
          </cell>
          <cell r="S24">
            <v>100</v>
          </cell>
          <cell r="T24">
            <v>50</v>
          </cell>
          <cell r="U24">
            <v>50</v>
          </cell>
          <cell r="Y24">
            <v>150</v>
          </cell>
          <cell r="Z24">
            <v>175</v>
          </cell>
          <cell r="AA24" t="str">
            <v>No Change</v>
          </cell>
          <cell r="AC24">
            <v>100</v>
          </cell>
          <cell r="AD24">
            <v>100</v>
          </cell>
          <cell r="AE24">
            <v>50</v>
          </cell>
          <cell r="AF24">
            <v>50</v>
          </cell>
        </row>
        <row r="25">
          <cell r="C25" t="str">
            <v>Carrier</v>
          </cell>
          <cell r="I25">
            <v>1062</v>
          </cell>
          <cell r="J25">
            <v>1450</v>
          </cell>
          <cell r="K25">
            <v>388</v>
          </cell>
          <cell r="L25">
            <v>0.36534839924670437</v>
          </cell>
          <cell r="N25" t="str">
            <v>~$175M</v>
          </cell>
          <cell r="O25">
            <v>175</v>
          </cell>
          <cell r="P25" t="str">
            <v>No Change</v>
          </cell>
          <cell r="R25">
            <v>175</v>
          </cell>
          <cell r="S25">
            <v>175</v>
          </cell>
          <cell r="T25">
            <v>250</v>
          </cell>
          <cell r="U25">
            <v>250</v>
          </cell>
          <cell r="Y25">
            <v>150</v>
          </cell>
          <cell r="Z25">
            <v>175</v>
          </cell>
          <cell r="AA25" t="str">
            <v>No Change</v>
          </cell>
          <cell r="AC25">
            <v>175</v>
          </cell>
          <cell r="AD25">
            <v>175</v>
          </cell>
          <cell r="AE25">
            <v>250</v>
          </cell>
          <cell r="AF25">
            <v>250</v>
          </cell>
        </row>
        <row r="26">
          <cell r="C26" t="str">
            <v>UTC Fire &amp; Security</v>
          </cell>
          <cell r="I26">
            <v>714</v>
          </cell>
          <cell r="J26">
            <v>900</v>
          </cell>
          <cell r="K26">
            <v>186</v>
          </cell>
          <cell r="L26">
            <v>0.26050420168067223</v>
          </cell>
          <cell r="N26" t="str">
            <v>~$175M</v>
          </cell>
          <cell r="O26">
            <v>250</v>
          </cell>
          <cell r="P26" t="str">
            <v>No Change</v>
          </cell>
          <cell r="R26">
            <v>225</v>
          </cell>
          <cell r="S26">
            <v>250</v>
          </cell>
          <cell r="T26">
            <v>200</v>
          </cell>
          <cell r="U26">
            <v>225</v>
          </cell>
          <cell r="Y26">
            <v>225</v>
          </cell>
          <cell r="Z26">
            <v>250</v>
          </cell>
          <cell r="AA26" t="str">
            <v>No Change</v>
          </cell>
          <cell r="AC26">
            <v>225</v>
          </cell>
          <cell r="AD26">
            <v>250</v>
          </cell>
          <cell r="AE26">
            <v>200</v>
          </cell>
          <cell r="AF26">
            <v>225</v>
          </cell>
        </row>
        <row r="27">
          <cell r="C27" t="str">
            <v>Pratt &amp; Whitney</v>
          </cell>
          <cell r="I27">
            <v>1987</v>
          </cell>
          <cell r="J27">
            <v>1927.4775</v>
          </cell>
          <cell r="K27">
            <v>-59.522500000000036</v>
          </cell>
          <cell r="L27">
            <v>-2.9955963764469073E-2</v>
          </cell>
          <cell r="N27" t="str">
            <v>~($50M)</v>
          </cell>
          <cell r="O27">
            <v>100</v>
          </cell>
          <cell r="P27" t="str">
            <v>No Change</v>
          </cell>
          <cell r="R27">
            <v>75</v>
          </cell>
          <cell r="S27">
            <v>100</v>
          </cell>
          <cell r="T27">
            <v>75</v>
          </cell>
          <cell r="U27">
            <v>100</v>
          </cell>
          <cell r="Y27">
            <v>75</v>
          </cell>
          <cell r="Z27">
            <v>100</v>
          </cell>
          <cell r="AA27" t="str">
            <v>No Change</v>
          </cell>
          <cell r="AC27">
            <v>75</v>
          </cell>
          <cell r="AD27">
            <v>100</v>
          </cell>
          <cell r="AE27">
            <v>75</v>
          </cell>
          <cell r="AF27">
            <v>100</v>
          </cell>
        </row>
        <row r="28">
          <cell r="C28" t="str">
            <v>Hamilton Sundstrand</v>
          </cell>
          <cell r="I28">
            <v>918</v>
          </cell>
          <cell r="J28">
            <v>1058.7249999999999</v>
          </cell>
          <cell r="K28">
            <v>140.72499999999991</v>
          </cell>
          <cell r="L28">
            <v>0.15329520697167753</v>
          </cell>
          <cell r="N28" t="str">
            <v>~$100M</v>
          </cell>
          <cell r="O28">
            <v>25</v>
          </cell>
          <cell r="P28" t="str">
            <v>No Change</v>
          </cell>
          <cell r="R28">
            <v>25</v>
          </cell>
          <cell r="S28">
            <v>50</v>
          </cell>
          <cell r="T28">
            <v>25</v>
          </cell>
          <cell r="U28">
            <v>50</v>
          </cell>
          <cell r="Y28">
            <v>0</v>
          </cell>
          <cell r="Z28">
            <v>25</v>
          </cell>
          <cell r="AA28" t="str">
            <v>No Change</v>
          </cell>
          <cell r="AC28">
            <v>25</v>
          </cell>
          <cell r="AD28">
            <v>50</v>
          </cell>
          <cell r="AE28">
            <v>25</v>
          </cell>
          <cell r="AF28">
            <v>50</v>
          </cell>
        </row>
        <row r="29">
          <cell r="C29" t="str">
            <v>Sikorsky</v>
          </cell>
          <cell r="I29">
            <v>716</v>
          </cell>
          <cell r="J29">
            <v>871.74675000000002</v>
          </cell>
          <cell r="K29">
            <v>155.74675000000002</v>
          </cell>
          <cell r="L29">
            <v>0.21752339385474873</v>
          </cell>
          <cell r="N29" t="str">
            <v>~$100M</v>
          </cell>
          <cell r="O29">
            <v>125</v>
          </cell>
          <cell r="P29" t="str">
            <v>No Change</v>
          </cell>
          <cell r="R29">
            <v>100</v>
          </cell>
          <cell r="S29">
            <v>125</v>
          </cell>
          <cell r="T29">
            <v>100</v>
          </cell>
          <cell r="U29">
            <v>125</v>
          </cell>
          <cell r="Y29">
            <v>100</v>
          </cell>
          <cell r="Z29">
            <v>125</v>
          </cell>
          <cell r="AA29" t="str">
            <v>No Change</v>
          </cell>
          <cell r="AC29">
            <v>100</v>
          </cell>
          <cell r="AD29">
            <v>125</v>
          </cell>
          <cell r="AE29">
            <v>100</v>
          </cell>
          <cell r="AF29">
            <v>125</v>
          </cell>
        </row>
        <row r="30">
          <cell r="B30" t="str">
            <v>Total Segment Operating Income</v>
          </cell>
          <cell r="C30" t="str">
            <v>Guidance Contingency</v>
          </cell>
          <cell r="I30">
            <v>7972</v>
          </cell>
          <cell r="J30">
            <v>9057.9492499999997</v>
          </cell>
          <cell r="K30">
            <v>1085.9492499999999</v>
          </cell>
          <cell r="L30">
            <v>0.13622042774711485</v>
          </cell>
          <cell r="N30">
            <v>-275</v>
          </cell>
          <cell r="O30">
            <v>-275</v>
          </cell>
          <cell r="Y30">
            <v>700</v>
          </cell>
          <cell r="Z30">
            <v>850</v>
          </cell>
          <cell r="AC30">
            <v>700</v>
          </cell>
          <cell r="AD30">
            <v>800</v>
          </cell>
          <cell r="AE30">
            <v>700</v>
          </cell>
          <cell r="AF30">
            <v>800</v>
          </cell>
        </row>
        <row r="31">
          <cell r="B31" t="str">
            <v>Total Segment Operating Income</v>
          </cell>
          <cell r="C31" t="str">
            <v>Eliminations</v>
          </cell>
          <cell r="I31">
            <v>-409</v>
          </cell>
          <cell r="J31">
            <v>-360</v>
          </cell>
          <cell r="K31">
            <v>49</v>
          </cell>
          <cell r="L31">
            <v>-0.11980440097799516</v>
          </cell>
          <cell r="N31">
            <v>425</v>
          </cell>
          <cell r="O31">
            <v>575</v>
          </cell>
          <cell r="R31">
            <v>700</v>
          </cell>
          <cell r="S31">
            <v>800</v>
          </cell>
          <cell r="T31">
            <v>700</v>
          </cell>
          <cell r="U31">
            <v>800</v>
          </cell>
        </row>
        <row r="32">
          <cell r="C32" t="str">
            <v>Corporate expense</v>
          </cell>
          <cell r="I32">
            <v>-377</v>
          </cell>
          <cell r="J32">
            <v>-410</v>
          </cell>
          <cell r="K32">
            <v>-33</v>
          </cell>
          <cell r="L32">
            <v>8.7533156498673659E-2</v>
          </cell>
        </row>
        <row r="33">
          <cell r="B33" t="str">
            <v>EBIT</v>
          </cell>
          <cell r="C33" t="str">
            <v>Corporate expense</v>
          </cell>
          <cell r="I33">
            <v>7186</v>
          </cell>
          <cell r="J33">
            <v>8287.9492499999997</v>
          </cell>
          <cell r="K33">
            <v>1101.9492499999999</v>
          </cell>
          <cell r="L33">
            <v>0.15334668104647919</v>
          </cell>
        </row>
        <row r="34">
          <cell r="B34" t="str">
            <v>EBIT</v>
          </cell>
          <cell r="C34" t="str">
            <v>CHECK</v>
          </cell>
          <cell r="I34">
            <v>0</v>
          </cell>
          <cell r="J34">
            <v>0</v>
          </cell>
          <cell r="K34">
            <v>809</v>
          </cell>
          <cell r="L34">
            <v>0.12686216089070101</v>
          </cell>
        </row>
        <row r="35">
          <cell r="C35" t="str">
            <v>CHECK</v>
          </cell>
          <cell r="I35">
            <v>0</v>
          </cell>
          <cell r="J35">
            <v>0</v>
          </cell>
        </row>
        <row r="36">
          <cell r="C36" t="str">
            <v>Interest net</v>
          </cell>
          <cell r="I36">
            <v>-648</v>
          </cell>
          <cell r="J36">
            <v>-600</v>
          </cell>
          <cell r="K36">
            <v>48</v>
          </cell>
          <cell r="Y36">
            <v>-100</v>
          </cell>
        </row>
        <row r="37">
          <cell r="B37" t="str">
            <v>Pretax Income</v>
          </cell>
          <cell r="C37" t="str">
            <v>Interest net</v>
          </cell>
          <cell r="I37">
            <v>6538</v>
          </cell>
          <cell r="J37">
            <v>7687.9492499999997</v>
          </cell>
          <cell r="K37">
            <v>-31</v>
          </cell>
          <cell r="N37">
            <v>-100</v>
          </cell>
          <cell r="Y37" t="str">
            <v>increase</v>
          </cell>
        </row>
        <row r="38">
          <cell r="B38" t="str">
            <v>Pretax Income</v>
          </cell>
          <cell r="I38">
            <v>5760</v>
          </cell>
          <cell r="J38">
            <v>6538</v>
          </cell>
          <cell r="N38" t="str">
            <v>increase</v>
          </cell>
        </row>
        <row r="39">
          <cell r="C39" t="str">
            <v>Tax Expense</v>
          </cell>
          <cell r="I39">
            <v>-1827</v>
          </cell>
          <cell r="J39">
            <v>-2371.6847749999997</v>
          </cell>
        </row>
        <row r="40">
          <cell r="C40" t="str">
            <v>Tax Expense</v>
          </cell>
          <cell r="D40" t="str">
            <v>Tax Rate</v>
          </cell>
          <cell r="I40">
            <v>0.27944325481798715</v>
          </cell>
          <cell r="J40">
            <v>0.30849381257296932</v>
          </cell>
          <cell r="Y40">
            <v>0.28999999999999998</v>
          </cell>
        </row>
        <row r="41">
          <cell r="D41" t="str">
            <v>Tax Rate</v>
          </cell>
          <cell r="I41">
            <v>0.27447916666666666</v>
          </cell>
          <cell r="J41">
            <v>0.27944325481798715</v>
          </cell>
          <cell r="N41">
            <v>0.28999999999999998</v>
          </cell>
        </row>
        <row r="42">
          <cell r="C42" t="str">
            <v>Non-controlling Interest</v>
          </cell>
          <cell r="I42">
            <v>-338</v>
          </cell>
          <cell r="J42">
            <v>-398.71983562499997</v>
          </cell>
        </row>
        <row r="43">
          <cell r="C43" t="str">
            <v>Non-controlling Interest</v>
          </cell>
          <cell r="I43">
            <v>-350</v>
          </cell>
          <cell r="J43">
            <v>-338</v>
          </cell>
        </row>
        <row r="44">
          <cell r="B44" t="str">
            <v>Net Income - Continuing Operations</v>
          </cell>
          <cell r="I44">
            <v>4373</v>
          </cell>
          <cell r="J44">
            <v>4917.5446393749999</v>
          </cell>
        </row>
        <row r="45">
          <cell r="B45" t="str">
            <v>Net Income - Continuing Operations</v>
          </cell>
          <cell r="I45">
            <v>3829</v>
          </cell>
          <cell r="J45">
            <v>4373</v>
          </cell>
        </row>
        <row r="46">
          <cell r="C46" t="str">
            <v>Discontinued Operations</v>
          </cell>
          <cell r="I46">
            <v>0</v>
          </cell>
          <cell r="J46">
            <v>0</v>
          </cell>
        </row>
        <row r="47">
          <cell r="C47" t="str">
            <v>Discontinued Operations</v>
          </cell>
          <cell r="I47">
            <v>0</v>
          </cell>
          <cell r="J47">
            <v>0</v>
          </cell>
        </row>
        <row r="48">
          <cell r="B48" t="str">
            <v>Net Income - Reported</v>
          </cell>
          <cell r="I48">
            <v>4373</v>
          </cell>
          <cell r="J48">
            <v>4917.5446393749999</v>
          </cell>
        </row>
        <row r="49">
          <cell r="B49" t="str">
            <v>Net Income - Reported</v>
          </cell>
          <cell r="I49">
            <v>3829</v>
          </cell>
          <cell r="J49">
            <v>4373</v>
          </cell>
        </row>
        <row r="50">
          <cell r="B50" t="str">
            <v>EPS  - Operations</v>
          </cell>
          <cell r="I50">
            <v>4.7393519020266606</v>
          </cell>
          <cell r="J50">
            <v>5.4038952081043954</v>
          </cell>
          <cell r="Y50">
            <v>4.4000000000000004</v>
          </cell>
          <cell r="Z50">
            <v>4.6500000000000004</v>
          </cell>
          <cell r="AA50" t="str">
            <v>No Change</v>
          </cell>
        </row>
        <row r="51">
          <cell r="B51" t="str">
            <v>Non-Recurring</v>
          </cell>
          <cell r="I51">
            <v>4.1225236864771748</v>
          </cell>
          <cell r="J51">
            <v>4.7393519020266606</v>
          </cell>
          <cell r="N51">
            <v>4.4000000000000004</v>
          </cell>
          <cell r="O51">
            <v>4.6500000000000004</v>
          </cell>
          <cell r="P51" t="str">
            <v>No Change</v>
          </cell>
        </row>
        <row r="52">
          <cell r="B52" t="str">
            <v>EPS - Reported</v>
          </cell>
          <cell r="I52">
            <v>4.7393519020266606</v>
          </cell>
          <cell r="J52">
            <v>5.4038952081043954</v>
          </cell>
        </row>
        <row r="53">
          <cell r="B53" t="str">
            <v>EPS - Reported</v>
          </cell>
          <cell r="C53" t="str">
            <v>y/y Growth</v>
          </cell>
          <cell r="I53">
            <v>4.1225236864771748</v>
          </cell>
          <cell r="J53">
            <v>4.7393519020266606</v>
          </cell>
        </row>
        <row r="54">
          <cell r="B54" t="str">
            <v>Avg. Diluted Shs.</v>
          </cell>
          <cell r="C54" t="str">
            <v>y/y Growth</v>
          </cell>
          <cell r="I54">
            <v>922.7</v>
          </cell>
          <cell r="J54">
            <v>910</v>
          </cell>
          <cell r="Y54">
            <v>902.2918367346939</v>
          </cell>
        </row>
        <row r="55">
          <cell r="B55" t="str">
            <v>Avg. Diluted Shs.</v>
          </cell>
          <cell r="I55">
            <v>928.8</v>
          </cell>
          <cell r="J55">
            <v>922.7</v>
          </cell>
          <cell r="N55">
            <v>908.39183673469381</v>
          </cell>
        </row>
        <row r="56">
          <cell r="B56" t="str">
            <v>Assumptions</v>
          </cell>
        </row>
        <row r="57">
          <cell r="B57" t="str">
            <v>Assumptions</v>
          </cell>
          <cell r="C57" t="str">
            <v>Organic Sales Growth</v>
          </cell>
          <cell r="Y57">
            <v>0</v>
          </cell>
          <cell r="Z57">
            <v>0.02</v>
          </cell>
        </row>
        <row r="58">
          <cell r="C58" t="str">
            <v>Net Acquisition Sales Pickup</v>
          </cell>
          <cell r="N58">
            <v>0</v>
          </cell>
          <cell r="O58">
            <v>0.02</v>
          </cell>
          <cell r="Y58">
            <v>400</v>
          </cell>
        </row>
        <row r="59">
          <cell r="C59" t="str">
            <v>FX Sales Tailwind (Headwind)</v>
          </cell>
          <cell r="N59">
            <v>400</v>
          </cell>
          <cell r="Y59">
            <v>800</v>
          </cell>
        </row>
        <row r="60">
          <cell r="C60" t="str">
            <v>FX Assumption (USD/Euro)</v>
          </cell>
          <cell r="N60">
            <v>800</v>
          </cell>
          <cell r="Y60">
            <v>1.48</v>
          </cell>
        </row>
        <row r="61">
          <cell r="C61" t="str">
            <v>FX at Point in Time</v>
          </cell>
          <cell r="N61">
            <v>1.48</v>
          </cell>
          <cell r="AA61">
            <v>1.41</v>
          </cell>
          <cell r="AC61">
            <v>1.37</v>
          </cell>
        </row>
        <row r="62">
          <cell r="C62" t="str">
            <v>FX EBIT Tailwind (Headwind)</v>
          </cell>
          <cell r="P62">
            <v>1.41</v>
          </cell>
          <cell r="R62">
            <v>1.37</v>
          </cell>
          <cell r="AA62">
            <v>-75</v>
          </cell>
          <cell r="AC62">
            <v>-125</v>
          </cell>
        </row>
        <row r="63">
          <cell r="C63" t="str">
            <v>Pension Tailwind (Headwind)</v>
          </cell>
          <cell r="P63">
            <v>-75</v>
          </cell>
          <cell r="R63">
            <v>-125</v>
          </cell>
          <cell r="Y63">
            <v>-25</v>
          </cell>
          <cell r="AA63">
            <v>50</v>
          </cell>
          <cell r="AC63">
            <v>25</v>
          </cell>
        </row>
        <row r="64">
          <cell r="C64" t="str">
            <v>Pension Tailwind (Headwind)</v>
          </cell>
          <cell r="N64">
            <v>-25</v>
          </cell>
          <cell r="P64">
            <v>50</v>
          </cell>
          <cell r="R64">
            <v>25</v>
          </cell>
        </row>
        <row r="65">
          <cell r="B65" t="str">
            <v>Guidance Contingency</v>
          </cell>
        </row>
        <row r="66">
          <cell r="B66" t="str">
            <v>Guidance Contingency</v>
          </cell>
          <cell r="C66" t="str">
            <v>UTC Level EBIT</v>
          </cell>
          <cell r="Y66">
            <v>275</v>
          </cell>
          <cell r="AA66">
            <v>250</v>
          </cell>
          <cell r="AC66">
            <v>200</v>
          </cell>
        </row>
        <row r="67">
          <cell r="C67" t="str">
            <v>EPS</v>
          </cell>
          <cell r="N67">
            <v>275</v>
          </cell>
          <cell r="P67">
            <v>250</v>
          </cell>
          <cell r="R67">
            <v>200</v>
          </cell>
          <cell r="Y67">
            <v>0.20897165004663018</v>
          </cell>
          <cell r="AA67">
            <v>0.18997422731511832</v>
          </cell>
          <cell r="AC67">
            <v>0.15197938185209467</v>
          </cell>
        </row>
        <row r="68">
          <cell r="C68" t="str">
            <v>EPS</v>
          </cell>
          <cell r="N68">
            <v>0.21475355470364529</v>
          </cell>
          <cell r="P68">
            <v>0.19523050427604119</v>
          </cell>
          <cell r="R68">
            <v>0.15618440342083295</v>
          </cell>
        </row>
        <row r="71">
          <cell r="C71" t="str">
            <v>Restructuring</v>
          </cell>
          <cell r="Y71">
            <v>350</v>
          </cell>
        </row>
        <row r="72">
          <cell r="C72" t="str">
            <v>Less: One-Time Gains</v>
          </cell>
          <cell r="N72">
            <v>350</v>
          </cell>
          <cell r="Y72">
            <v>-100</v>
          </cell>
        </row>
        <row r="73">
          <cell r="C73" t="str">
            <v>"Uncovered" Restructuring</v>
          </cell>
          <cell r="N73">
            <v>-100</v>
          </cell>
          <cell r="Y73">
            <v>250</v>
          </cell>
        </row>
        <row r="74">
          <cell r="C74" t="str">
            <v>"Uncovered" Restructuring</v>
          </cell>
          <cell r="N74">
            <v>250</v>
          </cell>
        </row>
        <row r="75">
          <cell r="C75" t="str">
            <v>R&amp;D (incremental)</v>
          </cell>
          <cell r="Y75">
            <v>75</v>
          </cell>
          <cell r="AA75">
            <v>100</v>
          </cell>
        </row>
        <row r="76">
          <cell r="C76" t="str">
            <v>R&amp;D (incremental)</v>
          </cell>
          <cell r="N76">
            <v>75</v>
          </cell>
          <cell r="P76">
            <v>100</v>
          </cell>
        </row>
        <row r="77">
          <cell r="C77" t="str">
            <v>Share Repurchase</v>
          </cell>
          <cell r="Y77">
            <v>-1500</v>
          </cell>
        </row>
        <row r="78">
          <cell r="C78" t="str">
            <v>Acquisitions (inc. GE Security)</v>
          </cell>
          <cell r="N78">
            <v>-1500</v>
          </cell>
          <cell r="Y78">
            <v>-3000</v>
          </cell>
        </row>
        <row r="79">
          <cell r="C79" t="str">
            <v>GE Security</v>
          </cell>
          <cell r="N79">
            <v>-3000</v>
          </cell>
          <cell r="Y79">
            <v>-1820</v>
          </cell>
        </row>
        <row r="80">
          <cell r="C80" t="str">
            <v>Other M&amp;A</v>
          </cell>
          <cell r="N80">
            <v>-1820</v>
          </cell>
          <cell r="Y80">
            <v>-1180</v>
          </cell>
        </row>
        <row r="81">
          <cell r="C81" t="str">
            <v>Pension Funding</v>
          </cell>
          <cell r="N81">
            <v>-1180</v>
          </cell>
          <cell r="Y81">
            <v>400</v>
          </cell>
        </row>
        <row r="82">
          <cell r="C82" t="str">
            <v>Pension Funding</v>
          </cell>
          <cell r="N82">
            <v>400</v>
          </cell>
        </row>
        <row r="83">
          <cell r="C83" t="str">
            <v>Share Price (Dec 31)</v>
          </cell>
          <cell r="I83">
            <v>70</v>
          </cell>
          <cell r="J83">
            <v>77</v>
          </cell>
        </row>
        <row r="84">
          <cell r="C84" t="str">
            <v>Implied Shares Repurchased</v>
          </cell>
          <cell r="I84">
            <v>70</v>
          </cell>
          <cell r="J84">
            <v>77</v>
          </cell>
          <cell r="Y84">
            <v>-20.408163265306122</v>
          </cell>
        </row>
        <row r="85">
          <cell r="C85" t="str">
            <v>Implied Shares Repurchased</v>
          </cell>
          <cell r="N85">
            <v>-20.408163265306122</v>
          </cell>
        </row>
        <row r="88">
          <cell r="C88" t="str">
            <v>Guidance Summaries for Segment Overviews</v>
          </cell>
        </row>
        <row r="89">
          <cell r="C89" t="str">
            <v>Guidance Summaries for Segment Overviews</v>
          </cell>
        </row>
        <row r="94">
          <cell r="D94" t="str">
            <v>Otis</v>
          </cell>
          <cell r="G94" t="str">
            <v>Official Guidance</v>
          </cell>
          <cell r="I94" t="str">
            <v>Assuming…</v>
          </cell>
          <cell r="K94" t="str">
            <v>…Implying</v>
          </cell>
        </row>
        <row r="95">
          <cell r="D95" t="str">
            <v>Otis</v>
          </cell>
          <cell r="G95" t="str">
            <v>Official Guidance</v>
          </cell>
          <cell r="I95" t="str">
            <v>Assuming…</v>
          </cell>
          <cell r="K95" t="str">
            <v>…Implying</v>
          </cell>
        </row>
        <row r="96">
          <cell r="G96" t="str">
            <v>Revenue</v>
          </cell>
        </row>
        <row r="97">
          <cell r="G97" t="str">
            <v>(UTC Comment)</v>
          </cell>
          <cell r="I97" t="str">
            <v>(Y/Y % Change)</v>
          </cell>
          <cell r="K97" t="str">
            <v>($B Ranges)</v>
          </cell>
        </row>
        <row r="98">
          <cell r="G98" t="str">
            <v>(UTC Comment)</v>
          </cell>
          <cell r="I98" t="str">
            <v>(Y/Y % Change)</v>
          </cell>
          <cell r="K98" t="str">
            <v>($B Ranges)</v>
          </cell>
        </row>
        <row r="99">
          <cell r="D99" t="str">
            <v>Otis</v>
          </cell>
          <cell r="G99" t="str">
            <v>Up low sgl digits</v>
          </cell>
          <cell r="I99">
            <v>0.02</v>
          </cell>
          <cell r="J99">
            <v>0.04</v>
          </cell>
          <cell r="K99">
            <v>11.810580000000002</v>
          </cell>
          <cell r="L99">
            <v>12.042160000000001</v>
          </cell>
        </row>
        <row r="100">
          <cell r="D100" t="str">
            <v>Otis</v>
          </cell>
          <cell r="G100" t="str">
            <v>Up low sgl digits</v>
          </cell>
          <cell r="I100">
            <v>0.02</v>
          </cell>
          <cell r="J100">
            <v>0.04</v>
          </cell>
          <cell r="K100">
            <v>11.957460000000001</v>
          </cell>
          <cell r="L100">
            <v>12.191920000000001</v>
          </cell>
        </row>
        <row r="101">
          <cell r="G101" t="str">
            <v>Operating Profit</v>
          </cell>
        </row>
        <row r="102">
          <cell r="G102" t="str">
            <v>(Y/Y $MM Chg.)</v>
          </cell>
          <cell r="I102" t="str">
            <v>($MM Ranges)</v>
          </cell>
          <cell r="K102" t="str">
            <v>(% Margin)</v>
          </cell>
        </row>
        <row r="103">
          <cell r="G103" t="str">
            <v>(Y/Y $MM Chg.)</v>
          </cell>
          <cell r="I103" t="str">
            <v>($MM Ranges)</v>
          </cell>
          <cell r="K103" t="str">
            <v>(% Margin)</v>
          </cell>
        </row>
        <row r="104">
          <cell r="D104" t="str">
            <v>Otis</v>
          </cell>
          <cell r="G104">
            <v>150</v>
          </cell>
          <cell r="H104">
            <v>175</v>
          </cell>
          <cell r="I104">
            <v>2725</v>
          </cell>
          <cell r="J104">
            <v>2750</v>
          </cell>
          <cell r="K104">
            <v>0.22836434659562735</v>
          </cell>
          <cell r="L104">
            <v>0.23072533271016324</v>
          </cell>
          <cell r="Y104">
            <v>0.23072533271016324</v>
          </cell>
          <cell r="Z104">
            <v>0.22836434659562735</v>
          </cell>
        </row>
        <row r="105">
          <cell r="D105" t="str">
            <v>Otis</v>
          </cell>
          <cell r="G105">
            <v>150</v>
          </cell>
          <cell r="H105">
            <v>175</v>
          </cell>
          <cell r="I105">
            <v>2595</v>
          </cell>
          <cell r="J105">
            <v>2620</v>
          </cell>
          <cell r="K105">
            <v>0.21489642320487665</v>
          </cell>
          <cell r="L105">
            <v>0.21701933353739006</v>
          </cell>
          <cell r="N105">
            <v>0.21701933353739006</v>
          </cell>
          <cell r="O105">
            <v>0.21489642320487665</v>
          </cell>
        </row>
        <row r="111">
          <cell r="D111" t="str">
            <v>Carrier</v>
          </cell>
          <cell r="G111" t="str">
            <v>Official Guidance</v>
          </cell>
          <cell r="I111" t="str">
            <v>Assuming…</v>
          </cell>
          <cell r="K111" t="str">
            <v>…Implying</v>
          </cell>
        </row>
        <row r="112">
          <cell r="D112" t="str">
            <v>Carrier</v>
          </cell>
          <cell r="G112" t="str">
            <v>Official Guidance</v>
          </cell>
          <cell r="I112" t="str">
            <v>Assuming…</v>
          </cell>
          <cell r="K112" t="str">
            <v>…Implying</v>
          </cell>
        </row>
        <row r="113">
          <cell r="G113" t="str">
            <v>Revenue</v>
          </cell>
        </row>
        <row r="114">
          <cell r="G114" t="str">
            <v>(UTC Comment)</v>
          </cell>
          <cell r="I114" t="str">
            <v>(Y/Y % Change)</v>
          </cell>
          <cell r="K114" t="str">
            <v>($B Ranges)</v>
          </cell>
        </row>
        <row r="115">
          <cell r="G115" t="str">
            <v>(UTC Comment)</v>
          </cell>
          <cell r="I115" t="str">
            <v>(Y/Y % Change)</v>
          </cell>
          <cell r="K115" t="str">
            <v>($B Ranges)</v>
          </cell>
        </row>
        <row r="116">
          <cell r="D116" t="str">
            <v>Carrier</v>
          </cell>
          <cell r="G116" t="str">
            <v>Flattish</v>
          </cell>
          <cell r="I116">
            <v>-0.02</v>
          </cell>
          <cell r="J116">
            <v>0.02</v>
          </cell>
          <cell r="K116">
            <v>11.15828</v>
          </cell>
          <cell r="L116">
            <v>11.613719999999999</v>
          </cell>
        </row>
        <row r="117">
          <cell r="D117" t="str">
            <v>Carrier</v>
          </cell>
          <cell r="G117" t="str">
            <v>Flattish</v>
          </cell>
          <cell r="I117">
            <v>-0.02</v>
          </cell>
          <cell r="J117">
            <v>0.02</v>
          </cell>
          <cell r="K117">
            <v>11.1083</v>
          </cell>
          <cell r="L117">
            <v>11.561700000000002</v>
          </cell>
        </row>
        <row r="118">
          <cell r="G118" t="str">
            <v>Operating Profit</v>
          </cell>
        </row>
        <row r="119">
          <cell r="G119" t="str">
            <v>(Y/Y $MM Chg.)</v>
          </cell>
          <cell r="I119" t="str">
            <v>($MM Ranges)</v>
          </cell>
          <cell r="K119" t="str">
            <v>(% Margin)</v>
          </cell>
        </row>
        <row r="120">
          <cell r="G120" t="str">
            <v>(Y/Y $MM Chg.)</v>
          </cell>
          <cell r="I120" t="str">
            <v>($MM Ranges)</v>
          </cell>
          <cell r="K120" t="str">
            <v>(% Margin)</v>
          </cell>
        </row>
        <row r="121">
          <cell r="D121" t="str">
            <v>Carrier</v>
          </cell>
          <cell r="G121">
            <v>150</v>
          </cell>
          <cell r="H121">
            <v>175</v>
          </cell>
          <cell r="I121">
            <v>1210</v>
          </cell>
          <cell r="J121">
            <v>1235</v>
          </cell>
          <cell r="K121">
            <v>0.10633974299363169</v>
          </cell>
          <cell r="L121">
            <v>0.10843965198937471</v>
          </cell>
          <cell r="Y121">
            <v>0.10843965198937471</v>
          </cell>
          <cell r="Z121">
            <v>0.10633974299363169</v>
          </cell>
        </row>
        <row r="122">
          <cell r="D122" t="str">
            <v>Carrier</v>
          </cell>
          <cell r="G122">
            <v>150</v>
          </cell>
          <cell r="H122">
            <v>175</v>
          </cell>
          <cell r="I122">
            <v>890</v>
          </cell>
          <cell r="J122">
            <v>915</v>
          </cell>
          <cell r="K122">
            <v>7.9140610809828996E-2</v>
          </cell>
          <cell r="L122">
            <v>8.0120270428418391E-2</v>
          </cell>
          <cell r="N122">
            <v>8.0120270428418391E-2</v>
          </cell>
          <cell r="O122">
            <v>7.9140610809828996E-2</v>
          </cell>
        </row>
        <row r="128">
          <cell r="D128" t="str">
            <v>UTC F&amp;S</v>
          </cell>
          <cell r="G128" t="str">
            <v>Official Guidance</v>
          </cell>
          <cell r="I128" t="str">
            <v>Assuming…</v>
          </cell>
          <cell r="K128" t="str">
            <v>…Implying</v>
          </cell>
        </row>
        <row r="129">
          <cell r="D129" t="str">
            <v>UTC F&amp;S</v>
          </cell>
          <cell r="G129" t="str">
            <v>Official Guidance</v>
          </cell>
          <cell r="I129" t="str">
            <v>Assuming…</v>
          </cell>
          <cell r="K129" t="str">
            <v>…Implying</v>
          </cell>
        </row>
        <row r="130">
          <cell r="G130" t="str">
            <v>Revenue</v>
          </cell>
        </row>
        <row r="131">
          <cell r="G131" t="str">
            <v>(UTC Comment)</v>
          </cell>
          <cell r="I131" t="str">
            <v>(Y/Y % Change)</v>
          </cell>
          <cell r="K131" t="str">
            <v>($B Ranges)</v>
          </cell>
        </row>
        <row r="132">
          <cell r="G132" t="str">
            <v>(UTC Comment)</v>
          </cell>
          <cell r="I132" t="str">
            <v>(Y/Y % Change)</v>
          </cell>
          <cell r="K132" t="str">
            <v>($B Ranges)</v>
          </cell>
        </row>
        <row r="133">
          <cell r="D133" t="str">
            <v>UTC Fire &amp; Security</v>
          </cell>
          <cell r="G133" t="str">
            <v>Up low 20s</v>
          </cell>
          <cell r="I133">
            <v>0.2</v>
          </cell>
          <cell r="J133">
            <v>0.23</v>
          </cell>
          <cell r="K133">
            <v>7.7880000000000003</v>
          </cell>
          <cell r="L133">
            <v>7.9827000000000004</v>
          </cell>
        </row>
        <row r="134">
          <cell r="D134" t="str">
            <v>UTC Fire &amp; Security</v>
          </cell>
          <cell r="G134" t="str">
            <v>Up low 20s</v>
          </cell>
          <cell r="I134">
            <v>0.2</v>
          </cell>
          <cell r="J134">
            <v>0.23</v>
          </cell>
          <cell r="K134">
            <v>6.6036000000000001</v>
          </cell>
          <cell r="L134">
            <v>6.7686900000000003</v>
          </cell>
        </row>
        <row r="135">
          <cell r="G135" t="str">
            <v>Operating Profit</v>
          </cell>
        </row>
        <row r="136">
          <cell r="G136" t="str">
            <v>(Y/Y $MM Chg.)</v>
          </cell>
          <cell r="I136" t="str">
            <v>($MM Ranges)</v>
          </cell>
          <cell r="K136" t="str">
            <v>(% Margin)</v>
          </cell>
        </row>
        <row r="137">
          <cell r="G137" t="str">
            <v>(Y/Y $MM Chg.)</v>
          </cell>
          <cell r="I137" t="str">
            <v>($MM Ranges)</v>
          </cell>
          <cell r="K137" t="str">
            <v>(% Margin)</v>
          </cell>
        </row>
        <row r="138">
          <cell r="D138" t="str">
            <v>UTC Fire &amp; Security</v>
          </cell>
          <cell r="G138">
            <v>225</v>
          </cell>
          <cell r="H138">
            <v>250</v>
          </cell>
          <cell r="I138">
            <v>940</v>
          </cell>
          <cell r="J138">
            <v>965</v>
          </cell>
          <cell r="K138">
            <v>0.12069851052901899</v>
          </cell>
          <cell r="L138">
            <v>0.12088641687649541</v>
          </cell>
          <cell r="Y138">
            <v>0.12069851052901899</v>
          </cell>
          <cell r="Z138">
            <v>0.12088641687649541</v>
          </cell>
        </row>
        <row r="139">
          <cell r="D139" t="str">
            <v>UTC Fire &amp; Security</v>
          </cell>
          <cell r="G139">
            <v>225</v>
          </cell>
          <cell r="H139">
            <v>250</v>
          </cell>
          <cell r="I139">
            <v>720</v>
          </cell>
          <cell r="J139">
            <v>745</v>
          </cell>
          <cell r="K139">
            <v>0.10903143739778302</v>
          </cell>
          <cell r="L139">
            <v>0.11006561092323625</v>
          </cell>
          <cell r="N139">
            <v>0.10903143739778302</v>
          </cell>
          <cell r="O139">
            <v>0.11006561092323625</v>
          </cell>
        </row>
        <row r="145">
          <cell r="D145" t="str">
            <v>P&amp;W</v>
          </cell>
          <cell r="G145" t="str">
            <v>Official Guidance</v>
          </cell>
          <cell r="I145" t="str">
            <v>Assuming…</v>
          </cell>
          <cell r="K145" t="str">
            <v>…Implying</v>
          </cell>
        </row>
        <row r="146">
          <cell r="D146" t="str">
            <v>P&amp;W</v>
          </cell>
          <cell r="G146" t="str">
            <v>Official Guidance</v>
          </cell>
          <cell r="I146" t="str">
            <v>Assuming…</v>
          </cell>
          <cell r="K146" t="str">
            <v>…Implying</v>
          </cell>
        </row>
        <row r="147">
          <cell r="G147" t="str">
            <v>Revenue</v>
          </cell>
        </row>
        <row r="148">
          <cell r="G148" t="str">
            <v>(UTC Comment)</v>
          </cell>
          <cell r="I148" t="str">
            <v>(Y/Y % Change)</v>
          </cell>
          <cell r="K148" t="str">
            <v>($B Ranges)</v>
          </cell>
        </row>
        <row r="149">
          <cell r="G149" t="str">
            <v>(UTC Comment)</v>
          </cell>
          <cell r="I149" t="str">
            <v>(Y/Y % Change)</v>
          </cell>
          <cell r="K149" t="str">
            <v>($B Ranges)</v>
          </cell>
        </row>
        <row r="150">
          <cell r="D150" t="str">
            <v>Pratt &amp; Whitney</v>
          </cell>
          <cell r="G150" t="str">
            <v>Up low sgl digits</v>
          </cell>
          <cell r="I150">
            <v>0.02</v>
          </cell>
          <cell r="J150">
            <v>0.04</v>
          </cell>
          <cell r="K150">
            <v>13.193700000000002</v>
          </cell>
          <cell r="L150">
            <v>13.452400000000001</v>
          </cell>
        </row>
        <row r="151">
          <cell r="D151" t="str">
            <v>Pratt &amp; Whitney</v>
          </cell>
          <cell r="G151" t="str">
            <v>Up low sgl digits</v>
          </cell>
          <cell r="I151">
            <v>0.02</v>
          </cell>
          <cell r="J151">
            <v>0.04</v>
          </cell>
          <cell r="K151">
            <v>12.63984</v>
          </cell>
          <cell r="L151">
            <v>12.88768</v>
          </cell>
        </row>
        <row r="152">
          <cell r="G152" t="str">
            <v>Operating Profit</v>
          </cell>
        </row>
        <row r="153">
          <cell r="G153" t="str">
            <v>(Y/Y $MM Chg.)</v>
          </cell>
          <cell r="I153" t="str">
            <v>($MM Ranges)</v>
          </cell>
          <cell r="K153" t="str">
            <v>(% Margin)</v>
          </cell>
        </row>
        <row r="154">
          <cell r="G154" t="str">
            <v>(Y/Y $MM Chg.)</v>
          </cell>
          <cell r="I154" t="str">
            <v>($MM Ranges)</v>
          </cell>
          <cell r="K154" t="str">
            <v>(% Margin)</v>
          </cell>
        </row>
        <row r="155">
          <cell r="D155" t="str">
            <v>Pratt &amp; Whitney</v>
          </cell>
          <cell r="G155">
            <v>75</v>
          </cell>
          <cell r="H155">
            <v>100</v>
          </cell>
          <cell r="I155">
            <v>2060</v>
          </cell>
          <cell r="J155">
            <v>2085</v>
          </cell>
          <cell r="K155">
            <v>0.15499093098629241</v>
          </cell>
          <cell r="L155">
            <v>0.15613512509758443</v>
          </cell>
          <cell r="Y155">
            <v>0.15613512509758443</v>
          </cell>
          <cell r="Z155">
            <v>0.15499093098629241</v>
          </cell>
        </row>
        <row r="156">
          <cell r="D156" t="str">
            <v>Pratt &amp; Whitney</v>
          </cell>
          <cell r="G156">
            <v>75</v>
          </cell>
          <cell r="H156">
            <v>100</v>
          </cell>
          <cell r="I156">
            <v>1910</v>
          </cell>
          <cell r="J156">
            <v>1935</v>
          </cell>
          <cell r="K156">
            <v>0.15014339275959676</v>
          </cell>
          <cell r="L156">
            <v>0.15110950771528753</v>
          </cell>
          <cell r="N156">
            <v>0.15110950771528753</v>
          </cell>
          <cell r="O156">
            <v>0.15014339275959676</v>
          </cell>
        </row>
        <row r="163">
          <cell r="D163" t="str">
            <v>HS</v>
          </cell>
          <cell r="G163" t="str">
            <v>Official Guidance</v>
          </cell>
          <cell r="I163" t="str">
            <v>Assuming…</v>
          </cell>
          <cell r="K163" t="str">
            <v>…Implying</v>
          </cell>
        </row>
        <row r="164">
          <cell r="D164" t="str">
            <v>HS</v>
          </cell>
          <cell r="G164" t="str">
            <v>Official Guidance</v>
          </cell>
          <cell r="I164" t="str">
            <v>Assuming…</v>
          </cell>
          <cell r="K164" t="str">
            <v>…Implying</v>
          </cell>
        </row>
        <row r="165">
          <cell r="G165" t="str">
            <v>Revenue</v>
          </cell>
        </row>
        <row r="166">
          <cell r="G166" t="str">
            <v>(UTC Comment)</v>
          </cell>
          <cell r="I166" t="str">
            <v>(Y/Y % Change)</v>
          </cell>
          <cell r="K166" t="str">
            <v>($B Ranges)</v>
          </cell>
        </row>
        <row r="167">
          <cell r="G167" t="str">
            <v>(UTC Comment)</v>
          </cell>
          <cell r="I167" t="str">
            <v>(Y/Y % Change)</v>
          </cell>
          <cell r="K167" t="str">
            <v>($B Ranges)</v>
          </cell>
        </row>
        <row r="168">
          <cell r="D168" t="str">
            <v>Hamilton Sundstrand</v>
          </cell>
          <cell r="G168" t="str">
            <v>Up slightly</v>
          </cell>
          <cell r="I168">
            <v>0</v>
          </cell>
          <cell r="J168">
            <v>0.02</v>
          </cell>
          <cell r="K168">
            <v>5.6079999999999997</v>
          </cell>
          <cell r="L168">
            <v>5.7201599999999999</v>
          </cell>
        </row>
        <row r="169">
          <cell r="D169" t="str">
            <v>Hamilton Sundstrand</v>
          </cell>
          <cell r="G169" t="str">
            <v>Up slightly</v>
          </cell>
          <cell r="I169">
            <v>0</v>
          </cell>
          <cell r="J169">
            <v>0.02</v>
          </cell>
          <cell r="K169">
            <v>5.56</v>
          </cell>
          <cell r="L169">
            <v>5.6711999999999998</v>
          </cell>
        </row>
        <row r="170">
          <cell r="G170" t="str">
            <v>Operating Profit</v>
          </cell>
        </row>
        <row r="171">
          <cell r="G171" t="str">
            <v>(Y/Y $MM Chg.)</v>
          </cell>
          <cell r="I171" t="str">
            <v>($MM Ranges)</v>
          </cell>
          <cell r="K171" t="str">
            <v>(% Margin)</v>
          </cell>
        </row>
        <row r="172">
          <cell r="G172" t="str">
            <v>(Y/Y $MM Chg.)</v>
          </cell>
          <cell r="I172" t="str">
            <v>($MM Ranges)</v>
          </cell>
          <cell r="K172" t="str">
            <v>(% Margin)</v>
          </cell>
        </row>
        <row r="173">
          <cell r="D173" t="str">
            <v>Hamilton Sundstrand</v>
          </cell>
          <cell r="G173">
            <v>0</v>
          </cell>
          <cell r="H173">
            <v>25</v>
          </cell>
          <cell r="I173">
            <v>920</v>
          </cell>
          <cell r="J173">
            <v>945</v>
          </cell>
          <cell r="K173">
            <v>0.16405135520684738</v>
          </cell>
          <cell r="L173">
            <v>0.16520516908617941</v>
          </cell>
          <cell r="Y173">
            <v>0.16405135520684738</v>
          </cell>
          <cell r="Z173">
            <v>0.16520516908617941</v>
          </cell>
        </row>
        <row r="174">
          <cell r="D174" t="str">
            <v>Hamilton Sundstrand</v>
          </cell>
          <cell r="G174">
            <v>0</v>
          </cell>
          <cell r="H174">
            <v>25</v>
          </cell>
          <cell r="I174">
            <v>855</v>
          </cell>
          <cell r="J174">
            <v>880</v>
          </cell>
          <cell r="K174">
            <v>0.1537769784172662</v>
          </cell>
          <cell r="L174">
            <v>0.15516998166172943</v>
          </cell>
          <cell r="N174">
            <v>0.1537769784172662</v>
          </cell>
          <cell r="O174">
            <v>0.15516998166172943</v>
          </cell>
        </row>
        <row r="180">
          <cell r="D180" t="str">
            <v>Sikorsky</v>
          </cell>
          <cell r="G180" t="str">
            <v>Official Guidance</v>
          </cell>
          <cell r="I180" t="str">
            <v>Assuming…</v>
          </cell>
          <cell r="K180" t="str">
            <v>…Implying</v>
          </cell>
        </row>
        <row r="181">
          <cell r="D181" t="str">
            <v>Sikorsky</v>
          </cell>
          <cell r="G181" t="str">
            <v>Official Guidance</v>
          </cell>
          <cell r="I181" t="str">
            <v>Assuming…</v>
          </cell>
          <cell r="K181" t="str">
            <v>…Implying</v>
          </cell>
        </row>
        <row r="182">
          <cell r="G182" t="str">
            <v>Revenue</v>
          </cell>
        </row>
        <row r="183">
          <cell r="G183" t="str">
            <v>(UTC Comment)</v>
          </cell>
          <cell r="I183" t="str">
            <v>(Y/Y % Change)</v>
          </cell>
          <cell r="K183" t="str">
            <v>($B Ranges)</v>
          </cell>
        </row>
        <row r="184">
          <cell r="G184" t="str">
            <v>(UTC Comment)</v>
          </cell>
          <cell r="I184" t="str">
            <v>(Y/Y % Change)</v>
          </cell>
          <cell r="K184" t="str">
            <v>($B Ranges)</v>
          </cell>
        </row>
        <row r="185">
          <cell r="D185" t="str">
            <v>Sikorsky</v>
          </cell>
          <cell r="G185" t="str">
            <v>Up high sgl digits</v>
          </cell>
          <cell r="I185">
            <v>7.0000000000000007E-2</v>
          </cell>
          <cell r="J185">
            <v>0.09</v>
          </cell>
          <cell r="K185">
            <v>7.1518800000000002</v>
          </cell>
          <cell r="L185">
            <v>7.2855600000000011</v>
          </cell>
        </row>
        <row r="186">
          <cell r="D186" t="str">
            <v>Sikorsky</v>
          </cell>
          <cell r="G186" t="str">
            <v>Up high sgl digits</v>
          </cell>
          <cell r="I186">
            <v>7.0000000000000007E-2</v>
          </cell>
          <cell r="J186">
            <v>0.09</v>
          </cell>
          <cell r="K186">
            <v>6.7270900000000005</v>
          </cell>
          <cell r="L186">
            <v>6.85283</v>
          </cell>
        </row>
        <row r="187">
          <cell r="G187" t="str">
            <v>Operating Profit</v>
          </cell>
        </row>
        <row r="188">
          <cell r="G188" t="str">
            <v>(Y/Y $MM Chg.)</v>
          </cell>
          <cell r="I188" t="str">
            <v>($MM Ranges)</v>
          </cell>
          <cell r="K188" t="str">
            <v>(% Margin)</v>
          </cell>
        </row>
        <row r="189">
          <cell r="G189" t="str">
            <v>(Y/Y $MM Chg.)</v>
          </cell>
          <cell r="I189" t="str">
            <v>($MM Ranges)</v>
          </cell>
          <cell r="K189" t="str">
            <v>(% Margin)</v>
          </cell>
        </row>
        <row r="190">
          <cell r="D190" t="str">
            <v>Sikorsky</v>
          </cell>
          <cell r="G190">
            <v>100</v>
          </cell>
          <cell r="H190">
            <v>125</v>
          </cell>
          <cell r="I190">
            <v>815</v>
          </cell>
          <cell r="J190">
            <v>840</v>
          </cell>
          <cell r="K190">
            <v>0.11395605071673461</v>
          </cell>
          <cell r="L190">
            <v>0.11529655922125408</v>
          </cell>
          <cell r="Y190">
            <v>0.11395605071673461</v>
          </cell>
          <cell r="Z190">
            <v>0.11529655922125408</v>
          </cell>
        </row>
        <row r="191">
          <cell r="D191" t="str">
            <v>Sikorsky</v>
          </cell>
          <cell r="G191">
            <v>100</v>
          </cell>
          <cell r="H191">
            <v>125</v>
          </cell>
          <cell r="I191">
            <v>710</v>
          </cell>
          <cell r="J191">
            <v>735</v>
          </cell>
          <cell r="K191">
            <v>0.10554340732768551</v>
          </cell>
          <cell r="L191">
            <v>0.1072549589001916</v>
          </cell>
          <cell r="N191">
            <v>0.10554340732768551</v>
          </cell>
          <cell r="O191">
            <v>0.1072549589001916</v>
          </cell>
        </row>
      </sheetData>
      <sheetData sheetId="26">
        <row r="1">
          <cell r="C1" t="str">
            <v>Assumptions</v>
          </cell>
        </row>
        <row r="2">
          <cell r="C2" t="str">
            <v>Tax</v>
          </cell>
          <cell r="D2">
            <v>0.27944325481798715</v>
          </cell>
        </row>
        <row r="3">
          <cell r="C3" t="str">
            <v>Shares</v>
          </cell>
          <cell r="D3">
            <v>922.7</v>
          </cell>
        </row>
        <row r="4">
          <cell r="C4" t="str">
            <v>Spot Date</v>
          </cell>
          <cell r="D4">
            <v>40238</v>
          </cell>
        </row>
        <row r="6">
          <cell r="B6" t="str">
            <v>Management Quote FX Impact</v>
          </cell>
        </row>
        <row r="8">
          <cell r="H8" t="str">
            <v>Date of Guidance</v>
          </cell>
        </row>
        <row r="9">
          <cell r="H9">
            <v>40205</v>
          </cell>
          <cell r="I9">
            <v>40226</v>
          </cell>
        </row>
        <row r="11">
          <cell r="B11" t="str">
            <v>Currency Variables (EUR/USD)</v>
          </cell>
        </row>
        <row r="12">
          <cell r="C12" t="str">
            <v>FX Assumption in Guidance</v>
          </cell>
          <cell r="H12">
            <v>1.48</v>
          </cell>
          <cell r="I12">
            <v>1.48</v>
          </cell>
        </row>
        <row r="13">
          <cell r="C13" t="str">
            <v>FX Spot</v>
          </cell>
          <cell r="H13">
            <v>1.41</v>
          </cell>
          <cell r="I13">
            <v>1.37</v>
          </cell>
        </row>
        <row r="14">
          <cell r="C14" t="str">
            <v>Differential</v>
          </cell>
          <cell r="H14">
            <v>7.0000000000000062E-2</v>
          </cell>
          <cell r="I14">
            <v>0.10999999999999988</v>
          </cell>
        </row>
        <row r="15">
          <cell r="C15" t="str">
            <v>Differential (%)</v>
          </cell>
          <cell r="H15">
            <v>-4.7297297297297369E-2</v>
          </cell>
          <cell r="I15">
            <v>-7.4324324324324231E-2</v>
          </cell>
        </row>
        <row r="17">
          <cell r="B17" t="str">
            <v>P&amp;L Impact (Management Quoted)</v>
          </cell>
        </row>
        <row r="18">
          <cell r="C18" t="str">
            <v>EBIT Impact</v>
          </cell>
          <cell r="H18">
            <v>-75</v>
          </cell>
          <cell r="I18">
            <v>-125</v>
          </cell>
        </row>
        <row r="19">
          <cell r="C19" t="str">
            <v>EPS Impact (1)</v>
          </cell>
          <cell r="H19">
            <v>-5.8569151282812357E-2</v>
          </cell>
          <cell r="I19">
            <v>-9.7615252138020595E-2</v>
          </cell>
        </row>
        <row r="21">
          <cell r="B21" t="str">
            <v>Implied Marginal P&amp;L Impact</v>
          </cell>
        </row>
        <row r="22">
          <cell r="C22" t="str">
            <v>EBIT Impact (2)</v>
          </cell>
          <cell r="H22">
            <v>-10.714285714285705</v>
          </cell>
          <cell r="I22">
            <v>-11.363636363636376</v>
          </cell>
        </row>
        <row r="23">
          <cell r="C23" t="str">
            <v>EPS Impact (1)</v>
          </cell>
          <cell r="H23">
            <v>-8.3670216118303282E-3</v>
          </cell>
          <cell r="I23">
            <v>-8.8741138307291533E-3</v>
          </cell>
        </row>
        <row r="25">
          <cell r="C25" t="str">
            <v>Memo: Spot rate as of 3/1/10</v>
          </cell>
          <cell r="I25">
            <v>1.34785</v>
          </cell>
        </row>
        <row r="27">
          <cell r="C27" t="str">
            <v>(1) Assumes 2010E tax rate and diluted shares of 28% and 923, respectively.</v>
          </cell>
        </row>
        <row r="28">
          <cell r="C28" t="str">
            <v>(2) Mgmt quoted EBIT impact divided by FX differential (x 100)</v>
          </cell>
        </row>
        <row r="31">
          <cell r="B31" t="str">
            <v>FX Sensitvity</v>
          </cell>
        </row>
        <row r="34">
          <cell r="C34" t="str">
            <v>EUR/USD</v>
          </cell>
          <cell r="D34" t="str">
            <v>P&amp;L Impact</v>
          </cell>
        </row>
        <row r="35">
          <cell r="C35" t="str">
            <v>FX Rate</v>
          </cell>
          <cell r="D35" t="str">
            <v xml:space="preserve">EBIT (1) </v>
          </cell>
          <cell r="E35" t="str">
            <v xml:space="preserve">EPS (2) </v>
          </cell>
          <cell r="G35" t="str">
            <v>Comment</v>
          </cell>
        </row>
        <row r="36">
          <cell r="C36">
            <v>1.48</v>
          </cell>
          <cell r="D36">
            <v>0</v>
          </cell>
          <cell r="E36">
            <v>0</v>
          </cell>
          <cell r="G36" t="str">
            <v>&lt;&lt; UTC guidance assumption</v>
          </cell>
          <cell r="K36">
            <v>0.05</v>
          </cell>
        </row>
        <row r="37">
          <cell r="C37">
            <v>1.44</v>
          </cell>
          <cell r="D37">
            <v>-40.000000000000036</v>
          </cell>
          <cell r="E37">
            <v>-3.1236880684166617E-2</v>
          </cell>
          <cell r="K37">
            <v>1.8763119315833385E-2</v>
          </cell>
        </row>
        <row r="38">
          <cell r="C38">
            <v>1.4</v>
          </cell>
          <cell r="D38">
            <v>-80.000000000000071</v>
          </cell>
          <cell r="E38">
            <v>-6.2473761368333235E-2</v>
          </cell>
          <cell r="K38">
            <v>-1.2473761368333232E-2</v>
          </cell>
        </row>
        <row r="39">
          <cell r="C39">
            <v>1.3599999999999999</v>
          </cell>
          <cell r="D39">
            <v>-120.00000000000011</v>
          </cell>
          <cell r="E39">
            <v>-9.3710642052499848E-2</v>
          </cell>
          <cell r="G39" t="str">
            <v>&lt;&lt; Spot rate today</v>
          </cell>
          <cell r="K39">
            <v>-4.3710642052499846E-2</v>
          </cell>
        </row>
        <row r="40">
          <cell r="C40">
            <v>1.3199999999999998</v>
          </cell>
          <cell r="D40">
            <v>-160.00000000000014</v>
          </cell>
          <cell r="E40">
            <v>-0.12494752273666647</v>
          </cell>
          <cell r="G40" t="str">
            <v>&lt;&lt; MS FX forecast (2010 avg.)</v>
          </cell>
          <cell r="K40">
            <v>-7.4947522736666466E-2</v>
          </cell>
        </row>
        <row r="41">
          <cell r="C41">
            <v>1.2799999999999998</v>
          </cell>
          <cell r="D41">
            <v>-200.00000000000017</v>
          </cell>
          <cell r="E41">
            <v>-0.15618440342083306</v>
          </cell>
          <cell r="K41">
            <v>-0.10618440342083306</v>
          </cell>
        </row>
        <row r="42">
          <cell r="C42">
            <v>1.2399999999999998</v>
          </cell>
          <cell r="D42">
            <v>-240.00000000000023</v>
          </cell>
          <cell r="E42">
            <v>-0.1874212841049997</v>
          </cell>
          <cell r="K42">
            <v>-0.13742128410499971</v>
          </cell>
        </row>
        <row r="43">
          <cell r="C43">
            <v>1.1999999999999997</v>
          </cell>
          <cell r="D43">
            <v>-280.00000000000023</v>
          </cell>
          <cell r="E43">
            <v>-0.2186581647891663</v>
          </cell>
          <cell r="K43">
            <v>-0.16865816478916629</v>
          </cell>
        </row>
        <row r="45">
          <cell r="C45" t="str">
            <v>(1) Assumes rounded $10MM impact per 1¢ move in EUR/USD</v>
          </cell>
        </row>
        <row r="46">
          <cell r="C46" t="str">
            <v>(2) Assumes 2010E tax rate and diluted shares of 28% and 923, respectively.</v>
          </cell>
        </row>
        <row r="54">
          <cell r="H54" t="str">
            <v>Current</v>
          </cell>
          <cell r="I54">
            <v>40268</v>
          </cell>
          <cell r="J54">
            <v>40359</v>
          </cell>
          <cell r="K54">
            <v>40451</v>
          </cell>
          <cell r="L54">
            <v>40543</v>
          </cell>
          <cell r="M54">
            <v>40633</v>
          </cell>
          <cell r="N54">
            <v>40724</v>
          </cell>
          <cell r="O54">
            <v>40816</v>
          </cell>
          <cell r="P54">
            <v>40908</v>
          </cell>
          <cell r="Q54">
            <v>2009</v>
          </cell>
          <cell r="R54">
            <v>2010</v>
          </cell>
          <cell r="S54">
            <v>2011</v>
          </cell>
        </row>
        <row r="55">
          <cell r="H55">
            <v>1.34785</v>
          </cell>
          <cell r="I55">
            <v>1.34</v>
          </cell>
          <cell r="J55">
            <v>1.29</v>
          </cell>
          <cell r="K55">
            <v>1.27</v>
          </cell>
          <cell r="L55">
            <v>1.24</v>
          </cell>
          <cell r="M55">
            <v>1.28</v>
          </cell>
          <cell r="N55">
            <v>1.3</v>
          </cell>
          <cell r="O55">
            <v>1.35</v>
          </cell>
          <cell r="P55">
            <v>1.36</v>
          </cell>
          <cell r="Q55">
            <v>1.39</v>
          </cell>
          <cell r="R55">
            <v>1.31</v>
          </cell>
          <cell r="S55">
            <v>1.31</v>
          </cell>
        </row>
        <row r="56">
          <cell r="I56">
            <v>1.31</v>
          </cell>
          <cell r="J56">
            <v>1.31</v>
          </cell>
          <cell r="K56">
            <v>1.31</v>
          </cell>
          <cell r="L56">
            <v>1.31</v>
          </cell>
          <cell r="M56">
            <v>1.31</v>
          </cell>
          <cell r="N56">
            <v>1.31</v>
          </cell>
          <cell r="O56">
            <v>1.31</v>
          </cell>
          <cell r="P56">
            <v>1.31</v>
          </cell>
        </row>
      </sheetData>
      <sheetData sheetId="27"/>
      <sheetData sheetId="28" refreshError="1"/>
      <sheetData sheetId="29"/>
      <sheetData sheetId="30"/>
      <sheetData sheetId="31">
        <row r="1">
          <cell r="B1" t="str">
            <v>Sales</v>
          </cell>
        </row>
      </sheetData>
      <sheetData sheetId="32">
        <row r="1">
          <cell r="A1" t="str">
            <v>RRS-5.13</v>
          </cell>
        </row>
      </sheetData>
      <sheetData sheetId="33">
        <row r="2">
          <cell r="B2" t="str">
            <v>2005-FY</v>
          </cell>
        </row>
      </sheetData>
      <sheetData sheetId="34"/>
      <sheetData sheetId="35"/>
      <sheetData sheetId="36" refreshError="1"/>
      <sheetData sheetId="37"/>
      <sheetData sheetId="38" refreshError="1"/>
      <sheetData sheetId="39"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mercial Traffic&gt;&gt;"/>
      <sheetName val="Instructions"/>
      <sheetName val="Monthly_Traffic_Summary"/>
      <sheetName val="Annual Traffic Summary"/>
      <sheetName val="Comm. Traffic Charts"/>
      <sheetName val="US Traffic Data"/>
      <sheetName val="Europe Traffic Data"/>
      <sheetName val="Asia Traffic Data"/>
      <sheetName val="#REF"/>
      <sheetName val="Sheet1"/>
      <sheetName val="Mai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Biz Jets Takeoffs Landings&gt;&gt;"/>
      <sheetName val="Deliveries"/>
      <sheetName val="Biz Jet Output Data"/>
      <sheetName val="Quart. &amp; Annual Summary"/>
      <sheetName val="BJs charts"/>
      <sheetName val="__FDSCACHE__"/>
      <sheetName val="Source Data All Biz Jets"/>
      <sheetName val="Source Data Gulfstream "/>
      <sheetName val="Source Data Cessna"/>
      <sheetName val="Source Data Bombardier"/>
      <sheetName val="Delivs Condensed"/>
      <sheetName val="Amstat Inventories"/>
      <sheetName val="Sheet1"/>
      <sheetName val="BizJet Deliveries"/>
      <sheetName val="BBD Data"/>
      <sheetName val="AFOSHEET"/>
      <sheetName val="#REF"/>
      <sheetName val="Annual Traffic Summary"/>
      <sheetName val="Monthly_Traffic_Summary"/>
    </sheetNames>
    <sheetDataSet>
      <sheetData sheetId="0"/>
      <sheetData sheetId="1"/>
      <sheetData sheetId="2"/>
      <sheetData sheetId="3">
        <row r="1">
          <cell r="A1" t="str">
            <v>FAA Biz Jets Arrivals / Departures</v>
          </cell>
        </row>
      </sheetData>
      <sheetData sheetId="4"/>
      <sheetData sheetId="5">
        <row r="1">
          <cell r="A1" t="str">
            <v>Biz Jet Traffic Charts</v>
          </cell>
        </row>
      </sheetData>
      <sheetData sheetId="6"/>
      <sheetData sheetId="7"/>
      <sheetData sheetId="8"/>
      <sheetData sheetId="9"/>
      <sheetData sheetId="10"/>
      <sheetData sheetId="11" refreshError="1"/>
      <sheetData sheetId="12" refreshError="1"/>
      <sheetData sheetId="13" refreshError="1"/>
      <sheetData sheetId="14"/>
      <sheetData sheetId="15" refreshError="1"/>
      <sheetData sheetId="16" refreshError="1"/>
      <sheetData sheetId="17" refreshError="1"/>
      <sheetData sheetId="18" refreshError="1"/>
      <sheetData sheetId="19"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ning"/>
      <sheetName val="Insurance"/>
      <sheetName val="Banks"/>
      <sheetName val="Oils"/>
      <sheetName val="General Europe"/>
      <sheetName val="General UK"/>
      <sheetName val="Latest_Chart"/>
      <sheetName val="Add4Sheet"/>
      <sheetName val="Module2"/>
      <sheetName val="Module1"/>
      <sheetName val="LINKTAB"/>
      <sheetName val="Model"/>
      <sheetName val="P"/>
      <sheetName val="Market_Share"/>
      <sheetName val="Assumptions"/>
      <sheetName val="Summary"/>
      <sheetName val="Consol_Income"/>
      <sheetName val="Rate Case"/>
      <sheetName val="Balance Sheet"/>
      <sheetName val="Sheet9"/>
      <sheetName val="Leases"/>
      <sheetName val="Graph"/>
      <sheetName val="Income"/>
      <sheetName val="Financial Summary"/>
      <sheetName val="BizJet Deliveries"/>
      <sheetName val="Exclusion List"/>
      <sheetName val="CFOld"/>
      <sheetName val="PLOld"/>
      <sheetName val="Headline"/>
      <sheetName val="MTT old"/>
      <sheetName val="CENMODEL"/>
      <sheetName val="Monthly figures"/>
      <sheetName val="Consolidated"/>
      <sheetName val="Customize Your Statement"/>
      <sheetName val="DOMNETREV1002B"/>
      <sheetName val="Cash flow"/>
      <sheetName val="Profit &amp; Loss"/>
      <sheetName val="Inputs, sensitivity &amp; val"/>
      <sheetName val="c1"/>
      <sheetName val="KQ"/>
      <sheetName val="Sainsbury"/>
    </sheetNames>
    <sheetDataSet>
      <sheetData sheetId="0"/>
      <sheetData sheetId="1"/>
      <sheetData sheetId="2"/>
      <sheetData sheetId="3"/>
      <sheetData sheetId="4"/>
      <sheetData sheetId="5"/>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Cache"/>
      <sheetName val="Main"/>
      <sheetName val="Short Form"/>
      <sheetName val="Boeing Monthly"/>
      <sheetName val="Airbus Monthly"/>
      <sheetName val="Boeing Del Schedule- Reported"/>
      <sheetName val="Boeing Del Schedule"/>
      <sheetName val="Airbus Del Schedule"/>
      <sheetName val="BA Monthly Del by Airline"/>
      <sheetName val="Airbus Monthly Del by Airline"/>
      <sheetName val="Monthly Note"/>
      <sheetName val="Regional"/>
      <sheetName val="Orders"/>
      <sheetName val="Asia"/>
      <sheetName val="747 "/>
      <sheetName val="787 vs A350 Orders"/>
      <sheetName val="A380 Buildup"/>
      <sheetName val="__FDSCACHE__"/>
      <sheetName val="New Tables 2006"/>
      <sheetName val="Airbus Del Schedule 2"/>
      <sheetName val="Graphs"/>
      <sheetName val="Paris 05 Orders"/>
      <sheetName val="Paris 07 Orders"/>
      <sheetName val="Dubai 07 Orders"/>
      <sheetName val="F'boro 08 Orders"/>
      <sheetName val="Tables"/>
      <sheetName val="BA for Note"/>
      <sheetName val="Airbus for Note"/>
      <sheetName val="projected fleet size"/>
      <sheetName val="747 Data"/>
      <sheetName val="Summary Sheet"/>
      <sheetName val="777vA340"/>
      <sheetName val="Airclaims"/>
      <sheetName val="2005 Paris Air Show Orders"/>
    </sheetNames>
    <sheetDataSet>
      <sheetData sheetId="0" refreshError="1"/>
      <sheetData sheetId="1">
        <row r="1">
          <cell r="A1" t="str">
            <v>COMMERCIAL AIRCRAFT QUARTERLY ORDER/BACKLOG SCORECARD</v>
          </cell>
        </row>
      </sheetData>
      <sheetData sheetId="2" refreshError="1"/>
      <sheetData sheetId="3" refreshError="1"/>
      <sheetData sheetId="4" refreshError="1"/>
      <sheetData sheetId="5">
        <row r="3">
          <cell r="A3" t="str">
            <v>Boeing Aircraft Delivery Schedule</v>
          </cell>
        </row>
      </sheetData>
      <sheetData sheetId="6">
        <row r="1">
          <cell r="A1" t="str">
            <v>(Announced Orders, per press releases; all orders not currently reflected in official backlog)</v>
          </cell>
        </row>
      </sheetData>
      <sheetData sheetId="7" refreshError="1"/>
      <sheetData sheetId="8" refreshError="1"/>
      <sheetData sheetId="9" refreshError="1"/>
      <sheetData sheetId="10">
        <row r="1">
          <cell r="B1" t="str">
            <v>Tables/Figures for Monthly Note</v>
          </cell>
        </row>
      </sheetData>
      <sheetData sheetId="11" refreshError="1"/>
      <sheetData sheetId="12" refreshError="1"/>
      <sheetData sheetId="13" refreshError="1"/>
      <sheetData sheetId="14" refreshError="1"/>
      <sheetData sheetId="15">
        <row r="2">
          <cell r="A2" t="str">
            <v>As of 13 July, 2007</v>
          </cell>
        </row>
      </sheetData>
      <sheetData sheetId="16" refreshError="1"/>
      <sheetData sheetId="17" refreshError="1"/>
      <sheetData sheetId="18">
        <row r="1">
          <cell r="A1">
            <v>32873</v>
          </cell>
        </row>
      </sheetData>
      <sheetData sheetId="19" refreshError="1"/>
      <sheetData sheetId="20">
        <row r="2">
          <cell r="A2" t="str">
            <v>Order, Backlog- Data</v>
          </cell>
        </row>
        <row r="4">
          <cell r="B4" t="str">
            <v>Orders</v>
          </cell>
          <cell r="S4" t="str">
            <v>Backlog</v>
          </cell>
        </row>
        <row r="5">
          <cell r="B5" t="str">
            <v>A300</v>
          </cell>
          <cell r="C5" t="str">
            <v>A310</v>
          </cell>
          <cell r="D5" t="str">
            <v>A318</v>
          </cell>
          <cell r="E5" t="str">
            <v>A319</v>
          </cell>
          <cell r="F5" t="str">
            <v>A320</v>
          </cell>
          <cell r="G5" t="str">
            <v>A321</v>
          </cell>
          <cell r="H5" t="str">
            <v>A330</v>
          </cell>
          <cell r="I5" t="str">
            <v>A340</v>
          </cell>
          <cell r="J5" t="str">
            <v>A350</v>
          </cell>
          <cell r="K5" t="str">
            <v>A380</v>
          </cell>
          <cell r="L5">
            <v>717</v>
          </cell>
          <cell r="M5">
            <v>737</v>
          </cell>
          <cell r="N5">
            <v>747</v>
          </cell>
          <cell r="O5">
            <v>757</v>
          </cell>
          <cell r="P5">
            <v>767</v>
          </cell>
          <cell r="Q5">
            <v>777</v>
          </cell>
          <cell r="R5">
            <v>787</v>
          </cell>
          <cell r="S5" t="str">
            <v>A300</v>
          </cell>
          <cell r="T5" t="str">
            <v>A310</v>
          </cell>
          <cell r="U5" t="str">
            <v>A318</v>
          </cell>
          <cell r="V5" t="str">
            <v>A319</v>
          </cell>
          <cell r="W5" t="str">
            <v>A320</v>
          </cell>
          <cell r="X5" t="str">
            <v>A321</v>
          </cell>
          <cell r="Y5" t="str">
            <v>A330</v>
          </cell>
          <cell r="Z5" t="str">
            <v>A340</v>
          </cell>
          <cell r="AA5" t="str">
            <v>A350</v>
          </cell>
          <cell r="AB5" t="str">
            <v>A380</v>
          </cell>
          <cell r="AC5">
            <v>717</v>
          </cell>
          <cell r="AD5">
            <v>737</v>
          </cell>
          <cell r="AE5">
            <v>747</v>
          </cell>
          <cell r="AF5">
            <v>757</v>
          </cell>
          <cell r="AG5">
            <v>767</v>
          </cell>
          <cell r="AH5">
            <v>777</v>
          </cell>
          <cell r="AI5">
            <v>787</v>
          </cell>
        </row>
        <row r="6">
          <cell r="A6">
            <v>1990</v>
          </cell>
          <cell r="B6">
            <v>31</v>
          </cell>
          <cell r="C6">
            <v>40</v>
          </cell>
          <cell r="E6">
            <v>0</v>
          </cell>
          <cell r="F6">
            <v>73</v>
          </cell>
          <cell r="G6">
            <v>53</v>
          </cell>
          <cell r="H6">
            <v>25</v>
          </cell>
          <cell r="I6">
            <v>8</v>
          </cell>
          <cell r="M6">
            <v>162</v>
          </cell>
          <cell r="N6">
            <v>172</v>
          </cell>
          <cell r="O6">
            <v>97</v>
          </cell>
          <cell r="P6">
            <v>52</v>
          </cell>
          <cell r="Q6">
            <v>49</v>
          </cell>
          <cell r="S6">
            <v>78</v>
          </cell>
          <cell r="T6">
            <v>78</v>
          </cell>
          <cell r="W6">
            <v>531</v>
          </cell>
          <cell r="X6">
            <v>137</v>
          </cell>
          <cell r="Y6">
            <v>138</v>
          </cell>
          <cell r="Z6">
            <v>92</v>
          </cell>
          <cell r="AD6">
            <v>1001</v>
          </cell>
          <cell r="AE6">
            <v>305</v>
          </cell>
          <cell r="AF6">
            <v>417</v>
          </cell>
          <cell r="AG6">
            <v>195</v>
          </cell>
          <cell r="AH6">
            <v>49</v>
          </cell>
        </row>
        <row r="7">
          <cell r="A7">
            <v>1991</v>
          </cell>
          <cell r="B7">
            <v>40</v>
          </cell>
          <cell r="C7">
            <v>12</v>
          </cell>
          <cell r="E7">
            <v>0</v>
          </cell>
          <cell r="F7">
            <v>14</v>
          </cell>
          <cell r="G7">
            <v>3</v>
          </cell>
          <cell r="H7">
            <v>5</v>
          </cell>
          <cell r="I7">
            <v>26</v>
          </cell>
          <cell r="M7">
            <v>72</v>
          </cell>
          <cell r="N7">
            <v>38</v>
          </cell>
          <cell r="O7">
            <v>43</v>
          </cell>
          <cell r="P7">
            <v>72</v>
          </cell>
          <cell r="Q7">
            <v>27</v>
          </cell>
          <cell r="S7">
            <v>93</v>
          </cell>
          <cell r="T7">
            <v>56</v>
          </cell>
          <cell r="W7">
            <v>416</v>
          </cell>
          <cell r="X7">
            <v>140</v>
          </cell>
          <cell r="Y7">
            <v>143</v>
          </cell>
          <cell r="Z7">
            <v>118</v>
          </cell>
          <cell r="AD7">
            <v>837</v>
          </cell>
          <cell r="AE7">
            <v>280</v>
          </cell>
          <cell r="AF7">
            <v>381</v>
          </cell>
          <cell r="AG7">
            <v>205</v>
          </cell>
          <cell r="AH7">
            <v>76</v>
          </cell>
        </row>
        <row r="8">
          <cell r="A8">
            <v>1992</v>
          </cell>
          <cell r="B8">
            <v>18</v>
          </cell>
          <cell r="C8">
            <v>14</v>
          </cell>
          <cell r="E8">
            <v>6</v>
          </cell>
          <cell r="F8">
            <v>59</v>
          </cell>
          <cell r="G8">
            <v>8</v>
          </cell>
          <cell r="H8">
            <v>1</v>
          </cell>
          <cell r="I8">
            <v>22</v>
          </cell>
          <cell r="M8">
            <v>114</v>
          </cell>
          <cell r="N8">
            <v>28</v>
          </cell>
          <cell r="O8">
            <v>38</v>
          </cell>
          <cell r="P8">
            <v>21</v>
          </cell>
          <cell r="Q8">
            <v>42</v>
          </cell>
          <cell r="S8">
            <v>89</v>
          </cell>
          <cell r="T8">
            <v>44</v>
          </cell>
          <cell r="V8">
            <v>6</v>
          </cell>
          <cell r="W8">
            <v>296</v>
          </cell>
          <cell r="X8">
            <v>153</v>
          </cell>
          <cell r="Y8">
            <v>144</v>
          </cell>
          <cell r="Z8">
            <v>112</v>
          </cell>
          <cell r="AD8">
            <v>701</v>
          </cell>
          <cell r="AE8">
            <v>242</v>
          </cell>
          <cell r="AF8">
            <v>321</v>
          </cell>
          <cell r="AG8">
            <v>158</v>
          </cell>
          <cell r="AH8">
            <v>116</v>
          </cell>
        </row>
        <row r="9">
          <cell r="A9">
            <v>1993</v>
          </cell>
          <cell r="B9">
            <v>6</v>
          </cell>
          <cell r="C9">
            <v>3</v>
          </cell>
          <cell r="E9">
            <v>0</v>
          </cell>
          <cell r="F9">
            <v>13</v>
          </cell>
          <cell r="G9">
            <v>0</v>
          </cell>
          <cell r="H9">
            <v>1</v>
          </cell>
          <cell r="I9">
            <v>15</v>
          </cell>
          <cell r="M9">
            <v>107</v>
          </cell>
          <cell r="N9">
            <v>0</v>
          </cell>
          <cell r="O9">
            <v>35</v>
          </cell>
          <cell r="P9">
            <v>65</v>
          </cell>
          <cell r="Q9">
            <v>26</v>
          </cell>
          <cell r="S9">
            <v>71</v>
          </cell>
          <cell r="T9">
            <v>15</v>
          </cell>
          <cell r="V9">
            <v>6</v>
          </cell>
          <cell r="W9">
            <v>212</v>
          </cell>
          <cell r="X9">
            <v>153</v>
          </cell>
          <cell r="Y9">
            <v>117</v>
          </cell>
          <cell r="Z9">
            <v>96</v>
          </cell>
          <cell r="AD9">
            <v>526</v>
          </cell>
          <cell r="AE9">
            <v>158</v>
          </cell>
          <cell r="AF9">
            <v>272</v>
          </cell>
          <cell r="AG9">
            <v>151</v>
          </cell>
          <cell r="AH9">
            <v>145</v>
          </cell>
        </row>
        <row r="10">
          <cell r="A10">
            <v>1994</v>
          </cell>
          <cell r="B10">
            <v>0</v>
          </cell>
          <cell r="C10">
            <v>0</v>
          </cell>
          <cell r="E10">
            <v>44</v>
          </cell>
          <cell r="F10">
            <v>42</v>
          </cell>
          <cell r="G10">
            <v>20</v>
          </cell>
          <cell r="H10">
            <v>0</v>
          </cell>
          <cell r="I10">
            <v>30</v>
          </cell>
          <cell r="M10">
            <v>69</v>
          </cell>
          <cell r="N10">
            <v>16</v>
          </cell>
          <cell r="O10">
            <v>12</v>
          </cell>
          <cell r="P10">
            <v>22</v>
          </cell>
          <cell r="Q10">
            <v>0</v>
          </cell>
          <cell r="S10">
            <v>41</v>
          </cell>
          <cell r="T10">
            <v>9</v>
          </cell>
          <cell r="V10">
            <v>51</v>
          </cell>
          <cell r="W10">
            <v>177</v>
          </cell>
          <cell r="X10">
            <v>131</v>
          </cell>
          <cell r="Y10">
            <v>108</v>
          </cell>
          <cell r="Z10">
            <v>98</v>
          </cell>
          <cell r="AD10">
            <v>424</v>
          </cell>
          <cell r="AE10">
            <v>112</v>
          </cell>
          <cell r="AF10">
            <v>190</v>
          </cell>
          <cell r="AG10">
            <v>127</v>
          </cell>
          <cell r="AH10">
            <v>145</v>
          </cell>
        </row>
        <row r="11">
          <cell r="A11">
            <v>1995</v>
          </cell>
          <cell r="B11">
            <v>2</v>
          </cell>
          <cell r="C11">
            <v>4</v>
          </cell>
          <cell r="E11">
            <v>30</v>
          </cell>
          <cell r="F11">
            <v>29</v>
          </cell>
          <cell r="G11">
            <v>7</v>
          </cell>
          <cell r="H11">
            <v>9</v>
          </cell>
          <cell r="I11">
            <v>10</v>
          </cell>
          <cell r="L11">
            <v>50</v>
          </cell>
          <cell r="M11">
            <v>176</v>
          </cell>
          <cell r="N11">
            <v>20</v>
          </cell>
          <cell r="O11">
            <v>13</v>
          </cell>
          <cell r="P11">
            <v>26</v>
          </cell>
          <cell r="Q11">
            <v>95</v>
          </cell>
          <cell r="S11">
            <v>26</v>
          </cell>
          <cell r="T11">
            <v>11</v>
          </cell>
          <cell r="V11">
            <v>81</v>
          </cell>
          <cell r="W11">
            <v>172</v>
          </cell>
          <cell r="X11">
            <v>120</v>
          </cell>
          <cell r="Y11">
            <v>81</v>
          </cell>
          <cell r="Z11">
            <v>87</v>
          </cell>
          <cell r="AC11">
            <v>50</v>
          </cell>
          <cell r="AD11">
            <v>474</v>
          </cell>
          <cell r="AE11">
            <v>123</v>
          </cell>
          <cell r="AF11">
            <v>138</v>
          </cell>
          <cell r="AG11">
            <v>118</v>
          </cell>
          <cell r="AH11">
            <v>215</v>
          </cell>
        </row>
        <row r="12">
          <cell r="A12">
            <v>1996</v>
          </cell>
          <cell r="B12">
            <v>13</v>
          </cell>
          <cell r="C12">
            <v>12</v>
          </cell>
          <cell r="E12">
            <v>48</v>
          </cell>
          <cell r="F12">
            <v>124</v>
          </cell>
          <cell r="G12">
            <v>33</v>
          </cell>
          <cell r="H12">
            <v>40</v>
          </cell>
          <cell r="I12">
            <v>31</v>
          </cell>
          <cell r="L12">
            <v>0</v>
          </cell>
          <cell r="M12">
            <v>300</v>
          </cell>
          <cell r="N12">
            <v>72</v>
          </cell>
          <cell r="O12">
            <v>49</v>
          </cell>
          <cell r="P12">
            <v>35</v>
          </cell>
          <cell r="Q12">
            <v>102</v>
          </cell>
          <cell r="S12">
            <v>23</v>
          </cell>
          <cell r="T12">
            <v>9</v>
          </cell>
          <cell r="V12">
            <v>120</v>
          </cell>
          <cell r="W12">
            <v>260</v>
          </cell>
          <cell r="X12">
            <v>141</v>
          </cell>
          <cell r="Y12">
            <v>114</v>
          </cell>
          <cell r="Z12">
            <v>87</v>
          </cell>
          <cell r="AC12">
            <v>50</v>
          </cell>
          <cell r="AD12">
            <v>755</v>
          </cell>
          <cell r="AE12">
            <v>165</v>
          </cell>
          <cell r="AF12">
            <v>136</v>
          </cell>
          <cell r="AG12">
            <v>85</v>
          </cell>
          <cell r="AH12">
            <v>271</v>
          </cell>
        </row>
        <row r="13">
          <cell r="A13">
            <v>1997</v>
          </cell>
          <cell r="B13">
            <v>6</v>
          </cell>
          <cell r="C13">
            <v>1</v>
          </cell>
          <cell r="E13">
            <v>185</v>
          </cell>
          <cell r="F13">
            <v>98</v>
          </cell>
          <cell r="G13">
            <v>37</v>
          </cell>
          <cell r="H13">
            <v>64</v>
          </cell>
          <cell r="I13">
            <v>25</v>
          </cell>
          <cell r="L13">
            <v>0</v>
          </cell>
          <cell r="M13">
            <v>320</v>
          </cell>
          <cell r="N13">
            <v>37</v>
          </cell>
          <cell r="O13">
            <v>45</v>
          </cell>
          <cell r="P13">
            <v>98</v>
          </cell>
          <cell r="Q13">
            <v>51</v>
          </cell>
          <cell r="S13">
            <v>20</v>
          </cell>
          <cell r="T13">
            <v>7</v>
          </cell>
          <cell r="V13">
            <v>306</v>
          </cell>
          <cell r="W13">
            <v>297</v>
          </cell>
          <cell r="X13">
            <v>140</v>
          </cell>
          <cell r="Y13">
            <v>162</v>
          </cell>
          <cell r="Z13">
            <v>77</v>
          </cell>
          <cell r="AC13">
            <v>50</v>
          </cell>
          <cell r="AD13">
            <v>920</v>
          </cell>
          <cell r="AE13">
            <v>163</v>
          </cell>
          <cell r="AF13">
            <v>135</v>
          </cell>
          <cell r="AG13">
            <v>141</v>
          </cell>
          <cell r="AH13">
            <v>259</v>
          </cell>
        </row>
        <row r="14">
          <cell r="A14">
            <v>1998</v>
          </cell>
          <cell r="B14">
            <v>32</v>
          </cell>
          <cell r="C14">
            <v>0</v>
          </cell>
          <cell r="E14">
            <v>139</v>
          </cell>
          <cell r="F14">
            <v>201</v>
          </cell>
          <cell r="G14">
            <v>45</v>
          </cell>
          <cell r="H14">
            <v>24</v>
          </cell>
          <cell r="I14">
            <v>63</v>
          </cell>
          <cell r="L14">
            <v>65</v>
          </cell>
          <cell r="M14">
            <v>373</v>
          </cell>
          <cell r="N14">
            <v>14</v>
          </cell>
          <cell r="O14">
            <v>50</v>
          </cell>
          <cell r="P14">
            <v>42</v>
          </cell>
          <cell r="Q14">
            <v>71</v>
          </cell>
          <cell r="S14">
            <v>39</v>
          </cell>
          <cell r="T14">
            <v>6</v>
          </cell>
          <cell r="V14">
            <v>435</v>
          </cell>
          <cell r="W14">
            <v>416</v>
          </cell>
          <cell r="X14">
            <v>141</v>
          </cell>
          <cell r="Y14">
            <v>161</v>
          </cell>
          <cell r="Z14">
            <v>116</v>
          </cell>
          <cell r="AC14">
            <v>55</v>
          </cell>
          <cell r="AD14">
            <v>981</v>
          </cell>
          <cell r="AE14">
            <v>103</v>
          </cell>
          <cell r="AF14">
            <v>129</v>
          </cell>
          <cell r="AG14">
            <v>133</v>
          </cell>
          <cell r="AH14">
            <v>249</v>
          </cell>
        </row>
        <row r="15">
          <cell r="A15">
            <v>1999</v>
          </cell>
          <cell r="B15">
            <v>0</v>
          </cell>
          <cell r="C15">
            <v>0</v>
          </cell>
          <cell r="D15">
            <v>120</v>
          </cell>
          <cell r="E15">
            <v>66</v>
          </cell>
          <cell r="F15">
            <v>188</v>
          </cell>
          <cell r="G15">
            <v>66</v>
          </cell>
          <cell r="H15">
            <v>32</v>
          </cell>
          <cell r="I15">
            <v>36</v>
          </cell>
          <cell r="L15">
            <v>15</v>
          </cell>
          <cell r="M15">
            <v>263</v>
          </cell>
          <cell r="N15">
            <v>35</v>
          </cell>
          <cell r="O15">
            <v>18</v>
          </cell>
          <cell r="P15">
            <v>37</v>
          </cell>
          <cell r="Q15">
            <v>23</v>
          </cell>
          <cell r="S15">
            <v>31</v>
          </cell>
          <cell r="T15">
            <v>5</v>
          </cell>
          <cell r="U15">
            <v>120</v>
          </cell>
          <cell r="V15">
            <v>380</v>
          </cell>
          <cell r="W15">
            <v>493</v>
          </cell>
          <cell r="X15">
            <v>169</v>
          </cell>
          <cell r="Y15">
            <v>134</v>
          </cell>
          <cell r="Z15">
            <v>119</v>
          </cell>
          <cell r="AC15">
            <v>119</v>
          </cell>
          <cell r="AD15">
            <v>912</v>
          </cell>
          <cell r="AE15">
            <v>76</v>
          </cell>
          <cell r="AF15">
            <v>80</v>
          </cell>
          <cell r="AG15">
            <v>122</v>
          </cell>
          <cell r="AH15">
            <v>188</v>
          </cell>
        </row>
        <row r="16">
          <cell r="A16">
            <v>2000</v>
          </cell>
          <cell r="B16">
            <v>2</v>
          </cell>
          <cell r="C16">
            <v>0</v>
          </cell>
          <cell r="D16">
            <v>41</v>
          </cell>
          <cell r="E16">
            <v>135</v>
          </cell>
          <cell r="F16">
            <v>177</v>
          </cell>
          <cell r="G16">
            <v>72</v>
          </cell>
          <cell r="H16">
            <v>110</v>
          </cell>
          <cell r="I16">
            <v>20</v>
          </cell>
          <cell r="L16">
            <v>21</v>
          </cell>
          <cell r="M16">
            <v>391</v>
          </cell>
          <cell r="N16">
            <v>27</v>
          </cell>
          <cell r="O16">
            <v>43</v>
          </cell>
          <cell r="P16">
            <v>12</v>
          </cell>
          <cell r="Q16">
            <v>117</v>
          </cell>
          <cell r="S16">
            <v>25</v>
          </cell>
          <cell r="T16">
            <v>5</v>
          </cell>
          <cell r="U16">
            <v>161</v>
          </cell>
          <cell r="V16">
            <v>385</v>
          </cell>
          <cell r="W16">
            <v>534</v>
          </cell>
          <cell r="X16">
            <v>207</v>
          </cell>
          <cell r="Y16">
            <v>193</v>
          </cell>
          <cell r="Z16">
            <v>126</v>
          </cell>
          <cell r="AC16">
            <v>108</v>
          </cell>
          <cell r="AD16">
            <v>1019</v>
          </cell>
          <cell r="AE16">
            <v>82</v>
          </cell>
          <cell r="AF16">
            <v>79</v>
          </cell>
          <cell r="AG16">
            <v>84</v>
          </cell>
          <cell r="AH16">
            <v>247</v>
          </cell>
        </row>
        <row r="17">
          <cell r="A17">
            <v>2001</v>
          </cell>
          <cell r="B17">
            <v>61</v>
          </cell>
          <cell r="C17">
            <v>0</v>
          </cell>
          <cell r="D17">
            <v>0</v>
          </cell>
          <cell r="E17">
            <v>57</v>
          </cell>
          <cell r="F17">
            <v>131</v>
          </cell>
          <cell r="G17">
            <v>47</v>
          </cell>
          <cell r="H17">
            <v>52</v>
          </cell>
          <cell r="I17">
            <v>2</v>
          </cell>
          <cell r="K17">
            <v>85</v>
          </cell>
          <cell r="L17">
            <v>6</v>
          </cell>
          <cell r="M17">
            <v>188</v>
          </cell>
          <cell r="N17">
            <v>16</v>
          </cell>
          <cell r="O17">
            <v>44</v>
          </cell>
          <cell r="P17">
            <v>51</v>
          </cell>
          <cell r="Q17">
            <v>30</v>
          </cell>
          <cell r="S17">
            <v>75</v>
          </cell>
          <cell r="T17">
            <v>5</v>
          </cell>
          <cell r="U17">
            <v>114</v>
          </cell>
          <cell r="V17">
            <v>287</v>
          </cell>
          <cell r="W17">
            <v>532</v>
          </cell>
          <cell r="X17">
            <v>195</v>
          </cell>
          <cell r="Y17">
            <v>198</v>
          </cell>
          <cell r="Z17">
            <v>84</v>
          </cell>
          <cell r="AB17">
            <v>85</v>
          </cell>
          <cell r="AC17">
            <v>45</v>
          </cell>
          <cell r="AD17">
            <v>889</v>
          </cell>
          <cell r="AE17">
            <v>59</v>
          </cell>
          <cell r="AF17">
            <v>55</v>
          </cell>
          <cell r="AG17">
            <v>67</v>
          </cell>
          <cell r="AH17">
            <v>204</v>
          </cell>
        </row>
        <row r="18">
          <cell r="A18">
            <v>2002</v>
          </cell>
          <cell r="B18">
            <v>0</v>
          </cell>
          <cell r="C18">
            <v>0</v>
          </cell>
          <cell r="D18">
            <v>0</v>
          </cell>
          <cell r="E18">
            <v>173</v>
          </cell>
          <cell r="F18">
            <v>16</v>
          </cell>
          <cell r="G18">
            <v>21</v>
          </cell>
          <cell r="H18">
            <v>24</v>
          </cell>
          <cell r="I18">
            <v>31</v>
          </cell>
          <cell r="K18">
            <v>10</v>
          </cell>
          <cell r="L18">
            <v>23</v>
          </cell>
          <cell r="M18">
            <v>162</v>
          </cell>
          <cell r="N18">
            <v>17</v>
          </cell>
          <cell r="O18">
            <v>0</v>
          </cell>
          <cell r="P18">
            <v>8</v>
          </cell>
          <cell r="Q18">
            <v>32</v>
          </cell>
          <cell r="S18">
            <v>66</v>
          </cell>
          <cell r="T18">
            <v>5</v>
          </cell>
          <cell r="U18">
            <v>84</v>
          </cell>
          <cell r="V18">
            <v>367</v>
          </cell>
          <cell r="W18">
            <v>483</v>
          </cell>
          <cell r="X18">
            <v>166</v>
          </cell>
          <cell r="Y18">
            <v>168</v>
          </cell>
          <cell r="Z18">
            <v>90</v>
          </cell>
          <cell r="AB18">
            <v>95</v>
          </cell>
          <cell r="AC18">
            <v>40</v>
          </cell>
          <cell r="AD18">
            <v>778</v>
          </cell>
          <cell r="AE18">
            <v>52</v>
          </cell>
          <cell r="AF18">
            <v>28</v>
          </cell>
          <cell r="AG18">
            <v>39</v>
          </cell>
          <cell r="AH18">
            <v>187</v>
          </cell>
        </row>
        <row r="19">
          <cell r="A19">
            <v>2003</v>
          </cell>
          <cell r="B19">
            <v>6</v>
          </cell>
          <cell r="C19">
            <v>0</v>
          </cell>
          <cell r="D19">
            <v>0</v>
          </cell>
          <cell r="E19">
            <v>78</v>
          </cell>
          <cell r="F19">
            <v>117</v>
          </cell>
          <cell r="G19">
            <v>13</v>
          </cell>
          <cell r="H19">
            <v>54</v>
          </cell>
          <cell r="I19">
            <v>35</v>
          </cell>
          <cell r="K19">
            <v>34</v>
          </cell>
          <cell r="L19">
            <v>8</v>
          </cell>
          <cell r="M19">
            <v>207</v>
          </cell>
          <cell r="N19">
            <v>4</v>
          </cell>
          <cell r="O19">
            <v>7</v>
          </cell>
          <cell r="P19">
            <v>11</v>
          </cell>
          <cell r="Q19">
            <v>13</v>
          </cell>
          <cell r="S19">
            <v>64</v>
          </cell>
          <cell r="T19">
            <v>5</v>
          </cell>
          <cell r="U19">
            <v>70</v>
          </cell>
          <cell r="V19">
            <v>361</v>
          </cell>
          <cell r="W19">
            <v>445</v>
          </cell>
          <cell r="X19">
            <v>120</v>
          </cell>
          <cell r="Y19">
            <v>187</v>
          </cell>
          <cell r="Z19">
            <v>87</v>
          </cell>
          <cell r="AB19">
            <v>129</v>
          </cell>
          <cell r="AC19">
            <v>36</v>
          </cell>
          <cell r="AD19">
            <v>832</v>
          </cell>
          <cell r="AE19">
            <v>37</v>
          </cell>
          <cell r="AF19">
            <v>13</v>
          </cell>
          <cell r="AG19">
            <v>25</v>
          </cell>
          <cell r="AH19">
            <v>168</v>
          </cell>
        </row>
        <row r="20">
          <cell r="A20">
            <v>2004</v>
          </cell>
          <cell r="B20">
            <v>0</v>
          </cell>
          <cell r="C20">
            <v>0</v>
          </cell>
          <cell r="D20">
            <v>4</v>
          </cell>
          <cell r="E20">
            <v>31</v>
          </cell>
          <cell r="F20">
            <v>21</v>
          </cell>
          <cell r="G20">
            <v>5</v>
          </cell>
          <cell r="H20">
            <v>6</v>
          </cell>
          <cell r="I20">
            <v>3</v>
          </cell>
          <cell r="K20">
            <v>0</v>
          </cell>
          <cell r="L20">
            <v>6</v>
          </cell>
          <cell r="M20">
            <v>50</v>
          </cell>
          <cell r="N20">
            <v>6</v>
          </cell>
          <cell r="O20">
            <v>0</v>
          </cell>
          <cell r="P20">
            <v>2</v>
          </cell>
          <cell r="Q20">
            <v>2</v>
          </cell>
          <cell r="R20">
            <v>56</v>
          </cell>
          <cell r="S20">
            <v>54</v>
          </cell>
          <cell r="T20">
            <v>5</v>
          </cell>
          <cell r="U20">
            <v>42</v>
          </cell>
          <cell r="V20">
            <v>378</v>
          </cell>
          <cell r="W20">
            <v>963</v>
          </cell>
          <cell r="X20">
            <v>92</v>
          </cell>
          <cell r="Y20">
            <v>188</v>
          </cell>
          <cell r="Z20">
            <v>85</v>
          </cell>
          <cell r="AB20">
            <v>139</v>
          </cell>
          <cell r="AC20">
            <v>32</v>
          </cell>
          <cell r="AD20">
            <v>772</v>
          </cell>
          <cell r="AE20">
            <v>32</v>
          </cell>
          <cell r="AF20">
            <v>2</v>
          </cell>
          <cell r="AG20">
            <v>25</v>
          </cell>
          <cell r="AH20">
            <v>174</v>
          </cell>
          <cell r="AI20">
            <v>56</v>
          </cell>
        </row>
        <row r="21">
          <cell r="A21">
            <v>2005</v>
          </cell>
          <cell r="B21">
            <v>7</v>
          </cell>
          <cell r="C21">
            <v>0</v>
          </cell>
          <cell r="D21">
            <v>36</v>
          </cell>
          <cell r="E21">
            <v>211</v>
          </cell>
          <cell r="F21">
            <v>568</v>
          </cell>
          <cell r="G21">
            <v>103</v>
          </cell>
          <cell r="H21">
            <v>64</v>
          </cell>
          <cell r="I21">
            <v>15</v>
          </cell>
          <cell r="J21">
            <v>87</v>
          </cell>
          <cell r="K21">
            <v>20</v>
          </cell>
          <cell r="L21">
            <v>0</v>
          </cell>
          <cell r="M21">
            <v>574</v>
          </cell>
          <cell r="N21">
            <v>48</v>
          </cell>
          <cell r="O21">
            <v>0</v>
          </cell>
          <cell r="P21">
            <v>19</v>
          </cell>
          <cell r="Q21">
            <v>155</v>
          </cell>
          <cell r="R21">
            <v>235</v>
          </cell>
          <cell r="S21">
            <v>15</v>
          </cell>
          <cell r="T21">
            <v>5</v>
          </cell>
          <cell r="U21">
            <v>69</v>
          </cell>
          <cell r="V21">
            <v>444</v>
          </cell>
          <cell r="W21">
            <v>963</v>
          </cell>
          <cell r="X21">
            <v>178</v>
          </cell>
          <cell r="Y21">
            <v>179</v>
          </cell>
          <cell r="Z21">
            <v>73</v>
          </cell>
          <cell r="AA21">
            <v>67</v>
          </cell>
          <cell r="AB21">
            <v>159</v>
          </cell>
          <cell r="AC21">
            <v>5</v>
          </cell>
          <cell r="AD21">
            <v>1122</v>
          </cell>
          <cell r="AE21">
            <v>62</v>
          </cell>
          <cell r="AF21">
            <v>0</v>
          </cell>
          <cell r="AG21">
            <v>30</v>
          </cell>
          <cell r="AH21">
            <v>288</v>
          </cell>
          <cell r="AI21">
            <v>281</v>
          </cell>
        </row>
        <row r="22">
          <cell r="A22">
            <v>2006</v>
          </cell>
          <cell r="B22">
            <v>0</v>
          </cell>
          <cell r="C22">
            <v>0</v>
          </cell>
          <cell r="D22">
            <v>4</v>
          </cell>
          <cell r="E22">
            <v>253</v>
          </cell>
          <cell r="F22">
            <v>312</v>
          </cell>
          <cell r="G22">
            <v>104</v>
          </cell>
          <cell r="H22">
            <v>104</v>
          </cell>
          <cell r="I22">
            <v>15</v>
          </cell>
          <cell r="J22">
            <v>15</v>
          </cell>
          <cell r="K22">
            <v>17</v>
          </cell>
          <cell r="L22">
            <v>0</v>
          </cell>
          <cell r="M22">
            <v>739</v>
          </cell>
          <cell r="N22">
            <v>72</v>
          </cell>
          <cell r="O22">
            <v>0</v>
          </cell>
          <cell r="P22">
            <v>10</v>
          </cell>
          <cell r="Q22">
            <v>77</v>
          </cell>
          <cell r="R22">
            <v>160</v>
          </cell>
          <cell r="S22">
            <v>6</v>
          </cell>
          <cell r="T22">
            <v>5</v>
          </cell>
          <cell r="U22">
            <v>54</v>
          </cell>
          <cell r="V22">
            <v>567</v>
          </cell>
          <cell r="W22">
            <v>1067</v>
          </cell>
          <cell r="X22">
            <v>278</v>
          </cell>
          <cell r="Y22">
            <v>227</v>
          </cell>
          <cell r="Z22">
            <v>61</v>
          </cell>
          <cell r="AA22">
            <v>102</v>
          </cell>
          <cell r="AB22">
            <v>166</v>
          </cell>
          <cell r="AC22">
            <v>0</v>
          </cell>
          <cell r="AD22">
            <v>1545</v>
          </cell>
          <cell r="AE22">
            <v>120</v>
          </cell>
          <cell r="AF22">
            <v>0</v>
          </cell>
          <cell r="AG22">
            <v>28</v>
          </cell>
          <cell r="AH22">
            <v>300</v>
          </cell>
          <cell r="AI22">
            <v>448</v>
          </cell>
        </row>
        <row r="27">
          <cell r="A27" t="str">
            <v>Orders</v>
          </cell>
        </row>
        <row r="77">
          <cell r="A77" t="str">
            <v>Orders vs Backlog</v>
          </cell>
        </row>
        <row r="147">
          <cell r="A147" t="str">
            <v>Commercial Aircraft Orders By Maker</v>
          </cell>
        </row>
        <row r="150">
          <cell r="A150" t="str">
            <v>For graph</v>
          </cell>
        </row>
        <row r="151">
          <cell r="A151" t="str">
            <v>% OF$ Bkgs</v>
          </cell>
          <cell r="B151" t="str">
            <v>1988</v>
          </cell>
          <cell r="C151" t="str">
            <v>1989</v>
          </cell>
          <cell r="D151" t="str">
            <v>1990</v>
          </cell>
          <cell r="E151" t="str">
            <v>1991</v>
          </cell>
          <cell r="F151" t="str">
            <v>1992</v>
          </cell>
          <cell r="G151" t="str">
            <v xml:space="preserve">1993 </v>
          </cell>
          <cell r="H151" t="str">
            <v xml:space="preserve">1994 </v>
          </cell>
          <cell r="I151" t="str">
            <v xml:space="preserve">1995 </v>
          </cell>
          <cell r="J151" t="str">
            <v xml:space="preserve">1996 </v>
          </cell>
          <cell r="K151" t="str">
            <v xml:space="preserve">1997 </v>
          </cell>
          <cell r="L151">
            <v>1998</v>
          </cell>
          <cell r="M151">
            <v>1999</v>
          </cell>
          <cell r="N151">
            <v>2000</v>
          </cell>
          <cell r="O151">
            <v>2001</v>
          </cell>
          <cell r="P151">
            <v>2002</v>
          </cell>
          <cell r="Q151">
            <v>2003</v>
          </cell>
          <cell r="R151">
            <v>2004</v>
          </cell>
          <cell r="S151">
            <v>2005</v>
          </cell>
          <cell r="T151">
            <v>2006</v>
          </cell>
        </row>
        <row r="152">
          <cell r="A152" t="str">
            <v xml:space="preserve"> BOEING</v>
          </cell>
          <cell r="B152">
            <v>0.67</v>
          </cell>
          <cell r="C152">
            <v>0.55000000000000004</v>
          </cell>
          <cell r="D152">
            <v>0.7</v>
          </cell>
          <cell r="E152">
            <v>0.81</v>
          </cell>
          <cell r="F152">
            <v>0.70741594467848334</v>
          </cell>
          <cell r="G152">
            <v>0.86822968906720177</v>
          </cell>
          <cell r="H152">
            <v>0.56712185657786729</v>
          </cell>
          <cell r="I152">
            <v>0.82677584006805616</v>
          </cell>
          <cell r="J152">
            <v>0.73044815465729362</v>
          </cell>
          <cell r="K152">
            <v>0.67323119514266838</v>
          </cell>
          <cell r="L152">
            <v>0.59599592229710596</v>
          </cell>
        </row>
        <row r="153">
          <cell r="A153" t="str">
            <v xml:space="preserve"> AIRBUS</v>
          </cell>
          <cell r="B153">
            <v>0.12</v>
          </cell>
          <cell r="C153">
            <v>0.33</v>
          </cell>
          <cell r="D153">
            <v>0.18</v>
          </cell>
          <cell r="E153">
            <v>0.24</v>
          </cell>
          <cell r="F153">
            <v>0.25411334552102377</v>
          </cell>
          <cell r="G153">
            <v>0.137913741223671</v>
          </cell>
          <cell r="H153">
            <v>0.41713304977240506</v>
          </cell>
          <cell r="I153">
            <v>0.12093258188005106</v>
          </cell>
          <cell r="J153">
            <v>0.24810522847100178</v>
          </cell>
          <cell r="K153">
            <v>0.30831786579419257</v>
          </cell>
          <cell r="L153">
            <v>0.37697513733929888</v>
          </cell>
        </row>
        <row r="154">
          <cell r="A154" t="str">
            <v xml:space="preserve"> DOUGLAS</v>
          </cell>
          <cell r="B154">
            <v>0.21</v>
          </cell>
          <cell r="C154">
            <v>0.12</v>
          </cell>
          <cell r="D154">
            <v>0.11</v>
          </cell>
          <cell r="E154">
            <v>-0.05</v>
          </cell>
          <cell r="F154">
            <v>3.8470709800492803E-2</v>
          </cell>
          <cell r="G154">
            <v>-6.1434302908726169E-3</v>
          </cell>
          <cell r="H154">
            <v>1.5745093649727631E-2</v>
          </cell>
          <cell r="I154">
            <v>5.2291578051892808E-2</v>
          </cell>
          <cell r="J154">
            <v>2.1446616871704745E-2</v>
          </cell>
          <cell r="K154">
            <v>1.8450939063139021E-2</v>
          </cell>
          <cell r="L154">
            <v>2.7028940363595176E-2</v>
          </cell>
        </row>
        <row r="155">
          <cell r="A155" t="str">
            <v>Units</v>
          </cell>
        </row>
        <row r="156">
          <cell r="A156" t="str">
            <v xml:space="preserve"> BOEING</v>
          </cell>
          <cell r="B156">
            <v>638</v>
          </cell>
          <cell r="C156">
            <v>756</v>
          </cell>
          <cell r="D156">
            <v>483</v>
          </cell>
          <cell r="E156">
            <v>252</v>
          </cell>
          <cell r="F156">
            <v>243</v>
          </cell>
          <cell r="G156">
            <v>233</v>
          </cell>
          <cell r="H156">
            <v>119</v>
          </cell>
          <cell r="I156">
            <v>330</v>
          </cell>
          <cell r="J156">
            <v>558</v>
          </cell>
          <cell r="K156">
            <v>551</v>
          </cell>
          <cell r="L156">
            <v>615</v>
          </cell>
          <cell r="M156">
            <v>391</v>
          </cell>
          <cell r="N156">
            <v>611</v>
          </cell>
          <cell r="O156">
            <v>335</v>
          </cell>
          <cell r="P156">
            <v>251</v>
          </cell>
          <cell r="Q156">
            <v>250</v>
          </cell>
          <cell r="R156">
            <v>272</v>
          </cell>
          <cell r="S156">
            <v>1031</v>
          </cell>
          <cell r="T156">
            <v>1058</v>
          </cell>
        </row>
        <row r="157">
          <cell r="A157" t="str">
            <v xml:space="preserve"> AIRBUS</v>
          </cell>
          <cell r="B157">
            <v>163</v>
          </cell>
          <cell r="C157">
            <v>390</v>
          </cell>
          <cell r="D157">
            <v>287</v>
          </cell>
          <cell r="E157">
            <v>101</v>
          </cell>
          <cell r="F157">
            <v>136</v>
          </cell>
          <cell r="G157">
            <v>38</v>
          </cell>
          <cell r="H157">
            <v>125</v>
          </cell>
          <cell r="I157">
            <v>106</v>
          </cell>
          <cell r="J157">
            <v>428</v>
          </cell>
          <cell r="K157">
            <v>460</v>
          </cell>
          <cell r="L157">
            <v>556</v>
          </cell>
          <cell r="M157">
            <v>476</v>
          </cell>
          <cell r="N157">
            <v>520</v>
          </cell>
          <cell r="O157">
            <v>375</v>
          </cell>
          <cell r="P157">
            <v>300</v>
          </cell>
          <cell r="Q157">
            <v>284</v>
          </cell>
          <cell r="R157">
            <v>370</v>
          </cell>
          <cell r="S157">
            <v>1111</v>
          </cell>
          <cell r="T157">
            <v>824</v>
          </cell>
        </row>
        <row r="158">
          <cell r="A158" t="str">
            <v xml:space="preserve"> DOUGLAS</v>
          </cell>
          <cell r="B158">
            <v>246</v>
          </cell>
          <cell r="C158">
            <v>233</v>
          </cell>
          <cell r="D158">
            <v>168</v>
          </cell>
          <cell r="E158">
            <v>-33</v>
          </cell>
          <cell r="F158">
            <v>36</v>
          </cell>
          <cell r="G158">
            <v>-2</v>
          </cell>
          <cell r="H158">
            <v>3</v>
          </cell>
          <cell r="I158">
            <v>95</v>
          </cell>
          <cell r="J158">
            <v>38</v>
          </cell>
          <cell r="K158">
            <v>17</v>
          </cell>
          <cell r="L158">
            <v>41</v>
          </cell>
          <cell r="T158">
            <v>0</v>
          </cell>
        </row>
        <row r="159">
          <cell r="R159">
            <v>52</v>
          </cell>
        </row>
        <row r="183">
          <cell r="A183" t="str">
            <v>Commercial Aircraft Deliveries By Maker</v>
          </cell>
        </row>
        <row r="185">
          <cell r="T185" t="str">
            <v>= Estimate: Airbus yet to release 2007 numbers</v>
          </cell>
        </row>
        <row r="186">
          <cell r="A186" t="str">
            <v>Large Commercial Aircraft Deliveries</v>
          </cell>
        </row>
        <row r="187">
          <cell r="B187">
            <v>1990</v>
          </cell>
          <cell r="C187">
            <v>1991</v>
          </cell>
          <cell r="D187">
            <v>1992</v>
          </cell>
          <cell r="E187">
            <v>1993</v>
          </cell>
          <cell r="F187">
            <v>1994</v>
          </cell>
          <cell r="G187">
            <v>1995</v>
          </cell>
          <cell r="H187">
            <v>1996</v>
          </cell>
          <cell r="I187">
            <v>1997</v>
          </cell>
          <cell r="J187">
            <v>1998</v>
          </cell>
          <cell r="K187">
            <v>1999</v>
          </cell>
          <cell r="L187">
            <v>2000</v>
          </cell>
          <cell r="M187">
            <v>2001</v>
          </cell>
          <cell r="N187">
            <v>2002</v>
          </cell>
          <cell r="O187">
            <v>2003</v>
          </cell>
          <cell r="P187">
            <v>2004</v>
          </cell>
          <cell r="Q187">
            <v>2005</v>
          </cell>
          <cell r="R187">
            <v>2006</v>
          </cell>
          <cell r="S187" t="str">
            <v>2007A</v>
          </cell>
          <cell r="T187" t="str">
            <v>2008E</v>
          </cell>
          <cell r="U187" t="str">
            <v>2009E</v>
          </cell>
          <cell r="V187" t="str">
            <v>2010E</v>
          </cell>
        </row>
        <row r="188">
          <cell r="A188" t="str">
            <v>Airbus</v>
          </cell>
          <cell r="B188">
            <v>95</v>
          </cell>
          <cell r="C188">
            <v>163</v>
          </cell>
          <cell r="D188">
            <v>157</v>
          </cell>
          <cell r="E188">
            <v>138</v>
          </cell>
          <cell r="F188">
            <v>126</v>
          </cell>
          <cell r="G188">
            <v>121</v>
          </cell>
          <cell r="H188">
            <v>126</v>
          </cell>
          <cell r="I188">
            <v>182</v>
          </cell>
          <cell r="J188">
            <v>229</v>
          </cell>
          <cell r="K188">
            <v>294</v>
          </cell>
          <cell r="L188">
            <v>310</v>
          </cell>
          <cell r="M188">
            <v>325</v>
          </cell>
          <cell r="N188">
            <v>303</v>
          </cell>
          <cell r="O188">
            <v>305</v>
          </cell>
          <cell r="P188">
            <v>320</v>
          </cell>
          <cell r="Q188">
            <v>378</v>
          </cell>
          <cell r="R188">
            <v>434</v>
          </cell>
          <cell r="S188">
            <v>453</v>
          </cell>
          <cell r="T188">
            <v>500</v>
          </cell>
          <cell r="U188">
            <v>543</v>
          </cell>
          <cell r="V188">
            <v>554</v>
          </cell>
        </row>
        <row r="189">
          <cell r="A189" t="str">
            <v>Boeing</v>
          </cell>
          <cell r="B189">
            <v>527</v>
          </cell>
          <cell r="C189">
            <v>606</v>
          </cell>
          <cell r="D189">
            <v>567</v>
          </cell>
          <cell r="E189">
            <v>397</v>
          </cell>
          <cell r="F189">
            <v>309</v>
          </cell>
          <cell r="G189">
            <v>256</v>
          </cell>
          <cell r="H189">
            <v>264</v>
          </cell>
          <cell r="I189">
            <v>361</v>
          </cell>
          <cell r="J189">
            <v>559</v>
          </cell>
          <cell r="K189">
            <v>620</v>
          </cell>
          <cell r="L189">
            <v>489</v>
          </cell>
          <cell r="M189">
            <v>527</v>
          </cell>
          <cell r="N189">
            <v>381</v>
          </cell>
          <cell r="O189">
            <v>281</v>
          </cell>
          <cell r="P189">
            <v>285</v>
          </cell>
          <cell r="Q189">
            <v>290</v>
          </cell>
          <cell r="R189">
            <v>398</v>
          </cell>
          <cell r="S189">
            <v>441</v>
          </cell>
          <cell r="T189">
            <v>520</v>
          </cell>
          <cell r="U189">
            <v>585</v>
          </cell>
          <cell r="V189">
            <v>635</v>
          </cell>
        </row>
        <row r="190">
          <cell r="A190" t="str">
            <v>Total</v>
          </cell>
          <cell r="B190">
            <v>622</v>
          </cell>
          <cell r="C190">
            <v>769</v>
          </cell>
          <cell r="D190">
            <v>724</v>
          </cell>
          <cell r="E190">
            <v>535</v>
          </cell>
          <cell r="F190">
            <v>435</v>
          </cell>
          <cell r="G190">
            <v>377</v>
          </cell>
          <cell r="H190">
            <v>390</v>
          </cell>
          <cell r="I190">
            <v>543</v>
          </cell>
          <cell r="J190">
            <v>788</v>
          </cell>
          <cell r="K190">
            <v>914</v>
          </cell>
          <cell r="L190">
            <v>799</v>
          </cell>
          <cell r="M190">
            <v>852</v>
          </cell>
          <cell r="N190">
            <v>684</v>
          </cell>
          <cell r="O190">
            <v>586</v>
          </cell>
          <cell r="P190">
            <v>605</v>
          </cell>
          <cell r="Q190">
            <v>668</v>
          </cell>
          <cell r="R190">
            <v>832</v>
          </cell>
          <cell r="S190">
            <v>894</v>
          </cell>
          <cell r="T190">
            <v>1020</v>
          </cell>
          <cell r="U190">
            <v>1128</v>
          </cell>
          <cell r="V190">
            <v>1189</v>
          </cell>
        </row>
        <row r="191">
          <cell r="A191" t="str">
            <v>% ch y/y</v>
          </cell>
          <cell r="C191">
            <v>0.2363344051446945</v>
          </cell>
          <cell r="D191">
            <v>-5.8517555266579979E-2</v>
          </cell>
          <cell r="E191">
            <v>-0.26104972375690605</v>
          </cell>
          <cell r="F191">
            <v>-0.18691588785046731</v>
          </cell>
          <cell r="G191">
            <v>-0.1333333333333333</v>
          </cell>
          <cell r="H191">
            <v>3.4482758620689724E-2</v>
          </cell>
          <cell r="I191">
            <v>0.39230769230769225</v>
          </cell>
          <cell r="J191">
            <v>0.45119705340699823</v>
          </cell>
          <cell r="K191">
            <v>0.15989847715736039</v>
          </cell>
          <cell r="L191">
            <v>-0.12582056892778992</v>
          </cell>
          <cell r="M191">
            <v>6.6332916145181553E-2</v>
          </cell>
          <cell r="N191">
            <v>-0.19718309859154926</v>
          </cell>
          <cell r="O191">
            <v>-0.14327485380116955</v>
          </cell>
          <cell r="P191">
            <v>3.2423208191126207E-2</v>
          </cell>
          <cell r="Q191">
            <v>0.10413223140495864</v>
          </cell>
          <cell r="R191">
            <v>0.24550898203592819</v>
          </cell>
          <cell r="S191">
            <v>7.4519230769230838E-2</v>
          </cell>
          <cell r="T191">
            <v>0.14093959731543615</v>
          </cell>
          <cell r="U191">
            <v>0.10588235294117654</v>
          </cell>
          <cell r="V191">
            <v>5.4078014184397061E-2</v>
          </cell>
        </row>
        <row r="192">
          <cell r="A192" t="str">
            <v>% Airbus</v>
          </cell>
          <cell r="B192">
            <v>0.15273311897106109</v>
          </cell>
          <cell r="C192">
            <v>0.21196358907672302</v>
          </cell>
          <cell r="D192">
            <v>0.21685082872928177</v>
          </cell>
          <cell r="E192">
            <v>0.25794392523364484</v>
          </cell>
          <cell r="F192">
            <v>0.28965517241379313</v>
          </cell>
          <cell r="G192">
            <v>0.32095490716180369</v>
          </cell>
          <cell r="H192">
            <v>0.32307692307692309</v>
          </cell>
          <cell r="I192">
            <v>0.33517495395948432</v>
          </cell>
          <cell r="J192">
            <v>0.29060913705583757</v>
          </cell>
          <cell r="K192">
            <v>0.32166301969365424</v>
          </cell>
          <cell r="L192">
            <v>0.38798498122653319</v>
          </cell>
          <cell r="M192">
            <v>0.38145539906103287</v>
          </cell>
          <cell r="N192">
            <v>0.44298245614035087</v>
          </cell>
          <cell r="O192">
            <v>0.52047781569965867</v>
          </cell>
          <cell r="P192">
            <v>0.52892561983471076</v>
          </cell>
          <cell r="Q192">
            <v>0.56586826347305386</v>
          </cell>
          <cell r="R192">
            <v>0.52163461538461542</v>
          </cell>
          <cell r="S192">
            <v>0.50671140939597314</v>
          </cell>
          <cell r="T192">
            <v>0.49019607843137253</v>
          </cell>
          <cell r="U192">
            <v>0.48138297872340424</v>
          </cell>
          <cell r="V192">
            <v>0.4659377628259041</v>
          </cell>
        </row>
        <row r="193">
          <cell r="A193" t="str">
            <v>% Boeing</v>
          </cell>
          <cell r="B193">
            <v>0.84726688102893888</v>
          </cell>
          <cell r="C193">
            <v>0.78803641092327703</v>
          </cell>
          <cell r="D193">
            <v>0.78314917127071826</v>
          </cell>
          <cell r="E193">
            <v>0.74205607476635516</v>
          </cell>
          <cell r="F193">
            <v>0.71034482758620687</v>
          </cell>
          <cell r="G193">
            <v>0.67904509283819625</v>
          </cell>
          <cell r="H193">
            <v>0.67692307692307696</v>
          </cell>
          <cell r="I193">
            <v>0.66482504604051562</v>
          </cell>
          <cell r="J193">
            <v>0.70939086294416243</v>
          </cell>
          <cell r="K193">
            <v>0.6783369803063457</v>
          </cell>
          <cell r="L193">
            <v>0.61201501877346687</v>
          </cell>
          <cell r="M193">
            <v>0.61854460093896713</v>
          </cell>
          <cell r="N193">
            <v>0.55701754385964908</v>
          </cell>
          <cell r="O193">
            <v>0.47952218430034127</v>
          </cell>
          <cell r="P193">
            <v>0.47107438016528924</v>
          </cell>
          <cell r="Q193">
            <v>0.43413173652694609</v>
          </cell>
          <cell r="R193">
            <v>0.47836538461538464</v>
          </cell>
          <cell r="S193">
            <v>0.49328859060402686</v>
          </cell>
          <cell r="T193">
            <v>0.50980392156862742</v>
          </cell>
          <cell r="U193">
            <v>0.5186170212765957</v>
          </cell>
          <cell r="V193">
            <v>0.53406223717409584</v>
          </cell>
        </row>
        <row r="221">
          <cell r="A221" t="str">
            <v>Aggregate Backlog By Maker</v>
          </cell>
        </row>
        <row r="224">
          <cell r="A224" t="str">
            <v>Backlog</v>
          </cell>
          <cell r="B224">
            <v>1990</v>
          </cell>
          <cell r="C224">
            <v>1991</v>
          </cell>
          <cell r="D224">
            <v>1992</v>
          </cell>
          <cell r="E224">
            <v>1993</v>
          </cell>
          <cell r="F224">
            <v>1994</v>
          </cell>
          <cell r="G224">
            <v>1995</v>
          </cell>
          <cell r="H224">
            <v>1996</v>
          </cell>
          <cell r="I224">
            <v>1997</v>
          </cell>
          <cell r="J224">
            <v>1998</v>
          </cell>
          <cell r="K224">
            <v>1999</v>
          </cell>
          <cell r="L224">
            <v>2000</v>
          </cell>
          <cell r="M224">
            <v>2001</v>
          </cell>
          <cell r="N224">
            <v>2002</v>
          </cell>
          <cell r="O224">
            <v>2003</v>
          </cell>
          <cell r="P224">
            <v>2004</v>
          </cell>
          <cell r="Q224">
            <v>2005</v>
          </cell>
          <cell r="R224">
            <v>2006</v>
          </cell>
          <cell r="S224">
            <v>2007</v>
          </cell>
        </row>
        <row r="225">
          <cell r="A225" t="str">
            <v>Airbus</v>
          </cell>
          <cell r="B225">
            <v>1034</v>
          </cell>
          <cell r="C225">
            <v>950</v>
          </cell>
          <cell r="D225">
            <v>836</v>
          </cell>
          <cell r="E225">
            <v>667</v>
          </cell>
          <cell r="F225">
            <v>615</v>
          </cell>
          <cell r="G225">
            <v>578</v>
          </cell>
          <cell r="H225">
            <v>753</v>
          </cell>
          <cell r="I225">
            <v>1009</v>
          </cell>
          <cell r="J225">
            <v>1309</v>
          </cell>
          <cell r="K225">
            <v>1445</v>
          </cell>
          <cell r="L225">
            <v>1626</v>
          </cell>
          <cell r="M225">
            <v>1575</v>
          </cell>
          <cell r="N225">
            <v>1505</v>
          </cell>
          <cell r="O225">
            <v>1454</v>
          </cell>
          <cell r="P225">
            <v>1511</v>
          </cell>
          <cell r="Q225">
            <v>2177</v>
          </cell>
          <cell r="R225">
            <v>2533</v>
          </cell>
          <cell r="S225">
            <v>3636</v>
          </cell>
        </row>
        <row r="226">
          <cell r="A226" t="str">
            <v>Boeing</v>
          </cell>
          <cell r="B226">
            <v>2479</v>
          </cell>
          <cell r="C226">
            <v>2078</v>
          </cell>
          <cell r="D226">
            <v>1733</v>
          </cell>
          <cell r="E226">
            <v>1360</v>
          </cell>
          <cell r="F226">
            <v>1126</v>
          </cell>
          <cell r="G226">
            <v>1290</v>
          </cell>
          <cell r="H226">
            <v>1616</v>
          </cell>
          <cell r="I226">
            <v>1652</v>
          </cell>
          <cell r="J226">
            <v>1706</v>
          </cell>
          <cell r="K226">
            <v>1503</v>
          </cell>
          <cell r="L226">
            <v>1610</v>
          </cell>
          <cell r="M226">
            <v>1357</v>
          </cell>
          <cell r="N226">
            <v>1152</v>
          </cell>
          <cell r="O226">
            <v>1112</v>
          </cell>
          <cell r="P226">
            <v>1097</v>
          </cell>
          <cell r="Q226">
            <v>1809</v>
          </cell>
          <cell r="R226">
            <v>2455</v>
          </cell>
          <cell r="S226">
            <v>3427</v>
          </cell>
        </row>
        <row r="227">
          <cell r="A227" t="str">
            <v>Total</v>
          </cell>
          <cell r="B227">
            <v>3513</v>
          </cell>
          <cell r="C227">
            <v>3028</v>
          </cell>
          <cell r="D227">
            <v>2569</v>
          </cell>
          <cell r="E227">
            <v>2027</v>
          </cell>
          <cell r="F227">
            <v>1741</v>
          </cell>
          <cell r="G227">
            <v>1868</v>
          </cell>
          <cell r="H227">
            <v>2369</v>
          </cell>
          <cell r="I227">
            <v>2661</v>
          </cell>
          <cell r="J227">
            <v>3015</v>
          </cell>
          <cell r="K227">
            <v>2948</v>
          </cell>
          <cell r="L227">
            <v>3236</v>
          </cell>
          <cell r="M227">
            <v>2932</v>
          </cell>
          <cell r="N227">
            <v>2657</v>
          </cell>
          <cell r="O227">
            <v>2566</v>
          </cell>
          <cell r="P227">
            <v>2608</v>
          </cell>
          <cell r="Q227">
            <v>3986</v>
          </cell>
          <cell r="R227">
            <v>4988</v>
          </cell>
          <cell r="S227">
            <v>7063</v>
          </cell>
        </row>
        <row r="228">
          <cell r="A228" t="str">
            <v>Deliveries</v>
          </cell>
        </row>
        <row r="229">
          <cell r="A229" t="str">
            <v>Airbus</v>
          </cell>
          <cell r="B229">
            <v>98</v>
          </cell>
          <cell r="C229">
            <v>163</v>
          </cell>
          <cell r="D229">
            <v>157</v>
          </cell>
          <cell r="E229">
            <v>138</v>
          </cell>
          <cell r="F229">
            <v>126</v>
          </cell>
          <cell r="G229">
            <v>121</v>
          </cell>
          <cell r="H229">
            <v>126</v>
          </cell>
          <cell r="I229">
            <v>182</v>
          </cell>
          <cell r="J229">
            <v>229</v>
          </cell>
          <cell r="K229">
            <v>294</v>
          </cell>
          <cell r="L229">
            <v>311</v>
          </cell>
          <cell r="M229">
            <v>325</v>
          </cell>
          <cell r="N229">
            <v>303</v>
          </cell>
          <cell r="O229">
            <v>305</v>
          </cell>
          <cell r="P229">
            <v>320</v>
          </cell>
          <cell r="Q229">
            <v>378</v>
          </cell>
          <cell r="R229">
            <v>434</v>
          </cell>
          <cell r="S229">
            <v>453</v>
          </cell>
        </row>
        <row r="230">
          <cell r="A230" t="str">
            <v>Boeing</v>
          </cell>
          <cell r="B230">
            <v>520</v>
          </cell>
          <cell r="C230">
            <v>590</v>
          </cell>
          <cell r="D230">
            <v>567</v>
          </cell>
          <cell r="E230">
            <v>397</v>
          </cell>
          <cell r="F230">
            <v>309</v>
          </cell>
          <cell r="G230">
            <v>256</v>
          </cell>
          <cell r="H230">
            <v>264</v>
          </cell>
          <cell r="I230">
            <v>361</v>
          </cell>
          <cell r="J230">
            <v>559</v>
          </cell>
          <cell r="K230">
            <v>620</v>
          </cell>
          <cell r="L230">
            <v>489</v>
          </cell>
          <cell r="M230">
            <v>527</v>
          </cell>
          <cell r="N230">
            <v>381</v>
          </cell>
          <cell r="O230">
            <v>281</v>
          </cell>
          <cell r="P230">
            <v>285</v>
          </cell>
          <cell r="Q230">
            <v>290</v>
          </cell>
          <cell r="R230">
            <v>398</v>
          </cell>
          <cell r="S230">
            <v>475</v>
          </cell>
        </row>
        <row r="231">
          <cell r="A231" t="str">
            <v>Total</v>
          </cell>
          <cell r="B231">
            <v>618</v>
          </cell>
          <cell r="C231">
            <v>753</v>
          </cell>
          <cell r="D231">
            <v>724</v>
          </cell>
          <cell r="E231">
            <v>535</v>
          </cell>
          <cell r="F231">
            <v>435</v>
          </cell>
          <cell r="G231">
            <v>377</v>
          </cell>
          <cell r="H231">
            <v>390</v>
          </cell>
          <cell r="I231">
            <v>543</v>
          </cell>
          <cell r="J231">
            <v>788</v>
          </cell>
          <cell r="K231">
            <v>914</v>
          </cell>
          <cell r="L231">
            <v>800</v>
          </cell>
          <cell r="M231">
            <v>852</v>
          </cell>
          <cell r="N231">
            <v>684</v>
          </cell>
          <cell r="O231">
            <v>586</v>
          </cell>
          <cell r="P231">
            <v>605</v>
          </cell>
          <cell r="Q231">
            <v>668</v>
          </cell>
          <cell r="R231">
            <v>832</v>
          </cell>
          <cell r="S231">
            <v>928</v>
          </cell>
        </row>
        <row r="233">
          <cell r="A233" t="str">
            <v>Backlog/Delivs</v>
          </cell>
          <cell r="B233">
            <v>5.6844660194174761</v>
          </cell>
          <cell r="C233">
            <v>4.0212483399734396</v>
          </cell>
          <cell r="D233">
            <v>3.548342541436464</v>
          </cell>
          <cell r="E233">
            <v>3.7887850467289721</v>
          </cell>
          <cell r="F233">
            <v>4.0022988505747126</v>
          </cell>
          <cell r="G233">
            <v>4.9549071618037139</v>
          </cell>
          <cell r="H233">
            <v>6.0743589743589741</v>
          </cell>
          <cell r="I233">
            <v>4.9005524861878449</v>
          </cell>
          <cell r="J233">
            <v>3.8261421319796955</v>
          </cell>
          <cell r="K233">
            <v>3.2253829321663021</v>
          </cell>
          <cell r="L233">
            <v>4.0449999999999999</v>
          </cell>
          <cell r="M233">
            <v>3.4413145539906105</v>
          </cell>
          <cell r="N233">
            <v>3.884502923976608</v>
          </cell>
          <cell r="O233">
            <v>4.3788395904436861</v>
          </cell>
          <cell r="P233">
            <v>4.3107438016528929</v>
          </cell>
          <cell r="Q233">
            <v>5.9670658682634734</v>
          </cell>
          <cell r="R233">
            <v>5.9951923076923075</v>
          </cell>
          <cell r="S233">
            <v>7.6109913793103452</v>
          </cell>
        </row>
        <row r="285">
          <cell r="A285" t="str">
            <v>Aggregate Orders by Maker</v>
          </cell>
        </row>
        <row r="287">
          <cell r="C287" t="str">
            <v>Large Commercial Orders</v>
          </cell>
          <cell r="S287" t="str">
            <v>Net</v>
          </cell>
        </row>
        <row r="288">
          <cell r="B288">
            <v>1988</v>
          </cell>
          <cell r="C288">
            <v>1989</v>
          </cell>
          <cell r="D288">
            <v>1990</v>
          </cell>
          <cell r="E288">
            <v>1991</v>
          </cell>
          <cell r="F288">
            <v>1992</v>
          </cell>
          <cell r="G288">
            <v>1993</v>
          </cell>
          <cell r="H288">
            <v>1994</v>
          </cell>
          <cell r="I288">
            <v>1995</v>
          </cell>
          <cell r="J288">
            <v>1996</v>
          </cell>
          <cell r="K288">
            <v>1997</v>
          </cell>
          <cell r="L288">
            <v>1998</v>
          </cell>
          <cell r="M288">
            <v>1999</v>
          </cell>
          <cell r="N288">
            <v>2000</v>
          </cell>
          <cell r="O288">
            <v>2001</v>
          </cell>
          <cell r="P288">
            <v>2002</v>
          </cell>
          <cell r="Q288">
            <v>2003</v>
          </cell>
          <cell r="R288">
            <v>2004</v>
          </cell>
          <cell r="S288">
            <v>2005</v>
          </cell>
          <cell r="T288">
            <v>2006</v>
          </cell>
          <cell r="U288">
            <v>2007</v>
          </cell>
        </row>
        <row r="289">
          <cell r="A289" t="str">
            <v>Airbus</v>
          </cell>
          <cell r="B289">
            <v>163</v>
          </cell>
          <cell r="C289">
            <v>390</v>
          </cell>
          <cell r="D289">
            <v>287</v>
          </cell>
          <cell r="E289">
            <v>101</v>
          </cell>
          <cell r="F289">
            <v>136</v>
          </cell>
          <cell r="G289">
            <v>38</v>
          </cell>
          <cell r="H289">
            <v>125</v>
          </cell>
          <cell r="I289">
            <v>106</v>
          </cell>
          <cell r="J289">
            <v>428</v>
          </cell>
          <cell r="K289">
            <v>460</v>
          </cell>
          <cell r="L289">
            <v>556</v>
          </cell>
          <cell r="M289">
            <v>476</v>
          </cell>
          <cell r="N289">
            <v>524</v>
          </cell>
          <cell r="O289">
            <v>375</v>
          </cell>
          <cell r="P289">
            <v>300</v>
          </cell>
          <cell r="Q289">
            <v>284</v>
          </cell>
          <cell r="R289">
            <v>370</v>
          </cell>
          <cell r="S289">
            <v>1111</v>
          </cell>
          <cell r="T289">
            <v>824</v>
          </cell>
          <cell r="U289">
            <v>1341</v>
          </cell>
        </row>
        <row r="290">
          <cell r="A290" t="str">
            <v>Boeing</v>
          </cell>
          <cell r="B290">
            <v>638</v>
          </cell>
          <cell r="C290">
            <v>756</v>
          </cell>
          <cell r="D290">
            <v>651</v>
          </cell>
          <cell r="E290">
            <v>219</v>
          </cell>
          <cell r="F290">
            <v>279</v>
          </cell>
          <cell r="G290">
            <v>231</v>
          </cell>
          <cell r="H290">
            <v>122</v>
          </cell>
          <cell r="I290">
            <v>425</v>
          </cell>
          <cell r="J290">
            <v>596</v>
          </cell>
          <cell r="K290">
            <v>568</v>
          </cell>
          <cell r="L290">
            <v>656</v>
          </cell>
          <cell r="M290">
            <v>391</v>
          </cell>
          <cell r="N290">
            <v>611</v>
          </cell>
          <cell r="O290">
            <v>335</v>
          </cell>
          <cell r="P290">
            <v>251</v>
          </cell>
          <cell r="Q290">
            <v>250</v>
          </cell>
          <cell r="R290">
            <v>272</v>
          </cell>
          <cell r="S290">
            <v>1031</v>
          </cell>
          <cell r="T290">
            <v>1058</v>
          </cell>
          <cell r="U290">
            <v>1423</v>
          </cell>
        </row>
        <row r="291">
          <cell r="A291" t="str">
            <v>Total</v>
          </cell>
          <cell r="B291">
            <v>801</v>
          </cell>
          <cell r="C291">
            <v>1146</v>
          </cell>
          <cell r="D291">
            <v>938</v>
          </cell>
          <cell r="E291">
            <v>320</v>
          </cell>
          <cell r="F291">
            <v>415</v>
          </cell>
          <cell r="G291">
            <v>269</v>
          </cell>
          <cell r="H291">
            <v>247</v>
          </cell>
          <cell r="I291">
            <v>531</v>
          </cell>
          <cell r="J291">
            <v>1024</v>
          </cell>
          <cell r="K291">
            <v>1028</v>
          </cell>
          <cell r="L291">
            <v>1212</v>
          </cell>
          <cell r="M291">
            <v>867</v>
          </cell>
          <cell r="N291">
            <v>1135</v>
          </cell>
          <cell r="O291">
            <v>710</v>
          </cell>
          <cell r="P291">
            <v>551</v>
          </cell>
          <cell r="Q291">
            <v>534</v>
          </cell>
          <cell r="R291">
            <v>642</v>
          </cell>
          <cell r="S291">
            <v>2142</v>
          </cell>
          <cell r="T291">
            <v>1882</v>
          </cell>
          <cell r="U291">
            <v>2764</v>
          </cell>
        </row>
        <row r="292">
          <cell r="A292" t="str">
            <v>% ch y/y</v>
          </cell>
          <cell r="C292">
            <v>0.43071161048689133</v>
          </cell>
          <cell r="D292">
            <v>-0.18150087260034908</v>
          </cell>
          <cell r="E292">
            <v>-0.65884861407249473</v>
          </cell>
          <cell r="F292">
            <v>0.296875</v>
          </cell>
          <cell r="G292">
            <v>-0.35180722891566263</v>
          </cell>
          <cell r="H292">
            <v>-8.1784386617100413E-2</v>
          </cell>
          <cell r="I292">
            <v>1.1497975708502026</v>
          </cell>
          <cell r="J292">
            <v>0.92843691148775886</v>
          </cell>
          <cell r="K292">
            <v>3.90625E-3</v>
          </cell>
          <cell r="L292">
            <v>0.17898832684824906</v>
          </cell>
          <cell r="M292">
            <v>-0.28465346534653468</v>
          </cell>
          <cell r="N292">
            <v>0.3091118800461361</v>
          </cell>
          <cell r="O292">
            <v>-0.37444933920704848</v>
          </cell>
          <cell r="P292">
            <v>-0.22394366197183102</v>
          </cell>
          <cell r="Q292">
            <v>-3.0852994555353952E-2</v>
          </cell>
          <cell r="R292">
            <v>0.202247191011236</v>
          </cell>
          <cell r="S292">
            <v>2.3364485981308412</v>
          </cell>
          <cell r="T292">
            <v>-0.12138188608776845</v>
          </cell>
          <cell r="U292">
            <v>0.46865037194473969</v>
          </cell>
        </row>
        <row r="293">
          <cell r="A293" t="str">
            <v>% Airbus</v>
          </cell>
          <cell r="B293">
            <v>0.20349563046192259</v>
          </cell>
          <cell r="C293">
            <v>0.34031413612565448</v>
          </cell>
          <cell r="D293">
            <v>0.30597014925373134</v>
          </cell>
          <cell r="E293">
            <v>0.31562499999999999</v>
          </cell>
          <cell r="F293">
            <v>0.32771084337349399</v>
          </cell>
          <cell r="G293">
            <v>0.14126394052044611</v>
          </cell>
          <cell r="H293">
            <v>0.50607287449392713</v>
          </cell>
          <cell r="I293">
            <v>0.19962335216572505</v>
          </cell>
          <cell r="J293">
            <v>0.41796875</v>
          </cell>
          <cell r="K293">
            <v>0.44747081712062259</v>
          </cell>
          <cell r="L293">
            <v>0.45874587458745875</v>
          </cell>
          <cell r="M293">
            <v>0.5490196078431373</v>
          </cell>
          <cell r="N293">
            <v>0.46167400881057269</v>
          </cell>
          <cell r="O293">
            <v>0.528169014084507</v>
          </cell>
          <cell r="P293">
            <v>0.54446460980036293</v>
          </cell>
          <cell r="Q293">
            <v>0.53183520599250933</v>
          </cell>
          <cell r="R293">
            <v>0.57632398753894076</v>
          </cell>
          <cell r="S293">
            <v>0.51867413632119519</v>
          </cell>
          <cell r="T293">
            <v>0.43783209351753455</v>
          </cell>
          <cell r="U293">
            <v>0.48516642547033284</v>
          </cell>
        </row>
        <row r="294">
          <cell r="A294" t="str">
            <v>% Boeing</v>
          </cell>
          <cell r="B294">
            <v>0.79650436953807735</v>
          </cell>
          <cell r="C294">
            <v>0.65968586387434558</v>
          </cell>
          <cell r="D294">
            <v>0.69402985074626866</v>
          </cell>
          <cell r="E294">
            <v>0.68437499999999996</v>
          </cell>
          <cell r="F294">
            <v>0.67228915662650601</v>
          </cell>
          <cell r="G294">
            <v>0.85873605947955389</v>
          </cell>
          <cell r="H294">
            <v>0.49392712550607287</v>
          </cell>
          <cell r="I294">
            <v>0.80037664783427498</v>
          </cell>
          <cell r="J294">
            <v>0.58203125</v>
          </cell>
          <cell r="K294">
            <v>0.55252918287937747</v>
          </cell>
          <cell r="L294">
            <v>0.54125412541254125</v>
          </cell>
          <cell r="M294">
            <v>0.45098039215686275</v>
          </cell>
          <cell r="N294">
            <v>0.53832599118942737</v>
          </cell>
          <cell r="O294">
            <v>0.47183098591549294</v>
          </cell>
          <cell r="P294">
            <v>0.45553539019963701</v>
          </cell>
          <cell r="Q294">
            <v>0.46816479400749061</v>
          </cell>
          <cell r="R294">
            <v>0.42367601246105918</v>
          </cell>
          <cell r="S294">
            <v>0.48132586367880487</v>
          </cell>
          <cell r="T294">
            <v>0.56216790648246551</v>
          </cell>
          <cell r="U294">
            <v>0.51483357452966716</v>
          </cell>
        </row>
        <row r="320">
          <cell r="A320" t="str">
            <v>Aggregate Book:Bill</v>
          </cell>
        </row>
        <row r="322">
          <cell r="A322" t="str">
            <v>Book: Bill</v>
          </cell>
        </row>
        <row r="323">
          <cell r="B323">
            <v>1990</v>
          </cell>
          <cell r="C323">
            <v>1991</v>
          </cell>
          <cell r="D323" t="str">
            <v>1992</v>
          </cell>
          <cell r="E323" t="str">
            <v>1993</v>
          </cell>
          <cell r="F323" t="str">
            <v>1994</v>
          </cell>
          <cell r="G323" t="str">
            <v>1995</v>
          </cell>
          <cell r="H323" t="str">
            <v>1996</v>
          </cell>
          <cell r="I323" t="str">
            <v>1997</v>
          </cell>
          <cell r="J323" t="str">
            <v>1998</v>
          </cell>
          <cell r="K323">
            <v>1999</v>
          </cell>
          <cell r="L323">
            <v>2000</v>
          </cell>
          <cell r="M323">
            <v>2001</v>
          </cell>
          <cell r="N323">
            <v>2002</v>
          </cell>
          <cell r="O323">
            <v>2003</v>
          </cell>
          <cell r="P323">
            <v>2004</v>
          </cell>
          <cell r="Q323">
            <v>2005</v>
          </cell>
          <cell r="R323">
            <v>2006</v>
          </cell>
          <cell r="S323">
            <v>2007</v>
          </cell>
        </row>
        <row r="324">
          <cell r="A324" t="str">
            <v>Airbus</v>
          </cell>
          <cell r="B324">
            <v>3.0210526315789474</v>
          </cell>
          <cell r="C324">
            <v>0.61963190184049077</v>
          </cell>
          <cell r="D324">
            <v>0.86624203821656054</v>
          </cell>
          <cell r="E324">
            <v>0.27536231884057971</v>
          </cell>
          <cell r="F324">
            <v>0.99206349206349209</v>
          </cell>
          <cell r="G324">
            <v>0.87603305785123964</v>
          </cell>
          <cell r="H324">
            <v>3.3968253968253967</v>
          </cell>
          <cell r="I324">
            <v>2.5274725274725274</v>
          </cell>
          <cell r="J324">
            <v>2.427947598253275</v>
          </cell>
          <cell r="K324">
            <v>1.6190476190476191</v>
          </cell>
          <cell r="L324">
            <v>1.6903225806451614</v>
          </cell>
          <cell r="M324">
            <v>1.1538461538461537</v>
          </cell>
          <cell r="N324">
            <v>0.99009900990099009</v>
          </cell>
          <cell r="O324">
            <v>0.93114754098360653</v>
          </cell>
          <cell r="P324">
            <v>1.15625</v>
          </cell>
          <cell r="Q324">
            <v>2.9391534391534391</v>
          </cell>
          <cell r="R324">
            <v>1.8986175115207373</v>
          </cell>
          <cell r="S324">
            <v>2.9602649006622515</v>
          </cell>
        </row>
        <row r="325">
          <cell r="A325" t="str">
            <v>Boeing</v>
          </cell>
          <cell r="B325">
            <v>1.2352941176470589</v>
          </cell>
          <cell r="C325">
            <v>0.36138613861386137</v>
          </cell>
          <cell r="D325">
            <v>0.49206349206349204</v>
          </cell>
          <cell r="E325">
            <v>0.58186397984886651</v>
          </cell>
          <cell r="F325">
            <v>0.39482200647249188</v>
          </cell>
          <cell r="G325">
            <v>1.66015625</v>
          </cell>
          <cell r="H325">
            <v>2.2575757575757578</v>
          </cell>
          <cell r="I325">
            <v>1.5734072022160666</v>
          </cell>
          <cell r="J325">
            <v>1.1735241502683362</v>
          </cell>
          <cell r="K325">
            <v>0.63064516129032255</v>
          </cell>
          <cell r="L325">
            <v>1.2494887525562373</v>
          </cell>
          <cell r="M325">
            <v>0.635673624288425</v>
          </cell>
          <cell r="N325">
            <v>0.65879265091863515</v>
          </cell>
          <cell r="O325">
            <v>0.88967971530249113</v>
          </cell>
          <cell r="P325">
            <v>0.95438596491228067</v>
          </cell>
          <cell r="Q325">
            <v>3.5551724137931036</v>
          </cell>
          <cell r="R325">
            <v>2.658291457286432</v>
          </cell>
          <cell r="S325">
            <v>3.2267573696145124</v>
          </cell>
        </row>
        <row r="326">
          <cell r="A326" t="str">
            <v>YTD</v>
          </cell>
        </row>
        <row r="350">
          <cell r="R350" t="str">
            <v>Large Commercial OEs Order/Delivery History</v>
          </cell>
        </row>
        <row r="352">
          <cell r="S352">
            <v>2000</v>
          </cell>
          <cell r="T352">
            <v>2001</v>
          </cell>
          <cell r="U352">
            <v>2002</v>
          </cell>
          <cell r="V352">
            <v>2003</v>
          </cell>
          <cell r="W352">
            <v>2004</v>
          </cell>
          <cell r="X352">
            <v>2005</v>
          </cell>
          <cell r="Y352">
            <v>2006</v>
          </cell>
          <cell r="Z352">
            <v>2007</v>
          </cell>
          <cell r="AA352" t="str">
            <v>2008E</v>
          </cell>
        </row>
        <row r="353">
          <cell r="R353" t="str">
            <v>Orders</v>
          </cell>
          <cell r="S353">
            <v>1135</v>
          </cell>
          <cell r="T353">
            <v>710</v>
          </cell>
          <cell r="U353">
            <v>551</v>
          </cell>
          <cell r="V353">
            <v>534</v>
          </cell>
          <cell r="W353">
            <v>642</v>
          </cell>
          <cell r="X353">
            <v>2142</v>
          </cell>
          <cell r="Y353">
            <v>1882</v>
          </cell>
          <cell r="Z353">
            <v>2764</v>
          </cell>
          <cell r="AA353">
            <v>1600</v>
          </cell>
        </row>
        <row r="354">
          <cell r="R354" t="str">
            <v>Deliveries</v>
          </cell>
          <cell r="S354">
            <v>799</v>
          </cell>
          <cell r="T354">
            <v>852</v>
          </cell>
          <cell r="U354">
            <v>684</v>
          </cell>
          <cell r="V354">
            <v>586</v>
          </cell>
          <cell r="W354">
            <v>605</v>
          </cell>
          <cell r="X354">
            <v>668</v>
          </cell>
          <cell r="Y354">
            <v>832</v>
          </cell>
          <cell r="Z354">
            <v>894</v>
          </cell>
          <cell r="AA354">
            <v>1020</v>
          </cell>
        </row>
        <row r="355">
          <cell r="R355" t="str">
            <v>Book:Bill</v>
          </cell>
          <cell r="S355">
            <v>1.4205256570713392</v>
          </cell>
          <cell r="T355">
            <v>0.83333333333333337</v>
          </cell>
          <cell r="U355">
            <v>0.80555555555555558</v>
          </cell>
          <cell r="V355">
            <v>0.9112627986348123</v>
          </cell>
          <cell r="W355">
            <v>1.0611570247933884</v>
          </cell>
          <cell r="X355">
            <v>3.2065868263473054</v>
          </cell>
          <cell r="Y355">
            <v>2.2620192307692308</v>
          </cell>
          <cell r="Z355">
            <v>3.0917225950782998</v>
          </cell>
          <cell r="AA355">
            <v>1.5686274509803921</v>
          </cell>
        </row>
      </sheetData>
      <sheetData sheetId="21">
        <row r="4">
          <cell r="B4" t="str">
            <v>2005 Paris Air Show Orders</v>
          </cell>
        </row>
      </sheetData>
      <sheetData sheetId="22" refreshError="1"/>
      <sheetData sheetId="23" refreshError="1"/>
      <sheetData sheetId="24">
        <row r="2">
          <cell r="C2" t="str">
            <v>Boeing Farnborough 2008 Air Show Orders</v>
          </cell>
        </row>
      </sheetData>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tingsHistoryAndDistribution"/>
      <sheetName val="Disclaimer"/>
      <sheetName val="Summary"/>
      <sheetName val="BOW Model"/>
      <sheetName val="Powerpoint"/>
      <sheetName val="Valuation"/>
      <sheetName val="DCF"/>
      <sheetName val="ResidualInc"/>
      <sheetName val="NAV"/>
      <sheetName val="Mid-PeakEPS"/>
      <sheetName val="PriceVsProfit"/>
      <sheetName val="Trading"/>
      <sheetName val="Segment EBITDA"/>
      <sheetName val="EPS Leverage"/>
      <sheetName val="Capacity"/>
      <sheetName val="2001 Mills"/>
      <sheetName val="Downtime"/>
      <sheetName val="ProFormaHistoricals"/>
      <sheetName val="MergerSummary"/>
      <sheetName val="AllianceSummary"/>
      <sheetName val="Timberland"/>
      <sheetName val="Asset Sales"/>
      <sheetName val="Conversions"/>
      <sheetName val="Newsprint South"/>
      <sheetName val="AVR Terms"/>
      <sheetName val="NY UPLOAD shadow"/>
      <sheetName val="NY UPLOAD"/>
      <sheetName val="MainCode"/>
    </sheetNames>
    <sheetDataSet>
      <sheetData sheetId="0" refreshError="1"/>
      <sheetData sheetId="1" refreshError="1"/>
      <sheetData sheetId="2" refreshError="1"/>
      <sheetData sheetId="3" refreshError="1">
        <row r="3">
          <cell r="AM3">
            <v>2000</v>
          </cell>
          <cell r="AS3">
            <v>2001</v>
          </cell>
          <cell r="AY3" t="str">
            <v>2002E</v>
          </cell>
          <cell r="BN3" t="str">
            <v>2006E</v>
          </cell>
          <cell r="BT3" t="str">
            <v>2005E</v>
          </cell>
          <cell r="BZ3" t="str">
            <v>2004E</v>
          </cell>
          <cell r="CF3" t="str">
            <v>2003E</v>
          </cell>
          <cell r="DD3">
            <v>1999</v>
          </cell>
          <cell r="DJ3">
            <v>1998</v>
          </cell>
          <cell r="DP3">
            <v>1997</v>
          </cell>
          <cell r="DV3">
            <v>1996</v>
          </cell>
          <cell r="EB3">
            <v>1995</v>
          </cell>
          <cell r="EH3">
            <v>1994</v>
          </cell>
          <cell r="EN3">
            <v>1993</v>
          </cell>
          <cell r="ET3">
            <v>1992</v>
          </cell>
          <cell r="EZ3">
            <v>1991</v>
          </cell>
          <cell r="FF3">
            <v>1990</v>
          </cell>
          <cell r="FL3">
            <v>1989</v>
          </cell>
          <cell r="FR3">
            <v>1988</v>
          </cell>
        </row>
        <row r="4">
          <cell r="A4" t="str">
            <v>BOWATER</v>
          </cell>
          <cell r="C4">
            <v>1979</v>
          </cell>
          <cell r="D4">
            <v>1980</v>
          </cell>
          <cell r="E4">
            <v>1981</v>
          </cell>
          <cell r="F4">
            <v>1982</v>
          </cell>
          <cell r="G4">
            <v>1983</v>
          </cell>
          <cell r="H4">
            <v>1984</v>
          </cell>
          <cell r="I4">
            <v>1985</v>
          </cell>
          <cell r="J4">
            <v>1986</v>
          </cell>
          <cell r="K4">
            <v>1987</v>
          </cell>
          <cell r="L4">
            <v>1988</v>
          </cell>
          <cell r="M4">
            <v>1989</v>
          </cell>
          <cell r="N4">
            <v>1990</v>
          </cell>
          <cell r="O4">
            <v>1991</v>
          </cell>
          <cell r="P4">
            <v>1992</v>
          </cell>
          <cell r="Q4">
            <v>1993</v>
          </cell>
          <cell r="R4">
            <v>1994</v>
          </cell>
          <cell r="S4">
            <v>1995</v>
          </cell>
          <cell r="T4">
            <v>1996</v>
          </cell>
          <cell r="U4">
            <v>1997</v>
          </cell>
          <cell r="V4">
            <v>1998</v>
          </cell>
          <cell r="W4">
            <v>1999</v>
          </cell>
          <cell r="X4">
            <v>2000</v>
          </cell>
          <cell r="Y4">
            <v>2001</v>
          </cell>
          <cell r="Z4">
            <v>2002</v>
          </cell>
          <cell r="AA4" t="str">
            <v>2003E</v>
          </cell>
          <cell r="AB4" t="str">
            <v>2004E</v>
          </cell>
          <cell r="AC4" t="str">
            <v>2005E</v>
          </cell>
          <cell r="AD4" t="str">
            <v>2006E</v>
          </cell>
          <cell r="AE4" t="str">
            <v>Mid</v>
          </cell>
          <cell r="AF4" t="str">
            <v>Peak</v>
          </cell>
          <cell r="AI4" t="str">
            <v>Year</v>
          </cell>
          <cell r="AL4" t="str">
            <v>4QTR</v>
          </cell>
          <cell r="AM4" t="str">
            <v>3QTR</v>
          </cell>
          <cell r="AN4" t="str">
            <v>2QTR</v>
          </cell>
          <cell r="AO4" t="str">
            <v>1QTR</v>
          </cell>
          <cell r="AQ4" t="str">
            <v>Year</v>
          </cell>
          <cell r="AR4" t="str">
            <v>4QTR</v>
          </cell>
          <cell r="AS4" t="str">
            <v>3QTR</v>
          </cell>
          <cell r="AT4" t="str">
            <v>2QTR</v>
          </cell>
          <cell r="AU4" t="str">
            <v>1QTR</v>
          </cell>
          <cell r="AW4" t="str">
            <v>Year</v>
          </cell>
          <cell r="AX4" t="str">
            <v>4QTR</v>
          </cell>
          <cell r="AY4" t="str">
            <v>3QTR</v>
          </cell>
          <cell r="AZ4" t="str">
            <v>2QTR</v>
          </cell>
          <cell r="BA4" t="str">
            <v>1QTR</v>
          </cell>
          <cell r="BL4" t="str">
            <v>Year</v>
          </cell>
          <cell r="BM4" t="str">
            <v>4QTR</v>
          </cell>
          <cell r="BN4" t="str">
            <v>3QTR</v>
          </cell>
          <cell r="BO4" t="str">
            <v>2QTR</v>
          </cell>
          <cell r="BP4" t="str">
            <v>1QTR</v>
          </cell>
          <cell r="BR4" t="str">
            <v>Year</v>
          </cell>
          <cell r="BS4" t="str">
            <v>4QTR</v>
          </cell>
          <cell r="BT4" t="str">
            <v>3QTR</v>
          </cell>
          <cell r="BU4" t="str">
            <v>2QTR</v>
          </cell>
          <cell r="BV4" t="str">
            <v>1QTR</v>
          </cell>
          <cell r="BX4" t="str">
            <v>Year</v>
          </cell>
          <cell r="BY4" t="str">
            <v>4QTR</v>
          </cell>
          <cell r="BZ4" t="str">
            <v>3QTR</v>
          </cell>
          <cell r="CA4" t="str">
            <v>2QTR</v>
          </cell>
          <cell r="CB4" t="str">
            <v>1QTR</v>
          </cell>
          <cell r="CD4" t="str">
            <v>Year</v>
          </cell>
          <cell r="CE4" t="str">
            <v>4QTR</v>
          </cell>
          <cell r="CF4" t="str">
            <v>3QTR</v>
          </cell>
          <cell r="CG4" t="str">
            <v>2QTR</v>
          </cell>
          <cell r="CH4" t="str">
            <v>1QTR</v>
          </cell>
          <cell r="DB4" t="str">
            <v>Year</v>
          </cell>
          <cell r="DC4" t="str">
            <v>4QTR</v>
          </cell>
          <cell r="DD4" t="str">
            <v>3QTR</v>
          </cell>
          <cell r="DE4" t="str">
            <v>2QTR</v>
          </cell>
          <cell r="DF4" t="str">
            <v>1QTR</v>
          </cell>
          <cell r="DH4" t="str">
            <v>Year</v>
          </cell>
          <cell r="DI4" t="str">
            <v>4QTR</v>
          </cell>
          <cell r="DJ4" t="str">
            <v>3QTR</v>
          </cell>
          <cell r="DK4" t="str">
            <v>2QTR</v>
          </cell>
          <cell r="DL4" t="str">
            <v>1QTR</v>
          </cell>
          <cell r="DN4" t="str">
            <v>Year</v>
          </cell>
          <cell r="DO4" t="str">
            <v>4QTR</v>
          </cell>
          <cell r="DP4" t="str">
            <v>3QTR</v>
          </cell>
          <cell r="DQ4" t="str">
            <v>2QTR</v>
          </cell>
          <cell r="DR4" t="str">
            <v>1QTR</v>
          </cell>
          <cell r="DT4" t="str">
            <v>Year</v>
          </cell>
          <cell r="DU4" t="str">
            <v>4QTR</v>
          </cell>
          <cell r="DV4" t="str">
            <v>3QTR</v>
          </cell>
          <cell r="DW4" t="str">
            <v>2QTR</v>
          </cell>
          <cell r="DX4" t="str">
            <v>1QTR</v>
          </cell>
          <cell r="DZ4" t="str">
            <v>Year</v>
          </cell>
          <cell r="EA4" t="str">
            <v>4QTR</v>
          </cell>
          <cell r="EB4" t="str">
            <v>3QTR</v>
          </cell>
          <cell r="EC4" t="str">
            <v>2QTR</v>
          </cell>
          <cell r="ED4" t="str">
            <v>1QTR</v>
          </cell>
          <cell r="EF4" t="str">
            <v>Year</v>
          </cell>
          <cell r="EG4" t="str">
            <v>4QTR</v>
          </cell>
          <cell r="EH4" t="str">
            <v>3QTR</v>
          </cell>
          <cell r="EI4" t="str">
            <v>2QTR</v>
          </cell>
          <cell r="EJ4" t="str">
            <v>1QTR</v>
          </cell>
          <cell r="EL4" t="str">
            <v>Year</v>
          </cell>
          <cell r="EM4" t="str">
            <v>4QTR</v>
          </cell>
          <cell r="EN4" t="str">
            <v>3QTR</v>
          </cell>
          <cell r="EO4" t="str">
            <v>2QTR</v>
          </cell>
          <cell r="EP4" t="str">
            <v>1QTR</v>
          </cell>
          <cell r="ER4" t="str">
            <v>Year</v>
          </cell>
          <cell r="ES4" t="str">
            <v>4QTR</v>
          </cell>
          <cell r="ET4" t="str">
            <v>3QTR</v>
          </cell>
          <cell r="EU4" t="str">
            <v>2QTR</v>
          </cell>
          <cell r="EV4" t="str">
            <v>1QTR</v>
          </cell>
          <cell r="EX4" t="str">
            <v>Year</v>
          </cell>
          <cell r="EY4" t="str">
            <v>4QTR</v>
          </cell>
          <cell r="EZ4" t="str">
            <v>3QTR</v>
          </cell>
          <cell r="FA4" t="str">
            <v>2QTR</v>
          </cell>
          <cell r="FB4" t="str">
            <v>1QTR</v>
          </cell>
          <cell r="FD4" t="str">
            <v>Year</v>
          </cell>
          <cell r="FE4" t="str">
            <v>4QTR</v>
          </cell>
          <cell r="FF4" t="str">
            <v>3QTR</v>
          </cell>
          <cell r="FG4" t="str">
            <v>2QTR</v>
          </cell>
          <cell r="FH4" t="str">
            <v>1QTR</v>
          </cell>
          <cell r="FJ4" t="str">
            <v>Year</v>
          </cell>
          <cell r="FK4" t="str">
            <v>4QTR</v>
          </cell>
          <cell r="FL4" t="str">
            <v>3QTR</v>
          </cell>
          <cell r="FM4" t="str">
            <v>2QTR</v>
          </cell>
          <cell r="FN4" t="str">
            <v>1QTR</v>
          </cell>
          <cell r="FP4" t="str">
            <v>Year</v>
          </cell>
          <cell r="FQ4" t="str">
            <v>4QTR</v>
          </cell>
          <cell r="FR4" t="str">
            <v>3QTR</v>
          </cell>
          <cell r="FS4" t="str">
            <v>2QTR</v>
          </cell>
          <cell r="FT4" t="str">
            <v>1QTR</v>
          </cell>
        </row>
        <row r="6">
          <cell r="A6" t="str">
            <v>Bowater - Segment Data</v>
          </cell>
        </row>
        <row r="7">
          <cell r="AM7">
            <v>2000</v>
          </cell>
          <cell r="AS7">
            <v>2001</v>
          </cell>
          <cell r="AY7">
            <v>2002</v>
          </cell>
          <cell r="BN7" t="str">
            <v>2006E</v>
          </cell>
          <cell r="BT7" t="str">
            <v>2005E</v>
          </cell>
          <cell r="BZ7" t="str">
            <v>2004E</v>
          </cell>
          <cell r="CF7" t="str">
            <v>2003E</v>
          </cell>
          <cell r="DD7">
            <v>1999</v>
          </cell>
          <cell r="DJ7">
            <v>1998</v>
          </cell>
          <cell r="DP7">
            <v>1997</v>
          </cell>
          <cell r="DV7">
            <v>1996</v>
          </cell>
          <cell r="EB7">
            <v>1995</v>
          </cell>
          <cell r="EH7">
            <v>1994</v>
          </cell>
          <cell r="EN7">
            <v>1993</v>
          </cell>
          <cell r="ET7">
            <v>1992</v>
          </cell>
          <cell r="EZ7">
            <v>1991</v>
          </cell>
          <cell r="FF7">
            <v>1990</v>
          </cell>
          <cell r="FL7">
            <v>1989</v>
          </cell>
          <cell r="FR7">
            <v>1988</v>
          </cell>
        </row>
        <row r="8">
          <cell r="C8">
            <v>1979</v>
          </cell>
          <cell r="D8">
            <v>1980</v>
          </cell>
          <cell r="E8">
            <v>1981</v>
          </cell>
          <cell r="F8">
            <v>1982</v>
          </cell>
          <cell r="G8">
            <v>1983</v>
          </cell>
          <cell r="H8">
            <v>1984</v>
          </cell>
          <cell r="I8">
            <v>1985</v>
          </cell>
          <cell r="J8">
            <v>1986</v>
          </cell>
          <cell r="K8">
            <v>1987</v>
          </cell>
          <cell r="L8">
            <v>1988</v>
          </cell>
          <cell r="M8">
            <v>1989</v>
          </cell>
          <cell r="N8">
            <v>1990</v>
          </cell>
          <cell r="O8">
            <v>1991</v>
          </cell>
          <cell r="P8">
            <v>1992</v>
          </cell>
          <cell r="Q8">
            <v>1993</v>
          </cell>
          <cell r="R8">
            <v>1994</v>
          </cell>
          <cell r="S8">
            <v>1995</v>
          </cell>
          <cell r="T8">
            <v>1996</v>
          </cell>
          <cell r="U8">
            <v>1997</v>
          </cell>
          <cell r="V8">
            <v>1998</v>
          </cell>
          <cell r="W8">
            <v>1999</v>
          </cell>
          <cell r="X8">
            <v>2000</v>
          </cell>
          <cell r="Y8">
            <v>2001</v>
          </cell>
          <cell r="Z8">
            <v>2002</v>
          </cell>
          <cell r="AA8" t="str">
            <v>2003E</v>
          </cell>
          <cell r="AB8" t="str">
            <v>2004E</v>
          </cell>
          <cell r="AC8" t="str">
            <v>2005E</v>
          </cell>
          <cell r="AD8" t="str">
            <v>2006E</v>
          </cell>
          <cell r="AE8" t="str">
            <v>Mid</v>
          </cell>
          <cell r="AF8" t="str">
            <v>Peak</v>
          </cell>
          <cell r="AI8" t="str">
            <v>Year</v>
          </cell>
          <cell r="AL8" t="str">
            <v>4QTR</v>
          </cell>
          <cell r="AM8" t="str">
            <v>3QTR</v>
          </cell>
          <cell r="AN8" t="str">
            <v>2QTR</v>
          </cell>
          <cell r="AO8" t="str">
            <v>1QTR</v>
          </cell>
          <cell r="AQ8" t="str">
            <v>Year</v>
          </cell>
          <cell r="AR8" t="str">
            <v>4QTR</v>
          </cell>
          <cell r="AS8" t="str">
            <v>3QTR</v>
          </cell>
          <cell r="AT8" t="str">
            <v>2QTR</v>
          </cell>
          <cell r="AU8" t="str">
            <v>1QTR</v>
          </cell>
          <cell r="AW8" t="str">
            <v>Year</v>
          </cell>
          <cell r="AX8" t="str">
            <v>4QTR</v>
          </cell>
          <cell r="AY8" t="str">
            <v>3QTR</v>
          </cell>
          <cell r="AZ8" t="str">
            <v>2QTR</v>
          </cell>
          <cell r="BA8" t="str">
            <v>1QTR</v>
          </cell>
          <cell r="BL8" t="str">
            <v>Year</v>
          </cell>
          <cell r="BM8" t="str">
            <v>4QTR</v>
          </cell>
          <cell r="BN8" t="str">
            <v>3QTR</v>
          </cell>
          <cell r="BO8" t="str">
            <v>2QTR</v>
          </cell>
          <cell r="BP8" t="str">
            <v>1QTR</v>
          </cell>
          <cell r="BR8" t="str">
            <v>Year</v>
          </cell>
          <cell r="BS8" t="str">
            <v>4QTR</v>
          </cell>
          <cell r="BT8" t="str">
            <v>3QTR</v>
          </cell>
          <cell r="BU8" t="str">
            <v>2QTR</v>
          </cell>
          <cell r="BV8" t="str">
            <v>1QTR</v>
          </cell>
          <cell r="BX8" t="str">
            <v>Year</v>
          </cell>
          <cell r="BY8" t="str">
            <v>4QTR</v>
          </cell>
          <cell r="BZ8" t="str">
            <v>3QTR</v>
          </cell>
          <cell r="CA8" t="str">
            <v>2QTR</v>
          </cell>
          <cell r="CB8" t="str">
            <v>1QTR</v>
          </cell>
          <cell r="CD8" t="str">
            <v>Year</v>
          </cell>
          <cell r="CE8" t="str">
            <v>4QTR</v>
          </cell>
          <cell r="CF8" t="str">
            <v>3QTR</v>
          </cell>
          <cell r="CG8" t="str">
            <v>2QTR</v>
          </cell>
          <cell r="CH8" t="str">
            <v>1QTR</v>
          </cell>
          <cell r="DB8" t="str">
            <v>Year</v>
          </cell>
          <cell r="DC8" t="str">
            <v>4QTR</v>
          </cell>
          <cell r="DD8" t="str">
            <v>3QTR</v>
          </cell>
          <cell r="DE8" t="str">
            <v>2QTR</v>
          </cell>
          <cell r="DF8" t="str">
            <v>1QTR</v>
          </cell>
          <cell r="DH8" t="str">
            <v>Year</v>
          </cell>
          <cell r="DI8" t="str">
            <v>4QTR</v>
          </cell>
          <cell r="DJ8" t="str">
            <v>3QTR</v>
          </cell>
          <cell r="DK8" t="str">
            <v>2QTR</v>
          </cell>
          <cell r="DL8" t="str">
            <v>1QTR</v>
          </cell>
          <cell r="DN8" t="str">
            <v>Year</v>
          </cell>
          <cell r="DO8" t="str">
            <v>4QTR</v>
          </cell>
          <cell r="DP8" t="str">
            <v>3QTR</v>
          </cell>
          <cell r="DQ8" t="str">
            <v>2QTR</v>
          </cell>
          <cell r="DR8" t="str">
            <v>1QTR</v>
          </cell>
          <cell r="DT8" t="str">
            <v>Year</v>
          </cell>
          <cell r="DU8" t="str">
            <v>4QTR</v>
          </cell>
          <cell r="DV8" t="str">
            <v>3QTR</v>
          </cell>
          <cell r="DW8" t="str">
            <v>2QTR</v>
          </cell>
          <cell r="DX8" t="str">
            <v>1QTR</v>
          </cell>
          <cell r="DZ8" t="str">
            <v>Year</v>
          </cell>
          <cell r="EA8" t="str">
            <v>4QTR</v>
          </cell>
          <cell r="EB8" t="str">
            <v>3QTR</v>
          </cell>
          <cell r="EC8" t="str">
            <v>2QTR</v>
          </cell>
          <cell r="ED8" t="str">
            <v>1QTR</v>
          </cell>
          <cell r="EF8" t="str">
            <v>Year</v>
          </cell>
          <cell r="EG8" t="str">
            <v>4QTR</v>
          </cell>
          <cell r="EH8" t="str">
            <v>3QTR</v>
          </cell>
          <cell r="EI8" t="str">
            <v>2QTR</v>
          </cell>
          <cell r="EJ8" t="str">
            <v>1QTR</v>
          </cell>
          <cell r="EL8" t="str">
            <v>Year</v>
          </cell>
          <cell r="EM8" t="str">
            <v>4QTR</v>
          </cell>
          <cell r="EN8" t="str">
            <v>3QTR</v>
          </cell>
          <cell r="EO8" t="str">
            <v>2QTR</v>
          </cell>
          <cell r="EP8" t="str">
            <v>1QTR</v>
          </cell>
          <cell r="ER8" t="str">
            <v>Year</v>
          </cell>
          <cell r="ES8" t="str">
            <v>4QTR</v>
          </cell>
          <cell r="ET8" t="str">
            <v>3QTR</v>
          </cell>
          <cell r="EU8" t="str">
            <v>2QTR</v>
          </cell>
          <cell r="EV8" t="str">
            <v>1QTR</v>
          </cell>
          <cell r="EX8" t="str">
            <v>Year</v>
          </cell>
          <cell r="EY8" t="str">
            <v>4QTR</v>
          </cell>
          <cell r="EZ8" t="str">
            <v>3QTR</v>
          </cell>
          <cell r="FA8" t="str">
            <v>2QTR</v>
          </cell>
          <cell r="FB8" t="str">
            <v>1QTR</v>
          </cell>
          <cell r="FD8" t="str">
            <v>Year</v>
          </cell>
          <cell r="FE8" t="str">
            <v>4QTR</v>
          </cell>
          <cell r="FF8" t="str">
            <v>3QTR</v>
          </cell>
          <cell r="FG8" t="str">
            <v>2QTR</v>
          </cell>
          <cell r="FH8" t="str">
            <v>1QTR</v>
          </cell>
          <cell r="FJ8" t="str">
            <v>Year</v>
          </cell>
          <cell r="FK8" t="str">
            <v>4QTR</v>
          </cell>
          <cell r="FL8" t="str">
            <v>3QTR</v>
          </cell>
          <cell r="FM8" t="str">
            <v>2QTR</v>
          </cell>
          <cell r="FN8" t="str">
            <v>1QTR</v>
          </cell>
          <cell r="FP8" t="str">
            <v>Year</v>
          </cell>
          <cell r="FQ8" t="str">
            <v>4QTR</v>
          </cell>
          <cell r="FR8" t="str">
            <v>3QTR</v>
          </cell>
          <cell r="FS8" t="str">
            <v>2QTR</v>
          </cell>
          <cell r="FT8" t="str">
            <v>1QTR</v>
          </cell>
        </row>
        <row r="10">
          <cell r="A10" t="str">
            <v>Newsprint &amp; Groundwood Papers</v>
          </cell>
        </row>
        <row r="11">
          <cell r="A11" t="str">
            <v>Sales</v>
          </cell>
          <cell r="C11">
            <v>449.1</v>
          </cell>
          <cell r="D11">
            <v>529.79999999999995</v>
          </cell>
          <cell r="E11">
            <v>579.4</v>
          </cell>
          <cell r="F11">
            <v>555.5</v>
          </cell>
          <cell r="G11">
            <v>509.3</v>
          </cell>
          <cell r="H11">
            <v>598.20000000000005</v>
          </cell>
          <cell r="I11">
            <v>612.20000000000005</v>
          </cell>
          <cell r="J11">
            <v>556.1</v>
          </cell>
          <cell r="K11">
            <v>607.1</v>
          </cell>
          <cell r="L11">
            <v>671.31200000000001</v>
          </cell>
          <cell r="M11">
            <v>645.32399999999996</v>
          </cell>
          <cell r="N11">
            <v>617.18900000000008</v>
          </cell>
          <cell r="O11">
            <v>600.52099999999996</v>
          </cell>
          <cell r="P11">
            <v>712.87982499999998</v>
          </cell>
          <cell r="Q11">
            <v>798.55705999999998</v>
          </cell>
          <cell r="R11">
            <v>769.702</v>
          </cell>
          <cell r="S11">
            <v>1044.729</v>
          </cell>
          <cell r="T11">
            <v>1067.125</v>
          </cell>
          <cell r="U11">
            <v>953.7</v>
          </cell>
          <cell r="V11">
            <v>1335.1037000000001</v>
          </cell>
          <cell r="W11">
            <v>1423.7068000000002</v>
          </cell>
          <cell r="X11">
            <v>1519.3999999999999</v>
          </cell>
          <cell r="AI11">
            <v>1519.3999999999999</v>
          </cell>
          <cell r="AL11">
            <v>440.2</v>
          </cell>
          <cell r="AM11">
            <v>404.9</v>
          </cell>
          <cell r="AN11">
            <v>350.5</v>
          </cell>
          <cell r="AO11">
            <v>323.8</v>
          </cell>
          <cell r="AQ11">
            <v>1531.2195000000002</v>
          </cell>
          <cell r="AR11">
            <v>387.41950000000003</v>
          </cell>
          <cell r="AS11">
            <v>347.4</v>
          </cell>
          <cell r="AT11">
            <v>392.20000000000005</v>
          </cell>
          <cell r="AU11">
            <v>404.2</v>
          </cell>
          <cell r="AW11">
            <v>1298.8059999999998</v>
          </cell>
          <cell r="AX11">
            <v>352.99400000000003</v>
          </cell>
          <cell r="AY11">
            <v>314.60399999999998</v>
          </cell>
          <cell r="AZ11">
            <v>315.70399999999995</v>
          </cell>
          <cell r="BA11">
            <v>315.50399999999996</v>
          </cell>
          <cell r="BL11">
            <v>1499.3059999999998</v>
          </cell>
          <cell r="BM11">
            <v>363.00400000000002</v>
          </cell>
          <cell r="BN11">
            <v>356.09399999999999</v>
          </cell>
          <cell r="BO11">
            <v>373.99399999999997</v>
          </cell>
          <cell r="BP11">
            <v>406.214</v>
          </cell>
          <cell r="BR11">
            <v>1787.191</v>
          </cell>
          <cell r="BS11">
            <v>462.97899999999998</v>
          </cell>
          <cell r="BT11">
            <v>445.00900000000001</v>
          </cell>
          <cell r="BU11">
            <v>445.00900000000001</v>
          </cell>
          <cell r="BV11">
            <v>434.19400000000002</v>
          </cell>
          <cell r="BX11">
            <v>1624.4359999999999</v>
          </cell>
          <cell r="BY11">
            <v>437.60399999999998</v>
          </cell>
          <cell r="BZ11">
            <v>415.334</v>
          </cell>
          <cell r="CA11">
            <v>393.66399999999999</v>
          </cell>
          <cell r="CB11">
            <v>377.834</v>
          </cell>
          <cell r="CD11">
            <v>1451.396</v>
          </cell>
          <cell r="CE11">
            <v>387.75399999999996</v>
          </cell>
          <cell r="CF11">
            <v>371.774</v>
          </cell>
          <cell r="CG11">
            <v>346.51400000000001</v>
          </cell>
          <cell r="CH11">
            <v>345.35400000000004</v>
          </cell>
          <cell r="DB11">
            <v>1423.7068000000002</v>
          </cell>
          <cell r="DC11">
            <v>335.9</v>
          </cell>
          <cell r="DD11">
            <v>331.8</v>
          </cell>
          <cell r="DE11">
            <v>356.2</v>
          </cell>
          <cell r="DF11">
            <v>399.80680000000007</v>
          </cell>
          <cell r="DH11">
            <v>1335.1037000000001</v>
          </cell>
          <cell r="DI11">
            <v>453.10370000000006</v>
          </cell>
          <cell r="DJ11">
            <v>398.09999999999997</v>
          </cell>
          <cell r="DK11">
            <v>247.7</v>
          </cell>
          <cell r="DL11">
            <v>236.2</v>
          </cell>
          <cell r="DN11">
            <v>953.7</v>
          </cell>
          <cell r="DO11">
            <v>258.5</v>
          </cell>
          <cell r="DP11">
            <v>238.7</v>
          </cell>
          <cell r="DQ11">
            <v>228.29999999999998</v>
          </cell>
          <cell r="DR11">
            <v>228.2</v>
          </cell>
          <cell r="DT11">
            <v>1067.125</v>
          </cell>
          <cell r="DU11">
            <v>235.92099999999999</v>
          </cell>
          <cell r="DV11">
            <v>256.54900000000004</v>
          </cell>
          <cell r="DW11">
            <v>279.18899999999996</v>
          </cell>
          <cell r="DX11">
            <v>295.46600000000001</v>
          </cell>
          <cell r="DZ11">
            <v>1044.729</v>
          </cell>
          <cell r="EA11">
            <v>315.39500000000004</v>
          </cell>
          <cell r="EB11">
            <v>271.548</v>
          </cell>
          <cell r="EC11">
            <v>244.41</v>
          </cell>
          <cell r="ED11">
            <v>213.376</v>
          </cell>
          <cell r="EF11">
            <v>769.702</v>
          </cell>
          <cell r="EG11">
            <v>213.73000000000002</v>
          </cell>
          <cell r="EH11">
            <v>192.88800000000001</v>
          </cell>
          <cell r="EI11">
            <v>174</v>
          </cell>
          <cell r="EJ11">
            <v>189.084</v>
          </cell>
          <cell r="EL11">
            <v>798.55705999999998</v>
          </cell>
          <cell r="EM11">
            <v>189.09157799999997</v>
          </cell>
          <cell r="EN11">
            <v>203.47080599999998</v>
          </cell>
          <cell r="EO11">
            <v>196.079656</v>
          </cell>
          <cell r="EP11">
            <v>209.91502</v>
          </cell>
          <cell r="ER11">
            <v>712.87982499999998</v>
          </cell>
          <cell r="ES11">
            <v>195.79599999999999</v>
          </cell>
          <cell r="ET11">
            <v>176.29304000000002</v>
          </cell>
          <cell r="EU11">
            <v>165.75149999999999</v>
          </cell>
          <cell r="EV11">
            <v>175.03928500000001</v>
          </cell>
          <cell r="EX11">
            <v>600.52099999999996</v>
          </cell>
          <cell r="EY11">
            <v>152</v>
          </cell>
          <cell r="EZ11">
            <v>143.166</v>
          </cell>
          <cell r="FA11">
            <v>154.17500000000001</v>
          </cell>
          <cell r="FB11">
            <v>151.18</v>
          </cell>
          <cell r="FD11">
            <v>617.18900000000008</v>
          </cell>
          <cell r="FE11">
            <v>166.774</v>
          </cell>
          <cell r="FF11">
            <v>154.947</v>
          </cell>
          <cell r="FG11">
            <v>150.268</v>
          </cell>
          <cell r="FH11">
            <v>145.19999999999999</v>
          </cell>
          <cell r="FJ11">
            <v>645.32399999999996</v>
          </cell>
          <cell r="FK11">
            <v>164.98500000000001</v>
          </cell>
          <cell r="FL11">
            <v>157.99100000000001</v>
          </cell>
          <cell r="FM11">
            <v>161.13999999999999</v>
          </cell>
          <cell r="FN11">
            <v>161.208</v>
          </cell>
          <cell r="FP11">
            <v>671.31200000000001</v>
          </cell>
          <cell r="FQ11">
            <v>176.20099999999999</v>
          </cell>
          <cell r="FR11">
            <v>159.34299999999999</v>
          </cell>
          <cell r="FS11">
            <v>172.18700000000001</v>
          </cell>
          <cell r="FT11">
            <v>163.58099999999999</v>
          </cell>
        </row>
        <row r="12">
          <cell r="A12" t="str">
            <v>Operating Income</v>
          </cell>
          <cell r="C12">
            <v>87.125400000000013</v>
          </cell>
          <cell r="D12">
            <v>126.09239999999998</v>
          </cell>
          <cell r="E12">
            <v>132.10319999999999</v>
          </cell>
          <cell r="F12">
            <v>88.295000000000002</v>
          </cell>
          <cell r="G12">
            <v>67.227999999999994</v>
          </cell>
          <cell r="H12">
            <v>83.209000000000003</v>
          </cell>
          <cell r="I12">
            <v>104.57</v>
          </cell>
          <cell r="J12">
            <v>86.361000000000004</v>
          </cell>
          <cell r="K12">
            <v>125.90900000000001</v>
          </cell>
          <cell r="L12">
            <v>164.35</v>
          </cell>
          <cell r="M12">
            <v>87.918999999999997</v>
          </cell>
          <cell r="N12">
            <v>31.705000000000002</v>
          </cell>
          <cell r="O12">
            <v>21.36</v>
          </cell>
          <cell r="P12">
            <v>-127.72819506270829</v>
          </cell>
          <cell r="Q12">
            <v>-67.155849999999987</v>
          </cell>
          <cell r="R12">
            <v>-40.695344999999946</v>
          </cell>
          <cell r="S12">
            <v>269.68734966250003</v>
          </cell>
          <cell r="T12">
            <v>224.68497244999989</v>
          </cell>
          <cell r="U12">
            <v>80.009799999999984</v>
          </cell>
          <cell r="V12">
            <v>193.62099343499992</v>
          </cell>
          <cell r="W12">
            <v>67.490000000000009</v>
          </cell>
          <cell r="X12">
            <v>184.30000000000004</v>
          </cell>
          <cell r="AI12">
            <v>184.30000000000004</v>
          </cell>
          <cell r="AL12">
            <v>77.400000000000006</v>
          </cell>
          <cell r="AM12">
            <v>57.7</v>
          </cell>
          <cell r="AN12">
            <v>36.9</v>
          </cell>
          <cell r="AO12">
            <v>12.3</v>
          </cell>
          <cell r="AQ12">
            <v>196.39999999999998</v>
          </cell>
          <cell r="AR12">
            <v>6.6</v>
          </cell>
          <cell r="AS12">
            <v>39.5</v>
          </cell>
          <cell r="AT12">
            <v>78.099999999999994</v>
          </cell>
          <cell r="AU12">
            <v>72.2</v>
          </cell>
          <cell r="AW12">
            <v>-59.377421900000172</v>
          </cell>
          <cell r="AX12">
            <v>-8.3931032499999674</v>
          </cell>
          <cell r="AY12">
            <v>-17.821273050000059</v>
          </cell>
          <cell r="AZ12">
            <v>-21.803978350000079</v>
          </cell>
          <cell r="BA12">
            <v>-11.359067250000066</v>
          </cell>
          <cell r="BL12">
            <v>86.668566781666357</v>
          </cell>
          <cell r="BM12">
            <v>1.1673407816664394</v>
          </cell>
          <cell r="BN12">
            <v>7.8062419999999406</v>
          </cell>
          <cell r="BO12">
            <v>24.143741999999975</v>
          </cell>
          <cell r="BP12">
            <v>53.551242000000002</v>
          </cell>
          <cell r="BR12">
            <v>349.76966257848289</v>
          </cell>
          <cell r="BS12">
            <v>92.596909578482894</v>
          </cell>
          <cell r="BT12">
            <v>89.016750999999999</v>
          </cell>
          <cell r="BU12">
            <v>89.016750999999999</v>
          </cell>
          <cell r="BV12">
            <v>79.139251000000002</v>
          </cell>
          <cell r="BX12">
            <v>203.27353720554413</v>
          </cell>
          <cell r="BY12">
            <v>67.700131952613674</v>
          </cell>
          <cell r="BZ12">
            <v>55.986475252930518</v>
          </cell>
          <cell r="CA12">
            <v>44.847723999999914</v>
          </cell>
          <cell r="CB12">
            <v>34.739206000000024</v>
          </cell>
          <cell r="CD12">
            <v>30.231933744507614</v>
          </cell>
          <cell r="CE12">
            <v>22.645942164022756</v>
          </cell>
          <cell r="CF12">
            <v>12.413043580484782</v>
          </cell>
          <cell r="CG12">
            <v>2.4817060000000311</v>
          </cell>
          <cell r="CH12">
            <v>-7.3087579999999548</v>
          </cell>
          <cell r="DB12">
            <v>67.490000000000009</v>
          </cell>
          <cell r="DC12">
            <v>11.7</v>
          </cell>
          <cell r="DD12">
            <v>-5</v>
          </cell>
          <cell r="DE12">
            <v>17.7</v>
          </cell>
          <cell r="DF12">
            <v>43.09</v>
          </cell>
          <cell r="DH12">
            <v>193.62099343499992</v>
          </cell>
          <cell r="DI12">
            <v>71.903190650000056</v>
          </cell>
          <cell r="DJ12">
            <v>62.61162867999991</v>
          </cell>
          <cell r="DK12">
            <v>33.259055904999968</v>
          </cell>
          <cell r="DL12">
            <v>25.847118199999983</v>
          </cell>
          <cell r="DN12">
            <v>80.009799999999984</v>
          </cell>
          <cell r="DO12">
            <v>33.295800000000014</v>
          </cell>
          <cell r="DP12">
            <v>22.721599999999995</v>
          </cell>
          <cell r="DQ12">
            <v>15.869399999999985</v>
          </cell>
          <cell r="DR12">
            <v>8.1229999999999905</v>
          </cell>
          <cell r="DT12">
            <v>224.68497244999989</v>
          </cell>
          <cell r="DU12">
            <v>6.2414262499999893</v>
          </cell>
          <cell r="DV12">
            <v>44.568416349999978</v>
          </cell>
          <cell r="DW12">
            <v>73.585137524999936</v>
          </cell>
          <cell r="DX12">
            <v>100.28999232499999</v>
          </cell>
          <cell r="DZ12">
            <v>269.68734966250003</v>
          </cell>
          <cell r="EA12">
            <v>101.35515466250004</v>
          </cell>
          <cell r="EB12">
            <v>82.046414999999996</v>
          </cell>
          <cell r="EC12">
            <v>58.48198499999998</v>
          </cell>
          <cell r="ED12">
            <v>27.803795000000008</v>
          </cell>
          <cell r="EF12">
            <v>-40.695344999999946</v>
          </cell>
          <cell r="EG12">
            <v>6.7478049999999712</v>
          </cell>
          <cell r="EH12">
            <v>-5.5972499999999741</v>
          </cell>
          <cell r="EI12">
            <v>-31.617049999999949</v>
          </cell>
          <cell r="EJ12">
            <v>-10.228849999999994</v>
          </cell>
          <cell r="EL12">
            <v>-67.155849999999987</v>
          </cell>
          <cell r="EM12">
            <v>-20.534831999999994</v>
          </cell>
          <cell r="EN12">
            <v>-16.735693999999995</v>
          </cell>
          <cell r="EO12">
            <v>-11.631844000000001</v>
          </cell>
          <cell r="EP12">
            <v>-18.253479999999996</v>
          </cell>
          <cell r="ER12">
            <v>-127.72819506270829</v>
          </cell>
          <cell r="ES12">
            <v>-29.369400000000013</v>
          </cell>
          <cell r="ET12">
            <v>-32.053280000000001</v>
          </cell>
          <cell r="EU12">
            <v>-39.954683837506394</v>
          </cell>
          <cell r="EV12">
            <v>-26.350831225201887</v>
          </cell>
          <cell r="EX12">
            <v>21.36</v>
          </cell>
          <cell r="EY12">
            <v>-6.1619999999999999</v>
          </cell>
          <cell r="EZ12">
            <v>1.401</v>
          </cell>
          <cell r="FA12">
            <v>14.715</v>
          </cell>
          <cell r="FB12">
            <v>11.406000000000001</v>
          </cell>
          <cell r="FD12">
            <v>31.705000000000002</v>
          </cell>
          <cell r="FE12">
            <v>11.599</v>
          </cell>
          <cell r="FF12">
            <v>7.4909999999999997</v>
          </cell>
          <cell r="FG12">
            <v>9.5890000000000004</v>
          </cell>
          <cell r="FH12">
            <v>3.0259999999999998</v>
          </cell>
          <cell r="FJ12">
            <v>87.918999999999997</v>
          </cell>
          <cell r="FK12">
            <v>15.249000000000001</v>
          </cell>
          <cell r="FL12">
            <v>17.529</v>
          </cell>
          <cell r="FM12">
            <v>25.808</v>
          </cell>
          <cell r="FN12">
            <v>29.332999999999998</v>
          </cell>
          <cell r="FP12">
            <v>164.35</v>
          </cell>
          <cell r="FQ12">
            <v>40.118000000000002</v>
          </cell>
          <cell r="FR12">
            <v>33.735999999999997</v>
          </cell>
          <cell r="FS12">
            <v>46.771999999999998</v>
          </cell>
          <cell r="FT12">
            <v>43.723999999999997</v>
          </cell>
        </row>
        <row r="13">
          <cell r="A13" t="str">
            <v xml:space="preserve">  (% of sales)</v>
          </cell>
          <cell r="C13">
            <v>0.19400000000000001</v>
          </cell>
          <cell r="D13">
            <v>0.23799999999999999</v>
          </cell>
          <cell r="E13">
            <v>0.22800000000000001</v>
          </cell>
          <cell r="F13">
            <v>0.15894689468946896</v>
          </cell>
          <cell r="G13">
            <v>0.13200078539171411</v>
          </cell>
          <cell r="H13">
            <v>0.13909896355733867</v>
          </cell>
          <cell r="I13">
            <v>0.17081019274746811</v>
          </cell>
          <cell r="J13">
            <v>0.15529760834382306</v>
          </cell>
          <cell r="K13">
            <v>0.20739416900016472</v>
          </cell>
          <cell r="L13">
            <v>0.24481910050766259</v>
          </cell>
          <cell r="M13">
            <v>0.13624009024923914</v>
          </cell>
          <cell r="N13">
            <v>5.1370001733666668E-2</v>
          </cell>
          <cell r="O13">
            <v>3.5569114152544212E-2</v>
          </cell>
          <cell r="P13">
            <v>-0.17917212773234015</v>
          </cell>
          <cell r="Q13">
            <v>-8.4096495246062927E-2</v>
          </cell>
          <cell r="R13">
            <v>-5.2871559382722075E-2</v>
          </cell>
          <cell r="S13">
            <v>0.25814096254866098</v>
          </cell>
          <cell r="T13">
            <v>0.21055169024247383</v>
          </cell>
          <cell r="U13">
            <v>8.3894096676103577E-2</v>
          </cell>
          <cell r="V13">
            <v>0.14502318691424487</v>
          </cell>
          <cell r="W13">
            <v>4.7404423438870982E-2</v>
          </cell>
          <cell r="X13">
            <v>0.12129788074239835</v>
          </cell>
          <cell r="AI13">
            <v>0.12129788074239835</v>
          </cell>
          <cell r="AL13">
            <v>0.17582916855974559</v>
          </cell>
          <cell r="AM13">
            <v>0.14250432205482838</v>
          </cell>
          <cell r="AN13">
            <v>0.10527817403708986</v>
          </cell>
          <cell r="AO13">
            <v>3.7986411365040149E-2</v>
          </cell>
          <cell r="AQ13">
            <v>0.12826377929486918</v>
          </cell>
          <cell r="AR13">
            <v>1.7035797113981097E-2</v>
          </cell>
          <cell r="AS13">
            <v>0.11370178468624065</v>
          </cell>
          <cell r="AT13">
            <v>0.1991330953595104</v>
          </cell>
          <cell r="AU13">
            <v>0.17862444334487879</v>
          </cell>
          <cell r="AW13">
            <v>-4.5716929164170923E-2</v>
          </cell>
          <cell r="AX13">
            <v>-2.3776900598876941E-2</v>
          </cell>
          <cell r="AY13">
            <v>-5.6646682972880384E-2</v>
          </cell>
          <cell r="AZ13">
            <v>-6.9064624933482255E-2</v>
          </cell>
          <cell r="BA13">
            <v>-3.6002926270348609E-2</v>
          </cell>
          <cell r="BL13">
            <v>5.7805789332975636E-2</v>
          </cell>
          <cell r="BM13">
            <v>3.2157793899418169E-3</v>
          </cell>
          <cell r="BN13">
            <v>2.1921857711727635E-2</v>
          </cell>
          <cell r="BO13">
            <v>6.4556495558752217E-2</v>
          </cell>
          <cell r="BP13">
            <v>0.13183012402329808</v>
          </cell>
          <cell r="BR13">
            <v>0.19570916739088484</v>
          </cell>
          <cell r="BS13">
            <v>0.2000023966065046</v>
          </cell>
          <cell r="BT13">
            <v>0.20003359707331761</v>
          </cell>
          <cell r="BU13">
            <v>0.20003359707331761</v>
          </cell>
          <cell r="BV13">
            <v>0.18226703040576331</v>
          </cell>
          <cell r="BX13">
            <v>0.12513483892596824</v>
          </cell>
          <cell r="BY13">
            <v>0.15470638283154101</v>
          </cell>
          <cell r="BZ13">
            <v>0.1347986807074078</v>
          </cell>
          <cell r="CA13">
            <v>0.1139238640058525</v>
          </cell>
          <cell r="CB13">
            <v>9.1943038477214925E-2</v>
          </cell>
          <cell r="CD13">
            <v>2.0829555644708692E-2</v>
          </cell>
          <cell r="CE13">
            <v>5.8402858936394617E-2</v>
          </cell>
          <cell r="CF13">
            <v>3.3388681243133683E-2</v>
          </cell>
          <cell r="CG13">
            <v>7.1619213076528822E-3</v>
          </cell>
          <cell r="CH13">
            <v>-2.1163090625850443E-2</v>
          </cell>
          <cell r="DB13">
            <v>4.7404423438870982E-2</v>
          </cell>
          <cell r="DC13">
            <v>3.4831795177136055E-2</v>
          </cell>
          <cell r="DD13">
            <v>-1.506931886678722E-2</v>
          </cell>
          <cell r="DE13">
            <v>4.9691184727681074E-2</v>
          </cell>
          <cell r="DF13">
            <v>0.10777705631820168</v>
          </cell>
          <cell r="DH13">
            <v>0.14502318691424487</v>
          </cell>
          <cell r="DI13">
            <v>0.15869036304492778</v>
          </cell>
          <cell r="DJ13">
            <v>0.15727613333333312</v>
          </cell>
          <cell r="DK13">
            <v>0.13427152161889369</v>
          </cell>
          <cell r="DL13">
            <v>0.10942895088907699</v>
          </cell>
          <cell r="DN13">
            <v>8.3894096676103577E-2</v>
          </cell>
          <cell r="DO13">
            <v>0.12880386847195363</v>
          </cell>
          <cell r="DP13">
            <v>9.5188940092165886E-2</v>
          </cell>
          <cell r="DQ13">
            <v>6.9511169513797572E-2</v>
          </cell>
          <cell r="DR13">
            <v>3.5595968448729143E-2</v>
          </cell>
          <cell r="DT13">
            <v>0.21055169024247383</v>
          </cell>
          <cell r="DU13">
            <v>2.6455577290703199E-2</v>
          </cell>
          <cell r="DV13">
            <v>0.17372282234582856</v>
          </cell>
          <cell r="DW13">
            <v>0.26356746693100352</v>
          </cell>
          <cell r="DX13">
            <v>0.33942989151035985</v>
          </cell>
          <cell r="DZ13">
            <v>0.25814096254866098</v>
          </cell>
          <cell r="EA13">
            <v>0.32135942124161776</v>
          </cell>
          <cell r="EB13">
            <v>0.30214332272747357</v>
          </cell>
          <cell r="EC13">
            <v>0.23927820056462493</v>
          </cell>
          <cell r="ED13">
            <v>0.13030422821685667</v>
          </cell>
          <cell r="EF13">
            <v>-5.2871559382722075E-2</v>
          </cell>
          <cell r="EG13">
            <v>3.1571632433443929E-2</v>
          </cell>
          <cell r="EH13">
            <v>-2.9018134876197452E-2</v>
          </cell>
          <cell r="EI13">
            <v>-0.18170718390804569</v>
          </cell>
          <cell r="EJ13">
            <v>-5.4096856423600063E-2</v>
          </cell>
          <cell r="EL13">
            <v>-8.4096495246062927E-2</v>
          </cell>
          <cell r="EM13">
            <v>-0.10859728506787329</v>
          </cell>
          <cell r="EN13">
            <v>-8.2251082251082241E-2</v>
          </cell>
          <cell r="EO13">
            <v>-5.9322033898305086E-2</v>
          </cell>
          <cell r="EP13">
            <v>-8.6956521739130418E-2</v>
          </cell>
          <cell r="ER13">
            <v>-0.17917212773234015</v>
          </cell>
          <cell r="ES13">
            <v>-0.15000000000000008</v>
          </cell>
          <cell r="ET13">
            <v>-0.1818181818181818</v>
          </cell>
          <cell r="EU13">
            <v>-0.24105171800862374</v>
          </cell>
          <cell r="EV13">
            <v>-0.15054238381516405</v>
          </cell>
          <cell r="EX13">
            <v>3.5569114152544212E-2</v>
          </cell>
          <cell r="EY13">
            <v>-4.0539473684210528E-2</v>
          </cell>
          <cell r="EZ13">
            <v>9.7858430074179627E-3</v>
          </cell>
          <cell r="FA13">
            <v>9.5443489541105875E-2</v>
          </cell>
          <cell r="FB13">
            <v>7.5446487630638978E-2</v>
          </cell>
          <cell r="FD13">
            <v>5.1370001733666668E-2</v>
          </cell>
          <cell r="FE13">
            <v>6.9549210308561288E-2</v>
          </cell>
          <cell r="FF13">
            <v>4.8345563321651915E-2</v>
          </cell>
          <cell r="FG13">
            <v>6.3812654723560569E-2</v>
          </cell>
          <cell r="FH13">
            <v>2.0840220385674933E-2</v>
          </cell>
          <cell r="FJ13">
            <v>0.13624009024923914</v>
          </cell>
          <cell r="FK13">
            <v>9.2426584234930442E-2</v>
          </cell>
          <cell r="FL13">
            <v>0.11094935787481565</v>
          </cell>
          <cell r="FM13">
            <v>0.16015886806503662</v>
          </cell>
          <cell r="FN13">
            <v>0.18195747109324598</v>
          </cell>
          <cell r="FP13">
            <v>0.24481910050766259</v>
          </cell>
          <cell r="FQ13">
            <v>0.22768315730330704</v>
          </cell>
          <cell r="FR13">
            <v>0.21171937267404278</v>
          </cell>
          <cell r="FS13">
            <v>0.27163490855871814</v>
          </cell>
          <cell r="FT13">
            <v>0.26729265623758258</v>
          </cell>
        </row>
        <row r="14">
          <cell r="A14" t="str">
            <v xml:space="preserve">  % Change </v>
          </cell>
          <cell r="D14">
            <v>0.44725189210035143</v>
          </cell>
          <cell r="E14">
            <v>4.7669804048459774E-2</v>
          </cell>
          <cell r="F14">
            <v>-0.33162103567513879</v>
          </cell>
          <cell r="G14">
            <v>-0.23859788209977928</v>
          </cell>
          <cell r="H14">
            <v>0.23771345272803024</v>
          </cell>
          <cell r="I14">
            <v>0.25671501880806158</v>
          </cell>
          <cell r="J14">
            <v>-0.17413216027541345</v>
          </cell>
          <cell r="K14">
            <v>0.45793818969210642</v>
          </cell>
          <cell r="L14">
            <v>0.30530780166628269</v>
          </cell>
          <cell r="M14">
            <v>-0.46505019774870704</v>
          </cell>
          <cell r="N14">
            <v>-0.63938397843469552</v>
          </cell>
          <cell r="O14">
            <v>-0.32628922882826061</v>
          </cell>
          <cell r="P14">
            <v>-6.979784413048141</v>
          </cell>
          <cell r="Q14">
            <v>-0.47422845858716045</v>
          </cell>
          <cell r="R14">
            <v>-0.39401638129813032</v>
          </cell>
          <cell r="S14">
            <v>-7.6269827584088645</v>
          </cell>
          <cell r="T14">
            <v>-0.16686869913927482</v>
          </cell>
          <cell r="U14">
            <v>-0.64390230851863084</v>
          </cell>
          <cell r="V14">
            <v>1.4199659721059166</v>
          </cell>
          <cell r="W14">
            <v>-0.6514324257784736</v>
          </cell>
          <cell r="X14">
            <v>1.7307749296192032</v>
          </cell>
          <cell r="AI14">
            <v>1.7307749296192032</v>
          </cell>
          <cell r="AL14">
            <v>5.6153846153846159</v>
          </cell>
          <cell r="AM14">
            <v>-12.540000000000001</v>
          </cell>
          <cell r="AN14">
            <v>1.0847457627118646</v>
          </cell>
          <cell r="AO14">
            <v>-0.71455093989324669</v>
          </cell>
          <cell r="AQ14">
            <v>6.56538252848613E-2</v>
          </cell>
          <cell r="AR14">
            <v>-0.91472868217054271</v>
          </cell>
          <cell r="AS14">
            <v>-0.31542461005199307</v>
          </cell>
          <cell r="AT14">
            <v>1.116531165311653</v>
          </cell>
          <cell r="AU14">
            <v>4.8699186991869921</v>
          </cell>
          <cell r="AW14">
            <v>-1.3023290320773939</v>
          </cell>
          <cell r="AX14">
            <v>-2.2716823106060557</v>
          </cell>
          <cell r="AY14">
            <v>-1.4511714696202547</v>
          </cell>
          <cell r="AZ14">
            <v>-1.2791802605633813</v>
          </cell>
          <cell r="BA14">
            <v>-1.1573278012465382</v>
          </cell>
          <cell r="BL14">
            <v>-0.75221245278178106</v>
          </cell>
          <cell r="BM14">
            <v>-0.98739330732547792</v>
          </cell>
          <cell r="BN14">
            <v>-0.91230592093840923</v>
          </cell>
          <cell r="BO14">
            <v>-0.72877304856925218</v>
          </cell>
          <cell r="BP14">
            <v>-0.32332892561745374</v>
          </cell>
          <cell r="BR14">
            <v>0.72068468619605053</v>
          </cell>
          <cell r="BS14">
            <v>0.36775079911654496</v>
          </cell>
          <cell r="BT14">
            <v>0.58996883797110566</v>
          </cell>
          <cell r="BU14">
            <v>0.98486663448071909</v>
          </cell>
          <cell r="BV14">
            <v>1.2780961372577124</v>
          </cell>
          <cell r="BX14">
            <v>5.7238020208506786</v>
          </cell>
          <cell r="BY14">
            <v>1.9895038794264779</v>
          </cell>
          <cell r="BZ14">
            <v>3.5102939412014864</v>
          </cell>
          <cell r="CA14">
            <v>17.071328352350903</v>
          </cell>
          <cell r="CB14">
            <v>-5.7530929331632326</v>
          </cell>
          <cell r="CD14">
            <v>-1.5091486423142855</v>
          </cell>
          <cell r="CE14">
            <v>-3.6981607981556577</v>
          </cell>
          <cell r="CF14">
            <v>-1.6965295658541488</v>
          </cell>
          <cell r="CG14">
            <v>-1.11381895359477</v>
          </cell>
          <cell r="CH14">
            <v>-0.35657058461381042</v>
          </cell>
          <cell r="DB14">
            <v>-0.6514324257784736</v>
          </cell>
          <cell r="DC14">
            <v>-0.83728121249929555</v>
          </cell>
          <cell r="DD14">
            <v>-1.0798573700351155</v>
          </cell>
          <cell r="DE14">
            <v>-0.46781411803877793</v>
          </cell>
          <cell r="DF14">
            <v>0.66711041697484208</v>
          </cell>
          <cell r="DH14">
            <v>1.4199659721059166</v>
          </cell>
          <cell r="DI14">
            <v>1.1595273472930527</v>
          </cell>
          <cell r="DJ14">
            <v>1.755599459545099</v>
          </cell>
          <cell r="DK14">
            <v>1.0957979447868227</v>
          </cell>
          <cell r="DL14">
            <v>2.1819670318847733</v>
          </cell>
          <cell r="DN14">
            <v>-0.64390230851863084</v>
          </cell>
          <cell r="DO14">
            <v>4.334646067475374</v>
          </cell>
          <cell r="DP14">
            <v>-0.49018605863028364</v>
          </cell>
          <cell r="DQ14">
            <v>-0.78433960261868796</v>
          </cell>
          <cell r="DR14">
            <v>-0.91900487963268984</v>
          </cell>
          <cell r="DT14">
            <v>-0.16686869913927482</v>
          </cell>
          <cell r="DU14">
            <v>-0.9384202385090018</v>
          </cell>
          <cell r="DV14">
            <v>-0.4567902040570575</v>
          </cell>
          <cell r="DW14">
            <v>0.25825307613960025</v>
          </cell>
          <cell r="DX14">
            <v>2.6070612779658302</v>
          </cell>
          <cell r="DZ14">
            <v>-7.6269827584088645</v>
          </cell>
          <cell r="EA14">
            <v>14.020462900528464</v>
          </cell>
          <cell r="EB14">
            <v>-15.658343829559225</v>
          </cell>
          <cell r="EC14">
            <v>-2.8496977105707231</v>
          </cell>
          <cell r="ED14">
            <v>-3.7181740860409551</v>
          </cell>
          <cell r="EF14">
            <v>-0.39401638129813032</v>
          </cell>
          <cell r="EG14">
            <v>-1.3286028831402161</v>
          </cell>
          <cell r="EH14">
            <v>-0.66555017079064815</v>
          </cell>
          <cell r="EI14">
            <v>1.7181459792617528</v>
          </cell>
          <cell r="EJ14">
            <v>-0.43962192414816259</v>
          </cell>
          <cell r="EL14">
            <v>-0.47422845858716045</v>
          </cell>
          <cell r="EM14">
            <v>-0.30080859670269111</v>
          </cell>
          <cell r="EN14">
            <v>-0.47787889414125495</v>
          </cell>
          <cell r="EO14">
            <v>-0.70887408226514559</v>
          </cell>
          <cell r="EP14">
            <v>-0.30729016310717361</v>
          </cell>
          <cell r="ER14">
            <v>-6.979784413048141</v>
          </cell>
          <cell r="ES14">
            <v>3.7662122687439163</v>
          </cell>
          <cell r="ET14">
            <v>-23.878857958600999</v>
          </cell>
          <cell r="EU14">
            <v>-3.7152350552162008</v>
          </cell>
          <cell r="EV14">
            <v>-3.3102604966861202</v>
          </cell>
          <cell r="EX14">
            <v>-0.32628922882826061</v>
          </cell>
          <cell r="EY14">
            <v>-1.5312526941977755</v>
          </cell>
          <cell r="EZ14">
            <v>-0.81297557068482174</v>
          </cell>
          <cell r="FA14">
            <v>0.53457086244655327</v>
          </cell>
          <cell r="FB14">
            <v>2.7693324520819567</v>
          </cell>
          <cell r="FD14">
            <v>-0.63938397843469552</v>
          </cell>
          <cell r="FE14">
            <v>-0.23935995803003474</v>
          </cell>
          <cell r="FF14">
            <v>-0.57265103542700668</v>
          </cell>
          <cell r="FG14">
            <v>-0.62844854308741471</v>
          </cell>
          <cell r="FH14">
            <v>-0.89683973681519102</v>
          </cell>
          <cell r="FJ14">
            <v>-0.46505019774870704</v>
          </cell>
          <cell r="FK14">
            <v>-0.61989630589760214</v>
          </cell>
          <cell r="FL14">
            <v>-0.48040668721840163</v>
          </cell>
          <cell r="FM14">
            <v>-0.44821688189515096</v>
          </cell>
          <cell r="FN14">
            <v>-0.3291327417436648</v>
          </cell>
          <cell r="FP14">
            <v>0.30530780166628269</v>
          </cell>
        </row>
        <row r="15">
          <cell r="A15" t="str">
            <v>Production</v>
          </cell>
        </row>
        <row r="16">
          <cell r="A16" t="str">
            <v xml:space="preserve">  (000 short tons)</v>
          </cell>
          <cell r="C16">
            <v>906</v>
          </cell>
          <cell r="D16">
            <v>1063</v>
          </cell>
          <cell r="E16">
            <v>1110</v>
          </cell>
          <cell r="F16">
            <v>1058</v>
          </cell>
          <cell r="G16">
            <v>1078</v>
          </cell>
          <cell r="H16">
            <v>1130</v>
          </cell>
          <cell r="I16">
            <v>1173</v>
          </cell>
          <cell r="J16">
            <v>1225</v>
          </cell>
          <cell r="K16">
            <v>1247</v>
          </cell>
          <cell r="L16">
            <v>1240.8829999999998</v>
          </cell>
          <cell r="M16">
            <v>1271.357</v>
          </cell>
          <cell r="N16">
            <v>1263.8800000000001</v>
          </cell>
          <cell r="O16">
            <v>1286.5140000000001</v>
          </cell>
          <cell r="P16">
            <v>1799.3990000000001</v>
          </cell>
          <cell r="Q16">
            <v>1770.79</v>
          </cell>
          <cell r="R16">
            <v>1806.4860000000001</v>
          </cell>
          <cell r="S16">
            <v>1764.546</v>
          </cell>
          <cell r="T16">
            <v>1767.546</v>
          </cell>
          <cell r="U16">
            <v>1761.5</v>
          </cell>
          <cell r="V16">
            <v>1787.9225000000001</v>
          </cell>
          <cell r="W16">
            <v>1814.7413374999999</v>
          </cell>
          <cell r="X16">
            <v>1911.85</v>
          </cell>
          <cell r="AI16">
            <v>2216.4499999999998</v>
          </cell>
          <cell r="AL16">
            <v>554.11249999999995</v>
          </cell>
          <cell r="AM16">
            <v>554.11249999999995</v>
          </cell>
          <cell r="AN16">
            <v>554.11249999999995</v>
          </cell>
          <cell r="AO16">
            <v>554.11249999999995</v>
          </cell>
          <cell r="AQ16">
            <v>2216.4499999999998</v>
          </cell>
          <cell r="AR16">
            <v>554.11249999999995</v>
          </cell>
          <cell r="AS16">
            <v>554.11249999999995</v>
          </cell>
          <cell r="AT16">
            <v>554.11249999999995</v>
          </cell>
          <cell r="AU16">
            <v>554.11249999999995</v>
          </cell>
          <cell r="AW16">
            <v>2216.4499999999998</v>
          </cell>
          <cell r="AX16">
            <v>554.11249999999995</v>
          </cell>
          <cell r="AY16">
            <v>554.11249999999995</v>
          </cell>
          <cell r="AZ16">
            <v>554.11249999999995</v>
          </cell>
          <cell r="BA16">
            <v>554.11249999999995</v>
          </cell>
          <cell r="BL16">
            <v>2216.4499999999998</v>
          </cell>
          <cell r="BM16">
            <v>554.11249999999995</v>
          </cell>
          <cell r="BN16">
            <v>554.11249999999995</v>
          </cell>
          <cell r="BO16">
            <v>554.11249999999995</v>
          </cell>
          <cell r="BP16">
            <v>554.11249999999995</v>
          </cell>
          <cell r="BR16">
            <v>2216.4499999999998</v>
          </cell>
          <cell r="BS16">
            <v>554.11249999999995</v>
          </cell>
          <cell r="BT16">
            <v>554.11249999999995</v>
          </cell>
          <cell r="BU16">
            <v>554.11249999999995</v>
          </cell>
          <cell r="BV16">
            <v>554.11249999999995</v>
          </cell>
          <cell r="BX16">
            <v>2216.4499999999998</v>
          </cell>
          <cell r="BY16">
            <v>554.11249999999995</v>
          </cell>
          <cell r="BZ16">
            <v>554.11249999999995</v>
          </cell>
          <cell r="CA16">
            <v>554.11249999999995</v>
          </cell>
          <cell r="CB16">
            <v>554.11249999999995</v>
          </cell>
          <cell r="CD16">
            <v>2216.4499999999998</v>
          </cell>
          <cell r="CE16">
            <v>554.11249999999995</v>
          </cell>
          <cell r="CF16">
            <v>554.11249999999995</v>
          </cell>
          <cell r="CG16">
            <v>554.11249999999995</v>
          </cell>
          <cell r="CH16">
            <v>554.11249999999995</v>
          </cell>
          <cell r="DB16">
            <v>2216.4499999999998</v>
          </cell>
          <cell r="DC16">
            <v>554.11249999999995</v>
          </cell>
          <cell r="DD16">
            <v>554.11249999999995</v>
          </cell>
          <cell r="DE16">
            <v>554.11249999999995</v>
          </cell>
          <cell r="DF16">
            <v>554.11249999999995</v>
          </cell>
          <cell r="DH16">
            <v>2216.4499999999998</v>
          </cell>
          <cell r="DI16">
            <v>667.85</v>
          </cell>
          <cell r="DJ16">
            <v>667.85</v>
          </cell>
          <cell r="DK16">
            <v>440.375</v>
          </cell>
          <cell r="DL16">
            <v>440.375</v>
          </cell>
          <cell r="DN16">
            <v>1761.5</v>
          </cell>
          <cell r="DO16">
            <v>440.40000000000003</v>
          </cell>
          <cell r="DP16">
            <v>440.40000000000003</v>
          </cell>
          <cell r="DQ16">
            <v>447.9</v>
          </cell>
          <cell r="DR16">
            <v>432.8</v>
          </cell>
          <cell r="DT16">
            <v>1767.546</v>
          </cell>
          <cell r="DU16">
            <v>445</v>
          </cell>
          <cell r="DV16">
            <v>445</v>
          </cell>
          <cell r="DW16">
            <v>445</v>
          </cell>
          <cell r="DX16">
            <v>432.54599999999999</v>
          </cell>
          <cell r="DZ16">
            <v>1764.546</v>
          </cell>
          <cell r="EA16">
            <v>442</v>
          </cell>
          <cell r="EB16">
            <v>445</v>
          </cell>
          <cell r="EC16">
            <v>445</v>
          </cell>
          <cell r="ED16">
            <v>432.54599999999999</v>
          </cell>
          <cell r="EF16">
            <v>1806.4860000000001</v>
          </cell>
          <cell r="EG16">
            <v>448</v>
          </cell>
          <cell r="EH16">
            <v>445</v>
          </cell>
          <cell r="EI16">
            <v>454.18600000000004</v>
          </cell>
          <cell r="EJ16">
            <v>459.3</v>
          </cell>
          <cell r="EL16">
            <v>1770.79</v>
          </cell>
          <cell r="EM16">
            <v>431.44</v>
          </cell>
          <cell r="EN16">
            <v>440.43900000000002</v>
          </cell>
          <cell r="EO16">
            <v>444.73699999999997</v>
          </cell>
          <cell r="EP16">
            <v>454.17400000000004</v>
          </cell>
          <cell r="ER16">
            <v>1799.3990000000001</v>
          </cell>
          <cell r="ES16">
            <v>473.5</v>
          </cell>
          <cell r="ET16">
            <v>451.2</v>
          </cell>
          <cell r="EU16">
            <v>452.97800000000001</v>
          </cell>
          <cell r="EV16">
            <v>421.721</v>
          </cell>
          <cell r="EX16">
            <v>1286.5140000000001</v>
          </cell>
          <cell r="EY16">
            <v>319.07600000000002</v>
          </cell>
          <cell r="EZ16">
            <v>321.279</v>
          </cell>
          <cell r="FA16">
            <v>332.56299999999999</v>
          </cell>
          <cell r="FB16">
            <v>313.596</v>
          </cell>
          <cell r="FD16">
            <v>1263.8800000000001</v>
          </cell>
          <cell r="FE16">
            <v>324.83999999999997</v>
          </cell>
          <cell r="FF16">
            <v>311.29300000000001</v>
          </cell>
          <cell r="FG16">
            <v>317.74700000000001</v>
          </cell>
          <cell r="FH16">
            <v>310</v>
          </cell>
          <cell r="FJ16">
            <v>1271.357</v>
          </cell>
          <cell r="FK16">
            <v>308.79500000000002</v>
          </cell>
          <cell r="FL16">
            <v>322.197</v>
          </cell>
          <cell r="FM16">
            <v>318.923</v>
          </cell>
          <cell r="FN16">
            <v>321.44200000000001</v>
          </cell>
          <cell r="FP16">
            <v>1240.8829999999998</v>
          </cell>
          <cell r="FQ16">
            <v>303.32</v>
          </cell>
          <cell r="FR16">
            <v>294.28899999999999</v>
          </cell>
          <cell r="FS16">
            <v>318.67599999999999</v>
          </cell>
          <cell r="FT16">
            <v>324.59800000000001</v>
          </cell>
        </row>
        <row r="17">
          <cell r="A17" t="str">
            <v>Shipments</v>
          </cell>
        </row>
        <row r="18">
          <cell r="A18" t="str">
            <v xml:space="preserve">  (000 short tons)</v>
          </cell>
          <cell r="C18">
            <v>1080</v>
          </cell>
          <cell r="D18">
            <v>1161</v>
          </cell>
          <cell r="E18">
            <v>1081</v>
          </cell>
          <cell r="F18">
            <v>1006</v>
          </cell>
          <cell r="G18">
            <v>1007</v>
          </cell>
          <cell r="H18">
            <v>1106</v>
          </cell>
          <cell r="I18">
            <v>1289.1510000000001</v>
          </cell>
          <cell r="J18">
            <v>1237.1389999999999</v>
          </cell>
          <cell r="K18">
            <v>1246.25</v>
          </cell>
          <cell r="L18">
            <v>1232.8879999999999</v>
          </cell>
          <cell r="M18">
            <v>1278.375</v>
          </cell>
          <cell r="N18">
            <v>1265.45</v>
          </cell>
          <cell r="O18">
            <v>1244.3789999999999</v>
          </cell>
          <cell r="P18">
            <v>1822.1280000000002</v>
          </cell>
          <cell r="Q18">
            <v>1739.982</v>
          </cell>
          <cell r="R18">
            <v>1724.4569999999999</v>
          </cell>
          <cell r="S18">
            <v>1690.7980000000002</v>
          </cell>
          <cell r="T18">
            <v>1720.444</v>
          </cell>
          <cell r="U18">
            <v>1794.2999999999997</v>
          </cell>
          <cell r="V18">
            <v>2475.8773100000003</v>
          </cell>
          <cell r="W18">
            <v>3073.2999800000002</v>
          </cell>
          <cell r="X18">
            <v>3038.0731000000005</v>
          </cell>
          <cell r="AI18">
            <v>3038.0731000000005</v>
          </cell>
          <cell r="AL18">
            <v>826.12483000000009</v>
          </cell>
          <cell r="AM18">
            <v>793.85480000000007</v>
          </cell>
          <cell r="AN18">
            <v>714.37231000000008</v>
          </cell>
          <cell r="AO18">
            <v>703.72116000000017</v>
          </cell>
          <cell r="AQ18">
            <v>2978.2944200000002</v>
          </cell>
          <cell r="AR18">
            <v>842.99819000000002</v>
          </cell>
          <cell r="AS18">
            <v>687.90458000000001</v>
          </cell>
          <cell r="AT18">
            <v>712.92678999999998</v>
          </cell>
          <cell r="AU18">
            <v>734.46486000000004</v>
          </cell>
          <cell r="AW18">
            <v>3122.2607400000002</v>
          </cell>
          <cell r="AX18">
            <v>830.77494999999999</v>
          </cell>
          <cell r="AY18">
            <v>764.19603000000006</v>
          </cell>
          <cell r="AZ18">
            <v>775.8804100000001</v>
          </cell>
          <cell r="BA18">
            <v>751.40935000000002</v>
          </cell>
          <cell r="BL18">
            <v>3283.4169999999999</v>
          </cell>
          <cell r="BM18">
            <v>845.65600000000006</v>
          </cell>
          <cell r="BN18">
            <v>812.58699999999999</v>
          </cell>
          <cell r="BO18">
            <v>812.58699999999999</v>
          </cell>
          <cell r="BP18">
            <v>812.58699999999999</v>
          </cell>
          <cell r="BR18">
            <v>3305.4630000000002</v>
          </cell>
          <cell r="BS18">
            <v>851.16750000000002</v>
          </cell>
          <cell r="BT18">
            <v>818.09850000000006</v>
          </cell>
          <cell r="BU18">
            <v>818.09850000000006</v>
          </cell>
          <cell r="BV18">
            <v>818.09850000000006</v>
          </cell>
          <cell r="BX18">
            <v>3261.3710000000001</v>
          </cell>
          <cell r="BY18">
            <v>845.65600000000006</v>
          </cell>
          <cell r="BZ18">
            <v>823.61</v>
          </cell>
          <cell r="CA18">
            <v>801.56400000000008</v>
          </cell>
          <cell r="CB18">
            <v>790.54100000000005</v>
          </cell>
          <cell r="CD18">
            <v>3261.3710000000001</v>
          </cell>
          <cell r="CE18">
            <v>834.63300000000004</v>
          </cell>
          <cell r="CF18">
            <v>823.61</v>
          </cell>
          <cell r="CG18">
            <v>790.54100000000005</v>
          </cell>
          <cell r="CH18">
            <v>812.58699999999999</v>
          </cell>
          <cell r="DB18">
            <v>3073.2999800000002</v>
          </cell>
          <cell r="DC18">
            <v>744.25432000000001</v>
          </cell>
          <cell r="DD18">
            <v>755.70934999999997</v>
          </cell>
          <cell r="DE18">
            <v>776.02085000000011</v>
          </cell>
          <cell r="DF18">
            <v>797.31546000000014</v>
          </cell>
          <cell r="DH18">
            <v>2475.8773100000003</v>
          </cell>
          <cell r="DI18">
            <v>876.32301000000007</v>
          </cell>
          <cell r="DJ18">
            <v>742.23091000000011</v>
          </cell>
          <cell r="DK18">
            <v>440.78303000000005</v>
          </cell>
          <cell r="DL18">
            <v>416.54036000000002</v>
          </cell>
          <cell r="DN18">
            <v>1794.2999999999997</v>
          </cell>
          <cell r="DO18">
            <v>468.2</v>
          </cell>
          <cell r="DP18">
            <v>444.4</v>
          </cell>
          <cell r="DQ18">
            <v>437.1</v>
          </cell>
          <cell r="DR18">
            <v>444.6</v>
          </cell>
          <cell r="DT18">
            <v>1720.444</v>
          </cell>
          <cell r="DU18">
            <v>449.9</v>
          </cell>
          <cell r="DV18">
            <v>436.61200000000002</v>
          </cell>
          <cell r="DW18">
            <v>423.47800000000001</v>
          </cell>
          <cell r="DX18">
            <v>410.45400000000001</v>
          </cell>
          <cell r="DZ18">
            <v>1690.7980000000002</v>
          </cell>
          <cell r="EA18">
            <v>457.827</v>
          </cell>
          <cell r="EB18">
            <v>416.48699999999997</v>
          </cell>
          <cell r="EC18">
            <v>408.63300000000004</v>
          </cell>
          <cell r="ED18">
            <v>407.851</v>
          </cell>
          <cell r="EF18">
            <v>1724.4569999999999</v>
          </cell>
          <cell r="EG18">
            <v>445.12300000000005</v>
          </cell>
          <cell r="EH18">
            <v>426.84999999999997</v>
          </cell>
          <cell r="EI18">
            <v>432.87799999999993</v>
          </cell>
          <cell r="EJ18">
            <v>419.60599999999999</v>
          </cell>
          <cell r="EL18">
            <v>1739.982</v>
          </cell>
          <cell r="EM18">
            <v>427.80899999999997</v>
          </cell>
          <cell r="EN18">
            <v>440.41299999999995</v>
          </cell>
          <cell r="EO18">
            <v>415.423</v>
          </cell>
          <cell r="EP18">
            <v>456.33699999999999</v>
          </cell>
          <cell r="ER18">
            <v>1822.1280000000002</v>
          </cell>
          <cell r="ES18">
            <v>489.49</v>
          </cell>
          <cell r="ET18">
            <v>457.904</v>
          </cell>
          <cell r="EU18">
            <v>442.00400000000002</v>
          </cell>
          <cell r="EV18">
            <v>432.73</v>
          </cell>
          <cell r="EX18">
            <v>1244.3789999999999</v>
          </cell>
          <cell r="EY18">
            <v>337.46800000000002</v>
          </cell>
          <cell r="EZ18">
            <v>298.44799999999998</v>
          </cell>
          <cell r="FA18">
            <v>306.60000000000002</v>
          </cell>
          <cell r="FB18">
            <v>301.863</v>
          </cell>
          <cell r="FD18">
            <v>1265.45</v>
          </cell>
          <cell r="FE18">
            <v>332.69799999999998</v>
          </cell>
          <cell r="FF18">
            <v>313.56900000000002</v>
          </cell>
          <cell r="FG18">
            <v>314.18299999999999</v>
          </cell>
          <cell r="FH18">
            <v>305</v>
          </cell>
          <cell r="FJ18">
            <v>1278.375</v>
          </cell>
          <cell r="FK18">
            <v>340.4</v>
          </cell>
          <cell r="FL18">
            <v>318.45699999999999</v>
          </cell>
          <cell r="FM18">
            <v>310.87700000000001</v>
          </cell>
          <cell r="FN18">
            <v>308.64100000000002</v>
          </cell>
          <cell r="FP18">
            <v>1232.8879999999999</v>
          </cell>
          <cell r="FQ18">
            <v>324.31099999999998</v>
          </cell>
          <cell r="FR18">
            <v>290.488</v>
          </cell>
          <cell r="FS18">
            <v>313.64299999999997</v>
          </cell>
          <cell r="FT18">
            <v>304.44600000000003</v>
          </cell>
        </row>
        <row r="19">
          <cell r="A19" t="str">
            <v>Price per ton (prod.)</v>
          </cell>
          <cell r="C19">
            <v>495.6953642384106</v>
          </cell>
          <cell r="D19">
            <v>498.40075258701779</v>
          </cell>
          <cell r="E19">
            <v>521.98198198198202</v>
          </cell>
          <cell r="F19">
            <v>525.04725897920605</v>
          </cell>
          <cell r="G19">
            <v>472.44897959183675</v>
          </cell>
          <cell r="H19">
            <v>529.3805309734513</v>
          </cell>
          <cell r="I19">
            <v>521.9096334185848</v>
          </cell>
          <cell r="J19">
            <v>453.9591836734694</v>
          </cell>
          <cell r="K19">
            <v>486.84843624699278</v>
          </cell>
          <cell r="L19">
            <v>541.65703804791372</v>
          </cell>
          <cell r="M19">
            <v>507.85496349352627</v>
          </cell>
          <cell r="N19">
            <v>488.11516789334121</v>
          </cell>
          <cell r="O19">
            <v>466.91745700521523</v>
          </cell>
          <cell r="P19">
            <v>397.375</v>
          </cell>
          <cell r="Q19">
            <v>450.83315282845041</v>
          </cell>
          <cell r="R19">
            <v>426.32841796557744</v>
          </cell>
          <cell r="S19">
            <v>591.58049365914326</v>
          </cell>
          <cell r="T19">
            <v>604.2877245373968</v>
          </cell>
          <cell r="U19">
            <v>541.48749372890177</v>
          </cell>
          <cell r="V19">
            <v>593.34486372198853</v>
          </cell>
          <cell r="W19">
            <v>642.33652913442677</v>
          </cell>
          <cell r="X19">
            <v>685.51061381939576</v>
          </cell>
          <cell r="AI19">
            <v>685.51061381939576</v>
          </cell>
          <cell r="AL19">
            <v>794.42351508042134</v>
          </cell>
          <cell r="AM19">
            <v>730.71804010918356</v>
          </cell>
          <cell r="AN19">
            <v>632.54303052178034</v>
          </cell>
          <cell r="AO19">
            <v>584.35786956619825</v>
          </cell>
          <cell r="AQ19">
            <v>690.84324031672281</v>
          </cell>
          <cell r="AR19">
            <v>699.17119718468723</v>
          </cell>
          <cell r="AS19">
            <v>626.94849872543932</v>
          </cell>
          <cell r="AT19">
            <v>707.79850662094805</v>
          </cell>
          <cell r="AU19">
            <v>729.45475873581631</v>
          </cell>
          <cell r="AW19">
            <v>585.9847955063276</v>
          </cell>
          <cell r="AX19">
            <v>637.04392158632049</v>
          </cell>
          <cell r="AY19">
            <v>567.76196169550406</v>
          </cell>
          <cell r="AZ19">
            <v>569.74711813936688</v>
          </cell>
          <cell r="BA19">
            <v>569.38618060411909</v>
          </cell>
          <cell r="BL19">
            <v>676.44476527780921</v>
          </cell>
          <cell r="BM19">
            <v>655.10884522547315</v>
          </cell>
          <cell r="BN19">
            <v>642.63845338266151</v>
          </cell>
          <cell r="BO19">
            <v>674.94236278734013</v>
          </cell>
          <cell r="BP19">
            <v>733.08939971576172</v>
          </cell>
          <cell r="BR19">
            <v>806.33039319632746</v>
          </cell>
          <cell r="BS19">
            <v>835.53249565747024</v>
          </cell>
          <cell r="BT19">
            <v>803.1022581154549</v>
          </cell>
          <cell r="BU19">
            <v>803.1022581154549</v>
          </cell>
          <cell r="BV19">
            <v>783.58456089692982</v>
          </cell>
          <cell r="BX19">
            <v>732.89990750975653</v>
          </cell>
          <cell r="BY19">
            <v>789.73854587290487</v>
          </cell>
          <cell r="BZ19">
            <v>749.54815132306169</v>
          </cell>
          <cell r="CA19">
            <v>710.44056937896187</v>
          </cell>
          <cell r="CB19">
            <v>681.87236346409804</v>
          </cell>
          <cell r="CD19">
            <v>654.82911863565607</v>
          </cell>
          <cell r="CE19">
            <v>699.77486521238905</v>
          </cell>
          <cell r="CF19">
            <v>670.93595614608944</v>
          </cell>
          <cell r="CG19">
            <v>625.34954544429149</v>
          </cell>
          <cell r="CH19">
            <v>623.25610773985443</v>
          </cell>
          <cell r="DB19">
            <v>642.33652913442677</v>
          </cell>
          <cell r="DC19">
            <v>606.19459044869052</v>
          </cell>
          <cell r="DD19">
            <v>598.79537097611046</v>
          </cell>
          <cell r="DE19">
            <v>642.82975027634279</v>
          </cell>
          <cell r="DF19">
            <v>721.52640483656307</v>
          </cell>
          <cell r="DH19">
            <v>593.34486372198853</v>
          </cell>
          <cell r="DI19">
            <v>678.45129894437378</v>
          </cell>
          <cell r="DJ19">
            <v>596.09193681215834</v>
          </cell>
          <cell r="DK19">
            <v>562.47516321317062</v>
          </cell>
          <cell r="DL19">
            <v>536.36105591825151</v>
          </cell>
          <cell r="DN19">
            <v>541.48749372890177</v>
          </cell>
          <cell r="DO19">
            <v>586.96639418710254</v>
          </cell>
          <cell r="DP19">
            <v>542.00726612170752</v>
          </cell>
          <cell r="DQ19">
            <v>509.71198928332211</v>
          </cell>
          <cell r="DR19">
            <v>527.26432532347508</v>
          </cell>
          <cell r="DT19">
            <v>604.2877245373968</v>
          </cell>
          <cell r="DU19">
            <v>530.1595505617978</v>
          </cell>
          <cell r="DV19">
            <v>576.51460674157306</v>
          </cell>
          <cell r="DW19">
            <v>627.39101123595492</v>
          </cell>
          <cell r="DX19">
            <v>683.08572961026107</v>
          </cell>
          <cell r="DZ19">
            <v>591.58049365914326</v>
          </cell>
          <cell r="EA19">
            <v>713.56334841628973</v>
          </cell>
          <cell r="EB19">
            <v>610.22022471910111</v>
          </cell>
          <cell r="EC19">
            <v>549.23595505617982</v>
          </cell>
          <cell r="ED19">
            <v>493.30244644500237</v>
          </cell>
          <cell r="EF19">
            <v>426.32841796557744</v>
          </cell>
          <cell r="EG19">
            <v>477.07589285714295</v>
          </cell>
          <cell r="EH19">
            <v>433.45617977528087</v>
          </cell>
          <cell r="EI19">
            <v>383.10295781904324</v>
          </cell>
          <cell r="EJ19">
            <v>411.6786414108426</v>
          </cell>
          <cell r="EL19">
            <v>450.83315282845041</v>
          </cell>
          <cell r="EM19">
            <v>438.28012701650283</v>
          </cell>
          <cell r="EN19">
            <v>461.97272721080549</v>
          </cell>
          <cell r="EO19">
            <v>440.88901080863525</v>
          </cell>
          <cell r="EP19">
            <v>462.19074627785818</v>
          </cell>
          <cell r="ER19">
            <v>397.375</v>
          </cell>
          <cell r="ES19">
            <v>415</v>
          </cell>
          <cell r="ET19">
            <v>395</v>
          </cell>
          <cell r="EU19">
            <v>375</v>
          </cell>
          <cell r="EV19">
            <v>404.5</v>
          </cell>
          <cell r="EX19">
            <v>466.91745700521523</v>
          </cell>
          <cell r="EY19">
            <v>476.37553435545135</v>
          </cell>
          <cell r="EZ19">
            <v>445.61269177257151</v>
          </cell>
          <cell r="FA19">
            <v>463.59637121387527</v>
          </cell>
          <cell r="FB19">
            <v>482.08523067896272</v>
          </cell>
          <cell r="FD19">
            <v>488.11516789334121</v>
          </cell>
          <cell r="FE19">
            <v>513.40352173377664</v>
          </cell>
          <cell r="FF19">
            <v>497.75292088161314</v>
          </cell>
          <cell r="FG19">
            <v>472.91713218378146</v>
          </cell>
          <cell r="FH19">
            <v>468.38709677419354</v>
          </cell>
          <cell r="FJ19">
            <v>507.85496349352627</v>
          </cell>
          <cell r="FK19">
            <v>534.28650075292671</v>
          </cell>
          <cell r="FL19">
            <v>490.35527953394973</v>
          </cell>
          <cell r="FM19">
            <v>505.26302587144858</v>
          </cell>
          <cell r="FN19">
            <v>501.51504781578012</v>
          </cell>
          <cell r="FP19">
            <v>541.65703804791372</v>
          </cell>
          <cell r="FQ19">
            <v>580.90795199789</v>
          </cell>
          <cell r="FR19">
            <v>541.45075079258822</v>
          </cell>
          <cell r="FS19">
            <v>540.31994878811076</v>
          </cell>
          <cell r="FT19">
            <v>503.94950061306599</v>
          </cell>
        </row>
        <row r="20">
          <cell r="A20" t="str">
            <v xml:space="preserve">  % Change </v>
          </cell>
          <cell r="D20">
            <v>5.4577640700024244E-3</v>
          </cell>
          <cell r="E20">
            <v>4.7313791707902952E-2</v>
          </cell>
          <cell r="F20">
            <v>5.8723808541916167E-3</v>
          </cell>
          <cell r="G20">
            <v>-0.10017818108341447</v>
          </cell>
          <cell r="H20">
            <v>0.12050306771918406</v>
          </cell>
          <cell r="I20">
            <v>-1.4112527978935363E-2</v>
          </cell>
          <cell r="J20">
            <v>-0.13019581435971961</v>
          </cell>
          <cell r="K20">
            <v>7.2449801119521817E-2</v>
          </cell>
          <cell r="L20">
            <v>0.11257836673653165</v>
          </cell>
          <cell r="M20">
            <v>-6.2404939251241465E-2</v>
          </cell>
          <cell r="N20">
            <v>-3.8868962635306925E-2</v>
          </cell>
          <cell r="O20">
            <v>-4.3427683224049995E-2</v>
          </cell>
          <cell r="P20">
            <v>-0.14893950946117329</v>
          </cell>
          <cell r="Q20">
            <v>0.13452822353809468</v>
          </cell>
          <cell r="R20">
            <v>-5.4354331994296401E-2</v>
          </cell>
          <cell r="S20">
            <v>0.38761684356426973</v>
          </cell>
          <cell r="T20">
            <v>2.1480138399518012E-2</v>
          </cell>
          <cell r="U20">
            <v>-0.10392438611353683</v>
          </cell>
          <cell r="V20">
            <v>9.5768361400142332E-2</v>
          </cell>
          <cell r="W20">
            <v>8.2568618029519536E-2</v>
          </cell>
          <cell r="X20">
            <v>6.7214120210705941E-2</v>
          </cell>
          <cell r="AI20">
            <v>6.7214120210705941E-2</v>
          </cell>
          <cell r="AL20">
            <v>0.31050908008335787</v>
          </cell>
          <cell r="AM20">
            <v>0.22031344183242907</v>
          </cell>
          <cell r="AN20">
            <v>-1.6002245929253145E-2</v>
          </cell>
          <cell r="AO20">
            <v>-0.19010882256129713</v>
          </cell>
          <cell r="AQ20">
            <v>7.7790575227068004E-3</v>
          </cell>
          <cell r="AR20">
            <v>-0.11990118128123572</v>
          </cell>
          <cell r="AS20">
            <v>-0.14201037293158802</v>
          </cell>
          <cell r="AT20">
            <v>0.11897289586305293</v>
          </cell>
          <cell r="AU20">
            <v>0.24830142063001848</v>
          </cell>
          <cell r="AW20">
            <v>-0.15178326817285204</v>
          </cell>
          <cell r="AX20">
            <v>-8.8858459628387232E-2</v>
          </cell>
          <cell r="AY20">
            <v>-9.4404145077720214E-2</v>
          </cell>
          <cell r="AZ20">
            <v>-0.19504334523202482</v>
          </cell>
          <cell r="BA20">
            <v>-0.21943592281049007</v>
          </cell>
          <cell r="BL20">
            <v>-0.16108239130568569</v>
          </cell>
          <cell r="BM20">
            <v>-0.21593851988967105</v>
          </cell>
          <cell r="BN20">
            <v>-0.19980494776510138</v>
          </cell>
          <cell r="BO20">
            <v>-0.15958104218116931</v>
          </cell>
          <cell r="BP20">
            <v>-6.4441240551458612E-2</v>
          </cell>
          <cell r="BR20">
            <v>0.10019169730294086</v>
          </cell>
          <cell r="BS20">
            <v>5.7986215848118361E-2</v>
          </cell>
          <cell r="BT20">
            <v>7.1448520949404459E-2</v>
          </cell>
          <cell r="BU20">
            <v>0.13042848723784739</v>
          </cell>
          <cell r="BV20">
            <v>0.14916603587818988</v>
          </cell>
          <cell r="BX20">
            <v>0.11922314792103594</v>
          </cell>
          <cell r="BY20">
            <v>0.12856089169937657</v>
          </cell>
          <cell r="BZ20">
            <v>0.11716795687702763</v>
          </cell>
          <cell r="CA20">
            <v>0.13606953831591229</v>
          </cell>
          <cell r="CB20">
            <v>9.4048425673366909E-2</v>
          </cell>
          <cell r="CD20">
            <v>0.11748482837313667</v>
          </cell>
          <cell r="CE20">
            <v>9.8471928701337363E-2</v>
          </cell>
          <cell r="CF20">
            <v>0.18172051213589135</v>
          </cell>
          <cell r="CG20">
            <v>9.7591414742923988E-2</v>
          </cell>
          <cell r="CH20">
            <v>9.4610527917237563E-2</v>
          </cell>
          <cell r="DB20">
            <v>8.2568618029519536E-2</v>
          </cell>
          <cell r="DC20">
            <v>-0.10650242487280959</v>
          </cell>
          <cell r="DD20">
            <v>4.535263768890907E-3</v>
          </cell>
          <cell r="DE20">
            <v>0.14285890705669946</v>
          </cell>
          <cell r="DF20">
            <v>0.34522519275995545</v>
          </cell>
          <cell r="DH20">
            <v>9.5768361400142332E-2</v>
          </cell>
          <cell r="DI20">
            <v>0.15586054953617889</v>
          </cell>
          <cell r="DJ20">
            <v>9.9785877553726587E-2</v>
          </cell>
          <cell r="DK20">
            <v>0.10351566186237027</v>
          </cell>
          <cell r="DL20">
            <v>1.7252695010601338E-2</v>
          </cell>
          <cell r="DN20">
            <v>-0.10392438611353683</v>
          </cell>
          <cell r="DO20">
            <v>0.10715046737365741</v>
          </cell>
          <cell r="DP20">
            <v>-5.9855102050057396E-2</v>
          </cell>
          <cell r="DQ20">
            <v>-0.18756886828965902</v>
          </cell>
          <cell r="DR20">
            <v>-0.22811397974261716</v>
          </cell>
          <cell r="DT20">
            <v>2.1480138399518012E-2</v>
          </cell>
          <cell r="DU20">
            <v>-0.25702524977151009</v>
          </cell>
          <cell r="DV20">
            <v>-5.5235170209318341E-2</v>
          </cell>
          <cell r="DW20">
            <v>0.14229777832330881</v>
          </cell>
          <cell r="DX20">
            <v>0.3847199310137972</v>
          </cell>
          <cell r="DZ20">
            <v>0.38761684356426973</v>
          </cell>
          <cell r="EA20">
            <v>0.49570196084076978</v>
          </cell>
          <cell r="EB20">
            <v>0.40780141843971629</v>
          </cell>
          <cell r="EC20">
            <v>0.43365104300658697</v>
          </cell>
          <cell r="ED20">
            <v>0.1982706820893867</v>
          </cell>
          <cell r="EF20">
            <v>-5.4354331994296401E-2</v>
          </cell>
          <cell r="EG20">
            <v>8.851819521166493E-2</v>
          </cell>
          <cell r="EH20">
            <v>-6.1727772562885641E-2</v>
          </cell>
          <cell r="EI20">
            <v>-0.13106712023419798</v>
          </cell>
          <cell r="EJ20">
            <v>-0.10928843832076396</v>
          </cell>
          <cell r="EL20">
            <v>0.13452822353809468</v>
          </cell>
          <cell r="EM20">
            <v>5.6096691606030813E-2</v>
          </cell>
          <cell r="EN20">
            <v>0.16955120812862146</v>
          </cell>
          <cell r="EO20">
            <v>0.17570402882302738</v>
          </cell>
          <cell r="EP20">
            <v>0.1426223640985369</v>
          </cell>
          <cell r="ER20">
            <v>-0.14893950946117329</v>
          </cell>
          <cell r="ES20">
            <v>-0.12883855263157895</v>
          </cell>
          <cell r="ET20">
            <v>-0.11358000502912702</v>
          </cell>
          <cell r="EU20">
            <v>-0.1911066969353008</v>
          </cell>
          <cell r="EV20">
            <v>-0.16093675089297521</v>
          </cell>
          <cell r="EX20">
            <v>-4.3427683224049995E-2</v>
          </cell>
          <cell r="EY20">
            <v>-7.2122581577315326E-2</v>
          </cell>
          <cell r="EZ20">
            <v>-0.10475122680684945</v>
          </cell>
          <cell r="FA20">
            <v>-1.9709078685447246E-2</v>
          </cell>
          <cell r="FB20">
            <v>2.9245327207151783E-2</v>
          </cell>
          <cell r="FD20">
            <v>-3.8868962635306925E-2</v>
          </cell>
          <cell r="FE20">
            <v>-3.908573207393673E-2</v>
          </cell>
          <cell r="FF20">
            <v>1.508628877146867E-2</v>
          </cell>
          <cell r="FG20">
            <v>-6.4017931317809751E-2</v>
          </cell>
          <cell r="FH20">
            <v>-6.605574685319382E-2</v>
          </cell>
          <cell r="FJ20">
            <v>-6.2404939251241465E-2</v>
          </cell>
          <cell r="FK20">
            <v>-8.0256176705139404E-2</v>
          </cell>
          <cell r="FL20">
            <v>-9.4367717070931723E-2</v>
          </cell>
          <cell r="FM20">
            <v>-6.4881785311261875E-2</v>
          </cell>
          <cell r="FN20">
            <v>-4.8307475140352274E-3</v>
          </cell>
          <cell r="FP20">
            <v>0.11257836673653165</v>
          </cell>
        </row>
        <row r="21">
          <cell r="A21" t="str">
            <v>Price per ton</v>
          </cell>
          <cell r="C21">
            <v>415.83333333333331</v>
          </cell>
          <cell r="D21">
            <v>456.33074935400509</v>
          </cell>
          <cell r="E21">
            <v>535.98519888991677</v>
          </cell>
          <cell r="F21">
            <v>552.18687872763417</v>
          </cell>
          <cell r="G21">
            <v>505.75968222442901</v>
          </cell>
          <cell r="H21">
            <v>540.86799276672696</v>
          </cell>
          <cell r="I21">
            <v>474.88618478362889</v>
          </cell>
          <cell r="J21">
            <v>449.50486566182133</v>
          </cell>
          <cell r="K21">
            <v>487.14142427281848</v>
          </cell>
          <cell r="L21">
            <v>544.53545666284299</v>
          </cell>
          <cell r="M21">
            <v>505.36237123632287</v>
          </cell>
          <cell r="N21">
            <v>487.44120500382235</v>
          </cell>
          <cell r="O21">
            <v>483.44795879535593</v>
          </cell>
          <cell r="P21">
            <v>391.125</v>
          </cell>
          <cell r="Q21">
            <v>459</v>
          </cell>
          <cell r="R21">
            <v>446.15751325642492</v>
          </cell>
          <cell r="S21">
            <v>615.54488458977175</v>
          </cell>
          <cell r="T21">
            <v>622.77593226408385</v>
          </cell>
          <cell r="U21">
            <v>531.20491441998479</v>
          </cell>
          <cell r="V21">
            <v>545.60334693716209</v>
          </cell>
          <cell r="W21">
            <v>462.70784166251889</v>
          </cell>
          <cell r="X21">
            <v>498.41452375625084</v>
          </cell>
          <cell r="AI21">
            <v>498.41452375625084</v>
          </cell>
          <cell r="AL21">
            <v>532.84925475487751</v>
          </cell>
          <cell r="AM21">
            <v>510.04289449405599</v>
          </cell>
          <cell r="AN21">
            <v>490.64051768747862</v>
          </cell>
          <cell r="AO21">
            <v>460.12542808859115</v>
          </cell>
          <cell r="AQ21">
            <v>516.26113033487172</v>
          </cell>
          <cell r="AR21">
            <v>459.57334736388941</v>
          </cell>
          <cell r="AS21">
            <v>505.01190150529305</v>
          </cell>
          <cell r="AT21">
            <v>550.12661257967318</v>
          </cell>
          <cell r="AU21">
            <v>550.33265989063113</v>
          </cell>
          <cell r="AW21">
            <v>415.83942821225781</v>
          </cell>
          <cell r="AX21">
            <v>424.89726008228826</v>
          </cell>
          <cell r="AY21">
            <v>411.67970998226724</v>
          </cell>
          <cell r="AZ21">
            <v>406.89775889560082</v>
          </cell>
          <cell r="BA21">
            <v>419.88298388887489</v>
          </cell>
          <cell r="BL21">
            <v>456.90827283347613</v>
          </cell>
          <cell r="BM21">
            <v>429.2572866508367</v>
          </cell>
          <cell r="BN21">
            <v>438.22261493230883</v>
          </cell>
          <cell r="BO21">
            <v>460.25102542866176</v>
          </cell>
          <cell r="BP21">
            <v>499.90216432209724</v>
          </cell>
          <cell r="BR21">
            <v>540.64505812482741</v>
          </cell>
          <cell r="BS21">
            <v>543.93406703145979</v>
          </cell>
          <cell r="BT21">
            <v>543.95528166840541</v>
          </cell>
          <cell r="BU21">
            <v>543.95528166840541</v>
          </cell>
          <cell r="BV21">
            <v>530.73560213103917</v>
          </cell>
          <cell r="BX21">
            <v>497.70526673971949</v>
          </cell>
          <cell r="BY21">
            <v>517.47282582988817</v>
          </cell>
          <cell r="BZ21">
            <v>504.28479498791899</v>
          </cell>
          <cell r="CA21">
            <v>491.11986067238541</v>
          </cell>
          <cell r="CB21">
            <v>477.94358546868534</v>
          </cell>
          <cell r="CD21">
            <v>444.82666027458333</v>
          </cell>
          <cell r="CE21">
            <v>464.58024065667178</v>
          </cell>
          <cell r="CF21">
            <v>451.39568485083959</v>
          </cell>
          <cell r="CG21">
            <v>438.32514695632483</v>
          </cell>
          <cell r="CH21">
            <v>425.00556863449708</v>
          </cell>
          <cell r="DB21">
            <v>462.70784166251889</v>
          </cell>
          <cell r="DC21">
            <v>451.32421938780277</v>
          </cell>
          <cell r="DD21">
            <v>439.05768798546694</v>
          </cell>
          <cell r="DE21">
            <v>459.00828566655127</v>
          </cell>
          <cell r="DF21">
            <v>501.44117361025457</v>
          </cell>
          <cell r="DH21">
            <v>545.60334693716209</v>
          </cell>
          <cell r="DI21">
            <v>517.05101295925124</v>
          </cell>
          <cell r="DJ21">
            <v>536.35599735397693</v>
          </cell>
          <cell r="DK21">
            <v>561.95448359252839</v>
          </cell>
          <cell r="DL21">
            <v>567.0518938428919</v>
          </cell>
          <cell r="DN21">
            <v>531.20491441998479</v>
          </cell>
          <cell r="DO21">
            <v>552.1144809910295</v>
          </cell>
          <cell r="DP21">
            <v>537.12871287128712</v>
          </cell>
          <cell r="DQ21">
            <v>522.30610844200407</v>
          </cell>
          <cell r="DR21">
            <v>513.27035537561846</v>
          </cell>
          <cell r="DT21">
            <v>622.77593226408385</v>
          </cell>
          <cell r="DU21">
            <v>524.38541898199594</v>
          </cell>
          <cell r="DV21">
            <v>587.5903548230466</v>
          </cell>
          <cell r="DW21">
            <v>659.27627881495607</v>
          </cell>
          <cell r="DX21">
            <v>719.85167643633645</v>
          </cell>
          <cell r="DZ21">
            <v>615.54488458977175</v>
          </cell>
          <cell r="EA21">
            <v>688.89558719778438</v>
          </cell>
          <cell r="EB21">
            <v>651.99634082216267</v>
          </cell>
          <cell r="EC21">
            <v>598.11615801954315</v>
          </cell>
          <cell r="ED21">
            <v>523.17145231959717</v>
          </cell>
          <cell r="EF21">
            <v>446.15751325642492</v>
          </cell>
          <cell r="EG21">
            <v>480.15941661068962</v>
          </cell>
          <cell r="EH21">
            <v>451.88707977041122</v>
          </cell>
          <cell r="EI21">
            <v>401.9608296101905</v>
          </cell>
          <cell r="EJ21">
            <v>450.62272703440846</v>
          </cell>
          <cell r="EL21">
            <v>459</v>
          </cell>
          <cell r="EM21">
            <v>442</v>
          </cell>
          <cell r="EN21">
            <v>462</v>
          </cell>
          <cell r="EO21">
            <v>472</v>
          </cell>
          <cell r="EP21">
            <v>460</v>
          </cell>
          <cell r="ER21">
            <v>391.125</v>
          </cell>
          <cell r="ES21">
            <v>400</v>
          </cell>
          <cell r="ET21">
            <v>385</v>
          </cell>
          <cell r="EU21">
            <v>375</v>
          </cell>
          <cell r="EV21">
            <v>404.5</v>
          </cell>
          <cell r="EX21">
            <v>483.44795879535593</v>
          </cell>
          <cell r="EY21">
            <v>450.4130762027807</v>
          </cell>
          <cell r="EZ21">
            <v>479.70165656998876</v>
          </cell>
          <cell r="FA21">
            <v>502.85388127853884</v>
          </cell>
          <cell r="FB21">
            <v>500.82322113011531</v>
          </cell>
          <cell r="FD21">
            <v>487.44120500382235</v>
          </cell>
          <cell r="FE21">
            <v>501.27743479071108</v>
          </cell>
          <cell r="FF21">
            <v>494.14004573156149</v>
          </cell>
          <cell r="FG21">
            <v>478.28176572252477</v>
          </cell>
          <cell r="FH21">
            <v>476.06557377049182</v>
          </cell>
          <cell r="FJ21">
            <v>505.36237123632287</v>
          </cell>
          <cell r="FK21">
            <v>484.67978848413634</v>
          </cell>
          <cell r="FL21">
            <v>496.11407505565899</v>
          </cell>
          <cell r="FM21">
            <v>518.34005088829349</v>
          </cell>
          <cell r="FN21">
            <v>522.31557051720279</v>
          </cell>
          <cell r="FP21">
            <v>544.53545666284299</v>
          </cell>
          <cell r="FQ21">
            <v>543.30873760063639</v>
          </cell>
          <cell r="FR21">
            <v>548.53556773429534</v>
          </cell>
          <cell r="FS21">
            <v>548.9904126666305</v>
          </cell>
          <cell r="FT21">
            <v>537.30710864980983</v>
          </cell>
        </row>
        <row r="22">
          <cell r="A22" t="str">
            <v xml:space="preserve">  % Change </v>
          </cell>
          <cell r="D22">
            <v>9.7388575600813931E-2</v>
          </cell>
          <cell r="E22">
            <v>0.17455420141788114</v>
          </cell>
          <cell r="F22">
            <v>3.022784933478162E-2</v>
          </cell>
          <cell r="G22">
            <v>-8.4078775305534426E-2</v>
          </cell>
          <cell r="H22">
            <v>6.9416981574895065E-2</v>
          </cell>
          <cell r="I22">
            <v>-0.12199244337898107</v>
          </cell>
          <cell r="J22">
            <v>-5.3447162573010965E-2</v>
          </cell>
          <cell r="K22">
            <v>8.3728923724960325E-2</v>
          </cell>
          <cell r="L22">
            <v>0.11781800834470113</v>
          </cell>
          <cell r="M22">
            <v>-7.1938539441656069E-2</v>
          </cell>
          <cell r="N22">
            <v>-3.546201152384576E-2</v>
          </cell>
          <cell r="O22">
            <v>-8.1922623025583174E-3</v>
          </cell>
          <cell r="P22">
            <v>-0.19096772903003678</v>
          </cell>
          <cell r="Q22">
            <v>0.17353787152444866</v>
          </cell>
          <cell r="R22">
            <v>-2.7979273951143968E-2</v>
          </cell>
          <cell r="S22">
            <v>0.3796582289896191</v>
          </cell>
          <cell r="T22">
            <v>1.1747393009579055E-2</v>
          </cell>
          <cell r="U22">
            <v>-0.14703686045026709</v>
          </cell>
          <cell r="V22">
            <v>2.710523213607452E-2</v>
          </cell>
          <cell r="W22">
            <v>-0.1519336450921559</v>
          </cell>
          <cell r="X22">
            <v>7.7168958203597926E-2</v>
          </cell>
          <cell r="AI22">
            <v>7.7168958203597926E-2</v>
          </cell>
          <cell r="AL22">
            <v>0.18063518833015224</v>
          </cell>
          <cell r="AM22">
            <v>0.16167626362333221</v>
          </cell>
          <cell r="AN22">
            <v>6.8914294161362299E-2</v>
          </cell>
          <cell r="AO22">
            <v>-8.2394002918029452E-2</v>
          </cell>
          <cell r="AQ22">
            <v>3.5806754675047792E-2</v>
          </cell>
          <cell r="AR22">
            <v>-0.13751714342679644</v>
          </cell>
          <cell r="AS22">
            <v>-9.8638625164134686E-3</v>
          </cell>
          <cell r="AT22">
            <v>0.12124170904712184</v>
          </cell>
          <cell r="AU22">
            <v>0.19604922113687606</v>
          </cell>
          <cell r="AW22">
            <v>-0.19451726310961193</v>
          </cell>
          <cell r="AX22">
            <v>-7.5452781325338059E-2</v>
          </cell>
          <cell r="AY22">
            <v>-0.18481186531412386</v>
          </cell>
          <cell r="AZ22">
            <v>-0.26035616239766801</v>
          </cell>
          <cell r="BA22">
            <v>-0.23703786002393679</v>
          </cell>
          <cell r="BL22">
            <v>-0.15488310497423918</v>
          </cell>
          <cell r="BM22">
            <v>-0.21082845758581703</v>
          </cell>
          <cell r="BN22">
            <v>-0.19437749811307303</v>
          </cell>
          <cell r="BO22">
            <v>-0.15388076752009494</v>
          </cell>
          <cell r="BP22">
            <v>-5.8095665120519113E-2</v>
          </cell>
          <cell r="BR22">
            <v>8.627554147937877E-2</v>
          </cell>
          <cell r="BS22">
            <v>5.1135518390042822E-2</v>
          </cell>
          <cell r="BT22">
            <v>7.8666830875669724E-2</v>
          </cell>
          <cell r="BU22">
            <v>0.10758151976115116</v>
          </cell>
          <cell r="BV22">
            <v>0.11045658581354201</v>
          </cell>
          <cell r="BX22">
            <v>0.11887463407093257</v>
          </cell>
          <cell r="BY22">
            <v>0.11385026857460434</v>
          </cell>
          <cell r="BZ22">
            <v>0.11716795687702741</v>
          </cell>
          <cell r="CA22">
            <v>0.12044646327654362</v>
          </cell>
          <cell r="CB22">
            <v>0.12455840756221881</v>
          </cell>
          <cell r="CD22">
            <v>6.9707752790409971E-2</v>
          </cell>
          <cell r="CE22">
            <v>9.3394296227512275E-2</v>
          </cell>
          <cell r="CF22">
            <v>9.6472995645773052E-2</v>
          </cell>
          <cell r="CG22">
            <v>7.7236572022475691E-2</v>
          </cell>
          <cell r="CH22">
            <v>1.2200029394327405E-2</v>
          </cell>
          <cell r="DB22">
            <v>-0.1519336450921559</v>
          </cell>
          <cell r="DC22">
            <v>-0.12711858583406044</v>
          </cell>
          <cell r="DD22">
            <v>-0.18140621126362899</v>
          </cell>
          <cell r="DE22">
            <v>-0.18319312494465856</v>
          </cell>
          <cell r="DF22">
            <v>-0.11570496623862003</v>
          </cell>
          <cell r="DH22">
            <v>2.710523213607452E-2</v>
          </cell>
          <cell r="DI22">
            <v>-6.3507604380961591E-2</v>
          </cell>
          <cell r="DJ22">
            <v>-1.438604004577515E-3</v>
          </cell>
          <cell r="DK22">
            <v>7.5910226799361213E-2</v>
          </cell>
          <cell r="DL22">
            <v>0.104782085900744</v>
          </cell>
          <cell r="DN22">
            <v>-0.14703686045026709</v>
          </cell>
          <cell r="DO22">
            <v>5.2879162931083634E-2</v>
          </cell>
          <cell r="DP22">
            <v>-8.5878948722628468E-2</v>
          </cell>
          <cell r="DQ22">
            <v>-0.20775837804926756</v>
          </cell>
          <cell r="DR22">
            <v>-0.2869776202834029</v>
          </cell>
          <cell r="DT22">
            <v>1.1747393009579055E-2</v>
          </cell>
          <cell r="DU22">
            <v>-0.23880276093067354</v>
          </cell>
          <cell r="DV22">
            <v>-9.8782741507261518E-2</v>
          </cell>
          <cell r="DW22">
            <v>0.10225458713224489</v>
          </cell>
          <cell r="DX22">
            <v>0.37593837210481129</v>
          </cell>
          <cell r="DZ22">
            <v>0.3796582289896191</v>
          </cell>
          <cell r="EA22">
            <v>0.43472264286828888</v>
          </cell>
          <cell r="EB22">
            <v>0.4428302335030696</v>
          </cell>
          <cell r="EC22">
            <v>0.48799612788036639</v>
          </cell>
          <cell r="ED22">
            <v>0.16099659633822472</v>
          </cell>
          <cell r="EF22">
            <v>-2.7979273951143968E-2</v>
          </cell>
          <cell r="EG22">
            <v>8.6333521743641617E-2</v>
          </cell>
          <cell r="EH22">
            <v>-2.1889437726382632E-2</v>
          </cell>
          <cell r="EI22">
            <v>-0.14838807285976585</v>
          </cell>
          <cell r="EJ22">
            <v>-2.0385376012155509E-2</v>
          </cell>
          <cell r="EL22">
            <v>0.17353787152444866</v>
          </cell>
          <cell r="EM22">
            <v>0.10499999999999998</v>
          </cell>
          <cell r="EN22">
            <v>0.19999999999999996</v>
          </cell>
          <cell r="EO22">
            <v>0.2586666666666666</v>
          </cell>
          <cell r="EP22">
            <v>0.13720642768850433</v>
          </cell>
          <cell r="ER22">
            <v>-0.19096772903003678</v>
          </cell>
          <cell r="ES22">
            <v>-0.11192631578947365</v>
          </cell>
          <cell r="ET22">
            <v>-0.19741782266739316</v>
          </cell>
          <cell r="EU22">
            <v>-0.25425652667423382</v>
          </cell>
          <cell r="EV22">
            <v>-0.19232978237862153</v>
          </cell>
          <cell r="EX22">
            <v>-8.1922623025583174E-3</v>
          </cell>
          <cell r="EY22">
            <v>-0.10146947589844502</v>
          </cell>
          <cell r="EZ22">
            <v>-2.9219224967280466E-2</v>
          </cell>
          <cell r="FA22">
            <v>5.1375815088609444E-2</v>
          </cell>
          <cell r="FB22">
            <v>5.2004700032266982E-2</v>
          </cell>
          <cell r="FD22">
            <v>-3.546201152384576E-2</v>
          </cell>
          <cell r="FE22">
            <v>3.4244560431299975E-2</v>
          </cell>
          <cell r="FF22">
            <v>-3.9789827044839354E-3</v>
          </cell>
          <cell r="FG22">
            <v>-7.7281863705341181E-2</v>
          </cell>
          <cell r="FH22">
            <v>-8.8547995421453196E-2</v>
          </cell>
          <cell r="FJ22">
            <v>-7.1938539441656069E-2</v>
          </cell>
          <cell r="FK22">
            <v>-0.10791092625422816</v>
          </cell>
          <cell r="FL22">
            <v>-9.5566259987773017E-2</v>
          </cell>
          <cell r="FM22">
            <v>-5.5830413557602765E-2</v>
          </cell>
          <cell r="FN22">
            <v>-2.7901246589271844E-2</v>
          </cell>
          <cell r="FP22">
            <v>0.11781800834470113</v>
          </cell>
        </row>
        <row r="23">
          <cell r="A23" t="str">
            <v>Cost per short ton</v>
          </cell>
          <cell r="C23">
            <v>399.53046357615892</v>
          </cell>
          <cell r="D23">
            <v>379.78137347130757</v>
          </cell>
          <cell r="E23">
            <v>402.97009009009003</v>
          </cell>
          <cell r="F23">
            <v>441.59262759924388</v>
          </cell>
          <cell r="G23">
            <v>410.08534322820037</v>
          </cell>
          <cell r="H23">
            <v>455.74424778761062</v>
          </cell>
          <cell r="I23">
            <v>432.76214833759593</v>
          </cell>
          <cell r="J23">
            <v>383.46040816326536</v>
          </cell>
          <cell r="K23">
            <v>385.87890938251809</v>
          </cell>
          <cell r="L23">
            <v>409.56445544412549</v>
          </cell>
          <cell r="M23">
            <v>438.86405254935175</v>
          </cell>
          <cell r="N23">
            <v>462.64253768934469</v>
          </cell>
          <cell r="O23">
            <v>465.39439425323388</v>
          </cell>
          <cell r="P23">
            <v>461.44719712661697</v>
          </cell>
          <cell r="Q23">
            <v>497.5</v>
          </cell>
          <cell r="R23">
            <v>470</v>
          </cell>
          <cell r="S23">
            <v>458.12812500000001</v>
          </cell>
          <cell r="T23">
            <v>489.26250000000005</v>
          </cell>
          <cell r="U23">
            <v>487</v>
          </cell>
          <cell r="V23">
            <v>469.625</v>
          </cell>
          <cell r="W23">
            <v>441.21867876499897</v>
          </cell>
          <cell r="X23">
            <v>439.53802127334421</v>
          </cell>
          <cell r="AI23">
            <v>439.53802127334421</v>
          </cell>
          <cell r="AL23">
            <v>439.15881332364739</v>
          </cell>
          <cell r="AM23">
            <v>437.35957759529828</v>
          </cell>
          <cell r="AN23">
            <v>438.98677987672841</v>
          </cell>
          <cell r="AO23">
            <v>442.64691429770272</v>
          </cell>
          <cell r="AQ23">
            <v>445.04978481413764</v>
          </cell>
          <cell r="AR23">
            <v>440</v>
          </cell>
          <cell r="AS23">
            <v>447.59114701634923</v>
          </cell>
          <cell r="AT23">
            <v>440.57819737704068</v>
          </cell>
          <cell r="AU23">
            <v>452.02979486316065</v>
          </cell>
          <cell r="AW23">
            <v>435</v>
          </cell>
          <cell r="AX23">
            <v>435</v>
          </cell>
          <cell r="AY23">
            <v>435</v>
          </cell>
          <cell r="AZ23">
            <v>435</v>
          </cell>
          <cell r="BA23">
            <v>435</v>
          </cell>
          <cell r="BL23">
            <v>430.25792079670231</v>
          </cell>
          <cell r="BM23">
            <v>427.87688991544263</v>
          </cell>
          <cell r="BN23">
            <v>428.61596112170145</v>
          </cell>
          <cell r="BO23">
            <v>430.53883214966521</v>
          </cell>
          <cell r="BP23">
            <v>434</v>
          </cell>
          <cell r="BR23">
            <v>434.85946252193349</v>
          </cell>
          <cell r="BS23">
            <v>435.14595002924466</v>
          </cell>
          <cell r="BT23">
            <v>435.14595002924466</v>
          </cell>
          <cell r="BU23">
            <v>435.14595002924466</v>
          </cell>
          <cell r="BV23">
            <v>434</v>
          </cell>
          <cell r="BX23">
            <v>435.72348377736085</v>
          </cell>
          <cell r="BY23">
            <v>437.41647673213015</v>
          </cell>
          <cell r="BZ23">
            <v>436.30786992274193</v>
          </cell>
          <cell r="CA23">
            <v>435.16958845457134</v>
          </cell>
          <cell r="CB23">
            <v>434</v>
          </cell>
          <cell r="CD23">
            <v>435.73937533961276</v>
          </cell>
          <cell r="CE23">
            <v>437.44742639696398</v>
          </cell>
          <cell r="CF23">
            <v>436.32417821482886</v>
          </cell>
          <cell r="CG23">
            <v>435.18589674665827</v>
          </cell>
          <cell r="CH23">
            <v>434</v>
          </cell>
          <cell r="DB23">
            <v>441.21867876499897</v>
          </cell>
          <cell r="DC23">
            <v>435.60378661960601</v>
          </cell>
          <cell r="DD23">
            <v>445.67398828663431</v>
          </cell>
          <cell r="DE23">
            <v>436.19962015195853</v>
          </cell>
          <cell r="DF23">
            <v>447.39732000179697</v>
          </cell>
          <cell r="DH23">
            <v>469.625</v>
          </cell>
          <cell r="DI23">
            <v>435</v>
          </cell>
          <cell r="DJ23">
            <v>452</v>
          </cell>
          <cell r="DK23">
            <v>486.5</v>
          </cell>
          <cell r="DL23">
            <v>505</v>
          </cell>
          <cell r="DN23">
            <v>487</v>
          </cell>
          <cell r="DO23">
            <v>481</v>
          </cell>
          <cell r="DP23">
            <v>486</v>
          </cell>
          <cell r="DQ23">
            <v>486</v>
          </cell>
          <cell r="DR23">
            <v>495</v>
          </cell>
          <cell r="DT23">
            <v>489.26250000000005</v>
          </cell>
          <cell r="DU23">
            <v>510.51250000000005</v>
          </cell>
          <cell r="DV23">
            <v>485.51250000000005</v>
          </cell>
          <cell r="DW23">
            <v>485.51250000000005</v>
          </cell>
          <cell r="DX23">
            <v>475.51250000000005</v>
          </cell>
          <cell r="DZ23">
            <v>458.12812500000001</v>
          </cell>
          <cell r="EA23">
            <v>467.51250000000005</v>
          </cell>
          <cell r="EB23">
            <v>455</v>
          </cell>
          <cell r="EC23">
            <v>455</v>
          </cell>
          <cell r="ED23">
            <v>455</v>
          </cell>
          <cell r="EF23">
            <v>470</v>
          </cell>
          <cell r="EG23">
            <v>465</v>
          </cell>
          <cell r="EH23">
            <v>465</v>
          </cell>
          <cell r="EI23">
            <v>475</v>
          </cell>
          <cell r="EJ23">
            <v>475</v>
          </cell>
          <cell r="EL23">
            <v>497.5</v>
          </cell>
          <cell r="EM23">
            <v>490</v>
          </cell>
          <cell r="EN23">
            <v>500</v>
          </cell>
          <cell r="EO23">
            <v>500</v>
          </cell>
          <cell r="EP23">
            <v>500</v>
          </cell>
          <cell r="ER23">
            <v>461.44719712661697</v>
          </cell>
          <cell r="ES23">
            <v>460</v>
          </cell>
          <cell r="ET23">
            <v>455</v>
          </cell>
          <cell r="EU23">
            <v>465.39439425323388</v>
          </cell>
          <cell r="EV23">
            <v>465.39439425323388</v>
          </cell>
          <cell r="EX23">
            <v>465.39439425323388</v>
          </cell>
          <cell r="EY23">
            <v>468.6725852525276</v>
          </cell>
          <cell r="EZ23">
            <v>475.00737146839651</v>
          </cell>
          <cell r="FA23">
            <v>454.85975212002609</v>
          </cell>
          <cell r="FB23">
            <v>463.03786817198528</v>
          </cell>
          <cell r="FD23">
            <v>462.64253768934469</v>
          </cell>
          <cell r="FE23">
            <v>466.41398505551587</v>
          </cell>
          <cell r="FF23">
            <v>470.25056686088237</v>
          </cell>
          <cell r="FG23">
            <v>447.76133654589842</v>
          </cell>
          <cell r="FH23">
            <v>466.14426229508189</v>
          </cell>
          <cell r="FJ23">
            <v>438.86405254935175</v>
          </cell>
          <cell r="FK23">
            <v>484.90422448550021</v>
          </cell>
          <cell r="FL23">
            <v>435.95067613913238</v>
          </cell>
          <cell r="FM23">
            <v>424.34067157276206</v>
          </cell>
          <cell r="FN23">
            <v>410.26063800001242</v>
          </cell>
          <cell r="FP23">
            <v>409.56445544412549</v>
          </cell>
          <cell r="FQ23">
            <v>448.64499538441248</v>
          </cell>
          <cell r="FR23">
            <v>426.81513750089198</v>
          </cell>
          <cell r="FS23">
            <v>393.55018890660114</v>
          </cell>
          <cell r="FT23">
            <v>369.24749998459635</v>
          </cell>
        </row>
        <row r="24">
          <cell r="A24" t="str">
            <v xml:space="preserve">  % Change </v>
          </cell>
          <cell r="D24">
            <v>-4.9430749105034755E-2</v>
          </cell>
          <cell r="E24">
            <v>6.1058067189633691E-2</v>
          </cell>
          <cell r="F24">
            <v>9.5844675470874829E-2</v>
          </cell>
          <cell r="G24">
            <v>-7.1349208301632161E-2</v>
          </cell>
          <cell r="H24">
            <v>0.11134000596066751</v>
          </cell>
          <cell r="I24">
            <v>-5.0427623742000494E-2</v>
          </cell>
          <cell r="J24">
            <v>-0.11392341119415672</v>
          </cell>
          <cell r="K24">
            <v>6.3070428335407769E-3</v>
          </cell>
          <cell r="L24">
            <v>6.1380773827491408E-2</v>
          </cell>
          <cell r="M24">
            <v>7.1538427506982361E-2</v>
          </cell>
          <cell r="N24">
            <v>5.4181893007331672E-2</v>
          </cell>
          <cell r="O24">
            <v>5.9481269872703191E-3</v>
          </cell>
          <cell r="P24">
            <v>-8.4814023876470523E-3</v>
          </cell>
          <cell r="Q24">
            <v>7.8129855588851882E-2</v>
          </cell>
          <cell r="R24">
            <v>-5.5276381909547756E-2</v>
          </cell>
          <cell r="S24">
            <v>-2.525930851063829E-2</v>
          </cell>
          <cell r="T24">
            <v>6.7959972987906125E-2</v>
          </cell>
          <cell r="U24">
            <v>-4.6243069926675817E-3</v>
          </cell>
          <cell r="V24">
            <v>-3.5677618069815176E-2</v>
          </cell>
          <cell r="W24">
            <v>-6.0487242448764467E-2</v>
          </cell>
          <cell r="X24">
            <v>-3.809125888230791E-3</v>
          </cell>
          <cell r="AI24">
            <v>-3.809125888230791E-3</v>
          </cell>
          <cell r="AL24">
            <v>8.1611473849418914E-3</v>
          </cell>
          <cell r="AM24">
            <v>-1.8655813239853325E-2</v>
          </cell>
          <cell r="AN24">
            <v>6.3896427140375245E-3</v>
          </cell>
          <cell r="AO24">
            <v>-1.0617868037464229E-2</v>
          </cell>
          <cell r="AQ24">
            <v>1.2539901610390425E-2</v>
          </cell>
          <cell r="AR24">
            <v>1.9154498346198867E-3</v>
          </cell>
          <cell r="AS24">
            <v>2.3393953042726068E-2</v>
          </cell>
          <cell r="AT24">
            <v>3.6252059817363236E-3</v>
          </cell>
          <cell r="AU24">
            <v>2.119721218512205E-2</v>
          </cell>
          <cell r="AW24">
            <v>-2.2581259798461928E-2</v>
          </cell>
          <cell r="AX24">
            <v>-1.1363636363636354E-2</v>
          </cell>
          <cell r="AY24">
            <v>-2.8130911659629665E-2</v>
          </cell>
          <cell r="AZ24">
            <v>-1.2661083572110932E-2</v>
          </cell>
          <cell r="BA24">
            <v>-3.7674053915662697E-2</v>
          </cell>
          <cell r="BL24">
            <v>-1.0581675510853317E-2</v>
          </cell>
          <cell r="BM24">
            <v>-1.6704878244445331E-2</v>
          </cell>
          <cell r="BN24">
            <v>-1.5006433834680921E-2</v>
          </cell>
          <cell r="BO24">
            <v>-1.0587523287921674E-2</v>
          </cell>
          <cell r="BP24">
            <v>0</v>
          </cell>
          <cell r="BR24">
            <v>-1.9829577417701527E-3</v>
          </cell>
          <cell r="BS24">
            <v>-5.1907662917689557E-3</v>
          </cell>
          <cell r="BT24">
            <v>-2.6630734249717403E-3</v>
          </cell>
          <cell r="BU24">
            <v>-5.4320030521082252E-5</v>
          </cell>
          <cell r="BV24">
            <v>0</v>
          </cell>
          <cell r="BX24">
            <v>-3.6470337893002025E-5</v>
          </cell>
          <cell r="BY24">
            <v>-7.0750593022639308E-5</v>
          </cell>
          <cell r="BZ24">
            <v>-3.7376549137491111E-5</v>
          </cell>
          <cell r="CA24">
            <v>-3.7474312032714785E-5</v>
          </cell>
          <cell r="CB24">
            <v>0</v>
          </cell>
          <cell r="CD24">
            <v>1.6997134243972312E-3</v>
          </cell>
          <cell r="CE24">
            <v>5.6262675792275729E-3</v>
          </cell>
          <cell r="CF24">
            <v>3.0440878501813984E-3</v>
          </cell>
          <cell r="CG24">
            <v>4.2734884289252761E-4</v>
          </cell>
          <cell r="CH24">
            <v>-2.2988505747126853E-3</v>
          </cell>
          <cell r="DB24">
            <v>-6.0487242448764467E-2</v>
          </cell>
          <cell r="DC24">
            <v>1.3880152174849947E-3</v>
          </cell>
          <cell r="DD24">
            <v>-1.3995601135764812E-2</v>
          </cell>
          <cell r="DE24">
            <v>-0.10339235323338436</v>
          </cell>
          <cell r="DF24">
            <v>-0.11406471286772879</v>
          </cell>
          <cell r="DH24">
            <v>-3.5677618069815176E-2</v>
          </cell>
          <cell r="DI24">
            <v>-9.5634095634095639E-2</v>
          </cell>
          <cell r="DJ24">
            <v>-6.9958847736625529E-2</v>
          </cell>
          <cell r="DK24">
            <v>1.0288065843622185E-3</v>
          </cell>
          <cell r="DL24">
            <v>2.020202020202011E-2</v>
          </cell>
          <cell r="DN24">
            <v>-4.6243069926675817E-3</v>
          </cell>
          <cell r="DO24">
            <v>-5.7809554124531815E-2</v>
          </cell>
          <cell r="DP24">
            <v>1.0040936124198208E-3</v>
          </cell>
          <cell r="DQ24">
            <v>1.0040936124198208E-3</v>
          </cell>
          <cell r="DR24">
            <v>4.0982098262400957E-2</v>
          </cell>
          <cell r="DT24">
            <v>6.7959972987906125E-2</v>
          </cell>
          <cell r="DU24">
            <v>9.1976150370310927E-2</v>
          </cell>
          <cell r="DV24">
            <v>6.7060439560439722E-2</v>
          </cell>
          <cell r="DW24">
            <v>6.7060439560439722E-2</v>
          </cell>
          <cell r="DX24">
            <v>4.50824175824176E-2</v>
          </cell>
          <cell r="DZ24">
            <v>-2.525930851063829E-2</v>
          </cell>
          <cell r="EA24">
            <v>5.4032258064518057E-3</v>
          </cell>
          <cell r="EB24">
            <v>-2.1505376344086002E-2</v>
          </cell>
          <cell r="EC24">
            <v>-4.2105263157894757E-2</v>
          </cell>
          <cell r="ED24">
            <v>-4.2105263157894757E-2</v>
          </cell>
          <cell r="EF24">
            <v>-5.5276381909547756E-2</v>
          </cell>
          <cell r="EG24">
            <v>-5.1020408163265252E-2</v>
          </cell>
          <cell r="EH24">
            <v>-6.9999999999999951E-2</v>
          </cell>
          <cell r="EI24">
            <v>-5.0000000000000044E-2</v>
          </cell>
          <cell r="EJ24">
            <v>-5.0000000000000044E-2</v>
          </cell>
          <cell r="EL24">
            <v>7.8129855588851882E-2</v>
          </cell>
          <cell r="EM24">
            <v>6.5217391304347894E-2</v>
          </cell>
          <cell r="EN24">
            <v>9.8901098901098994E-2</v>
          </cell>
          <cell r="EO24">
            <v>7.4357590409514618E-2</v>
          </cell>
          <cell r="EP24">
            <v>7.4357590409514618E-2</v>
          </cell>
          <cell r="ER24">
            <v>-8.4814023876470523E-3</v>
          </cell>
          <cell r="ES24">
            <v>-1.8504571262376479E-2</v>
          </cell>
          <cell r="ET24">
            <v>-4.2120128381476385E-2</v>
          </cell>
          <cell r="EU24">
            <v>2.3160198465807413E-2</v>
          </cell>
          <cell r="EV24">
            <v>5.0892729153058092E-3</v>
          </cell>
          <cell r="EX24">
            <v>5.9481269872703191E-3</v>
          </cell>
          <cell r="EY24">
            <v>4.8424795768997608E-3</v>
          </cell>
          <cell r="EZ24">
            <v>1.011546809877939E-2</v>
          </cell>
          <cell r="FA24">
            <v>1.5853123069727193E-2</v>
          </cell>
          <cell r="FB24">
            <v>-6.6640187906682469E-3</v>
          </cell>
          <cell r="FD24">
            <v>5.4181893007331672E-2</v>
          </cell>
          <cell r="FE24">
            <v>-3.8131735085630836E-2</v>
          </cell>
          <cell r="FF24">
            <v>7.8678374869186607E-2</v>
          </cell>
          <cell r="FG24">
            <v>5.5193071374305847E-2</v>
          </cell>
          <cell r="FH24">
            <v>0.1362149305073419</v>
          </cell>
          <cell r="FJ24">
            <v>7.1538427506982361E-2</v>
          </cell>
          <cell r="FK24">
            <v>8.081942175688317E-2</v>
          </cell>
          <cell r="FL24">
            <v>2.1403970561426844E-2</v>
          </cell>
          <cell r="FM24">
            <v>7.8237753491380513E-2</v>
          </cell>
          <cell r="FN24">
            <v>0.11107221583660554</v>
          </cell>
          <cell r="FP24">
            <v>6.1380773827491408E-2</v>
          </cell>
        </row>
        <row r="25">
          <cell r="A25" t="str">
            <v xml:space="preserve">Operating profit/ton </v>
          </cell>
          <cell r="C25">
            <v>96.164900662251668</v>
          </cell>
          <cell r="D25">
            <v>118.61937911571025</v>
          </cell>
          <cell r="E25">
            <v>119.01189189189188</v>
          </cell>
          <cell r="F25">
            <v>83.454631379962194</v>
          </cell>
          <cell r="G25">
            <v>62.363636363636367</v>
          </cell>
          <cell r="H25">
            <v>73.636283185840711</v>
          </cell>
          <cell r="I25">
            <v>89.147485080988915</v>
          </cell>
          <cell r="J25">
            <v>70.498775510204084</v>
          </cell>
          <cell r="K25">
            <v>100.96952686447474</v>
          </cell>
          <cell r="L25">
            <v>132.09258260378829</v>
          </cell>
          <cell r="M25">
            <v>68.990910944174573</v>
          </cell>
          <cell r="N25">
            <v>24.927585713179607</v>
          </cell>
          <cell r="O25">
            <v>16.416893801393751</v>
          </cell>
          <cell r="P25">
            <v>-70.938691543902223</v>
          </cell>
          <cell r="Q25">
            <v>-37.984680299420795</v>
          </cell>
          <cell r="R25">
            <v>-22.349776281175963</v>
          </cell>
          <cell r="S25">
            <v>152.34596413279093</v>
          </cell>
          <cell r="T25">
            <v>127.84974906841525</v>
          </cell>
          <cell r="U25">
            <v>45.348950049338278</v>
          </cell>
          <cell r="V25">
            <v>83.908135388784785</v>
          </cell>
          <cell r="W25">
            <v>30.449592817343046</v>
          </cell>
          <cell r="X25">
            <v>83.150984682713343</v>
          </cell>
          <cell r="AI25">
            <v>83.150984682713343</v>
          </cell>
          <cell r="AL25">
            <v>139.682826140901</v>
          </cell>
          <cell r="AM25">
            <v>104.13047891899208</v>
          </cell>
          <cell r="AN25">
            <v>66.592975253220246</v>
          </cell>
          <cell r="AO25">
            <v>22.19765841774008</v>
          </cell>
          <cell r="AQ25">
            <v>88.610164903336425</v>
          </cell>
          <cell r="AR25">
            <v>11.910938663177603</v>
          </cell>
          <cell r="AS25">
            <v>71.285163211441713</v>
          </cell>
          <cell r="AT25">
            <v>140.94610751426831</v>
          </cell>
          <cell r="AU25">
            <v>130.29845022445804</v>
          </cell>
          <cell r="AW25">
            <v>-26.789425387443963</v>
          </cell>
          <cell r="AX25">
            <v>-15.146930000676697</v>
          </cell>
          <cell r="AY25">
            <v>-32.161831848225873</v>
          </cell>
          <cell r="AZ25">
            <v>-39.349371021227782</v>
          </cell>
          <cell r="BA25">
            <v>-20.499568679645499</v>
          </cell>
          <cell r="BL25">
            <v>39.102423597043177</v>
          </cell>
          <cell r="BM25">
            <v>2.1066855226446606</v>
          </cell>
          <cell r="BN25">
            <v>14.087828735139418</v>
          </cell>
          <cell r="BO25">
            <v>43.571913645694643</v>
          </cell>
          <cell r="BP25">
            <v>96.643266484693996</v>
          </cell>
          <cell r="BR25">
            <v>157.80624989441804</v>
          </cell>
          <cell r="BS25">
            <v>167.10850157410795</v>
          </cell>
          <cell r="BT25">
            <v>160.64743350853843</v>
          </cell>
          <cell r="BU25">
            <v>160.64743350853843</v>
          </cell>
          <cell r="BV25">
            <v>142.82163098648741</v>
          </cell>
          <cell r="BX25">
            <v>91.711311875090388</v>
          </cell>
          <cell r="BY25">
            <v>122.17759381463813</v>
          </cell>
          <cell r="BZ25">
            <v>101.03810192502517</v>
          </cell>
          <cell r="CA25">
            <v>80.93613481016925</v>
          </cell>
          <cell r="CB25">
            <v>62.693416950529041</v>
          </cell>
          <cell r="CD25">
            <v>13.639799564396945</v>
          </cell>
          <cell r="CE25">
            <v>40.868852740233713</v>
          </cell>
          <cell r="CF25">
            <v>22.401666774318901</v>
          </cell>
          <cell r="CG25">
            <v>4.478704234248517</v>
          </cell>
          <cell r="CH25">
            <v>-13.190025491213344</v>
          </cell>
          <cell r="DB25">
            <v>30.449592817343046</v>
          </cell>
          <cell r="DC25">
            <v>21.114845811996663</v>
          </cell>
          <cell r="DD25">
            <v>-9.0234383811951542</v>
          </cell>
          <cell r="DE25">
            <v>31.942971869430846</v>
          </cell>
          <cell r="DF25">
            <v>77.763991969139838</v>
          </cell>
          <cell r="DH25">
            <v>83.908135388784785</v>
          </cell>
          <cell r="DI25">
            <v>107.66368293778551</v>
          </cell>
          <cell r="DJ25">
            <v>93.751034932993804</v>
          </cell>
          <cell r="DK25">
            <v>75.524396037467994</v>
          </cell>
          <cell r="DL25">
            <v>58.69342764689182</v>
          </cell>
          <cell r="DN25">
            <v>45.348950049338278</v>
          </cell>
          <cell r="DO25">
            <v>75.603542234332451</v>
          </cell>
          <cell r="DP25">
            <v>51.593097184377825</v>
          </cell>
          <cell r="DQ25">
            <v>35.430676490287979</v>
          </cell>
          <cell r="DR25">
            <v>18.768484288354877</v>
          </cell>
          <cell r="DT25">
            <v>127.84974906841525</v>
          </cell>
          <cell r="DU25">
            <v>14.025676966292112</v>
          </cell>
          <cell r="DV25">
            <v>100.15374460674153</v>
          </cell>
          <cell r="DW25">
            <v>165.35985960674142</v>
          </cell>
          <cell r="DX25">
            <v>231.85971509388594</v>
          </cell>
          <cell r="DZ25">
            <v>152.34596413279093</v>
          </cell>
          <cell r="EA25">
            <v>229.31030466628968</v>
          </cell>
          <cell r="EB25">
            <v>184.37396629213484</v>
          </cell>
          <cell r="EC25">
            <v>131.42019101123591</v>
          </cell>
          <cell r="ED25">
            <v>64.279394561503295</v>
          </cell>
          <cell r="EF25">
            <v>-22.349776281175963</v>
          </cell>
          <cell r="EG25">
            <v>15.062064732142792</v>
          </cell>
          <cell r="EH25">
            <v>-12.578089887640392</v>
          </cell>
          <cell r="EI25">
            <v>-69.612559612141155</v>
          </cell>
          <cell r="EJ25">
            <v>-22.270520357065088</v>
          </cell>
          <cell r="EL25">
            <v>-37.984680299420795</v>
          </cell>
          <cell r="EM25">
            <v>-47.596031893194876</v>
          </cell>
          <cell r="EN25">
            <v>-37.99775678357274</v>
          </cell>
          <cell r="EO25">
            <v>-26.154432844580064</v>
          </cell>
          <cell r="EP25">
            <v>-40.190499676335484</v>
          </cell>
          <cell r="ER25">
            <v>-70.938691543902223</v>
          </cell>
          <cell r="ES25">
            <v>-62.026187961985251</v>
          </cell>
          <cell r="ET25">
            <v>-71.040070921985816</v>
          </cell>
          <cell r="EU25">
            <v>-88.204468732491179</v>
          </cell>
          <cell r="EV25">
            <v>-62.484038559146654</v>
          </cell>
          <cell r="EX25">
            <v>16.416893801393751</v>
          </cell>
          <cell r="EY25">
            <v>-19.312013438804549</v>
          </cell>
          <cell r="EZ25">
            <v>4.3606958437993146</v>
          </cell>
          <cell r="FA25">
            <v>44.247255407246143</v>
          </cell>
          <cell r="FB25">
            <v>36.371637393334098</v>
          </cell>
          <cell r="FD25">
            <v>24.927585713179607</v>
          </cell>
          <cell r="FE25">
            <v>35.706809506218448</v>
          </cell>
          <cell r="FF25">
            <v>24.064145355019225</v>
          </cell>
          <cell r="FG25">
            <v>30.178097668900101</v>
          </cell>
          <cell r="FH25">
            <v>9.7612903225806456</v>
          </cell>
          <cell r="FJ25">
            <v>68.990910944174573</v>
          </cell>
          <cell r="FK25">
            <v>49.382276267426612</v>
          </cell>
          <cell r="FL25">
            <v>54.404603394817457</v>
          </cell>
          <cell r="FM25">
            <v>80.922354298686514</v>
          </cell>
          <cell r="FN25">
            <v>91.254409815767701</v>
          </cell>
          <cell r="FP25">
            <v>132.09258260378829</v>
          </cell>
          <cell r="FQ25">
            <v>132.26295661347751</v>
          </cell>
          <cell r="FR25">
            <v>114.63561329169626</v>
          </cell>
          <cell r="FS25">
            <v>146.76975988150974</v>
          </cell>
          <cell r="FT25">
            <v>134.70200062846968</v>
          </cell>
        </row>
        <row r="26">
          <cell r="A26" t="str">
            <v xml:space="preserve">  % Change </v>
          </cell>
          <cell r="D26">
            <v>0.23349973117866285</v>
          </cell>
          <cell r="E26">
            <v>3.3090105437050266E-3</v>
          </cell>
          <cell r="F26">
            <v>-0.29877065179527784</v>
          </cell>
          <cell r="G26">
            <v>-0.25272408094764964</v>
          </cell>
          <cell r="H26">
            <v>0.18075672746974902</v>
          </cell>
          <cell r="I26">
            <v>0.21064618180145733</v>
          </cell>
          <cell r="J26">
            <v>-0.20918940734943681</v>
          </cell>
          <cell r="K26">
            <v>0.4322167460888775</v>
          </cell>
          <cell r="L26">
            <v>0.30824206773879537</v>
          </cell>
          <cell r="M26">
            <v>-0.47770791073778296</v>
          </cell>
          <cell r="N26">
            <v>-0.63868304720095259</v>
          </cell>
          <cell r="O26">
            <v>-0.34141661409617052</v>
          </cell>
          <cell r="P26">
            <v>-5.3210787864071891</v>
          </cell>
          <cell r="Q26">
            <v>-0.46454213528997779</v>
          </cell>
          <cell r="R26">
            <v>-0.4116107834790238</v>
          </cell>
          <cell r="S26">
            <v>-7.8164424652923215</v>
          </cell>
          <cell r="T26">
            <v>-0.16079333117760697</v>
          </cell>
          <cell r="U26">
            <v>-0.64529496240879558</v>
          </cell>
          <cell r="V26">
            <v>0.85027735587031872</v>
          </cell>
          <cell r="W26">
            <v>-0.63710797914581052</v>
          </cell>
          <cell r="X26">
            <v>1.7307749296192028</v>
          </cell>
          <cell r="AI26">
            <v>1.7307749296192028</v>
          </cell>
          <cell r="AL26">
            <v>5.615384615384615</v>
          </cell>
          <cell r="AM26">
            <v>-12.540000000000001</v>
          </cell>
          <cell r="AN26">
            <v>1.0847457627118646</v>
          </cell>
          <cell r="AO26">
            <v>-0.71455093989324669</v>
          </cell>
          <cell r="AQ26">
            <v>6.5653825284861744E-2</v>
          </cell>
          <cell r="AR26">
            <v>-0.91472868217054271</v>
          </cell>
          <cell r="AS26">
            <v>-0.31542461005199318</v>
          </cell>
          <cell r="AT26">
            <v>1.116531165311653</v>
          </cell>
          <cell r="AU26">
            <v>4.8699186991869921</v>
          </cell>
          <cell r="AW26">
            <v>-1.3023290320773939</v>
          </cell>
          <cell r="AX26">
            <v>-2.2716823106060557</v>
          </cell>
          <cell r="AY26">
            <v>-1.4511714696202547</v>
          </cell>
          <cell r="AZ26">
            <v>-1.2791802605633813</v>
          </cell>
          <cell r="BA26">
            <v>-1.1573278012465382</v>
          </cell>
          <cell r="BL26">
            <v>-0.75221245278178106</v>
          </cell>
          <cell r="BM26">
            <v>-0.98739330732547792</v>
          </cell>
          <cell r="BN26">
            <v>-0.91230592093840923</v>
          </cell>
          <cell r="BO26">
            <v>-0.72877304856925218</v>
          </cell>
          <cell r="BP26">
            <v>-0.32332892561745374</v>
          </cell>
          <cell r="BR26">
            <v>0.72068468619605075</v>
          </cell>
          <cell r="BS26">
            <v>0.36775079911654496</v>
          </cell>
          <cell r="BT26">
            <v>0.58996883797110589</v>
          </cell>
          <cell r="BU26">
            <v>0.98486663448071932</v>
          </cell>
          <cell r="BV26">
            <v>1.2780961372577124</v>
          </cell>
          <cell r="BX26">
            <v>5.7238020208506786</v>
          </cell>
          <cell r="BY26">
            <v>1.9895038794264779</v>
          </cell>
          <cell r="BZ26">
            <v>3.5102939412014855</v>
          </cell>
          <cell r="CA26">
            <v>17.0713283523509</v>
          </cell>
          <cell r="CB26">
            <v>-5.7530929331632326</v>
          </cell>
          <cell r="CD26">
            <v>-1.5091486423142855</v>
          </cell>
          <cell r="CE26">
            <v>-3.6981607981556577</v>
          </cell>
          <cell r="CF26">
            <v>-1.6965295658541488</v>
          </cell>
          <cell r="CG26">
            <v>-1.11381895359477</v>
          </cell>
          <cell r="CH26">
            <v>-0.35657058461381053</v>
          </cell>
          <cell r="DB26">
            <v>-0.63710797914581052</v>
          </cell>
          <cell r="DC26">
            <v>-0.80388144603786149</v>
          </cell>
          <cell r="DD26">
            <v>-1.0962489468798338</v>
          </cell>
          <cell r="DE26">
            <v>-0.57705094584822914</v>
          </cell>
          <cell r="DF26">
            <v>0.32491822486461852</v>
          </cell>
          <cell r="DH26">
            <v>0.85027735587031872</v>
          </cell>
          <cell r="DI26">
            <v>0.42405606610445523</v>
          </cell>
          <cell r="DJ26">
            <v>0.81712360857028044</v>
          </cell>
          <cell r="DK26">
            <v>1.1316103308998415</v>
          </cell>
          <cell r="DL26">
            <v>2.1272332248645585</v>
          </cell>
          <cell r="DN26">
            <v>-0.64529496240879558</v>
          </cell>
          <cell r="DO26">
            <v>4.3903667121401933</v>
          </cell>
          <cell r="DP26">
            <v>-0.4848610265451323</v>
          </cell>
          <cell r="DQ26">
            <v>-0.78573593026415745</v>
          </cell>
          <cell r="DR26">
            <v>-0.91905241373752644</v>
          </cell>
          <cell r="DT26">
            <v>-0.16079333117760697</v>
          </cell>
          <cell r="DU26">
            <v>-0.93883538296849167</v>
          </cell>
          <cell r="DV26">
            <v>-0.4567902040570575</v>
          </cell>
          <cell r="DW26">
            <v>0.25825307613960025</v>
          </cell>
          <cell r="DX26">
            <v>2.6070612779658306</v>
          </cell>
          <cell r="DZ26">
            <v>-7.8164424652923215</v>
          </cell>
          <cell r="EA26">
            <v>14.224360586960978</v>
          </cell>
          <cell r="EB26">
            <v>-15.658343829559227</v>
          </cell>
          <cell r="EC26">
            <v>-2.8878804592657854</v>
          </cell>
          <cell r="ED26">
            <v>-3.8862996252851962</v>
          </cell>
          <cell r="EF26">
            <v>-0.4116107834790238</v>
          </cell>
          <cell r="EG26">
            <v>-1.3164563122812831</v>
          </cell>
          <cell r="EH26">
            <v>-0.66897809364688143</v>
          </cell>
          <cell r="EI26">
            <v>1.6615969853296528</v>
          </cell>
          <cell r="EJ26">
            <v>-0.44587600212947431</v>
          </cell>
          <cell r="EL26">
            <v>-0.46454213528997779</v>
          </cell>
          <cell r="EM26">
            <v>-0.23264618611794041</v>
          </cell>
          <cell r="EN26">
            <v>-0.46512220088714729</v>
          </cell>
          <cell r="EO26">
            <v>-0.70347950369836809</v>
          </cell>
          <cell r="EP26">
            <v>-0.35678773966744115</v>
          </cell>
          <cell r="ER26">
            <v>-5.3210787864071891</v>
          </cell>
          <cell r="ES26">
            <v>2.2117929162866612</v>
          </cell>
          <cell r="ET26">
            <v>-17.290994251066866</v>
          </cell>
          <cell r="EU26">
            <v>-2.993444970104211</v>
          </cell>
          <cell r="EV26">
            <v>-2.7179330664557386</v>
          </cell>
          <cell r="EX26">
            <v>-0.34141661409617052</v>
          </cell>
          <cell r="EY26">
            <v>-1.5408495944013509</v>
          </cell>
          <cell r="EZ26">
            <v>-0.81878866756056334</v>
          </cell>
          <cell r="FA26">
            <v>0.46620426153782879</v>
          </cell>
          <cell r="FB26">
            <v>2.7261095809430169</v>
          </cell>
          <cell r="FD26">
            <v>-0.63868304720095259</v>
          </cell>
          <cell r="FE26">
            <v>-0.27693066814396183</v>
          </cell>
          <cell r="FF26">
            <v>-0.55768181636424619</v>
          </cell>
          <cell r="FG26">
            <v>-0.62707340968464709</v>
          </cell>
          <cell r="FH26">
            <v>-0.89303212477854399</v>
          </cell>
          <cell r="FJ26">
            <v>-0.47770791073778296</v>
          </cell>
          <cell r="FK26">
            <v>-0.62663562397338257</v>
          </cell>
          <cell r="FL26">
            <v>-0.52541272443510101</v>
          </cell>
          <cell r="FM26">
            <v>-0.44864422777541635</v>
          </cell>
          <cell r="FN26">
            <v>-0.32254599493690961</v>
          </cell>
          <cell r="FP26">
            <v>0.30824206773879537</v>
          </cell>
        </row>
        <row r="27">
          <cell r="A27" t="str">
            <v>ONP Usage (000 short tons)</v>
          </cell>
          <cell r="W27">
            <v>1000</v>
          </cell>
          <cell r="X27">
            <v>1000</v>
          </cell>
          <cell r="AI27">
            <v>1000</v>
          </cell>
          <cell r="AL27">
            <v>250</v>
          </cell>
          <cell r="AM27">
            <v>250</v>
          </cell>
          <cell r="AN27">
            <v>250</v>
          </cell>
          <cell r="AO27">
            <v>250</v>
          </cell>
          <cell r="AQ27">
            <v>1000</v>
          </cell>
          <cell r="AR27">
            <v>250</v>
          </cell>
          <cell r="AS27">
            <v>250</v>
          </cell>
          <cell r="AT27">
            <v>250</v>
          </cell>
          <cell r="AU27">
            <v>250</v>
          </cell>
          <cell r="AW27">
            <v>1000</v>
          </cell>
          <cell r="AX27">
            <v>250</v>
          </cell>
          <cell r="AY27">
            <v>250</v>
          </cell>
          <cell r="AZ27">
            <v>250</v>
          </cell>
          <cell r="BA27">
            <v>250</v>
          </cell>
          <cell r="BL27">
            <v>1000</v>
          </cell>
          <cell r="BM27">
            <v>250</v>
          </cell>
          <cell r="BN27">
            <v>250</v>
          </cell>
          <cell r="BO27">
            <v>250</v>
          </cell>
          <cell r="BP27">
            <v>250</v>
          </cell>
          <cell r="BR27">
            <v>1000</v>
          </cell>
          <cell r="BS27">
            <v>250</v>
          </cell>
          <cell r="BT27">
            <v>250</v>
          </cell>
          <cell r="BU27">
            <v>250</v>
          </cell>
          <cell r="BV27">
            <v>250</v>
          </cell>
          <cell r="BX27">
            <v>1000</v>
          </cell>
          <cell r="BY27">
            <v>250</v>
          </cell>
          <cell r="BZ27">
            <v>250</v>
          </cell>
          <cell r="CA27">
            <v>250</v>
          </cell>
          <cell r="CB27">
            <v>250</v>
          </cell>
          <cell r="CD27">
            <v>1000</v>
          </cell>
          <cell r="CE27">
            <v>250</v>
          </cell>
          <cell r="CF27">
            <v>250</v>
          </cell>
          <cell r="CG27">
            <v>250</v>
          </cell>
          <cell r="CH27">
            <v>250</v>
          </cell>
          <cell r="DB27">
            <v>1000</v>
          </cell>
          <cell r="DC27">
            <v>250</v>
          </cell>
          <cell r="DD27">
            <v>250</v>
          </cell>
          <cell r="DE27">
            <v>250</v>
          </cell>
          <cell r="DF27">
            <v>250</v>
          </cell>
        </row>
        <row r="28">
          <cell r="A28" t="str">
            <v>Change in Cost due to ONP Price Change</v>
          </cell>
          <cell r="W28">
            <v>0</v>
          </cell>
          <cell r="X28">
            <v>9.0625</v>
          </cell>
          <cell r="AI28">
            <v>9.0625</v>
          </cell>
          <cell r="AL28">
            <v>1.5625</v>
          </cell>
          <cell r="AM28">
            <v>2.5</v>
          </cell>
          <cell r="AN28">
            <v>3.75</v>
          </cell>
          <cell r="AO28">
            <v>1.25</v>
          </cell>
          <cell r="AQ28">
            <v>-6.875</v>
          </cell>
          <cell r="AR28">
            <v>-3.75</v>
          </cell>
          <cell r="AS28">
            <v>-3.125</v>
          </cell>
          <cell r="AT28">
            <v>0</v>
          </cell>
          <cell r="AU28">
            <v>0</v>
          </cell>
          <cell r="AW28">
            <v>-2.5</v>
          </cell>
          <cell r="AX28">
            <v>0</v>
          </cell>
          <cell r="AY28">
            <v>0</v>
          </cell>
          <cell r="AZ28">
            <v>0</v>
          </cell>
          <cell r="BA28">
            <v>-2.5</v>
          </cell>
          <cell r="BL28">
            <v>-8.125</v>
          </cell>
          <cell r="BM28">
            <v>-0.625</v>
          </cell>
          <cell r="BN28">
            <v>-1.5625</v>
          </cell>
          <cell r="BO28">
            <v>-2.8125</v>
          </cell>
          <cell r="BP28">
            <v>-3.125</v>
          </cell>
          <cell r="BR28">
            <v>1.875</v>
          </cell>
          <cell r="BS28">
            <v>0</v>
          </cell>
          <cell r="BT28">
            <v>0</v>
          </cell>
          <cell r="BU28">
            <v>0.9375</v>
          </cell>
          <cell r="BV28">
            <v>0.9375</v>
          </cell>
          <cell r="BX28">
            <v>3.75</v>
          </cell>
          <cell r="BY28">
            <v>0.9375</v>
          </cell>
          <cell r="BZ28">
            <v>0.9375</v>
          </cell>
          <cell r="CA28">
            <v>0.9375</v>
          </cell>
          <cell r="CB28">
            <v>0.9375</v>
          </cell>
          <cell r="CD28">
            <v>2.8125</v>
          </cell>
          <cell r="CE28">
            <v>0.9375</v>
          </cell>
          <cell r="CF28">
            <v>0.9375</v>
          </cell>
          <cell r="CG28">
            <v>0.9375</v>
          </cell>
          <cell r="CH28">
            <v>0</v>
          </cell>
          <cell r="DC28">
            <v>2.5</v>
          </cell>
        </row>
        <row r="30">
          <cell r="A30" t="str">
            <v>Newsprint</v>
          </cell>
        </row>
        <row r="31">
          <cell r="A31" t="str">
            <v>Sales</v>
          </cell>
          <cell r="P31">
            <v>662.26900000000001</v>
          </cell>
          <cell r="Q31">
            <v>607.58800000000008</v>
          </cell>
          <cell r="R31">
            <v>603.976</v>
          </cell>
          <cell r="S31">
            <v>841.61800000000005</v>
          </cell>
          <cell r="T31">
            <v>845.28499999999997</v>
          </cell>
          <cell r="U31">
            <v>730.9</v>
          </cell>
          <cell r="V31">
            <v>1112.4037000000001</v>
          </cell>
          <cell r="W31">
            <v>1282.2067999999999</v>
          </cell>
          <cell r="X31">
            <v>1421.5</v>
          </cell>
          <cell r="Y31">
            <v>1434.7000000000003</v>
          </cell>
          <cell r="Z31">
            <v>1199.2</v>
          </cell>
          <cell r="AA31">
            <v>1348.2800000000002</v>
          </cell>
          <cell r="AB31">
            <v>1515.08</v>
          </cell>
          <cell r="AC31">
            <v>1672.7649999999999</v>
          </cell>
          <cell r="AD31">
            <v>1394.76</v>
          </cell>
          <cell r="AI31">
            <v>1421.5</v>
          </cell>
          <cell r="AL31">
            <v>409.4</v>
          </cell>
          <cell r="AM31">
            <v>377.4</v>
          </cell>
          <cell r="AN31">
            <v>327.60000000000002</v>
          </cell>
          <cell r="AO31">
            <v>307.10000000000002</v>
          </cell>
          <cell r="AQ31">
            <v>1434.7000000000003</v>
          </cell>
          <cell r="AR31">
            <v>365.8</v>
          </cell>
          <cell r="AS31">
            <v>322.89999999999998</v>
          </cell>
          <cell r="AT31">
            <v>366.6</v>
          </cell>
          <cell r="AU31">
            <v>379.4</v>
          </cell>
          <cell r="AW31">
            <v>1199.2</v>
          </cell>
          <cell r="AX31">
            <v>327.8</v>
          </cell>
          <cell r="AY31">
            <v>289.8</v>
          </cell>
          <cell r="AZ31">
            <v>290.89999999999998</v>
          </cell>
          <cell r="BA31">
            <v>290.7</v>
          </cell>
          <cell r="BL31">
            <v>1394.76</v>
          </cell>
          <cell r="BM31">
            <v>337.68</v>
          </cell>
          <cell r="BN31">
            <v>330.51</v>
          </cell>
          <cell r="BO31">
            <v>347.76</v>
          </cell>
          <cell r="BP31">
            <v>378.81</v>
          </cell>
          <cell r="BR31">
            <v>1672.7649999999999</v>
          </cell>
          <cell r="BS31">
            <v>434.27499999999998</v>
          </cell>
          <cell r="BT31">
            <v>416.30500000000001</v>
          </cell>
          <cell r="BU31">
            <v>416.30500000000001</v>
          </cell>
          <cell r="BV31">
            <v>405.88</v>
          </cell>
          <cell r="BX31">
            <v>1515.08</v>
          </cell>
          <cell r="BY31">
            <v>409.68</v>
          </cell>
          <cell r="BZ31">
            <v>387.8</v>
          </cell>
          <cell r="CA31">
            <v>366.52</v>
          </cell>
          <cell r="CB31">
            <v>351.08</v>
          </cell>
          <cell r="CD31">
            <v>1348.2800000000002</v>
          </cell>
          <cell r="CE31">
            <v>361.39</v>
          </cell>
          <cell r="CF31">
            <v>345.8</v>
          </cell>
          <cell r="CG31">
            <v>320.93</v>
          </cell>
          <cell r="CH31">
            <v>320.16000000000003</v>
          </cell>
          <cell r="DB31">
            <v>1282.2067999999999</v>
          </cell>
          <cell r="DC31">
            <v>326</v>
          </cell>
          <cell r="DD31">
            <v>298</v>
          </cell>
          <cell r="DE31">
            <v>311</v>
          </cell>
          <cell r="DF31">
            <v>347.20680000000004</v>
          </cell>
          <cell r="DH31">
            <v>1112.4037000000001</v>
          </cell>
          <cell r="DI31">
            <v>396.00370000000004</v>
          </cell>
          <cell r="DJ31">
            <v>335.9</v>
          </cell>
          <cell r="DK31">
            <v>197</v>
          </cell>
          <cell r="DL31">
            <v>183.5</v>
          </cell>
          <cell r="DN31">
            <v>730.9</v>
          </cell>
          <cell r="DO31">
            <v>201.1</v>
          </cell>
          <cell r="DP31">
            <v>184.5</v>
          </cell>
          <cell r="DQ31">
            <v>178.2</v>
          </cell>
          <cell r="DR31">
            <v>167.1</v>
          </cell>
          <cell r="DT31">
            <v>845.28499999999997</v>
          </cell>
          <cell r="DU31">
            <v>183</v>
          </cell>
          <cell r="DV31">
            <v>201.41300000000001</v>
          </cell>
          <cell r="DW31">
            <v>225.18899999999999</v>
          </cell>
          <cell r="DX31">
            <v>235.68299999999999</v>
          </cell>
          <cell r="DZ31">
            <v>841.61800000000005</v>
          </cell>
          <cell r="EA31">
            <v>256.77800000000002</v>
          </cell>
          <cell r="EB31">
            <v>219.154</v>
          </cell>
          <cell r="EC31">
            <v>197.173</v>
          </cell>
          <cell r="ED31">
            <v>168.51300000000001</v>
          </cell>
          <cell r="EF31">
            <v>603.976</v>
          </cell>
          <cell r="EG31">
            <v>162.79400000000001</v>
          </cell>
          <cell r="EH31">
            <v>156.071</v>
          </cell>
          <cell r="EI31">
            <v>146.81800000000001</v>
          </cell>
          <cell r="EJ31">
            <v>138.29300000000001</v>
          </cell>
          <cell r="EL31">
            <v>607.58800000000008</v>
          </cell>
          <cell r="EM31">
            <v>148.042</v>
          </cell>
          <cell r="EN31">
            <v>153.55600000000001</v>
          </cell>
          <cell r="EO31">
            <v>149.203</v>
          </cell>
          <cell r="EP31">
            <v>156.78700000000001</v>
          </cell>
          <cell r="ER31">
            <v>662.26900000000001</v>
          </cell>
          <cell r="ES31">
            <v>182.768</v>
          </cell>
          <cell r="ET31">
            <v>161.98099999999999</v>
          </cell>
          <cell r="EU31">
            <v>158.97999999999999</v>
          </cell>
          <cell r="EV31">
            <v>158.54</v>
          </cell>
        </row>
        <row r="32">
          <cell r="A32" t="str">
            <v>Production</v>
          </cell>
          <cell r="X32">
            <v>0</v>
          </cell>
          <cell r="Y32">
            <v>0</v>
          </cell>
          <cell r="Z32">
            <v>0</v>
          </cell>
          <cell r="AA32">
            <v>0</v>
          </cell>
          <cell r="AB32">
            <v>0</v>
          </cell>
          <cell r="AC32">
            <v>0</v>
          </cell>
          <cell r="AD32">
            <v>0</v>
          </cell>
          <cell r="AW32">
            <v>0</v>
          </cell>
          <cell r="BL32">
            <v>0</v>
          </cell>
          <cell r="BR32">
            <v>0</v>
          </cell>
          <cell r="BX32">
            <v>0</v>
          </cell>
          <cell r="CD32">
            <v>0</v>
          </cell>
        </row>
        <row r="33">
          <cell r="A33" t="str">
            <v xml:space="preserve">  (000 short tons)</v>
          </cell>
          <cell r="P33">
            <v>1599.316</v>
          </cell>
          <cell r="Q33">
            <v>1441.527</v>
          </cell>
          <cell r="R33">
            <v>1450.46</v>
          </cell>
          <cell r="S33">
            <v>1395.9390000000001</v>
          </cell>
          <cell r="T33">
            <v>1456.335</v>
          </cell>
          <cell r="U33">
            <v>1456.9</v>
          </cell>
          <cell r="V33">
            <v>1478.7535</v>
          </cell>
          <cell r="W33">
            <v>1500.9348024999999</v>
          </cell>
          <cell r="X33">
            <v>1911.85</v>
          </cell>
          <cell r="Y33">
            <v>1911.85</v>
          </cell>
          <cell r="Z33">
            <v>1911.85</v>
          </cell>
          <cell r="AA33">
            <v>1911.85</v>
          </cell>
          <cell r="AB33">
            <v>1911.85</v>
          </cell>
          <cell r="AC33">
            <v>1911.85</v>
          </cell>
          <cell r="AD33">
            <v>1911.85</v>
          </cell>
          <cell r="AI33">
            <v>1911.85</v>
          </cell>
          <cell r="AL33">
            <v>477.96249999999998</v>
          </cell>
          <cell r="AM33">
            <v>477.96249999999998</v>
          </cell>
          <cell r="AN33">
            <v>477.96249999999998</v>
          </cell>
          <cell r="AO33">
            <v>477.96249999999998</v>
          </cell>
          <cell r="AQ33">
            <v>1911.85</v>
          </cell>
          <cell r="AR33">
            <v>477.96249999999998</v>
          </cell>
          <cell r="AS33">
            <v>477.96249999999998</v>
          </cell>
          <cell r="AT33">
            <v>477.96249999999998</v>
          </cell>
          <cell r="AU33">
            <v>477.96249999999998</v>
          </cell>
          <cell r="AW33">
            <v>1911.85</v>
          </cell>
          <cell r="AX33">
            <v>477.96249999999998</v>
          </cell>
          <cell r="AY33">
            <v>477.96249999999998</v>
          </cell>
          <cell r="AZ33">
            <v>477.96249999999998</v>
          </cell>
          <cell r="BA33">
            <v>477.96249999999998</v>
          </cell>
          <cell r="BL33">
            <v>1911.85</v>
          </cell>
          <cell r="BM33">
            <v>477.96249999999998</v>
          </cell>
          <cell r="BN33">
            <v>477.96249999999998</v>
          </cell>
          <cell r="BO33">
            <v>477.96249999999998</v>
          </cell>
          <cell r="BP33">
            <v>477.96249999999998</v>
          </cell>
          <cell r="BR33">
            <v>1911.85</v>
          </cell>
          <cell r="BS33">
            <v>477.96249999999998</v>
          </cell>
          <cell r="BT33">
            <v>477.96249999999998</v>
          </cell>
          <cell r="BU33">
            <v>477.96249999999998</v>
          </cell>
          <cell r="BV33">
            <v>477.96249999999998</v>
          </cell>
          <cell r="BX33">
            <v>1911.85</v>
          </cell>
          <cell r="BY33">
            <v>477.96249999999998</v>
          </cell>
          <cell r="BZ33">
            <v>477.96249999999998</v>
          </cell>
          <cell r="CA33">
            <v>477.96249999999998</v>
          </cell>
          <cell r="CB33">
            <v>477.96249999999998</v>
          </cell>
          <cell r="CD33">
            <v>1911.85</v>
          </cell>
          <cell r="CE33">
            <v>477.96249999999998</v>
          </cell>
          <cell r="CF33">
            <v>477.96249999999998</v>
          </cell>
          <cell r="CG33">
            <v>477.96249999999998</v>
          </cell>
          <cell r="CH33">
            <v>477.96249999999998</v>
          </cell>
          <cell r="DB33">
            <v>1911.85</v>
          </cell>
          <cell r="DC33">
            <v>477.96249999999998</v>
          </cell>
          <cell r="DD33">
            <v>477.96249999999998</v>
          </cell>
          <cell r="DE33">
            <v>477.96249999999998</v>
          </cell>
          <cell r="DF33">
            <v>477.96249999999998</v>
          </cell>
          <cell r="DH33">
            <v>1911.85</v>
          </cell>
          <cell r="DI33">
            <v>591.70000000000005</v>
          </cell>
          <cell r="DJ33">
            <v>591.70000000000005</v>
          </cell>
          <cell r="DK33">
            <v>364.22500000000002</v>
          </cell>
          <cell r="DL33">
            <v>364.22500000000002</v>
          </cell>
          <cell r="DN33">
            <v>1456.9</v>
          </cell>
          <cell r="DO33">
            <v>363.1</v>
          </cell>
          <cell r="DP33">
            <v>363.1</v>
          </cell>
          <cell r="DQ33">
            <v>372.2</v>
          </cell>
          <cell r="DR33">
            <v>358.5</v>
          </cell>
          <cell r="DT33">
            <v>1456.335</v>
          </cell>
          <cell r="DU33">
            <v>369</v>
          </cell>
          <cell r="DV33">
            <v>369.23899999999998</v>
          </cell>
          <cell r="DW33">
            <v>351.56799999999998</v>
          </cell>
          <cell r="DX33">
            <v>366.52800000000002</v>
          </cell>
          <cell r="DZ33">
            <v>1395.9390000000001</v>
          </cell>
          <cell r="EA33">
            <v>357.33499999999998</v>
          </cell>
          <cell r="EB33">
            <v>357.93099999999998</v>
          </cell>
          <cell r="EC33">
            <v>345.12700000000001</v>
          </cell>
          <cell r="ED33">
            <v>335.54599999999999</v>
          </cell>
          <cell r="EF33">
            <v>1450.46</v>
          </cell>
          <cell r="EG33">
            <v>348.00099999999998</v>
          </cell>
          <cell r="EH33">
            <v>355.79</v>
          </cell>
          <cell r="EI33">
            <v>371.59500000000003</v>
          </cell>
          <cell r="EJ33">
            <v>375.07400000000001</v>
          </cell>
          <cell r="EL33">
            <v>1441.527</v>
          </cell>
          <cell r="EM33">
            <v>350.33</v>
          </cell>
          <cell r="EN33">
            <v>355.827</v>
          </cell>
          <cell r="EO33">
            <v>361.53699999999998</v>
          </cell>
          <cell r="EP33">
            <v>373.83300000000003</v>
          </cell>
          <cell r="ER33">
            <v>1599.316</v>
          </cell>
          <cell r="ES33">
            <v>421.745</v>
          </cell>
          <cell r="ET33">
            <v>397.74400000000003</v>
          </cell>
          <cell r="EU33">
            <v>408.435</v>
          </cell>
          <cell r="EV33">
            <v>371.392</v>
          </cell>
        </row>
        <row r="34">
          <cell r="A34" t="str">
            <v>Operating Income</v>
          </cell>
          <cell r="X34">
            <v>169.3</v>
          </cell>
          <cell r="Y34">
            <v>189.1</v>
          </cell>
          <cell r="Z34">
            <v>-50.1</v>
          </cell>
          <cell r="AA34">
            <v>70.930000000000007</v>
          </cell>
          <cell r="AB34">
            <v>260.69374999999997</v>
          </cell>
          <cell r="AC34">
            <v>390.07937499999991</v>
          </cell>
          <cell r="AD34">
            <v>118.14375000000007</v>
          </cell>
          <cell r="AI34">
            <v>169.3</v>
          </cell>
          <cell r="AL34">
            <v>68.900000000000006</v>
          </cell>
          <cell r="AM34">
            <v>52.4</v>
          </cell>
          <cell r="AN34">
            <v>36.1</v>
          </cell>
          <cell r="AO34">
            <v>11.9</v>
          </cell>
          <cell r="AQ34">
            <v>189.1</v>
          </cell>
          <cell r="AR34">
            <v>6.6</v>
          </cell>
          <cell r="AS34">
            <v>38.4</v>
          </cell>
          <cell r="AT34">
            <v>75</v>
          </cell>
          <cell r="AU34">
            <v>69.099999999999994</v>
          </cell>
          <cell r="AW34">
            <v>-50.1</v>
          </cell>
          <cell r="AX34">
            <v>-4.5999999999999996</v>
          </cell>
          <cell r="AY34">
            <v>-22.4</v>
          </cell>
          <cell r="AZ34">
            <v>-17.100000000000001</v>
          </cell>
          <cell r="BA34">
            <v>-6</v>
          </cell>
          <cell r="BL34">
            <v>118.14375000000007</v>
          </cell>
          <cell r="BM34">
            <v>9.9000000000000341</v>
          </cell>
          <cell r="BN34">
            <v>15.870000000000005</v>
          </cell>
          <cell r="BO34">
            <v>31.826250000000016</v>
          </cell>
          <cell r="BP34">
            <v>60.547500000000014</v>
          </cell>
          <cell r="BR34">
            <v>390.07937499999991</v>
          </cell>
          <cell r="BS34">
            <v>103.13124999999997</v>
          </cell>
          <cell r="BT34">
            <v>98.863749999999982</v>
          </cell>
          <cell r="BU34">
            <v>98.863749999999982</v>
          </cell>
          <cell r="BV34">
            <v>89.220624999999984</v>
          </cell>
          <cell r="BX34">
            <v>260.69374999999997</v>
          </cell>
          <cell r="BY34">
            <v>82.44</v>
          </cell>
          <cell r="BZ34">
            <v>70.4375</v>
          </cell>
          <cell r="CA34">
            <v>58.990000000000009</v>
          </cell>
          <cell r="CB34">
            <v>48.826249999999959</v>
          </cell>
          <cell r="CD34">
            <v>70.930000000000007</v>
          </cell>
          <cell r="CE34">
            <v>41.889999999999986</v>
          </cell>
          <cell r="CF34">
            <v>23.800000000000011</v>
          </cell>
          <cell r="CG34">
            <v>9.3799999999999955</v>
          </cell>
          <cell r="CH34">
            <v>-4.1399999999999864</v>
          </cell>
        </row>
        <row r="35">
          <cell r="A35" t="str">
            <v>Shipments</v>
          </cell>
        </row>
        <row r="36">
          <cell r="A36" t="str">
            <v xml:space="preserve">  (000 metric tons)</v>
          </cell>
          <cell r="P36">
            <v>1475.3678671867915</v>
          </cell>
          <cell r="Q36">
            <v>1303.8655538419666</v>
          </cell>
          <cell r="R36">
            <v>1324.052435816021</v>
          </cell>
          <cell r="S36">
            <v>1272.0112492062051</v>
          </cell>
          <cell r="T36">
            <v>1311.2274335480358</v>
          </cell>
          <cell r="U36">
            <v>1344.9151773564365</v>
          </cell>
          <cell r="V36">
            <v>1959.7</v>
          </cell>
          <cell r="W36">
            <v>2582.6000000000004</v>
          </cell>
          <cell r="X36">
            <v>2597</v>
          </cell>
          <cell r="Y36">
            <v>2545.4</v>
          </cell>
          <cell r="Z36">
            <v>2643.8</v>
          </cell>
          <cell r="AA36">
            <v>2770</v>
          </cell>
          <cell r="AB36">
            <v>2770</v>
          </cell>
          <cell r="AC36">
            <v>2810</v>
          </cell>
          <cell r="AD36">
            <v>2790</v>
          </cell>
          <cell r="AI36">
            <v>2597</v>
          </cell>
          <cell r="AL36">
            <v>702.1</v>
          </cell>
          <cell r="AM36">
            <v>676</v>
          </cell>
          <cell r="AN36">
            <v>609.70000000000005</v>
          </cell>
          <cell r="AO36">
            <v>609.20000000000005</v>
          </cell>
          <cell r="AQ36">
            <v>2545.4</v>
          </cell>
          <cell r="AR36">
            <v>725.3</v>
          </cell>
          <cell r="AS36">
            <v>584.6</v>
          </cell>
          <cell r="AT36">
            <v>607.29999999999995</v>
          </cell>
          <cell r="AU36">
            <v>628.20000000000005</v>
          </cell>
          <cell r="AW36">
            <v>2643.8</v>
          </cell>
          <cell r="AX36">
            <v>706.5</v>
          </cell>
          <cell r="AY36">
            <v>646.1</v>
          </cell>
          <cell r="AZ36">
            <v>656.7</v>
          </cell>
          <cell r="BA36">
            <v>634.5</v>
          </cell>
          <cell r="BL36">
            <v>2790</v>
          </cell>
          <cell r="BM36">
            <v>720</v>
          </cell>
          <cell r="BN36">
            <v>690</v>
          </cell>
          <cell r="BO36">
            <v>690</v>
          </cell>
          <cell r="BP36">
            <v>690</v>
          </cell>
          <cell r="BR36">
            <v>2810</v>
          </cell>
          <cell r="BS36">
            <v>725</v>
          </cell>
          <cell r="BT36">
            <v>695</v>
          </cell>
          <cell r="BU36">
            <v>695</v>
          </cell>
          <cell r="BV36">
            <v>695</v>
          </cell>
          <cell r="BX36">
            <v>2770</v>
          </cell>
          <cell r="BY36">
            <v>720</v>
          </cell>
          <cell r="BZ36">
            <v>700</v>
          </cell>
          <cell r="CA36">
            <v>680</v>
          </cell>
          <cell r="CB36">
            <v>670</v>
          </cell>
          <cell r="CD36">
            <v>2770</v>
          </cell>
          <cell r="CE36">
            <v>710</v>
          </cell>
          <cell r="CF36">
            <v>700</v>
          </cell>
          <cell r="CG36">
            <v>670</v>
          </cell>
          <cell r="CH36">
            <v>690</v>
          </cell>
          <cell r="DB36">
            <v>2582.6000000000004</v>
          </cell>
          <cell r="DC36">
            <v>658.4</v>
          </cell>
          <cell r="DD36">
            <v>634.5</v>
          </cell>
          <cell r="DE36">
            <v>639.5</v>
          </cell>
          <cell r="DF36">
            <v>650.20000000000005</v>
          </cell>
          <cell r="DH36">
            <v>1959.7</v>
          </cell>
          <cell r="DI36">
            <v>718.7</v>
          </cell>
          <cell r="DJ36">
            <v>591.70000000000005</v>
          </cell>
          <cell r="DK36">
            <v>336.1</v>
          </cell>
          <cell r="DL36">
            <v>313.2</v>
          </cell>
          <cell r="DN36">
            <v>1344.9151773564365</v>
          </cell>
          <cell r="DO36">
            <v>352.89848498593847</v>
          </cell>
          <cell r="DP36">
            <v>332.48661888778008</v>
          </cell>
          <cell r="DQ36">
            <v>330.8536695999274</v>
          </cell>
          <cell r="DR36">
            <v>328.67640388279051</v>
          </cell>
          <cell r="DT36">
            <v>1311.2274335480358</v>
          </cell>
          <cell r="DU36">
            <v>342.91935044906103</v>
          </cell>
          <cell r="DV36">
            <v>332.10831896942756</v>
          </cell>
          <cell r="DW36">
            <v>325.50938945840517</v>
          </cell>
          <cell r="DX36">
            <v>310.69037467114214</v>
          </cell>
          <cell r="DZ36">
            <v>1272.0112492062051</v>
          </cell>
          <cell r="EA36">
            <v>340.78109407602284</v>
          </cell>
          <cell r="EB36">
            <v>311.81166651546761</v>
          </cell>
          <cell r="EC36">
            <v>310.00725755239046</v>
          </cell>
          <cell r="ED36">
            <v>309.41123106232425</v>
          </cell>
          <cell r="EF36">
            <v>1324.052435816021</v>
          </cell>
          <cell r="EG36">
            <v>329.638029574526</v>
          </cell>
          <cell r="EH36">
            <v>333.02458495872264</v>
          </cell>
          <cell r="EI36">
            <v>337.4017962442166</v>
          </cell>
          <cell r="EJ36">
            <v>323.98802503855575</v>
          </cell>
          <cell r="EL36">
            <v>1303.8655538419666</v>
          </cell>
          <cell r="EM36">
            <v>330.7366415676313</v>
          </cell>
          <cell r="EN36">
            <v>328.14569536423835</v>
          </cell>
          <cell r="EO36">
            <v>307.01623877347362</v>
          </cell>
          <cell r="EP36">
            <v>337.96697813662342</v>
          </cell>
          <cell r="ER36">
            <v>1475.3678671867915</v>
          </cell>
          <cell r="ES36">
            <v>399.57452599110951</v>
          </cell>
          <cell r="ET36">
            <v>367.68574798149325</v>
          </cell>
          <cell r="EU36">
            <v>361.86972693459131</v>
          </cell>
          <cell r="EV36">
            <v>346.2378662795972</v>
          </cell>
        </row>
        <row r="37">
          <cell r="A37" t="str">
            <v>Price per metric ton</v>
          </cell>
          <cell r="P37">
            <v>448.79279274427938</v>
          </cell>
          <cell r="Q37">
            <v>466.36333830689006</v>
          </cell>
          <cell r="R37">
            <v>456.12321749542372</v>
          </cell>
          <cell r="S37">
            <v>659.24776163584761</v>
          </cell>
          <cell r="T37">
            <v>647.62606878785027</v>
          </cell>
          <cell r="U37">
            <v>542.94282254540292</v>
          </cell>
          <cell r="V37">
            <v>571</v>
          </cell>
          <cell r="W37">
            <v>496.27957967349846</v>
          </cell>
          <cell r="X37">
            <v>545.5</v>
          </cell>
          <cell r="Y37">
            <v>567.75</v>
          </cell>
          <cell r="Z37">
            <v>453.5</v>
          </cell>
          <cell r="AA37">
            <v>486.5</v>
          </cell>
          <cell r="AB37">
            <v>546.5</v>
          </cell>
          <cell r="AC37">
            <v>595.25</v>
          </cell>
          <cell r="AD37">
            <v>500.25</v>
          </cell>
          <cell r="AI37">
            <v>545.5</v>
          </cell>
          <cell r="AL37">
            <v>583</v>
          </cell>
          <cell r="AM37">
            <v>558</v>
          </cell>
          <cell r="AN37">
            <v>537</v>
          </cell>
          <cell r="AO37">
            <v>504</v>
          </cell>
          <cell r="AQ37">
            <v>567.75</v>
          </cell>
          <cell r="AR37">
            <v>504</v>
          </cell>
          <cell r="AS37">
            <v>559</v>
          </cell>
          <cell r="AT37">
            <v>604</v>
          </cell>
          <cell r="AU37">
            <v>604</v>
          </cell>
          <cell r="AW37">
            <v>453.5</v>
          </cell>
          <cell r="AX37">
            <v>464</v>
          </cell>
          <cell r="AY37">
            <v>449</v>
          </cell>
          <cell r="AZ37">
            <v>443</v>
          </cell>
          <cell r="BA37">
            <v>458</v>
          </cell>
          <cell r="BL37">
            <v>500.25</v>
          </cell>
          <cell r="BM37">
            <v>469</v>
          </cell>
          <cell r="BN37">
            <v>479</v>
          </cell>
          <cell r="BO37">
            <v>504</v>
          </cell>
          <cell r="BP37">
            <v>549</v>
          </cell>
          <cell r="BR37">
            <v>595.25</v>
          </cell>
          <cell r="BS37">
            <v>599</v>
          </cell>
          <cell r="BT37">
            <v>599</v>
          </cell>
          <cell r="BU37">
            <v>599</v>
          </cell>
          <cell r="BV37">
            <v>584</v>
          </cell>
          <cell r="BX37">
            <v>546.5</v>
          </cell>
          <cell r="BY37">
            <v>569</v>
          </cell>
          <cell r="BZ37">
            <v>554</v>
          </cell>
          <cell r="CA37">
            <v>539</v>
          </cell>
          <cell r="CB37">
            <v>524</v>
          </cell>
          <cell r="CD37">
            <v>486.5</v>
          </cell>
          <cell r="CE37">
            <v>509</v>
          </cell>
          <cell r="CF37">
            <v>494</v>
          </cell>
          <cell r="CG37">
            <v>479</v>
          </cell>
          <cell r="CH37">
            <v>464</v>
          </cell>
          <cell r="DB37">
            <v>496.27957967349846</v>
          </cell>
          <cell r="DC37">
            <v>495.1397326852977</v>
          </cell>
          <cell r="DD37">
            <v>469.66115051221436</v>
          </cell>
          <cell r="DE37">
            <v>486.31743549648166</v>
          </cell>
          <cell r="DF37">
            <v>534</v>
          </cell>
          <cell r="DH37">
            <v>571</v>
          </cell>
          <cell r="DI37">
            <v>551</v>
          </cell>
          <cell r="DJ37">
            <v>561</v>
          </cell>
          <cell r="DK37">
            <v>586</v>
          </cell>
          <cell r="DL37">
            <v>586</v>
          </cell>
          <cell r="DN37">
            <v>542.94282254540292</v>
          </cell>
          <cell r="DO37">
            <v>569.85226221079699</v>
          </cell>
          <cell r="DP37">
            <v>554.9095497953615</v>
          </cell>
          <cell r="DQ37">
            <v>538.60669043049086</v>
          </cell>
          <cell r="DR37">
            <v>508.40278774496272</v>
          </cell>
          <cell r="DT37">
            <v>647.62606878785027</v>
          </cell>
          <cell r="DU37">
            <v>533.65317460317465</v>
          </cell>
          <cell r="DV37">
            <v>606.46779528139803</v>
          </cell>
          <cell r="DW37">
            <v>691.80492880613349</v>
          </cell>
          <cell r="DX37">
            <v>758.57837646069481</v>
          </cell>
          <cell r="DZ37">
            <v>659.24776163584761</v>
          </cell>
          <cell r="EA37">
            <v>753.49837318943787</v>
          </cell>
          <cell r="EB37">
            <v>702.84092461668274</v>
          </cell>
          <cell r="EC37">
            <v>636.02704516257415</v>
          </cell>
          <cell r="ED37">
            <v>544.62470357469556</v>
          </cell>
          <cell r="EF37">
            <v>456.12321749542372</v>
          </cell>
          <cell r="EG37">
            <v>493.85685325847646</v>
          </cell>
          <cell r="EH37">
            <v>468.64708207456965</v>
          </cell>
          <cell r="EI37">
            <v>435.14291160954838</v>
          </cell>
          <cell r="EJ37">
            <v>426.84602303910043</v>
          </cell>
          <cell r="EL37">
            <v>466.36333830689006</v>
          </cell>
          <cell r="EM37">
            <v>447.61293849483371</v>
          </cell>
          <cell r="EN37">
            <v>467.95067608476296</v>
          </cell>
          <cell r="EO37">
            <v>485.97755153298829</v>
          </cell>
          <cell r="EP37">
            <v>463.91218711497532</v>
          </cell>
          <cell r="ER37">
            <v>448.79279274427938</v>
          </cell>
          <cell r="ES37">
            <v>457.40653648192421</v>
          </cell>
          <cell r="ET37">
            <v>440.54195978287686</v>
          </cell>
          <cell r="EU37">
            <v>439.32937233165114</v>
          </cell>
          <cell r="EV37">
            <v>457.89330238066543</v>
          </cell>
        </row>
        <row r="38">
          <cell r="A38" t="str">
            <v xml:space="preserve"> Y/Y % Change </v>
          </cell>
          <cell r="Q38">
            <v>3.9150685676501817E-2</v>
          </cell>
          <cell r="R38">
            <v>-2.1957388092817554E-2</v>
          </cell>
          <cell r="S38">
            <v>0.44532822787619186</v>
          </cell>
          <cell r="T38">
            <v>-1.762871794840748E-2</v>
          </cell>
          <cell r="U38">
            <v>-0.16164149543637274</v>
          </cell>
          <cell r="V38">
            <v>5.1676118164819984E-2</v>
          </cell>
          <cell r="W38">
            <v>-0.13085887973117605</v>
          </cell>
          <cell r="X38">
            <v>9.9178814407160587E-2</v>
          </cell>
          <cell r="Y38">
            <v>4.0788267644362941E-2</v>
          </cell>
          <cell r="Z38">
            <v>-0.2012329370321444</v>
          </cell>
          <cell r="AA38">
            <v>7.2767364939360535E-2</v>
          </cell>
          <cell r="AB38">
            <v>0.12332990750256934</v>
          </cell>
          <cell r="AC38">
            <v>8.9204025617566352E-2</v>
          </cell>
          <cell r="AD38">
            <v>-0.15959680806383869</v>
          </cell>
          <cell r="AI38">
            <v>9.9178814407160587E-2</v>
          </cell>
          <cell r="AL38">
            <v>0.17744539877300602</v>
          </cell>
          <cell r="AM38">
            <v>0.18809060402684552</v>
          </cell>
          <cell r="AN38">
            <v>0.10421704180064295</v>
          </cell>
          <cell r="AO38">
            <v>-5.6179775280898903E-2</v>
          </cell>
          <cell r="AQ38">
            <v>4.0788267644362941E-2</v>
          </cell>
          <cell r="AR38">
            <v>-0.13550600343053176</v>
          </cell>
          <cell r="AS38">
            <v>1.7921146953405742E-3</v>
          </cell>
          <cell r="AT38">
            <v>0.12476722532588447</v>
          </cell>
          <cell r="AU38">
            <v>0.19841269841269837</v>
          </cell>
          <cell r="AW38">
            <v>-0.2012329370321444</v>
          </cell>
          <cell r="AX38">
            <v>-7.9365079365079416E-2</v>
          </cell>
          <cell r="AY38">
            <v>-0.19677996422182464</v>
          </cell>
          <cell r="AZ38">
            <v>-0.26655629139072845</v>
          </cell>
          <cell r="BA38">
            <v>-0.24172185430463577</v>
          </cell>
          <cell r="BL38">
            <v>-0.15959680806383869</v>
          </cell>
          <cell r="BM38">
            <v>-0.21702838063439067</v>
          </cell>
          <cell r="BN38">
            <v>-0.20033388981636058</v>
          </cell>
          <cell r="BO38">
            <v>-0.15859766277128551</v>
          </cell>
          <cell r="BP38">
            <v>-5.993150684931503E-2</v>
          </cell>
          <cell r="BR38">
            <v>8.9204025617566352E-2</v>
          </cell>
          <cell r="BS38">
            <v>5.2724077328646812E-2</v>
          </cell>
          <cell r="BT38">
            <v>8.1227436823104737E-2</v>
          </cell>
          <cell r="BU38">
            <v>0.11131725417439697</v>
          </cell>
          <cell r="BV38">
            <v>0.11450381679389321</v>
          </cell>
          <cell r="BX38">
            <v>0.12332990750256934</v>
          </cell>
          <cell r="BY38">
            <v>0.11787819253438103</v>
          </cell>
          <cell r="BZ38">
            <v>0.12145748987854255</v>
          </cell>
          <cell r="CA38">
            <v>0.12526096033402934</v>
          </cell>
          <cell r="CB38">
            <v>0.1293103448275863</v>
          </cell>
          <cell r="CD38">
            <v>7.2767364939360535E-2</v>
          </cell>
          <cell r="CE38">
            <v>9.6982758620689724E-2</v>
          </cell>
          <cell r="CF38">
            <v>0.10022271714922049</v>
          </cell>
          <cell r="CG38">
            <v>8.1264108352144371E-2</v>
          </cell>
          <cell r="CH38">
            <v>1.3100436681222627E-2</v>
          </cell>
          <cell r="DB38">
            <v>-0.13085887973117605</v>
          </cell>
          <cell r="DC38">
            <v>-0.10137979548947784</v>
          </cell>
          <cell r="DD38">
            <v>-0.16281434846307596</v>
          </cell>
          <cell r="DE38">
            <v>-0.17010676536436575</v>
          </cell>
          <cell r="DF38">
            <v>-8.8737201365187701E-2</v>
          </cell>
          <cell r="DH38">
            <v>5.1676118164819984E-2</v>
          </cell>
          <cell r="DI38">
            <v>-3.308271890973602E-2</v>
          </cell>
          <cell r="DJ38">
            <v>1.0975572878290762E-2</v>
          </cell>
          <cell r="DK38">
            <v>8.799242640604632E-2</v>
          </cell>
          <cell r="DL38">
            <v>0.15262939961289801</v>
          </cell>
          <cell r="DN38">
            <v>-0.16164149543637274</v>
          </cell>
          <cell r="DO38">
            <v>6.7832609886636641E-2</v>
          </cell>
          <cell r="DP38">
            <v>-8.5013987366161392E-2</v>
          </cell>
          <cell r="DQ38">
            <v>-0.2214471623381189</v>
          </cell>
          <cell r="DR38">
            <v>-0.32979530722056483</v>
          </cell>
          <cell r="DT38">
            <v>-1.762871794840748E-2</v>
          </cell>
          <cell r="DU38">
            <v>-0.29176598969377165</v>
          </cell>
          <cell r="DV38">
            <v>-0.13711940491775565</v>
          </cell>
          <cell r="DW38">
            <v>8.7697345683314554E-2</v>
          </cell>
          <cell r="DX38">
            <v>0.39284606717560577</v>
          </cell>
          <cell r="EA38">
            <v>0.52574246609689013</v>
          </cell>
          <cell r="EB38">
            <v>0.49972324911402932</v>
          </cell>
          <cell r="EC38">
            <v>0.4616509385617158</v>
          </cell>
          <cell r="ED38">
            <v>0.27592779170583071</v>
          </cell>
          <cell r="EF38">
            <v>-2.1957388092817554E-2</v>
          </cell>
          <cell r="EG38">
            <v>0.10331228341867171</v>
          </cell>
          <cell r="EH38">
            <v>1.4882038330050751E-3</v>
          </cell>
          <cell r="EI38">
            <v>-0.10460285616709031</v>
          </cell>
          <cell r="EJ38">
            <v>-7.9899095357648942E-2</v>
          </cell>
          <cell r="EL38">
            <v>3.9150685676501817E-2</v>
          </cell>
          <cell r="EM38">
            <v>-2.141114567888891E-2</v>
          </cell>
          <cell r="EN38">
            <v>6.2215904054620852E-2</v>
          </cell>
          <cell r="EO38">
            <v>0.10618042439038722</v>
          </cell>
          <cell r="EP38">
            <v>1.3144731977988489E-2</v>
          </cell>
        </row>
        <row r="39">
          <cell r="A39" t="str">
            <v>Cost per metric ton</v>
          </cell>
          <cell r="X39">
            <v>482.17173661917599</v>
          </cell>
          <cell r="Y39">
            <v>489.35334328592768</v>
          </cell>
          <cell r="Z39">
            <v>472.57981876653042</v>
          </cell>
          <cell r="AA39">
            <v>461.25</v>
          </cell>
          <cell r="AB39">
            <v>452.8125</v>
          </cell>
          <cell r="AC39">
            <v>456.46875</v>
          </cell>
          <cell r="AD39">
            <v>457.59375</v>
          </cell>
          <cell r="AI39">
            <v>482.17173661917599</v>
          </cell>
          <cell r="AL39">
            <v>484.97365047713998</v>
          </cell>
          <cell r="AM39">
            <v>480.76923076923077</v>
          </cell>
          <cell r="AN39">
            <v>478.10398556667212</v>
          </cell>
          <cell r="AO39">
            <v>484.56992777413006</v>
          </cell>
          <cell r="AQ39">
            <v>489.35334328592768</v>
          </cell>
          <cell r="AR39">
            <v>495.24334758031165</v>
          </cell>
          <cell r="AS39">
            <v>486.65754361956891</v>
          </cell>
          <cell r="AT39">
            <v>480.15807673308092</v>
          </cell>
          <cell r="AU39">
            <v>493.95097102833478</v>
          </cell>
          <cell r="AW39">
            <v>472.57981876653042</v>
          </cell>
          <cell r="AX39">
            <v>470.48832271762217</v>
          </cell>
          <cell r="AY39">
            <v>483.20693391115918</v>
          </cell>
          <cell r="AZ39">
            <v>469.01172529313226</v>
          </cell>
          <cell r="BA39">
            <v>467.61229314420802</v>
          </cell>
          <cell r="BL39">
            <v>457.59375</v>
          </cell>
          <cell r="BM39">
            <v>455.25</v>
          </cell>
          <cell r="BN39">
            <v>456</v>
          </cell>
          <cell r="BO39">
            <v>457.875</v>
          </cell>
          <cell r="BP39">
            <v>461.25</v>
          </cell>
          <cell r="BR39">
            <v>456.46875</v>
          </cell>
          <cell r="BS39">
            <v>456.75</v>
          </cell>
          <cell r="BT39">
            <v>456.75</v>
          </cell>
          <cell r="BU39">
            <v>456.75</v>
          </cell>
          <cell r="BV39">
            <v>455.625</v>
          </cell>
          <cell r="BX39">
            <v>452.8125</v>
          </cell>
          <cell r="BY39">
            <v>454.5</v>
          </cell>
          <cell r="BZ39">
            <v>453.375</v>
          </cell>
          <cell r="CA39">
            <v>452.25</v>
          </cell>
          <cell r="CB39">
            <v>451.125</v>
          </cell>
          <cell r="CD39">
            <v>461.25</v>
          </cell>
          <cell r="CE39">
            <v>450</v>
          </cell>
          <cell r="CF39">
            <v>460</v>
          </cell>
          <cell r="CG39">
            <v>465</v>
          </cell>
          <cell r="CH39">
            <v>470</v>
          </cell>
        </row>
        <row r="40">
          <cell r="A40" t="str">
            <v>ONP Usage</v>
          </cell>
          <cell r="AQ40">
            <v>1000</v>
          </cell>
          <cell r="AR40">
            <v>250</v>
          </cell>
          <cell r="AS40">
            <v>250</v>
          </cell>
          <cell r="AT40">
            <v>250</v>
          </cell>
          <cell r="AU40">
            <v>250</v>
          </cell>
          <cell r="AW40">
            <v>1000</v>
          </cell>
          <cell r="AX40">
            <v>250</v>
          </cell>
          <cell r="AY40">
            <v>250</v>
          </cell>
          <cell r="AZ40">
            <v>250</v>
          </cell>
          <cell r="BA40">
            <v>250</v>
          </cell>
          <cell r="BL40">
            <v>1000</v>
          </cell>
          <cell r="BM40">
            <v>250</v>
          </cell>
          <cell r="BN40">
            <v>250</v>
          </cell>
          <cell r="BO40">
            <v>250</v>
          </cell>
          <cell r="BP40">
            <v>250</v>
          </cell>
          <cell r="BR40">
            <v>1000</v>
          </cell>
          <cell r="BS40">
            <v>250</v>
          </cell>
          <cell r="BT40">
            <v>250</v>
          </cell>
          <cell r="BU40">
            <v>250</v>
          </cell>
          <cell r="BV40">
            <v>250</v>
          </cell>
          <cell r="BX40">
            <v>1000</v>
          </cell>
          <cell r="BY40">
            <v>250</v>
          </cell>
          <cell r="BZ40">
            <v>250</v>
          </cell>
          <cell r="CA40">
            <v>250</v>
          </cell>
          <cell r="CB40">
            <v>250</v>
          </cell>
          <cell r="CD40">
            <v>1000</v>
          </cell>
          <cell r="CE40">
            <v>250</v>
          </cell>
          <cell r="CF40">
            <v>250</v>
          </cell>
          <cell r="CG40">
            <v>250</v>
          </cell>
          <cell r="CH40">
            <v>250</v>
          </cell>
        </row>
        <row r="42">
          <cell r="A42" t="str">
            <v>Coated and Specialty Papers</v>
          </cell>
        </row>
        <row r="43">
          <cell r="A43" t="str">
            <v>Sales</v>
          </cell>
          <cell r="X43">
            <v>428.3</v>
          </cell>
          <cell r="Y43">
            <v>479.59999999999997</v>
          </cell>
          <cell r="Z43">
            <v>613.1</v>
          </cell>
          <cell r="AA43">
            <v>697.47</v>
          </cell>
          <cell r="AB43">
            <v>782.08</v>
          </cell>
          <cell r="AC43">
            <v>782.07999999999993</v>
          </cell>
          <cell r="AD43">
            <v>702.08</v>
          </cell>
          <cell r="AI43">
            <v>428.3</v>
          </cell>
          <cell r="AL43">
            <v>114.5</v>
          </cell>
          <cell r="AM43">
            <v>116.6</v>
          </cell>
          <cell r="AN43">
            <v>106.6</v>
          </cell>
          <cell r="AO43">
            <v>90.6</v>
          </cell>
          <cell r="AQ43">
            <v>479.59999999999997</v>
          </cell>
          <cell r="AR43">
            <v>166.5</v>
          </cell>
          <cell r="AS43">
            <v>109.5</v>
          </cell>
          <cell r="AT43">
            <v>99.9</v>
          </cell>
          <cell r="AU43">
            <v>103.7</v>
          </cell>
          <cell r="AW43">
            <v>613.1</v>
          </cell>
          <cell r="AX43">
            <v>153.69999999999999</v>
          </cell>
          <cell r="AY43">
            <v>153.30000000000001</v>
          </cell>
          <cell r="AZ43">
            <v>153.30000000000001</v>
          </cell>
          <cell r="BA43">
            <v>152.80000000000001</v>
          </cell>
          <cell r="BL43">
            <v>702.08</v>
          </cell>
          <cell r="BM43">
            <v>171.52</v>
          </cell>
          <cell r="BN43">
            <v>174.72</v>
          </cell>
          <cell r="BO43">
            <v>174.72</v>
          </cell>
          <cell r="BP43">
            <v>181.12</v>
          </cell>
          <cell r="BR43">
            <v>782.07999999999993</v>
          </cell>
          <cell r="BS43">
            <v>187.52</v>
          </cell>
          <cell r="BT43">
            <v>193.92</v>
          </cell>
          <cell r="BU43">
            <v>200.32</v>
          </cell>
          <cell r="BV43">
            <v>200.32</v>
          </cell>
          <cell r="BX43">
            <v>782.08</v>
          </cell>
          <cell r="BY43">
            <v>200.32</v>
          </cell>
          <cell r="BZ43">
            <v>197.12</v>
          </cell>
          <cell r="CA43">
            <v>193.92</v>
          </cell>
          <cell r="CB43">
            <v>190.72</v>
          </cell>
          <cell r="CD43">
            <v>697.47</v>
          </cell>
          <cell r="CE43">
            <v>193.38</v>
          </cell>
          <cell r="CF43">
            <v>181.44</v>
          </cell>
          <cell r="CG43">
            <v>166.97</v>
          </cell>
          <cell r="CH43">
            <v>155.68</v>
          </cell>
        </row>
        <row r="44">
          <cell r="A44" t="str">
            <v>Operating Income</v>
          </cell>
          <cell r="X44">
            <v>78.5</v>
          </cell>
          <cell r="Y44">
            <v>33.4</v>
          </cell>
          <cell r="Z44">
            <v>-29.9</v>
          </cell>
          <cell r="AA44">
            <v>-35.90500000000003</v>
          </cell>
          <cell r="AB44">
            <v>37.759999999999934</v>
          </cell>
          <cell r="AC44">
            <v>26.879999999999939</v>
          </cell>
          <cell r="AD44">
            <v>-53.120000000000033</v>
          </cell>
          <cell r="AI44">
            <v>78.5</v>
          </cell>
          <cell r="AL44">
            <v>21.8</v>
          </cell>
          <cell r="AM44">
            <v>24.9</v>
          </cell>
          <cell r="AN44">
            <v>19.100000000000001</v>
          </cell>
          <cell r="AO44">
            <v>12.7</v>
          </cell>
          <cell r="AQ44">
            <v>33.4</v>
          </cell>
          <cell r="AR44">
            <v>6.7</v>
          </cell>
          <cell r="AS44">
            <v>5.4</v>
          </cell>
          <cell r="AT44">
            <v>0.5</v>
          </cell>
          <cell r="AU44">
            <v>12.8</v>
          </cell>
          <cell r="AW44">
            <v>-29.9</v>
          </cell>
          <cell r="AX44">
            <v>-11.2</v>
          </cell>
          <cell r="AY44">
            <v>-13.2</v>
          </cell>
          <cell r="AZ44">
            <v>-5.6</v>
          </cell>
          <cell r="BA44">
            <v>0.1</v>
          </cell>
          <cell r="BL44">
            <v>-53.120000000000033</v>
          </cell>
          <cell r="BM44">
            <v>-17.28</v>
          </cell>
          <cell r="BN44">
            <v>-14.080000000000013</v>
          </cell>
          <cell r="BO44">
            <v>-14.080000000000013</v>
          </cell>
          <cell r="BP44">
            <v>-7.6800000000000068</v>
          </cell>
          <cell r="BR44">
            <v>26.879999999999939</v>
          </cell>
          <cell r="BS44">
            <v>-1.2800000000000011</v>
          </cell>
          <cell r="BT44">
            <v>5.1199999999999761</v>
          </cell>
          <cell r="BU44">
            <v>11.519999999999982</v>
          </cell>
          <cell r="BV44">
            <v>11.519999999999982</v>
          </cell>
          <cell r="BX44">
            <v>37.759999999999934</v>
          </cell>
          <cell r="BY44">
            <v>14.239999999999981</v>
          </cell>
          <cell r="BZ44">
            <v>11.039999999999992</v>
          </cell>
          <cell r="CA44">
            <v>7.839999999999975</v>
          </cell>
          <cell r="CB44">
            <v>4.6399999999999864</v>
          </cell>
          <cell r="CD44">
            <v>-35.90500000000003</v>
          </cell>
          <cell r="CE44">
            <v>0.32999999999998408</v>
          </cell>
          <cell r="CF44">
            <v>-2.835000000000008</v>
          </cell>
          <cell r="CG44">
            <v>-7.0800000000000125</v>
          </cell>
          <cell r="CH44">
            <v>-26.319999999999993</v>
          </cell>
        </row>
        <row r="45">
          <cell r="A45" t="str">
            <v>Shipments (000s short tons)</v>
          </cell>
          <cell r="X45">
            <v>579.5</v>
          </cell>
          <cell r="Y45">
            <v>699.7</v>
          </cell>
          <cell r="Z45">
            <v>1081.9000000000001</v>
          </cell>
          <cell r="AA45">
            <v>1220</v>
          </cell>
          <cell r="AB45">
            <v>1280</v>
          </cell>
          <cell r="AC45">
            <v>1280</v>
          </cell>
          <cell r="AD45">
            <v>1280</v>
          </cell>
          <cell r="AI45">
            <v>579.5</v>
          </cell>
          <cell r="AL45">
            <v>152.80000000000001</v>
          </cell>
          <cell r="AM45">
            <v>155.30000000000001</v>
          </cell>
          <cell r="AN45">
            <v>144.1</v>
          </cell>
          <cell r="AO45">
            <v>127.3</v>
          </cell>
          <cell r="AQ45">
            <v>699.7</v>
          </cell>
          <cell r="AR45">
            <v>260.3</v>
          </cell>
          <cell r="AS45">
            <v>159.30000000000001</v>
          </cell>
          <cell r="AT45">
            <v>139.6</v>
          </cell>
          <cell r="AU45">
            <v>140.5</v>
          </cell>
          <cell r="AW45">
            <v>1081.9000000000001</v>
          </cell>
          <cell r="AX45">
            <v>278.8</v>
          </cell>
          <cell r="AY45">
            <v>276.2</v>
          </cell>
          <cell r="AZ45">
            <v>268.3</v>
          </cell>
          <cell r="BA45">
            <v>258.60000000000002</v>
          </cell>
          <cell r="BL45">
            <v>1280</v>
          </cell>
          <cell r="BM45">
            <v>320</v>
          </cell>
          <cell r="BN45">
            <v>320</v>
          </cell>
          <cell r="BO45">
            <v>320</v>
          </cell>
          <cell r="BP45">
            <v>320</v>
          </cell>
          <cell r="BR45">
            <v>1280</v>
          </cell>
          <cell r="BS45">
            <v>320</v>
          </cell>
          <cell r="BT45">
            <v>320</v>
          </cell>
          <cell r="BU45">
            <v>320</v>
          </cell>
          <cell r="BV45">
            <v>320</v>
          </cell>
          <cell r="BX45">
            <v>1280</v>
          </cell>
          <cell r="BY45">
            <v>320</v>
          </cell>
          <cell r="BZ45">
            <v>320</v>
          </cell>
          <cell r="CA45">
            <v>320</v>
          </cell>
          <cell r="CB45">
            <v>320</v>
          </cell>
          <cell r="CD45">
            <v>1220</v>
          </cell>
          <cell r="CE45">
            <v>330</v>
          </cell>
          <cell r="CF45">
            <v>315</v>
          </cell>
          <cell r="CG45">
            <v>295</v>
          </cell>
          <cell r="CH45">
            <v>280</v>
          </cell>
        </row>
        <row r="46">
          <cell r="A46" t="str">
            <v>Price per ton</v>
          </cell>
          <cell r="X46">
            <v>739</v>
          </cell>
          <cell r="Y46">
            <v>685</v>
          </cell>
          <cell r="Z46">
            <v>567</v>
          </cell>
          <cell r="AA46">
            <v>571</v>
          </cell>
          <cell r="AB46">
            <v>611</v>
          </cell>
          <cell r="AC46">
            <v>611</v>
          </cell>
          <cell r="AD46">
            <v>548.5</v>
          </cell>
          <cell r="AI46">
            <v>739</v>
          </cell>
          <cell r="AL46">
            <v>749</v>
          </cell>
          <cell r="AM46">
            <v>751</v>
          </cell>
          <cell r="AN46">
            <v>740</v>
          </cell>
          <cell r="AO46">
            <v>712</v>
          </cell>
          <cell r="AQ46">
            <v>685</v>
          </cell>
          <cell r="AR46">
            <v>640</v>
          </cell>
          <cell r="AS46">
            <v>687</v>
          </cell>
          <cell r="AT46">
            <v>716</v>
          </cell>
          <cell r="AU46">
            <v>738</v>
          </cell>
          <cell r="AW46">
            <v>567</v>
          </cell>
          <cell r="AX46">
            <v>551</v>
          </cell>
          <cell r="AY46">
            <v>555</v>
          </cell>
          <cell r="AZ46">
            <v>571</v>
          </cell>
          <cell r="BA46">
            <v>591</v>
          </cell>
          <cell r="BL46">
            <v>548.5</v>
          </cell>
          <cell r="BM46">
            <v>536</v>
          </cell>
          <cell r="BN46">
            <v>546</v>
          </cell>
          <cell r="BO46">
            <v>546</v>
          </cell>
          <cell r="BP46">
            <v>566</v>
          </cell>
          <cell r="BR46">
            <v>611</v>
          </cell>
          <cell r="BS46">
            <v>586</v>
          </cell>
          <cell r="BT46">
            <v>606</v>
          </cell>
          <cell r="BU46">
            <v>626</v>
          </cell>
          <cell r="BV46">
            <v>626</v>
          </cell>
          <cell r="BX46">
            <v>611</v>
          </cell>
          <cell r="BY46">
            <v>626</v>
          </cell>
          <cell r="BZ46">
            <v>616</v>
          </cell>
          <cell r="CA46">
            <v>606</v>
          </cell>
          <cell r="CB46">
            <v>596</v>
          </cell>
          <cell r="CD46">
            <v>571</v>
          </cell>
          <cell r="CE46">
            <v>586</v>
          </cell>
          <cell r="CF46">
            <v>576</v>
          </cell>
          <cell r="CG46">
            <v>566</v>
          </cell>
          <cell r="CH46">
            <v>556</v>
          </cell>
        </row>
        <row r="47">
          <cell r="A47" t="str">
            <v>Cost per ton</v>
          </cell>
          <cell r="X47">
            <v>603.62381363244174</v>
          </cell>
          <cell r="Y47">
            <v>637.70187223095604</v>
          </cell>
          <cell r="Z47">
            <v>594.25554458077829</v>
          </cell>
          <cell r="AA47">
            <v>602.5</v>
          </cell>
          <cell r="AB47">
            <v>581.5</v>
          </cell>
          <cell r="AC47">
            <v>590</v>
          </cell>
          <cell r="AD47">
            <v>590</v>
          </cell>
          <cell r="AI47">
            <v>603.62381363244174</v>
          </cell>
          <cell r="AL47">
            <v>606.67539267015707</v>
          </cell>
          <cell r="AM47">
            <v>590.4700579523502</v>
          </cell>
          <cell r="AN47">
            <v>607.21721027064541</v>
          </cell>
          <cell r="AO47">
            <v>611.94029850746267</v>
          </cell>
          <cell r="AQ47">
            <v>637.70187223095604</v>
          </cell>
          <cell r="AR47">
            <v>613.90703034959654</v>
          </cell>
          <cell r="AS47">
            <v>653.48399246704321</v>
          </cell>
          <cell r="AT47">
            <v>712.03438395415469</v>
          </cell>
          <cell r="AU47">
            <v>646.9750889679716</v>
          </cell>
          <cell r="AW47">
            <v>594.25554458077829</v>
          </cell>
          <cell r="AX47">
            <v>591.46341463414615</v>
          </cell>
          <cell r="AY47">
            <v>602.82404055032589</v>
          </cell>
          <cell r="AZ47">
            <v>592.24748415952286</v>
          </cell>
          <cell r="BA47">
            <v>590.48723897911839</v>
          </cell>
          <cell r="BL47">
            <v>590</v>
          </cell>
          <cell r="BM47">
            <v>590</v>
          </cell>
          <cell r="BN47">
            <v>590</v>
          </cell>
          <cell r="BO47">
            <v>590</v>
          </cell>
          <cell r="BP47">
            <v>590</v>
          </cell>
          <cell r="BR47">
            <v>590</v>
          </cell>
          <cell r="BS47">
            <v>590</v>
          </cell>
          <cell r="BT47">
            <v>590</v>
          </cell>
          <cell r="BU47">
            <v>590</v>
          </cell>
          <cell r="BV47">
            <v>590</v>
          </cell>
          <cell r="BX47">
            <v>581.5</v>
          </cell>
          <cell r="BY47">
            <v>581.5</v>
          </cell>
          <cell r="BZ47">
            <v>581.5</v>
          </cell>
          <cell r="CA47">
            <v>581.5</v>
          </cell>
          <cell r="CB47">
            <v>581.5</v>
          </cell>
          <cell r="CD47">
            <v>602.5</v>
          </cell>
          <cell r="CE47">
            <v>585</v>
          </cell>
          <cell r="CF47">
            <v>585</v>
          </cell>
          <cell r="CG47">
            <v>590</v>
          </cell>
          <cell r="CH47">
            <v>650</v>
          </cell>
        </row>
        <row r="49">
          <cell r="A49" t="str">
            <v>Uncoated Groundwood papers</v>
          </cell>
          <cell r="AC49">
            <v>0</v>
          </cell>
          <cell r="AD49">
            <v>0</v>
          </cell>
        </row>
        <row r="50">
          <cell r="A50" t="str">
            <v>Sales</v>
          </cell>
          <cell r="P50">
            <v>124.60500000000002</v>
          </cell>
          <cell r="Q50">
            <v>190.12899999999999</v>
          </cell>
          <cell r="R50">
            <v>165.90800000000002</v>
          </cell>
          <cell r="S50">
            <v>203.624</v>
          </cell>
          <cell r="T50">
            <v>221.88200000000001</v>
          </cell>
          <cell r="U50">
            <v>222.8</v>
          </cell>
          <cell r="V50">
            <v>222.7</v>
          </cell>
          <cell r="W50">
            <v>141.5</v>
          </cell>
          <cell r="AC50">
            <v>114.42599999999999</v>
          </cell>
          <cell r="AD50">
            <v>104.54599999999999</v>
          </cell>
          <cell r="AI50">
            <v>97.899999999999991</v>
          </cell>
          <cell r="AL50">
            <v>30.8</v>
          </cell>
          <cell r="AM50">
            <v>27.5</v>
          </cell>
          <cell r="AN50">
            <v>22.9</v>
          </cell>
          <cell r="AO50">
            <v>16.7</v>
          </cell>
          <cell r="AQ50">
            <v>96.519500000000008</v>
          </cell>
          <cell r="AR50">
            <v>21.619499999999999</v>
          </cell>
          <cell r="AS50">
            <v>24.5</v>
          </cell>
          <cell r="AT50">
            <v>25.6</v>
          </cell>
          <cell r="AU50">
            <v>24.8</v>
          </cell>
          <cell r="AW50">
            <v>99.605999999999995</v>
          </cell>
          <cell r="AX50">
            <v>25.193999999999999</v>
          </cell>
          <cell r="AY50">
            <v>24.803999999999998</v>
          </cell>
          <cell r="AZ50">
            <v>24.803999999999998</v>
          </cell>
          <cell r="BA50">
            <v>24.803999999999998</v>
          </cell>
          <cell r="BL50">
            <v>104.54599999999999</v>
          </cell>
          <cell r="BM50">
            <v>25.324000000000002</v>
          </cell>
          <cell r="BN50">
            <v>25.584</v>
          </cell>
          <cell r="BO50">
            <v>26.234000000000002</v>
          </cell>
          <cell r="BP50">
            <v>27.404</v>
          </cell>
          <cell r="BR50">
            <v>114.42599999999999</v>
          </cell>
          <cell r="BS50">
            <v>28.704000000000001</v>
          </cell>
          <cell r="BT50">
            <v>28.704000000000001</v>
          </cell>
          <cell r="BU50">
            <v>28.704000000000001</v>
          </cell>
          <cell r="BV50">
            <v>28.314</v>
          </cell>
          <cell r="BX50">
            <v>109.35600000000001</v>
          </cell>
          <cell r="BY50">
            <v>27.923999999999999</v>
          </cell>
          <cell r="BZ50">
            <v>27.533999999999999</v>
          </cell>
          <cell r="CA50">
            <v>27.143999999999998</v>
          </cell>
          <cell r="CB50">
            <v>26.754000000000001</v>
          </cell>
          <cell r="CD50">
            <v>103.116</v>
          </cell>
          <cell r="CE50">
            <v>26.364000000000001</v>
          </cell>
          <cell r="CF50">
            <v>25.974</v>
          </cell>
          <cell r="CG50">
            <v>25.584</v>
          </cell>
          <cell r="CH50">
            <v>25.193999999999999</v>
          </cell>
          <cell r="DB50">
            <v>141.5</v>
          </cell>
          <cell r="DC50">
            <v>9.9</v>
          </cell>
          <cell r="DD50">
            <v>33.799999999999997</v>
          </cell>
          <cell r="DE50">
            <v>45.2</v>
          </cell>
          <cell r="DF50">
            <v>52.599999999999994</v>
          </cell>
          <cell r="DH50">
            <v>222.7</v>
          </cell>
          <cell r="DI50">
            <v>57.1</v>
          </cell>
          <cell r="DJ50">
            <v>62.2</v>
          </cell>
          <cell r="DK50">
            <v>50.7</v>
          </cell>
          <cell r="DL50">
            <v>52.7</v>
          </cell>
          <cell r="DN50">
            <v>222.8</v>
          </cell>
          <cell r="DO50">
            <v>57.400000000000006</v>
          </cell>
          <cell r="DP50">
            <v>54.2</v>
          </cell>
          <cell r="DQ50">
            <v>50.1</v>
          </cell>
          <cell r="DR50">
            <v>61.1</v>
          </cell>
          <cell r="DT50">
            <v>221.88200000000001</v>
          </cell>
          <cell r="DU50">
            <v>52.920999999999999</v>
          </cell>
          <cell r="DV50">
            <v>55.136000000000003</v>
          </cell>
          <cell r="DW50">
            <v>54.042000000000002</v>
          </cell>
          <cell r="DX50">
            <v>59.783000000000001</v>
          </cell>
          <cell r="DZ50">
            <v>203.624</v>
          </cell>
          <cell r="EA50">
            <v>58.616999999999997</v>
          </cell>
          <cell r="EB50">
            <v>52.393999999999998</v>
          </cell>
          <cell r="EC50">
            <v>47.237000000000002</v>
          </cell>
          <cell r="ED50">
            <v>45.375999999999998</v>
          </cell>
          <cell r="EF50">
            <v>165.90800000000002</v>
          </cell>
          <cell r="EG50">
            <v>50.936</v>
          </cell>
          <cell r="EH50">
            <v>36.817</v>
          </cell>
          <cell r="EI50">
            <v>38.057000000000002</v>
          </cell>
          <cell r="EJ50">
            <v>40.097999999999999</v>
          </cell>
          <cell r="EL50">
            <v>190.12899999999999</v>
          </cell>
          <cell r="EM50">
            <v>41.271000000000001</v>
          </cell>
          <cell r="EN50">
            <v>50.183</v>
          </cell>
          <cell r="EO50">
            <v>46.189</v>
          </cell>
          <cell r="EP50">
            <v>52.485999999999997</v>
          </cell>
          <cell r="ER50">
            <v>124.60500000000002</v>
          </cell>
          <cell r="ES50">
            <v>32.395000000000003</v>
          </cell>
          <cell r="ET50">
            <v>34.237000000000002</v>
          </cell>
          <cell r="EU50">
            <v>27.4</v>
          </cell>
          <cell r="EV50">
            <v>30.573</v>
          </cell>
        </row>
        <row r="51">
          <cell r="A51" t="str">
            <v>Production</v>
          </cell>
          <cell r="AC51">
            <v>0</v>
          </cell>
          <cell r="AD51">
            <v>0</v>
          </cell>
        </row>
        <row r="52">
          <cell r="A52" t="str">
            <v xml:space="preserve">  (000 short tons)</v>
          </cell>
          <cell r="P52">
            <v>200.107</v>
          </cell>
          <cell r="Q52">
            <v>329.61</v>
          </cell>
          <cell r="R52">
            <v>355.30200000000002</v>
          </cell>
          <cell r="S52">
            <v>372.46299999999997</v>
          </cell>
          <cell r="T52">
            <v>328.42700000000002</v>
          </cell>
          <cell r="U52">
            <v>304.60000000000002</v>
          </cell>
          <cell r="V52">
            <v>309.16899999999998</v>
          </cell>
          <cell r="W52">
            <v>313.80653499999994</v>
          </cell>
          <cell r="AC52">
            <v>304.60000000000002</v>
          </cell>
          <cell r="AD52">
            <v>304.60000000000002</v>
          </cell>
          <cell r="AI52">
            <v>304.60000000000002</v>
          </cell>
          <cell r="AL52">
            <v>76.150000000000006</v>
          </cell>
          <cell r="AM52">
            <v>76.150000000000006</v>
          </cell>
          <cell r="AN52">
            <v>76.150000000000006</v>
          </cell>
          <cell r="AO52">
            <v>76.150000000000006</v>
          </cell>
          <cell r="AQ52">
            <v>304.60000000000002</v>
          </cell>
          <cell r="AR52">
            <v>76.150000000000006</v>
          </cell>
          <cell r="AS52">
            <v>76.150000000000006</v>
          </cell>
          <cell r="AT52">
            <v>76.150000000000006</v>
          </cell>
          <cell r="AU52">
            <v>76.150000000000006</v>
          </cell>
          <cell r="AW52">
            <v>304.60000000000002</v>
          </cell>
          <cell r="AX52">
            <v>76.150000000000006</v>
          </cell>
          <cell r="AY52">
            <v>76.150000000000006</v>
          </cell>
          <cell r="AZ52">
            <v>76.150000000000006</v>
          </cell>
          <cell r="BA52">
            <v>76.150000000000006</v>
          </cell>
          <cell r="BL52">
            <v>304.60000000000002</v>
          </cell>
          <cell r="BM52">
            <v>76.150000000000006</v>
          </cell>
          <cell r="BN52">
            <v>76.150000000000006</v>
          </cell>
          <cell r="BO52">
            <v>76.150000000000006</v>
          </cell>
          <cell r="BP52">
            <v>76.150000000000006</v>
          </cell>
          <cell r="BR52">
            <v>304.60000000000002</v>
          </cell>
          <cell r="BS52">
            <v>76.150000000000006</v>
          </cell>
          <cell r="BT52">
            <v>76.150000000000006</v>
          </cell>
          <cell r="BU52">
            <v>76.150000000000006</v>
          </cell>
          <cell r="BV52">
            <v>76.150000000000006</v>
          </cell>
          <cell r="BX52">
            <v>304.60000000000002</v>
          </cell>
          <cell r="BY52">
            <v>76.150000000000006</v>
          </cell>
          <cell r="BZ52">
            <v>76.150000000000006</v>
          </cell>
          <cell r="CA52">
            <v>76.150000000000006</v>
          </cell>
          <cell r="CB52">
            <v>76.150000000000006</v>
          </cell>
          <cell r="CD52">
            <v>304.60000000000002</v>
          </cell>
          <cell r="CE52">
            <v>76.150000000000006</v>
          </cell>
          <cell r="CF52">
            <v>76.150000000000006</v>
          </cell>
          <cell r="CG52">
            <v>76.150000000000006</v>
          </cell>
          <cell r="CH52">
            <v>76.150000000000006</v>
          </cell>
          <cell r="DB52">
            <v>304.60000000000002</v>
          </cell>
          <cell r="DC52">
            <v>76.150000000000006</v>
          </cell>
          <cell r="DD52">
            <v>76.150000000000006</v>
          </cell>
          <cell r="DE52">
            <v>76.150000000000006</v>
          </cell>
          <cell r="DF52">
            <v>76.150000000000006</v>
          </cell>
          <cell r="DH52">
            <v>304.60000000000002</v>
          </cell>
          <cell r="DI52">
            <v>76.150000000000006</v>
          </cell>
          <cell r="DJ52">
            <v>76.150000000000006</v>
          </cell>
          <cell r="DK52">
            <v>76.150000000000006</v>
          </cell>
          <cell r="DL52">
            <v>76.150000000000006</v>
          </cell>
          <cell r="DN52">
            <v>304.60000000000002</v>
          </cell>
          <cell r="DO52">
            <v>77.3</v>
          </cell>
          <cell r="DP52">
            <v>77.3</v>
          </cell>
          <cell r="DQ52">
            <v>75.7</v>
          </cell>
          <cell r="DR52">
            <v>74.3</v>
          </cell>
          <cell r="DT52">
            <v>328.42700000000002</v>
          </cell>
          <cell r="DU52">
            <v>76.522000000000006</v>
          </cell>
          <cell r="DV52">
            <v>79.507000000000005</v>
          </cell>
          <cell r="DW52">
            <v>87.284999999999997</v>
          </cell>
          <cell r="DX52">
            <v>85.113</v>
          </cell>
          <cell r="DZ52">
            <v>372.46299999999997</v>
          </cell>
          <cell r="EA52">
            <v>91.730999999999995</v>
          </cell>
          <cell r="EB52">
            <v>82.6</v>
          </cell>
          <cell r="EC52">
            <v>101.13200000000001</v>
          </cell>
          <cell r="ED52">
            <v>97</v>
          </cell>
          <cell r="EF52">
            <v>355.30200000000002</v>
          </cell>
          <cell r="EG52">
            <v>100.19199999999999</v>
          </cell>
          <cell r="EH52">
            <v>88.162000000000006</v>
          </cell>
          <cell r="EI52">
            <v>82.590999999999994</v>
          </cell>
          <cell r="EJ52">
            <v>84.356999999999999</v>
          </cell>
          <cell r="EL52">
            <v>329.61</v>
          </cell>
          <cell r="EM52">
            <v>81.441999999999993</v>
          </cell>
          <cell r="EN52">
            <v>84.622</v>
          </cell>
          <cell r="EO52">
            <v>83.204999999999998</v>
          </cell>
          <cell r="EP52">
            <v>80.340999999999994</v>
          </cell>
          <cell r="ER52">
            <v>200.107</v>
          </cell>
          <cell r="ES52">
            <v>51.779000000000003</v>
          </cell>
          <cell r="ET52">
            <v>53.465000000000003</v>
          </cell>
          <cell r="EU52">
            <v>44.533999999999999</v>
          </cell>
          <cell r="EV52">
            <v>50.329000000000001</v>
          </cell>
        </row>
        <row r="53">
          <cell r="A53" t="str">
            <v>Shipments</v>
          </cell>
          <cell r="AC53">
            <v>0</v>
          </cell>
          <cell r="AD53">
            <v>0</v>
          </cell>
        </row>
        <row r="54">
          <cell r="A54" t="str">
            <v xml:space="preserve">  (000 short tons)</v>
          </cell>
          <cell r="P54">
            <v>195.83</v>
          </cell>
          <cell r="Q54">
            <v>302.73099999999999</v>
          </cell>
          <cell r="R54">
            <v>264.95400000000001</v>
          </cell>
          <cell r="S54">
            <v>288.66000000000003</v>
          </cell>
          <cell r="T54">
            <v>275.07800000000003</v>
          </cell>
          <cell r="U54">
            <v>311.8</v>
          </cell>
          <cell r="V54">
            <v>315.7</v>
          </cell>
          <cell r="W54">
            <v>226.49999999999997</v>
          </cell>
          <cell r="AC54">
            <v>208</v>
          </cell>
          <cell r="AD54">
            <v>208</v>
          </cell>
          <cell r="AI54">
            <v>175.39999999999998</v>
          </cell>
          <cell r="AL54">
            <v>52.2</v>
          </cell>
          <cell r="AM54">
            <v>48.7</v>
          </cell>
          <cell r="AN54">
            <v>42.3</v>
          </cell>
          <cell r="AO54">
            <v>32.200000000000003</v>
          </cell>
          <cell r="AQ54">
            <v>172.5</v>
          </cell>
          <cell r="AR54">
            <v>43.5</v>
          </cell>
          <cell r="AS54">
            <v>43.5</v>
          </cell>
          <cell r="AT54">
            <v>43.5</v>
          </cell>
          <cell r="AU54">
            <v>42</v>
          </cell>
          <cell r="AW54">
            <v>208</v>
          </cell>
          <cell r="AX54">
            <v>52</v>
          </cell>
          <cell r="AY54">
            <v>52</v>
          </cell>
          <cell r="AZ54">
            <v>52</v>
          </cell>
          <cell r="BA54">
            <v>52</v>
          </cell>
          <cell r="BL54">
            <v>208</v>
          </cell>
          <cell r="BM54">
            <v>52</v>
          </cell>
          <cell r="BN54">
            <v>52</v>
          </cell>
          <cell r="BO54">
            <v>52</v>
          </cell>
          <cell r="BP54">
            <v>52</v>
          </cell>
          <cell r="BR54">
            <v>208</v>
          </cell>
          <cell r="BS54">
            <v>52</v>
          </cell>
          <cell r="BT54">
            <v>52</v>
          </cell>
          <cell r="BU54">
            <v>52</v>
          </cell>
          <cell r="BV54">
            <v>52</v>
          </cell>
          <cell r="BX54">
            <v>208</v>
          </cell>
          <cell r="BY54">
            <v>52</v>
          </cell>
          <cell r="BZ54">
            <v>52</v>
          </cell>
          <cell r="CA54">
            <v>52</v>
          </cell>
          <cell r="CB54">
            <v>52</v>
          </cell>
          <cell r="CD54">
            <v>208</v>
          </cell>
          <cell r="CE54">
            <v>52</v>
          </cell>
          <cell r="CF54">
            <v>52</v>
          </cell>
          <cell r="CG54">
            <v>52</v>
          </cell>
          <cell r="CH54">
            <v>52</v>
          </cell>
          <cell r="DB54">
            <v>226.49999999999997</v>
          </cell>
          <cell r="DC54">
            <v>18.5</v>
          </cell>
          <cell r="DD54">
            <v>56.3</v>
          </cell>
          <cell r="DE54">
            <v>71.099999999999994</v>
          </cell>
          <cell r="DF54">
            <v>80.599999999999994</v>
          </cell>
          <cell r="DH54">
            <v>315.7</v>
          </cell>
          <cell r="DI54">
            <v>84.1</v>
          </cell>
          <cell r="DJ54">
            <v>90</v>
          </cell>
          <cell r="DK54">
            <v>70.3</v>
          </cell>
          <cell r="DL54">
            <v>71.3</v>
          </cell>
          <cell r="DN54">
            <v>311.8</v>
          </cell>
          <cell r="DO54">
            <v>79.199999999999989</v>
          </cell>
          <cell r="DP54">
            <v>77.900000000000006</v>
          </cell>
          <cell r="DQ54">
            <v>72.400000000000006</v>
          </cell>
          <cell r="DR54">
            <v>82.3</v>
          </cell>
          <cell r="DT54">
            <v>275.07800000000003</v>
          </cell>
          <cell r="DU54">
            <v>71.900000000000006</v>
          </cell>
          <cell r="DV54">
            <v>70.528999999999996</v>
          </cell>
          <cell r="DW54">
            <v>64.668999999999997</v>
          </cell>
          <cell r="DX54">
            <v>67.98</v>
          </cell>
          <cell r="DZ54">
            <v>288.66000000000003</v>
          </cell>
          <cell r="EA54">
            <v>82.183999999999997</v>
          </cell>
          <cell r="EB54">
            <v>72.777000000000001</v>
          </cell>
          <cell r="EC54">
            <v>66.912000000000006</v>
          </cell>
          <cell r="ED54">
            <v>66.787000000000006</v>
          </cell>
          <cell r="EF54">
            <v>264.95400000000001</v>
          </cell>
          <cell r="EG54">
            <v>81.763000000000005</v>
          </cell>
          <cell r="EH54">
            <v>59.756999999999998</v>
          </cell>
          <cell r="EI54">
            <v>60.96</v>
          </cell>
          <cell r="EJ54">
            <v>62.473999999999997</v>
          </cell>
          <cell r="EL54">
            <v>302.73099999999999</v>
          </cell>
          <cell r="EM54">
            <v>63.238</v>
          </cell>
          <cell r="EN54">
            <v>78.697999999999993</v>
          </cell>
          <cell r="EO54">
            <v>76.998999999999995</v>
          </cell>
          <cell r="EP54">
            <v>83.796000000000006</v>
          </cell>
          <cell r="ER54">
            <v>195.83</v>
          </cell>
          <cell r="ES54">
            <v>49.039000000000001</v>
          </cell>
          <cell r="ET54">
            <v>52.603999999999999</v>
          </cell>
          <cell r="EU54">
            <v>43.115000000000002</v>
          </cell>
          <cell r="EV54">
            <v>51.072000000000003</v>
          </cell>
        </row>
        <row r="55">
          <cell r="A55" t="str">
            <v>Price per ton</v>
          </cell>
          <cell r="P55">
            <v>636.39396589149237</v>
          </cell>
          <cell r="Q55">
            <v>629.12866682165122</v>
          </cell>
          <cell r="R55">
            <v>626.30320333750899</v>
          </cell>
          <cell r="S55">
            <v>704.63425188981955</v>
          </cell>
          <cell r="T55">
            <v>808.21920207267522</v>
          </cell>
          <cell r="U55">
            <v>716.48059552088546</v>
          </cell>
          <cell r="V55">
            <v>707.59751290457348</v>
          </cell>
          <cell r="W55">
            <v>605.95504147648171</v>
          </cell>
          <cell r="AC55">
            <v>550.125</v>
          </cell>
          <cell r="AD55">
            <v>502.625</v>
          </cell>
          <cell r="AI55">
            <v>554.5</v>
          </cell>
          <cell r="AL55">
            <v>590</v>
          </cell>
          <cell r="AM55">
            <v>565</v>
          </cell>
          <cell r="AN55">
            <v>543</v>
          </cell>
          <cell r="AO55">
            <v>520</v>
          </cell>
          <cell r="AQ55">
            <v>558</v>
          </cell>
          <cell r="AR55">
            <v>497</v>
          </cell>
          <cell r="AS55">
            <v>557</v>
          </cell>
          <cell r="AT55">
            <v>588</v>
          </cell>
          <cell r="AU55">
            <v>590</v>
          </cell>
          <cell r="AW55">
            <v>478.875</v>
          </cell>
          <cell r="AX55">
            <v>484.5</v>
          </cell>
          <cell r="AY55">
            <v>477</v>
          </cell>
          <cell r="AZ55">
            <v>477</v>
          </cell>
          <cell r="BA55">
            <v>477</v>
          </cell>
          <cell r="BL55">
            <v>502.625</v>
          </cell>
          <cell r="BM55">
            <v>487</v>
          </cell>
          <cell r="BN55">
            <v>492</v>
          </cell>
          <cell r="BO55">
            <v>504.5</v>
          </cell>
          <cell r="BP55">
            <v>527</v>
          </cell>
          <cell r="BR55">
            <v>550.125</v>
          </cell>
          <cell r="BS55">
            <v>552</v>
          </cell>
          <cell r="BT55">
            <v>552</v>
          </cell>
          <cell r="BU55">
            <v>552</v>
          </cell>
          <cell r="BV55">
            <v>544.5</v>
          </cell>
          <cell r="BX55">
            <v>525.75</v>
          </cell>
          <cell r="BY55">
            <v>537</v>
          </cell>
          <cell r="BZ55">
            <v>529.5</v>
          </cell>
          <cell r="CA55">
            <v>522</v>
          </cell>
          <cell r="CB55">
            <v>514.5</v>
          </cell>
          <cell r="CD55">
            <v>495.75</v>
          </cell>
          <cell r="CE55">
            <v>507</v>
          </cell>
          <cell r="CF55">
            <v>499.5</v>
          </cell>
          <cell r="CG55">
            <v>492</v>
          </cell>
          <cell r="CH55">
            <v>484.5</v>
          </cell>
          <cell r="DB55">
            <v>605.95504147648171</v>
          </cell>
          <cell r="DC55">
            <v>535.1351351351351</v>
          </cell>
          <cell r="DD55">
            <v>600.35523978685615</v>
          </cell>
          <cell r="DE55">
            <v>635.72433192686367</v>
          </cell>
          <cell r="DF55">
            <v>652.60545905707193</v>
          </cell>
          <cell r="DH55">
            <v>707.59751290457348</v>
          </cell>
          <cell r="DI55">
            <v>678.95362663495837</v>
          </cell>
          <cell r="DJ55">
            <v>691.11111111111109</v>
          </cell>
          <cell r="DK55">
            <v>721.19487908961594</v>
          </cell>
          <cell r="DL55">
            <v>739.13043478260875</v>
          </cell>
          <cell r="DN55">
            <v>716.48059552088546</v>
          </cell>
          <cell r="DO55">
            <v>735.76379974326051</v>
          </cell>
          <cell r="DP55">
            <v>695.76379974326051</v>
          </cell>
          <cell r="DQ55">
            <v>691.98895027624303</v>
          </cell>
          <cell r="DR55">
            <v>742.40583232077768</v>
          </cell>
          <cell r="DT55">
            <v>808.21920207267522</v>
          </cell>
          <cell r="DU55">
            <v>736.03616133518767</v>
          </cell>
          <cell r="DV55">
            <v>781.74935133065844</v>
          </cell>
          <cell r="DW55">
            <v>835.67087785492288</v>
          </cell>
          <cell r="DX55">
            <v>879.42041776993233</v>
          </cell>
          <cell r="DZ55">
            <v>704.63425188981955</v>
          </cell>
          <cell r="EA55">
            <v>713.24102014990751</v>
          </cell>
          <cell r="EB55">
            <v>719.92525110955387</v>
          </cell>
          <cell r="EC55">
            <v>705.95707795313251</v>
          </cell>
          <cell r="ED55">
            <v>679.41365834668409</v>
          </cell>
          <cell r="EF55">
            <v>626.30320333750899</v>
          </cell>
          <cell r="EG55">
            <v>622.97127062363165</v>
          </cell>
          <cell r="EH55">
            <v>616.11191994243359</v>
          </cell>
          <cell r="EI55">
            <v>624.29461942257217</v>
          </cell>
          <cell r="EJ55">
            <v>641.83500336139844</v>
          </cell>
          <cell r="EL55">
            <v>629.12866682165122</v>
          </cell>
          <cell r="EM55">
            <v>652.62974793636738</v>
          </cell>
          <cell r="EN55">
            <v>637.66550611197238</v>
          </cell>
          <cell r="EO55">
            <v>599.86493331082227</v>
          </cell>
          <cell r="EP55">
            <v>626.35447992744275</v>
          </cell>
          <cell r="ER55">
            <v>636.39396589149237</v>
          </cell>
          <cell r="ES55">
            <v>660.59666795815588</v>
          </cell>
          <cell r="ET55">
            <v>650.84404227815378</v>
          </cell>
          <cell r="EU55">
            <v>635.50968340484746</v>
          </cell>
          <cell r="EV55">
            <v>598.62546992481202</v>
          </cell>
        </row>
        <row r="56">
          <cell r="A56" t="str">
            <v xml:space="preserve">  % Change </v>
          </cell>
          <cell r="Q56">
            <v>-1.1416354427031039E-2</v>
          </cell>
          <cell r="R56">
            <v>-4.4910741365775664E-3</v>
          </cell>
          <cell r="S56">
            <v>0.12506889336489424</v>
          </cell>
          <cell r="T56">
            <v>0.14700527245878581</v>
          </cell>
          <cell r="U56">
            <v>-0.1135070860931372</v>
          </cell>
          <cell r="V56">
            <v>-1.2398218000382766E-2</v>
          </cell>
          <cell r="W56">
            <v>-0.1436444724217103</v>
          </cell>
          <cell r="AC56">
            <v>4.636233951497859E-2</v>
          </cell>
          <cell r="AD56">
            <v>-8.6344012724380859E-2</v>
          </cell>
          <cell r="AI56">
            <v>-8.4915609169791462E-2</v>
          </cell>
          <cell r="AL56">
            <v>0.10252525252525269</v>
          </cell>
          <cell r="AM56">
            <v>-5.8890532544378704E-2</v>
          </cell>
          <cell r="AN56">
            <v>-0.14585619469026567</v>
          </cell>
          <cell r="AO56">
            <v>-0.20319391634980988</v>
          </cell>
          <cell r="AQ56">
            <v>6.3119927862940184E-3</v>
          </cell>
          <cell r="AR56">
            <v>-0.15762711864406775</v>
          </cell>
          <cell r="AS56">
            <v>-1.415929203539823E-2</v>
          </cell>
          <cell r="AT56">
            <v>8.287292817679548E-2</v>
          </cell>
          <cell r="AU56">
            <v>0.13461538461538458</v>
          </cell>
          <cell r="AW56">
            <v>-0.14180107526881724</v>
          </cell>
          <cell r="AX56">
            <v>-2.5150905432595572E-2</v>
          </cell>
          <cell r="AY56">
            <v>-0.14362657091561937</v>
          </cell>
          <cell r="AZ56">
            <v>-0.18877551020408168</v>
          </cell>
          <cell r="BA56">
            <v>-0.19152542372881354</v>
          </cell>
          <cell r="BL56">
            <v>-8.6344012724380859E-2</v>
          </cell>
          <cell r="BM56">
            <v>-0.11775362318840576</v>
          </cell>
          <cell r="BN56">
            <v>-0.10869565217391308</v>
          </cell>
          <cell r="BO56">
            <v>-8.6050724637681153E-2</v>
          </cell>
          <cell r="BP56">
            <v>-3.2139577594123003E-2</v>
          </cell>
          <cell r="BR56">
            <v>4.636233951497859E-2</v>
          </cell>
          <cell r="BS56">
            <v>2.7932960893854775E-2</v>
          </cell>
          <cell r="BT56">
            <v>4.2492917847025469E-2</v>
          </cell>
          <cell r="BU56">
            <v>5.7471264367816133E-2</v>
          </cell>
          <cell r="BV56">
            <v>5.8309037900874605E-2</v>
          </cell>
          <cell r="BX56">
            <v>6.051437216338873E-2</v>
          </cell>
          <cell r="BY56">
            <v>5.9171597633136175E-2</v>
          </cell>
          <cell r="BZ56">
            <v>6.0060060060060039E-2</v>
          </cell>
          <cell r="CA56">
            <v>6.0975609756097615E-2</v>
          </cell>
          <cell r="CB56">
            <v>6.1919504643962897E-2</v>
          </cell>
          <cell r="CD56">
            <v>3.5238841033672585E-2</v>
          </cell>
          <cell r="CE56">
            <v>4.6439628482972228E-2</v>
          </cell>
          <cell r="CF56">
            <v>4.7169811320754818E-2</v>
          </cell>
          <cell r="CG56">
            <v>3.1446540880503138E-2</v>
          </cell>
          <cell r="CH56">
            <v>1.572327044025168E-2</v>
          </cell>
          <cell r="DB56">
            <v>-0.1436444724217103</v>
          </cell>
          <cell r="DC56">
            <v>-0.21182373266436316</v>
          </cell>
          <cell r="DD56">
            <v>-0.13131878487432391</v>
          </cell>
          <cell r="DE56">
            <v>-0.11851241549391489</v>
          </cell>
          <cell r="DF56">
            <v>-0.11706320245219681</v>
          </cell>
          <cell r="DH56">
            <v>-1.2398218000382766E-2</v>
          </cell>
          <cell r="DI56">
            <v>-7.7212514570743518E-2</v>
          </cell>
          <cell r="DJ56">
            <v>-6.6871668716685928E-3</v>
          </cell>
          <cell r="DK56">
            <v>4.2205773375013855E-2</v>
          </cell>
          <cell r="DL56">
            <v>-4.4118693517398722E-3</v>
          </cell>
          <cell r="DN56">
            <v>-0.1135070860931372</v>
          </cell>
          <cell r="DO56">
            <v>-3.7003832995530228E-4</v>
          </cell>
          <cell r="DP56">
            <v>-0.1099912029872967</v>
          </cell>
          <cell r="DQ56">
            <v>-0.17193602336304437</v>
          </cell>
          <cell r="DR56">
            <v>-0.15580100561754229</v>
          </cell>
          <cell r="DT56">
            <v>0.14700527245878581</v>
          </cell>
          <cell r="DU56">
            <v>3.1959941368051359E-2</v>
          </cell>
          <cell r="DV56">
            <v>8.5875721299983443E-2</v>
          </cell>
          <cell r="DW56">
            <v>0.18374176554456456</v>
          </cell>
          <cell r="DX56">
            <v>0.29438142281383284</v>
          </cell>
          <cell r="EA56">
            <v>0.14490194617788776</v>
          </cell>
          <cell r="EB56">
            <v>0.16849752099719173</v>
          </cell>
          <cell r="EC56">
            <v>0.13080756423320183</v>
          </cell>
          <cell r="ED56">
            <v>5.8548777783199446E-2</v>
          </cell>
          <cell r="EG56">
            <v>-4.544456854214296E-2</v>
          </cell>
          <cell r="EH56">
            <v>-3.3800771663120233E-2</v>
          </cell>
          <cell r="EI56">
            <v>4.0725311241174955E-2</v>
          </cell>
          <cell r="EJ56">
            <v>2.4715275343363041E-2</v>
          </cell>
          <cell r="EM56">
            <v>-1.206018802125286E-2</v>
          </cell>
          <cell r="EN56">
            <v>-2.0248377967865383E-2</v>
          </cell>
          <cell r="EO56">
            <v>-5.6088445266565534E-2</v>
          </cell>
          <cell r="EP56">
            <v>4.6321132988400127E-2</v>
          </cell>
        </row>
        <row r="57">
          <cell r="AC57">
            <v>0</v>
          </cell>
          <cell r="AD57">
            <v>0</v>
          </cell>
        </row>
        <row r="58">
          <cell r="A58" t="str">
            <v>Coated Groundwood Paper</v>
          </cell>
          <cell r="AC58">
            <v>0</v>
          </cell>
          <cell r="AD58">
            <v>0</v>
          </cell>
        </row>
        <row r="59">
          <cell r="A59" t="str">
            <v>Sales</v>
          </cell>
          <cell r="C59">
            <v>64.8</v>
          </cell>
          <cell r="D59">
            <v>71.3</v>
          </cell>
          <cell r="E59">
            <v>76.599999999999994</v>
          </cell>
          <cell r="F59">
            <v>80.5</v>
          </cell>
          <cell r="G59">
            <v>78</v>
          </cell>
          <cell r="H59">
            <v>95.6</v>
          </cell>
          <cell r="I59">
            <v>103.7</v>
          </cell>
          <cell r="J59">
            <v>126.4</v>
          </cell>
          <cell r="K59">
            <v>203.7</v>
          </cell>
          <cell r="L59">
            <v>269.66999999999996</v>
          </cell>
          <cell r="M59">
            <v>279.197</v>
          </cell>
          <cell r="N59">
            <v>279.05500000000001</v>
          </cell>
          <cell r="O59">
            <v>259.89499999999998</v>
          </cell>
          <cell r="P59">
            <v>315.96290499999998</v>
          </cell>
          <cell r="Q59">
            <v>316.19299999999998</v>
          </cell>
          <cell r="R59">
            <v>307.03299999999996</v>
          </cell>
          <cell r="S59">
            <v>463.85139645801627</v>
          </cell>
          <cell r="T59">
            <v>356.31299999999999</v>
          </cell>
          <cell r="U59">
            <v>337.7</v>
          </cell>
          <cell r="V59">
            <v>390.98127946127948</v>
          </cell>
          <cell r="W59">
            <v>311.7</v>
          </cell>
          <cell r="AC59">
            <v>312.84000000000003</v>
          </cell>
          <cell r="AD59">
            <v>285.33999999999997</v>
          </cell>
          <cell r="AI59">
            <v>330.29999999999995</v>
          </cell>
          <cell r="AL59">
            <v>83.7</v>
          </cell>
          <cell r="AM59">
            <v>89.1</v>
          </cell>
          <cell r="AN59">
            <v>83.6</v>
          </cell>
          <cell r="AO59">
            <v>73.900000000000006</v>
          </cell>
          <cell r="AQ59">
            <v>308.66369999999995</v>
          </cell>
          <cell r="AR59">
            <v>75.863699999999994</v>
          </cell>
          <cell r="AS59">
            <v>79.599999999999994</v>
          </cell>
          <cell r="AT59">
            <v>74.3</v>
          </cell>
          <cell r="AU59">
            <v>78.900000000000006</v>
          </cell>
          <cell r="AW59">
            <v>289.74</v>
          </cell>
          <cell r="AX59">
            <v>71.06</v>
          </cell>
          <cell r="AY59">
            <v>71.06</v>
          </cell>
          <cell r="AZ59">
            <v>72.709999999999994</v>
          </cell>
          <cell r="BA59">
            <v>74.91</v>
          </cell>
          <cell r="BL59">
            <v>285.33999999999997</v>
          </cell>
          <cell r="BM59">
            <v>69.959999999999994</v>
          </cell>
          <cell r="BN59">
            <v>71.06</v>
          </cell>
          <cell r="BO59">
            <v>71.06</v>
          </cell>
          <cell r="BP59">
            <v>73.260000000000005</v>
          </cell>
          <cell r="BR59">
            <v>312.84000000000003</v>
          </cell>
          <cell r="BS59">
            <v>75.459999999999994</v>
          </cell>
          <cell r="BT59">
            <v>77.66</v>
          </cell>
          <cell r="BU59">
            <v>79.86</v>
          </cell>
          <cell r="BV59">
            <v>79.86</v>
          </cell>
          <cell r="BX59">
            <v>312.84000000000003</v>
          </cell>
          <cell r="BY59">
            <v>79.86</v>
          </cell>
          <cell r="BZ59">
            <v>78.760000000000005</v>
          </cell>
          <cell r="CA59">
            <v>77.66</v>
          </cell>
          <cell r="CB59">
            <v>76.56</v>
          </cell>
          <cell r="CD59">
            <v>295.24</v>
          </cell>
          <cell r="CE59">
            <v>75.459999999999994</v>
          </cell>
          <cell r="CF59">
            <v>74.36</v>
          </cell>
          <cell r="CG59">
            <v>73.260000000000005</v>
          </cell>
          <cell r="CH59">
            <v>72.16</v>
          </cell>
          <cell r="DB59">
            <v>311.7</v>
          </cell>
          <cell r="DC59">
            <v>76.7</v>
          </cell>
          <cell r="DD59">
            <v>77</v>
          </cell>
          <cell r="DE59">
            <v>78.099999999999994</v>
          </cell>
          <cell r="DF59">
            <v>79.900000000000006</v>
          </cell>
          <cell r="DH59">
            <v>390.98127946127948</v>
          </cell>
          <cell r="DI59">
            <v>91.581279461279451</v>
          </cell>
          <cell r="DJ59">
            <v>97.6</v>
          </cell>
          <cell r="DK59">
            <v>104.5</v>
          </cell>
          <cell r="DL59">
            <v>97.3</v>
          </cell>
          <cell r="DN59">
            <v>337.7</v>
          </cell>
          <cell r="DO59">
            <v>97.5</v>
          </cell>
          <cell r="DP59">
            <v>83.7</v>
          </cell>
          <cell r="DQ59">
            <v>83.2</v>
          </cell>
          <cell r="DR59">
            <v>73.3</v>
          </cell>
          <cell r="DT59">
            <v>356.31299999999999</v>
          </cell>
          <cell r="DU59">
            <v>80.414000000000001</v>
          </cell>
          <cell r="DV59">
            <v>84.052999999999997</v>
          </cell>
          <cell r="DW59">
            <v>93.090999999999994</v>
          </cell>
          <cell r="DX59">
            <v>98.754999999999995</v>
          </cell>
          <cell r="DZ59">
            <v>463.85139645801627</v>
          </cell>
          <cell r="EA59">
            <v>126.77139645801626</v>
          </cell>
          <cell r="EB59">
            <v>127.5</v>
          </cell>
          <cell r="EC59">
            <v>114.30800000000001</v>
          </cell>
          <cell r="ED59">
            <v>95.272000000000006</v>
          </cell>
          <cell r="EF59">
            <v>307.03299999999996</v>
          </cell>
          <cell r="EG59">
            <v>84.899000000000001</v>
          </cell>
          <cell r="EH59">
            <v>77.322999999999993</v>
          </cell>
          <cell r="EI59">
            <v>71.176000000000002</v>
          </cell>
          <cell r="EJ59">
            <v>73.635000000000005</v>
          </cell>
          <cell r="EL59">
            <v>316.19299999999998</v>
          </cell>
          <cell r="EM59">
            <v>79.933000000000007</v>
          </cell>
          <cell r="EN59">
            <v>79.858000000000004</v>
          </cell>
          <cell r="EO59">
            <v>82.037000000000006</v>
          </cell>
          <cell r="EP59">
            <v>74.364999999999995</v>
          </cell>
          <cell r="ER59">
            <v>315.96290499999998</v>
          </cell>
          <cell r="ES59">
            <v>84.132999999999996</v>
          </cell>
          <cell r="ET59">
            <v>80.954400000000007</v>
          </cell>
          <cell r="EU59">
            <v>78.317999999999998</v>
          </cell>
          <cell r="EV59">
            <v>72.557504999999992</v>
          </cell>
          <cell r="EX59">
            <v>259.89499999999998</v>
          </cell>
          <cell r="EY59">
            <v>66.236999999999995</v>
          </cell>
          <cell r="EZ59">
            <v>64.403000000000006</v>
          </cell>
          <cell r="FA59">
            <v>65.599999999999994</v>
          </cell>
          <cell r="FB59">
            <v>63.655000000000001</v>
          </cell>
          <cell r="FD59">
            <v>279.05500000000001</v>
          </cell>
          <cell r="FE59">
            <v>72.626999999999995</v>
          </cell>
          <cell r="FF59">
            <v>69.962000000000003</v>
          </cell>
          <cell r="FG59">
            <v>67.706000000000003</v>
          </cell>
          <cell r="FH59">
            <v>68.760000000000005</v>
          </cell>
          <cell r="FJ59">
            <v>279.197</v>
          </cell>
          <cell r="FK59">
            <v>70.731999999999999</v>
          </cell>
          <cell r="FL59">
            <v>69.584000000000003</v>
          </cell>
          <cell r="FM59">
            <v>67.400000000000006</v>
          </cell>
          <cell r="FN59">
            <v>71.480999999999995</v>
          </cell>
          <cell r="FP59">
            <v>269.66999999999996</v>
          </cell>
          <cell r="FQ59">
            <v>71.599999999999994</v>
          </cell>
          <cell r="FR59">
            <v>69.53</v>
          </cell>
          <cell r="FS59">
            <v>63.576999999999998</v>
          </cell>
          <cell r="FT59">
            <v>64.962999999999994</v>
          </cell>
        </row>
        <row r="60">
          <cell r="A60" t="str">
            <v>Operating Income</v>
          </cell>
          <cell r="C60">
            <v>23.327999999999999</v>
          </cell>
          <cell r="D60">
            <v>23.671600000000002</v>
          </cell>
          <cell r="E60">
            <v>24.128999999999998</v>
          </cell>
          <cell r="F60">
            <v>23.183999999999997</v>
          </cell>
          <cell r="G60">
            <v>21.840000000000003</v>
          </cell>
          <cell r="H60">
            <v>36.901600000000002</v>
          </cell>
          <cell r="I60">
            <v>41.687400000000004</v>
          </cell>
          <cell r="J60">
            <v>24.268800000000002</v>
          </cell>
          <cell r="K60">
            <v>33.610500000000002</v>
          </cell>
          <cell r="L60">
            <v>89.537999999999997</v>
          </cell>
          <cell r="M60">
            <v>87.663000000000011</v>
          </cell>
          <cell r="N60">
            <v>81.081999999999994</v>
          </cell>
          <cell r="O60">
            <v>58.143000000000001</v>
          </cell>
          <cell r="P60">
            <v>49.097054999999997</v>
          </cell>
          <cell r="Q60">
            <v>46.206019999999981</v>
          </cell>
          <cell r="R60">
            <v>37.442419999999984</v>
          </cell>
          <cell r="S60">
            <v>182.09157645801628</v>
          </cell>
          <cell r="T60">
            <v>91.298435600000005</v>
          </cell>
          <cell r="U60">
            <v>49.329717200000005</v>
          </cell>
          <cell r="V60">
            <v>98.187263661279417</v>
          </cell>
          <cell r="W60">
            <v>27.4</v>
          </cell>
          <cell r="AC60">
            <v>27.719999999999985</v>
          </cell>
          <cell r="AD60">
            <v>0.21999999999999886</v>
          </cell>
          <cell r="AI60">
            <v>68.5</v>
          </cell>
          <cell r="AL60">
            <v>17.2</v>
          </cell>
          <cell r="AM60">
            <v>20.7</v>
          </cell>
          <cell r="AN60">
            <v>18.3</v>
          </cell>
          <cell r="AO60">
            <v>12.3</v>
          </cell>
          <cell r="AQ60">
            <v>23.407699999999998</v>
          </cell>
          <cell r="AR60">
            <v>3.307699999999997</v>
          </cell>
          <cell r="AS60">
            <v>4.3</v>
          </cell>
          <cell r="AT60">
            <v>5.4</v>
          </cell>
          <cell r="AU60">
            <v>10.4</v>
          </cell>
          <cell r="AW60">
            <v>4.6199999999999903</v>
          </cell>
          <cell r="AX60">
            <v>-0.21999999999999886</v>
          </cell>
          <cell r="AY60">
            <v>-0.21999999999999886</v>
          </cell>
          <cell r="AZ60">
            <v>1.4299999999999926</v>
          </cell>
          <cell r="BA60">
            <v>3.6299999999999955</v>
          </cell>
          <cell r="BL60">
            <v>0.21999999999999886</v>
          </cell>
          <cell r="BM60">
            <v>-1.3200000000000074</v>
          </cell>
          <cell r="BN60">
            <v>-0.21999999999999886</v>
          </cell>
          <cell r="BO60">
            <v>-0.21999999999999886</v>
          </cell>
          <cell r="BP60">
            <v>1.980000000000004</v>
          </cell>
          <cell r="BR60">
            <v>27.719999999999985</v>
          </cell>
          <cell r="BS60">
            <v>4.1799999999999926</v>
          </cell>
          <cell r="BT60">
            <v>6.3799999999999955</v>
          </cell>
          <cell r="BU60">
            <v>8.5799999999999983</v>
          </cell>
          <cell r="BV60">
            <v>8.5799999999999983</v>
          </cell>
          <cell r="BX60">
            <v>27.72</v>
          </cell>
          <cell r="BY60">
            <v>8.5799999999999983</v>
          </cell>
          <cell r="BZ60">
            <v>7.480000000000004</v>
          </cell>
          <cell r="CA60">
            <v>6.3799999999999955</v>
          </cell>
          <cell r="CB60">
            <v>5.2800000000000011</v>
          </cell>
          <cell r="CD60">
            <v>10.11999999999999</v>
          </cell>
          <cell r="CE60">
            <v>4.1799999999999926</v>
          </cell>
          <cell r="CF60">
            <v>3.0799999999999983</v>
          </cell>
          <cell r="CG60">
            <v>1.980000000000004</v>
          </cell>
          <cell r="CH60">
            <v>0.87999999999999545</v>
          </cell>
          <cell r="DB60">
            <v>27.4</v>
          </cell>
          <cell r="DC60">
            <v>15.5</v>
          </cell>
          <cell r="DD60">
            <v>5.7</v>
          </cell>
          <cell r="DE60">
            <v>1.5</v>
          </cell>
          <cell r="DF60">
            <v>4.7</v>
          </cell>
          <cell r="DH60">
            <v>98.187263661279417</v>
          </cell>
          <cell r="DI60">
            <v>17.208467961279439</v>
          </cell>
          <cell r="DJ60">
            <v>26.057570799999993</v>
          </cell>
          <cell r="DK60">
            <v>28.922770499999999</v>
          </cell>
          <cell r="DL60">
            <v>25.998454399999986</v>
          </cell>
          <cell r="DN60">
            <v>49.329717200000005</v>
          </cell>
          <cell r="DO60">
            <v>20.923500000000004</v>
          </cell>
          <cell r="DP60">
            <v>15.240000000000009</v>
          </cell>
          <cell r="DQ60">
            <v>8.7999999999999972</v>
          </cell>
          <cell r="DR60">
            <v>4.3662171999999941</v>
          </cell>
          <cell r="DT60">
            <v>91.298435600000005</v>
          </cell>
          <cell r="DU60">
            <v>4.4165840000000003</v>
          </cell>
          <cell r="DV60">
            <v>16.431357800000015</v>
          </cell>
          <cell r="DW60">
            <v>30.070093799999995</v>
          </cell>
          <cell r="DX60">
            <v>40.380399999999995</v>
          </cell>
          <cell r="DZ60">
            <v>182.09157645801628</v>
          </cell>
          <cell r="EA60">
            <v>57.351396458016254</v>
          </cell>
          <cell r="EB60">
            <v>55.007289999999998</v>
          </cell>
          <cell r="EC60">
            <v>42.456620000000001</v>
          </cell>
          <cell r="ED60">
            <v>27.276270000000011</v>
          </cell>
          <cell r="EF60">
            <v>37.442419999999984</v>
          </cell>
          <cell r="EG60">
            <v>15.149199999999993</v>
          </cell>
          <cell r="EH60">
            <v>9.688619999999986</v>
          </cell>
          <cell r="EI60">
            <v>5.1478000000000037</v>
          </cell>
          <cell r="EJ60">
            <v>7.4568000000000012</v>
          </cell>
          <cell r="EL60">
            <v>46.206019999999981</v>
          </cell>
          <cell r="EM60">
            <v>10.789000000000001</v>
          </cell>
          <cell r="EN60">
            <v>14.457999999999998</v>
          </cell>
          <cell r="EO60">
            <v>13.43401999999999</v>
          </cell>
          <cell r="EP60">
            <v>7.5249999999999915</v>
          </cell>
          <cell r="ER60">
            <v>49.097054999999997</v>
          </cell>
          <cell r="ES60">
            <v>13.923000000000002</v>
          </cell>
          <cell r="ET60">
            <v>13.871400000000008</v>
          </cell>
          <cell r="EU60">
            <v>11.057999999999993</v>
          </cell>
          <cell r="EV60">
            <v>10.244654999999995</v>
          </cell>
          <cell r="EX60">
            <v>58.143000000000001</v>
          </cell>
          <cell r="EY60">
            <v>13.356</v>
          </cell>
          <cell r="EZ60">
            <v>13.648</v>
          </cell>
          <cell r="FA60">
            <v>15.78</v>
          </cell>
          <cell r="FB60">
            <v>15.359</v>
          </cell>
          <cell r="FD60">
            <v>81.081999999999994</v>
          </cell>
          <cell r="FE60">
            <v>20.443999999999999</v>
          </cell>
          <cell r="FF60">
            <v>20.381</v>
          </cell>
          <cell r="FG60">
            <v>19.157</v>
          </cell>
          <cell r="FH60">
            <v>21.1</v>
          </cell>
          <cell r="FJ60">
            <v>87.663000000000011</v>
          </cell>
          <cell r="FK60">
            <v>21.943999999999999</v>
          </cell>
          <cell r="FL60">
            <v>20.216999999999999</v>
          </cell>
          <cell r="FM60">
            <v>21.047999999999998</v>
          </cell>
          <cell r="FN60">
            <v>24.454000000000001</v>
          </cell>
          <cell r="FP60">
            <v>89.537999999999997</v>
          </cell>
          <cell r="FQ60">
            <v>26.369</v>
          </cell>
          <cell r="FR60">
            <v>23.140999999999998</v>
          </cell>
          <cell r="FS60">
            <v>19.855</v>
          </cell>
          <cell r="FT60">
            <v>20.172999999999998</v>
          </cell>
        </row>
        <row r="61">
          <cell r="A61" t="str">
            <v xml:space="preserve">  (% of sales)</v>
          </cell>
          <cell r="C61">
            <v>0.36</v>
          </cell>
          <cell r="D61">
            <v>0.33200000000000002</v>
          </cell>
          <cell r="E61">
            <v>0.315</v>
          </cell>
          <cell r="F61">
            <v>0.28799999999999998</v>
          </cell>
          <cell r="G61">
            <v>0.28000000000000003</v>
          </cell>
          <cell r="H61">
            <v>0.38600000000000007</v>
          </cell>
          <cell r="I61">
            <v>0.40200000000000002</v>
          </cell>
          <cell r="J61">
            <v>0.192</v>
          </cell>
          <cell r="K61">
            <v>0.16500000000000001</v>
          </cell>
          <cell r="L61">
            <v>0.3320280342641006</v>
          </cell>
          <cell r="M61">
            <v>0.3139826000995713</v>
          </cell>
          <cell r="N61">
            <v>0.29055920875813007</v>
          </cell>
          <cell r="O61">
            <v>0.22371727043613768</v>
          </cell>
          <cell r="P61">
            <v>0.15538866817292998</v>
          </cell>
          <cell r="Q61">
            <v>0.14613233057025293</v>
          </cell>
          <cell r="R61">
            <v>0.1219491715874189</v>
          </cell>
          <cell r="S61">
            <v>0.39256446751798796</v>
          </cell>
          <cell r="T61">
            <v>0.2562309980270156</v>
          </cell>
          <cell r="U61">
            <v>0.14607556174119044</v>
          </cell>
          <cell r="V61">
            <v>0.25113034515762106</v>
          </cell>
          <cell r="W61">
            <v>8.7905036894449784E-2</v>
          </cell>
          <cell r="AC61">
            <v>8.8607594936708806E-2</v>
          </cell>
          <cell r="AD61">
            <v>7.7101002313029676E-4</v>
          </cell>
          <cell r="AI61">
            <v>0.20738722373599761</v>
          </cell>
          <cell r="AL61">
            <v>0.20549581839904418</v>
          </cell>
          <cell r="AM61">
            <v>0.23232323232323232</v>
          </cell>
          <cell r="AN61">
            <v>0.21889952153110051</v>
          </cell>
          <cell r="AO61">
            <v>0.16644113667117727</v>
          </cell>
          <cell r="AQ61">
            <v>7.5835610083077473E-2</v>
          </cell>
          <cell r="AR61">
            <v>4.3600562587904325E-2</v>
          </cell>
          <cell r="AS61">
            <v>5.4020100502512568E-2</v>
          </cell>
          <cell r="AT61">
            <v>7.2678331090174977E-2</v>
          </cell>
          <cell r="AU61">
            <v>0.13181242078580482</v>
          </cell>
          <cell r="AW61">
            <v>1.5945330296127529E-2</v>
          </cell>
          <cell r="AX61">
            <v>-3.0959752321981261E-3</v>
          </cell>
          <cell r="AY61">
            <v>-3.0959752321981261E-3</v>
          </cell>
          <cell r="AZ61">
            <v>1.9667170953101262E-2</v>
          </cell>
          <cell r="BA61">
            <v>4.8458149779735622E-2</v>
          </cell>
          <cell r="BL61">
            <v>7.7101002313029676E-4</v>
          </cell>
          <cell r="BM61">
            <v>-1.8867924528301994E-2</v>
          </cell>
          <cell r="BN61">
            <v>-3.0959752321981261E-3</v>
          </cell>
          <cell r="BO61">
            <v>-3.0959752321981261E-3</v>
          </cell>
          <cell r="BP61">
            <v>2.7027027027027081E-2</v>
          </cell>
          <cell r="BR61">
            <v>8.8607594936708806E-2</v>
          </cell>
          <cell r="BS61">
            <v>5.539358600583081E-2</v>
          </cell>
          <cell r="BT61">
            <v>8.2152974504249243E-2</v>
          </cell>
          <cell r="BU61">
            <v>0.1074380165289256</v>
          </cell>
          <cell r="BV61">
            <v>0.1074380165289256</v>
          </cell>
          <cell r="BX61">
            <v>8.8607594936708847E-2</v>
          </cell>
          <cell r="BY61">
            <v>0.1074380165289256</v>
          </cell>
          <cell r="BZ61">
            <v>9.4972067039106184E-2</v>
          </cell>
          <cell r="CA61">
            <v>8.2152974504249243E-2</v>
          </cell>
          <cell r="CB61">
            <v>6.8965517241379323E-2</v>
          </cell>
          <cell r="CD61">
            <v>3.4277198211624407E-2</v>
          </cell>
          <cell r="CE61">
            <v>5.539358600583081E-2</v>
          </cell>
          <cell r="CF61">
            <v>4.1420118343195242E-2</v>
          </cell>
          <cell r="CG61">
            <v>2.7027027027027081E-2</v>
          </cell>
          <cell r="CH61">
            <v>1.219512195121945E-2</v>
          </cell>
          <cell r="DB61">
            <v>8.7905036894449784E-2</v>
          </cell>
          <cell r="DC61">
            <v>0.20208604954367665</v>
          </cell>
          <cell r="DD61">
            <v>7.4025974025974023E-2</v>
          </cell>
          <cell r="DE61">
            <v>1.9206145966709349E-2</v>
          </cell>
          <cell r="DF61">
            <v>5.8823529411764705E-2</v>
          </cell>
          <cell r="DH61">
            <v>0.25113034515762106</v>
          </cell>
          <cell r="DI61">
            <v>0.18790377315655626</v>
          </cell>
          <cell r="DJ61">
            <v>0.26698330737704912</v>
          </cell>
          <cell r="DK61">
            <v>0.27677292344497606</v>
          </cell>
          <cell r="DL61">
            <v>0.26719891469681384</v>
          </cell>
          <cell r="DN61">
            <v>0.14607556174119044</v>
          </cell>
          <cell r="DO61">
            <v>0.21460000000000004</v>
          </cell>
          <cell r="DP61">
            <v>0.18207885304659507</v>
          </cell>
          <cell r="DQ61">
            <v>0.10576923076923073</v>
          </cell>
          <cell r="DR61">
            <v>5.9566401091405104E-2</v>
          </cell>
          <cell r="DT61">
            <v>0.2562309980270156</v>
          </cell>
          <cell r="DU61">
            <v>5.4923073096724451E-2</v>
          </cell>
          <cell r="DV61">
            <v>0.19548805872485236</v>
          </cell>
          <cell r="DW61">
            <v>0.32301827029465791</v>
          </cell>
          <cell r="DX61">
            <v>0.40889473950686039</v>
          </cell>
          <cell r="DZ61">
            <v>0.39256446751798796</v>
          </cell>
          <cell r="EA61">
            <v>0.45240013173641819</v>
          </cell>
          <cell r="EB61">
            <v>0.43142972549019604</v>
          </cell>
          <cell r="EC61">
            <v>0.37142299751548447</v>
          </cell>
          <cell r="ED61">
            <v>0.28629891258711909</v>
          </cell>
          <cell r="EF61">
            <v>0.1219491715874189</v>
          </cell>
          <cell r="EG61">
            <v>0.17843790857371691</v>
          </cell>
          <cell r="EH61">
            <v>0.12530062206587933</v>
          </cell>
          <cell r="EI61">
            <v>7.2324940991345441E-2</v>
          </cell>
          <cell r="EJ61">
            <v>0.1012670605011204</v>
          </cell>
          <cell r="EL61">
            <v>0.14613233057025293</v>
          </cell>
          <cell r="EM61">
            <v>0.13497554201643877</v>
          </cell>
          <cell r="EN61">
            <v>0.18104635728417939</v>
          </cell>
          <cell r="EO61">
            <v>0.16375562246303482</v>
          </cell>
          <cell r="EP61">
            <v>0.10119007597660179</v>
          </cell>
          <cell r="ER61">
            <v>0.15538866817292998</v>
          </cell>
          <cell r="ES61">
            <v>0.16548797736916551</v>
          </cell>
          <cell r="ET61">
            <v>0.17134831460674166</v>
          </cell>
          <cell r="EU61">
            <v>0.14119359534206688</v>
          </cell>
          <cell r="EV61">
            <v>0.14119359534206691</v>
          </cell>
          <cell r="EX61">
            <v>0.22371727043613768</v>
          </cell>
          <cell r="EY61">
            <v>0.20163956700937544</v>
          </cell>
          <cell r="EZ61">
            <v>0.21191559399406856</v>
          </cell>
          <cell r="FA61">
            <v>0.2405487804878049</v>
          </cell>
          <cell r="FB61">
            <v>0.2412850522347027</v>
          </cell>
          <cell r="FD61">
            <v>0.29055920875813007</v>
          </cell>
          <cell r="FE61">
            <v>0.28149310862351468</v>
          </cell>
          <cell r="FF61">
            <v>0.29131528544066776</v>
          </cell>
          <cell r="FG61">
            <v>0.28294390452840218</v>
          </cell>
          <cell r="FH61">
            <v>0.30686445607911578</v>
          </cell>
          <cell r="FJ61">
            <v>0.3139826000995713</v>
          </cell>
          <cell r="FK61">
            <v>0.31024147486286263</v>
          </cell>
          <cell r="FL61">
            <v>0.29054092894918371</v>
          </cell>
          <cell r="FM61">
            <v>0.31228486646884268</v>
          </cell>
          <cell r="FN61">
            <v>0.34210489500706487</v>
          </cell>
          <cell r="FP61">
            <v>0.3320280342641006</v>
          </cell>
          <cell r="FQ61">
            <v>0.36828212290502799</v>
          </cell>
          <cell r="FR61">
            <v>0.33282036530993814</v>
          </cell>
          <cell r="FS61">
            <v>0.31229847271812133</v>
          </cell>
          <cell r="FT61">
            <v>0.31053060973169344</v>
          </cell>
        </row>
        <row r="62">
          <cell r="A62" t="str">
            <v xml:space="preserve">  % Change </v>
          </cell>
          <cell r="D62">
            <v>1.4729080932784688E-2</v>
          </cell>
          <cell r="E62">
            <v>1.9322732726135827E-2</v>
          </cell>
          <cell r="F62">
            <v>-3.9164490861618773E-2</v>
          </cell>
          <cell r="G62">
            <v>-5.7971014492753326E-2</v>
          </cell>
          <cell r="H62">
            <v>0.68963369963369936</v>
          </cell>
          <cell r="I62">
            <v>0.12969085351312692</v>
          </cell>
          <cell r="J62">
            <v>-0.41783848357057529</v>
          </cell>
          <cell r="K62">
            <v>0.38492632515822778</v>
          </cell>
          <cell r="L62">
            <v>1.6639889320301688</v>
          </cell>
          <cell r="M62">
            <v>-2.0940829591904957E-2</v>
          </cell>
          <cell r="N62">
            <v>-7.5071580940647892E-2</v>
          </cell>
          <cell r="O62">
            <v>-0.2829111270072272</v>
          </cell>
          <cell r="P62">
            <v>-0.1555809813735102</v>
          </cell>
          <cell r="Q62">
            <v>-5.8884081743803503E-2</v>
          </cell>
          <cell r="R62">
            <v>-0.18966359794676105</v>
          </cell>
          <cell r="S62">
            <v>3.8632427193011658</v>
          </cell>
          <cell r="T62">
            <v>-0.49861252576364989</v>
          </cell>
          <cell r="U62">
            <v>-0.45968715810065863</v>
          </cell>
          <cell r="V62">
            <v>0.99042826990460453</v>
          </cell>
          <cell r="W62">
            <v>-0.72094140341335011</v>
          </cell>
          <cell r="AC62">
            <v>-5.1265709650800885E-16</v>
          </cell>
          <cell r="AD62">
            <v>-0.99206349206349209</v>
          </cell>
          <cell r="AI62">
            <v>1.5000000000000002</v>
          </cell>
          <cell r="AL62">
            <v>0.10967741935483867</v>
          </cell>
          <cell r="AM62">
            <v>2.6315789473684208</v>
          </cell>
          <cell r="AN62">
            <v>11.200000000000001</v>
          </cell>
          <cell r="AO62">
            <v>1.6170212765957448</v>
          </cell>
          <cell r="AQ62">
            <v>-0.65828175182481752</v>
          </cell>
          <cell r="AR62">
            <v>-0.80769186046511643</v>
          </cell>
          <cell r="AS62">
            <v>-0.79227053140096615</v>
          </cell>
          <cell r="AT62">
            <v>-0.70491803278688525</v>
          </cell>
          <cell r="AU62">
            <v>-0.15447154471544716</v>
          </cell>
          <cell r="AW62">
            <v>-0.80262904941536373</v>
          </cell>
          <cell r="AX62" t="str">
            <v>NA</v>
          </cell>
          <cell r="AY62" t="str">
            <v>NA</v>
          </cell>
          <cell r="AZ62">
            <v>-0.73518518518518661</v>
          </cell>
          <cell r="BA62">
            <v>-0.65096153846153892</v>
          </cell>
          <cell r="BL62">
            <v>-0.99206349206349209</v>
          </cell>
          <cell r="BM62">
            <v>-1.3157894736842128</v>
          </cell>
          <cell r="BN62">
            <v>-1.0344827586206895</v>
          </cell>
          <cell r="BO62">
            <v>-1.0256410256410255</v>
          </cell>
          <cell r="BP62">
            <v>-0.76923076923076872</v>
          </cell>
          <cell r="BR62">
            <v>-5.1265709650800885E-16</v>
          </cell>
          <cell r="BS62">
            <v>-0.51282051282051355</v>
          </cell>
          <cell r="BT62">
            <v>-0.14705882352941282</v>
          </cell>
          <cell r="BU62">
            <v>0.34482758620689724</v>
          </cell>
          <cell r="BV62">
            <v>0.62499999999999933</v>
          </cell>
          <cell r="BX62">
            <v>1.7391304347826111</v>
          </cell>
          <cell r="BY62">
            <v>1.0526315789473717</v>
          </cell>
          <cell r="BZ62">
            <v>1.4285714285714313</v>
          </cell>
          <cell r="CA62">
            <v>2.2222222222222134</v>
          </cell>
          <cell r="CB62">
            <v>5.000000000000032</v>
          </cell>
          <cell r="CD62">
            <v>1.1904761904761929</v>
          </cell>
          <cell r="CE62">
            <v>20.000000000000064</v>
          </cell>
          <cell r="CF62">
            <v>15.000000000000064</v>
          </cell>
          <cell r="CG62">
            <v>0.38461538461539457</v>
          </cell>
          <cell r="CH62" t="str">
            <v>NA</v>
          </cell>
          <cell r="DB62">
            <v>-0.72094140341335011</v>
          </cell>
          <cell r="DC62">
            <v>-9.9280654450102215E-2</v>
          </cell>
          <cell r="DD62">
            <v>-0.78125359252597715</v>
          </cell>
          <cell r="DE62">
            <v>-0.94813774842212994</v>
          </cell>
          <cell r="DF62">
            <v>-0.81922002255641779</v>
          </cell>
          <cell r="DH62">
            <v>0.99042826990460442</v>
          </cell>
          <cell r="DI62">
            <v>-0.17755308809331921</v>
          </cell>
          <cell r="DJ62">
            <v>0.70981435695537909</v>
          </cell>
          <cell r="DK62">
            <v>2.286678465909092</v>
          </cell>
          <cell r="DL62">
            <v>4.9544574191132824</v>
          </cell>
          <cell r="DN62">
            <v>-0.45968715810065863</v>
          </cell>
          <cell r="DO62">
            <v>3.7374848978305413</v>
          </cell>
          <cell r="DP62">
            <v>-7.2505134055324674E-2</v>
          </cell>
          <cell r="DQ62">
            <v>-0.70735043067940151</v>
          </cell>
          <cell r="DR62">
            <v>-0.89187285910986536</v>
          </cell>
          <cell r="DT62">
            <v>-0.49861252576364995</v>
          </cell>
          <cell r="DU62">
            <v>-0.92299082022818513</v>
          </cell>
          <cell r="DV62">
            <v>-0.70128763296646657</v>
          </cell>
          <cell r="DW62">
            <v>-0.29174546160292564</v>
          </cell>
          <cell r="DX62">
            <v>0.48042235980212755</v>
          </cell>
          <cell r="DZ62">
            <v>3.8632427193011663</v>
          </cell>
          <cell r="EA62">
            <v>2.7857706319816411</v>
          </cell>
          <cell r="EB62">
            <v>4.6775154769203535</v>
          </cell>
          <cell r="EC62">
            <v>7.2475270989548877</v>
          </cell>
          <cell r="ED62">
            <v>2.6579055358867083</v>
          </cell>
          <cell r="EF62">
            <v>-0.18966359794676105</v>
          </cell>
          <cell r="EG62">
            <v>0.40413384002224406</v>
          </cell>
          <cell r="EH62">
            <v>-0.32987826808687321</v>
          </cell>
          <cell r="EI62">
            <v>-0.61680866933352729</v>
          </cell>
          <cell r="EJ62">
            <v>-9.0631229235867573E-3</v>
          </cell>
          <cell r="EL62">
            <v>-5.8884081743803503E-2</v>
          </cell>
          <cell r="EM62">
            <v>-0.22509516627163687</v>
          </cell>
          <cell r="EN62">
            <v>4.2288449615755418E-2</v>
          </cell>
          <cell r="EO62">
            <v>0.21486887321396261</v>
          </cell>
          <cell r="EP62">
            <v>-0.26547062834229213</v>
          </cell>
          <cell r="ER62">
            <v>-0.1555809813735102</v>
          </cell>
          <cell r="ES62">
            <v>4.2452830188679389E-2</v>
          </cell>
          <cell r="ET62">
            <v>1.63686987104344E-2</v>
          </cell>
          <cell r="EU62">
            <v>-0.29923954372623618</v>
          </cell>
          <cell r="EV62">
            <v>-0.33298684810209034</v>
          </cell>
          <cell r="EX62">
            <v>-0.2829111270072272</v>
          </cell>
          <cell r="EY62">
            <v>-0.34670318919976517</v>
          </cell>
          <cell r="EZ62">
            <v>-0.33035670477405427</v>
          </cell>
          <cell r="FA62">
            <v>-0.17628021088897011</v>
          </cell>
          <cell r="FB62">
            <v>-0.27208530805687209</v>
          </cell>
          <cell r="FD62">
            <v>-7.5071580940647892E-2</v>
          </cell>
          <cell r="FE62">
            <v>-6.8355814801312434E-2</v>
          </cell>
          <cell r="FF62">
            <v>8.1119849631498975E-3</v>
          </cell>
          <cell r="FG62">
            <v>-8.9842265298365559E-2</v>
          </cell>
          <cell r="FH62">
            <v>-0.13715547558681604</v>
          </cell>
          <cell r="FJ62">
            <v>-2.0940829591904957E-2</v>
          </cell>
          <cell r="FK62">
            <v>-0.16781068679130801</v>
          </cell>
          <cell r="FL62">
            <v>-0.1263558186768074</v>
          </cell>
          <cell r="FM62">
            <v>6.0085620750440584E-2</v>
          </cell>
          <cell r="FN62">
            <v>0.21221434590789684</v>
          </cell>
          <cell r="FP62">
            <v>1.6639889320301688</v>
          </cell>
        </row>
        <row r="63">
          <cell r="A63" t="str">
            <v>Production</v>
          </cell>
          <cell r="AC63">
            <v>0</v>
          </cell>
          <cell r="AD63">
            <v>0</v>
          </cell>
        </row>
        <row r="64">
          <cell r="A64" t="str">
            <v xml:space="preserve">  (000 short tons)</v>
          </cell>
          <cell r="C64">
            <v>120</v>
          </cell>
          <cell r="D64">
            <v>119</v>
          </cell>
          <cell r="E64">
            <v>124</v>
          </cell>
          <cell r="F64">
            <v>125</v>
          </cell>
          <cell r="G64">
            <v>127</v>
          </cell>
          <cell r="H64">
            <v>129</v>
          </cell>
          <cell r="I64">
            <v>129</v>
          </cell>
          <cell r="J64">
            <v>193</v>
          </cell>
          <cell r="K64">
            <v>312</v>
          </cell>
          <cell r="L64">
            <v>338.45400000000001</v>
          </cell>
          <cell r="M64">
            <v>341.94100000000003</v>
          </cell>
          <cell r="N64">
            <v>350.68900000000002</v>
          </cell>
          <cell r="O64">
            <v>347.76299999999998</v>
          </cell>
          <cell r="P64">
            <v>451.06099999999998</v>
          </cell>
          <cell r="Q64">
            <v>454.36700000000002</v>
          </cell>
          <cell r="R64">
            <v>455.77800000000002</v>
          </cell>
          <cell r="S64">
            <v>461.85599999999999</v>
          </cell>
          <cell r="T64">
            <v>447.41499999999996</v>
          </cell>
          <cell r="U64">
            <v>451.88914999999997</v>
          </cell>
          <cell r="V64">
            <v>456.40804149999997</v>
          </cell>
          <cell r="W64">
            <v>460.97212191499995</v>
          </cell>
          <cell r="AC64">
            <v>462</v>
          </cell>
          <cell r="AD64">
            <v>462</v>
          </cell>
          <cell r="AI64">
            <v>462</v>
          </cell>
          <cell r="AL64">
            <v>115.5</v>
          </cell>
          <cell r="AM64">
            <v>115.5</v>
          </cell>
          <cell r="AN64">
            <v>115.5</v>
          </cell>
          <cell r="AO64">
            <v>115.5</v>
          </cell>
          <cell r="AQ64">
            <v>462</v>
          </cell>
          <cell r="AR64">
            <v>115.5</v>
          </cell>
          <cell r="AS64">
            <v>115.5</v>
          </cell>
          <cell r="AT64">
            <v>115.5</v>
          </cell>
          <cell r="AU64">
            <v>115.5</v>
          </cell>
          <cell r="AW64">
            <v>462</v>
          </cell>
          <cell r="AX64">
            <v>115.5</v>
          </cell>
          <cell r="AY64">
            <v>115.5</v>
          </cell>
          <cell r="AZ64">
            <v>115.5</v>
          </cell>
          <cell r="BA64">
            <v>115.5</v>
          </cell>
          <cell r="BL64">
            <v>462</v>
          </cell>
          <cell r="BM64">
            <v>115.5</v>
          </cell>
          <cell r="BN64">
            <v>115.5</v>
          </cell>
          <cell r="BO64">
            <v>115.5</v>
          </cell>
          <cell r="BP64">
            <v>115.5</v>
          </cell>
          <cell r="BR64">
            <v>462</v>
          </cell>
          <cell r="BS64">
            <v>115.5</v>
          </cell>
          <cell r="BT64">
            <v>115.5</v>
          </cell>
          <cell r="BU64">
            <v>115.5</v>
          </cell>
          <cell r="BV64">
            <v>115.5</v>
          </cell>
          <cell r="BX64">
            <v>462</v>
          </cell>
          <cell r="BY64">
            <v>115.5</v>
          </cell>
          <cell r="BZ64">
            <v>115.5</v>
          </cell>
          <cell r="CA64">
            <v>115.5</v>
          </cell>
          <cell r="CB64">
            <v>115.5</v>
          </cell>
          <cell r="CD64">
            <v>462</v>
          </cell>
          <cell r="CE64">
            <v>115.5</v>
          </cell>
          <cell r="CF64">
            <v>115.5</v>
          </cell>
          <cell r="CG64">
            <v>115.5</v>
          </cell>
          <cell r="CH64">
            <v>115.5</v>
          </cell>
          <cell r="DB64">
            <v>462</v>
          </cell>
          <cell r="DC64">
            <v>115.5</v>
          </cell>
          <cell r="DD64">
            <v>115.5</v>
          </cell>
          <cell r="DE64">
            <v>115.5</v>
          </cell>
          <cell r="DF64">
            <v>115.5</v>
          </cell>
          <cell r="DH64">
            <v>462</v>
          </cell>
          <cell r="DI64">
            <v>115.5</v>
          </cell>
          <cell r="DJ64">
            <v>115.5</v>
          </cell>
          <cell r="DK64">
            <v>115.5</v>
          </cell>
          <cell r="DL64">
            <v>115.5</v>
          </cell>
          <cell r="DN64">
            <v>463.5</v>
          </cell>
          <cell r="DO64">
            <v>115.5</v>
          </cell>
          <cell r="DP64">
            <v>115.5</v>
          </cell>
          <cell r="DQ64">
            <v>116.2</v>
          </cell>
          <cell r="DR64">
            <v>116.3</v>
          </cell>
          <cell r="DT64">
            <v>447.41499999999996</v>
          </cell>
          <cell r="DU64">
            <v>110.559</v>
          </cell>
          <cell r="DV64">
            <v>106</v>
          </cell>
          <cell r="DW64">
            <v>114</v>
          </cell>
          <cell r="DX64">
            <v>116.85599999999999</v>
          </cell>
          <cell r="DZ64">
            <v>461.85599999999999</v>
          </cell>
          <cell r="EA64">
            <v>117</v>
          </cell>
          <cell r="EB64">
            <v>114</v>
          </cell>
          <cell r="EC64">
            <v>114</v>
          </cell>
          <cell r="ED64">
            <v>116.85599999999999</v>
          </cell>
          <cell r="EF64">
            <v>455.77800000000002</v>
          </cell>
          <cell r="EG64">
            <v>116.32</v>
          </cell>
          <cell r="EH64">
            <v>116.137</v>
          </cell>
          <cell r="EI64">
            <v>109.321</v>
          </cell>
          <cell r="EJ64">
            <v>114</v>
          </cell>
          <cell r="EL64">
            <v>454.36700000000002</v>
          </cell>
          <cell r="EM64">
            <v>111.239</v>
          </cell>
          <cell r="EN64">
            <v>111.154</v>
          </cell>
          <cell r="EO64">
            <v>117.974</v>
          </cell>
          <cell r="EP64">
            <v>114</v>
          </cell>
          <cell r="ER64">
            <v>451.06099999999998</v>
          </cell>
          <cell r="ES64">
            <v>114</v>
          </cell>
          <cell r="ET64">
            <v>113.703</v>
          </cell>
          <cell r="EU64">
            <v>114</v>
          </cell>
          <cell r="EV64">
            <v>109.358</v>
          </cell>
          <cell r="EX64">
            <v>347.76299999999998</v>
          </cell>
          <cell r="EY64">
            <v>88.61</v>
          </cell>
          <cell r="EZ64">
            <v>87.242000000000004</v>
          </cell>
          <cell r="FA64">
            <v>86.25</v>
          </cell>
          <cell r="FB64">
            <v>85.661000000000001</v>
          </cell>
          <cell r="FD64">
            <v>350.68900000000002</v>
          </cell>
          <cell r="FE64">
            <v>90.224000000000004</v>
          </cell>
          <cell r="FF64">
            <v>88.444000000000003</v>
          </cell>
          <cell r="FG64">
            <v>85.296999999999997</v>
          </cell>
          <cell r="FH64">
            <v>86.724000000000004</v>
          </cell>
          <cell r="FJ64">
            <v>341.94100000000003</v>
          </cell>
          <cell r="FK64">
            <v>86.599000000000004</v>
          </cell>
          <cell r="FL64">
            <v>87.171999999999997</v>
          </cell>
          <cell r="FM64">
            <v>82.067999999999998</v>
          </cell>
          <cell r="FN64">
            <v>86.102000000000004</v>
          </cell>
          <cell r="FP64">
            <v>338.45400000000001</v>
          </cell>
          <cell r="FQ64">
            <v>85.92</v>
          </cell>
          <cell r="FR64">
            <v>85.683000000000007</v>
          </cell>
          <cell r="FS64">
            <v>82.147999999999996</v>
          </cell>
          <cell r="FT64">
            <v>84.703000000000003</v>
          </cell>
        </row>
        <row r="65">
          <cell r="A65" t="str">
            <v>Shipments</v>
          </cell>
          <cell r="AC65">
            <v>0</v>
          </cell>
          <cell r="AD65">
            <v>0</v>
          </cell>
        </row>
        <row r="66">
          <cell r="A66" t="str">
            <v xml:space="preserve">  (000 short tons)</v>
          </cell>
          <cell r="C66">
            <v>120</v>
          </cell>
          <cell r="D66">
            <v>119</v>
          </cell>
          <cell r="E66">
            <v>124</v>
          </cell>
          <cell r="F66">
            <v>125</v>
          </cell>
          <cell r="G66">
            <v>127</v>
          </cell>
          <cell r="H66">
            <v>129</v>
          </cell>
          <cell r="I66">
            <v>128.26</v>
          </cell>
          <cell r="J66">
            <v>188</v>
          </cell>
          <cell r="K66">
            <v>316.01600000000002</v>
          </cell>
          <cell r="L66">
            <v>337.06700000000001</v>
          </cell>
          <cell r="M66">
            <v>343.15500000000003</v>
          </cell>
          <cell r="N66">
            <v>351.78400000000005</v>
          </cell>
          <cell r="O66">
            <v>344.947</v>
          </cell>
          <cell r="P66">
            <v>452.315</v>
          </cell>
          <cell r="Q66">
            <v>453.92100000000005</v>
          </cell>
          <cell r="R66">
            <v>455.17500000000007</v>
          </cell>
          <cell r="S66">
            <v>475.59800000000001</v>
          </cell>
          <cell r="T66">
            <v>431.74599999999998</v>
          </cell>
          <cell r="U66">
            <v>479.09999999999997</v>
          </cell>
          <cell r="V66">
            <v>486.20000000000005</v>
          </cell>
          <cell r="W66">
            <v>432.6</v>
          </cell>
          <cell r="AC66">
            <v>440</v>
          </cell>
          <cell r="AD66">
            <v>440</v>
          </cell>
          <cell r="AI66">
            <v>404</v>
          </cell>
          <cell r="AL66">
            <v>100.5</v>
          </cell>
          <cell r="AM66">
            <v>106.6</v>
          </cell>
          <cell r="AN66">
            <v>101.8</v>
          </cell>
          <cell r="AO66">
            <v>95.1</v>
          </cell>
          <cell r="AQ66">
            <v>408</v>
          </cell>
          <cell r="AR66">
            <v>106.7</v>
          </cell>
          <cell r="AS66">
            <v>106.7</v>
          </cell>
          <cell r="AT66">
            <v>96.1</v>
          </cell>
          <cell r="AU66">
            <v>98.5</v>
          </cell>
          <cell r="AW66">
            <v>440</v>
          </cell>
          <cell r="AX66">
            <v>110</v>
          </cell>
          <cell r="AY66">
            <v>110</v>
          </cell>
          <cell r="AZ66">
            <v>110</v>
          </cell>
          <cell r="BA66">
            <v>110</v>
          </cell>
          <cell r="BL66">
            <v>440</v>
          </cell>
          <cell r="BM66">
            <v>110</v>
          </cell>
          <cell r="BN66">
            <v>110</v>
          </cell>
          <cell r="BO66">
            <v>110</v>
          </cell>
          <cell r="BP66">
            <v>110</v>
          </cell>
          <cell r="BR66">
            <v>440</v>
          </cell>
          <cell r="BS66">
            <v>110</v>
          </cell>
          <cell r="BT66">
            <v>110</v>
          </cell>
          <cell r="BU66">
            <v>110</v>
          </cell>
          <cell r="BV66">
            <v>110</v>
          </cell>
          <cell r="BX66">
            <v>440</v>
          </cell>
          <cell r="BY66">
            <v>110</v>
          </cell>
          <cell r="BZ66">
            <v>110</v>
          </cell>
          <cell r="CA66">
            <v>110</v>
          </cell>
          <cell r="CB66">
            <v>110</v>
          </cell>
          <cell r="CD66">
            <v>440</v>
          </cell>
          <cell r="CE66">
            <v>110</v>
          </cell>
          <cell r="CF66">
            <v>110</v>
          </cell>
          <cell r="CG66">
            <v>110</v>
          </cell>
          <cell r="CH66">
            <v>110</v>
          </cell>
          <cell r="DB66">
            <v>432.6</v>
          </cell>
          <cell r="DC66">
            <v>101.1</v>
          </cell>
          <cell r="DD66">
            <v>109.5</v>
          </cell>
          <cell r="DE66">
            <v>112.5</v>
          </cell>
          <cell r="DF66">
            <v>109.5</v>
          </cell>
          <cell r="DH66">
            <v>486.20000000000005</v>
          </cell>
          <cell r="DI66">
            <v>123.5</v>
          </cell>
          <cell r="DJ66">
            <v>118.8</v>
          </cell>
          <cell r="DK66">
            <v>125.5</v>
          </cell>
          <cell r="DL66">
            <v>118.4</v>
          </cell>
          <cell r="DN66">
            <v>479.09999999999997</v>
          </cell>
          <cell r="DO66">
            <v>128.69999999999999</v>
          </cell>
          <cell r="DP66">
            <v>114.1</v>
          </cell>
          <cell r="DQ66">
            <v>124</v>
          </cell>
          <cell r="DR66">
            <v>112.3</v>
          </cell>
          <cell r="DT66">
            <v>431.74599999999998</v>
          </cell>
          <cell r="DU66">
            <v>121.208</v>
          </cell>
          <cell r="DV66">
            <v>110.529</v>
          </cell>
          <cell r="DW66">
            <v>103.009</v>
          </cell>
          <cell r="DX66">
            <v>97</v>
          </cell>
          <cell r="DZ66">
            <v>475.59800000000001</v>
          </cell>
          <cell r="EA66">
            <v>115.7</v>
          </cell>
          <cell r="EB66">
            <v>122.869</v>
          </cell>
          <cell r="EC66">
            <v>121.782</v>
          </cell>
          <cell r="ED66">
            <v>115.247</v>
          </cell>
          <cell r="EF66">
            <v>455.17500000000007</v>
          </cell>
          <cell r="EG66">
            <v>118.22</v>
          </cell>
          <cell r="EH66">
            <v>116.611</v>
          </cell>
          <cell r="EI66">
            <v>110.047</v>
          </cell>
          <cell r="EJ66">
            <v>110.297</v>
          </cell>
          <cell r="EL66">
            <v>453.92100000000005</v>
          </cell>
          <cell r="EM66">
            <v>115.24</v>
          </cell>
          <cell r="EN66">
            <v>109</v>
          </cell>
          <cell r="EO66">
            <v>118.28100000000001</v>
          </cell>
          <cell r="EP66">
            <v>111.4</v>
          </cell>
          <cell r="ER66">
            <v>452.315</v>
          </cell>
          <cell r="ES66">
            <v>119</v>
          </cell>
          <cell r="ET66">
            <v>113.7</v>
          </cell>
          <cell r="EU66">
            <v>114</v>
          </cell>
          <cell r="EV66">
            <v>105.61499999999999</v>
          </cell>
          <cell r="EX66">
            <v>344.947</v>
          </cell>
          <cell r="EY66">
            <v>91.049000000000007</v>
          </cell>
          <cell r="EZ66">
            <v>86.244</v>
          </cell>
          <cell r="FA66">
            <v>85.6</v>
          </cell>
          <cell r="FB66">
            <v>82.054000000000002</v>
          </cell>
          <cell r="FD66">
            <v>351.78400000000005</v>
          </cell>
          <cell r="FE66">
            <v>92.302999999999997</v>
          </cell>
          <cell r="FF66">
            <v>87.953999999999994</v>
          </cell>
          <cell r="FG66">
            <v>86.66</v>
          </cell>
          <cell r="FH66">
            <v>84.867000000000004</v>
          </cell>
          <cell r="FJ66">
            <v>343.15500000000003</v>
          </cell>
          <cell r="FK66">
            <v>88.725999999999999</v>
          </cell>
          <cell r="FL66">
            <v>86.432000000000002</v>
          </cell>
          <cell r="FM66">
            <v>81.644000000000005</v>
          </cell>
          <cell r="FN66">
            <v>86.352999999999994</v>
          </cell>
          <cell r="FP66">
            <v>337.06700000000001</v>
          </cell>
          <cell r="FQ66">
            <v>86.394000000000005</v>
          </cell>
          <cell r="FR66">
            <v>84.537999999999997</v>
          </cell>
          <cell r="FS66">
            <v>81.730999999999995</v>
          </cell>
          <cell r="FT66">
            <v>84.403999999999996</v>
          </cell>
        </row>
        <row r="67">
          <cell r="A67" t="str">
            <v>Price per ton (production)</v>
          </cell>
          <cell r="C67">
            <v>540</v>
          </cell>
          <cell r="D67">
            <v>599.15966386554624</v>
          </cell>
          <cell r="E67">
            <v>617.74193548387098</v>
          </cell>
          <cell r="F67">
            <v>644</v>
          </cell>
          <cell r="G67">
            <v>614.17322834645665</v>
          </cell>
          <cell r="H67">
            <v>741.08527131782944</v>
          </cell>
          <cell r="I67">
            <v>803.87596899224809</v>
          </cell>
          <cell r="J67">
            <v>654.92227979274617</v>
          </cell>
          <cell r="K67">
            <v>652.88461538461536</v>
          </cell>
          <cell r="L67">
            <v>796.42391863308671</v>
          </cell>
          <cell r="M67">
            <v>816.61852067143366</v>
          </cell>
          <cell r="N67">
            <v>795.65564568357786</v>
          </cell>
          <cell r="O67">
            <v>747.35146513772725</v>
          </cell>
          <cell r="P67">
            <v>735</v>
          </cell>
          <cell r="Q67">
            <v>696.18030027535656</v>
          </cell>
          <cell r="R67">
            <v>673.16506120992426</v>
          </cell>
          <cell r="S67">
            <v>1004.9832632914788</v>
          </cell>
          <cell r="T67">
            <v>795.49516369651315</v>
          </cell>
          <cell r="U67">
            <v>741.27615138334704</v>
          </cell>
          <cell r="V67">
            <v>846.279825673765</v>
          </cell>
          <cell r="W67">
            <v>674.67532467532465</v>
          </cell>
          <cell r="AC67">
            <v>677.14285714285722</v>
          </cell>
          <cell r="AD67">
            <v>617.61904761904759</v>
          </cell>
          <cell r="AI67">
            <v>714.93506493506493</v>
          </cell>
          <cell r="AL67">
            <v>724.67532467532465</v>
          </cell>
          <cell r="AM67">
            <v>771.42857142857144</v>
          </cell>
          <cell r="AN67">
            <v>723.80952380952385</v>
          </cell>
          <cell r="AO67">
            <v>639.82683982683977</v>
          </cell>
          <cell r="AQ67">
            <v>668.10324675324682</v>
          </cell>
          <cell r="AR67">
            <v>656.82857142857142</v>
          </cell>
          <cell r="AS67">
            <v>689.17748917748918</v>
          </cell>
          <cell r="AT67">
            <v>643.29004329004329</v>
          </cell>
          <cell r="AU67">
            <v>683.11688311688317</v>
          </cell>
          <cell r="AW67">
            <v>627.14285714285711</v>
          </cell>
          <cell r="AX67">
            <v>615.23809523809518</v>
          </cell>
          <cell r="AY67">
            <v>615.23809523809518</v>
          </cell>
          <cell r="AZ67">
            <v>629.52380952380952</v>
          </cell>
          <cell r="BA67">
            <v>648.57142857142856</v>
          </cell>
          <cell r="BL67">
            <v>617.61904761904759</v>
          </cell>
          <cell r="BM67">
            <v>605.71428571428567</v>
          </cell>
          <cell r="BN67">
            <v>615.23809523809518</v>
          </cell>
          <cell r="BO67">
            <v>615.23809523809518</v>
          </cell>
          <cell r="BP67">
            <v>634.28571428571433</v>
          </cell>
          <cell r="BR67">
            <v>677.14285714285722</v>
          </cell>
          <cell r="BS67">
            <v>653.33333333333337</v>
          </cell>
          <cell r="BT67">
            <v>672.38095238095241</v>
          </cell>
          <cell r="BU67">
            <v>691.42857142857144</v>
          </cell>
          <cell r="BV67">
            <v>691.42857142857144</v>
          </cell>
          <cell r="BX67">
            <v>677.14285714285711</v>
          </cell>
          <cell r="BY67">
            <v>691.42857142857144</v>
          </cell>
          <cell r="BZ67">
            <v>681.90476190476193</v>
          </cell>
          <cell r="CA67">
            <v>672.38095238095241</v>
          </cell>
          <cell r="CB67">
            <v>662.85714285714289</v>
          </cell>
          <cell r="CD67">
            <v>639.04761904761904</v>
          </cell>
          <cell r="CE67">
            <v>653.33333333333337</v>
          </cell>
          <cell r="CF67">
            <v>643.80952380952385</v>
          </cell>
          <cell r="CG67">
            <v>634.28571428571433</v>
          </cell>
          <cell r="CH67">
            <v>624.76190476190482</v>
          </cell>
          <cell r="DB67">
            <v>674.67532467532465</v>
          </cell>
          <cell r="DC67">
            <v>664.06926406926402</v>
          </cell>
          <cell r="DD67">
            <v>666.66666666666663</v>
          </cell>
          <cell r="DE67">
            <v>676.19047619047615</v>
          </cell>
          <cell r="DF67">
            <v>691.77489177489178</v>
          </cell>
          <cell r="DH67">
            <v>846.279825673765</v>
          </cell>
          <cell r="DI67">
            <v>792.91151048726795</v>
          </cell>
          <cell r="DJ67">
            <v>845.02164502164499</v>
          </cell>
          <cell r="DK67">
            <v>904.76190476190482</v>
          </cell>
          <cell r="DL67">
            <v>842.42424242424238</v>
          </cell>
          <cell r="DN67">
            <v>741.27615138334704</v>
          </cell>
          <cell r="DO67">
            <v>894.15584415584419</v>
          </cell>
          <cell r="DP67">
            <v>724.67532467532465</v>
          </cell>
          <cell r="DQ67">
            <v>716.00688468158353</v>
          </cell>
          <cell r="DR67">
            <v>630.26655202063625</v>
          </cell>
          <cell r="DT67">
            <v>795.49516369651315</v>
          </cell>
          <cell r="DU67">
            <v>727.3401532213569</v>
          </cell>
          <cell r="DV67">
            <v>792.95283018867929</v>
          </cell>
          <cell r="DW67">
            <v>816.58771929824559</v>
          </cell>
          <cell r="DX67">
            <v>845.09995207777092</v>
          </cell>
          <cell r="DZ67">
            <v>1004.9832632914788</v>
          </cell>
          <cell r="EA67">
            <v>1083.5162090428739</v>
          </cell>
          <cell r="EB67">
            <v>1118.421052631579</v>
          </cell>
          <cell r="EC67">
            <v>1002.7017543859649</v>
          </cell>
          <cell r="ED67">
            <v>815.29403710549741</v>
          </cell>
          <cell r="EF67">
            <v>673.16506120992426</v>
          </cell>
          <cell r="EG67">
            <v>729.87448418156805</v>
          </cell>
          <cell r="EH67">
            <v>665.79126376606939</v>
          </cell>
          <cell r="EI67">
            <v>651.07344426048064</v>
          </cell>
          <cell r="EJ67">
            <v>645.92105263157896</v>
          </cell>
          <cell r="EL67">
            <v>696.18030027535656</v>
          </cell>
          <cell r="EM67">
            <v>718.56992601515651</v>
          </cell>
          <cell r="EN67">
            <v>718.44468035338355</v>
          </cell>
          <cell r="EO67">
            <v>695.38203332937769</v>
          </cell>
          <cell r="EP67">
            <v>652.32456140350882</v>
          </cell>
          <cell r="ER67">
            <v>735</v>
          </cell>
          <cell r="ES67">
            <v>735</v>
          </cell>
          <cell r="ET67">
            <v>735</v>
          </cell>
          <cell r="EU67">
            <v>735</v>
          </cell>
          <cell r="EV67">
            <v>735</v>
          </cell>
          <cell r="EX67">
            <v>747.35146513772725</v>
          </cell>
          <cell r="EY67">
            <v>747.51156754316662</v>
          </cell>
          <cell r="EZ67">
            <v>738.21095343985701</v>
          </cell>
          <cell r="FA67">
            <v>760.5797101449275</v>
          </cell>
          <cell r="FB67">
            <v>743.10362942295797</v>
          </cell>
          <cell r="FD67">
            <v>795.65564568357786</v>
          </cell>
          <cell r="FE67">
            <v>804.96320269551336</v>
          </cell>
          <cell r="FF67">
            <v>791.03161322418703</v>
          </cell>
          <cell r="FG67">
            <v>793.76765888601005</v>
          </cell>
          <cell r="FH67">
            <v>792.86010792860111</v>
          </cell>
          <cell r="FJ67">
            <v>816.61852067143366</v>
          </cell>
          <cell r="FK67">
            <v>816.77617524451784</v>
          </cell>
          <cell r="FL67">
            <v>798.23796631946038</v>
          </cell>
          <cell r="FM67">
            <v>821.27016620363599</v>
          </cell>
          <cell r="FN67">
            <v>830.18977491812041</v>
          </cell>
          <cell r="FP67">
            <v>796.42391863308671</v>
          </cell>
          <cell r="FQ67">
            <v>833.33333333333337</v>
          </cell>
          <cell r="FR67">
            <v>811.47952335935952</v>
          </cell>
          <cell r="FS67">
            <v>773.93241466621225</v>
          </cell>
          <cell r="FT67">
            <v>766.95040317344126</v>
          </cell>
        </row>
        <row r="68">
          <cell r="A68" t="str">
            <v xml:space="preserve">  % Change </v>
          </cell>
          <cell r="D68">
            <v>0.10955493308434483</v>
          </cell>
          <cell r="E68">
            <v>3.1013889517260029E-2</v>
          </cell>
          <cell r="F68">
            <v>4.2506527415143491E-2</v>
          </cell>
          <cell r="G68">
            <v>-4.631486281606112E-2</v>
          </cell>
          <cell r="H68">
            <v>0.20663883919697867</v>
          </cell>
          <cell r="I68">
            <v>8.4728033472803332E-2</v>
          </cell>
          <cell r="J68">
            <v>-0.18529436747093297</v>
          </cell>
          <cell r="K68">
            <v>-3.11130720545294E-3</v>
          </cell>
          <cell r="L68">
            <v>0.21985401381209169</v>
          </cell>
          <cell r="M68">
            <v>2.5356599125007762E-2</v>
          </cell>
          <cell r="N68">
            <v>-2.5670339892144289E-2</v>
          </cell>
          <cell r="O68">
            <v>-6.0709907367465066E-2</v>
          </cell>
          <cell r="P68">
            <v>-1.6526983238670745E-2</v>
          </cell>
          <cell r="Q68">
            <v>-5.2815917992712125E-2</v>
          </cell>
          <cell r="R68">
            <v>-3.3059308136597965E-2</v>
          </cell>
          <cell r="S68">
            <v>0.49292249583654213</v>
          </cell>
          <cell r="T68">
            <v>-0.20844934164262507</v>
          </cell>
          <cell r="U68">
            <v>-6.8157563725743775E-2</v>
          </cell>
          <cell r="V68">
            <v>0.14165257319348967</v>
          </cell>
          <cell r="W68">
            <v>-0.20277512920955854</v>
          </cell>
          <cell r="AC68">
            <v>0</v>
          </cell>
          <cell r="AD68">
            <v>-8.7904360056258901E-2</v>
          </cell>
          <cell r="AI68">
            <v>5.9672762271414825E-2</v>
          </cell>
          <cell r="AL68">
            <v>9.1264667535853938E-2</v>
          </cell>
          <cell r="AM68">
            <v>0.15714285714285725</v>
          </cell>
          <cell r="AN68">
            <v>7.0422535211267734E-2</v>
          </cell>
          <cell r="AO68">
            <v>-7.5093867334167785E-2</v>
          </cell>
          <cell r="AQ68">
            <v>-6.5504995458673831E-2</v>
          </cell>
          <cell r="AR68">
            <v>-9.3623655913978476E-2</v>
          </cell>
          <cell r="AS68">
            <v>-0.10662177328844002</v>
          </cell>
          <cell r="AT68">
            <v>-0.11124401913875603</v>
          </cell>
          <cell r="AU68">
            <v>6.7658998646820123E-2</v>
          </cell>
          <cell r="AW68">
            <v>-6.1308472619229448E-2</v>
          </cell>
          <cell r="AX68">
            <v>-6.3320138617019794E-2</v>
          </cell>
          <cell r="AY68">
            <v>-0.10728643216080413</v>
          </cell>
          <cell r="AZ68">
            <v>-2.1399730820995999E-2</v>
          </cell>
          <cell r="BA68">
            <v>-5.0570342205323304E-2</v>
          </cell>
          <cell r="BL68">
            <v>-8.7904360056258901E-2</v>
          </cell>
          <cell r="BM68">
            <v>-7.2886297376093423E-2</v>
          </cell>
          <cell r="BN68">
            <v>-8.4985835694051159E-2</v>
          </cell>
          <cell r="BO68">
            <v>-0.11019283746556485</v>
          </cell>
          <cell r="BP68">
            <v>-8.2644628099173501E-2</v>
          </cell>
          <cell r="BR68">
            <v>0</v>
          </cell>
          <cell r="BS68">
            <v>-5.5096418732782371E-2</v>
          </cell>
          <cell r="BT68">
            <v>-1.3966480446927387E-2</v>
          </cell>
          <cell r="BU68">
            <v>2.8328611898017053E-2</v>
          </cell>
          <cell r="BV68">
            <v>4.31034482758621E-2</v>
          </cell>
          <cell r="BX68">
            <v>5.9612518628912037E-2</v>
          </cell>
          <cell r="BY68">
            <v>5.8309037900874605E-2</v>
          </cell>
          <cell r="BZ68">
            <v>5.9171597633135953E-2</v>
          </cell>
          <cell r="CA68">
            <v>6.0060060060060039E-2</v>
          </cell>
          <cell r="CB68">
            <v>6.0975609756097615E-2</v>
          </cell>
          <cell r="CD68">
            <v>1.8982536066818545E-2</v>
          </cell>
          <cell r="CE68">
            <v>6.1919504643962897E-2</v>
          </cell>
          <cell r="CF68">
            <v>4.6439628482972228E-2</v>
          </cell>
          <cell r="CG68">
            <v>7.5642965204236745E-3</v>
          </cell>
          <cell r="CH68">
            <v>-3.6710719530102631E-2</v>
          </cell>
          <cell r="DB68">
            <v>-0.20277512920955854</v>
          </cell>
          <cell r="DC68">
            <v>-0.16249259181371511</v>
          </cell>
          <cell r="DD68">
            <v>-0.21106557377049184</v>
          </cell>
          <cell r="DE68">
            <v>-0.25263157894736854</v>
          </cell>
          <cell r="DF68">
            <v>-0.17882836587872553</v>
          </cell>
          <cell r="DH68">
            <v>0.14165257319348967</v>
          </cell>
          <cell r="DI68">
            <v>-0.11322895704401414</v>
          </cell>
          <cell r="DJ68">
            <v>0.16606929510155322</v>
          </cell>
          <cell r="DK68">
            <v>0.26362179487179493</v>
          </cell>
          <cell r="DL68">
            <v>0.33661581710694954</v>
          </cell>
          <cell r="DN68">
            <v>-6.8157563725743775E-2</v>
          </cell>
          <cell r="DO68">
            <v>0.22935031181169929</v>
          </cell>
          <cell r="DP68">
            <v>-8.6105380943162002E-2</v>
          </cell>
          <cell r="DQ68">
            <v>-0.12317211273162254</v>
          </cell>
          <cell r="DR68">
            <v>-0.25421064044429675</v>
          </cell>
          <cell r="DT68">
            <v>-0.20844934164262507</v>
          </cell>
          <cell r="DU68">
            <v>-0.328722406595233</v>
          </cell>
          <cell r="DV68">
            <v>-0.29100688124306329</v>
          </cell>
          <cell r="DW68">
            <v>-0.18561255555166745</v>
          </cell>
          <cell r="DX68">
            <v>3.6558485179276179E-2</v>
          </cell>
          <cell r="DZ68">
            <v>0.49292249583654213</v>
          </cell>
          <cell r="EA68">
            <v>0.48452402779617065</v>
          </cell>
          <cell r="EB68">
            <v>0.67983738072079047</v>
          </cell>
          <cell r="EC68">
            <v>0.54007472309806759</v>
          </cell>
          <cell r="ED68">
            <v>0.26221932817310667</v>
          </cell>
          <cell r="EF68">
            <v>-3.3059308136597965E-2</v>
          </cell>
          <cell r="EG68">
            <v>1.573202239217153E-2</v>
          </cell>
          <cell r="EH68">
            <v>-7.3288059647703685E-2</v>
          </cell>
          <cell r="EI68">
            <v>-6.3718340344162461E-2</v>
          </cell>
          <cell r="EJ68">
            <v>-9.8164459086936828E-3</v>
          </cell>
          <cell r="EL68">
            <v>-5.2815917992712125E-2</v>
          </cell>
          <cell r="EM68">
            <v>-2.2353842156249693E-2</v>
          </cell>
          <cell r="EN68">
            <v>-2.2524244417165273E-2</v>
          </cell>
          <cell r="EO68">
            <v>-5.3901995470234443E-2</v>
          </cell>
          <cell r="EP68">
            <v>-0.11248358992719887</v>
          </cell>
          <cell r="ER68">
            <v>-1.6526983238670745E-2</v>
          </cell>
          <cell r="ES68">
            <v>-1.6737623986593508E-2</v>
          </cell>
          <cell r="ET68">
            <v>-4.3496420974179495E-3</v>
          </cell>
          <cell r="EU68">
            <v>-3.3631859756097504E-2</v>
          </cell>
          <cell r="EV68">
            <v>-1.0905113502474362E-2</v>
          </cell>
          <cell r="EX68">
            <v>-6.0709907367465066E-2</v>
          </cell>
          <cell r="EY68">
            <v>-7.1371753342218902E-2</v>
          </cell>
          <cell r="EZ68">
            <v>-6.6774398015569614E-2</v>
          </cell>
          <cell r="FA68">
            <v>-4.1810658786047283E-2</v>
          </cell>
          <cell r="FB68">
            <v>-6.2755684146646229E-2</v>
          </cell>
          <cell r="FD68">
            <v>-2.5670339892144289E-2</v>
          </cell>
          <cell r="FE68">
            <v>-1.4462924981214154E-2</v>
          </cell>
          <cell r="FF68">
            <v>-9.0278255349098835E-3</v>
          </cell>
          <cell r="FG68">
            <v>-3.3487771076304518E-2</v>
          </cell>
          <cell r="FH68">
            <v>-4.4965221347373241E-2</v>
          </cell>
          <cell r="FJ68">
            <v>2.5356599125007762E-2</v>
          </cell>
          <cell r="FK68">
            <v>-1.9868589706578677E-2</v>
          </cell>
          <cell r="FL68">
            <v>-1.6317795654389178E-2</v>
          </cell>
          <cell r="FM68">
            <v>6.1165226627495572E-2</v>
          </cell>
          <cell r="FN68">
            <v>8.2455620967159193E-2</v>
          </cell>
          <cell r="FP68">
            <v>0.21985401381209169</v>
          </cell>
        </row>
        <row r="69">
          <cell r="A69" t="str">
            <v>Price per ton (shipments)</v>
          </cell>
          <cell r="C69">
            <v>540</v>
          </cell>
          <cell r="D69">
            <v>599.15966386554624</v>
          </cell>
          <cell r="E69">
            <v>617.74193548387098</v>
          </cell>
          <cell r="F69">
            <v>644</v>
          </cell>
          <cell r="G69">
            <v>614.17322834645665</v>
          </cell>
          <cell r="H69">
            <v>741.08527131782944</v>
          </cell>
          <cell r="I69">
            <v>808.51395602682067</v>
          </cell>
          <cell r="J69">
            <v>672.34042553191489</v>
          </cell>
          <cell r="K69">
            <v>644.58761581692067</v>
          </cell>
          <cell r="L69">
            <v>799.6950092541457</v>
          </cell>
          <cell r="M69">
            <v>813.8949978937984</v>
          </cell>
          <cell r="N69">
            <v>793.44077818922153</v>
          </cell>
          <cell r="O69">
            <v>754.09138738809429</v>
          </cell>
          <cell r="P69">
            <v>698.25</v>
          </cell>
          <cell r="Q69">
            <v>696.84768479815193</v>
          </cell>
          <cell r="R69">
            <v>673.90346092856237</v>
          </cell>
          <cell r="S69">
            <v>974.67143838009372</v>
          </cell>
          <cell r="T69">
            <v>836.42726169931348</v>
          </cell>
          <cell r="U69">
            <v>703.5</v>
          </cell>
          <cell r="V69">
            <v>804.22204590954584</v>
          </cell>
          <cell r="W69">
            <v>721.43843294536362</v>
          </cell>
          <cell r="AC69">
            <v>711</v>
          </cell>
          <cell r="AD69">
            <v>648.5</v>
          </cell>
          <cell r="AI69">
            <v>816.25</v>
          </cell>
          <cell r="AL69">
            <v>832</v>
          </cell>
          <cell r="AM69">
            <v>835</v>
          </cell>
          <cell r="AN69">
            <v>822</v>
          </cell>
          <cell r="AO69">
            <v>776</v>
          </cell>
          <cell r="AQ69">
            <v>757.75</v>
          </cell>
          <cell r="AR69">
            <v>711</v>
          </cell>
          <cell r="AS69">
            <v>746</v>
          </cell>
          <cell r="AT69">
            <v>773</v>
          </cell>
          <cell r="AU69">
            <v>801</v>
          </cell>
          <cell r="AW69">
            <v>658.5</v>
          </cell>
          <cell r="AX69">
            <v>646</v>
          </cell>
          <cell r="AY69">
            <v>646</v>
          </cell>
          <cell r="AZ69">
            <v>661</v>
          </cell>
          <cell r="BA69">
            <v>681</v>
          </cell>
          <cell r="BL69">
            <v>648.5</v>
          </cell>
          <cell r="BM69">
            <v>636</v>
          </cell>
          <cell r="BN69">
            <v>646</v>
          </cell>
          <cell r="BO69">
            <v>646</v>
          </cell>
          <cell r="BP69">
            <v>666</v>
          </cell>
          <cell r="BR69">
            <v>711</v>
          </cell>
          <cell r="BS69">
            <v>686</v>
          </cell>
          <cell r="BT69">
            <v>706</v>
          </cell>
          <cell r="BU69">
            <v>726</v>
          </cell>
          <cell r="BV69">
            <v>726</v>
          </cell>
          <cell r="BX69">
            <v>711</v>
          </cell>
          <cell r="BY69">
            <v>726</v>
          </cell>
          <cell r="BZ69">
            <v>716</v>
          </cell>
          <cell r="CA69">
            <v>706</v>
          </cell>
          <cell r="CB69">
            <v>696</v>
          </cell>
          <cell r="CD69">
            <v>671</v>
          </cell>
          <cell r="CE69">
            <v>686</v>
          </cell>
          <cell r="CF69">
            <v>676</v>
          </cell>
          <cell r="CG69">
            <v>666</v>
          </cell>
          <cell r="CH69">
            <v>656</v>
          </cell>
          <cell r="DB69">
            <v>721.43843294536362</v>
          </cell>
          <cell r="DC69">
            <v>758.65479723046496</v>
          </cell>
          <cell r="DD69">
            <v>703.19634703196346</v>
          </cell>
          <cell r="DE69">
            <v>694.22222222222217</v>
          </cell>
          <cell r="DF69">
            <v>729.68036529680364</v>
          </cell>
          <cell r="DH69">
            <v>804.22204590954584</v>
          </cell>
          <cell r="DI69">
            <v>741.54882154882148</v>
          </cell>
          <cell r="DJ69">
            <v>821.54882154882148</v>
          </cell>
          <cell r="DK69">
            <v>832</v>
          </cell>
          <cell r="DL69">
            <v>821.79054054054041</v>
          </cell>
          <cell r="DN69">
            <v>703.5</v>
          </cell>
          <cell r="DO69">
            <v>757</v>
          </cell>
          <cell r="DP69">
            <v>733</v>
          </cell>
          <cell r="DQ69">
            <v>671</v>
          </cell>
          <cell r="DR69">
            <v>653</v>
          </cell>
          <cell r="DT69">
            <v>836.42726169931348</v>
          </cell>
          <cell r="DU69">
            <v>663.43805689393446</v>
          </cell>
          <cell r="DV69">
            <v>760.4610554696053</v>
          </cell>
          <cell r="DW69">
            <v>903.71715092855948</v>
          </cell>
          <cell r="DX69">
            <v>1018.0927835051546</v>
          </cell>
          <cell r="DZ69">
            <v>974.67143838009372</v>
          </cell>
          <cell r="EA69">
            <v>1095.690548470322</v>
          </cell>
          <cell r="EB69">
            <v>1037.690548470322</v>
          </cell>
          <cell r="EC69">
            <v>938.62804026867684</v>
          </cell>
          <cell r="ED69">
            <v>826.67661631105375</v>
          </cell>
          <cell r="EF69">
            <v>673.90346092856237</v>
          </cell>
          <cell r="EG69">
            <v>718.14413804770777</v>
          </cell>
          <cell r="EH69">
            <v>663.08495767980708</v>
          </cell>
          <cell r="EI69">
            <v>646.77819477132505</v>
          </cell>
          <cell r="EJ69">
            <v>667.60655321540935</v>
          </cell>
          <cell r="EL69">
            <v>696.84768479815193</v>
          </cell>
          <cell r="EM69">
            <v>693.62200624783065</v>
          </cell>
          <cell r="EN69">
            <v>732.64220183486236</v>
          </cell>
          <cell r="EO69">
            <v>693.57715947616271</v>
          </cell>
          <cell r="EP69">
            <v>667.54937163375212</v>
          </cell>
          <cell r="ER69">
            <v>698.25</v>
          </cell>
          <cell r="ES69">
            <v>707</v>
          </cell>
          <cell r="ET69">
            <v>712</v>
          </cell>
          <cell r="EU69">
            <v>687</v>
          </cell>
          <cell r="EV69">
            <v>687</v>
          </cell>
          <cell r="EX69">
            <v>754.09138738809429</v>
          </cell>
          <cell r="EY69">
            <v>727.48739689617673</v>
          </cell>
          <cell r="EZ69">
            <v>746.75339733778594</v>
          </cell>
          <cell r="FA69">
            <v>766.35514018691583</v>
          </cell>
          <cell r="FB69">
            <v>775.76961513149877</v>
          </cell>
          <cell r="FD69">
            <v>793.44077818922153</v>
          </cell>
          <cell r="FE69">
            <v>786.83249731861372</v>
          </cell>
          <cell r="FF69">
            <v>795.43852468335717</v>
          </cell>
          <cell r="FG69">
            <v>781.28317562889458</v>
          </cell>
          <cell r="FH69">
            <v>810.20891512602077</v>
          </cell>
          <cell r="FJ69">
            <v>813.8949978937984</v>
          </cell>
          <cell r="FK69">
            <v>797.19586141604486</v>
          </cell>
          <cell r="FL69">
            <v>805.07219548315436</v>
          </cell>
          <cell r="FM69">
            <v>825.53525060016659</v>
          </cell>
          <cell r="FN69">
            <v>827.77668407582826</v>
          </cell>
          <cell r="FP69">
            <v>799.6950092541457</v>
          </cell>
          <cell r="FQ69">
            <v>828.76125656874319</v>
          </cell>
          <cell r="FR69">
            <v>822.47036835505924</v>
          </cell>
          <cell r="FS69">
            <v>777.88109774748875</v>
          </cell>
          <cell r="FT69">
            <v>769.66731434529163</v>
          </cell>
        </row>
        <row r="70">
          <cell r="A70" t="str">
            <v xml:space="preserve">  % Change </v>
          </cell>
          <cell r="D70">
            <v>0.10955493308434483</v>
          </cell>
          <cell r="E70">
            <v>3.1013889517260029E-2</v>
          </cell>
          <cell r="F70">
            <v>4.2506527415143491E-2</v>
          </cell>
          <cell r="G70">
            <v>-4.631486281606112E-2</v>
          </cell>
          <cell r="H70">
            <v>0.20663883919697867</v>
          </cell>
          <cell r="I70">
            <v>9.0986405098952616E-2</v>
          </cell>
          <cell r="J70">
            <v>-0.16842446500748898</v>
          </cell>
          <cell r="K70">
            <v>-4.1277913183693893E-2</v>
          </cell>
          <cell r="L70">
            <v>0.2406304273169273</v>
          </cell>
          <cell r="M70">
            <v>1.7756755357141385E-2</v>
          </cell>
          <cell r="N70">
            <v>-2.5131275849474943E-2</v>
          </cell>
          <cell r="O70">
            <v>-4.9593355777516002E-2</v>
          </cell>
          <cell r="P70">
            <v>-7.4051220212856594E-2</v>
          </cell>
          <cell r="Q70">
            <v>-2.0083282518411627E-3</v>
          </cell>
          <cell r="R70">
            <v>-3.2925737388702858E-2</v>
          </cell>
          <cell r="S70">
            <v>0.44630721592838718</v>
          </cell>
          <cell r="T70">
            <v>-0.14183669617993777</v>
          </cell>
          <cell r="U70">
            <v>-0.15892267957557249</v>
          </cell>
          <cell r="V70">
            <v>0.14317277314789734</v>
          </cell>
          <cell r="W70">
            <v>-0.10293626416390633</v>
          </cell>
          <cell r="AC70">
            <v>0</v>
          </cell>
          <cell r="AD70">
            <v>-8.790436005625879E-2</v>
          </cell>
          <cell r="AI70">
            <v>0.13142017769632286</v>
          </cell>
          <cell r="AL70">
            <v>9.6677966101694768E-2</v>
          </cell>
          <cell r="AM70">
            <v>0.1874350649350649</v>
          </cell>
          <cell r="AN70">
            <v>0.18405889884763127</v>
          </cell>
          <cell r="AO70">
            <v>6.3479349186483125E-2</v>
          </cell>
          <cell r="AQ70">
            <v>-7.1669218989280248E-2</v>
          </cell>
          <cell r="AR70">
            <v>-0.14543269230769229</v>
          </cell>
          <cell r="AS70">
            <v>-0.10658682634730543</v>
          </cell>
          <cell r="AT70">
            <v>-5.9610705596107039E-2</v>
          </cell>
          <cell r="AU70">
            <v>3.2216494845360932E-2</v>
          </cell>
          <cell r="AW70">
            <v>-0.13097987462883531</v>
          </cell>
          <cell r="AX70">
            <v>-9.1420534458509173E-2</v>
          </cell>
          <cell r="AY70">
            <v>-0.13404825737265413</v>
          </cell>
          <cell r="AZ70">
            <v>-0.14489003880983187</v>
          </cell>
          <cell r="BA70">
            <v>-0.14981273408239704</v>
          </cell>
          <cell r="BL70">
            <v>-8.790436005625879E-2</v>
          </cell>
          <cell r="BM70">
            <v>-7.2886297376093312E-2</v>
          </cell>
          <cell r="BN70">
            <v>-8.4985835694050937E-2</v>
          </cell>
          <cell r="BO70">
            <v>-0.11019283746556474</v>
          </cell>
          <cell r="BP70">
            <v>-8.2644628099173501E-2</v>
          </cell>
          <cell r="BR70">
            <v>0</v>
          </cell>
          <cell r="BS70">
            <v>-5.5096418732782371E-2</v>
          </cell>
          <cell r="BT70">
            <v>-1.3966480446927387E-2</v>
          </cell>
          <cell r="BU70">
            <v>2.8328611898017053E-2</v>
          </cell>
          <cell r="BV70">
            <v>4.31034482758621E-2</v>
          </cell>
          <cell r="BX70">
            <v>5.9612518628912037E-2</v>
          </cell>
          <cell r="BY70">
            <v>5.8309037900874605E-2</v>
          </cell>
          <cell r="BZ70">
            <v>5.9171597633136175E-2</v>
          </cell>
          <cell r="CA70">
            <v>6.0060060060060039E-2</v>
          </cell>
          <cell r="CB70">
            <v>6.0975609756097615E-2</v>
          </cell>
          <cell r="CD70">
            <v>1.8982536066818545E-2</v>
          </cell>
          <cell r="CE70">
            <v>6.1919504643962897E-2</v>
          </cell>
          <cell r="CF70">
            <v>4.6439628482972228E-2</v>
          </cell>
          <cell r="CG70">
            <v>7.5642965204236745E-3</v>
          </cell>
          <cell r="CH70">
            <v>-3.6710719530102742E-2</v>
          </cell>
          <cell r="DB70">
            <v>-0.10293626416390633</v>
          </cell>
          <cell r="DC70">
            <v>2.3067902186015843E-2</v>
          </cell>
          <cell r="DD70">
            <v>-0.1440601841455198</v>
          </cell>
          <cell r="DE70">
            <v>-0.16559829059829068</v>
          </cell>
          <cell r="DF70">
            <v>-0.11208473534284102</v>
          </cell>
          <cell r="DH70">
            <v>0.14317277314789734</v>
          </cell>
          <cell r="DI70">
            <v>-2.0411067967210705E-2</v>
          </cell>
          <cell r="DJ70">
            <v>0.12080330361367198</v>
          </cell>
          <cell r="DK70">
            <v>0.23994038748137103</v>
          </cell>
          <cell r="DL70">
            <v>0.25848474814784139</v>
          </cell>
          <cell r="DN70">
            <v>-0.15892267957557249</v>
          </cell>
          <cell r="DO70">
            <v>0.14102589101400254</v>
          </cell>
          <cell r="DP70">
            <v>-3.6111060878255441E-2</v>
          </cell>
          <cell r="DQ70">
            <v>-0.25751104832905425</v>
          </cell>
          <cell r="DR70">
            <v>-0.35860462761379164</v>
          </cell>
          <cell r="DT70">
            <v>-0.14183669617993777</v>
          </cell>
          <cell r="DU70">
            <v>-0.39450234573972476</v>
          </cell>
          <cell r="DV70">
            <v>-0.26716008294513771</v>
          </cell>
          <cell r="DW70">
            <v>-3.7193529110982393E-2</v>
          </cell>
          <cell r="DX70">
            <v>0.23154902826243307</v>
          </cell>
          <cell r="DZ70">
            <v>0.44630721592838718</v>
          </cell>
          <cell r="EA70">
            <v>0.52572511619879436</v>
          </cell>
          <cell r="EB70">
            <v>0.56494358143984003</v>
          </cell>
          <cell r="EC70">
            <v>0.4512363710723708</v>
          </cell>
          <cell r="ED70">
            <v>0.2382691756537012</v>
          </cell>
          <cell r="EF70">
            <v>-3.2925737388702858E-2</v>
          </cell>
          <cell r="EG70">
            <v>3.5353739614650159E-2</v>
          </cell>
          <cell r="EH70">
            <v>-9.494026413009371E-2</v>
          </cell>
          <cell r="EI70">
            <v>-6.7474777774088612E-2</v>
          </cell>
          <cell r="EJ70">
            <v>8.5658955108147694E-5</v>
          </cell>
          <cell r="EL70">
            <v>-2.0083282518411627E-3</v>
          </cell>
          <cell r="EM70">
            <v>-1.8922197669263618E-2</v>
          </cell>
          <cell r="EN70">
            <v>2.8991856509638092E-2</v>
          </cell>
          <cell r="EO70">
            <v>9.5737401399749178E-3</v>
          </cell>
          <cell r="EP70">
            <v>-2.8312413924669433E-2</v>
          </cell>
          <cell r="ER70">
            <v>-7.4051220212856594E-2</v>
          </cell>
          <cell r="ES70">
            <v>-2.8161858175943855E-2</v>
          </cell>
          <cell r="ET70">
            <v>-4.6539322702358721E-2</v>
          </cell>
          <cell r="EU70">
            <v>-0.1035487804878048</v>
          </cell>
          <cell r="EV70">
            <v>-0.11442780614248682</v>
          </cell>
          <cell r="EX70">
            <v>-4.9593355777516002E-2</v>
          </cell>
          <cell r="EY70">
            <v>-7.542278772759714E-2</v>
          </cell>
          <cell r="EZ70">
            <v>-6.1205392792549884E-2</v>
          </cell>
          <cell r="FA70">
            <v>-1.9107073987562062E-2</v>
          </cell>
          <cell r="FB70">
            <v>-4.2506690992366147E-2</v>
          </cell>
          <cell r="FD70">
            <v>-2.5131275849474943E-2</v>
          </cell>
          <cell r="FE70">
            <v>-1.2999771573102392E-2</v>
          </cell>
          <cell r="FF70">
            <v>-1.1966219742585493E-2</v>
          </cell>
          <cell r="FG70">
            <v>-5.3604101023064232E-2</v>
          </cell>
          <cell r="FH70">
            <v>-2.1222836167970827E-2</v>
          </cell>
          <cell r="FJ70">
            <v>1.7756755357141385E-2</v>
          </cell>
          <cell r="FK70">
            <v>-3.8087440626008662E-2</v>
          </cell>
          <cell r="FL70">
            <v>-2.115355584992229E-2</v>
          </cell>
          <cell r="FM70">
            <v>6.126148712273638E-2</v>
          </cell>
          <cell r="FN70">
            <v>7.5499334124597306E-2</v>
          </cell>
          <cell r="FP70">
            <v>0.2406304273169273</v>
          </cell>
        </row>
        <row r="71">
          <cell r="A71" t="str">
            <v>Cost per short ton</v>
          </cell>
          <cell r="C71">
            <v>345.59999999999997</v>
          </cell>
          <cell r="D71">
            <v>400.23865546218485</v>
          </cell>
          <cell r="E71">
            <v>423.15322580645159</v>
          </cell>
          <cell r="F71">
            <v>458.52800000000002</v>
          </cell>
          <cell r="G71">
            <v>442.20472440944883</v>
          </cell>
          <cell r="H71">
            <v>455.02635658914721</v>
          </cell>
          <cell r="I71">
            <v>480.71782945736436</v>
          </cell>
          <cell r="J71">
            <v>529.17720207253888</v>
          </cell>
          <cell r="K71">
            <v>545.15865384615381</v>
          </cell>
          <cell r="L71">
            <v>532.21437665502594</v>
          </cell>
          <cell r="M71">
            <v>560.16830180400382</v>
          </cell>
          <cell r="N71">
            <v>564.42477045527494</v>
          </cell>
          <cell r="O71">
            <v>584.9748023929767</v>
          </cell>
          <cell r="P71">
            <v>590</v>
          </cell>
          <cell r="Q71">
            <v>595</v>
          </cell>
          <cell r="R71">
            <v>592.5</v>
          </cell>
          <cell r="S71">
            <v>592.5</v>
          </cell>
          <cell r="T71">
            <v>613.09999999999991</v>
          </cell>
          <cell r="U71">
            <v>602.20900000000006</v>
          </cell>
          <cell r="V71">
            <v>602.20900000000006</v>
          </cell>
          <cell r="W71">
            <v>656.03241963967139</v>
          </cell>
          <cell r="AC71">
            <v>648</v>
          </cell>
          <cell r="AD71">
            <v>648</v>
          </cell>
          <cell r="AI71">
            <v>648.13390677411576</v>
          </cell>
          <cell r="AL71">
            <v>661.69154228855723</v>
          </cell>
          <cell r="AM71">
            <v>641.65103189493436</v>
          </cell>
          <cell r="AN71">
            <v>641.45383104125733</v>
          </cell>
          <cell r="AO71">
            <v>647.73922187171411</v>
          </cell>
          <cell r="AQ71">
            <v>699.52748349231661</v>
          </cell>
          <cell r="AR71">
            <v>680</v>
          </cell>
          <cell r="AS71">
            <v>705.71696344892223</v>
          </cell>
          <cell r="AT71">
            <v>716.96149843912588</v>
          </cell>
          <cell r="AU71">
            <v>695.4314720812182</v>
          </cell>
          <cell r="AW71">
            <v>648</v>
          </cell>
          <cell r="AX71">
            <v>648</v>
          </cell>
          <cell r="AY71">
            <v>648</v>
          </cell>
          <cell r="AZ71">
            <v>648</v>
          </cell>
          <cell r="BA71">
            <v>648</v>
          </cell>
          <cell r="BL71">
            <v>648</v>
          </cell>
          <cell r="BM71">
            <v>648</v>
          </cell>
          <cell r="BN71">
            <v>648</v>
          </cell>
          <cell r="BO71">
            <v>648</v>
          </cell>
          <cell r="BP71">
            <v>648</v>
          </cell>
          <cell r="BR71">
            <v>648</v>
          </cell>
          <cell r="BS71">
            <v>648</v>
          </cell>
          <cell r="BT71">
            <v>648</v>
          </cell>
          <cell r="BU71">
            <v>648</v>
          </cell>
          <cell r="BV71">
            <v>648</v>
          </cell>
          <cell r="BX71">
            <v>648</v>
          </cell>
          <cell r="BY71">
            <v>648</v>
          </cell>
          <cell r="BZ71">
            <v>648</v>
          </cell>
          <cell r="CA71">
            <v>648</v>
          </cell>
          <cell r="CB71">
            <v>648</v>
          </cell>
          <cell r="CD71">
            <v>648</v>
          </cell>
          <cell r="CE71">
            <v>648</v>
          </cell>
          <cell r="CF71">
            <v>648</v>
          </cell>
          <cell r="CG71">
            <v>648</v>
          </cell>
          <cell r="CH71">
            <v>648</v>
          </cell>
          <cell r="DB71">
            <v>656.03241963967139</v>
          </cell>
          <cell r="DC71">
            <v>605.34124629080122</v>
          </cell>
          <cell r="DD71">
            <v>651.14155251141551</v>
          </cell>
          <cell r="DE71">
            <v>680.88888888888891</v>
          </cell>
          <cell r="DF71">
            <v>686.75799086757991</v>
          </cell>
          <cell r="DH71">
            <v>602.20900000000006</v>
          </cell>
          <cell r="DI71">
            <v>602.20900000000006</v>
          </cell>
          <cell r="DJ71">
            <v>602.20900000000006</v>
          </cell>
          <cell r="DK71">
            <v>602.20900000000006</v>
          </cell>
          <cell r="DL71">
            <v>602.20900000000006</v>
          </cell>
          <cell r="DN71">
            <v>602.20900000000006</v>
          </cell>
          <cell r="DO71">
            <v>595</v>
          </cell>
          <cell r="DP71">
            <v>600</v>
          </cell>
          <cell r="DQ71">
            <v>600</v>
          </cell>
          <cell r="DR71">
            <v>613.83600000000001</v>
          </cell>
          <cell r="DT71">
            <v>613.09999999999991</v>
          </cell>
          <cell r="DU71">
            <v>627</v>
          </cell>
          <cell r="DV71">
            <v>611.79999999999995</v>
          </cell>
          <cell r="DW71">
            <v>611.79999999999995</v>
          </cell>
          <cell r="DX71">
            <v>601.79999999999995</v>
          </cell>
          <cell r="DZ71">
            <v>592.5</v>
          </cell>
          <cell r="EA71">
            <v>600</v>
          </cell>
          <cell r="EB71">
            <v>590</v>
          </cell>
          <cell r="EC71">
            <v>590</v>
          </cell>
          <cell r="ED71">
            <v>590</v>
          </cell>
          <cell r="EF71">
            <v>592.5</v>
          </cell>
          <cell r="EG71">
            <v>590</v>
          </cell>
          <cell r="EH71">
            <v>580</v>
          </cell>
          <cell r="EI71">
            <v>600</v>
          </cell>
          <cell r="EJ71">
            <v>600</v>
          </cell>
          <cell r="EL71">
            <v>595</v>
          </cell>
          <cell r="EM71">
            <v>600</v>
          </cell>
          <cell r="EN71">
            <v>600</v>
          </cell>
          <cell r="EO71">
            <v>580</v>
          </cell>
          <cell r="EP71">
            <v>600</v>
          </cell>
          <cell r="ER71">
            <v>590</v>
          </cell>
          <cell r="ES71">
            <v>590</v>
          </cell>
          <cell r="ET71">
            <v>590</v>
          </cell>
          <cell r="EU71">
            <v>590</v>
          </cell>
          <cell r="EV71">
            <v>590</v>
          </cell>
          <cell r="EX71">
            <v>584.9748023929767</v>
          </cell>
          <cell r="EY71">
            <v>580.79715318125398</v>
          </cell>
          <cell r="EZ71">
            <v>588.50470757386029</v>
          </cell>
          <cell r="FA71">
            <v>582.00934579439252</v>
          </cell>
          <cell r="FB71">
            <v>588.5880030223999</v>
          </cell>
          <cell r="FD71">
            <v>564.42477045527494</v>
          </cell>
          <cell r="FE71">
            <v>578.37160844121286</v>
          </cell>
          <cell r="FF71">
            <v>560.59201302519114</v>
          </cell>
          <cell r="FG71">
            <v>569.17593819243359</v>
          </cell>
          <cell r="FH71">
            <v>549.55952216226194</v>
          </cell>
          <cell r="FJ71">
            <v>560.16830180400382</v>
          </cell>
          <cell r="FK71">
            <v>563.37833000381067</v>
          </cell>
          <cell r="FL71">
            <v>566.31716606249722</v>
          </cell>
          <cell r="FM71">
            <v>564.79992201588936</v>
          </cell>
          <cell r="FN71">
            <v>546.1777891338179</v>
          </cell>
          <cell r="FP71">
            <v>532.21437665502594</v>
          </cell>
          <cell r="FQ71">
            <v>526.43156424581002</v>
          </cell>
          <cell r="FR71">
            <v>541.40261195336302</v>
          </cell>
          <cell r="FS71">
            <v>532.23450357890624</v>
          </cell>
          <cell r="FT71">
            <v>528.78882684202438</v>
          </cell>
        </row>
        <row r="72">
          <cell r="A72" t="str">
            <v xml:space="preserve">  % Change </v>
          </cell>
          <cell r="D72">
            <v>0.158097961406785</v>
          </cell>
          <cell r="E72">
            <v>5.7252266945094554E-2</v>
          </cell>
          <cell r="F72">
            <v>8.3598025576032686E-2</v>
          </cell>
          <cell r="G72">
            <v>-3.5599299476915647E-2</v>
          </cell>
          <cell r="H72">
            <v>2.89947878707566E-2</v>
          </cell>
          <cell r="I72">
            <v>5.6461504913251748E-2</v>
          </cell>
          <cell r="J72">
            <v>0.10080627271485976</v>
          </cell>
          <cell r="K72">
            <v>3.020056743000854E-2</v>
          </cell>
          <cell r="L72">
            <v>-2.3744055239340978E-2</v>
          </cell>
          <cell r="M72">
            <v>5.252380690027314E-2</v>
          </cell>
          <cell r="N72">
            <v>7.5985532161733094E-3</v>
          </cell>
          <cell r="O72">
            <v>3.6408805944370126E-2</v>
          </cell>
          <cell r="P72">
            <v>8.5904513946011285E-3</v>
          </cell>
          <cell r="Q72">
            <v>8.4745762711864181E-3</v>
          </cell>
          <cell r="R72">
            <v>-4.2016806722688926E-3</v>
          </cell>
          <cell r="S72">
            <v>0</v>
          </cell>
          <cell r="T72">
            <v>3.4767932489451425E-2</v>
          </cell>
          <cell r="U72">
            <v>-1.7763823193606032E-2</v>
          </cell>
          <cell r="V72">
            <v>0</v>
          </cell>
          <cell r="W72">
            <v>8.9376644387033854E-2</v>
          </cell>
          <cell r="AC72">
            <v>0</v>
          </cell>
          <cell r="AD72">
            <v>0</v>
          </cell>
          <cell r="AI72">
            <v>-1.2039820943443469E-2</v>
          </cell>
          <cell r="AL72">
            <v>9.3088479172763527E-2</v>
          </cell>
          <cell r="AM72">
            <v>-1.4575203471313913E-2</v>
          </cell>
          <cell r="AN72">
            <v>-5.7917023601286588E-2</v>
          </cell>
          <cell r="AO72">
            <v>-5.681589368413964E-2</v>
          </cell>
          <cell r="AQ72">
            <v>7.9294689231730331E-2</v>
          </cell>
          <cell r="AR72">
            <v>2.7669172932330843E-2</v>
          </cell>
          <cell r="AS72">
            <v>9.9845443035893267E-2</v>
          </cell>
          <cell r="AT72">
            <v>0.1177133314104597</v>
          </cell>
          <cell r="AU72">
            <v>7.3628782385127156E-2</v>
          </cell>
          <cell r="AW72">
            <v>-7.3660413219322152E-2</v>
          </cell>
          <cell r="AX72">
            <v>-4.705882352941182E-2</v>
          </cell>
          <cell r="AY72">
            <v>-8.1784860557768901E-2</v>
          </cell>
          <cell r="AZ72">
            <v>-9.6185776487663244E-2</v>
          </cell>
          <cell r="BA72">
            <v>-6.8204379562043727E-2</v>
          </cell>
          <cell r="BL72">
            <v>0</v>
          </cell>
          <cell r="BM72">
            <v>0</v>
          </cell>
          <cell r="BN72">
            <v>0</v>
          </cell>
          <cell r="BO72">
            <v>0</v>
          </cell>
          <cell r="BP72">
            <v>0</v>
          </cell>
          <cell r="BR72">
            <v>0</v>
          </cell>
          <cell r="BS72">
            <v>0</v>
          </cell>
          <cell r="BT72">
            <v>0</v>
          </cell>
          <cell r="BU72">
            <v>0</v>
          </cell>
          <cell r="BV72">
            <v>0</v>
          </cell>
          <cell r="BX72">
            <v>0</v>
          </cell>
          <cell r="BY72">
            <v>0</v>
          </cell>
          <cell r="BZ72">
            <v>0</v>
          </cell>
          <cell r="CA72">
            <v>0</v>
          </cell>
          <cell r="CB72">
            <v>0</v>
          </cell>
          <cell r="CD72">
            <v>0</v>
          </cell>
          <cell r="CE72">
            <v>0</v>
          </cell>
          <cell r="CF72">
            <v>0</v>
          </cell>
          <cell r="CG72">
            <v>0</v>
          </cell>
          <cell r="CH72">
            <v>0</v>
          </cell>
          <cell r="DB72">
            <v>8.9376644387033854E-2</v>
          </cell>
          <cell r="DC72">
            <v>5.2012611747767057E-3</v>
          </cell>
          <cell r="DD72">
            <v>8.1255099992553204E-2</v>
          </cell>
          <cell r="DE72">
            <v>0.13065213055415792</v>
          </cell>
          <cell r="DF72">
            <v>0.14039808582664803</v>
          </cell>
          <cell r="DH72">
            <v>0</v>
          </cell>
          <cell r="DI72">
            <v>1.2115966386554655E-2</v>
          </cell>
          <cell r="DJ72">
            <v>3.6816666666668052E-3</v>
          </cell>
          <cell r="DK72">
            <v>3.6816666666668052E-3</v>
          </cell>
          <cell r="DL72">
            <v>-1.8941541388905137E-2</v>
          </cell>
          <cell r="DN72">
            <v>-1.7763823193606032E-2</v>
          </cell>
          <cell r="DO72">
            <v>-5.1036682615629991E-2</v>
          </cell>
          <cell r="DP72">
            <v>-1.9287348806799498E-2</v>
          </cell>
          <cell r="DQ72">
            <v>-1.9287348806799498E-2</v>
          </cell>
          <cell r="DR72">
            <v>2.0000000000000018E-2</v>
          </cell>
          <cell r="DT72">
            <v>3.4767932489451425E-2</v>
          </cell>
          <cell r="DU72">
            <v>4.4999999999999929E-2</v>
          </cell>
          <cell r="DV72">
            <v>3.6949152542372854E-2</v>
          </cell>
          <cell r="DW72">
            <v>3.6949152542372854E-2</v>
          </cell>
          <cell r="DX72">
            <v>2.0000000000000018E-2</v>
          </cell>
          <cell r="DZ72">
            <v>0</v>
          </cell>
          <cell r="EA72">
            <v>1.6949152542372836E-2</v>
          </cell>
          <cell r="EB72">
            <v>1.7241379310344751E-2</v>
          </cell>
          <cell r="EC72">
            <v>-1.6666666666666718E-2</v>
          </cell>
          <cell r="ED72">
            <v>-1.6666666666666718E-2</v>
          </cell>
          <cell r="EF72">
            <v>-4.2016806722688926E-3</v>
          </cell>
          <cell r="EG72">
            <v>-1.6666666666666718E-2</v>
          </cell>
          <cell r="EH72">
            <v>-3.3333333333333326E-2</v>
          </cell>
          <cell r="EI72">
            <v>3.4482758620689724E-2</v>
          </cell>
          <cell r="EJ72">
            <v>0</v>
          </cell>
          <cell r="EL72">
            <v>8.4745762711864181E-3</v>
          </cell>
          <cell r="EM72">
            <v>1.6949152542372836E-2</v>
          </cell>
          <cell r="EN72">
            <v>1.6949152542372836E-2</v>
          </cell>
          <cell r="EO72">
            <v>-1.6949152542372836E-2</v>
          </cell>
          <cell r="EP72">
            <v>1.6949152542372836E-2</v>
          </cell>
          <cell r="ER72">
            <v>8.5904513946011285E-3</v>
          </cell>
          <cell r="ES72">
            <v>1.5845199599100024E-2</v>
          </cell>
          <cell r="ET72">
            <v>2.5408334154268797E-3</v>
          </cell>
          <cell r="EU72">
            <v>1.3729425933360018E-2</v>
          </cell>
          <cell r="EV72">
            <v>2.3989564353155135E-3</v>
          </cell>
          <cell r="EX72">
            <v>3.6408805944370126E-2</v>
          </cell>
          <cell r="EY72">
            <v>4.1937479375557807E-3</v>
          </cell>
          <cell r="EZ72">
            <v>4.9791459564399565E-2</v>
          </cell>
          <cell r="FA72">
            <v>2.2547347385616368E-2</v>
          </cell>
          <cell r="FB72">
            <v>7.1017750191242124E-2</v>
          </cell>
          <cell r="FD72">
            <v>7.5985532161733094E-3</v>
          </cell>
          <cell r="FE72">
            <v>2.6613161420853348E-2</v>
          </cell>
          <cell r="FF72">
            <v>-1.0109446402820632E-2</v>
          </cell>
          <cell r="FG72">
            <v>7.747905065080829E-3</v>
          </cell>
          <cell r="FH72">
            <v>6.1916341083865234E-3</v>
          </cell>
          <cell r="FJ72">
            <v>5.252380690027314E-2</v>
          </cell>
          <cell r="FK72">
            <v>7.0183416548991184E-2</v>
          </cell>
          <cell r="FL72">
            <v>4.6018533267217387E-2</v>
          </cell>
          <cell r="FM72">
            <v>6.1186221896557536E-2</v>
          </cell>
          <cell r="FN72">
            <v>3.2884511565121288E-2</v>
          </cell>
          <cell r="FP72">
            <v>-2.3744055239340978E-2</v>
          </cell>
        </row>
        <row r="73">
          <cell r="A73" t="str">
            <v xml:space="preserve">Operating profit/ton </v>
          </cell>
          <cell r="C73">
            <v>194.4</v>
          </cell>
          <cell r="D73">
            <v>198.92100840336136</v>
          </cell>
          <cell r="E73">
            <v>194.58870967741933</v>
          </cell>
          <cell r="F73">
            <v>185.47199999999998</v>
          </cell>
          <cell r="G73">
            <v>171.96850393700791</v>
          </cell>
          <cell r="H73">
            <v>286.05891472868217</v>
          </cell>
          <cell r="I73">
            <v>323.15813953488379</v>
          </cell>
          <cell r="J73">
            <v>125.74507772020728</v>
          </cell>
          <cell r="K73">
            <v>107.72596153846153</v>
          </cell>
          <cell r="L73">
            <v>264.2095419780606</v>
          </cell>
          <cell r="M73">
            <v>256.4502188674299</v>
          </cell>
          <cell r="N73">
            <v>231.23087522830303</v>
          </cell>
          <cell r="O73">
            <v>167.35566032132115</v>
          </cell>
          <cell r="P73">
            <v>108.70208443072482</v>
          </cell>
          <cell r="Q73">
            <v>101.7356617940181</v>
          </cell>
          <cell r="R73">
            <v>81.540177686889152</v>
          </cell>
          <cell r="S73">
            <v>394.63681272974384</v>
          </cell>
          <cell r="T73">
            <v>201.07256080730025</v>
          </cell>
          <cell r="U73">
            <v>106.59452593857469</v>
          </cell>
          <cell r="V73">
            <v>212.52654472138403</v>
          </cell>
          <cell r="W73">
            <v>59.307359307359306</v>
          </cell>
          <cell r="AC73">
            <v>59.999999999999972</v>
          </cell>
          <cell r="AD73">
            <v>0.47619047619047405</v>
          </cell>
          <cell r="AI73">
            <v>148.26839826839827</v>
          </cell>
          <cell r="AL73">
            <v>148.91774891774892</v>
          </cell>
          <cell r="AM73">
            <v>179.22077922077921</v>
          </cell>
          <cell r="AN73">
            <v>158.44155844155844</v>
          </cell>
          <cell r="AO73">
            <v>106.49350649350649</v>
          </cell>
          <cell r="AQ73">
            <v>50.66601731601731</v>
          </cell>
          <cell r="AR73">
            <v>28.638095238095215</v>
          </cell>
          <cell r="AS73">
            <v>37.229437229437231</v>
          </cell>
          <cell r="AT73">
            <v>46.753246753246756</v>
          </cell>
          <cell r="AU73">
            <v>90.043290043290042</v>
          </cell>
          <cell r="AW73">
            <v>9.9999999999999787</v>
          </cell>
          <cell r="AX73">
            <v>-1.9047619047618949</v>
          </cell>
          <cell r="AY73">
            <v>-1.9047619047618949</v>
          </cell>
          <cell r="AZ73">
            <v>12.380952380952316</v>
          </cell>
          <cell r="BA73">
            <v>31.428571428571388</v>
          </cell>
          <cell r="BL73">
            <v>0.47619047619047405</v>
          </cell>
          <cell r="BM73">
            <v>-11.428571428571493</v>
          </cell>
          <cell r="BN73">
            <v>-1.9047619047618949</v>
          </cell>
          <cell r="BO73">
            <v>-1.9047619047618949</v>
          </cell>
          <cell r="BP73">
            <v>17.142857142857178</v>
          </cell>
          <cell r="BR73">
            <v>59.999999999999972</v>
          </cell>
          <cell r="BS73">
            <v>36.190476190476126</v>
          </cell>
          <cell r="BT73">
            <v>55.238095238095198</v>
          </cell>
          <cell r="BU73">
            <v>74.285714285714263</v>
          </cell>
          <cell r="BV73">
            <v>74.285714285714263</v>
          </cell>
          <cell r="BX73">
            <v>59.999999999999986</v>
          </cell>
          <cell r="BY73">
            <v>74.285714285714263</v>
          </cell>
          <cell r="BZ73">
            <v>64.761904761904788</v>
          </cell>
          <cell r="CA73">
            <v>55.238095238095198</v>
          </cell>
          <cell r="CB73">
            <v>45.714285714285722</v>
          </cell>
          <cell r="CD73">
            <v>21.904761904761884</v>
          </cell>
          <cell r="CE73">
            <v>36.190476190476126</v>
          </cell>
          <cell r="CF73">
            <v>26.66666666666665</v>
          </cell>
          <cell r="CG73">
            <v>17.142857142857178</v>
          </cell>
          <cell r="CH73">
            <v>7.6190476190475795</v>
          </cell>
          <cell r="DB73">
            <v>59.307359307359306</v>
          </cell>
          <cell r="DC73">
            <v>134.19913419913419</v>
          </cell>
          <cell r="DD73">
            <v>49.350649350649348</v>
          </cell>
          <cell r="DE73">
            <v>12.987012987012987</v>
          </cell>
          <cell r="DF73">
            <v>40.692640692640694</v>
          </cell>
          <cell r="DH73">
            <v>212.52654472138403</v>
          </cell>
          <cell r="DI73">
            <v>148.99106459982201</v>
          </cell>
          <cell r="DJ73">
            <v>225.60667359307354</v>
          </cell>
          <cell r="DK73">
            <v>250.41359740259739</v>
          </cell>
          <cell r="DL73">
            <v>225.09484329004317</v>
          </cell>
          <cell r="DN73">
            <v>106.59452593857469</v>
          </cell>
          <cell r="DO73">
            <v>181.15584415584419</v>
          </cell>
          <cell r="DP73">
            <v>131.94805194805204</v>
          </cell>
          <cell r="DQ73">
            <v>75.731497418244373</v>
          </cell>
          <cell r="DR73">
            <v>37.542710232158164</v>
          </cell>
          <cell r="DT73">
            <v>201.07256080730025</v>
          </cell>
          <cell r="DU73">
            <v>39.947756401559346</v>
          </cell>
          <cell r="DV73">
            <v>155.01280943396242</v>
          </cell>
          <cell r="DW73">
            <v>263.7727526315789</v>
          </cell>
          <cell r="DX73">
            <v>345.55692476210032</v>
          </cell>
          <cell r="DZ73">
            <v>394.63681272974384</v>
          </cell>
          <cell r="EA73">
            <v>490.18287570954061</v>
          </cell>
          <cell r="EB73">
            <v>482.52008771929826</v>
          </cell>
          <cell r="EC73">
            <v>372.42649122807018</v>
          </cell>
          <cell r="ED73">
            <v>233.41779626206622</v>
          </cell>
          <cell r="EF73">
            <v>81.540177686889152</v>
          </cell>
          <cell r="EG73">
            <v>130.23727647867943</v>
          </cell>
          <cell r="EH73">
            <v>83.424059515916412</v>
          </cell>
          <cell r="EI73">
            <v>47.088848437171301</v>
          </cell>
          <cell r="EJ73">
            <v>65.410526315789483</v>
          </cell>
          <cell r="EL73">
            <v>101.7356617940181</v>
          </cell>
          <cell r="EM73">
            <v>96.98936524060808</v>
          </cell>
          <cell r="EN73">
            <v>130.07179228817674</v>
          </cell>
          <cell r="EO73">
            <v>113.87271771746308</v>
          </cell>
          <cell r="EP73">
            <v>66.008771929824491</v>
          </cell>
          <cell r="ER73">
            <v>108.70208443072482</v>
          </cell>
          <cell r="ES73">
            <v>122.13157894736844</v>
          </cell>
          <cell r="ET73">
            <v>121.99678108757033</v>
          </cell>
          <cell r="EU73">
            <v>96.999999999999929</v>
          </cell>
          <cell r="EV73">
            <v>93.679977687960587</v>
          </cell>
          <cell r="EX73">
            <v>167.35566032132115</v>
          </cell>
          <cell r="EY73">
            <v>150.72790881390361</v>
          </cell>
          <cell r="EZ73">
            <v>156.438412691135</v>
          </cell>
          <cell r="FA73">
            <v>182.95652173913044</v>
          </cell>
          <cell r="FB73">
            <v>179.29979804111557</v>
          </cell>
          <cell r="FD73">
            <v>231.23087522830303</v>
          </cell>
          <cell r="FE73">
            <v>226.59159425430042</v>
          </cell>
          <cell r="FF73">
            <v>230.43960019899598</v>
          </cell>
          <cell r="FG73">
            <v>224.59172069357655</v>
          </cell>
          <cell r="FH73">
            <v>243.3005857663392</v>
          </cell>
          <cell r="FJ73">
            <v>256.4502188674299</v>
          </cell>
          <cell r="FK73">
            <v>253.39784524070717</v>
          </cell>
          <cell r="FL73">
            <v>231.92080025696325</v>
          </cell>
          <cell r="FM73">
            <v>256.47024418774674</v>
          </cell>
          <cell r="FN73">
            <v>284.01198578430234</v>
          </cell>
          <cell r="FP73">
            <v>264.2095419780606</v>
          </cell>
          <cell r="FQ73">
            <v>306.90176908752329</v>
          </cell>
          <cell r="FR73">
            <v>270.0769114059965</v>
          </cell>
          <cell r="FS73">
            <v>241.69791108730584</v>
          </cell>
          <cell r="FT73">
            <v>238.16157633141682</v>
          </cell>
        </row>
        <row r="74">
          <cell r="A74" t="str">
            <v xml:space="preserve">  % Change </v>
          </cell>
          <cell r="D74">
            <v>2.3256216066673607E-2</v>
          </cell>
          <cell r="E74">
            <v>-2.1778990367660067E-2</v>
          </cell>
          <cell r="F74">
            <v>-4.6851174934725792E-2</v>
          </cell>
          <cell r="G74">
            <v>-7.2806116626725759E-2</v>
          </cell>
          <cell r="H74">
            <v>0.66343782832154896</v>
          </cell>
          <cell r="I74">
            <v>0.12969085351312715</v>
          </cell>
          <cell r="J74">
            <v>-0.61088686207566956</v>
          </cell>
          <cell r="K74">
            <v>-0.14329877962968618</v>
          </cell>
          <cell r="L74">
            <v>1.4526078784057037</v>
          </cell>
          <cell r="M74">
            <v>-2.9368065409518862E-2</v>
          </cell>
          <cell r="N74">
            <v>-9.8340113533550239E-2</v>
          </cell>
          <cell r="O74">
            <v>-0.27623999106484137</v>
          </cell>
          <cell r="P74">
            <v>-0.35047261489681353</v>
          </cell>
          <cell r="Q74">
            <v>-6.4087295779009484E-2</v>
          </cell>
          <cell r="R74">
            <v>-0.19850938944121962</v>
          </cell>
          <cell r="S74">
            <v>3.8397835757132217</v>
          </cell>
          <cell r="T74">
            <v>-0.49048706476098758</v>
          </cell>
          <cell r="U74">
            <v>-0.46987035172476599</v>
          </cell>
          <cell r="V74">
            <v>0.99378479194938096</v>
          </cell>
          <cell r="W74">
            <v>-0.72094140341335011</v>
          </cell>
          <cell r="AC74">
            <v>-2.3684757858670011E-16</v>
          </cell>
          <cell r="AD74">
            <v>-0.99206349206349209</v>
          </cell>
          <cell r="AI74">
            <v>1.5000000000000002</v>
          </cell>
          <cell r="AL74">
            <v>0.10967741935483881</v>
          </cell>
          <cell r="AM74">
            <v>2.6315789473684208</v>
          </cell>
          <cell r="AN74">
            <v>11.200000000000001</v>
          </cell>
          <cell r="AO74">
            <v>1.6170212765957444</v>
          </cell>
          <cell r="AQ74">
            <v>-0.65828175182481763</v>
          </cell>
          <cell r="AR74">
            <v>-0.80769186046511643</v>
          </cell>
          <cell r="AS74">
            <v>-0.79227053140096615</v>
          </cell>
          <cell r="AT74">
            <v>-0.70491803278688525</v>
          </cell>
          <cell r="AU74">
            <v>-0.15447154471544711</v>
          </cell>
          <cell r="AW74">
            <v>-0.80262904941536373</v>
          </cell>
          <cell r="AX74">
            <v>-1.0665114732291316</v>
          </cell>
          <cell r="AY74">
            <v>-1.0511627906976742</v>
          </cell>
          <cell r="AZ74">
            <v>-0.73518518518518661</v>
          </cell>
          <cell r="BA74">
            <v>-0.65096153846153892</v>
          </cell>
          <cell r="BL74">
            <v>-0.99206349206349209</v>
          </cell>
          <cell r="BM74">
            <v>-1.3157894736842128</v>
          </cell>
          <cell r="BN74">
            <v>-1.0344827586206895</v>
          </cell>
          <cell r="BO74">
            <v>-1.0256410256410255</v>
          </cell>
          <cell r="BP74">
            <v>-0.76923076923076861</v>
          </cell>
          <cell r="BR74">
            <v>-2.3684757858670011E-16</v>
          </cell>
          <cell r="BS74">
            <v>-0.51282051282051355</v>
          </cell>
          <cell r="BT74">
            <v>-0.14705882352941271</v>
          </cell>
          <cell r="BU74">
            <v>0.34482758620689713</v>
          </cell>
          <cell r="BV74">
            <v>0.62499999999999922</v>
          </cell>
          <cell r="BX74">
            <v>1.7391304347826106</v>
          </cell>
          <cell r="BY74">
            <v>1.0526315789473715</v>
          </cell>
          <cell r="BZ74">
            <v>1.428571428571431</v>
          </cell>
          <cell r="CA74">
            <v>2.222222222222213</v>
          </cell>
          <cell r="CB74">
            <v>5.000000000000032</v>
          </cell>
          <cell r="CD74">
            <v>1.1904761904761931</v>
          </cell>
          <cell r="CE74">
            <v>20.000000000000068</v>
          </cell>
          <cell r="CF74">
            <v>15.000000000000064</v>
          </cell>
          <cell r="CG74">
            <v>0.38461538461539474</v>
          </cell>
          <cell r="CH74">
            <v>-0.75757575757575857</v>
          </cell>
          <cell r="DB74">
            <v>-0.72094140341335011</v>
          </cell>
          <cell r="DC74">
            <v>-9.9280654450102437E-2</v>
          </cell>
          <cell r="DD74">
            <v>-0.78125359252597704</v>
          </cell>
          <cell r="DE74">
            <v>-0.94813774842212994</v>
          </cell>
          <cell r="DF74">
            <v>-0.81922002255641779</v>
          </cell>
          <cell r="DH74">
            <v>0.99378479194938096</v>
          </cell>
          <cell r="DI74">
            <v>-0.17755308809331904</v>
          </cell>
          <cell r="DJ74">
            <v>0.70981435695537898</v>
          </cell>
          <cell r="DK74">
            <v>2.3065977293388444</v>
          </cell>
          <cell r="DL74">
            <v>4.9957004142240233</v>
          </cell>
          <cell r="DN74">
            <v>-0.46987035172476593</v>
          </cell>
          <cell r="DO74">
            <v>3.5348189854480254</v>
          </cell>
          <cell r="DP74">
            <v>-0.14879259056159666</v>
          </cell>
          <cell r="DQ74">
            <v>-0.7128911282052649</v>
          </cell>
          <cell r="DR74">
            <v>-0.89135593141996916</v>
          </cell>
          <cell r="DT74">
            <v>-0.49048706476098758</v>
          </cell>
          <cell r="DU74">
            <v>-0.91850438197430928</v>
          </cell>
          <cell r="DV74">
            <v>-0.67874330337902999</v>
          </cell>
          <cell r="DW74">
            <v>-0.29174546160292569</v>
          </cell>
          <cell r="DX74">
            <v>0.48042235980212766</v>
          </cell>
          <cell r="DZ74">
            <v>3.8397835757132217</v>
          </cell>
          <cell r="EA74">
            <v>2.7637678624966195</v>
          </cell>
          <cell r="EB74">
            <v>4.7839439907289405</v>
          </cell>
          <cell r="EC74">
            <v>6.9090167542530461</v>
          </cell>
          <cell r="ED74">
            <v>2.5685050925162995</v>
          </cell>
          <cell r="EF74">
            <v>-0.19850938944121962</v>
          </cell>
          <cell r="EG74">
            <v>0.34279955493667796</v>
          </cell>
          <cell r="EH74">
            <v>-0.35863066043490283</v>
          </cell>
          <cell r="EI74">
            <v>-0.5864782242748745</v>
          </cell>
          <cell r="EJ74">
            <v>-9.063122923586844E-3</v>
          </cell>
          <cell r="EL74">
            <v>-6.4087295779009484E-2</v>
          </cell>
          <cell r="EM74">
            <v>-0.20586169378515265</v>
          </cell>
          <cell r="EN74">
            <v>6.6190362799901245E-2</v>
          </cell>
          <cell r="EO74">
            <v>0.17394554347900162</v>
          </cell>
          <cell r="EP74">
            <v>-0.29538014889698572</v>
          </cell>
          <cell r="ER74">
            <v>-0.35047261489681353</v>
          </cell>
          <cell r="ES74">
            <v>-0.18972153260509747</v>
          </cell>
          <cell r="ET74">
            <v>-0.22016096309775712</v>
          </cell>
          <cell r="EU74">
            <v>-0.46981939163498138</v>
          </cell>
          <cell r="EV74">
            <v>-0.47752323922596579</v>
          </cell>
          <cell r="EX74">
            <v>-0.27623999106484137</v>
          </cell>
          <cell r="EY74">
            <v>-0.33480361745129922</v>
          </cell>
          <cell r="EZ74">
            <v>-0.32113051508489554</v>
          </cell>
          <cell r="FA74">
            <v>-0.185381717660249</v>
          </cell>
          <cell r="FB74">
            <v>-0.26305233718873433</v>
          </cell>
          <cell r="FD74">
            <v>-9.8340113533550239E-2</v>
          </cell>
          <cell r="FE74">
            <v>-0.10578720967790003</v>
          </cell>
          <cell r="FF74">
            <v>-6.3866632761103515E-3</v>
          </cell>
          <cell r="FG74">
            <v>-0.12429716201632267</v>
          </cell>
          <cell r="FH74">
            <v>-0.14334395045173234</v>
          </cell>
          <cell r="FJ74">
            <v>-2.9368065409518862E-2</v>
          </cell>
          <cell r="FK74">
            <v>-0.17433566448930338</v>
          </cell>
          <cell r="FL74">
            <v>-0.14127868595059057</v>
          </cell>
          <cell r="FM74">
            <v>6.1118993680937768E-2</v>
          </cell>
          <cell r="FN74">
            <v>0.19251808020065245</v>
          </cell>
          <cell r="FP74">
            <v>1.4526078784057037</v>
          </cell>
        </row>
        <row r="76">
          <cell r="A76" t="str">
            <v>Market Pulp</v>
          </cell>
        </row>
        <row r="77">
          <cell r="A77" t="str">
            <v>Sales</v>
          </cell>
          <cell r="C77">
            <v>86</v>
          </cell>
          <cell r="D77">
            <v>103</v>
          </cell>
          <cell r="E77">
            <v>106.3</v>
          </cell>
          <cell r="F77">
            <v>98</v>
          </cell>
          <cell r="G77">
            <v>83.5</v>
          </cell>
          <cell r="H77">
            <v>98.2</v>
          </cell>
          <cell r="I77">
            <v>78.8</v>
          </cell>
          <cell r="J77">
            <v>98.3</v>
          </cell>
          <cell r="K77">
            <v>125.1</v>
          </cell>
          <cell r="L77">
            <v>153.17099999999999</v>
          </cell>
          <cell r="M77">
            <v>182.62599999999998</v>
          </cell>
          <cell r="N77">
            <v>170.67599999999999</v>
          </cell>
          <cell r="O77">
            <v>137.97699999999998</v>
          </cell>
          <cell r="P77">
            <v>139.74884909090909</v>
          </cell>
          <cell r="Q77">
            <v>98.680745000000002</v>
          </cell>
          <cell r="R77">
            <v>130.667</v>
          </cell>
          <cell r="S77">
            <v>233.27100000000002</v>
          </cell>
          <cell r="T77">
            <v>154.30499999999998</v>
          </cell>
          <cell r="U77">
            <v>172.7</v>
          </cell>
          <cell r="V77">
            <v>272.06720000000001</v>
          </cell>
          <cell r="W77">
            <v>434.35039999999998</v>
          </cell>
          <cell r="X77">
            <v>546.29999999999995</v>
          </cell>
          <cell r="Y77">
            <v>409.9</v>
          </cell>
          <cell r="Z77">
            <v>498.70000000000005</v>
          </cell>
          <cell r="AA77">
            <v>559.20000000000005</v>
          </cell>
          <cell r="AB77">
            <v>650.72</v>
          </cell>
          <cell r="AC77">
            <v>655.83</v>
          </cell>
          <cell r="AD77">
            <v>530.28</v>
          </cell>
          <cell r="AI77">
            <v>546.29999999999995</v>
          </cell>
          <cell r="AL77">
            <v>112.3</v>
          </cell>
          <cell r="AM77">
            <v>150.6</v>
          </cell>
          <cell r="AN77">
            <v>147.5</v>
          </cell>
          <cell r="AO77">
            <v>135.9</v>
          </cell>
          <cell r="AQ77">
            <v>409.9</v>
          </cell>
          <cell r="AR77">
            <v>119.1</v>
          </cell>
          <cell r="AS77">
            <v>89</v>
          </cell>
          <cell r="AT77">
            <v>98.7</v>
          </cell>
          <cell r="AU77">
            <v>103.1</v>
          </cell>
          <cell r="AW77">
            <v>498.70000000000005</v>
          </cell>
          <cell r="AX77">
            <v>123.1</v>
          </cell>
          <cell r="AY77">
            <v>133.5</v>
          </cell>
          <cell r="AZ77">
            <v>125.8</v>
          </cell>
          <cell r="BA77">
            <v>116.3</v>
          </cell>
          <cell r="BL77">
            <v>530.28</v>
          </cell>
          <cell r="BM77">
            <v>124.47</v>
          </cell>
          <cell r="BN77">
            <v>129.87</v>
          </cell>
          <cell r="BO77">
            <v>135.27000000000001</v>
          </cell>
          <cell r="BP77">
            <v>140.66999999999999</v>
          </cell>
          <cell r="BR77">
            <v>655.83</v>
          </cell>
          <cell r="BS77">
            <v>154.16999999999999</v>
          </cell>
          <cell r="BT77">
            <v>174.42</v>
          </cell>
          <cell r="BU77">
            <v>169.02</v>
          </cell>
          <cell r="BV77">
            <v>158.22</v>
          </cell>
          <cell r="BX77">
            <v>650.72</v>
          </cell>
          <cell r="BY77">
            <v>172.48</v>
          </cell>
          <cell r="BZ77">
            <v>166.88</v>
          </cell>
          <cell r="CA77">
            <v>161.28</v>
          </cell>
          <cell r="CB77">
            <v>150.08000000000001</v>
          </cell>
          <cell r="CD77">
            <v>559.20000000000005</v>
          </cell>
          <cell r="CE77">
            <v>148.80000000000001</v>
          </cell>
          <cell r="CF77">
            <v>142.80000000000001</v>
          </cell>
          <cell r="CG77">
            <v>136.80000000000001</v>
          </cell>
          <cell r="CH77">
            <v>130.80000000000001</v>
          </cell>
          <cell r="DB77">
            <v>434.35039999999998</v>
          </cell>
          <cell r="DC77">
            <v>118.9</v>
          </cell>
          <cell r="DD77">
            <v>112</v>
          </cell>
          <cell r="DE77">
            <v>106.947</v>
          </cell>
          <cell r="DF77">
            <v>96.503399999999999</v>
          </cell>
          <cell r="DH77">
            <v>272.06720000000001</v>
          </cell>
          <cell r="DI77">
            <v>97.953999999999994</v>
          </cell>
          <cell r="DJ77">
            <v>86.713200000000015</v>
          </cell>
          <cell r="DK77">
            <v>44.7</v>
          </cell>
          <cell r="DL77">
            <v>42.7</v>
          </cell>
          <cell r="DN77">
            <v>172.7</v>
          </cell>
          <cell r="DO77">
            <v>34.1</v>
          </cell>
          <cell r="DP77">
            <v>47.3</v>
          </cell>
          <cell r="DQ77">
            <v>47.1</v>
          </cell>
          <cell r="DR77">
            <v>44.2</v>
          </cell>
          <cell r="DT77">
            <v>154.30499999999998</v>
          </cell>
          <cell r="DU77">
            <v>39.433999999999997</v>
          </cell>
          <cell r="DV77">
            <v>46.097999999999999</v>
          </cell>
          <cell r="DW77">
            <v>50.197000000000003</v>
          </cell>
          <cell r="DX77">
            <v>18.576000000000001</v>
          </cell>
          <cell r="DZ77">
            <v>233.27100000000002</v>
          </cell>
          <cell r="EA77">
            <v>47.143000000000001</v>
          </cell>
          <cell r="EB77">
            <v>66.004999999999995</v>
          </cell>
          <cell r="EC77">
            <v>63.387</v>
          </cell>
          <cell r="ED77">
            <v>56.736000000000004</v>
          </cell>
          <cell r="EF77">
            <v>130.667</v>
          </cell>
          <cell r="EG77">
            <v>37.566000000000003</v>
          </cell>
          <cell r="EH77">
            <v>38.631</v>
          </cell>
          <cell r="EI77">
            <v>32.476999999999997</v>
          </cell>
          <cell r="EJ77">
            <v>21.992999999999999</v>
          </cell>
          <cell r="EL77">
            <v>98.680745000000002</v>
          </cell>
          <cell r="EM77">
            <v>28.050249999999998</v>
          </cell>
          <cell r="EN77">
            <v>17.024185000000003</v>
          </cell>
          <cell r="EO77">
            <v>24.23949</v>
          </cell>
          <cell r="EP77">
            <v>29.366820000000004</v>
          </cell>
          <cell r="ER77">
            <v>139.74884909090909</v>
          </cell>
          <cell r="ES77">
            <v>37.609545454545447</v>
          </cell>
          <cell r="ET77">
            <v>33.217363636363636</v>
          </cell>
          <cell r="EU77">
            <v>35.200000000000003</v>
          </cell>
          <cell r="EV77">
            <v>33.721940000000004</v>
          </cell>
          <cell r="EX77">
            <v>137.97699999999998</v>
          </cell>
          <cell r="EY77">
            <v>37.351999999999997</v>
          </cell>
          <cell r="EZ77">
            <v>32.734000000000002</v>
          </cell>
          <cell r="FA77">
            <v>34.095999999999997</v>
          </cell>
          <cell r="FB77">
            <v>33.795000000000002</v>
          </cell>
          <cell r="FD77">
            <v>170.67599999999999</v>
          </cell>
          <cell r="FE77">
            <v>38.463999999999999</v>
          </cell>
          <cell r="FF77">
            <v>41.593000000000004</v>
          </cell>
          <cell r="FG77">
            <v>47.826999999999998</v>
          </cell>
          <cell r="FH77">
            <v>42.792000000000002</v>
          </cell>
          <cell r="FJ77">
            <v>182.62599999999998</v>
          </cell>
          <cell r="FK77">
            <v>47.673999999999999</v>
          </cell>
          <cell r="FL77">
            <v>45.222999999999999</v>
          </cell>
          <cell r="FM77">
            <v>48.555999999999997</v>
          </cell>
          <cell r="FN77">
            <v>41.173000000000002</v>
          </cell>
          <cell r="FP77">
            <v>153.17099999999999</v>
          </cell>
          <cell r="FQ77">
            <v>38.969000000000001</v>
          </cell>
          <cell r="FR77">
            <v>38.851999999999997</v>
          </cell>
          <cell r="FS77">
            <v>38.314</v>
          </cell>
          <cell r="FT77">
            <v>37.036000000000001</v>
          </cell>
        </row>
        <row r="78">
          <cell r="A78" t="str">
            <v>Operating Income</v>
          </cell>
          <cell r="C78">
            <v>19.006</v>
          </cell>
          <cell r="D78">
            <v>30.9</v>
          </cell>
          <cell r="E78">
            <v>28.807300000000001</v>
          </cell>
          <cell r="F78">
            <v>11.76</v>
          </cell>
          <cell r="G78">
            <v>5.1769999999999996</v>
          </cell>
          <cell r="H78">
            <v>23.8626</v>
          </cell>
          <cell r="I78">
            <v>1.1819999999999999</v>
          </cell>
          <cell r="J78">
            <v>19.4634</v>
          </cell>
          <cell r="K78">
            <v>51.791399999999996</v>
          </cell>
          <cell r="L78">
            <v>75.748999999999995</v>
          </cell>
          <cell r="M78">
            <v>96.09</v>
          </cell>
          <cell r="N78">
            <v>59.286000000000001</v>
          </cell>
          <cell r="O78">
            <v>15.759</v>
          </cell>
          <cell r="P78">
            <v>13.636955573985308</v>
          </cell>
          <cell r="Q78">
            <v>-21.338635553560454</v>
          </cell>
          <cell r="R78">
            <v>14.17161433701941</v>
          </cell>
          <cell r="S78">
            <v>104.81071391250001</v>
          </cell>
          <cell r="T78">
            <v>-8.40127162874996</v>
          </cell>
          <cell r="U78">
            <v>4.8928000000000047</v>
          </cell>
          <cell r="V78">
            <v>12.613950000000024</v>
          </cell>
          <cell r="W78">
            <v>40.089200000000012</v>
          </cell>
          <cell r="X78">
            <v>175.20000000000002</v>
          </cell>
          <cell r="Y78">
            <v>-12.9</v>
          </cell>
          <cell r="Z78">
            <v>13.1</v>
          </cell>
          <cell r="AA78">
            <v>61.200000000000045</v>
          </cell>
          <cell r="AB78">
            <v>191.52000000000004</v>
          </cell>
          <cell r="AC78">
            <v>196.82999999999998</v>
          </cell>
          <cell r="AD78">
            <v>57.78</v>
          </cell>
          <cell r="AI78">
            <v>175.20000000000002</v>
          </cell>
          <cell r="AL78">
            <v>37.4</v>
          </cell>
          <cell r="AM78">
            <v>55.6</v>
          </cell>
          <cell r="AN78">
            <v>44.8</v>
          </cell>
          <cell r="AO78">
            <v>37.4</v>
          </cell>
          <cell r="AQ78">
            <v>-12.9</v>
          </cell>
          <cell r="AR78">
            <v>-5.7</v>
          </cell>
          <cell r="AS78">
            <v>-11.1</v>
          </cell>
          <cell r="AT78">
            <v>-8.5</v>
          </cell>
          <cell r="AU78">
            <v>12.4</v>
          </cell>
          <cell r="AW78">
            <v>13.1</v>
          </cell>
          <cell r="AX78">
            <v>10</v>
          </cell>
          <cell r="AY78">
            <v>5.9</v>
          </cell>
          <cell r="AZ78">
            <v>-3.5</v>
          </cell>
          <cell r="BA78">
            <v>0.7</v>
          </cell>
          <cell r="BL78">
            <v>57.78</v>
          </cell>
          <cell r="BM78">
            <v>7.019999999999996</v>
          </cell>
          <cell r="BN78">
            <v>11.070000000000007</v>
          </cell>
          <cell r="BO78">
            <v>16.470000000000013</v>
          </cell>
          <cell r="BP78">
            <v>23.219999999999985</v>
          </cell>
          <cell r="BR78">
            <v>196.82999999999998</v>
          </cell>
          <cell r="BS78">
            <v>39.419999999999987</v>
          </cell>
          <cell r="BT78">
            <v>59.669999999999987</v>
          </cell>
          <cell r="BU78">
            <v>54.27000000000001</v>
          </cell>
          <cell r="BV78">
            <v>43.47</v>
          </cell>
          <cell r="BX78">
            <v>191.52000000000004</v>
          </cell>
          <cell r="BY78">
            <v>57.679999999999993</v>
          </cell>
          <cell r="BZ78">
            <v>52.08</v>
          </cell>
          <cell r="CA78">
            <v>46.480000000000004</v>
          </cell>
          <cell r="CB78">
            <v>35.280000000000015</v>
          </cell>
          <cell r="CD78">
            <v>61.200000000000045</v>
          </cell>
          <cell r="CE78">
            <v>21.300000000000011</v>
          </cell>
          <cell r="CF78">
            <v>15.300000000000011</v>
          </cell>
          <cell r="CG78">
            <v>13.800000000000011</v>
          </cell>
          <cell r="CH78">
            <v>10.800000000000011</v>
          </cell>
          <cell r="DB78">
            <v>40.089200000000012</v>
          </cell>
          <cell r="DC78">
            <v>16.399999999999999</v>
          </cell>
          <cell r="DD78">
            <v>15</v>
          </cell>
          <cell r="DE78">
            <v>12.651900000000012</v>
          </cell>
          <cell r="DF78">
            <v>-3.9626999999999981</v>
          </cell>
          <cell r="DH78">
            <v>12.613950000000024</v>
          </cell>
          <cell r="DI78">
            <v>11.39</v>
          </cell>
          <cell r="DJ78">
            <v>5.7942000000000178</v>
          </cell>
          <cell r="DK78">
            <v>-1.2233999999999909</v>
          </cell>
          <cell r="DL78">
            <v>-3.3468500000000034</v>
          </cell>
          <cell r="DN78">
            <v>4.8928000000000047</v>
          </cell>
          <cell r="DO78">
            <v>3.5687999999999995</v>
          </cell>
          <cell r="DP78">
            <v>4.4549999999999983</v>
          </cell>
          <cell r="DQ78">
            <v>-0.50099999999999767</v>
          </cell>
          <cell r="DR78">
            <v>-2.6299999999999955</v>
          </cell>
          <cell r="DT78">
            <v>-8.40127162874996</v>
          </cell>
          <cell r="DU78">
            <v>-0.8271370468749879</v>
          </cell>
          <cell r="DV78">
            <v>-1.3339900818749868</v>
          </cell>
          <cell r="DW78">
            <v>-8.4909124999999861</v>
          </cell>
          <cell r="DX78">
            <v>2.2507680000000008</v>
          </cell>
          <cell r="DZ78">
            <v>104.81071391250001</v>
          </cell>
          <cell r="EA78">
            <v>22.792664375000005</v>
          </cell>
          <cell r="EB78">
            <v>32.274428125</v>
          </cell>
          <cell r="EC78">
            <v>27.721916412500008</v>
          </cell>
          <cell r="ED78">
            <v>22.021705000000004</v>
          </cell>
          <cell r="EF78">
            <v>14.17161433701941</v>
          </cell>
          <cell r="EG78">
            <v>11.889580000000006</v>
          </cell>
          <cell r="EH78">
            <v>6.407270000000004</v>
          </cell>
          <cell r="EI78">
            <v>-6.0271999999997661E-2</v>
          </cell>
          <cell r="EJ78">
            <v>-4.0649636629806025</v>
          </cell>
          <cell r="EL78">
            <v>-21.338635553560454</v>
          </cell>
          <cell r="EM78">
            <v>-9.188875000000003</v>
          </cell>
          <cell r="EN78">
            <v>-4.4653599999999969</v>
          </cell>
          <cell r="EO78">
            <v>-3.6726500000000009</v>
          </cell>
          <cell r="EP78">
            <v>-4.0117505535604536</v>
          </cell>
          <cell r="ER78">
            <v>13.636955573985308</v>
          </cell>
          <cell r="ES78">
            <v>4.6456323310148733</v>
          </cell>
          <cell r="ET78">
            <v>7.0684400548431547</v>
          </cell>
          <cell r="EU78">
            <v>1.1926804821724417</v>
          </cell>
          <cell r="EV78">
            <v>0.73020270595483794</v>
          </cell>
          <cell r="EX78">
            <v>15.759</v>
          </cell>
          <cell r="EY78">
            <v>4.5999999999999999E-2</v>
          </cell>
          <cell r="EZ78">
            <v>2.4780000000000002</v>
          </cell>
          <cell r="FA78">
            <v>5.5640000000000001</v>
          </cell>
          <cell r="FB78">
            <v>7.6710000000000003</v>
          </cell>
          <cell r="FD78">
            <v>59.286000000000001</v>
          </cell>
          <cell r="FE78">
            <v>10.667999999999999</v>
          </cell>
          <cell r="FF78">
            <v>13.683999999999999</v>
          </cell>
          <cell r="FG78">
            <v>17.347000000000001</v>
          </cell>
          <cell r="FH78">
            <v>17.631</v>
          </cell>
          <cell r="FJ78">
            <v>96.09</v>
          </cell>
          <cell r="FK78">
            <v>24.109000000000002</v>
          </cell>
          <cell r="FL78">
            <v>24.111000000000001</v>
          </cell>
          <cell r="FM78">
            <v>26.355</v>
          </cell>
          <cell r="FN78">
            <v>21.515000000000001</v>
          </cell>
          <cell r="FP78">
            <v>75.748999999999995</v>
          </cell>
          <cell r="FQ78">
            <v>19.504999999999999</v>
          </cell>
          <cell r="FR78">
            <v>19.844000000000001</v>
          </cell>
          <cell r="FS78">
            <v>19.161999999999999</v>
          </cell>
          <cell r="FT78">
            <v>17.238</v>
          </cell>
        </row>
        <row r="79">
          <cell r="A79" t="str">
            <v xml:space="preserve">  (% of sales)</v>
          </cell>
          <cell r="C79">
            <v>0.221</v>
          </cell>
          <cell r="D79">
            <v>0.3</v>
          </cell>
          <cell r="E79">
            <v>0.27100000000000002</v>
          </cell>
          <cell r="F79">
            <v>0.12</v>
          </cell>
          <cell r="G79">
            <v>6.2E-2</v>
          </cell>
          <cell r="H79">
            <v>0.24299999999999999</v>
          </cell>
          <cell r="I79">
            <v>1.4999999999999999E-2</v>
          </cell>
          <cell r="J79">
            <v>0.19800000000000001</v>
          </cell>
          <cell r="K79">
            <v>0.41399999999999998</v>
          </cell>
          <cell r="L79">
            <v>0.49453878345117547</v>
          </cell>
          <cell r="M79">
            <v>0.52615728319078348</v>
          </cell>
          <cell r="N79">
            <v>0.34735991000492161</v>
          </cell>
          <cell r="O79">
            <v>0.11421468795523894</v>
          </cell>
          <cell r="P79">
            <v>9.7581881086650155E-2</v>
          </cell>
          <cell r="Q79">
            <v>-0.21623910068332433</v>
          </cell>
          <cell r="R79">
            <v>0.10845595549771105</v>
          </cell>
          <cell r="S79">
            <v>0.4493088035482336</v>
          </cell>
          <cell r="T79">
            <v>-5.4445880747545194E-2</v>
          </cell>
          <cell r="U79">
            <v>2.8331210191082833E-2</v>
          </cell>
          <cell r="V79">
            <v>4.6363361698874485E-2</v>
          </cell>
          <cell r="W79">
            <v>9.2296910512802602E-2</v>
          </cell>
          <cell r="X79">
            <v>0.3207029104887425</v>
          </cell>
          <cell r="Y79">
            <v>-3.1471090509880464E-2</v>
          </cell>
          <cell r="Z79">
            <v>2.6268297573691594E-2</v>
          </cell>
          <cell r="AA79">
            <v>0.10944206008583698</v>
          </cell>
          <cell r="AB79">
            <v>0.29432013769363169</v>
          </cell>
          <cell r="AC79">
            <v>0.30012350761630296</v>
          </cell>
          <cell r="AD79">
            <v>0.1089613034623218</v>
          </cell>
          <cell r="AI79">
            <v>0.3207029104887425</v>
          </cell>
          <cell r="AL79">
            <v>0.33303650934995549</v>
          </cell>
          <cell r="AM79">
            <v>0.36918990703851262</v>
          </cell>
          <cell r="AN79">
            <v>0.30372881355932202</v>
          </cell>
          <cell r="AO79">
            <v>0.27520235467255333</v>
          </cell>
          <cell r="AQ79">
            <v>-3.1471090509880464E-2</v>
          </cell>
          <cell r="AR79">
            <v>-4.785894206549119E-2</v>
          </cell>
          <cell r="AS79">
            <v>-0.12471910112359551</v>
          </cell>
          <cell r="AT79">
            <v>-8.6119554204660581E-2</v>
          </cell>
          <cell r="AU79">
            <v>0.12027158098933076</v>
          </cell>
          <cell r="AW79">
            <v>2.6268297573691594E-2</v>
          </cell>
          <cell r="AX79">
            <v>8.1234768480909839E-2</v>
          </cell>
          <cell r="AY79">
            <v>4.4194756554307116E-2</v>
          </cell>
          <cell r="AZ79">
            <v>-2.7821939586645469E-2</v>
          </cell>
          <cell r="BA79">
            <v>6.0189165950128975E-3</v>
          </cell>
          <cell r="BL79">
            <v>0.1089613034623218</v>
          </cell>
          <cell r="BM79">
            <v>5.6399132321041184E-2</v>
          </cell>
          <cell r="BN79">
            <v>8.5239085239085299E-2</v>
          </cell>
          <cell r="BO79">
            <v>0.12175648702594818</v>
          </cell>
          <cell r="BP79">
            <v>0.165067178502879</v>
          </cell>
          <cell r="BR79">
            <v>0.30012350761630296</v>
          </cell>
          <cell r="BS79">
            <v>0.25569176882661993</v>
          </cell>
          <cell r="BT79">
            <v>0.34210526315789469</v>
          </cell>
          <cell r="BU79">
            <v>0.32108626198083073</v>
          </cell>
          <cell r="BV79">
            <v>0.27474402730375425</v>
          </cell>
          <cell r="BX79">
            <v>0.29432013769363169</v>
          </cell>
          <cell r="BY79">
            <v>0.33441558441558439</v>
          </cell>
          <cell r="BZ79">
            <v>0.31208053691275167</v>
          </cell>
          <cell r="CA79">
            <v>0.28819444444444448</v>
          </cell>
          <cell r="CB79">
            <v>0.23507462686567174</v>
          </cell>
          <cell r="CD79">
            <v>0.10944206008583698</v>
          </cell>
          <cell r="CE79">
            <v>0.14314516129032265</v>
          </cell>
          <cell r="CF79">
            <v>0.10714285714285722</v>
          </cell>
          <cell r="CG79">
            <v>0.10087719298245622</v>
          </cell>
          <cell r="CH79">
            <v>8.2568807339449615E-2</v>
          </cell>
          <cell r="DB79">
            <v>9.2296910512802602E-2</v>
          </cell>
          <cell r="DC79">
            <v>0.13793103448275859</v>
          </cell>
          <cell r="DD79">
            <v>0.13392857142857142</v>
          </cell>
          <cell r="DE79">
            <v>0.11830065359477135</v>
          </cell>
          <cell r="DF79">
            <v>-4.1062801932367131E-2</v>
          </cell>
          <cell r="DH79">
            <v>4.6363361698874485E-2</v>
          </cell>
          <cell r="DI79">
            <v>0.11627906976744187</v>
          </cell>
          <cell r="DJ79">
            <v>6.6820276497696049E-2</v>
          </cell>
          <cell r="DK79">
            <v>-2.7369127516778318E-2</v>
          </cell>
          <cell r="DL79">
            <v>-7.8380562060890002E-2</v>
          </cell>
          <cell r="DN79">
            <v>2.8331210191082833E-2</v>
          </cell>
          <cell r="DO79">
            <v>0.10465689149560116</v>
          </cell>
          <cell r="DP79">
            <v>9.4186046511627874E-2</v>
          </cell>
          <cell r="DQ79">
            <v>-1.0636942675159185E-2</v>
          </cell>
          <cell r="DR79">
            <v>-5.9502262443438807E-2</v>
          </cell>
          <cell r="DT79">
            <v>-5.4445880747545194E-2</v>
          </cell>
          <cell r="DU79">
            <v>-2.0975225614317288E-2</v>
          </cell>
          <cell r="DV79">
            <v>-2.8938133582259249E-2</v>
          </cell>
          <cell r="DW79">
            <v>-0.16915179193975707</v>
          </cell>
          <cell r="DX79">
            <v>0.12116537467700263</v>
          </cell>
          <cell r="DZ79">
            <v>0.4493088035482336</v>
          </cell>
          <cell r="EA79">
            <v>0.48347929438092618</v>
          </cell>
          <cell r="EB79">
            <v>0.4889694436027574</v>
          </cell>
          <cell r="EC79">
            <v>0.43734387827945803</v>
          </cell>
          <cell r="ED79">
            <v>0.38814341864072199</v>
          </cell>
          <cell r="EF79">
            <v>0.10845595549771105</v>
          </cell>
          <cell r="EG79">
            <v>0.31649842943086848</v>
          </cell>
          <cell r="EH79">
            <v>0.16585824855685857</v>
          </cell>
          <cell r="EI79">
            <v>-1.8558364380945797E-3</v>
          </cell>
          <cell r="EJ79">
            <v>-0.18482988509892251</v>
          </cell>
          <cell r="EL79">
            <v>-0.21623910068332433</v>
          </cell>
          <cell r="EM79">
            <v>-0.32758620689655182</v>
          </cell>
          <cell r="EN79">
            <v>-0.26229508196721291</v>
          </cell>
          <cell r="EO79">
            <v>-0.15151515151515155</v>
          </cell>
          <cell r="EP79">
            <v>-0.13660827265466444</v>
          </cell>
          <cell r="ER79">
            <v>9.7581881086650155E-2</v>
          </cell>
          <cell r="ES79">
            <v>0.12352269283949581</v>
          </cell>
          <cell r="ET79">
            <v>0.21279352967991741</v>
          </cell>
          <cell r="EU79">
            <v>3.3882968243535275E-2</v>
          </cell>
          <cell r="EV79">
            <v>2.165363872763067E-2</v>
          </cell>
          <cell r="EX79">
            <v>0.11421468795523894</v>
          </cell>
          <cell r="EY79">
            <v>1.2315270935960591E-3</v>
          </cell>
          <cell r="EZ79">
            <v>7.5701105883790559E-2</v>
          </cell>
          <cell r="FA79">
            <v>0.16318629751290475</v>
          </cell>
          <cell r="FB79">
            <v>0.22698624056813138</v>
          </cell>
          <cell r="FD79">
            <v>0.34735991000492161</v>
          </cell>
          <cell r="FE79">
            <v>0.2773502495840266</v>
          </cell>
          <cell r="FF79">
            <v>0.32899766787680612</v>
          </cell>
          <cell r="FG79">
            <v>0.36270307566855547</v>
          </cell>
          <cell r="FH79">
            <v>0.41201626472237801</v>
          </cell>
          <cell r="FJ79">
            <v>0.52615728319078348</v>
          </cell>
          <cell r="FK79">
            <v>0.50570541594999374</v>
          </cell>
          <cell r="FL79">
            <v>0.53315790637507465</v>
          </cell>
          <cell r="FM79">
            <v>0.54277535217068951</v>
          </cell>
          <cell r="FN79">
            <v>0.52255118645714427</v>
          </cell>
          <cell r="FP79">
            <v>0.49453878345117547</v>
          </cell>
          <cell r="FQ79">
            <v>0.50052605917524184</v>
          </cell>
          <cell r="FR79">
            <v>0.51075877689694227</v>
          </cell>
          <cell r="FS79">
            <v>0.50013050060030273</v>
          </cell>
          <cell r="FT79">
            <v>0.46543903229290418</v>
          </cell>
        </row>
        <row r="80">
          <cell r="A80" t="str">
            <v xml:space="preserve">  Y/Y % Change </v>
          </cell>
          <cell r="D80">
            <v>0.62580237819635887</v>
          </cell>
          <cell r="E80">
            <v>-6.7724919093851033E-2</v>
          </cell>
          <cell r="F80">
            <v>-0.59177014159605379</v>
          </cell>
          <cell r="G80">
            <v>-0.55977891156462589</v>
          </cell>
          <cell r="H80">
            <v>3.6093490438477884</v>
          </cell>
          <cell r="I80">
            <v>-0.95046642025596539</v>
          </cell>
          <cell r="J80">
            <v>15.466497461928935</v>
          </cell>
          <cell r="K80">
            <v>1.6609636548598905</v>
          </cell>
          <cell r="L80">
            <v>0.46257872928710175</v>
          </cell>
          <cell r="M80">
            <v>0.26853159777686847</v>
          </cell>
          <cell r="N80">
            <v>-0.38301592257258821</v>
          </cell>
          <cell r="O80">
            <v>-0.73418682319603279</v>
          </cell>
          <cell r="P80">
            <v>-0.13465603312486152</v>
          </cell>
          <cell r="Q80">
            <v>-2.5647653494059437</v>
          </cell>
          <cell r="R80">
            <v>-1.6641293582923022</v>
          </cell>
          <cell r="S80">
            <v>6.3958203645657434</v>
          </cell>
          <cell r="T80">
            <v>-1.0801566110480239</v>
          </cell>
          <cell r="U80">
            <v>-1.5823880260288661</v>
          </cell>
          <cell r="V80">
            <v>1.5780636854153065</v>
          </cell>
          <cell r="W80">
            <v>2.1781638582680234</v>
          </cell>
          <cell r="X80">
            <v>3.3702543328377712</v>
          </cell>
          <cell r="Y80">
            <v>-1.0736301369863015</v>
          </cell>
          <cell r="Z80">
            <v>2.0155038759689923</v>
          </cell>
          <cell r="AA80">
            <v>3.671755725190843</v>
          </cell>
          <cell r="AB80">
            <v>2.1294117647058806</v>
          </cell>
          <cell r="AC80">
            <v>2.7725563909774147E-2</v>
          </cell>
          <cell r="AD80">
            <v>-0.70644718792866934</v>
          </cell>
          <cell r="AI80">
            <v>3.3702543328377712</v>
          </cell>
          <cell r="AL80">
            <v>1.2804878048780488</v>
          </cell>
          <cell r="AM80">
            <v>2.7066666666666666</v>
          </cell>
          <cell r="AN80">
            <v>2.5409701309684678</v>
          </cell>
          <cell r="AO80">
            <v>10.438009438009443</v>
          </cell>
          <cell r="AQ80">
            <v>-1.0736301369863015</v>
          </cell>
          <cell r="AR80">
            <v>-1.1524064171122996</v>
          </cell>
          <cell r="AS80">
            <v>-1.1996402877697843</v>
          </cell>
          <cell r="AT80">
            <v>-1.1897321428571428</v>
          </cell>
          <cell r="AU80">
            <v>-0.66844919786096257</v>
          </cell>
          <cell r="AW80">
            <v>2.0155038759689923</v>
          </cell>
          <cell r="AX80">
            <v>2.7543859649122804</v>
          </cell>
          <cell r="AY80">
            <v>1.5315315315315317</v>
          </cell>
          <cell r="AZ80">
            <v>0.58823529411764708</v>
          </cell>
          <cell r="BA80">
            <v>-0.94354838709677424</v>
          </cell>
          <cell r="BL80">
            <v>-0.70644718792866934</v>
          </cell>
          <cell r="BM80">
            <v>-0.82191780821917815</v>
          </cell>
          <cell r="BN80">
            <v>-0.81447963800904966</v>
          </cell>
          <cell r="BO80">
            <v>-0.69651741293532321</v>
          </cell>
          <cell r="BP80">
            <v>-0.46583850931677051</v>
          </cell>
          <cell r="BR80">
            <v>2.7725563909774147E-2</v>
          </cell>
          <cell r="BS80">
            <v>-0.31657420249653273</v>
          </cell>
          <cell r="BT80">
            <v>0.14573732718893989</v>
          </cell>
          <cell r="BU80">
            <v>0.16759896729776261</v>
          </cell>
          <cell r="BV80">
            <v>0.23214285714285657</v>
          </cell>
          <cell r="BX80">
            <v>2.1294117647058806</v>
          </cell>
          <cell r="BY80">
            <v>1.7079812206572753</v>
          </cell>
          <cell r="BZ80">
            <v>2.4039215686274482</v>
          </cell>
          <cell r="CA80">
            <v>2.3681159420289832</v>
          </cell>
          <cell r="CB80">
            <v>2.2666666666666648</v>
          </cell>
          <cell r="CD80">
            <v>3.671755725190843</v>
          </cell>
          <cell r="CE80">
            <v>1.1300000000000012</v>
          </cell>
          <cell r="CF80">
            <v>1.5932203389830526</v>
          </cell>
          <cell r="CG80">
            <v>4.9428571428571457</v>
          </cell>
          <cell r="CH80">
            <v>14.428571428571447</v>
          </cell>
          <cell r="DB80">
            <v>2.1781638582680234</v>
          </cell>
          <cell r="DC80">
            <v>0.43985952589991201</v>
          </cell>
          <cell r="DD80">
            <v>1.5887956922439601</v>
          </cell>
          <cell r="DE80">
            <v>11.341589014222745</v>
          </cell>
          <cell r="DF80">
            <v>-0.18400884413702259</v>
          </cell>
          <cell r="DH80">
            <v>1.5780636854153065</v>
          </cell>
          <cell r="DI80">
            <v>2.1915489800493169</v>
          </cell>
          <cell r="DJ80">
            <v>0.3006060606060651</v>
          </cell>
          <cell r="DK80">
            <v>-1.4419161676646639</v>
          </cell>
          <cell r="DL80">
            <v>-0.27256653992395785</v>
          </cell>
          <cell r="DN80">
            <v>1.5823880260288659</v>
          </cell>
          <cell r="DO80">
            <v>5.3146417071793692</v>
          </cell>
          <cell r="DP80">
            <v>4.339605039445483</v>
          </cell>
          <cell r="DQ80">
            <v>0.94099574103490069</v>
          </cell>
          <cell r="DR80">
            <v>-2.1684900442871031</v>
          </cell>
          <cell r="DT80">
            <v>-1.0801566110480236</v>
          </cell>
          <cell r="DU80">
            <v>-1.0362896163987843</v>
          </cell>
          <cell r="DV80">
            <v>-1.041332725608906</v>
          </cell>
          <cell r="DW80">
            <v>-1.3062887995784942</v>
          </cell>
          <cell r="DX80">
            <v>-0.89779319993615392</v>
          </cell>
          <cell r="DZ80">
            <v>6.3958203645657434</v>
          </cell>
          <cell r="EA80">
            <v>0.91702855567648256</v>
          </cell>
          <cell r="EB80">
            <v>4.0371574984353682</v>
          </cell>
          <cell r="EC80" t="str">
            <v>NA</v>
          </cell>
          <cell r="ED80">
            <v>6.417442030429557</v>
          </cell>
          <cell r="EF80">
            <v>1.6641293582923022</v>
          </cell>
          <cell r="EG80">
            <v>2.2939102991389047</v>
          </cell>
          <cell r="EH80">
            <v>2.4348831897092302</v>
          </cell>
          <cell r="EI80">
            <v>0.98358896164894627</v>
          </cell>
          <cell r="EJ80">
            <v>-1.3264311604050737E-2</v>
          </cell>
          <cell r="EL80">
            <v>-2.5647653494059437</v>
          </cell>
          <cell r="EM80">
            <v>-2.9779600160464321</v>
          </cell>
          <cell r="EN80">
            <v>-1.6317320321533209</v>
          </cell>
          <cell r="EO80">
            <v>-4.0793243076388306</v>
          </cell>
          <cell r="EP80">
            <v>-6.4940231265160158</v>
          </cell>
          <cell r="ER80">
            <v>-0.13465603312486152</v>
          </cell>
          <cell r="ES80" t="str">
            <v>NA</v>
          </cell>
          <cell r="ET80">
            <v>1.8524778268132183</v>
          </cell>
          <cell r="EU80">
            <v>-0.7856433353392448</v>
          </cell>
          <cell r="EV80">
            <v>-0.90480997184788969</v>
          </cell>
          <cell r="EX80">
            <v>-0.73418682319603279</v>
          </cell>
          <cell r="EY80">
            <v>-0.9956880389951257</v>
          </cell>
          <cell r="EZ80">
            <v>-0.81891259865536392</v>
          </cell>
          <cell r="FA80">
            <v>-0.67925289675448208</v>
          </cell>
          <cell r="FB80">
            <v>-0.56491407180534292</v>
          </cell>
          <cell r="FD80">
            <v>-0.38301592257258821</v>
          </cell>
          <cell r="FE80">
            <v>-0.55750964370152234</v>
          </cell>
          <cell r="FF80">
            <v>-0.43245821409315255</v>
          </cell>
          <cell r="FG80">
            <v>-0.34179472585847082</v>
          </cell>
          <cell r="FH80">
            <v>-0.18052521496630258</v>
          </cell>
          <cell r="FJ80">
            <v>0.26853159777686847</v>
          </cell>
          <cell r="FK80">
            <v>0.23604204050243544</v>
          </cell>
          <cell r="FL80">
            <v>0.2150272122555936</v>
          </cell>
          <cell r="FM80">
            <v>0.37537835299029337</v>
          </cell>
          <cell r="FN80">
            <v>0.24811463046757171</v>
          </cell>
          <cell r="FP80">
            <v>0.46257872928710175</v>
          </cell>
        </row>
        <row r="81">
          <cell r="A81" t="str">
            <v>Production</v>
          </cell>
          <cell r="X81">
            <v>0</v>
          </cell>
          <cell r="Y81">
            <v>0</v>
          </cell>
          <cell r="Z81">
            <v>0</v>
          </cell>
          <cell r="AA81">
            <v>0</v>
          </cell>
          <cell r="AB81">
            <v>0</v>
          </cell>
          <cell r="AC81">
            <v>0</v>
          </cell>
          <cell r="AD81">
            <v>0</v>
          </cell>
        </row>
        <row r="82">
          <cell r="A82" t="str">
            <v xml:space="preserve">  (000 short tons)</v>
          </cell>
          <cell r="C82">
            <v>253</v>
          </cell>
          <cell r="D82">
            <v>237</v>
          </cell>
          <cell r="E82">
            <v>253</v>
          </cell>
          <cell r="F82">
            <v>244</v>
          </cell>
          <cell r="G82">
            <v>245</v>
          </cell>
          <cell r="H82">
            <v>244</v>
          </cell>
          <cell r="I82">
            <v>234</v>
          </cell>
          <cell r="J82">
            <v>259</v>
          </cell>
          <cell r="K82">
            <v>256.51499999999999</v>
          </cell>
          <cell r="L82">
            <v>251.13200000000001</v>
          </cell>
          <cell r="M82">
            <v>267.20100000000002</v>
          </cell>
          <cell r="N82">
            <v>351</v>
          </cell>
          <cell r="O82">
            <v>329.69600000000003</v>
          </cell>
          <cell r="P82">
            <v>339.23700000000002</v>
          </cell>
          <cell r="Q82">
            <v>299.03700000000003</v>
          </cell>
          <cell r="R82">
            <v>311.78100000000001</v>
          </cell>
          <cell r="S82">
            <v>363.99300000000005</v>
          </cell>
          <cell r="T82">
            <v>383.79599999999999</v>
          </cell>
          <cell r="U82">
            <v>411.59999999999997</v>
          </cell>
          <cell r="V82">
            <v>415.71599999999995</v>
          </cell>
          <cell r="W82">
            <v>419.87315999999993</v>
          </cell>
          <cell r="X82">
            <v>898.4</v>
          </cell>
          <cell r="Y82">
            <v>898.4</v>
          </cell>
          <cell r="Z82">
            <v>898.4</v>
          </cell>
          <cell r="AA82">
            <v>898.4</v>
          </cell>
          <cell r="AB82">
            <v>898.4</v>
          </cell>
          <cell r="AC82">
            <v>898.4</v>
          </cell>
          <cell r="AD82">
            <v>898.4</v>
          </cell>
          <cell r="AI82">
            <v>898.4</v>
          </cell>
          <cell r="AL82">
            <v>224.6</v>
          </cell>
          <cell r="AM82">
            <v>224.6</v>
          </cell>
          <cell r="AN82">
            <v>224.6</v>
          </cell>
          <cell r="AO82">
            <v>224.6</v>
          </cell>
          <cell r="AQ82">
            <v>898.4</v>
          </cell>
          <cell r="AR82">
            <v>224.6</v>
          </cell>
          <cell r="AS82">
            <v>224.6</v>
          </cell>
          <cell r="AT82">
            <v>224.6</v>
          </cell>
          <cell r="AU82">
            <v>224.6</v>
          </cell>
          <cell r="AW82">
            <v>898.4</v>
          </cell>
          <cell r="AX82">
            <v>224.6</v>
          </cell>
          <cell r="AY82">
            <v>224.6</v>
          </cell>
          <cell r="AZ82">
            <v>224.6</v>
          </cell>
          <cell r="BA82">
            <v>224.6</v>
          </cell>
          <cell r="BL82">
            <v>898.4</v>
          </cell>
          <cell r="BM82">
            <v>224.6</v>
          </cell>
          <cell r="BN82">
            <v>224.6</v>
          </cell>
          <cell r="BO82">
            <v>224.6</v>
          </cell>
          <cell r="BP82">
            <v>224.6</v>
          </cell>
          <cell r="BR82">
            <v>898.4</v>
          </cell>
          <cell r="BS82">
            <v>224.6</v>
          </cell>
          <cell r="BT82">
            <v>224.6</v>
          </cell>
          <cell r="BU82">
            <v>224.6</v>
          </cell>
          <cell r="BV82">
            <v>224.6</v>
          </cell>
          <cell r="BX82">
            <v>898.4</v>
          </cell>
          <cell r="BY82">
            <v>224.6</v>
          </cell>
          <cell r="BZ82">
            <v>224.6</v>
          </cell>
          <cell r="CA82">
            <v>224.6</v>
          </cell>
          <cell r="CB82">
            <v>224.6</v>
          </cell>
          <cell r="CD82">
            <v>898.4</v>
          </cell>
          <cell r="CE82">
            <v>224.6</v>
          </cell>
          <cell r="CF82">
            <v>224.6</v>
          </cell>
          <cell r="CG82">
            <v>224.6</v>
          </cell>
          <cell r="CH82">
            <v>224.6</v>
          </cell>
          <cell r="DB82">
            <v>921.1</v>
          </cell>
          <cell r="DC82">
            <v>224.6</v>
          </cell>
          <cell r="DD82">
            <v>230.4</v>
          </cell>
          <cell r="DE82">
            <v>233</v>
          </cell>
          <cell r="DF82">
            <v>233.1</v>
          </cell>
          <cell r="DH82">
            <v>651.1</v>
          </cell>
          <cell r="DI82">
            <v>227.8</v>
          </cell>
          <cell r="DJ82">
            <v>199.8</v>
          </cell>
          <cell r="DK82">
            <v>111.6</v>
          </cell>
          <cell r="DL82">
            <v>111.9</v>
          </cell>
          <cell r="DN82">
            <v>411.59999999999997</v>
          </cell>
          <cell r="DO82">
            <v>103.1</v>
          </cell>
          <cell r="DP82">
            <v>103.1</v>
          </cell>
          <cell r="DQ82">
            <v>104.6</v>
          </cell>
          <cell r="DR82">
            <v>100.8</v>
          </cell>
          <cell r="DT82">
            <v>383.79599999999999</v>
          </cell>
          <cell r="DU82">
            <v>91.796000000000006</v>
          </cell>
          <cell r="DV82">
            <v>100</v>
          </cell>
          <cell r="DW82">
            <v>96</v>
          </cell>
          <cell r="DX82">
            <v>96</v>
          </cell>
          <cell r="DZ82">
            <v>363.99300000000005</v>
          </cell>
          <cell r="EA82">
            <v>96</v>
          </cell>
          <cell r="EB82">
            <v>89.331000000000003</v>
          </cell>
          <cell r="EC82">
            <v>89.331000000000003</v>
          </cell>
          <cell r="ED82">
            <v>89.331000000000003</v>
          </cell>
          <cell r="EF82">
            <v>311.78100000000001</v>
          </cell>
          <cell r="EG82">
            <v>77.620999999999995</v>
          </cell>
          <cell r="EH82">
            <v>84.081000000000003</v>
          </cell>
          <cell r="EI82">
            <v>75.599999999999994</v>
          </cell>
          <cell r="EJ82">
            <v>74.478999999999999</v>
          </cell>
          <cell r="EL82">
            <v>299.03700000000003</v>
          </cell>
          <cell r="EM82">
            <v>66.188000000000002</v>
          </cell>
          <cell r="EN82">
            <v>75.492000000000004</v>
          </cell>
          <cell r="EO82">
            <v>76.444000000000003</v>
          </cell>
          <cell r="EP82">
            <v>80.912999999999997</v>
          </cell>
          <cell r="ER82">
            <v>339.23700000000002</v>
          </cell>
          <cell r="ES82">
            <v>77.415000000000006</v>
          </cell>
          <cell r="ET82">
            <v>86.885000000000005</v>
          </cell>
          <cell r="EU82">
            <v>88</v>
          </cell>
          <cell r="EV82">
            <v>86.936999999999998</v>
          </cell>
          <cell r="EX82">
            <v>329.69600000000003</v>
          </cell>
          <cell r="EY82">
            <v>89.173000000000002</v>
          </cell>
          <cell r="EZ82">
            <v>83.924999999999997</v>
          </cell>
          <cell r="FA82">
            <v>82.798000000000002</v>
          </cell>
          <cell r="FB82">
            <v>73.8</v>
          </cell>
          <cell r="FD82">
            <v>351</v>
          </cell>
          <cell r="FE82">
            <v>72.094999999999999</v>
          </cell>
          <cell r="FF82">
            <v>78.185000000000002</v>
          </cell>
          <cell r="FG82">
            <v>85</v>
          </cell>
          <cell r="FH82">
            <v>71.313000000000002</v>
          </cell>
          <cell r="FJ82">
            <v>267.20100000000002</v>
          </cell>
          <cell r="FK82">
            <v>67.649000000000001</v>
          </cell>
          <cell r="FL82">
            <v>64.367000000000004</v>
          </cell>
          <cell r="FM82">
            <v>67.418999999999997</v>
          </cell>
          <cell r="FN82">
            <v>67.766000000000005</v>
          </cell>
          <cell r="FP82">
            <v>251.13200000000001</v>
          </cell>
          <cell r="FQ82">
            <v>63.06</v>
          </cell>
          <cell r="FR82">
            <v>57.889000000000003</v>
          </cell>
          <cell r="FS82">
            <v>64.488</v>
          </cell>
          <cell r="FT82">
            <v>65.694999999999993</v>
          </cell>
        </row>
        <row r="83">
          <cell r="A83" t="str">
            <v>Shipments</v>
          </cell>
          <cell r="FH83" t="str">
            <v>(a)</v>
          </cell>
        </row>
        <row r="84">
          <cell r="A84" t="str">
            <v xml:space="preserve">  (000 metric tons)</v>
          </cell>
          <cell r="C84">
            <v>253</v>
          </cell>
          <cell r="D84">
            <v>237</v>
          </cell>
          <cell r="E84">
            <v>253</v>
          </cell>
          <cell r="F84">
            <v>244</v>
          </cell>
          <cell r="G84">
            <v>245</v>
          </cell>
          <cell r="H84">
            <v>244</v>
          </cell>
          <cell r="I84">
            <v>242.09800000000001</v>
          </cell>
          <cell r="J84">
            <v>260.29500000000002</v>
          </cell>
          <cell r="K84">
            <v>252.96</v>
          </cell>
          <cell r="L84">
            <v>250.38000000000002</v>
          </cell>
          <cell r="M84">
            <v>261.39999999999998</v>
          </cell>
          <cell r="N84">
            <v>299.661</v>
          </cell>
          <cell r="O84">
            <v>316.64600000000002</v>
          </cell>
          <cell r="P84">
            <v>326.33699999999999</v>
          </cell>
          <cell r="Q84">
            <v>312.36799999999999</v>
          </cell>
          <cell r="R84">
            <v>299.71100000000001</v>
          </cell>
          <cell r="S84">
            <v>325.17500000000001</v>
          </cell>
          <cell r="T84">
            <v>386.25800000000004</v>
          </cell>
          <cell r="U84">
            <v>407.29999999999995</v>
          </cell>
          <cell r="V84">
            <v>651.1</v>
          </cell>
          <cell r="W84">
            <v>921.1</v>
          </cell>
          <cell r="X84">
            <v>893</v>
          </cell>
          <cell r="Y84">
            <v>908.3</v>
          </cell>
          <cell r="Z84">
            <v>1143.3999999999999</v>
          </cell>
          <cell r="AA84">
            <v>1200</v>
          </cell>
          <cell r="AB84">
            <v>1120</v>
          </cell>
          <cell r="AC84">
            <v>1080</v>
          </cell>
          <cell r="AD84">
            <v>1080</v>
          </cell>
          <cell r="AI84">
            <v>893</v>
          </cell>
          <cell r="AL84">
            <v>178.8</v>
          </cell>
          <cell r="AM84">
            <v>237</v>
          </cell>
          <cell r="AN84">
            <v>240.9</v>
          </cell>
          <cell r="AO84">
            <v>236.3</v>
          </cell>
          <cell r="AQ84">
            <v>908.3</v>
          </cell>
          <cell r="AR84">
            <v>267.7</v>
          </cell>
          <cell r="AS84">
            <v>220.6</v>
          </cell>
          <cell r="AT84">
            <v>232.3</v>
          </cell>
          <cell r="AU84">
            <v>187.7</v>
          </cell>
          <cell r="AW84">
            <v>1143.3999999999999</v>
          </cell>
          <cell r="AX84">
            <v>282.39999999999998</v>
          </cell>
          <cell r="AY84">
            <v>293</v>
          </cell>
          <cell r="AZ84">
            <v>293.7</v>
          </cell>
          <cell r="BA84">
            <v>274.3</v>
          </cell>
          <cell r="BL84">
            <v>1080</v>
          </cell>
          <cell r="BM84">
            <v>270</v>
          </cell>
          <cell r="BN84">
            <v>270</v>
          </cell>
          <cell r="BO84">
            <v>270</v>
          </cell>
          <cell r="BP84">
            <v>270</v>
          </cell>
          <cell r="BR84">
            <v>1080</v>
          </cell>
          <cell r="BS84">
            <v>270</v>
          </cell>
          <cell r="BT84">
            <v>270</v>
          </cell>
          <cell r="BU84">
            <v>270</v>
          </cell>
          <cell r="BV84">
            <v>270</v>
          </cell>
          <cell r="BX84">
            <v>1120</v>
          </cell>
          <cell r="BY84">
            <v>280</v>
          </cell>
          <cell r="BZ84">
            <v>280</v>
          </cell>
          <cell r="CA84">
            <v>280</v>
          </cell>
          <cell r="CB84">
            <v>280</v>
          </cell>
          <cell r="CD84">
            <v>1200</v>
          </cell>
          <cell r="CE84">
            <v>300</v>
          </cell>
          <cell r="CF84">
            <v>300</v>
          </cell>
          <cell r="CG84">
            <v>300</v>
          </cell>
          <cell r="CH84">
            <v>300</v>
          </cell>
          <cell r="DB84">
            <v>921.1</v>
          </cell>
          <cell r="DC84">
            <v>224.6</v>
          </cell>
          <cell r="DD84">
            <v>230.4</v>
          </cell>
          <cell r="DE84">
            <v>233</v>
          </cell>
          <cell r="DF84">
            <v>233.1</v>
          </cell>
          <cell r="DH84">
            <v>651.1</v>
          </cell>
          <cell r="DI84">
            <v>227.8</v>
          </cell>
          <cell r="DJ84">
            <v>199.8</v>
          </cell>
          <cell r="DK84">
            <v>111.6</v>
          </cell>
          <cell r="DL84">
            <v>111.9</v>
          </cell>
          <cell r="DN84">
            <v>407.29999999999995</v>
          </cell>
          <cell r="DO84">
            <v>75.2</v>
          </cell>
          <cell r="DP84">
            <v>104.5</v>
          </cell>
          <cell r="DQ84">
            <v>116.1</v>
          </cell>
          <cell r="DR84">
            <v>111.5</v>
          </cell>
          <cell r="DT84">
            <v>386.25800000000004</v>
          </cell>
          <cell r="DU84">
            <v>92.724999999999994</v>
          </cell>
          <cell r="DV84">
            <v>113.149</v>
          </cell>
          <cell r="DW84">
            <v>140</v>
          </cell>
          <cell r="DX84">
            <v>40.384</v>
          </cell>
          <cell r="DZ84">
            <v>325.17500000000001</v>
          </cell>
          <cell r="EA84">
            <v>60.2</v>
          </cell>
          <cell r="EB84">
            <v>85.474999999999994</v>
          </cell>
          <cell r="EC84">
            <v>89.332999999999998</v>
          </cell>
          <cell r="ED84">
            <v>90.167000000000002</v>
          </cell>
          <cell r="EF84">
            <v>299.71100000000001</v>
          </cell>
          <cell r="EG84">
            <v>66.691999999999993</v>
          </cell>
          <cell r="EH84">
            <v>83.697999999999993</v>
          </cell>
          <cell r="EI84">
            <v>83.536000000000001</v>
          </cell>
          <cell r="EJ84">
            <v>65.784999999999997</v>
          </cell>
          <cell r="EL84">
            <v>312.36799999999999</v>
          </cell>
          <cell r="EM84">
            <v>96.724999999999994</v>
          </cell>
          <cell r="EN84">
            <v>55.817</v>
          </cell>
          <cell r="EO84">
            <v>73.453000000000003</v>
          </cell>
          <cell r="EP84">
            <v>86.373000000000005</v>
          </cell>
          <cell r="ER84">
            <v>326.33699999999999</v>
          </cell>
          <cell r="ES84">
            <v>85.3</v>
          </cell>
          <cell r="ET84">
            <v>67.665000000000006</v>
          </cell>
          <cell r="EU84">
            <v>88</v>
          </cell>
          <cell r="EV84">
            <v>85.372</v>
          </cell>
          <cell r="EX84">
            <v>316.64600000000002</v>
          </cell>
          <cell r="EY84">
            <v>96.784000000000006</v>
          </cell>
          <cell r="EZ84">
            <v>80.488</v>
          </cell>
          <cell r="FA84">
            <v>72.977000000000004</v>
          </cell>
          <cell r="FB84">
            <v>66.397000000000006</v>
          </cell>
          <cell r="FD84">
            <v>299.661</v>
          </cell>
          <cell r="FE84">
            <v>71.075999999999993</v>
          </cell>
          <cell r="FF84">
            <v>75.994</v>
          </cell>
          <cell r="FG84">
            <v>85.108000000000004</v>
          </cell>
          <cell r="FH84">
            <v>67.483000000000004</v>
          </cell>
          <cell r="FJ84">
            <v>261.39999999999998</v>
          </cell>
          <cell r="FK84">
            <v>69.384</v>
          </cell>
          <cell r="FL84">
            <v>63.36</v>
          </cell>
          <cell r="FM84">
            <v>68.319999999999993</v>
          </cell>
          <cell r="FN84">
            <v>60.335999999999999</v>
          </cell>
          <cell r="FP84">
            <v>250.38000000000002</v>
          </cell>
          <cell r="FQ84">
            <v>60.244</v>
          </cell>
          <cell r="FR84">
            <v>61.18</v>
          </cell>
          <cell r="FS84">
            <v>63.776000000000003</v>
          </cell>
          <cell r="FT84">
            <v>65.180000000000007</v>
          </cell>
        </row>
        <row r="85">
          <cell r="A85" t="str">
            <v>Price per ton (production)</v>
          </cell>
          <cell r="C85">
            <v>339.92094861660081</v>
          </cell>
          <cell r="D85">
            <v>434.59915611814347</v>
          </cell>
          <cell r="E85">
            <v>420.15810276679844</v>
          </cell>
          <cell r="F85">
            <v>401.63934426229508</v>
          </cell>
          <cell r="G85">
            <v>340.81632653061223</v>
          </cell>
          <cell r="H85">
            <v>402.4590163934426</v>
          </cell>
          <cell r="I85">
            <v>336.75213675213678</v>
          </cell>
          <cell r="J85">
            <v>379.53667953667951</v>
          </cell>
          <cell r="K85">
            <v>487.69077831705749</v>
          </cell>
          <cell r="L85">
            <v>611.74907842768823</v>
          </cell>
          <cell r="M85">
            <v>683.77371321899966</v>
          </cell>
          <cell r="N85">
            <v>557.05739899381456</v>
          </cell>
          <cell r="O85">
            <v>419.65853092802956</v>
          </cell>
          <cell r="P85">
            <v>414.00520392660849</v>
          </cell>
          <cell r="Q85">
            <v>329.82659969351687</v>
          </cell>
          <cell r="R85">
            <v>417.07450530073288</v>
          </cell>
          <cell r="S85">
            <v>643.66243162717876</v>
          </cell>
          <cell r="T85">
            <v>401.7371012580432</v>
          </cell>
          <cell r="U85">
            <v>419.57590091102497</v>
          </cell>
          <cell r="V85">
            <v>411.53208509902277</v>
          </cell>
          <cell r="W85">
            <v>472.12417136637976</v>
          </cell>
          <cell r="X85">
            <v>608.08103294746218</v>
          </cell>
          <cell r="Y85">
            <v>456.25556544968833</v>
          </cell>
          <cell r="Z85">
            <v>555.09795191451462</v>
          </cell>
          <cell r="AA85">
            <v>622.43989314336602</v>
          </cell>
          <cell r="AB85">
            <v>724.30988423864642</v>
          </cell>
          <cell r="AC85">
            <v>729.99777382012462</v>
          </cell>
          <cell r="AD85">
            <v>590.24933214603743</v>
          </cell>
          <cell r="AI85">
            <v>608.08103294746218</v>
          </cell>
          <cell r="AL85">
            <v>500</v>
          </cell>
          <cell r="AM85">
            <v>670.52537845057884</v>
          </cell>
          <cell r="AN85">
            <v>656.72306322350846</v>
          </cell>
          <cell r="AO85">
            <v>605.0756901157614</v>
          </cell>
          <cell r="AQ85">
            <v>456.25556544968833</v>
          </cell>
          <cell r="AR85">
            <v>530.27604630454141</v>
          </cell>
          <cell r="AS85">
            <v>396.26001780943898</v>
          </cell>
          <cell r="AT85">
            <v>439.44790739091718</v>
          </cell>
          <cell r="AU85">
            <v>459.03829029385577</v>
          </cell>
          <cell r="AW85">
            <v>555.09795191451462</v>
          </cell>
          <cell r="AX85">
            <v>548.08548530721282</v>
          </cell>
          <cell r="AY85">
            <v>594.39002671415847</v>
          </cell>
          <cell r="AZ85">
            <v>560.10685663401603</v>
          </cell>
          <cell r="BA85">
            <v>517.80943900267141</v>
          </cell>
          <cell r="BL85">
            <v>590.24933214603743</v>
          </cell>
          <cell r="BM85">
            <v>554.18521816562782</v>
          </cell>
          <cell r="BN85">
            <v>578.22796081923423</v>
          </cell>
          <cell r="BO85">
            <v>602.27070347284064</v>
          </cell>
          <cell r="BP85">
            <v>626.31344612644705</v>
          </cell>
          <cell r="BR85">
            <v>729.99777382012462</v>
          </cell>
          <cell r="BS85">
            <v>686.42030276046307</v>
          </cell>
          <cell r="BT85">
            <v>776.58058771148706</v>
          </cell>
          <cell r="BU85">
            <v>752.53784505788065</v>
          </cell>
          <cell r="BV85">
            <v>704.45235975066782</v>
          </cell>
          <cell r="BX85">
            <v>724.30988423864642</v>
          </cell>
          <cell r="BY85">
            <v>767.94300979519141</v>
          </cell>
          <cell r="BZ85">
            <v>743.00979519145142</v>
          </cell>
          <cell r="CA85">
            <v>718.07658058771153</v>
          </cell>
          <cell r="CB85">
            <v>668.21015138023154</v>
          </cell>
          <cell r="CD85">
            <v>622.43989314336602</v>
          </cell>
          <cell r="CE85">
            <v>662.51113089937667</v>
          </cell>
          <cell r="CF85">
            <v>635.79697239536949</v>
          </cell>
          <cell r="CG85">
            <v>609.08281389136243</v>
          </cell>
          <cell r="CH85">
            <v>582.36865538735537</v>
          </cell>
          <cell r="DB85">
            <v>472.12417136637976</v>
          </cell>
          <cell r="DC85">
            <v>529.38557435440782</v>
          </cell>
          <cell r="DD85">
            <v>486.11111111111109</v>
          </cell>
          <cell r="DE85">
            <v>459</v>
          </cell>
          <cell r="DF85">
            <v>414</v>
          </cell>
          <cell r="DH85">
            <v>411.53208509902277</v>
          </cell>
          <cell r="DI85">
            <v>430</v>
          </cell>
          <cell r="DJ85">
            <v>434.00000000000006</v>
          </cell>
          <cell r="DK85">
            <v>400.53763440860217</v>
          </cell>
          <cell r="DL85">
            <v>381.59070598748883</v>
          </cell>
          <cell r="DN85">
            <v>419.57590091102497</v>
          </cell>
          <cell r="DO85">
            <v>330.74684772065956</v>
          </cell>
          <cell r="DP85">
            <v>458.77788554801162</v>
          </cell>
          <cell r="DQ85">
            <v>450.28680688336522</v>
          </cell>
          <cell r="DR85">
            <v>438.49206349206349</v>
          </cell>
          <cell r="DT85">
            <v>401.7371012580432</v>
          </cell>
          <cell r="DU85">
            <v>429.58298836550614</v>
          </cell>
          <cell r="DV85">
            <v>460.98</v>
          </cell>
          <cell r="DW85">
            <v>522.88541666666663</v>
          </cell>
          <cell r="DX85">
            <v>193.5</v>
          </cell>
          <cell r="DZ85">
            <v>643.66243162717876</v>
          </cell>
          <cell r="EA85">
            <v>491.07291666666669</v>
          </cell>
          <cell r="EB85">
            <v>738.88123943535834</v>
          </cell>
          <cell r="EC85">
            <v>709.57450381166677</v>
          </cell>
          <cell r="ED85">
            <v>635.12106659502308</v>
          </cell>
          <cell r="EF85">
            <v>417.07450530073288</v>
          </cell>
          <cell r="EG85">
            <v>483.96696770203937</v>
          </cell>
          <cell r="EH85">
            <v>459.44981624861742</v>
          </cell>
          <cell r="EI85">
            <v>429.58994708994703</v>
          </cell>
          <cell r="EJ85">
            <v>295.29129016232764</v>
          </cell>
          <cell r="EL85">
            <v>329.82659969351687</v>
          </cell>
          <cell r="EM85">
            <v>423.79660965733967</v>
          </cell>
          <cell r="EN85">
            <v>225.50978911672766</v>
          </cell>
          <cell r="EO85">
            <v>330</v>
          </cell>
          <cell r="EP85">
            <v>340</v>
          </cell>
          <cell r="ER85">
            <v>414.00520392660849</v>
          </cell>
          <cell r="ES85">
            <v>485.81728934373757</v>
          </cell>
          <cell r="ET85">
            <v>382.31413519437922</v>
          </cell>
          <cell r="EU85">
            <v>400</v>
          </cell>
          <cell r="EV85">
            <v>387.88939116831727</v>
          </cell>
          <cell r="EX85">
            <v>419.65853092802956</v>
          </cell>
          <cell r="EY85">
            <v>418.87118298139569</v>
          </cell>
          <cell r="EZ85">
            <v>390.03872505212991</v>
          </cell>
          <cell r="FA85">
            <v>411.79738641029979</v>
          </cell>
          <cell r="FB85">
            <v>457.92682926829269</v>
          </cell>
          <cell r="FD85">
            <v>557.05739899381456</v>
          </cell>
          <cell r="FE85">
            <v>533.51827449892505</v>
          </cell>
          <cell r="FF85">
            <v>531.98183794845556</v>
          </cell>
          <cell r="FG85">
            <v>562.67058823529408</v>
          </cell>
          <cell r="FH85">
            <v>600.05889529258343</v>
          </cell>
          <cell r="FJ85">
            <v>683.77371321899966</v>
          </cell>
          <cell r="FK85">
            <v>704.7258643882393</v>
          </cell>
          <cell r="FL85">
            <v>702.58051486009902</v>
          </cell>
          <cell r="FM85">
            <v>720.21240303178627</v>
          </cell>
          <cell r="FN85">
            <v>607.57607059587406</v>
          </cell>
          <cell r="FP85">
            <v>611.74907842768823</v>
          </cell>
          <cell r="FQ85">
            <v>617.9670155407548</v>
          </cell>
          <cell r="FR85">
            <v>671.14650451726584</v>
          </cell>
          <cell r="FS85">
            <v>594.12603895298355</v>
          </cell>
          <cell r="FT85">
            <v>563.75675469974885</v>
          </cell>
        </row>
        <row r="86">
          <cell r="A86" t="str">
            <v xml:space="preserve">  % Change </v>
          </cell>
          <cell r="D86">
            <v>0.27853007555686382</v>
          </cell>
          <cell r="E86">
            <v>-3.3228443148240472E-2</v>
          </cell>
          <cell r="F86">
            <v>-4.4075690514010835E-2</v>
          </cell>
          <cell r="G86">
            <v>-0.15143690129112874</v>
          </cell>
          <cell r="H86">
            <v>0.18086777265141851</v>
          </cell>
          <cell r="I86">
            <v>-0.16326352986230774</v>
          </cell>
          <cell r="J86">
            <v>0.12705054583227149</v>
          </cell>
          <cell r="K86">
            <v>0.28496349526060927</v>
          </cell>
          <cell r="L86">
            <v>0.25437901561053922</v>
          </cell>
          <cell r="M86">
            <v>0.11773558364228109</v>
          </cell>
          <cell r="N86">
            <v>-0.18531907819129667</v>
          </cell>
          <cell r="O86">
            <v>-0.24665118588131463</v>
          </cell>
          <cell r="P86">
            <v>-1.3471254805470845E-2</v>
          </cell>
          <cell r="Q86">
            <v>-0.20332740611640743</v>
          </cell>
          <cell r="R86">
            <v>0.26452658969376319</v>
          </cell>
          <cell r="S86">
            <v>0.54327925453766102</v>
          </cell>
          <cell r="T86">
            <v>-0.37585746577992485</v>
          </cell>
          <cell r="U86">
            <v>4.4404162814734915E-2</v>
          </cell>
          <cell r="V86">
            <v>-1.917130081717433E-2</v>
          </cell>
          <cell r="W86">
            <v>0.14723538810534631</v>
          </cell>
          <cell r="X86">
            <v>0.28796844098790397</v>
          </cell>
          <cell r="Y86">
            <v>-0.24967966318872414</v>
          </cell>
          <cell r="Z86">
            <v>0.21663820444010717</v>
          </cell>
          <cell r="AA86">
            <v>0.12131542009223995</v>
          </cell>
          <cell r="AB86">
            <v>0.16366237482117296</v>
          </cell>
          <cell r="AC86">
            <v>7.852839931153266E-3</v>
          </cell>
          <cell r="AD86">
            <v>-0.19143680526965823</v>
          </cell>
          <cell r="AI86">
            <v>0.28796844098790397</v>
          </cell>
          <cell r="AL86">
            <v>-5.5508830950378396E-2</v>
          </cell>
          <cell r="AM86">
            <v>0.37936649281261947</v>
          </cell>
          <cell r="AN86">
            <v>0.43076920092267645</v>
          </cell>
          <cell r="AO86">
            <v>0.46153548337140426</v>
          </cell>
          <cell r="AQ86">
            <v>-0.24967966318872414</v>
          </cell>
          <cell r="AR86">
            <v>6.0552092609082786E-2</v>
          </cell>
          <cell r="AS86">
            <v>-0.4090305444887119</v>
          </cell>
          <cell r="AT86">
            <v>-0.33084745762711865</v>
          </cell>
          <cell r="AU86">
            <v>-0.24135393671817518</v>
          </cell>
          <cell r="AW86">
            <v>0.21663820444010717</v>
          </cell>
          <cell r="AX86">
            <v>3.3585222502099166E-2</v>
          </cell>
          <cell r="AY86">
            <v>0.5</v>
          </cell>
          <cell r="AZ86">
            <v>0.27456940222897663</v>
          </cell>
          <cell r="BA86">
            <v>0.12803103782735192</v>
          </cell>
          <cell r="BL86">
            <v>-0.19143680526965823</v>
          </cell>
          <cell r="BM86">
            <v>-0.19264448336252182</v>
          </cell>
          <cell r="BN86">
            <v>-0.2554179566563467</v>
          </cell>
          <cell r="BO86">
            <v>-0.1996805111821085</v>
          </cell>
          <cell r="BP86">
            <v>-0.11092150170648452</v>
          </cell>
          <cell r="BR86">
            <v>7.852839931153266E-3</v>
          </cell>
          <cell r="BS86">
            <v>-0.10615723562152124</v>
          </cell>
          <cell r="BT86">
            <v>4.5182166826462256E-2</v>
          </cell>
          <cell r="BU86">
            <v>4.7991071428571397E-2</v>
          </cell>
          <cell r="BV86">
            <v>5.4237739872068147E-2</v>
          </cell>
          <cell r="BX86">
            <v>0.16366237482117296</v>
          </cell>
          <cell r="BY86">
            <v>0.1591397849462366</v>
          </cell>
          <cell r="BZ86">
            <v>0.16862745098039222</v>
          </cell>
          <cell r="CA86">
            <v>0.17894736842105274</v>
          </cell>
          <cell r="CB86">
            <v>0.14740061162079487</v>
          </cell>
          <cell r="CD86">
            <v>0.12131542009223995</v>
          </cell>
          <cell r="CE86">
            <v>0.2087733549959383</v>
          </cell>
          <cell r="CF86">
            <v>6.9662921348314644E-2</v>
          </cell>
          <cell r="CG86">
            <v>8.744038155802869E-2</v>
          </cell>
          <cell r="CH86">
            <v>0.12467755803955294</v>
          </cell>
          <cell r="DB86">
            <v>0.14723538810534631</v>
          </cell>
          <cell r="DC86">
            <v>0.23112924268466939</v>
          </cell>
          <cell r="DD86">
            <v>0.12007168458781337</v>
          </cell>
          <cell r="DE86">
            <v>0.14595973154362407</v>
          </cell>
          <cell r="DF86">
            <v>8.493208430913346E-2</v>
          </cell>
          <cell r="DH86">
            <v>-1.917130081717433E-2</v>
          </cell>
          <cell r="DI86">
            <v>0.30008797653958941</v>
          </cell>
          <cell r="DJ86">
            <v>-5.4008456659619286E-2</v>
          </cell>
          <cell r="DK86">
            <v>-0.11048330023057784</v>
          </cell>
          <cell r="DL86">
            <v>-0.12976599177513859</v>
          </cell>
          <cell r="DN86">
            <v>4.4404162814734915E-2</v>
          </cell>
          <cell r="DO86">
            <v>-0.23007461496765069</v>
          </cell>
          <cell r="DP86">
            <v>-4.7770281834100814E-3</v>
          </cell>
          <cell r="DQ86">
            <v>-0.13884229215285648</v>
          </cell>
          <cell r="DR86">
            <v>1.2661088552561419</v>
          </cell>
          <cell r="DT86">
            <v>-0.37585746577992485</v>
          </cell>
          <cell r="DU86">
            <v>-0.12521547455425863</v>
          </cell>
          <cell r="DV86">
            <v>-0.37611083433073245</v>
          </cell>
          <cell r="DW86">
            <v>-0.26310004959613176</v>
          </cell>
          <cell r="DX86">
            <v>-0.6953336770304569</v>
          </cell>
          <cell r="DZ86">
            <v>0.54327925453766102</v>
          </cell>
          <cell r="EA86">
            <v>1.4682714810821951E-2</v>
          </cell>
          <cell r="EB86">
            <v>0.60818703872445345</v>
          </cell>
          <cell r="EC86">
            <v>0.65174839080463154</v>
          </cell>
          <cell r="ED86">
            <v>1.1508289873564643</v>
          </cell>
          <cell r="EF86">
            <v>0.26452658969376319</v>
          </cell>
          <cell r="EG86">
            <v>0.14197932846454431</v>
          </cell>
          <cell r="EH86">
            <v>1.0373830246934355</v>
          </cell>
          <cell r="EI86">
            <v>0.3017877184543849</v>
          </cell>
          <cell r="EJ86">
            <v>-0.13149620540491869</v>
          </cell>
          <cell r="EL86">
            <v>-0.20332740611640743</v>
          </cell>
          <cell r="EM86">
            <v>-0.12766256172187296</v>
          </cell>
          <cell r="EN86">
            <v>-0.41014530105701652</v>
          </cell>
          <cell r="EO86">
            <v>-0.17500000000000004</v>
          </cell>
          <cell r="EP86">
            <v>-0.12346146158850879</v>
          </cell>
          <cell r="ER86">
            <v>-1.3471254805470845E-2</v>
          </cell>
          <cell r="ES86">
            <v>0.15982504665477393</v>
          </cell>
          <cell r="ET86">
            <v>-1.9804674155670776E-2</v>
          </cell>
          <cell r="EU86">
            <v>-2.8648521820741513E-2</v>
          </cell>
          <cell r="EV86">
            <v>-0.15294460517171726</v>
          </cell>
          <cell r="EX86">
            <v>-0.24665118588131463</v>
          </cell>
          <cell r="EY86">
            <v>-0.21488878075489493</v>
          </cell>
          <cell r="EZ86">
            <v>-0.26681947158895059</v>
          </cell>
          <cell r="FA86">
            <v>-0.26813770788727109</v>
          </cell>
          <cell r="FB86">
            <v>-0.23686352646266229</v>
          </cell>
          <cell r="FD86">
            <v>-0.18531907819129667</v>
          </cell>
          <cell r="FE86">
            <v>-0.24294211201959603</v>
          </cell>
          <cell r="FF86">
            <v>-0.24281726194130759</v>
          </cell>
          <cell r="FG86">
            <v>-0.21874354583912814</v>
          </cell>
          <cell r="FH86">
            <v>-1.2372401855652804E-2</v>
          </cell>
          <cell r="FJ86">
            <v>0.11773558364228109</v>
          </cell>
          <cell r="FK86">
            <v>0.14039398004368531</v>
          </cell>
          <cell r="FL86">
            <v>4.6836287056940984E-2</v>
          </cell>
          <cell r="FM86">
            <v>0.21222157557847865</v>
          </cell>
          <cell r="FN86">
            <v>7.7727345226156874E-2</v>
          </cell>
          <cell r="FP86">
            <v>0.25437901561053922</v>
          </cell>
        </row>
        <row r="87">
          <cell r="A87" t="str">
            <v>Price per metric ton</v>
          </cell>
          <cell r="C87">
            <v>339.92094861660081</v>
          </cell>
          <cell r="D87">
            <v>434.59915611814347</v>
          </cell>
          <cell r="E87">
            <v>420.15810276679844</v>
          </cell>
          <cell r="F87">
            <v>401.63934426229508</v>
          </cell>
          <cell r="G87">
            <v>340.81632653061223</v>
          </cell>
          <cell r="H87">
            <v>402.4590163934426</v>
          </cell>
          <cell r="I87">
            <v>325.48802551033054</v>
          </cell>
          <cell r="J87">
            <v>377.64843734992985</v>
          </cell>
          <cell r="K87">
            <v>494.54459203036055</v>
          </cell>
          <cell r="L87">
            <v>612.71673614040071</v>
          </cell>
          <cell r="M87">
            <v>698.49000935460867</v>
          </cell>
          <cell r="N87">
            <v>571.13963950354321</v>
          </cell>
          <cell r="O87">
            <v>442.20631556330801</v>
          </cell>
          <cell r="P87">
            <v>431.70454545454544</v>
          </cell>
          <cell r="Q87">
            <v>316.25</v>
          </cell>
          <cell r="R87">
            <v>436.98075668096175</v>
          </cell>
          <cell r="S87">
            <v>723.52786300429284</v>
          </cell>
          <cell r="T87">
            <v>412.80572545311128</v>
          </cell>
          <cell r="U87">
            <v>427</v>
          </cell>
          <cell r="V87">
            <v>411.25</v>
          </cell>
          <cell r="W87">
            <v>472.12417136637976</v>
          </cell>
          <cell r="X87">
            <v>612.75</v>
          </cell>
          <cell r="Y87">
            <v>449.75</v>
          </cell>
          <cell r="Z87">
            <v>436</v>
          </cell>
          <cell r="AA87">
            <v>466</v>
          </cell>
          <cell r="AB87">
            <v>581</v>
          </cell>
          <cell r="AC87">
            <v>607.25</v>
          </cell>
          <cell r="AD87">
            <v>491</v>
          </cell>
          <cell r="AI87">
            <v>612.75</v>
          </cell>
          <cell r="AL87">
            <v>628</v>
          </cell>
          <cell r="AM87">
            <v>636</v>
          </cell>
          <cell r="AN87">
            <v>612</v>
          </cell>
          <cell r="AO87">
            <v>575</v>
          </cell>
          <cell r="AQ87">
            <v>449.75</v>
          </cell>
          <cell r="AR87">
            <v>422</v>
          </cell>
          <cell r="AS87">
            <v>403</v>
          </cell>
          <cell r="AT87">
            <v>425</v>
          </cell>
          <cell r="AU87">
            <v>549</v>
          </cell>
          <cell r="AW87">
            <v>436</v>
          </cell>
          <cell r="AX87">
            <v>436</v>
          </cell>
          <cell r="AY87">
            <v>456</v>
          </cell>
          <cell r="AZ87">
            <v>428</v>
          </cell>
          <cell r="BA87">
            <v>424</v>
          </cell>
          <cell r="BL87">
            <v>491</v>
          </cell>
          <cell r="BM87">
            <v>461</v>
          </cell>
          <cell r="BN87">
            <v>481</v>
          </cell>
          <cell r="BO87">
            <v>501</v>
          </cell>
          <cell r="BP87">
            <v>521</v>
          </cell>
          <cell r="BR87">
            <v>607.25</v>
          </cell>
          <cell r="BS87">
            <v>571</v>
          </cell>
          <cell r="BT87">
            <v>646</v>
          </cell>
          <cell r="BU87">
            <v>626</v>
          </cell>
          <cell r="BV87">
            <v>586</v>
          </cell>
          <cell r="BX87">
            <v>581</v>
          </cell>
          <cell r="BY87">
            <v>616</v>
          </cell>
          <cell r="BZ87">
            <v>596</v>
          </cell>
          <cell r="CA87">
            <v>576</v>
          </cell>
          <cell r="CB87">
            <v>536</v>
          </cell>
          <cell r="CD87">
            <v>466</v>
          </cell>
          <cell r="CE87">
            <v>496</v>
          </cell>
          <cell r="CF87">
            <v>476</v>
          </cell>
          <cell r="CG87">
            <v>456</v>
          </cell>
          <cell r="CH87">
            <v>436</v>
          </cell>
          <cell r="DB87">
            <v>472.12417136637976</v>
          </cell>
          <cell r="DC87">
            <v>529.38557435440794</v>
          </cell>
          <cell r="DD87">
            <v>486.11111111111109</v>
          </cell>
          <cell r="DE87">
            <v>459</v>
          </cell>
          <cell r="DF87">
            <v>414</v>
          </cell>
          <cell r="DH87">
            <v>411.25</v>
          </cell>
          <cell r="DI87">
            <v>430</v>
          </cell>
          <cell r="DJ87">
            <v>434</v>
          </cell>
          <cell r="DK87">
            <v>400</v>
          </cell>
          <cell r="DL87">
            <v>381</v>
          </cell>
          <cell r="DN87">
            <v>427</v>
          </cell>
          <cell r="DO87">
            <v>454</v>
          </cell>
          <cell r="DP87">
            <v>452</v>
          </cell>
          <cell r="DQ87">
            <v>406</v>
          </cell>
          <cell r="DR87">
            <v>396</v>
          </cell>
          <cell r="DT87">
            <v>412.80572545311128</v>
          </cell>
          <cell r="DU87">
            <v>425.27905095713129</v>
          </cell>
          <cell r="DV87">
            <v>407.40969871585253</v>
          </cell>
          <cell r="DW87">
            <v>358.55</v>
          </cell>
          <cell r="DX87">
            <v>459.98415213946117</v>
          </cell>
          <cell r="DZ87">
            <v>723.52786300429284</v>
          </cell>
          <cell r="EA87">
            <v>783.10631229235878</v>
          </cell>
          <cell r="EB87">
            <v>772.21409768938292</v>
          </cell>
          <cell r="EC87">
            <v>709.55861775603648</v>
          </cell>
          <cell r="ED87">
            <v>629.23242427939272</v>
          </cell>
          <cell r="EF87">
            <v>436.98075668096175</v>
          </cell>
          <cell r="EG87">
            <v>563.27595513704796</v>
          </cell>
          <cell r="EH87">
            <v>461.55224736552844</v>
          </cell>
          <cell r="EI87">
            <v>388.77849071059177</v>
          </cell>
          <cell r="EJ87">
            <v>334.31633351067876</v>
          </cell>
          <cell r="EL87">
            <v>316.25</v>
          </cell>
          <cell r="EM87">
            <v>290</v>
          </cell>
          <cell r="EN87">
            <v>305</v>
          </cell>
          <cell r="EO87">
            <v>330</v>
          </cell>
          <cell r="EP87">
            <v>340</v>
          </cell>
          <cell r="ER87">
            <v>431.70454545454544</v>
          </cell>
          <cell r="ES87">
            <v>440.90909090909088</v>
          </cell>
          <cell r="ET87">
            <v>490.90909090909088</v>
          </cell>
          <cell r="EU87">
            <v>400</v>
          </cell>
          <cell r="EV87">
            <v>395</v>
          </cell>
          <cell r="EX87">
            <v>442.20631556330801</v>
          </cell>
          <cell r="EY87">
            <v>385.93155893536124</v>
          </cell>
          <cell r="EZ87">
            <v>406.69416558990162</v>
          </cell>
          <cell r="FA87">
            <v>467.21569809666062</v>
          </cell>
          <cell r="FB87">
            <v>508.98383963130863</v>
          </cell>
          <cell r="FD87">
            <v>571.13963950354321</v>
          </cell>
          <cell r="FE87">
            <v>541.16720130564465</v>
          </cell>
          <cell r="FF87">
            <v>547.31952522567576</v>
          </cell>
          <cell r="FG87">
            <v>561.95657282511627</v>
          </cell>
          <cell r="FH87">
            <v>634.11525865773604</v>
          </cell>
          <cell r="FJ87">
            <v>698.49000935460867</v>
          </cell>
          <cell r="FK87">
            <v>687.10365502133061</v>
          </cell>
          <cell r="FL87">
            <v>713.74684343434342</v>
          </cell>
          <cell r="FM87">
            <v>710.71428571428567</v>
          </cell>
          <cell r="FN87">
            <v>682.39525324847523</v>
          </cell>
          <cell r="FP87">
            <v>612.71673614040071</v>
          </cell>
          <cell r="FQ87">
            <v>646.85279861894958</v>
          </cell>
          <cell r="FR87">
            <v>635.04413206930371</v>
          </cell>
          <cell r="FS87">
            <v>600.75890617160064</v>
          </cell>
          <cell r="FT87">
            <v>568.21110770174892</v>
          </cell>
        </row>
        <row r="88">
          <cell r="A88" t="str">
            <v xml:space="preserve">  % Change </v>
          </cell>
          <cell r="D88">
            <v>0.27853007555686382</v>
          </cell>
          <cell r="E88">
            <v>-3.3228443148240472E-2</v>
          </cell>
          <cell r="F88">
            <v>-4.4075690514010835E-2</v>
          </cell>
          <cell r="G88">
            <v>-0.15143690129112874</v>
          </cell>
          <cell r="H88">
            <v>0.18086777265141851</v>
          </cell>
          <cell r="I88">
            <v>-0.19125174924113386</v>
          </cell>
          <cell r="J88">
            <v>0.1602529363647629</v>
          </cell>
          <cell r="K88">
            <v>0.30953697439005801</v>
          </cell>
          <cell r="L88">
            <v>0.23895144343785568</v>
          </cell>
          <cell r="M88">
            <v>0.13998846147814947</v>
          </cell>
          <cell r="N88">
            <v>-0.18232239279805129</v>
          </cell>
          <cell r="O88">
            <v>-0.22574746178064098</v>
          </cell>
          <cell r="P88">
            <v>-2.3748575583740328E-2</v>
          </cell>
          <cell r="Q88">
            <v>-0.26743879968412743</v>
          </cell>
          <cell r="R88">
            <v>0.38175733337853512</v>
          </cell>
          <cell r="S88">
            <v>0.65574307779538721</v>
          </cell>
          <cell r="T88">
            <v>-0.42945428011711273</v>
          </cell>
          <cell r="U88">
            <v>3.4384878095643057E-2</v>
          </cell>
          <cell r="V88">
            <v>-3.688524590163933E-2</v>
          </cell>
          <cell r="W88">
            <v>0.1480223011948445</v>
          </cell>
          <cell r="X88">
            <v>0.2978577187154674</v>
          </cell>
          <cell r="Y88">
            <v>-0.26601387188902492</v>
          </cell>
          <cell r="Z88">
            <v>-3.0572540300166762E-2</v>
          </cell>
          <cell r="AA88">
            <v>6.8807339449541205E-2</v>
          </cell>
          <cell r="AB88">
            <v>0.24678111587982832</v>
          </cell>
          <cell r="AC88">
            <v>4.5180722891566161E-2</v>
          </cell>
          <cell r="AD88">
            <v>-0.19143680526965834</v>
          </cell>
          <cell r="AI88">
            <v>0.2978577187154674</v>
          </cell>
          <cell r="AL88">
            <v>0.18628090832632438</v>
          </cell>
          <cell r="AM88">
            <v>0.30834285714285725</v>
          </cell>
          <cell r="AN88">
            <v>0.33333333333333326</v>
          </cell>
          <cell r="AO88">
            <v>0.38888888888888884</v>
          </cell>
          <cell r="AQ88">
            <v>-0.26601387188902492</v>
          </cell>
          <cell r="AR88">
            <v>-0.32802547770700641</v>
          </cell>
          <cell r="AS88">
            <v>-0.36635220125786161</v>
          </cell>
          <cell r="AT88">
            <v>-0.30555555555555558</v>
          </cell>
          <cell r="AU88">
            <v>-4.5217391304347876E-2</v>
          </cell>
          <cell r="AW88">
            <v>-3.0572540300166762E-2</v>
          </cell>
          <cell r="AX88">
            <v>3.3175355450236976E-2</v>
          </cell>
          <cell r="AY88">
            <v>0.13151364764267992</v>
          </cell>
          <cell r="AZ88">
            <v>7.058823529411784E-3</v>
          </cell>
          <cell r="BA88">
            <v>-0.22768670309653916</v>
          </cell>
          <cell r="BL88">
            <v>-0.19143680526965834</v>
          </cell>
          <cell r="BM88">
            <v>-0.19264448336252193</v>
          </cell>
          <cell r="BN88">
            <v>-0.2554179566563467</v>
          </cell>
          <cell r="BO88">
            <v>-0.19968051118210861</v>
          </cell>
          <cell r="BP88">
            <v>-0.11092150170648463</v>
          </cell>
          <cell r="BR88">
            <v>4.5180722891566161E-2</v>
          </cell>
          <cell r="BS88">
            <v>-7.3051948051948035E-2</v>
          </cell>
          <cell r="BT88">
            <v>8.3892617449664364E-2</v>
          </cell>
          <cell r="BU88">
            <v>8.680555555555558E-2</v>
          </cell>
          <cell r="BV88">
            <v>9.3283582089552342E-2</v>
          </cell>
          <cell r="BX88">
            <v>0.24678111587982832</v>
          </cell>
          <cell r="BY88">
            <v>0.24193548387096775</v>
          </cell>
          <cell r="BZ88">
            <v>0.25210084033613445</v>
          </cell>
          <cell r="CA88">
            <v>0.26315789473684204</v>
          </cell>
          <cell r="CB88">
            <v>0.22935779816513757</v>
          </cell>
          <cell r="CD88">
            <v>6.8807339449541205E-2</v>
          </cell>
          <cell r="CE88">
            <v>0.13761467889908263</v>
          </cell>
          <cell r="CF88">
            <v>4.3859649122806932E-2</v>
          </cell>
          <cell r="CG88">
            <v>6.5420560747663448E-2</v>
          </cell>
          <cell r="CH88">
            <v>2.8301886792452935E-2</v>
          </cell>
          <cell r="DB88">
            <v>0.1480223011948445</v>
          </cell>
          <cell r="DC88">
            <v>0.23112924268466961</v>
          </cell>
          <cell r="DD88">
            <v>0.12007168458781359</v>
          </cell>
          <cell r="DE88">
            <v>0.14749999999999996</v>
          </cell>
          <cell r="DF88">
            <v>8.6614173228346525E-2</v>
          </cell>
          <cell r="DH88">
            <v>-3.688524590163933E-2</v>
          </cell>
          <cell r="DI88">
            <v>-5.2863436123347984E-2</v>
          </cell>
          <cell r="DJ88">
            <v>-3.9823008849557473E-2</v>
          </cell>
          <cell r="DK88">
            <v>-1.4778325123152691E-2</v>
          </cell>
          <cell r="DL88">
            <v>-3.7878787878787845E-2</v>
          </cell>
          <cell r="DN88">
            <v>3.4384878095643057E-2</v>
          </cell>
          <cell r="DO88">
            <v>6.753436121113765E-2</v>
          </cell>
          <cell r="DP88">
            <v>0.10944830578333131</v>
          </cell>
          <cell r="DQ88">
            <v>0.13233858597127313</v>
          </cell>
          <cell r="DR88">
            <v>-0.13910077519379849</v>
          </cell>
          <cell r="DT88">
            <v>-0.42945428011711273</v>
          </cell>
          <cell r="DU88">
            <v>-0.45693318482872736</v>
          </cell>
          <cell r="DV88">
            <v>-0.47241354446273021</v>
          </cell>
          <cell r="DW88">
            <v>-0.49468586382065727</v>
          </cell>
          <cell r="DX88">
            <v>-0.26897576413637203</v>
          </cell>
          <cell r="DZ88">
            <v>0.65574307779538721</v>
          </cell>
          <cell r="EA88">
            <v>0.39027115421929381</v>
          </cell>
          <cell r="EB88">
            <v>0.67308057126157683</v>
          </cell>
          <cell r="EC88">
            <v>0.8250974133346145</v>
          </cell>
          <cell r="ED88">
            <v>0.88214682086208551</v>
          </cell>
          <cell r="EF88">
            <v>0.38175733337853512</v>
          </cell>
          <cell r="EG88">
            <v>0.94233087978292396</v>
          </cell>
          <cell r="EH88">
            <v>0.51328605693615881</v>
          </cell>
          <cell r="EI88">
            <v>0.17811663851694481</v>
          </cell>
          <cell r="EJ88">
            <v>-1.6716666145062509E-2</v>
          </cell>
          <cell r="EL88">
            <v>-0.26743879968412743</v>
          </cell>
          <cell r="EM88">
            <v>-0.34226804123711341</v>
          </cell>
          <cell r="EN88">
            <v>-0.37870370370370365</v>
          </cell>
          <cell r="EO88">
            <v>-0.17500000000000004</v>
          </cell>
          <cell r="EP88">
            <v>-0.13924050632911389</v>
          </cell>
          <cell r="ER88">
            <v>-2.3748575583740328E-2</v>
          </cell>
          <cell r="ES88">
            <v>0.14245409762651118</v>
          </cell>
          <cell r="ET88">
            <v>0.20707187966917906</v>
          </cell>
          <cell r="EU88">
            <v>-0.14386438291881753</v>
          </cell>
          <cell r="EV88">
            <v>-0.22394392661636331</v>
          </cell>
          <cell r="EX88">
            <v>-0.22574746178064098</v>
          </cell>
          <cell r="EY88">
            <v>-0.28685338282836581</v>
          </cell>
          <cell r="EZ88">
            <v>-0.25693466641408458</v>
          </cell>
          <cell r="FA88">
            <v>-0.16859109637630221</v>
          </cell>
          <cell r="FB88">
            <v>-0.1973322945915218</v>
          </cell>
          <cell r="FD88">
            <v>-0.18232239279805129</v>
          </cell>
          <cell r="FE88">
            <v>-0.21239365072385685</v>
          </cell>
          <cell r="FF88">
            <v>-0.23317415655089624</v>
          </cell>
          <cell r="FG88">
            <v>-0.20930733471842933</v>
          </cell>
          <cell r="FH88">
            <v>-7.0750777296452516E-2</v>
          </cell>
          <cell r="FJ88">
            <v>0.13998846147814947</v>
          </cell>
          <cell r="FK88">
            <v>6.2225681775386565E-2</v>
          </cell>
          <cell r="FL88">
            <v>0.12393266450409568</v>
          </cell>
          <cell r="FM88">
            <v>0.18302746478348064</v>
          </cell>
          <cell r="FN88">
            <v>0.20095373708650022</v>
          </cell>
          <cell r="FP88">
            <v>0.23895144343785568</v>
          </cell>
        </row>
        <row r="89">
          <cell r="A89" t="str">
            <v>Cost per metric ton</v>
          </cell>
          <cell r="C89">
            <v>264.798418972332</v>
          </cell>
          <cell r="D89">
            <v>304.21940928270044</v>
          </cell>
          <cell r="E89">
            <v>306.29525691699604</v>
          </cell>
          <cell r="F89">
            <v>353.44262295081967</v>
          </cell>
          <cell r="G89">
            <v>319.68571428571437</v>
          </cell>
          <cell r="H89">
            <v>304.66147540983604</v>
          </cell>
          <cell r="I89">
            <v>331.70085470085468</v>
          </cell>
          <cell r="J89">
            <v>304.38841698841696</v>
          </cell>
          <cell r="K89">
            <v>285.78679609379566</v>
          </cell>
          <cell r="L89">
            <v>308.8396998296717</v>
          </cell>
          <cell r="M89">
            <v>323.9304182214932</v>
          </cell>
          <cell r="N89">
            <v>363.48025193860497</v>
          </cell>
          <cell r="O89">
            <v>386.44681270258593</v>
          </cell>
          <cell r="P89">
            <v>386.44681270258593</v>
          </cell>
          <cell r="Q89">
            <v>384.11170317564648</v>
          </cell>
          <cell r="R89">
            <v>388.90199575503766</v>
          </cell>
          <cell r="S89">
            <v>395.83828124999997</v>
          </cell>
          <cell r="T89">
            <v>419.21203124999994</v>
          </cell>
          <cell r="U89">
            <v>411.5</v>
          </cell>
          <cell r="V89">
            <v>402</v>
          </cell>
          <cell r="W89">
            <v>428.26845472197488</v>
          </cell>
          <cell r="X89">
            <v>415.72716386074825</v>
          </cell>
          <cell r="Y89">
            <v>466.16152531855749</v>
          </cell>
          <cell r="Z89">
            <v>424.41804072157464</v>
          </cell>
          <cell r="AA89">
            <v>415</v>
          </cell>
          <cell r="AB89">
            <v>410</v>
          </cell>
          <cell r="AC89">
            <v>425</v>
          </cell>
          <cell r="AD89">
            <v>437.5</v>
          </cell>
          <cell r="AI89">
            <v>415.72716386074825</v>
          </cell>
          <cell r="AL89">
            <v>418.90380313199103</v>
          </cell>
          <cell r="AM89">
            <v>400.84388185654007</v>
          </cell>
          <cell r="AN89">
            <v>426.31797426317974</v>
          </cell>
          <cell r="AO89">
            <v>416.84299619128223</v>
          </cell>
          <cell r="AQ89">
            <v>466.16152531855749</v>
          </cell>
          <cell r="AR89">
            <v>466.19350018677625</v>
          </cell>
          <cell r="AS89">
            <v>453.76246600181327</v>
          </cell>
          <cell r="AT89">
            <v>461.47223417993973</v>
          </cell>
          <cell r="AU89">
            <v>483.21790090570056</v>
          </cell>
          <cell r="AW89">
            <v>424.41804072157464</v>
          </cell>
          <cell r="AX89">
            <v>400.49575070821533</v>
          </cell>
          <cell r="AY89">
            <v>435.49488054607502</v>
          </cell>
          <cell r="AZ89">
            <v>440.24514811031673</v>
          </cell>
          <cell r="BA89">
            <v>421.43638352169154</v>
          </cell>
          <cell r="BL89">
            <v>437.5</v>
          </cell>
          <cell r="BM89">
            <v>435</v>
          </cell>
          <cell r="BN89">
            <v>440</v>
          </cell>
          <cell r="BO89">
            <v>440</v>
          </cell>
          <cell r="BP89">
            <v>435</v>
          </cell>
          <cell r="BR89">
            <v>425</v>
          </cell>
          <cell r="BS89">
            <v>425</v>
          </cell>
          <cell r="BT89">
            <v>425</v>
          </cell>
          <cell r="BU89">
            <v>425</v>
          </cell>
          <cell r="BV89">
            <v>425</v>
          </cell>
          <cell r="BX89">
            <v>410</v>
          </cell>
          <cell r="BY89">
            <v>410</v>
          </cell>
          <cell r="BZ89">
            <v>410</v>
          </cell>
          <cell r="CA89">
            <v>410</v>
          </cell>
          <cell r="CB89">
            <v>410</v>
          </cell>
          <cell r="CD89">
            <v>415</v>
          </cell>
          <cell r="CE89">
            <v>425</v>
          </cell>
          <cell r="CF89">
            <v>425</v>
          </cell>
          <cell r="CG89">
            <v>410</v>
          </cell>
          <cell r="CH89">
            <v>400</v>
          </cell>
          <cell r="DB89">
            <v>428.26845472197488</v>
          </cell>
          <cell r="DC89">
            <v>456.366874443455</v>
          </cell>
          <cell r="DD89">
            <v>421.0069444444444</v>
          </cell>
          <cell r="DE89">
            <v>404.7</v>
          </cell>
          <cell r="DF89">
            <v>431</v>
          </cell>
          <cell r="DH89">
            <v>402</v>
          </cell>
          <cell r="DI89">
            <v>380</v>
          </cell>
          <cell r="DJ89">
            <v>405</v>
          </cell>
          <cell r="DK89">
            <v>411.5</v>
          </cell>
          <cell r="DL89">
            <v>411.5</v>
          </cell>
          <cell r="DN89">
            <v>411.5</v>
          </cell>
          <cell r="DO89">
            <v>406</v>
          </cell>
          <cell r="DP89">
            <v>410</v>
          </cell>
          <cell r="DQ89">
            <v>410</v>
          </cell>
          <cell r="DR89">
            <v>420</v>
          </cell>
          <cell r="DT89">
            <v>419.21203124999994</v>
          </cell>
          <cell r="DU89">
            <v>434.19937499999992</v>
          </cell>
          <cell r="DV89">
            <v>419.19937499999992</v>
          </cell>
          <cell r="DW89">
            <v>419.19937499999992</v>
          </cell>
          <cell r="DX89">
            <v>404.25</v>
          </cell>
          <cell r="DZ89">
            <v>395.83828124999997</v>
          </cell>
          <cell r="EA89">
            <v>404.49062499999991</v>
          </cell>
          <cell r="EB89">
            <v>394.62499999999994</v>
          </cell>
          <cell r="EC89">
            <v>399.2374999999999</v>
          </cell>
          <cell r="ED89">
            <v>385</v>
          </cell>
          <cell r="EF89">
            <v>388.90199575503766</v>
          </cell>
          <cell r="EG89">
            <v>385</v>
          </cell>
          <cell r="EH89">
            <v>385</v>
          </cell>
          <cell r="EI89">
            <v>389.49999999999994</v>
          </cell>
          <cell r="EJ89">
            <v>396.10798302015053</v>
          </cell>
          <cell r="EL89">
            <v>384.11170317564648</v>
          </cell>
          <cell r="EM89">
            <v>385</v>
          </cell>
          <cell r="EN89">
            <v>385</v>
          </cell>
          <cell r="EO89">
            <v>380</v>
          </cell>
          <cell r="EP89">
            <v>386.44681270258593</v>
          </cell>
          <cell r="ER89">
            <v>386.44681270258593</v>
          </cell>
          <cell r="ES89">
            <v>386.44681270258593</v>
          </cell>
          <cell r="ET89">
            <v>386.44681270258593</v>
          </cell>
          <cell r="EU89">
            <v>386.44681270258593</v>
          </cell>
          <cell r="EV89">
            <v>386.44681270258593</v>
          </cell>
          <cell r="EX89">
            <v>386.44681270258593</v>
          </cell>
          <cell r="EY89">
            <v>385.45627376425858</v>
          </cell>
          <cell r="EZ89">
            <v>375.9069674982606</v>
          </cell>
          <cell r="FA89">
            <v>390.97249818435938</v>
          </cell>
          <cell r="FB89">
            <v>393.45151136346527</v>
          </cell>
          <cell r="FD89">
            <v>363.48025193860497</v>
          </cell>
          <cell r="FE89">
            <v>385.54684790900893</v>
          </cell>
          <cell r="FF89">
            <v>356.96105391059677</v>
          </cell>
          <cell r="FG89">
            <v>358.58823529411762</v>
          </cell>
          <cell r="FH89">
            <v>352.82487064069664</v>
          </cell>
          <cell r="FJ89">
            <v>323.9304182214932</v>
          </cell>
          <cell r="FK89">
            <v>348.34217800706585</v>
          </cell>
          <cell r="FL89">
            <v>327.99415849736664</v>
          </cell>
          <cell r="FM89">
            <v>329.29886233850988</v>
          </cell>
          <cell r="FN89">
            <v>290.08647404303042</v>
          </cell>
          <cell r="FP89">
            <v>308.8396998296717</v>
          </cell>
          <cell r="FQ89">
            <v>308.65842055185544</v>
          </cell>
          <cell r="FR89">
            <v>328.35253675136892</v>
          </cell>
          <cell r="FS89">
            <v>296.98548567175288</v>
          </cell>
          <cell r="FT89">
            <v>301.36235634370956</v>
          </cell>
        </row>
        <row r="90">
          <cell r="A90" t="str">
            <v xml:space="preserve">  % Change </v>
          </cell>
          <cell r="D90">
            <v>0.14887169818973667</v>
          </cell>
          <cell r="E90">
            <v>6.8235213499037162E-3</v>
          </cell>
          <cell r="F90">
            <v>0.15392783586786085</v>
          </cell>
          <cell r="G90">
            <v>-9.5508878876225611E-2</v>
          </cell>
          <cell r="H90">
            <v>-4.6996904160849118E-2</v>
          </cell>
          <cell r="I90">
            <v>8.8752210152743372E-2</v>
          </cell>
          <cell r="J90">
            <v>-8.2340570804586899E-2</v>
          </cell>
          <cell r="K90">
            <v>-6.1111461068931394E-2</v>
          </cell>
          <cell r="L90">
            <v>8.0664691479693351E-2</v>
          </cell>
          <cell r="M90">
            <v>4.8862624850834147E-2</v>
          </cell>
          <cell r="N90">
            <v>0.12209360866526864</v>
          </cell>
          <cell r="O90">
            <v>6.3185167946511189E-2</v>
          </cell>
          <cell r="P90">
            <v>0</v>
          </cell>
          <cell r="Q90">
            <v>-6.0425120616445227E-3</v>
          </cell>
          <cell r="R90">
            <v>1.247109249675904E-2</v>
          </cell>
          <cell r="S90">
            <v>1.7835561582798753E-2</v>
          </cell>
          <cell r="T90">
            <v>5.9048735575015776E-2</v>
          </cell>
          <cell r="U90">
            <v>-1.8396493123072677E-2</v>
          </cell>
          <cell r="V90">
            <v>-2.3086269744835963E-2</v>
          </cell>
          <cell r="W90">
            <v>6.534441473128072E-2</v>
          </cell>
          <cell r="X90">
            <v>-2.9283713808359368E-2</v>
          </cell>
          <cell r="Y90">
            <v>0.12131601165879724</v>
          </cell>
          <cell r="Z90">
            <v>-8.9547254180741165E-2</v>
          </cell>
          <cell r="AA90">
            <v>-2.2190481595840139E-2</v>
          </cell>
          <cell r="AB90">
            <v>-1.2048192771084376E-2</v>
          </cell>
          <cell r="AC90">
            <v>3.6585365853658569E-2</v>
          </cell>
          <cell r="AD90">
            <v>2.9411764705882248E-2</v>
          </cell>
          <cell r="AI90">
            <v>-2.9283713808359368E-2</v>
          </cell>
          <cell r="AL90">
            <v>-8.2089812844437171E-2</v>
          </cell>
          <cell r="AM90">
            <v>-4.7892470311888258E-2</v>
          </cell>
          <cell r="AN90">
            <v>5.3417282587545634E-2</v>
          </cell>
          <cell r="AO90">
            <v>-3.2846876586352103E-2</v>
          </cell>
          <cell r="AQ90">
            <v>0.12131601165879724</v>
          </cell>
          <cell r="AR90">
            <v>0.11288915665414678</v>
          </cell>
          <cell r="AS90">
            <v>0.1320179414992606</v>
          </cell>
          <cell r="AT90">
            <v>8.2460187088096326E-2</v>
          </cell>
          <cell r="AU90">
            <v>0.15923238562453856</v>
          </cell>
          <cell r="AW90">
            <v>-8.9547254180741165E-2</v>
          </cell>
          <cell r="AX90">
            <v>-0.1409237783286118</v>
          </cell>
          <cell r="AY90">
            <v>-4.0258035479878718E-2</v>
          </cell>
          <cell r="AZ90">
            <v>-4.5998620279602775E-2</v>
          </cell>
          <cell r="BA90">
            <v>-0.12785436397991723</v>
          </cell>
          <cell r="BL90">
            <v>2.9411764705882248E-2</v>
          </cell>
          <cell r="BM90">
            <v>2.3529411764705799E-2</v>
          </cell>
          <cell r="BN90">
            <v>3.529411764705892E-2</v>
          </cell>
          <cell r="BO90">
            <v>3.529411764705892E-2</v>
          </cell>
          <cell r="BP90">
            <v>2.3529411764705799E-2</v>
          </cell>
          <cell r="BR90">
            <v>3.6585365853658569E-2</v>
          </cell>
          <cell r="BS90">
            <v>3.6585365853658569E-2</v>
          </cell>
          <cell r="BT90">
            <v>3.6585365853658569E-2</v>
          </cell>
          <cell r="BU90">
            <v>3.6585365853658569E-2</v>
          </cell>
          <cell r="BV90">
            <v>3.6585365853658569E-2</v>
          </cell>
          <cell r="BX90">
            <v>-1.2048192771084376E-2</v>
          </cell>
          <cell r="BY90">
            <v>-3.5294117647058809E-2</v>
          </cell>
          <cell r="BZ90">
            <v>-3.5294117647058809E-2</v>
          </cell>
          <cell r="CA90">
            <v>0</v>
          </cell>
          <cell r="CB90">
            <v>2.4999999999999911E-2</v>
          </cell>
          <cell r="CD90">
            <v>-2.2190481595840139E-2</v>
          </cell>
          <cell r="CE90">
            <v>6.1184792219274975E-2</v>
          </cell>
          <cell r="CF90">
            <v>-2.409874608150453E-2</v>
          </cell>
          <cell r="CG90">
            <v>-6.8700696055684629E-2</v>
          </cell>
          <cell r="CH90">
            <v>-5.0865051903114078E-2</v>
          </cell>
          <cell r="DB90">
            <v>6.534441473128072E-2</v>
          </cell>
          <cell r="DC90">
            <v>0.20096545906172358</v>
          </cell>
          <cell r="DD90">
            <v>3.9523319615912156E-2</v>
          </cell>
          <cell r="DE90">
            <v>-1.652490886998792E-2</v>
          </cell>
          <cell r="DF90">
            <v>4.7387606318347597E-2</v>
          </cell>
          <cell r="DH90">
            <v>-2.3086269744835963E-2</v>
          </cell>
          <cell r="DI90">
            <v>-6.4039408866995107E-2</v>
          </cell>
          <cell r="DJ90">
            <v>-1.2195121951219523E-2</v>
          </cell>
          <cell r="DK90">
            <v>3.6585365853658569E-3</v>
          </cell>
          <cell r="DL90">
            <v>-2.0238095238095277E-2</v>
          </cell>
          <cell r="DN90">
            <v>-1.8396493123072677E-2</v>
          </cell>
          <cell r="DO90">
            <v>-6.4945683074739358E-2</v>
          </cell>
          <cell r="DP90">
            <v>-2.1945106669111647E-2</v>
          </cell>
          <cell r="DQ90">
            <v>-2.1945106669111647E-2</v>
          </cell>
          <cell r="DR90">
            <v>3.8961038961038863E-2</v>
          </cell>
          <cell r="DT90">
            <v>5.9048735575015776E-2</v>
          </cell>
          <cell r="DU90">
            <v>7.3447314137379704E-2</v>
          </cell>
          <cell r="DV90">
            <v>6.2272727272727257E-2</v>
          </cell>
          <cell r="DW90">
            <v>5.0000000000000044E-2</v>
          </cell>
          <cell r="DX90">
            <v>5.0000000000000044E-2</v>
          </cell>
          <cell r="DZ90">
            <v>1.7835561582798753E-2</v>
          </cell>
          <cell r="EA90">
            <v>5.0624999999999698E-2</v>
          </cell>
          <cell r="EB90">
            <v>2.4999999999999911E-2</v>
          </cell>
          <cell r="EC90">
            <v>2.4999999999999911E-2</v>
          </cell>
          <cell r="ED90">
            <v>-2.8042815333982896E-2</v>
          </cell>
          <cell r="EF90">
            <v>1.247109249675904E-2</v>
          </cell>
          <cell r="EG90">
            <v>0</v>
          </cell>
          <cell r="EH90">
            <v>0</v>
          </cell>
          <cell r="EI90">
            <v>2.4999999999999911E-2</v>
          </cell>
          <cell r="EJ90">
            <v>2.4999999999999911E-2</v>
          </cell>
          <cell r="EL90">
            <v>-6.0425120616445227E-3</v>
          </cell>
          <cell r="EM90">
            <v>-3.7438857173326401E-3</v>
          </cell>
          <cell r="EN90">
            <v>-3.7438857173326401E-3</v>
          </cell>
          <cell r="EO90">
            <v>-1.66822768119127E-2</v>
          </cell>
          <cell r="EP90">
            <v>0</v>
          </cell>
          <cell r="ER90">
            <v>0</v>
          </cell>
          <cell r="ES90">
            <v>2.5697828930217881E-3</v>
          </cell>
          <cell r="ET90">
            <v>2.8038440666503739E-2</v>
          </cell>
          <cell r="EU90">
            <v>-1.1575457360275543E-2</v>
          </cell>
          <cell r="EV90">
            <v>-1.7803206897351265E-2</v>
          </cell>
          <cell r="EX90">
            <v>6.3185167946511189E-2</v>
          </cell>
          <cell r="EY90">
            <v>-2.3492383673107131E-4</v>
          </cell>
          <cell r="EZ90">
            <v>5.3075576117076695E-2</v>
          </cell>
          <cell r="FA90">
            <v>9.0310444411763502E-2</v>
          </cell>
          <cell r="FB90">
            <v>0.11514676005972735</v>
          </cell>
          <cell r="FD90">
            <v>0.12209360866526864</v>
          </cell>
          <cell r="FE90">
            <v>0.1068049528621493</v>
          </cell>
          <cell r="FF90">
            <v>8.8315278375491912E-2</v>
          </cell>
          <cell r="FG90">
            <v>8.8944652731594021E-2</v>
          </cell>
          <cell r="FH90">
            <v>0.21627480841578239</v>
          </cell>
          <cell r="FJ90">
            <v>4.8862624850834147E-2</v>
          </cell>
          <cell r="FK90">
            <v>0.12856852369120264</v>
          </cell>
          <cell r="FL90">
            <v>-1.0914435367180841E-3</v>
          </cell>
          <cell r="FM90">
            <v>0.10880456529270188</v>
          </cell>
          <cell r="FN90">
            <v>-3.741635961931089E-2</v>
          </cell>
          <cell r="FP90">
            <v>8.0664691479693351E-2</v>
          </cell>
        </row>
        <row r="91">
          <cell r="A91" t="str">
            <v xml:space="preserve">Operating profit/ton </v>
          </cell>
          <cell r="C91">
            <v>75.122529644268781</v>
          </cell>
          <cell r="D91">
            <v>130.37974683544303</v>
          </cell>
          <cell r="E91">
            <v>113.86284584980237</v>
          </cell>
          <cell r="F91">
            <v>48.196721311475407</v>
          </cell>
          <cell r="G91">
            <v>21.130612244897961</v>
          </cell>
          <cell r="H91">
            <v>97.797540983606552</v>
          </cell>
          <cell r="I91">
            <v>5.0512820512820511</v>
          </cell>
          <cell r="J91">
            <v>75.148262548262551</v>
          </cell>
          <cell r="K91">
            <v>201.90398222326178</v>
          </cell>
          <cell r="L91">
            <v>302.90937859801653</v>
          </cell>
          <cell r="M91">
            <v>359.84329499750652</v>
          </cell>
          <cell r="N91">
            <v>193.57714705520956</v>
          </cell>
          <cell r="O91">
            <v>50.296248569800063</v>
          </cell>
          <cell r="P91">
            <v>40.828959530578381</v>
          </cell>
          <cell r="Q91">
            <v>-73.901184186319</v>
          </cell>
          <cell r="R91">
            <v>43.500605772054314</v>
          </cell>
          <cell r="S91">
            <v>288.89001580973917</v>
          </cell>
          <cell r="T91">
            <v>-21.838001532030546</v>
          </cell>
          <cell r="U91">
            <v>11.736116856918965</v>
          </cell>
          <cell r="V91">
            <v>9.5320850990227797</v>
          </cell>
          <cell r="W91">
            <v>43.855716644404872</v>
          </cell>
          <cell r="X91">
            <v>195.01335707925199</v>
          </cell>
          <cell r="Y91">
            <v>-14.358860195903828</v>
          </cell>
          <cell r="Z91">
            <v>14.581478183437223</v>
          </cell>
          <cell r="AA91">
            <v>68.121104185218215</v>
          </cell>
          <cell r="AB91">
            <v>213.17898486197686</v>
          </cell>
          <cell r="AC91">
            <v>219.0894924309884</v>
          </cell>
          <cell r="AD91">
            <v>64.314336598397148</v>
          </cell>
          <cell r="AI91">
            <v>195.01335707925199</v>
          </cell>
          <cell r="AL91">
            <v>166.51825467497773</v>
          </cell>
          <cell r="AM91">
            <v>247.55120213713269</v>
          </cell>
          <cell r="AN91">
            <v>199.46571682991987</v>
          </cell>
          <cell r="AO91">
            <v>166.51825467497773</v>
          </cell>
          <cell r="AQ91">
            <v>-14.358860195903828</v>
          </cell>
          <cell r="AR91">
            <v>-25.378450578806767</v>
          </cell>
          <cell r="AS91">
            <v>-49.421193232413181</v>
          </cell>
          <cell r="AT91">
            <v>-37.845057880676755</v>
          </cell>
          <cell r="AU91">
            <v>55.209260908281387</v>
          </cell>
          <cell r="AW91">
            <v>14.581478183437223</v>
          </cell>
          <cell r="AX91">
            <v>44.523597506678541</v>
          </cell>
          <cell r="AY91">
            <v>26.268922528940337</v>
          </cell>
          <cell r="AZ91">
            <v>-15.583259127337488</v>
          </cell>
          <cell r="BA91">
            <v>3.116651825467498</v>
          </cell>
          <cell r="BL91">
            <v>64.314336598397148</v>
          </cell>
          <cell r="BM91">
            <v>31.255565449688319</v>
          </cell>
          <cell r="BN91">
            <v>49.287622439893177</v>
          </cell>
          <cell r="BO91">
            <v>73.330365093499609</v>
          </cell>
          <cell r="BP91">
            <v>103.38379341050751</v>
          </cell>
          <cell r="BR91">
            <v>219.0894924309884</v>
          </cell>
          <cell r="BS91">
            <v>175.51202137132674</v>
          </cell>
          <cell r="BT91">
            <v>265.67230632235078</v>
          </cell>
          <cell r="BU91">
            <v>241.62956366874448</v>
          </cell>
          <cell r="BV91">
            <v>193.5440783615316</v>
          </cell>
          <cell r="BX91">
            <v>213.17898486197686</v>
          </cell>
          <cell r="BY91">
            <v>256.8121104185218</v>
          </cell>
          <cell r="BZ91">
            <v>231.87889581478183</v>
          </cell>
          <cell r="CA91">
            <v>206.94568121104189</v>
          </cell>
          <cell r="CB91">
            <v>157.07925200356195</v>
          </cell>
          <cell r="CD91">
            <v>68.121104185218215</v>
          </cell>
          <cell r="CE91">
            <v>94.835262689225345</v>
          </cell>
          <cell r="CF91">
            <v>68.121104185218215</v>
          </cell>
          <cell r="CG91">
            <v>61.442564559216436</v>
          </cell>
          <cell r="CH91">
            <v>48.085485307212871</v>
          </cell>
          <cell r="DB91">
            <v>43.855716644404872</v>
          </cell>
          <cell r="DC91">
            <v>73.01869991095279</v>
          </cell>
          <cell r="DD91">
            <v>65.104166666666671</v>
          </cell>
          <cell r="DE91">
            <v>54.300000000000047</v>
          </cell>
          <cell r="DF91">
            <v>-16.999999999999993</v>
          </cell>
          <cell r="DH91">
            <v>9.5320850990227797</v>
          </cell>
          <cell r="DI91">
            <v>50</v>
          </cell>
          <cell r="DJ91">
            <v>29.000000000000089</v>
          </cell>
          <cell r="DK91">
            <v>-10.962365591397768</v>
          </cell>
          <cell r="DL91">
            <v>-29.9092940125112</v>
          </cell>
          <cell r="DN91">
            <v>11.736116856918965</v>
          </cell>
          <cell r="DO91">
            <v>34.614936954413189</v>
          </cell>
          <cell r="DP91">
            <v>43.210475266731308</v>
          </cell>
          <cell r="DQ91">
            <v>-4.7896749521988307</v>
          </cell>
          <cell r="DR91">
            <v>-26.091269841269796</v>
          </cell>
          <cell r="DT91">
            <v>-21.838001532030546</v>
          </cell>
          <cell r="DU91">
            <v>-9.0106001010391292</v>
          </cell>
          <cell r="DV91">
            <v>-13.339900818749868</v>
          </cell>
          <cell r="DW91">
            <v>-88.447005208333195</v>
          </cell>
          <cell r="DX91">
            <v>23.44550000000001</v>
          </cell>
          <cell r="DZ91">
            <v>288.89001580973917</v>
          </cell>
          <cell r="EA91">
            <v>237.42358723958338</v>
          </cell>
          <cell r="EB91">
            <v>361.29034853522296</v>
          </cell>
          <cell r="EC91">
            <v>310.32806542521644</v>
          </cell>
          <cell r="ED91">
            <v>246.51806203893389</v>
          </cell>
          <cell r="EF91">
            <v>43.500605772054314</v>
          </cell>
          <cell r="EG91">
            <v>153.17478517411533</v>
          </cell>
          <cell r="EH91">
            <v>76.203541822766184</v>
          </cell>
          <cell r="EI91">
            <v>-0.79724867724864623</v>
          </cell>
          <cell r="EJ91">
            <v>-54.578655231415603</v>
          </cell>
          <cell r="EL91">
            <v>-73.901184186319</v>
          </cell>
          <cell r="EM91">
            <v>-138.82992385326651</v>
          </cell>
          <cell r="EN91">
            <v>-59.150108620780976</v>
          </cell>
          <cell r="EO91">
            <v>-48.043665951546245</v>
          </cell>
          <cell r="EP91">
            <v>-49.581038319682293</v>
          </cell>
          <cell r="ER91">
            <v>40.828959530578381</v>
          </cell>
          <cell r="ES91">
            <v>60.009459807722969</v>
          </cell>
          <cell r="ET91">
            <v>81.35397427453708</v>
          </cell>
          <cell r="EU91">
            <v>13.553187297414111</v>
          </cell>
          <cell r="EV91">
            <v>8.3992167426393589</v>
          </cell>
          <cell r="EX91">
            <v>50.296248569800063</v>
          </cell>
          <cell r="EY91">
            <v>0.51585121056822136</v>
          </cell>
          <cell r="EZ91">
            <v>29.526362823949956</v>
          </cell>
          <cell r="FA91">
            <v>67.199690813787768</v>
          </cell>
          <cell r="FB91">
            <v>103.9430894308943</v>
          </cell>
          <cell r="FD91">
            <v>193.57714705520956</v>
          </cell>
          <cell r="FE91">
            <v>147.97142658991609</v>
          </cell>
          <cell r="FF91">
            <v>175.02078403785893</v>
          </cell>
          <cell r="FG91">
            <v>204.08235294117648</v>
          </cell>
          <cell r="FH91">
            <v>247.23402465188676</v>
          </cell>
          <cell r="FJ91">
            <v>359.84329499750652</v>
          </cell>
          <cell r="FK91">
            <v>356.38368638117339</v>
          </cell>
          <cell r="FL91">
            <v>374.58635636273243</v>
          </cell>
          <cell r="FM91">
            <v>390.91354069327639</v>
          </cell>
          <cell r="FN91">
            <v>317.48959655284364</v>
          </cell>
          <cell r="FP91">
            <v>302.90937859801653</v>
          </cell>
          <cell r="FQ91">
            <v>309.30859498889947</v>
          </cell>
          <cell r="FR91">
            <v>342.79396776589681</v>
          </cell>
          <cell r="FS91">
            <v>297.14055328123061</v>
          </cell>
          <cell r="FT91">
            <v>262.39439835603929</v>
          </cell>
        </row>
        <row r="92">
          <cell r="A92" t="str">
            <v xml:space="preserve">  % Change </v>
          </cell>
          <cell r="D92">
            <v>0.73556118853872898</v>
          </cell>
          <cell r="E92">
            <v>-0.12668302697724387</v>
          </cell>
          <cell r="F92">
            <v>-0.57671248288443278</v>
          </cell>
          <cell r="G92">
            <v>-0.5615757323337498</v>
          </cell>
          <cell r="H92">
            <v>3.6282398186176561</v>
          </cell>
          <cell r="I92">
            <v>-0.94834960060878448</v>
          </cell>
          <cell r="J92">
            <v>13.877067204985988</v>
          </cell>
          <cell r="K92">
            <v>1.686741853726728</v>
          </cell>
          <cell r="L92">
            <v>0.50026450822086721</v>
          </cell>
          <cell r="M92">
            <v>0.18795692844837775</v>
          </cell>
          <cell r="N92">
            <v>-0.46205153813814726</v>
          </cell>
          <cell r="O92">
            <v>-0.74017465731398957</v>
          </cell>
          <cell r="P92">
            <v>-0.18823052033559085</v>
          </cell>
          <cell r="Q92">
            <v>-2.8100187963636829</v>
          </cell>
          <cell r="R92">
            <v>-1.5886320530721263</v>
          </cell>
          <cell r="S92">
            <v>5.6410573067313026</v>
          </cell>
          <cell r="T92">
            <v>-1.0755927873478774</v>
          </cell>
          <cell r="U92">
            <v>-1.5374171642815027</v>
          </cell>
          <cell r="V92">
            <v>-0.18779906375904998</v>
          </cell>
          <cell r="W92">
            <v>3.6008524041503698</v>
          </cell>
          <cell r="X92">
            <v>3.4467032350760105</v>
          </cell>
          <cell r="Y92">
            <v>-1.0736301369863013</v>
          </cell>
          <cell r="Z92" t="e">
            <v>#DIV/0!</v>
          </cell>
          <cell r="AA92" t="e">
            <v>#DIV/0!</v>
          </cell>
          <cell r="AB92" t="e">
            <v>#DIV/0!</v>
          </cell>
          <cell r="AC92" t="e">
            <v>#DIV/0!</v>
          </cell>
          <cell r="AD92" t="e">
            <v>#DIV/0!</v>
          </cell>
          <cell r="AI92">
            <v>3.4467032350760105</v>
          </cell>
          <cell r="AL92">
            <v>1.280487804878049</v>
          </cell>
          <cell r="AM92">
            <v>2.8023864648263577</v>
          </cell>
          <cell r="AN92">
            <v>2.6734017832397736</v>
          </cell>
          <cell r="AO92">
            <v>-10.795191451469282</v>
          </cell>
          <cell r="AQ92">
            <v>-1.0736301369863013</v>
          </cell>
          <cell r="AR92">
            <v>-1.1524064171122994</v>
          </cell>
          <cell r="AS92">
            <v>-1.1996402877697843</v>
          </cell>
          <cell r="AT92">
            <v>-1.1897321428571428</v>
          </cell>
          <cell r="AU92">
            <v>-0.66844919786096257</v>
          </cell>
          <cell r="AW92" t="e">
            <v>#DIV/0!</v>
          </cell>
          <cell r="AX92">
            <v>-4.1007751937984498</v>
          </cell>
          <cell r="AY92">
            <v>-2.0350877192982457</v>
          </cell>
          <cell r="AZ92">
            <v>-0.68468468468468469</v>
          </cell>
          <cell r="BA92">
            <v>-1.0823529411764705</v>
          </cell>
          <cell r="BL92" t="e">
            <v>#DIV/0!</v>
          </cell>
          <cell r="BM92">
            <v>-0.85733882030178332</v>
          </cell>
          <cell r="BN92">
            <v>-0.71917808219178059</v>
          </cell>
          <cell r="BO92">
            <v>-0.72398190045248834</v>
          </cell>
          <cell r="BP92">
            <v>-0.57213930348258746</v>
          </cell>
          <cell r="BR92" t="e">
            <v>#DIV/0!</v>
          </cell>
          <cell r="BS92">
            <v>-0.17669172932330857</v>
          </cell>
          <cell r="BT92">
            <v>3.4500693481275713E-2</v>
          </cell>
          <cell r="BU92">
            <v>4.2050691244239768E-2</v>
          </cell>
          <cell r="BV92">
            <v>-6.4759036144578563E-2</v>
          </cell>
          <cell r="BX92" t="e">
            <v>#DIV/0!</v>
          </cell>
          <cell r="BY92">
            <v>2.7699346405228726</v>
          </cell>
          <cell r="BZ92">
            <v>1.4450704225352098</v>
          </cell>
          <cell r="CA92">
            <v>2.0379084967320242</v>
          </cell>
          <cell r="CB92">
            <v>1.5565217391304338</v>
          </cell>
          <cell r="CD92" t="e">
            <v>#DIV/0!</v>
          </cell>
          <cell r="CE92">
            <v>5.5038167938931331</v>
          </cell>
          <cell r="CF92">
            <v>0.53000000000000114</v>
          </cell>
          <cell r="CG92">
            <v>1.3389830508474598</v>
          </cell>
          <cell r="CH92">
            <v>-4.085714285714289</v>
          </cell>
          <cell r="DB92">
            <v>3.6008524041503698</v>
          </cell>
          <cell r="DC92">
            <v>0.46037399821905578</v>
          </cell>
          <cell r="DD92">
            <v>1.2449712643678095</v>
          </cell>
          <cell r="DE92">
            <v>-5.9533104462972455</v>
          </cell>
          <cell r="DF92">
            <v>-0.43161480197798008</v>
          </cell>
          <cell r="DH92">
            <v>-0.18779906375904998</v>
          </cell>
          <cell r="DI92">
            <v>0.44446312485989692</v>
          </cell>
          <cell r="DJ92">
            <v>-0.32886644219977312</v>
          </cell>
          <cell r="DK92">
            <v>1.2887493829545145</v>
          </cell>
          <cell r="DL92">
            <v>0.14633339789396738</v>
          </cell>
          <cell r="DN92">
            <v>-1.5374171642815027</v>
          </cell>
          <cell r="DO92">
            <v>-4.8415795359091884</v>
          </cell>
          <cell r="DP92">
            <v>-4.2391901449519711</v>
          </cell>
          <cell r="DQ92">
            <v>-0.94584695161902932</v>
          </cell>
          <cell r="DR92">
            <v>-2.1128476612258122</v>
          </cell>
          <cell r="DT92">
            <v>-1.0755927873478774</v>
          </cell>
          <cell r="DU92">
            <v>-1.0379515793093741</v>
          </cell>
          <cell r="DV92">
            <v>-1.0369229371136919</v>
          </cell>
          <cell r="DW92">
            <v>-1.2850112995327758</v>
          </cell>
          <cell r="DX92">
            <v>-0.90489337857808916</v>
          </cell>
          <cell r="DZ92">
            <v>5.6410573067313026</v>
          </cell>
          <cell r="EA92">
            <v>0.55001743250171087</v>
          </cell>
          <cell r="EB92">
            <v>3.7411227863333467</v>
          </cell>
          <cell r="EC92">
            <v>-390.24876802076045</v>
          </cell>
          <cell r="ED92">
            <v>-5.5167485529588038</v>
          </cell>
          <cell r="EF92">
            <v>-1.5886320530721263</v>
          </cell>
          <cell r="EG92">
            <v>-2.1033268687520881</v>
          </cell>
          <cell r="EH92">
            <v>-2.2883077241889271</v>
          </cell>
          <cell r="EI92">
            <v>-0.98340574846947149</v>
          </cell>
          <cell r="EJ92">
            <v>0.1007969393361694</v>
          </cell>
          <cell r="EL92">
            <v>-2.8100187963636829</v>
          </cell>
          <cell r="EM92">
            <v>-3.3134673149548943</v>
          </cell>
          <cell r="EN92">
            <v>-1.7270709163042612</v>
          </cell>
          <cell r="EO92">
            <v>-4.5448241728875658</v>
          </cell>
          <cell r="EP92">
            <v>-6.9030549917803423</v>
          </cell>
          <cell r="ER92">
            <v>-0.18823052033559085</v>
          </cell>
          <cell r="ES92">
            <v>115.33094694421912</v>
          </cell>
          <cell r="ET92">
            <v>1.7552995524578385</v>
          </cell>
          <cell r="EU92">
            <v>-0.79831473726612268</v>
          </cell>
          <cell r="EV92">
            <v>-0.91919408217875309</v>
          </cell>
          <cell r="EX92">
            <v>-0.74017465731398957</v>
          </cell>
          <cell r="EY92">
            <v>-0.99651384579809565</v>
          </cell>
          <cell r="EZ92">
            <v>-0.83129796277473489</v>
          </cell>
          <cell r="FA92">
            <v>-0.67072267716769707</v>
          </cell>
          <cell r="FB92">
            <v>-0.57957611385710595</v>
          </cell>
          <cell r="FD92">
            <v>-0.46205153813814726</v>
          </cell>
          <cell r="FE92">
            <v>-0.58479741850009392</v>
          </cell>
          <cell r="FF92">
            <v>-0.5327625230739137</v>
          </cell>
          <cell r="FG92">
            <v>-0.47793480732532057</v>
          </cell>
          <cell r="FH92">
            <v>-0.22128464259540992</v>
          </cell>
          <cell r="FJ92">
            <v>0.18795692844837775</v>
          </cell>
          <cell r="FK92">
            <v>0.15219457898983824</v>
          </cell>
          <cell r="FL92">
            <v>9.2744889310734546E-2</v>
          </cell>
          <cell r="FM92">
            <v>0.31558461602275378</v>
          </cell>
          <cell r="FN92">
            <v>0.20997093894529884</v>
          </cell>
          <cell r="FP92">
            <v>0.50026450822086721</v>
          </cell>
        </row>
        <row r="437">
          <cell r="FQ437" t="str">
            <v>4QTR</v>
          </cell>
          <cell r="FR437" t="str">
            <v>3QTR</v>
          </cell>
          <cell r="FS437" t="str">
            <v>2QTR</v>
          </cell>
          <cell r="FT437" t="str">
            <v>1QTR</v>
          </cell>
        </row>
        <row r="487">
          <cell r="A487" t="str">
            <v>Bowater -Pro forma Cash Flow</v>
          </cell>
        </row>
        <row r="489">
          <cell r="A489" t="str">
            <v>($ in Millions)</v>
          </cell>
          <cell r="C489">
            <v>1979</v>
          </cell>
          <cell r="D489">
            <v>1980</v>
          </cell>
          <cell r="E489">
            <v>1981</v>
          </cell>
          <cell r="F489">
            <v>1982</v>
          </cell>
          <cell r="G489">
            <v>1983</v>
          </cell>
          <cell r="H489">
            <v>1984</v>
          </cell>
          <cell r="I489">
            <v>1985</v>
          </cell>
          <cell r="J489">
            <v>1986</v>
          </cell>
          <cell r="K489">
            <v>1987</v>
          </cell>
          <cell r="L489">
            <v>1988</v>
          </cell>
          <cell r="M489">
            <v>1989</v>
          </cell>
          <cell r="N489">
            <v>1990</v>
          </cell>
          <cell r="O489">
            <v>1991</v>
          </cell>
          <cell r="P489">
            <v>1992</v>
          </cell>
          <cell r="Q489">
            <v>1993</v>
          </cell>
          <cell r="R489">
            <v>1994</v>
          </cell>
          <cell r="S489">
            <v>1995</v>
          </cell>
          <cell r="T489">
            <v>1996</v>
          </cell>
          <cell r="U489">
            <v>1997</v>
          </cell>
          <cell r="V489">
            <v>1998</v>
          </cell>
          <cell r="W489">
            <v>1999</v>
          </cell>
          <cell r="X489">
            <v>2000</v>
          </cell>
          <cell r="Y489" t="str">
            <v>2001E</v>
          </cell>
        </row>
        <row r="490">
          <cell r="A490" t="str">
            <v>Net income</v>
          </cell>
          <cell r="C490">
            <v>0</v>
          </cell>
          <cell r="D490">
            <v>0</v>
          </cell>
          <cell r="E490">
            <v>0</v>
          </cell>
          <cell r="F490">
            <v>67.535000000000025</v>
          </cell>
          <cell r="G490">
            <v>20.744999999999997</v>
          </cell>
          <cell r="H490">
            <v>71.212200000000024</v>
          </cell>
          <cell r="I490">
            <v>67.515399999999971</v>
          </cell>
          <cell r="J490">
            <v>43.374200000000009</v>
          </cell>
          <cell r="K490">
            <v>81.16089999999997</v>
          </cell>
          <cell r="L490">
            <v>164.31699999999995</v>
          </cell>
          <cell r="M490">
            <v>144.50799999999998</v>
          </cell>
          <cell r="N490">
            <v>87.399999999999963</v>
          </cell>
          <cell r="O490">
            <v>45.6</v>
          </cell>
          <cell r="P490">
            <v>-70.125184488722965</v>
          </cell>
          <cell r="Q490">
            <v>-115.59446555356045</v>
          </cell>
          <cell r="R490">
            <v>-48.013965662980603</v>
          </cell>
          <cell r="S490">
            <v>289.41464003301621</v>
          </cell>
          <cell r="T490">
            <v>200.154</v>
          </cell>
          <cell r="U490">
            <v>52.806699835999993</v>
          </cell>
          <cell r="V490">
            <v>120.62193248442945</v>
          </cell>
          <cell r="W490">
            <v>-18.631381263866324</v>
          </cell>
          <cell r="X490">
            <v>142.77790000000002</v>
          </cell>
          <cell r="Y490">
            <v>-8.891528531855954</v>
          </cell>
        </row>
        <row r="491">
          <cell r="A491" t="str">
            <v>Depr., Depl. &amp; Amort.</v>
          </cell>
          <cell r="E491">
            <v>0</v>
          </cell>
          <cell r="F491">
            <v>0</v>
          </cell>
          <cell r="G491">
            <v>37.191000000000003</v>
          </cell>
          <cell r="H491">
            <v>39.305999999999997</v>
          </cell>
          <cell r="I491">
            <v>47.851999999999997</v>
          </cell>
          <cell r="J491">
            <v>61.5</v>
          </cell>
          <cell r="K491">
            <v>85.433999999999997</v>
          </cell>
          <cell r="L491">
            <v>98.007999999999996</v>
          </cell>
          <cell r="M491">
            <v>106.654</v>
          </cell>
          <cell r="N491">
            <v>117.485</v>
          </cell>
          <cell r="O491">
            <v>132.02600000000001</v>
          </cell>
          <cell r="P491">
            <v>160</v>
          </cell>
          <cell r="Q491">
            <v>163.08600000000001</v>
          </cell>
          <cell r="R491">
            <v>168.352</v>
          </cell>
          <cell r="S491">
            <v>174.17599999999999</v>
          </cell>
          <cell r="T491">
            <v>174.404</v>
          </cell>
          <cell r="U491">
            <v>169.82400000000001</v>
          </cell>
          <cell r="V491">
            <v>229.6</v>
          </cell>
          <cell r="W491">
            <v>302</v>
          </cell>
          <cell r="X491">
            <v>295.2</v>
          </cell>
          <cell r="Y491">
            <v>321.3</v>
          </cell>
        </row>
        <row r="492">
          <cell r="A492" t="str">
            <v>Deferred taxes</v>
          </cell>
          <cell r="H492">
            <v>30.7</v>
          </cell>
          <cell r="I492">
            <v>17.600000000000001</v>
          </cell>
          <cell r="J492">
            <v>29.4</v>
          </cell>
          <cell r="K492">
            <v>52.2</v>
          </cell>
          <cell r="L492">
            <v>54.6</v>
          </cell>
          <cell r="M492">
            <v>53.8</v>
          </cell>
          <cell r="N492">
            <v>27.366</v>
          </cell>
          <cell r="O492">
            <v>-22.6</v>
          </cell>
          <cell r="P492">
            <v>1</v>
          </cell>
          <cell r="Q492">
            <v>19</v>
          </cell>
          <cell r="R492">
            <v>-10</v>
          </cell>
          <cell r="S492">
            <v>183.09</v>
          </cell>
          <cell r="T492">
            <v>37</v>
          </cell>
          <cell r="U492">
            <v>-3.4</v>
          </cell>
          <cell r="V492">
            <v>-40</v>
          </cell>
        </row>
        <row r="493">
          <cell r="A493" t="str">
            <v>Tax payments</v>
          </cell>
          <cell r="R493">
            <v>30</v>
          </cell>
          <cell r="T493">
            <v>-80</v>
          </cell>
        </row>
        <row r="494">
          <cell r="A494" t="str">
            <v>Avenor purchase</v>
          </cell>
          <cell r="V494">
            <v>-675</v>
          </cell>
        </row>
        <row r="495">
          <cell r="A495" t="str">
            <v>Halla</v>
          </cell>
          <cell r="V495">
            <v>-201</v>
          </cell>
        </row>
        <row r="496">
          <cell r="A496" t="str">
            <v>Asset sales</v>
          </cell>
          <cell r="T496">
            <v>117</v>
          </cell>
          <cell r="V496">
            <v>555.6</v>
          </cell>
          <cell r="W496">
            <v>278</v>
          </cell>
          <cell r="X496">
            <v>200</v>
          </cell>
          <cell r="Y496">
            <v>200</v>
          </cell>
        </row>
        <row r="497">
          <cell r="A497" t="str">
            <v xml:space="preserve"> Operating Cash Flow</v>
          </cell>
          <cell r="C497">
            <v>0</v>
          </cell>
          <cell r="D497">
            <v>0</v>
          </cell>
          <cell r="E497">
            <v>0</v>
          </cell>
          <cell r="F497">
            <v>67.535000000000025</v>
          </cell>
          <cell r="G497">
            <v>57.936</v>
          </cell>
          <cell r="H497">
            <v>141.21820000000002</v>
          </cell>
          <cell r="I497">
            <v>132.96739999999997</v>
          </cell>
          <cell r="J497">
            <v>134.27420000000001</v>
          </cell>
          <cell r="K497">
            <v>218.79489999999998</v>
          </cell>
          <cell r="L497">
            <v>316.92499999999995</v>
          </cell>
          <cell r="M497">
            <v>304.96199999999999</v>
          </cell>
          <cell r="N497">
            <v>232.25099999999998</v>
          </cell>
          <cell r="O497">
            <v>155.02600000000001</v>
          </cell>
          <cell r="P497">
            <v>90.874815511277035</v>
          </cell>
          <cell r="Q497">
            <v>66.491534446439559</v>
          </cell>
          <cell r="R497">
            <v>140.33803433701939</v>
          </cell>
          <cell r="S497">
            <v>646.68064003301618</v>
          </cell>
          <cell r="T497">
            <v>331.55799999999999</v>
          </cell>
          <cell r="U497">
            <v>219.23069983600001</v>
          </cell>
          <cell r="V497">
            <v>-10.178067515570547</v>
          </cell>
          <cell r="W497">
            <v>561.36861873613361</v>
          </cell>
          <cell r="X497">
            <v>637.97789999999998</v>
          </cell>
          <cell r="Y497">
            <v>512.40847146814406</v>
          </cell>
        </row>
        <row r="498">
          <cell r="A498" t="str">
            <v>Capital Expenditures</v>
          </cell>
          <cell r="C498">
            <v>0</v>
          </cell>
          <cell r="D498">
            <v>0</v>
          </cell>
          <cell r="E498">
            <v>0</v>
          </cell>
          <cell r="F498">
            <v>0</v>
          </cell>
          <cell r="G498">
            <v>-70.099999999999994</v>
          </cell>
          <cell r="H498">
            <v>-176.7</v>
          </cell>
          <cell r="I498">
            <v>-297.3</v>
          </cell>
          <cell r="J498">
            <v>-308.52199999999999</v>
          </cell>
          <cell r="K498">
            <v>-88.087999999999994</v>
          </cell>
          <cell r="L498">
            <v>0</v>
          </cell>
          <cell r="M498">
            <v>0</v>
          </cell>
          <cell r="N498">
            <v>0</v>
          </cell>
          <cell r="O498">
            <v>0</v>
          </cell>
          <cell r="P498">
            <v>-139.5</v>
          </cell>
          <cell r="Q498">
            <v>-121.8</v>
          </cell>
          <cell r="R498">
            <v>-216</v>
          </cell>
          <cell r="S498">
            <v>-96</v>
          </cell>
          <cell r="T498">
            <v>-107</v>
          </cell>
          <cell r="U498">
            <v>-99.6</v>
          </cell>
          <cell r="V498">
            <v>-220</v>
          </cell>
          <cell r="W498">
            <v>-300</v>
          </cell>
          <cell r="X498">
            <v>-275</v>
          </cell>
          <cell r="Y498">
            <v>-275</v>
          </cell>
        </row>
        <row r="499">
          <cell r="A499" t="str">
            <v>Cash Dividends</v>
          </cell>
          <cell r="C499">
            <v>0</v>
          </cell>
          <cell r="D499">
            <v>0</v>
          </cell>
          <cell r="E499">
            <v>0</v>
          </cell>
          <cell r="F499">
            <v>0</v>
          </cell>
          <cell r="G499">
            <v>0</v>
          </cell>
          <cell r="H499">
            <v>0</v>
          </cell>
          <cell r="I499">
            <v>-23.325119999999998</v>
          </cell>
          <cell r="J499">
            <v>-23.433839999999996</v>
          </cell>
          <cell r="K499">
            <v>-30.236070000000002</v>
          </cell>
          <cell r="L499">
            <v>-36.472000000000001</v>
          </cell>
          <cell r="M499">
            <v>-42.749999999999993</v>
          </cell>
          <cell r="N499">
            <v>-45.6</v>
          </cell>
          <cell r="O499">
            <v>-44.654000000000003</v>
          </cell>
          <cell r="P499">
            <v>-46.323</v>
          </cell>
          <cell r="Q499">
            <v>-29.846</v>
          </cell>
          <cell r="R499">
            <v>-34.9</v>
          </cell>
          <cell r="S499">
            <v>-41.783000000000001</v>
          </cell>
          <cell r="T499">
            <v>-50.483000000000004</v>
          </cell>
          <cell r="U499">
            <v>-57.56</v>
          </cell>
          <cell r="V499">
            <v>-38.731000000000002</v>
          </cell>
          <cell r="W499">
            <v>-43.900000000000006</v>
          </cell>
          <cell r="X499">
            <v>-42.220000000000006</v>
          </cell>
          <cell r="Y499">
            <v>-42.6</v>
          </cell>
        </row>
        <row r="500">
          <cell r="A500" t="str">
            <v xml:space="preserve"> Net Cash Flow</v>
          </cell>
          <cell r="C500">
            <v>0</v>
          </cell>
          <cell r="D500">
            <v>0</v>
          </cell>
          <cell r="E500">
            <v>0</v>
          </cell>
          <cell r="F500">
            <v>67.535000000000025</v>
          </cell>
          <cell r="G500">
            <v>128.036</v>
          </cell>
          <cell r="H500">
            <v>317.91820000000001</v>
          </cell>
          <cell r="I500">
            <v>453.59251999999998</v>
          </cell>
          <cell r="J500">
            <v>466.23004000000003</v>
          </cell>
          <cell r="K500">
            <v>337.11896999999999</v>
          </cell>
          <cell r="L500">
            <v>316.92499999999995</v>
          </cell>
          <cell r="M500">
            <v>304.96199999999999</v>
          </cell>
          <cell r="N500">
            <v>182.23999999999998</v>
          </cell>
          <cell r="O500">
            <v>110.37200000000001</v>
          </cell>
          <cell r="P500">
            <v>-94.948184488722973</v>
          </cell>
          <cell r="Q500">
            <v>-85.154465553560428</v>
          </cell>
          <cell r="R500">
            <v>-110.56196566298061</v>
          </cell>
          <cell r="S500">
            <v>508.89764003301616</v>
          </cell>
          <cell r="T500">
            <v>174.07499999999999</v>
          </cell>
          <cell r="U500">
            <v>62.070699836000017</v>
          </cell>
          <cell r="V500">
            <v>-268.90906751557054</v>
          </cell>
          <cell r="W500">
            <v>217.46861873613364</v>
          </cell>
          <cell r="X500">
            <v>320.75789999999995</v>
          </cell>
          <cell r="Y500">
            <v>194.80847146814403</v>
          </cell>
        </row>
        <row r="501">
          <cell r="A501" t="str">
            <v>Share repurchase</v>
          </cell>
          <cell r="T501">
            <v>-98.762</v>
          </cell>
          <cell r="U501">
            <v>-66.844999999999999</v>
          </cell>
          <cell r="V501">
            <v>-160</v>
          </cell>
          <cell r="W501">
            <v>-160</v>
          </cell>
          <cell r="X501">
            <v>-160</v>
          </cell>
          <cell r="Y501">
            <v>-160</v>
          </cell>
        </row>
        <row r="502">
          <cell r="A502" t="str">
            <v>Change in debt</v>
          </cell>
          <cell r="U502">
            <v>-26.8</v>
          </cell>
          <cell r="V502">
            <v>100</v>
          </cell>
          <cell r="W502">
            <v>-143</v>
          </cell>
          <cell r="X502">
            <v>-276</v>
          </cell>
          <cell r="Y502">
            <v>-276</v>
          </cell>
        </row>
        <row r="503">
          <cell r="A503" t="str">
            <v>Increase (decrease) in cash</v>
          </cell>
          <cell r="U503">
            <v>-31.574300163999983</v>
          </cell>
          <cell r="V503">
            <v>-328.90906751557054</v>
          </cell>
          <cell r="W503">
            <v>-85.531381263866365</v>
          </cell>
          <cell r="X503">
            <v>-115.24210000000005</v>
          </cell>
          <cell r="Y503">
            <v>-241.19152853185597</v>
          </cell>
        </row>
        <row r="504">
          <cell r="A504" t="str">
            <v>Cash at Start of Year</v>
          </cell>
          <cell r="U504">
            <v>430.7</v>
          </cell>
          <cell r="V504">
            <v>399.12569983600002</v>
          </cell>
          <cell r="W504">
            <v>70.216632320429483</v>
          </cell>
          <cell r="X504">
            <v>-15.314748943436882</v>
          </cell>
          <cell r="Y504">
            <v>-130.55684894343693</v>
          </cell>
        </row>
        <row r="505">
          <cell r="A505" t="str">
            <v>Yearend Cash and Equivalents</v>
          </cell>
          <cell r="T505">
            <v>430.7</v>
          </cell>
          <cell r="U505">
            <v>399.12569983600002</v>
          </cell>
          <cell r="V505">
            <v>70.216632320429483</v>
          </cell>
          <cell r="W505">
            <v>-15.314748943436882</v>
          </cell>
          <cell r="X505">
            <v>-130.55684894343693</v>
          </cell>
          <cell r="Y505">
            <v>-371.7483774752929</v>
          </cell>
        </row>
        <row r="507">
          <cell r="A507" t="str">
            <v>E = Morgan Stanley Dean Witter Research Estimates</v>
          </cell>
        </row>
        <row r="509">
          <cell r="A509" t="str">
            <v>Bowater -Balance Sheet Items</v>
          </cell>
        </row>
        <row r="511">
          <cell r="A511" t="str">
            <v>($ in Millions)</v>
          </cell>
          <cell r="C511">
            <v>1979</v>
          </cell>
          <cell r="D511">
            <v>1980</v>
          </cell>
          <cell r="E511">
            <v>1981</v>
          </cell>
          <cell r="F511">
            <v>1982</v>
          </cell>
          <cell r="G511">
            <v>1983</v>
          </cell>
          <cell r="H511">
            <v>1984</v>
          </cell>
          <cell r="I511">
            <v>1985</v>
          </cell>
          <cell r="J511">
            <v>1986</v>
          </cell>
          <cell r="K511">
            <v>1987</v>
          </cell>
          <cell r="L511">
            <v>1988</v>
          </cell>
          <cell r="M511">
            <v>1989</v>
          </cell>
          <cell r="N511">
            <v>1990</v>
          </cell>
          <cell r="O511">
            <v>1991</v>
          </cell>
          <cell r="P511">
            <v>1992</v>
          </cell>
          <cell r="Q511">
            <v>1993</v>
          </cell>
          <cell r="R511">
            <v>1994</v>
          </cell>
          <cell r="S511">
            <v>1995</v>
          </cell>
          <cell r="T511">
            <v>1996</v>
          </cell>
          <cell r="U511">
            <v>1997</v>
          </cell>
          <cell r="V511">
            <v>1998</v>
          </cell>
          <cell r="W511">
            <v>1999</v>
          </cell>
          <cell r="X511">
            <v>2000</v>
          </cell>
          <cell r="Y511" t="str">
            <v>2001E</v>
          </cell>
        </row>
        <row r="512">
          <cell r="A512" t="str">
            <v>Total debt</v>
          </cell>
          <cell r="C512">
            <v>144.5</v>
          </cell>
          <cell r="D512">
            <v>147</v>
          </cell>
          <cell r="E512">
            <v>163.4</v>
          </cell>
          <cell r="F512">
            <v>224.7</v>
          </cell>
          <cell r="G512">
            <v>216.8</v>
          </cell>
          <cell r="H512">
            <v>273.60000000000002</v>
          </cell>
          <cell r="I512">
            <v>345.3</v>
          </cell>
          <cell r="J512">
            <v>631.79999999999995</v>
          </cell>
          <cell r="K512">
            <v>367.6</v>
          </cell>
          <cell r="L512">
            <v>0</v>
          </cell>
          <cell r="M512">
            <v>0</v>
          </cell>
          <cell r="N512">
            <v>0</v>
          </cell>
          <cell r="O512">
            <v>864.49699999999996</v>
          </cell>
          <cell r="P512">
            <v>1134</v>
          </cell>
          <cell r="Q512">
            <v>1120</v>
          </cell>
          <cell r="R512">
            <v>1118.491</v>
          </cell>
          <cell r="S512">
            <v>818.1</v>
          </cell>
          <cell r="T512">
            <v>759</v>
          </cell>
          <cell r="U512">
            <v>757</v>
          </cell>
          <cell r="V512">
            <v>1668.3999999999999</v>
          </cell>
          <cell r="W512">
            <v>1450.9313812638661</v>
          </cell>
          <cell r="X512">
            <v>1130.1734812638661</v>
          </cell>
          <cell r="Y512">
            <v>935.36500979572202</v>
          </cell>
        </row>
        <row r="513">
          <cell r="A513" t="str">
            <v>Deferred taxes</v>
          </cell>
          <cell r="G513">
            <v>121</v>
          </cell>
          <cell r="H513">
            <v>150</v>
          </cell>
          <cell r="I513">
            <v>164</v>
          </cell>
          <cell r="J513">
            <v>194</v>
          </cell>
          <cell r="K513">
            <v>248</v>
          </cell>
          <cell r="L513">
            <v>0</v>
          </cell>
          <cell r="M513">
            <v>0</v>
          </cell>
          <cell r="N513">
            <v>0</v>
          </cell>
          <cell r="O513">
            <v>390.99700000000001</v>
          </cell>
          <cell r="P513">
            <v>299.60000000000002</v>
          </cell>
          <cell r="Q513">
            <v>272</v>
          </cell>
          <cell r="R513">
            <v>261.89999999999998</v>
          </cell>
          <cell r="S513">
            <v>311</v>
          </cell>
          <cell r="T513">
            <v>321</v>
          </cell>
          <cell r="U513">
            <v>331</v>
          </cell>
          <cell r="V513">
            <v>473.6</v>
          </cell>
          <cell r="W513">
            <v>481.4</v>
          </cell>
          <cell r="X513">
            <v>508.1</v>
          </cell>
          <cell r="Y513">
            <v>603.79999999999995</v>
          </cell>
        </row>
        <row r="514">
          <cell r="A514" t="str">
            <v>Preferred Stock</v>
          </cell>
          <cell r="I514">
            <v>74</v>
          </cell>
          <cell r="J514">
            <v>74</v>
          </cell>
          <cell r="K514">
            <v>74</v>
          </cell>
          <cell r="L514">
            <v>74</v>
          </cell>
          <cell r="M514">
            <v>74</v>
          </cell>
          <cell r="N514">
            <v>74</v>
          </cell>
          <cell r="O514">
            <v>74</v>
          </cell>
          <cell r="P514">
            <v>74</v>
          </cell>
          <cell r="Q514">
            <v>74</v>
          </cell>
          <cell r="R514">
            <v>74</v>
          </cell>
          <cell r="S514">
            <v>74</v>
          </cell>
          <cell r="T514">
            <v>74</v>
          </cell>
          <cell r="U514">
            <v>74</v>
          </cell>
          <cell r="V514">
            <v>74</v>
          </cell>
          <cell r="W514">
            <v>74</v>
          </cell>
          <cell r="X514">
            <v>74</v>
          </cell>
          <cell r="Y514">
            <v>74</v>
          </cell>
        </row>
        <row r="515">
          <cell r="A515" t="str">
            <v>Common Shareholders Equity</v>
          </cell>
          <cell r="C515">
            <v>0</v>
          </cell>
          <cell r="D515">
            <v>0</v>
          </cell>
          <cell r="E515">
            <v>0</v>
          </cell>
          <cell r="F515">
            <v>0</v>
          </cell>
          <cell r="G515">
            <v>334.48599999999999</v>
          </cell>
          <cell r="H515">
            <v>379.44099999999997</v>
          </cell>
          <cell r="I515">
            <v>422.95699999999999</v>
          </cell>
          <cell r="J515">
            <v>451.923</v>
          </cell>
          <cell r="K515">
            <v>712.827</v>
          </cell>
          <cell r="L515">
            <v>867.43200000000002</v>
          </cell>
          <cell r="M515">
            <v>951.375</v>
          </cell>
          <cell r="N515">
            <v>997.11999999999989</v>
          </cell>
          <cell r="O515">
            <v>940.41480000000013</v>
          </cell>
          <cell r="P515">
            <v>817</v>
          </cell>
          <cell r="Q515">
            <v>732</v>
          </cell>
          <cell r="R515">
            <v>691.82872000000009</v>
          </cell>
          <cell r="S515">
            <v>1065.3449599999999</v>
          </cell>
          <cell r="T515">
            <v>1200.8639799999999</v>
          </cell>
          <cell r="U515">
            <v>1141.0753275</v>
          </cell>
          <cell r="V515">
            <v>1564.2482625</v>
          </cell>
          <cell r="W515">
            <v>1816.3625000000002</v>
          </cell>
          <cell r="X515">
            <v>1838.6810000000003</v>
          </cell>
          <cell r="Y515">
            <v>2024.7</v>
          </cell>
        </row>
        <row r="517">
          <cell r="A517" t="str">
            <v>Debt to Total Capital</v>
          </cell>
          <cell r="C517">
            <v>1</v>
          </cell>
          <cell r="D517">
            <v>1</v>
          </cell>
          <cell r="E517">
            <v>1</v>
          </cell>
          <cell r="F517">
            <v>1</v>
          </cell>
          <cell r="G517">
            <v>0.32248180090021211</v>
          </cell>
          <cell r="H517">
            <v>0.34070489551592015</v>
          </cell>
          <cell r="I517">
            <v>0.34315289235255014</v>
          </cell>
          <cell r="J517">
            <v>0.46740345470188788</v>
          </cell>
          <cell r="K517">
            <v>0.26211702997731789</v>
          </cell>
          <cell r="L517">
            <v>0</v>
          </cell>
          <cell r="M517">
            <v>0</v>
          </cell>
          <cell r="N517">
            <v>0</v>
          </cell>
          <cell r="O517">
            <v>0.38085098396904754</v>
          </cell>
          <cell r="P517">
            <v>0.48782586251398091</v>
          </cell>
          <cell r="Q517">
            <v>0.50955414012738853</v>
          </cell>
          <cell r="R517">
            <v>0.52114468503718714</v>
          </cell>
          <cell r="S517">
            <v>0.36064353088822576</v>
          </cell>
          <cell r="T517">
            <v>0.32231160969220818</v>
          </cell>
          <cell r="U517">
            <v>0.32869094248069058</v>
          </cell>
          <cell r="V517">
            <v>0.44134667464846161</v>
          </cell>
          <cell r="W517">
            <v>0.37955730339154348</v>
          </cell>
          <cell r="X517">
            <v>0.31827315366250808</v>
          </cell>
          <cell r="Y517">
            <v>0.25711921890368489</v>
          </cell>
        </row>
        <row r="518">
          <cell r="A518" t="str">
            <v>Book Value per Share</v>
          </cell>
          <cell r="G518">
            <v>13.379439999999999</v>
          </cell>
          <cell r="H518">
            <v>13.364363200901662</v>
          </cell>
          <cell r="I518">
            <v>13.055840227188542</v>
          </cell>
          <cell r="J518">
            <v>13.885242879528068</v>
          </cell>
          <cell r="K518">
            <v>19.567569793296549</v>
          </cell>
          <cell r="L518">
            <v>0</v>
          </cell>
          <cell r="M518">
            <v>0</v>
          </cell>
          <cell r="N518">
            <v>0</v>
          </cell>
          <cell r="O518">
            <v>26.21</v>
          </cell>
          <cell r="P518">
            <v>22.605904651227139</v>
          </cell>
          <cell r="Q518">
            <v>20.148637489677952</v>
          </cell>
          <cell r="R518">
            <v>18.920000000000002</v>
          </cell>
          <cell r="S518">
            <v>24.519999999999996</v>
          </cell>
          <cell r="T518">
            <v>27.97</v>
          </cell>
          <cell r="U518">
            <v>27.990000000000002</v>
          </cell>
          <cell r="V518">
            <v>32.31</v>
          </cell>
          <cell r="W518">
            <v>33.1</v>
          </cell>
          <cell r="X518">
            <v>34.840000000000003</v>
          </cell>
          <cell r="Y518">
            <v>38.022535211267609</v>
          </cell>
        </row>
        <row r="519">
          <cell r="A519" t="str">
            <v>Return on Equity</v>
          </cell>
          <cell r="G519">
            <v>0.12404106599379346</v>
          </cell>
          <cell r="H519">
            <v>0.19949434606059172</v>
          </cell>
          <cell r="I519">
            <v>0.16828406850465724</v>
          </cell>
          <cell r="J519">
            <v>9.9154626920263375E-2</v>
          </cell>
          <cell r="K519">
            <v>0.13936192315947624</v>
          </cell>
          <cell r="L519">
            <v>0.20796211253977981</v>
          </cell>
          <cell r="M519">
            <v>0.15890416080430741</v>
          </cell>
          <cell r="N519">
            <v>8.9710263562390424E-2</v>
          </cell>
          <cell r="O519">
            <v>4.7070122301803304E-2</v>
          </cell>
          <cell r="P519">
            <v>-7.9804932209200652E-2</v>
          </cell>
          <cell r="Q519">
            <v>-0.14925043970763133</v>
          </cell>
          <cell r="R519">
            <v>-6.7443457191930511E-2</v>
          </cell>
          <cell r="S519">
            <v>0.32940925911548624</v>
          </cell>
          <cell r="T519">
            <v>0.17664214139054632</v>
          </cell>
          <cell r="U519">
            <v>4.5096557085734811E-2</v>
          </cell>
          <cell r="V519">
            <v>8.9173755723935003E-2</v>
          </cell>
          <cell r="W519">
            <v>-1.1022494201662071E-2</v>
          </cell>
          <cell r="X519">
            <v>7.812651203740803E-2</v>
          </cell>
          <cell r="Y519">
            <v>-4.60297782271847E-3</v>
          </cell>
        </row>
        <row r="520">
          <cell r="A520" t="str">
            <v>Dividends per share</v>
          </cell>
          <cell r="G520">
            <v>0</v>
          </cell>
          <cell r="H520">
            <v>0</v>
          </cell>
          <cell r="I520">
            <v>-0.72</v>
          </cell>
          <cell r="J520">
            <v>-0.72</v>
          </cell>
          <cell r="K520">
            <v>-0.83</v>
          </cell>
          <cell r="L520">
            <v>0</v>
          </cell>
          <cell r="M520">
            <v>1.1399999999999999</v>
          </cell>
          <cell r="N520">
            <v>1.2</v>
          </cell>
          <cell r="O520">
            <v>1.2</v>
          </cell>
          <cell r="P520">
            <v>1.2</v>
          </cell>
          <cell r="Q520">
            <v>0.6</v>
          </cell>
          <cell r="R520">
            <v>0.6</v>
          </cell>
          <cell r="S520">
            <v>0.6</v>
          </cell>
          <cell r="T520">
            <v>0.8</v>
          </cell>
          <cell r="U520">
            <v>0.8</v>
          </cell>
          <cell r="V520">
            <v>0.8</v>
          </cell>
          <cell r="W520">
            <v>0.8</v>
          </cell>
          <cell r="X520">
            <v>0.8</v>
          </cell>
          <cell r="Y520">
            <v>0.8</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Summary"/>
      <sheetName val="TIN Model"/>
      <sheetName val="Powerpoint"/>
      <sheetName val="DCF"/>
      <sheetName val="Valuation"/>
      <sheetName val="ResidualInc"/>
      <sheetName val="NewMidPeak"/>
      <sheetName val="NAV"/>
      <sheetName val="NAV2"/>
      <sheetName val="NAV3"/>
      <sheetName val="Segment EBITDA"/>
      <sheetName val="EPSLev"/>
      <sheetName val="Mills"/>
      <sheetName val="Timberlands"/>
      <sheetName val="Downtime"/>
      <sheetName val="MainCode"/>
      <sheetName val="Acquisitions"/>
      <sheetName val="NY UPLOAD"/>
      <sheetName val="NY UPLOAD shadow"/>
    </sheetNames>
    <sheetDataSet>
      <sheetData sheetId="0"/>
      <sheetData sheetId="1"/>
      <sheetData sheetId="2" refreshError="1">
        <row r="5">
          <cell r="A5" t="str">
            <v>Capacities</v>
          </cell>
        </row>
        <row r="6">
          <cell r="R6" t="str">
            <v xml:space="preserve"> </v>
          </cell>
          <cell r="X6" t="str">
            <v xml:space="preserve"> </v>
          </cell>
        </row>
        <row r="7">
          <cell r="C7" t="str">
            <v>1979</v>
          </cell>
          <cell r="D7" t="str">
            <v>1980</v>
          </cell>
          <cell r="E7" t="str">
            <v>1981</v>
          </cell>
          <cell r="F7" t="str">
            <v>1982</v>
          </cell>
          <cell r="G7" t="str">
            <v>1983</v>
          </cell>
          <cell r="H7" t="str">
            <v>1984</v>
          </cell>
          <cell r="I7">
            <v>1985</v>
          </cell>
          <cell r="J7" t="str">
            <v>1986</v>
          </cell>
          <cell r="K7" t="str">
            <v>1987</v>
          </cell>
          <cell r="L7" t="str">
            <v>1988</v>
          </cell>
          <cell r="M7" t="str">
            <v>1989</v>
          </cell>
          <cell r="N7">
            <v>1990</v>
          </cell>
          <cell r="O7">
            <v>1991</v>
          </cell>
          <cell r="P7">
            <v>1992</v>
          </cell>
          <cell r="Q7">
            <v>1993</v>
          </cell>
          <cell r="R7">
            <v>1994</v>
          </cell>
          <cell r="S7">
            <v>1995</v>
          </cell>
          <cell r="T7">
            <v>1996</v>
          </cell>
          <cell r="U7">
            <v>1997</v>
          </cell>
          <cell r="V7">
            <v>1998</v>
          </cell>
          <cell r="W7">
            <v>1999</v>
          </cell>
          <cell r="X7">
            <v>2000</v>
          </cell>
          <cell r="Y7">
            <v>2001</v>
          </cell>
          <cell r="Z7">
            <v>2002</v>
          </cell>
          <cell r="AA7" t="str">
            <v>2003E</v>
          </cell>
          <cell r="AB7" t="str">
            <v>2004E</v>
          </cell>
          <cell r="AC7" t="str">
            <v>2005E</v>
          </cell>
          <cell r="AD7" t="str">
            <v>2006E</v>
          </cell>
        </row>
        <row r="8">
          <cell r="A8" t="str">
            <v>Pulp and Paper</v>
          </cell>
        </row>
        <row r="9">
          <cell r="A9" t="str">
            <v xml:space="preserve">  Linerboard &amp; medium (TPY)</v>
          </cell>
          <cell r="I9">
            <v>1294</v>
          </cell>
          <cell r="J9">
            <v>1631</v>
          </cell>
          <cell r="K9">
            <v>1845.075</v>
          </cell>
          <cell r="L9">
            <v>1845.075</v>
          </cell>
          <cell r="M9">
            <v>2014.8</v>
          </cell>
          <cell r="N9">
            <v>2069.5500000000002</v>
          </cell>
          <cell r="O9">
            <v>2142.5500000000002</v>
          </cell>
          <cell r="P9">
            <v>2215.5500000000002</v>
          </cell>
          <cell r="Q9">
            <v>2279.4250000000002</v>
          </cell>
          <cell r="R9">
            <v>2292.5</v>
          </cell>
          <cell r="S9">
            <v>2514</v>
          </cell>
          <cell r="T9">
            <v>2577</v>
          </cell>
          <cell r="U9">
            <v>2761</v>
          </cell>
          <cell r="V9">
            <v>2788.61</v>
          </cell>
          <cell r="W9">
            <v>2816.4961000000003</v>
          </cell>
          <cell r="X9">
            <v>2844.6610610000002</v>
          </cell>
          <cell r="Y9">
            <v>2636</v>
          </cell>
          <cell r="Z9">
            <v>3270</v>
          </cell>
          <cell r="AA9">
            <v>3302.7</v>
          </cell>
          <cell r="AB9">
            <v>3335.7269999999999</v>
          </cell>
          <cell r="AC9">
            <v>3369.0842699999998</v>
          </cell>
          <cell r="AD9">
            <v>3402.7751126999997</v>
          </cell>
        </row>
        <row r="10">
          <cell r="A10" t="str">
            <v xml:space="preserve">    Rome  TPD</v>
          </cell>
          <cell r="K10">
            <v>2000</v>
          </cell>
          <cell r="L10">
            <v>2000</v>
          </cell>
          <cell r="M10">
            <v>2165</v>
          </cell>
          <cell r="N10">
            <v>2200</v>
          </cell>
          <cell r="O10">
            <v>2200</v>
          </cell>
          <cell r="P10">
            <v>2200</v>
          </cell>
          <cell r="Q10">
            <v>2300</v>
          </cell>
          <cell r="R10">
            <v>2350</v>
          </cell>
          <cell r="S10">
            <v>2400</v>
          </cell>
          <cell r="T10">
            <v>2500</v>
          </cell>
          <cell r="U10">
            <v>2500</v>
          </cell>
          <cell r="V10">
            <v>2500</v>
          </cell>
          <cell r="W10">
            <v>2500</v>
          </cell>
          <cell r="X10">
            <v>2500</v>
          </cell>
          <cell r="Y10">
            <v>2500</v>
          </cell>
          <cell r="Z10">
            <v>2500</v>
          </cell>
          <cell r="AA10">
            <v>2500</v>
          </cell>
          <cell r="AB10">
            <v>2500</v>
          </cell>
          <cell r="AC10">
            <v>2500</v>
          </cell>
          <cell r="AD10">
            <v>2500</v>
          </cell>
        </row>
        <row r="11">
          <cell r="A11" t="str">
            <v xml:space="preserve">    Orange</v>
          </cell>
          <cell r="K11">
            <v>1250</v>
          </cell>
          <cell r="L11">
            <v>1250</v>
          </cell>
          <cell r="M11">
            <v>1400</v>
          </cell>
          <cell r="N11">
            <v>1500</v>
          </cell>
          <cell r="O11">
            <v>1525</v>
          </cell>
          <cell r="P11">
            <v>1525</v>
          </cell>
          <cell r="Q11">
            <v>1600</v>
          </cell>
          <cell r="R11">
            <v>1700</v>
          </cell>
          <cell r="S11">
            <v>1700</v>
          </cell>
          <cell r="T11">
            <v>1700</v>
          </cell>
          <cell r="U11">
            <v>1700</v>
          </cell>
          <cell r="V11">
            <v>1700</v>
          </cell>
          <cell r="W11">
            <v>1700</v>
          </cell>
          <cell r="X11">
            <v>1700</v>
          </cell>
          <cell r="Y11">
            <v>1700</v>
          </cell>
          <cell r="Z11">
            <v>1700</v>
          </cell>
          <cell r="AA11">
            <v>1700</v>
          </cell>
          <cell r="AB11">
            <v>1700</v>
          </cell>
          <cell r="AC11">
            <v>1700</v>
          </cell>
          <cell r="AD11">
            <v>1700</v>
          </cell>
        </row>
        <row r="12">
          <cell r="A12" t="str">
            <v xml:space="preserve">    Newport</v>
          </cell>
          <cell r="K12">
            <v>550</v>
          </cell>
          <cell r="L12">
            <v>550</v>
          </cell>
          <cell r="M12">
            <v>600</v>
          </cell>
          <cell r="N12">
            <v>600</v>
          </cell>
          <cell r="O12">
            <v>680</v>
          </cell>
          <cell r="P12">
            <v>680</v>
          </cell>
          <cell r="Q12">
            <v>680</v>
          </cell>
          <cell r="R12">
            <v>770</v>
          </cell>
          <cell r="S12">
            <v>770</v>
          </cell>
          <cell r="T12">
            <v>770</v>
          </cell>
          <cell r="U12">
            <v>770</v>
          </cell>
          <cell r="V12">
            <v>770</v>
          </cell>
          <cell r="W12">
            <v>770</v>
          </cell>
          <cell r="X12">
            <v>770</v>
          </cell>
          <cell r="Y12">
            <v>770</v>
          </cell>
          <cell r="Z12">
            <v>770</v>
          </cell>
          <cell r="AA12">
            <v>770</v>
          </cell>
          <cell r="AB12">
            <v>770</v>
          </cell>
          <cell r="AC12">
            <v>770</v>
          </cell>
          <cell r="AD12">
            <v>770</v>
          </cell>
        </row>
        <row r="13">
          <cell r="A13" t="str">
            <v xml:space="preserve">    New Johnsonville</v>
          </cell>
          <cell r="K13">
            <v>550</v>
          </cell>
          <cell r="L13">
            <v>550</v>
          </cell>
          <cell r="M13">
            <v>585</v>
          </cell>
          <cell r="N13">
            <v>600</v>
          </cell>
          <cell r="O13">
            <v>680</v>
          </cell>
          <cell r="P13">
            <v>680</v>
          </cell>
          <cell r="Q13">
            <v>680</v>
          </cell>
          <cell r="R13">
            <v>700</v>
          </cell>
          <cell r="S13">
            <v>700</v>
          </cell>
          <cell r="T13">
            <v>700</v>
          </cell>
          <cell r="U13">
            <v>700</v>
          </cell>
          <cell r="V13">
            <v>700</v>
          </cell>
          <cell r="W13">
            <v>700</v>
          </cell>
          <cell r="X13">
            <v>700</v>
          </cell>
          <cell r="Y13">
            <v>700</v>
          </cell>
          <cell r="Z13">
            <v>700</v>
          </cell>
          <cell r="AA13">
            <v>700</v>
          </cell>
          <cell r="AB13">
            <v>700</v>
          </cell>
          <cell r="AC13">
            <v>700</v>
          </cell>
          <cell r="AD13">
            <v>700</v>
          </cell>
        </row>
        <row r="14">
          <cell r="A14" t="str">
            <v xml:space="preserve">    Ontario</v>
          </cell>
          <cell r="K14">
            <v>540</v>
          </cell>
          <cell r="L14">
            <v>540</v>
          </cell>
          <cell r="M14">
            <v>585</v>
          </cell>
          <cell r="N14">
            <v>585</v>
          </cell>
          <cell r="O14">
            <v>600</v>
          </cell>
          <cell r="P14">
            <v>800</v>
          </cell>
          <cell r="Q14">
            <v>800</v>
          </cell>
          <cell r="R14">
            <v>830</v>
          </cell>
          <cell r="S14">
            <v>830</v>
          </cell>
          <cell r="T14">
            <v>830</v>
          </cell>
          <cell r="U14">
            <v>830</v>
          </cell>
          <cell r="V14">
            <v>830</v>
          </cell>
          <cell r="W14">
            <v>830</v>
          </cell>
          <cell r="X14">
            <v>830</v>
          </cell>
          <cell r="Y14">
            <v>830</v>
          </cell>
          <cell r="Z14">
            <v>830</v>
          </cell>
          <cell r="AA14">
            <v>830</v>
          </cell>
          <cell r="AB14">
            <v>830</v>
          </cell>
          <cell r="AC14">
            <v>830</v>
          </cell>
          <cell r="AD14">
            <v>830</v>
          </cell>
        </row>
        <row r="15">
          <cell r="A15" t="str">
            <v xml:space="preserve">    Newark</v>
          </cell>
          <cell r="K15">
            <v>165</v>
          </cell>
          <cell r="L15">
            <v>165</v>
          </cell>
          <cell r="M15">
            <v>185</v>
          </cell>
          <cell r="N15">
            <v>185</v>
          </cell>
          <cell r="O15">
            <v>185</v>
          </cell>
          <cell r="P15">
            <v>185</v>
          </cell>
          <cell r="Q15">
            <v>185</v>
          </cell>
          <cell r="R15">
            <v>200</v>
          </cell>
          <cell r="S15">
            <v>200</v>
          </cell>
          <cell r="T15">
            <v>200</v>
          </cell>
          <cell r="U15">
            <v>200</v>
          </cell>
          <cell r="V15">
            <v>200</v>
          </cell>
          <cell r="W15">
            <v>200</v>
          </cell>
          <cell r="X15">
            <v>200</v>
          </cell>
          <cell r="Y15">
            <v>200</v>
          </cell>
          <cell r="Z15">
            <v>200</v>
          </cell>
          <cell r="AA15">
            <v>200</v>
          </cell>
          <cell r="AB15">
            <v>200</v>
          </cell>
          <cell r="AC15">
            <v>200</v>
          </cell>
          <cell r="AD15">
            <v>200</v>
          </cell>
        </row>
        <row r="16">
          <cell r="A16" t="str">
            <v xml:space="preserve">    Maysville</v>
          </cell>
          <cell r="Q16">
            <v>600</v>
          </cell>
          <cell r="R16">
            <v>740</v>
          </cell>
          <cell r="S16">
            <v>800</v>
          </cell>
          <cell r="T16">
            <v>900</v>
          </cell>
          <cell r="U16">
            <v>1000</v>
          </cell>
          <cell r="V16">
            <v>1000</v>
          </cell>
          <cell r="W16">
            <v>1000</v>
          </cell>
          <cell r="X16">
            <v>1000</v>
          </cell>
          <cell r="Y16">
            <v>1000</v>
          </cell>
          <cell r="Z16">
            <v>1000</v>
          </cell>
          <cell r="AA16">
            <v>1000</v>
          </cell>
          <cell r="AB16">
            <v>1000</v>
          </cell>
          <cell r="AC16">
            <v>1000</v>
          </cell>
          <cell r="AD16">
            <v>1000</v>
          </cell>
        </row>
        <row r="17">
          <cell r="A17" t="str">
            <v xml:space="preserve">  Corrugated Boxes (TPY)</v>
          </cell>
          <cell r="I17">
            <v>1196.95</v>
          </cell>
          <cell r="J17">
            <v>1231.675</v>
          </cell>
          <cell r="K17">
            <v>1352.694375</v>
          </cell>
          <cell r="L17">
            <v>1352.694375</v>
          </cell>
          <cell r="M17">
            <v>1509.69</v>
          </cell>
          <cell r="N17">
            <v>1560.3337500000002</v>
          </cell>
        </row>
        <row r="18">
          <cell r="A18" t="str">
            <v xml:space="preserve">  Bleached paperboard (TPY)</v>
          </cell>
          <cell r="I18">
            <v>452</v>
          </cell>
          <cell r="J18">
            <v>458</v>
          </cell>
          <cell r="K18">
            <v>457</v>
          </cell>
          <cell r="L18">
            <v>457</v>
          </cell>
          <cell r="M18">
            <v>477</v>
          </cell>
          <cell r="N18">
            <v>477</v>
          </cell>
          <cell r="O18">
            <v>477</v>
          </cell>
          <cell r="P18">
            <v>477</v>
          </cell>
          <cell r="Q18">
            <v>477</v>
          </cell>
          <cell r="R18">
            <v>400</v>
          </cell>
          <cell r="S18">
            <v>725</v>
          </cell>
          <cell r="T18">
            <v>925</v>
          </cell>
          <cell r="U18">
            <v>940</v>
          </cell>
          <cell r="V18">
            <v>945</v>
          </cell>
          <cell r="W18">
            <v>1145</v>
          </cell>
        </row>
        <row r="19">
          <cell r="A19" t="str">
            <v xml:space="preserve">  Market pulp (TPY)</v>
          </cell>
          <cell r="I19">
            <v>83</v>
          </cell>
          <cell r="J19">
            <v>103</v>
          </cell>
          <cell r="K19">
            <v>112</v>
          </cell>
          <cell r="L19">
            <v>112</v>
          </cell>
          <cell r="M19">
            <v>123</v>
          </cell>
          <cell r="N19">
            <v>123</v>
          </cell>
          <cell r="O19">
            <v>123</v>
          </cell>
          <cell r="P19">
            <v>123</v>
          </cell>
          <cell r="Q19">
            <v>123</v>
          </cell>
          <cell r="R19">
            <v>123</v>
          </cell>
          <cell r="S19">
            <v>100</v>
          </cell>
          <cell r="T19">
            <v>123</v>
          </cell>
          <cell r="U19">
            <v>123</v>
          </cell>
          <cell r="V19">
            <v>123</v>
          </cell>
          <cell r="W19">
            <v>123</v>
          </cell>
        </row>
        <row r="21">
          <cell r="A21" t="str">
            <v>Total</v>
          </cell>
          <cell r="I21">
            <v>1829</v>
          </cell>
          <cell r="J21">
            <v>2192</v>
          </cell>
          <cell r="K21">
            <v>2414.0749999999998</v>
          </cell>
          <cell r="L21">
            <v>2414.0749999999998</v>
          </cell>
          <cell r="M21">
            <v>2614.8000000000002</v>
          </cell>
          <cell r="N21">
            <v>2669.55</v>
          </cell>
          <cell r="O21">
            <v>2742.55</v>
          </cell>
          <cell r="P21">
            <v>2815.55</v>
          </cell>
          <cell r="Q21">
            <v>2879.4250000000002</v>
          </cell>
          <cell r="R21">
            <v>2815.5</v>
          </cell>
          <cell r="S21">
            <v>3339</v>
          </cell>
          <cell r="T21">
            <v>3625</v>
          </cell>
          <cell r="U21">
            <v>3824</v>
          </cell>
          <cell r="V21">
            <v>3856.61</v>
          </cell>
          <cell r="W21">
            <v>4084.4961000000003</v>
          </cell>
          <cell r="X21">
            <v>2844.6610610000002</v>
          </cell>
          <cell r="Y21">
            <v>2636</v>
          </cell>
          <cell r="Z21">
            <v>3270</v>
          </cell>
          <cell r="AA21">
            <v>3302.7</v>
          </cell>
          <cell r="AB21">
            <v>3335.7269999999999</v>
          </cell>
          <cell r="AC21">
            <v>3369.0842699999998</v>
          </cell>
          <cell r="AD21">
            <v>3402.7751126999997</v>
          </cell>
        </row>
        <row r="23">
          <cell r="A23" t="str">
            <v>Building Products</v>
          </cell>
        </row>
        <row r="24">
          <cell r="A24" t="str">
            <v xml:space="preserve">  Pine lumber (MMBF)</v>
          </cell>
          <cell r="Y24">
            <v>924</v>
          </cell>
          <cell r="Z24">
            <v>933.24</v>
          </cell>
          <cell r="AA24">
            <v>942.57240000000002</v>
          </cell>
          <cell r="AB24">
            <v>951.99812400000008</v>
          </cell>
          <cell r="AC24">
            <v>961.51810524000007</v>
          </cell>
          <cell r="AD24">
            <v>971.13328629240004</v>
          </cell>
        </row>
        <row r="25">
          <cell r="A25" t="str">
            <v xml:space="preserve">  Fiberboard</v>
          </cell>
          <cell r="Y25">
            <v>460</v>
          </cell>
          <cell r="Z25">
            <v>464.6</v>
          </cell>
          <cell r="AA25">
            <v>469.24600000000004</v>
          </cell>
          <cell r="AB25">
            <v>473.93846000000002</v>
          </cell>
          <cell r="AC25">
            <v>478.67784460000001</v>
          </cell>
          <cell r="AD25">
            <v>483.46462304600004</v>
          </cell>
        </row>
        <row r="26">
          <cell r="A26" t="str">
            <v xml:space="preserve">  Particleboard</v>
          </cell>
          <cell r="Y26">
            <v>635</v>
          </cell>
          <cell r="Z26">
            <v>641.35</v>
          </cell>
          <cell r="AA26">
            <v>647.76350000000002</v>
          </cell>
          <cell r="AB26">
            <v>654.24113499999999</v>
          </cell>
          <cell r="AC26">
            <v>660.78354634999994</v>
          </cell>
          <cell r="AD26">
            <v>667.39138181349995</v>
          </cell>
        </row>
        <row r="27">
          <cell r="A27" t="str">
            <v xml:space="preserve">  Plywood</v>
          </cell>
          <cell r="Y27">
            <v>0</v>
          </cell>
          <cell r="Z27">
            <v>0</v>
          </cell>
          <cell r="AA27">
            <v>0</v>
          </cell>
          <cell r="AB27">
            <v>0</v>
          </cell>
          <cell r="AC27">
            <v>0</v>
          </cell>
          <cell r="AD27">
            <v>0</v>
          </cell>
        </row>
        <row r="28">
          <cell r="A28" t="str">
            <v xml:space="preserve">  Gypsum Wallboard</v>
          </cell>
          <cell r="Y28">
            <v>2000</v>
          </cell>
          <cell r="Z28">
            <v>2020</v>
          </cell>
          <cell r="AA28">
            <v>2040.2</v>
          </cell>
          <cell r="AB28">
            <v>2060.6019999999999</v>
          </cell>
          <cell r="AC28">
            <v>2081.20802</v>
          </cell>
          <cell r="AD28">
            <v>2102.0201001999999</v>
          </cell>
        </row>
        <row r="29">
          <cell r="A29" t="str">
            <v xml:space="preserve">  MDF</v>
          </cell>
          <cell r="Y29">
            <v>520</v>
          </cell>
          <cell r="Z29">
            <v>525.20000000000005</v>
          </cell>
          <cell r="AA29">
            <v>530.452</v>
          </cell>
          <cell r="AB29">
            <v>535.75652000000002</v>
          </cell>
          <cell r="AC29">
            <v>541.11408519999998</v>
          </cell>
          <cell r="AD29">
            <v>546.52522605199999</v>
          </cell>
        </row>
        <row r="30">
          <cell r="A30" t="str">
            <v>TOTAL</v>
          </cell>
          <cell r="Y30">
            <v>4539</v>
          </cell>
          <cell r="Z30">
            <v>4584.3900000000003</v>
          </cell>
          <cell r="AA30">
            <v>4630.2339000000002</v>
          </cell>
          <cell r="AB30">
            <v>4676.536239</v>
          </cell>
          <cell r="AC30">
            <v>4723.3016013900005</v>
          </cell>
          <cell r="AD30">
            <v>4770.5346174038996</v>
          </cell>
        </row>
        <row r="32">
          <cell r="A32" t="str">
            <v>Distribution Centers</v>
          </cell>
        </row>
        <row r="33">
          <cell r="A33" t="str">
            <v>Timberlands (000 acres)</v>
          </cell>
        </row>
        <row r="34">
          <cell r="A34" t="str">
            <v xml:space="preserve">  Owned in fee</v>
          </cell>
        </row>
        <row r="37">
          <cell r="R37" t="str">
            <v xml:space="preserve"> </v>
          </cell>
        </row>
        <row r="38">
          <cell r="G38" t="str">
            <v>1983</v>
          </cell>
          <cell r="H38" t="str">
            <v>1984</v>
          </cell>
          <cell r="I38" t="str">
            <v>1985</v>
          </cell>
          <cell r="J38" t="str">
            <v>1986</v>
          </cell>
          <cell r="K38" t="str">
            <v>1987</v>
          </cell>
          <cell r="L38" t="str">
            <v>1988</v>
          </cell>
          <cell r="M38" t="str">
            <v>1989</v>
          </cell>
          <cell r="N38">
            <v>1990</v>
          </cell>
          <cell r="O38">
            <v>1991</v>
          </cell>
          <cell r="P38">
            <v>1992</v>
          </cell>
          <cell r="Q38">
            <v>1993</v>
          </cell>
          <cell r="R38">
            <v>1994</v>
          </cell>
          <cell r="S38">
            <v>1995</v>
          </cell>
          <cell r="T38">
            <v>1996</v>
          </cell>
          <cell r="U38">
            <v>1997</v>
          </cell>
          <cell r="V38">
            <v>1998</v>
          </cell>
          <cell r="W38">
            <v>1999</v>
          </cell>
          <cell r="X38">
            <v>2000</v>
          </cell>
          <cell r="Y38">
            <v>2001</v>
          </cell>
          <cell r="Z38">
            <v>2002</v>
          </cell>
          <cell r="AA38" t="str">
            <v>2003E</v>
          </cell>
          <cell r="AB38" t="str">
            <v>2004E</v>
          </cell>
          <cell r="AC38" t="str">
            <v>2005E</v>
          </cell>
          <cell r="AD38" t="str">
            <v>2006E</v>
          </cell>
        </row>
        <row r="39">
          <cell r="A39" t="str">
            <v>Pulp &amp; Paper</v>
          </cell>
        </row>
        <row r="40">
          <cell r="A40" t="str">
            <v xml:space="preserve">  Corrugated packaging (000 tons)</v>
          </cell>
          <cell r="I40">
            <v>1294</v>
          </cell>
          <cell r="J40">
            <v>1631</v>
          </cell>
          <cell r="K40">
            <v>1874</v>
          </cell>
          <cell r="L40">
            <v>1836</v>
          </cell>
          <cell r="M40">
            <v>1897</v>
          </cell>
          <cell r="N40">
            <v>2034</v>
          </cell>
          <cell r="O40">
            <v>2097</v>
          </cell>
          <cell r="P40">
            <v>2290</v>
          </cell>
          <cell r="Q40">
            <v>2394</v>
          </cell>
          <cell r="R40">
            <v>2492</v>
          </cell>
          <cell r="S40">
            <v>2333</v>
          </cell>
          <cell r="T40">
            <v>2440</v>
          </cell>
          <cell r="U40">
            <v>2769</v>
          </cell>
          <cell r="V40">
            <v>2519</v>
          </cell>
          <cell r="W40">
            <v>2802</v>
          </cell>
          <cell r="X40">
            <v>2685</v>
          </cell>
          <cell r="Y40">
            <v>2618</v>
          </cell>
          <cell r="Z40">
            <v>3447</v>
          </cell>
          <cell r="AA40">
            <v>3840</v>
          </cell>
          <cell r="AB40">
            <v>3880</v>
          </cell>
          <cell r="AC40">
            <v>3802.4</v>
          </cell>
          <cell r="AD40">
            <v>3840.424</v>
          </cell>
        </row>
        <row r="41">
          <cell r="A41" t="str">
            <v xml:space="preserve">    Liner sales</v>
          </cell>
          <cell r="J41">
            <v>277</v>
          </cell>
          <cell r="K41">
            <v>354</v>
          </cell>
          <cell r="L41">
            <v>354</v>
          </cell>
          <cell r="M41">
            <v>354</v>
          </cell>
          <cell r="N41">
            <v>354</v>
          </cell>
          <cell r="AA41">
            <v>0</v>
          </cell>
          <cell r="AB41">
            <v>0</v>
          </cell>
          <cell r="AC41">
            <v>0</v>
          </cell>
          <cell r="AD41">
            <v>0</v>
          </cell>
        </row>
        <row r="42">
          <cell r="A42" t="str">
            <v xml:space="preserve">    Corrugated Boxes (mmsf)</v>
          </cell>
          <cell r="I42">
            <v>15.959333333333333</v>
          </cell>
          <cell r="J42">
            <v>16.422333333333331</v>
          </cell>
          <cell r="K42">
            <v>18.035924999999999</v>
          </cell>
          <cell r="L42">
            <v>18.035924999999999</v>
          </cell>
          <cell r="M42">
            <v>18.035924999999999</v>
          </cell>
          <cell r="N42">
            <v>19.29843975</v>
          </cell>
          <cell r="AA42">
            <v>0</v>
          </cell>
          <cell r="AB42">
            <v>0</v>
          </cell>
          <cell r="AC42">
            <v>0</v>
          </cell>
          <cell r="AD42">
            <v>0</v>
          </cell>
        </row>
        <row r="43">
          <cell r="A43" t="str">
            <v xml:space="preserve">  Bleached paperboard</v>
          </cell>
          <cell r="I43">
            <v>452</v>
          </cell>
          <cell r="J43">
            <v>458</v>
          </cell>
          <cell r="K43">
            <v>474</v>
          </cell>
          <cell r="L43">
            <v>477</v>
          </cell>
          <cell r="M43">
            <v>542</v>
          </cell>
          <cell r="N43">
            <v>462</v>
          </cell>
          <cell r="O43">
            <v>447</v>
          </cell>
          <cell r="P43">
            <v>414</v>
          </cell>
          <cell r="Q43">
            <v>426</v>
          </cell>
          <cell r="R43">
            <v>430</v>
          </cell>
          <cell r="S43">
            <v>400</v>
          </cell>
          <cell r="T43">
            <v>524</v>
          </cell>
          <cell r="U43">
            <v>635</v>
          </cell>
          <cell r="V43">
            <v>623</v>
          </cell>
          <cell r="W43">
            <v>322</v>
          </cell>
          <cell r="X43">
            <v>0</v>
          </cell>
          <cell r="Y43">
            <v>0</v>
          </cell>
          <cell r="Z43">
            <v>0</v>
          </cell>
          <cell r="AA43">
            <v>0</v>
          </cell>
          <cell r="AB43">
            <v>0</v>
          </cell>
          <cell r="AC43">
            <v>0</v>
          </cell>
          <cell r="AD43">
            <v>0</v>
          </cell>
        </row>
        <row r="44">
          <cell r="A44" t="str">
            <v xml:space="preserve">  Market pulp</v>
          </cell>
          <cell r="I44">
            <v>83</v>
          </cell>
          <cell r="J44">
            <v>103</v>
          </cell>
          <cell r="K44">
            <v>99</v>
          </cell>
          <cell r="L44">
            <v>122</v>
          </cell>
          <cell r="M44">
            <v>124</v>
          </cell>
          <cell r="N44">
            <v>127</v>
          </cell>
          <cell r="O44">
            <v>122</v>
          </cell>
          <cell r="P44">
            <v>155</v>
          </cell>
          <cell r="Q44">
            <v>134</v>
          </cell>
          <cell r="R44">
            <v>87</v>
          </cell>
          <cell r="S44">
            <v>99</v>
          </cell>
          <cell r="T44">
            <v>100</v>
          </cell>
          <cell r="U44">
            <v>2</v>
          </cell>
          <cell r="V44">
            <v>0</v>
          </cell>
          <cell r="W44">
            <v>0</v>
          </cell>
          <cell r="X44">
            <v>0</v>
          </cell>
          <cell r="Y44">
            <v>0</v>
          </cell>
          <cell r="AA44">
            <v>0</v>
          </cell>
          <cell r="AB44">
            <v>0</v>
          </cell>
          <cell r="AC44">
            <v>0</v>
          </cell>
          <cell r="AD44">
            <v>0</v>
          </cell>
        </row>
        <row r="45">
          <cell r="AA45">
            <v>0</v>
          </cell>
          <cell r="AB45">
            <v>0</v>
          </cell>
          <cell r="AC45">
            <v>0</v>
          </cell>
          <cell r="AD45">
            <v>0</v>
          </cell>
        </row>
        <row r="46">
          <cell r="A46" t="str">
            <v>Total</v>
          </cell>
          <cell r="G46">
            <v>0</v>
          </cell>
          <cell r="H46">
            <v>0</v>
          </cell>
          <cell r="I46">
            <v>1829</v>
          </cell>
          <cell r="J46">
            <v>2192</v>
          </cell>
          <cell r="K46">
            <v>2447</v>
          </cell>
          <cell r="L46">
            <v>2435</v>
          </cell>
          <cell r="M46">
            <v>2563</v>
          </cell>
          <cell r="N46">
            <v>2623</v>
          </cell>
          <cell r="O46">
            <v>2666</v>
          </cell>
          <cell r="P46">
            <v>2702</v>
          </cell>
          <cell r="Q46">
            <v>2702</v>
          </cell>
          <cell r="R46">
            <v>2702</v>
          </cell>
          <cell r="S46">
            <v>2832</v>
          </cell>
          <cell r="T46">
            <v>3092</v>
          </cell>
          <cell r="U46">
            <v>3406</v>
          </cell>
          <cell r="V46">
            <v>3142</v>
          </cell>
          <cell r="W46">
            <v>3124</v>
          </cell>
          <cell r="X46">
            <v>2685</v>
          </cell>
          <cell r="Y46">
            <v>2618</v>
          </cell>
          <cell r="Z46">
            <v>3447</v>
          </cell>
          <cell r="AA46">
            <v>3840</v>
          </cell>
          <cell r="AB46">
            <v>3880</v>
          </cell>
          <cell r="AC46">
            <v>970</v>
          </cell>
          <cell r="AD46">
            <v>970</v>
          </cell>
        </row>
        <row r="48">
          <cell r="A48" t="str">
            <v>Building Products</v>
          </cell>
        </row>
        <row r="49">
          <cell r="A49" t="str">
            <v xml:space="preserve">  Pine lumber (MMBF)</v>
          </cell>
          <cell r="I49">
            <v>135</v>
          </cell>
          <cell r="J49">
            <v>156</v>
          </cell>
          <cell r="K49">
            <v>174</v>
          </cell>
          <cell r="L49">
            <v>274</v>
          </cell>
          <cell r="M49">
            <v>308</v>
          </cell>
          <cell r="N49">
            <v>342</v>
          </cell>
          <cell r="O49">
            <v>395</v>
          </cell>
          <cell r="P49">
            <v>471</v>
          </cell>
          <cell r="Q49">
            <v>484</v>
          </cell>
          <cell r="R49">
            <v>509</v>
          </cell>
          <cell r="S49">
            <v>493</v>
          </cell>
          <cell r="T49">
            <v>484</v>
          </cell>
          <cell r="U49">
            <v>639</v>
          </cell>
          <cell r="V49">
            <v>603</v>
          </cell>
          <cell r="W49">
            <v>618</v>
          </cell>
          <cell r="X49">
            <v>666</v>
          </cell>
          <cell r="Y49">
            <v>728</v>
          </cell>
          <cell r="Z49">
            <v>764</v>
          </cell>
          <cell r="AA49">
            <v>764</v>
          </cell>
          <cell r="AB49">
            <v>764</v>
          </cell>
          <cell r="AC49">
            <v>764</v>
          </cell>
          <cell r="AD49">
            <v>764</v>
          </cell>
        </row>
        <row r="50">
          <cell r="A50" t="str">
            <v xml:space="preserve">  Fiberboard (MMSF, 1/2" Basis)</v>
          </cell>
          <cell r="G50">
            <v>3920</v>
          </cell>
          <cell r="H50">
            <v>4057</v>
          </cell>
          <cell r="I50">
            <v>415</v>
          </cell>
          <cell r="J50">
            <v>436</v>
          </cell>
          <cell r="K50">
            <v>458</v>
          </cell>
          <cell r="L50">
            <v>456</v>
          </cell>
          <cell r="M50">
            <v>446</v>
          </cell>
          <cell r="N50">
            <v>452</v>
          </cell>
          <cell r="O50">
            <v>443</v>
          </cell>
          <cell r="P50">
            <v>460</v>
          </cell>
          <cell r="Q50">
            <v>440</v>
          </cell>
          <cell r="R50">
            <v>441</v>
          </cell>
          <cell r="S50">
            <v>441</v>
          </cell>
          <cell r="T50">
            <v>424</v>
          </cell>
          <cell r="U50">
            <v>402</v>
          </cell>
          <cell r="V50">
            <v>423</v>
          </cell>
          <cell r="W50">
            <v>439</v>
          </cell>
          <cell r="X50">
            <v>368</v>
          </cell>
          <cell r="Y50">
            <v>385</v>
          </cell>
          <cell r="Z50">
            <v>388</v>
          </cell>
          <cell r="AA50">
            <v>388</v>
          </cell>
          <cell r="AB50">
            <v>388</v>
          </cell>
          <cell r="AC50">
            <v>388</v>
          </cell>
          <cell r="AD50">
            <v>388</v>
          </cell>
        </row>
        <row r="51">
          <cell r="A51" t="str">
            <v xml:space="preserve">  Particleboard (MMSF, 3/4" Basis)</v>
          </cell>
          <cell r="G51">
            <v>385</v>
          </cell>
          <cell r="H51">
            <v>385</v>
          </cell>
          <cell r="I51">
            <v>283</v>
          </cell>
          <cell r="J51">
            <v>297</v>
          </cell>
          <cell r="K51">
            <v>321</v>
          </cell>
          <cell r="L51">
            <v>307</v>
          </cell>
          <cell r="M51">
            <v>333</v>
          </cell>
          <cell r="N51">
            <v>302</v>
          </cell>
          <cell r="O51">
            <v>321</v>
          </cell>
          <cell r="P51">
            <v>335</v>
          </cell>
          <cell r="Q51">
            <v>319</v>
          </cell>
          <cell r="R51">
            <v>347</v>
          </cell>
          <cell r="S51">
            <v>329</v>
          </cell>
          <cell r="T51">
            <v>372</v>
          </cell>
          <cell r="U51">
            <v>470</v>
          </cell>
          <cell r="V51">
            <v>518</v>
          </cell>
          <cell r="W51">
            <v>574</v>
          </cell>
          <cell r="X51">
            <v>676</v>
          </cell>
          <cell r="Y51">
            <v>582</v>
          </cell>
          <cell r="Z51">
            <v>653</v>
          </cell>
          <cell r="AA51">
            <v>653</v>
          </cell>
          <cell r="AB51">
            <v>653</v>
          </cell>
          <cell r="AC51">
            <v>653</v>
          </cell>
          <cell r="AD51">
            <v>653</v>
          </cell>
        </row>
        <row r="52">
          <cell r="A52" t="str">
            <v xml:space="preserve">  Plywood</v>
          </cell>
          <cell r="G52">
            <v>375</v>
          </cell>
          <cell r="H52">
            <v>375</v>
          </cell>
          <cell r="I52">
            <v>164</v>
          </cell>
          <cell r="J52">
            <v>203</v>
          </cell>
          <cell r="K52">
            <v>212</v>
          </cell>
          <cell r="L52">
            <v>207</v>
          </cell>
          <cell r="M52">
            <v>213</v>
          </cell>
          <cell r="N52">
            <v>233</v>
          </cell>
          <cell r="O52">
            <v>253</v>
          </cell>
          <cell r="P52">
            <v>249</v>
          </cell>
          <cell r="Q52">
            <v>265</v>
          </cell>
          <cell r="R52">
            <v>260</v>
          </cell>
          <cell r="S52">
            <v>217</v>
          </cell>
          <cell r="T52">
            <v>248</v>
          </cell>
          <cell r="U52">
            <v>281</v>
          </cell>
          <cell r="V52">
            <v>289</v>
          </cell>
          <cell r="W52">
            <v>296</v>
          </cell>
          <cell r="X52">
            <v>258</v>
          </cell>
          <cell r="Y52">
            <v>258</v>
          </cell>
          <cell r="Z52">
            <v>0</v>
          </cell>
          <cell r="AA52">
            <v>0</v>
          </cell>
          <cell r="AB52">
            <v>0</v>
          </cell>
          <cell r="AC52">
            <v>0</v>
          </cell>
          <cell r="AD52">
            <v>0</v>
          </cell>
        </row>
        <row r="53">
          <cell r="A53" t="str">
            <v xml:space="preserve">  Gypsum Wallboard (MMSF)</v>
          </cell>
          <cell r="G53">
            <v>250</v>
          </cell>
          <cell r="H53">
            <v>250</v>
          </cell>
          <cell r="I53">
            <v>326</v>
          </cell>
          <cell r="J53">
            <v>397</v>
          </cell>
          <cell r="K53">
            <v>670</v>
          </cell>
          <cell r="L53">
            <v>668</v>
          </cell>
          <cell r="M53">
            <v>685</v>
          </cell>
          <cell r="N53">
            <v>699</v>
          </cell>
          <cell r="O53">
            <v>601</v>
          </cell>
          <cell r="P53">
            <v>632</v>
          </cell>
          <cell r="Q53">
            <v>782</v>
          </cell>
          <cell r="R53">
            <v>796</v>
          </cell>
          <cell r="S53">
            <v>813</v>
          </cell>
          <cell r="T53">
            <v>1118</v>
          </cell>
          <cell r="U53">
            <v>843</v>
          </cell>
          <cell r="V53">
            <v>858</v>
          </cell>
          <cell r="W53">
            <v>890</v>
          </cell>
          <cell r="X53">
            <v>678</v>
          </cell>
          <cell r="Y53">
            <v>586</v>
          </cell>
          <cell r="Z53">
            <v>679</v>
          </cell>
          <cell r="AA53">
            <v>679</v>
          </cell>
          <cell r="AB53">
            <v>679</v>
          </cell>
          <cell r="AC53">
            <v>679</v>
          </cell>
          <cell r="AD53">
            <v>679</v>
          </cell>
        </row>
        <row r="54">
          <cell r="A54" t="str">
            <v xml:space="preserve">  MDF (MMSF, 3/4" Basis)</v>
          </cell>
          <cell r="S54">
            <v>0</v>
          </cell>
          <cell r="T54">
            <v>0</v>
          </cell>
          <cell r="U54">
            <v>0</v>
          </cell>
          <cell r="V54">
            <v>35</v>
          </cell>
          <cell r="W54">
            <v>187</v>
          </cell>
          <cell r="X54">
            <v>244</v>
          </cell>
          <cell r="Y54">
            <v>256</v>
          </cell>
          <cell r="Z54">
            <v>285</v>
          </cell>
          <cell r="AA54">
            <v>285</v>
          </cell>
          <cell r="AB54">
            <v>285</v>
          </cell>
          <cell r="AC54">
            <v>285</v>
          </cell>
          <cell r="AD54">
            <v>285</v>
          </cell>
        </row>
        <row r="55">
          <cell r="A55" t="str">
            <v xml:space="preserve">    Decorative wall paneling</v>
          </cell>
          <cell r="G55">
            <v>415</v>
          </cell>
          <cell r="H55">
            <v>415</v>
          </cell>
          <cell r="I55">
            <v>51</v>
          </cell>
          <cell r="J55">
            <v>50</v>
          </cell>
          <cell r="K55">
            <v>50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row>
        <row r="56">
          <cell r="A56" t="str">
            <v xml:space="preserve">    Insulation</v>
          </cell>
          <cell r="G56">
            <v>75</v>
          </cell>
          <cell r="H56">
            <v>75</v>
          </cell>
          <cell r="I56">
            <v>73</v>
          </cell>
          <cell r="J56">
            <v>78</v>
          </cell>
          <cell r="K56">
            <v>71</v>
          </cell>
          <cell r="L56">
            <v>83</v>
          </cell>
          <cell r="M56">
            <v>77</v>
          </cell>
          <cell r="N56">
            <v>25</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row>
        <row r="57">
          <cell r="A57" t="str">
            <v xml:space="preserve">    OSB</v>
          </cell>
          <cell r="G57">
            <v>460</v>
          </cell>
          <cell r="H57">
            <v>460</v>
          </cell>
          <cell r="I57">
            <v>68</v>
          </cell>
          <cell r="J57">
            <v>67</v>
          </cell>
          <cell r="K57">
            <v>80</v>
          </cell>
          <cell r="L57">
            <v>33</v>
          </cell>
          <cell r="M57">
            <v>0</v>
          </cell>
          <cell r="N57">
            <v>0</v>
          </cell>
          <cell r="O57">
            <v>77</v>
          </cell>
          <cell r="P57">
            <v>77</v>
          </cell>
          <cell r="Q57">
            <v>77</v>
          </cell>
          <cell r="R57">
            <v>77</v>
          </cell>
          <cell r="S57">
            <v>57.75</v>
          </cell>
          <cell r="T57">
            <v>76</v>
          </cell>
          <cell r="U57">
            <v>0</v>
          </cell>
          <cell r="V57">
            <v>0</v>
          </cell>
          <cell r="W57">
            <v>0</v>
          </cell>
          <cell r="X57">
            <v>0</v>
          </cell>
          <cell r="Y57">
            <v>0</v>
          </cell>
          <cell r="Z57">
            <v>0</v>
          </cell>
          <cell r="AA57">
            <v>0</v>
          </cell>
          <cell r="AB57">
            <v>0</v>
          </cell>
          <cell r="AC57">
            <v>0</v>
          </cell>
          <cell r="AD57">
            <v>0</v>
          </cell>
        </row>
        <row r="58">
          <cell r="Y58">
            <v>0</v>
          </cell>
          <cell r="Z58">
            <v>0</v>
          </cell>
          <cell r="AA58">
            <v>0</v>
          </cell>
          <cell r="AB58">
            <v>0</v>
          </cell>
          <cell r="AC58">
            <v>0</v>
          </cell>
          <cell r="AD58">
            <v>0</v>
          </cell>
        </row>
        <row r="59">
          <cell r="Y59">
            <v>0</v>
          </cell>
          <cell r="Z59">
            <v>0</v>
          </cell>
          <cell r="AA59">
            <v>0</v>
          </cell>
          <cell r="AB59">
            <v>0</v>
          </cell>
          <cell r="AC59">
            <v>0</v>
          </cell>
          <cell r="AD59">
            <v>0</v>
          </cell>
        </row>
        <row r="60">
          <cell r="A60" t="str">
            <v>Total</v>
          </cell>
          <cell r="G60">
            <v>5880</v>
          </cell>
          <cell r="H60">
            <v>6017</v>
          </cell>
          <cell r="I60">
            <v>1380</v>
          </cell>
          <cell r="J60">
            <v>1528</v>
          </cell>
          <cell r="K60">
            <v>1862</v>
          </cell>
          <cell r="L60">
            <v>1754</v>
          </cell>
          <cell r="M60">
            <v>1754</v>
          </cell>
          <cell r="N60">
            <v>1711</v>
          </cell>
          <cell r="O60">
            <v>1695</v>
          </cell>
          <cell r="P60">
            <v>2224</v>
          </cell>
          <cell r="Q60">
            <v>2367</v>
          </cell>
          <cell r="R60">
            <v>2430</v>
          </cell>
          <cell r="S60">
            <v>2293</v>
          </cell>
          <cell r="T60">
            <v>2646</v>
          </cell>
          <cell r="U60">
            <v>2635</v>
          </cell>
          <cell r="V60">
            <v>2726</v>
          </cell>
          <cell r="W60">
            <v>3004</v>
          </cell>
          <cell r="X60">
            <v>2890</v>
          </cell>
          <cell r="Y60">
            <v>2795</v>
          </cell>
          <cell r="Z60">
            <v>2769</v>
          </cell>
          <cell r="AA60">
            <v>2769</v>
          </cell>
          <cell r="AB60">
            <v>2769</v>
          </cell>
          <cell r="AC60">
            <v>2769</v>
          </cell>
          <cell r="AD60">
            <v>2769</v>
          </cell>
        </row>
        <row r="62">
          <cell r="A62" t="str">
            <v>Price Change</v>
          </cell>
        </row>
        <row r="63">
          <cell r="R63" t="str">
            <v xml:space="preserve"> </v>
          </cell>
        </row>
        <row r="64">
          <cell r="G64" t="str">
            <v>1983</v>
          </cell>
          <cell r="H64" t="str">
            <v>1984</v>
          </cell>
          <cell r="I64" t="str">
            <v>1985</v>
          </cell>
          <cell r="J64" t="str">
            <v>1986</v>
          </cell>
          <cell r="K64" t="str">
            <v>1987</v>
          </cell>
          <cell r="L64" t="str">
            <v>1988</v>
          </cell>
          <cell r="M64" t="str">
            <v>1989</v>
          </cell>
          <cell r="N64">
            <v>1990</v>
          </cell>
          <cell r="O64">
            <v>1991</v>
          </cell>
          <cell r="P64">
            <v>1992</v>
          </cell>
          <cell r="Q64">
            <v>1993</v>
          </cell>
          <cell r="R64">
            <v>1994</v>
          </cell>
          <cell r="S64">
            <v>1995</v>
          </cell>
          <cell r="T64">
            <v>1996</v>
          </cell>
          <cell r="U64">
            <v>1997</v>
          </cell>
          <cell r="V64">
            <v>1998</v>
          </cell>
          <cell r="W64">
            <v>1999</v>
          </cell>
          <cell r="X64">
            <v>2000</v>
          </cell>
          <cell r="Y64">
            <v>2001</v>
          </cell>
          <cell r="Z64">
            <v>2002</v>
          </cell>
          <cell r="AA64" t="str">
            <v>2003E</v>
          </cell>
          <cell r="AB64" t="str">
            <v>2004E</v>
          </cell>
          <cell r="AC64" t="str">
            <v>2005E</v>
          </cell>
          <cell r="AD64" t="str">
            <v>2006E</v>
          </cell>
        </row>
        <row r="65">
          <cell r="A65" t="str">
            <v>Pulp &amp; Paper</v>
          </cell>
        </row>
        <row r="66">
          <cell r="A66" t="str">
            <v xml:space="preserve">  Corrugated packaging</v>
          </cell>
          <cell r="P66">
            <v>29.573521828285266</v>
          </cell>
          <cell r="Q66">
            <v>-7.5</v>
          </cell>
          <cell r="R66">
            <v>57.5</v>
          </cell>
          <cell r="S66">
            <v>155.23791423295086</v>
          </cell>
          <cell r="T66">
            <v>-95.810669889010683</v>
          </cell>
          <cell r="U66">
            <v>-74.579994491358889</v>
          </cell>
          <cell r="V66">
            <v>45.83450616441155</v>
          </cell>
          <cell r="W66">
            <v>-15.804364924344554</v>
          </cell>
          <cell r="X66">
            <v>116.90763609999055</v>
          </cell>
          <cell r="Y66">
            <v>19.466922885364284</v>
          </cell>
          <cell r="Z66">
            <v>-17.453092446717847</v>
          </cell>
          <cell r="AA66">
            <v>-15.343801451509989</v>
          </cell>
          <cell r="AB66">
            <v>27.5</v>
          </cell>
          <cell r="AC66">
            <v>-21.25</v>
          </cell>
          <cell r="AD66">
            <v>-41.25</v>
          </cell>
        </row>
        <row r="67">
          <cell r="A67" t="str">
            <v xml:space="preserve">  Bleached board</v>
          </cell>
          <cell r="P67">
            <v>-38</v>
          </cell>
          <cell r="Q67">
            <v>-100</v>
          </cell>
          <cell r="R67">
            <v>-31</v>
          </cell>
          <cell r="S67">
            <v>117</v>
          </cell>
          <cell r="T67">
            <v>-50</v>
          </cell>
          <cell r="U67">
            <v>3</v>
          </cell>
          <cell r="V67">
            <v>29.644213381555119</v>
          </cell>
          <cell r="W67">
            <v>-14.326931288720402</v>
          </cell>
          <cell r="X67">
            <v>47.338378284523742</v>
          </cell>
          <cell r="Y67">
            <v>13.75</v>
          </cell>
        </row>
        <row r="68">
          <cell r="A68" t="str">
            <v xml:space="preserve">  Market pulp</v>
          </cell>
          <cell r="P68">
            <v>-61</v>
          </cell>
          <cell r="Q68">
            <v>-58</v>
          </cell>
          <cell r="R68">
            <v>5</v>
          </cell>
          <cell r="S68">
            <v>141</v>
          </cell>
          <cell r="T68">
            <v>-183</v>
          </cell>
          <cell r="U68">
            <v>118</v>
          </cell>
          <cell r="V68">
            <v>-37.5</v>
          </cell>
          <cell r="W68">
            <v>26.25</v>
          </cell>
          <cell r="X68">
            <v>88.75</v>
          </cell>
          <cell r="Y68">
            <v>-70</v>
          </cell>
        </row>
        <row r="70">
          <cell r="A70" t="str">
            <v>Building Products</v>
          </cell>
        </row>
        <row r="71">
          <cell r="A71" t="str">
            <v xml:space="preserve">  Pine lumber (MMBF)</v>
          </cell>
          <cell r="P71">
            <v>60.25</v>
          </cell>
          <cell r="Q71">
            <v>80.25</v>
          </cell>
          <cell r="R71">
            <v>16.25</v>
          </cell>
          <cell r="S71">
            <v>-30</v>
          </cell>
          <cell r="T71">
            <v>29.204250000000002</v>
          </cell>
          <cell r="U71">
            <v>42.441998443653688</v>
          </cell>
          <cell r="V71">
            <v>-40.326599254348764</v>
          </cell>
          <cell r="W71">
            <v>40.15534878703437</v>
          </cell>
          <cell r="X71">
            <v>-37.44409199396614</v>
          </cell>
          <cell r="Y71">
            <v>-39.772109686076874</v>
          </cell>
          <cell r="Z71">
            <v>-35.566719711508028</v>
          </cell>
          <cell r="AA71">
            <v>4.625127716287011</v>
          </cell>
          <cell r="AB71">
            <v>0</v>
          </cell>
          <cell r="AC71">
            <v>10</v>
          </cell>
          <cell r="AD71">
            <v>9.9250000000000114</v>
          </cell>
        </row>
        <row r="72">
          <cell r="A72" t="str">
            <v xml:space="preserve">  Fiberboard (MMSF)</v>
          </cell>
          <cell r="P72">
            <v>0</v>
          </cell>
          <cell r="Q72">
            <v>0</v>
          </cell>
          <cell r="R72">
            <v>0</v>
          </cell>
          <cell r="S72">
            <v>0</v>
          </cell>
          <cell r="T72">
            <v>0</v>
          </cell>
          <cell r="U72">
            <v>165.11729829690995</v>
          </cell>
          <cell r="V72">
            <v>-12.156553346216128</v>
          </cell>
          <cell r="W72">
            <v>9.0618666793999409</v>
          </cell>
          <cell r="X72">
            <v>7.1288014946975125</v>
          </cell>
          <cell r="Y72">
            <v>-4.5944510994748384</v>
          </cell>
          <cell r="Z72">
            <v>-0.10893055432424603</v>
          </cell>
          <cell r="AA72">
            <v>-6.5532946288869312</v>
          </cell>
          <cell r="AB72">
            <v>0</v>
          </cell>
          <cell r="AC72">
            <v>0</v>
          </cell>
          <cell r="AD72">
            <v>0</v>
          </cell>
        </row>
        <row r="73">
          <cell r="A73" t="str">
            <v xml:space="preserve">  Particleboard</v>
          </cell>
          <cell r="P73">
            <v>0</v>
          </cell>
          <cell r="Q73">
            <v>0</v>
          </cell>
          <cell r="R73">
            <v>0</v>
          </cell>
          <cell r="S73">
            <v>0</v>
          </cell>
          <cell r="T73">
            <v>0</v>
          </cell>
          <cell r="U73">
            <v>266.00773234772481</v>
          </cell>
          <cell r="V73">
            <v>7.3560699531663545</v>
          </cell>
          <cell r="W73">
            <v>24.70215429068719</v>
          </cell>
          <cell r="X73">
            <v>19.997148593384679</v>
          </cell>
          <cell r="Y73">
            <v>-12.868299990157823</v>
          </cell>
          <cell r="Z73">
            <v>-41.929607073934619</v>
          </cell>
          <cell r="AA73">
            <v>-2.9362507524494958</v>
          </cell>
          <cell r="AB73">
            <v>1.25</v>
          </cell>
          <cell r="AC73">
            <v>0</v>
          </cell>
          <cell r="AD73">
            <v>0</v>
          </cell>
        </row>
        <row r="74">
          <cell r="A74" t="str">
            <v xml:space="preserve">  Plywood</v>
          </cell>
          <cell r="P74">
            <v>55</v>
          </cell>
          <cell r="Q74">
            <v>36.25</v>
          </cell>
          <cell r="R74">
            <v>-5</v>
          </cell>
          <cell r="S74">
            <v>-7.5</v>
          </cell>
          <cell r="T74">
            <v>-17.20792375000002</v>
          </cell>
          <cell r="U74">
            <v>-73.688591755890485</v>
          </cell>
          <cell r="V74">
            <v>-18.122695226339118</v>
          </cell>
          <cell r="W74">
            <v>51.415671016702362</v>
          </cell>
          <cell r="X74">
            <v>-33.472115898831163</v>
          </cell>
          <cell r="Y74">
            <v>-196.42434438564158</v>
          </cell>
          <cell r="Z74">
            <v>0</v>
          </cell>
          <cell r="AA74">
            <v>0</v>
          </cell>
          <cell r="AB74">
            <v>0</v>
          </cell>
          <cell r="AC74">
            <v>0</v>
          </cell>
          <cell r="AD74">
            <v>0</v>
          </cell>
        </row>
        <row r="75">
          <cell r="A75" t="str">
            <v xml:space="preserve">  Gypsum Wallboard</v>
          </cell>
          <cell r="P75">
            <v>0</v>
          </cell>
          <cell r="Q75">
            <v>0</v>
          </cell>
          <cell r="R75">
            <v>0</v>
          </cell>
          <cell r="S75">
            <v>0</v>
          </cell>
          <cell r="T75">
            <v>0</v>
          </cell>
          <cell r="U75">
            <v>124.11663519948226</v>
          </cell>
          <cell r="V75">
            <v>10.707320542091963</v>
          </cell>
          <cell r="W75">
            <v>30.559068378772395</v>
          </cell>
          <cell r="X75">
            <v>-33.687621858090438</v>
          </cell>
          <cell r="Y75">
            <v>-35.267930437388003</v>
          </cell>
          <cell r="Z75">
            <v>17.033944155204026</v>
          </cell>
          <cell r="AA75">
            <v>-1.0353804771136197</v>
          </cell>
          <cell r="AB75">
            <v>0</v>
          </cell>
          <cell r="AC75">
            <v>0</v>
          </cell>
          <cell r="AD75">
            <v>0</v>
          </cell>
        </row>
        <row r="77">
          <cell r="R77" t="str">
            <v xml:space="preserve"> </v>
          </cell>
        </row>
        <row r="78">
          <cell r="A78" t="str">
            <v>Prices</v>
          </cell>
        </row>
        <row r="79">
          <cell r="R79" t="str">
            <v xml:space="preserve"> </v>
          </cell>
        </row>
        <row r="80">
          <cell r="G80" t="str">
            <v>1983</v>
          </cell>
          <cell r="H80" t="str">
            <v>1984</v>
          </cell>
          <cell r="I80" t="str">
            <v>1985</v>
          </cell>
          <cell r="J80" t="str">
            <v>1986</v>
          </cell>
          <cell r="K80" t="str">
            <v>1987</v>
          </cell>
          <cell r="L80" t="str">
            <v>1988</v>
          </cell>
          <cell r="M80" t="str">
            <v>1989</v>
          </cell>
          <cell r="N80">
            <v>1990</v>
          </cell>
          <cell r="O80">
            <v>1991</v>
          </cell>
          <cell r="P80">
            <v>1992</v>
          </cell>
          <cell r="Q80">
            <v>1993</v>
          </cell>
          <cell r="R80">
            <v>1994</v>
          </cell>
          <cell r="S80">
            <v>1995</v>
          </cell>
          <cell r="T80">
            <v>1996</v>
          </cell>
          <cell r="U80">
            <v>1997</v>
          </cell>
          <cell r="V80">
            <v>1998</v>
          </cell>
          <cell r="W80">
            <v>1999</v>
          </cell>
          <cell r="X80">
            <v>2000</v>
          </cell>
          <cell r="Y80">
            <v>2001</v>
          </cell>
          <cell r="Z80">
            <v>2002</v>
          </cell>
          <cell r="AA80" t="str">
            <v>2003E</v>
          </cell>
          <cell r="AB80" t="str">
            <v>2004E</v>
          </cell>
          <cell r="AC80" t="str">
            <v>2005E</v>
          </cell>
          <cell r="AD80" t="str">
            <v>2006E</v>
          </cell>
        </row>
        <row r="81">
          <cell r="A81" t="str">
            <v>Pulp &amp; Paper</v>
          </cell>
        </row>
        <row r="82">
          <cell r="A82" t="str">
            <v xml:space="preserve">  Corrugated packaging (ton)</v>
          </cell>
          <cell r="I82">
            <v>528.74806800618251</v>
          </cell>
          <cell r="J82">
            <v>442.48927038626613</v>
          </cell>
          <cell r="K82">
            <v>514.51440768409816</v>
          </cell>
          <cell r="L82">
            <v>585.53681941674893</v>
          </cell>
          <cell r="M82">
            <v>599.60866691222668</v>
          </cell>
          <cell r="N82">
            <v>567.5</v>
          </cell>
          <cell r="O82">
            <v>547.92647817171473</v>
          </cell>
          <cell r="P82">
            <v>577.5</v>
          </cell>
          <cell r="Q82">
            <v>570</v>
          </cell>
          <cell r="R82">
            <v>627.5</v>
          </cell>
          <cell r="S82">
            <v>782.73791423295086</v>
          </cell>
          <cell r="T82">
            <v>686.92724434394017</v>
          </cell>
          <cell r="U82">
            <v>612.34724985258129</v>
          </cell>
          <cell r="V82">
            <v>658.18175601699284</v>
          </cell>
          <cell r="W82">
            <v>642.37739109264828</v>
          </cell>
          <cell r="X82">
            <v>759.28502719263884</v>
          </cell>
          <cell r="Y82">
            <v>778.75195007800312</v>
          </cell>
          <cell r="Z82">
            <v>761.29885763128527</v>
          </cell>
          <cell r="AA82">
            <v>745.95505617977528</v>
          </cell>
          <cell r="AB82">
            <v>773.45505617977528</v>
          </cell>
          <cell r="AC82">
            <v>752.20505617977528</v>
          </cell>
          <cell r="AD82">
            <v>710.95505617977528</v>
          </cell>
        </row>
        <row r="83">
          <cell r="A83" t="str">
            <v xml:space="preserve">    Linerboard</v>
          </cell>
          <cell r="D83">
            <v>270</v>
          </cell>
          <cell r="E83">
            <v>296</v>
          </cell>
          <cell r="F83">
            <v>269</v>
          </cell>
          <cell r="G83">
            <v>273</v>
          </cell>
          <cell r="H83">
            <v>320</v>
          </cell>
          <cell r="I83">
            <v>274</v>
          </cell>
          <cell r="J83">
            <v>295</v>
          </cell>
          <cell r="K83">
            <v>365</v>
          </cell>
          <cell r="L83">
            <v>400</v>
          </cell>
          <cell r="M83">
            <v>410</v>
          </cell>
          <cell r="Y83">
            <v>466.32322493075446</v>
          </cell>
          <cell r="AA83">
            <v>576.32322493075446</v>
          </cell>
          <cell r="AB83">
            <v>631.32322493075446</v>
          </cell>
          <cell r="AC83">
            <v>653.82322493075446</v>
          </cell>
          <cell r="AD83">
            <v>638.82322493075446</v>
          </cell>
        </row>
        <row r="84">
          <cell r="A84" t="str">
            <v xml:space="preserve">    Corrugated Boxes (KSF)</v>
          </cell>
          <cell r="L84">
            <v>53.137500000000003</v>
          </cell>
          <cell r="M84">
            <v>54</v>
          </cell>
          <cell r="Y84">
            <v>0</v>
          </cell>
          <cell r="AA84">
            <v>0</v>
          </cell>
          <cell r="AB84">
            <v>0</v>
          </cell>
          <cell r="AC84">
            <v>0</v>
          </cell>
          <cell r="AD84">
            <v>0</v>
          </cell>
        </row>
        <row r="85">
          <cell r="A85" t="str">
            <v xml:space="preserve">  Bleached board</v>
          </cell>
          <cell r="D85">
            <v>270</v>
          </cell>
          <cell r="E85">
            <v>296</v>
          </cell>
          <cell r="F85">
            <v>269</v>
          </cell>
          <cell r="G85">
            <v>273</v>
          </cell>
          <cell r="H85">
            <v>320</v>
          </cell>
          <cell r="I85">
            <v>509.73451327433628</v>
          </cell>
          <cell r="J85">
            <v>505.24017467248905</v>
          </cell>
          <cell r="K85">
            <v>516.2447257383966</v>
          </cell>
          <cell r="L85">
            <v>576.5</v>
          </cell>
          <cell r="M85">
            <v>665</v>
          </cell>
          <cell r="N85">
            <v>681</v>
          </cell>
          <cell r="O85">
            <v>675</v>
          </cell>
          <cell r="P85">
            <v>637</v>
          </cell>
          <cell r="Q85">
            <v>537</v>
          </cell>
          <cell r="R85">
            <v>506</v>
          </cell>
          <cell r="S85">
            <v>623</v>
          </cell>
          <cell r="T85">
            <v>573</v>
          </cell>
          <cell r="U85">
            <v>576</v>
          </cell>
          <cell r="V85">
            <v>605.64421338155512</v>
          </cell>
          <cell r="W85">
            <v>591.31728209283472</v>
          </cell>
          <cell r="X85">
            <v>638.65566037735846</v>
          </cell>
          <cell r="Y85">
            <v>652.40566037735846</v>
          </cell>
          <cell r="AA85">
            <v>639.90566037735846</v>
          </cell>
          <cell r="AB85">
            <v>639.90566037735846</v>
          </cell>
          <cell r="AC85">
            <v>639.90566037735846</v>
          </cell>
          <cell r="AD85">
            <v>639.90566037735846</v>
          </cell>
        </row>
        <row r="86">
          <cell r="A86" t="str">
            <v xml:space="preserve">  Market pulp</v>
          </cell>
          <cell r="I86">
            <v>275.90361445783128</v>
          </cell>
          <cell r="J86">
            <v>295.14563106796118</v>
          </cell>
          <cell r="K86">
            <v>431.31313131313129</v>
          </cell>
          <cell r="L86">
            <v>462</v>
          </cell>
          <cell r="M86">
            <v>532</v>
          </cell>
          <cell r="N86">
            <v>429</v>
          </cell>
          <cell r="O86">
            <v>368</v>
          </cell>
          <cell r="P86">
            <v>307</v>
          </cell>
          <cell r="Q86">
            <v>249</v>
          </cell>
          <cell r="R86">
            <v>254</v>
          </cell>
          <cell r="S86">
            <v>395</v>
          </cell>
          <cell r="T86">
            <v>212</v>
          </cell>
          <cell r="U86">
            <v>330</v>
          </cell>
          <cell r="V86">
            <v>292.5</v>
          </cell>
          <cell r="W86">
            <v>318.75</v>
          </cell>
          <cell r="X86">
            <v>407.5</v>
          </cell>
          <cell r="Y86">
            <v>337.5</v>
          </cell>
          <cell r="AA86">
            <v>280</v>
          </cell>
          <cell r="AB86">
            <v>280</v>
          </cell>
          <cell r="AC86">
            <v>280</v>
          </cell>
          <cell r="AD86">
            <v>280</v>
          </cell>
        </row>
        <row r="88">
          <cell r="A88" t="str">
            <v>Building Products</v>
          </cell>
          <cell r="R88">
            <v>178.35390946502056</v>
          </cell>
          <cell r="S88">
            <v>168.65503706934149</v>
          </cell>
          <cell r="T88">
            <v>198.29595310279672</v>
          </cell>
          <cell r="U88">
            <v>234.26944971537003</v>
          </cell>
          <cell r="V88">
            <v>224.87160674981658</v>
          </cell>
          <cell r="W88">
            <v>255.75898801597867</v>
          </cell>
          <cell r="X88">
            <v>271.97231833910035</v>
          </cell>
          <cell r="Y88">
            <v>259.74955277280861</v>
          </cell>
        </row>
        <row r="89">
          <cell r="A89" t="str">
            <v xml:space="preserve">  Pine lumber (MMBF)</v>
          </cell>
          <cell r="I89">
            <v>198.5185185185185</v>
          </cell>
          <cell r="J89">
            <v>194.87179487179486</v>
          </cell>
          <cell r="K89">
            <v>227.01149425287358</v>
          </cell>
          <cell r="L89">
            <v>219.39978678038381</v>
          </cell>
          <cell r="M89">
            <v>206</v>
          </cell>
          <cell r="O89">
            <v>211.25</v>
          </cell>
          <cell r="P89">
            <v>271.5</v>
          </cell>
          <cell r="Q89">
            <v>351.75</v>
          </cell>
          <cell r="R89">
            <v>368</v>
          </cell>
          <cell r="S89">
            <v>338</v>
          </cell>
          <cell r="T89">
            <v>367.20425</v>
          </cell>
          <cell r="U89">
            <v>409.64624844365369</v>
          </cell>
          <cell r="V89">
            <v>369.31964918930493</v>
          </cell>
          <cell r="W89">
            <v>409.4749979763393</v>
          </cell>
          <cell r="X89">
            <v>372.03090598237316</v>
          </cell>
          <cell r="Y89">
            <v>332.25879629629628</v>
          </cell>
          <cell r="Z89">
            <v>296.69207658478825</v>
          </cell>
          <cell r="AA89">
            <v>301.31720430107526</v>
          </cell>
          <cell r="AB89">
            <v>301.31720430107526</v>
          </cell>
          <cell r="AC89">
            <v>311.31720430107526</v>
          </cell>
          <cell r="AD89">
            <v>321.24220430107528</v>
          </cell>
        </row>
        <row r="90">
          <cell r="A90" t="str">
            <v xml:space="preserve">  Fiberboard (MMSF)</v>
          </cell>
          <cell r="H90">
            <v>11.584914961794428</v>
          </cell>
          <cell r="I90">
            <v>120.72289156626506</v>
          </cell>
          <cell r="J90">
            <v>128.6697247706422</v>
          </cell>
          <cell r="K90">
            <v>115.28384279475982</v>
          </cell>
          <cell r="L90">
            <v>105.9375947268378</v>
          </cell>
          <cell r="M90">
            <v>106</v>
          </cell>
          <cell r="O90">
            <v>0</v>
          </cell>
          <cell r="P90">
            <v>0</v>
          </cell>
          <cell r="Q90">
            <v>0</v>
          </cell>
          <cell r="R90">
            <v>0</v>
          </cell>
          <cell r="S90">
            <v>0</v>
          </cell>
          <cell r="T90">
            <v>0</v>
          </cell>
          <cell r="U90">
            <v>165.11729829690995</v>
          </cell>
          <cell r="V90">
            <v>152.96074495069382</v>
          </cell>
          <cell r="W90">
            <v>162.02261163009376</v>
          </cell>
          <cell r="X90">
            <v>169.15141312479128</v>
          </cell>
          <cell r="Y90">
            <v>164.55696202531644</v>
          </cell>
          <cell r="Z90">
            <v>164.44803147099219</v>
          </cell>
          <cell r="AA90">
            <v>157.89473684210526</v>
          </cell>
          <cell r="AB90">
            <v>157.89473684210526</v>
          </cell>
          <cell r="AC90">
            <v>157.89473684210526</v>
          </cell>
          <cell r="AD90">
            <v>157.89473684210526</v>
          </cell>
        </row>
        <row r="91">
          <cell r="A91" t="str">
            <v xml:space="preserve">  Particleboard</v>
          </cell>
          <cell r="I91">
            <v>142.04946996466433</v>
          </cell>
          <cell r="J91">
            <v>168.68686868686868</v>
          </cell>
          <cell r="K91">
            <v>191.58878504672896</v>
          </cell>
          <cell r="L91">
            <v>193.96119253830781</v>
          </cell>
          <cell r="M91">
            <v>184</v>
          </cell>
          <cell r="O91">
            <v>0</v>
          </cell>
          <cell r="P91">
            <v>0</v>
          </cell>
          <cell r="Q91">
            <v>0</v>
          </cell>
          <cell r="R91">
            <v>0</v>
          </cell>
          <cell r="S91">
            <v>0</v>
          </cell>
          <cell r="T91">
            <v>0</v>
          </cell>
          <cell r="U91">
            <v>266.00773234772481</v>
          </cell>
          <cell r="V91">
            <v>273.36380230089117</v>
          </cell>
          <cell r="W91">
            <v>298.06595659157836</v>
          </cell>
          <cell r="X91">
            <v>318.06310518496304</v>
          </cell>
          <cell r="Y91">
            <v>305.19480519480521</v>
          </cell>
          <cell r="Z91">
            <v>263.26519812087059</v>
          </cell>
          <cell r="AA91">
            <v>260.3289473684211</v>
          </cell>
          <cell r="AB91">
            <v>261.5789473684211</v>
          </cell>
          <cell r="AC91">
            <v>261.5789473684211</v>
          </cell>
          <cell r="AD91">
            <v>261.5789473684211</v>
          </cell>
        </row>
        <row r="92">
          <cell r="A92" t="str">
            <v xml:space="preserve">  Plywood</v>
          </cell>
          <cell r="H92">
            <v>56</v>
          </cell>
          <cell r="I92">
            <v>134.14634146341464</v>
          </cell>
          <cell r="J92">
            <v>142.36453201970443</v>
          </cell>
          <cell r="K92">
            <v>146.69811320754715</v>
          </cell>
          <cell r="L92">
            <v>136.13636363636363</v>
          </cell>
          <cell r="M92">
            <v>136</v>
          </cell>
          <cell r="O92">
            <v>208.75</v>
          </cell>
          <cell r="P92">
            <v>263.75</v>
          </cell>
          <cell r="Q92">
            <v>300</v>
          </cell>
          <cell r="R92">
            <v>295</v>
          </cell>
          <cell r="S92">
            <v>287.5</v>
          </cell>
          <cell r="T92">
            <v>270.29207624999998</v>
          </cell>
          <cell r="U92">
            <v>196.60348449410949</v>
          </cell>
          <cell r="V92">
            <v>178.48078926777038</v>
          </cell>
          <cell r="W92">
            <v>229.89646028447274</v>
          </cell>
          <cell r="X92">
            <v>196.42434438564158</v>
          </cell>
          <cell r="Y92">
            <v>0</v>
          </cell>
        </row>
        <row r="93">
          <cell r="A93" t="str">
            <v xml:space="preserve">  Gypsum Wallboard</v>
          </cell>
          <cell r="H93">
            <v>152</v>
          </cell>
          <cell r="I93">
            <v>106.74846625766871</v>
          </cell>
          <cell r="J93">
            <v>92.947103274559183</v>
          </cell>
          <cell r="K93">
            <v>73.28358208955224</v>
          </cell>
          <cell r="L93">
            <v>63.231043059207408</v>
          </cell>
          <cell r="M93">
            <v>61</v>
          </cell>
          <cell r="O93">
            <v>0</v>
          </cell>
          <cell r="P93">
            <v>0</v>
          </cell>
          <cell r="Q93">
            <v>0</v>
          </cell>
          <cell r="R93">
            <v>0</v>
          </cell>
          <cell r="S93">
            <v>0</v>
          </cell>
          <cell r="T93">
            <v>0</v>
          </cell>
          <cell r="U93">
            <v>124.11663519948226</v>
          </cell>
          <cell r="V93">
            <v>134.82395574157422</v>
          </cell>
          <cell r="W93">
            <v>165.38302412034662</v>
          </cell>
          <cell r="X93">
            <v>131.69540226225618</v>
          </cell>
          <cell r="Y93">
            <v>96.427471824868178</v>
          </cell>
          <cell r="Z93">
            <v>113.4614159800722</v>
          </cell>
          <cell r="AA93">
            <v>112.42603550295858</v>
          </cell>
          <cell r="AB93">
            <v>112.42603550295858</v>
          </cell>
          <cell r="AC93">
            <v>112.42603550295858</v>
          </cell>
          <cell r="AD93">
            <v>112.42603550295858</v>
          </cell>
        </row>
        <row r="94">
          <cell r="A94" t="str">
            <v xml:space="preserve">    Decorative wall paneling</v>
          </cell>
          <cell r="L94">
            <v>0</v>
          </cell>
          <cell r="M94">
            <v>0</v>
          </cell>
          <cell r="O94">
            <v>0</v>
          </cell>
          <cell r="Q94">
            <v>50</v>
          </cell>
          <cell r="R94">
            <v>30</v>
          </cell>
          <cell r="S94">
            <v>10</v>
          </cell>
          <cell r="T94">
            <v>0</v>
          </cell>
          <cell r="U94">
            <v>0</v>
          </cell>
          <cell r="V94">
            <v>0</v>
          </cell>
          <cell r="W94">
            <v>0</v>
          </cell>
        </row>
        <row r="95">
          <cell r="A95" t="str">
            <v xml:space="preserve">    Insulation</v>
          </cell>
          <cell r="M95">
            <v>200</v>
          </cell>
          <cell r="O95">
            <v>0</v>
          </cell>
          <cell r="Q95">
            <v>50</v>
          </cell>
          <cell r="R95">
            <v>30</v>
          </cell>
          <cell r="S95">
            <v>10</v>
          </cell>
          <cell r="T95">
            <v>0</v>
          </cell>
          <cell r="U95">
            <v>0</v>
          </cell>
          <cell r="V95">
            <v>0</v>
          </cell>
          <cell r="W95">
            <v>0</v>
          </cell>
        </row>
        <row r="182">
          <cell r="A182" t="str">
            <v>Segment Earnings Model</v>
          </cell>
        </row>
        <row r="183">
          <cell r="A183">
            <v>37678.40788298611</v>
          </cell>
          <cell r="R183" t="str">
            <v xml:space="preserve"> </v>
          </cell>
        </row>
        <row r="184">
          <cell r="A184" t="str">
            <v>($ millions)</v>
          </cell>
          <cell r="C184" t="str">
            <v>1979</v>
          </cell>
          <cell r="D184" t="str">
            <v>1980</v>
          </cell>
          <cell r="E184" t="str">
            <v>1981</v>
          </cell>
          <cell r="F184" t="str">
            <v>1982</v>
          </cell>
          <cell r="G184" t="str">
            <v>1983</v>
          </cell>
          <cell r="H184" t="str">
            <v>1984</v>
          </cell>
          <cell r="I184" t="str">
            <v>1985</v>
          </cell>
          <cell r="J184" t="str">
            <v>1986</v>
          </cell>
          <cell r="K184" t="str">
            <v>1987</v>
          </cell>
          <cell r="L184" t="str">
            <v>1988</v>
          </cell>
          <cell r="M184" t="str">
            <v>1989</v>
          </cell>
          <cell r="N184">
            <v>1990</v>
          </cell>
          <cell r="O184">
            <v>1991</v>
          </cell>
          <cell r="P184">
            <v>1992</v>
          </cell>
          <cell r="Q184">
            <v>1993</v>
          </cell>
          <cell r="R184">
            <v>1994</v>
          </cell>
          <cell r="S184">
            <v>1995</v>
          </cell>
          <cell r="T184">
            <v>1996</v>
          </cell>
          <cell r="U184">
            <v>1997</v>
          </cell>
          <cell r="V184">
            <v>1998</v>
          </cell>
          <cell r="W184">
            <v>1999</v>
          </cell>
          <cell r="X184">
            <v>2000</v>
          </cell>
          <cell r="Y184">
            <v>2001</v>
          </cell>
          <cell r="Z184">
            <v>2002</v>
          </cell>
          <cell r="AA184" t="str">
            <v>2003E</v>
          </cell>
          <cell r="AB184" t="str">
            <v>2004E</v>
          </cell>
          <cell r="AC184" t="str">
            <v>2005E</v>
          </cell>
          <cell r="AD184" t="str">
            <v>2006E</v>
          </cell>
        </row>
        <row r="185">
          <cell r="A185" t="str">
            <v>Sales</v>
          </cell>
        </row>
        <row r="186">
          <cell r="A186" t="str">
            <v xml:space="preserve">  Container and containerboard</v>
          </cell>
          <cell r="C186">
            <v>452.2</v>
          </cell>
          <cell r="D186">
            <v>534.20000000000005</v>
          </cell>
          <cell r="E186">
            <v>595.70000000000005</v>
          </cell>
          <cell r="F186">
            <v>576.79999999999995</v>
          </cell>
          <cell r="G186">
            <v>596.9</v>
          </cell>
          <cell r="H186">
            <v>665.3</v>
          </cell>
          <cell r="I186">
            <v>684.2</v>
          </cell>
          <cell r="J186">
            <v>721.7</v>
          </cell>
          <cell r="K186">
            <v>964.2</v>
          </cell>
          <cell r="L186">
            <v>1093.0999999999999</v>
          </cell>
          <cell r="M186">
            <v>1138.4000000000001</v>
          </cell>
          <cell r="N186">
            <v>1144.2</v>
          </cell>
          <cell r="O186">
            <v>1148.5999999999999</v>
          </cell>
          <cell r="P186">
            <v>1248.5</v>
          </cell>
          <cell r="Q186">
            <v>1364.58</v>
          </cell>
          <cell r="R186">
            <v>1546.87</v>
          </cell>
          <cell r="S186">
            <v>1825.3</v>
          </cell>
          <cell r="T186">
            <v>1670.8259433962262</v>
          </cell>
          <cell r="U186">
            <v>1694</v>
          </cell>
          <cell r="V186">
            <v>1641.6999999999998</v>
          </cell>
          <cell r="W186">
            <v>1798</v>
          </cell>
          <cell r="X186">
            <v>2034</v>
          </cell>
          <cell r="Y186">
            <v>2082</v>
          </cell>
          <cell r="Z186">
            <v>2596</v>
          </cell>
          <cell r="AA186">
            <v>655</v>
          </cell>
          <cell r="AB186">
            <v>681</v>
          </cell>
          <cell r="AC186">
            <v>703</v>
          </cell>
          <cell r="AD186">
            <v>557</v>
          </cell>
        </row>
        <row r="187">
          <cell r="A187" t="str">
            <v xml:space="preserve">  Pulp and paperboard</v>
          </cell>
          <cell r="C187">
            <v>194.8</v>
          </cell>
          <cell r="D187">
            <v>233.6</v>
          </cell>
          <cell r="E187">
            <v>261.7</v>
          </cell>
          <cell r="F187">
            <v>254.5</v>
          </cell>
          <cell r="G187">
            <v>253.2</v>
          </cell>
          <cell r="H187">
            <v>284.5</v>
          </cell>
          <cell r="I187">
            <v>256.7</v>
          </cell>
          <cell r="J187">
            <v>264.89999999999998</v>
          </cell>
          <cell r="K187">
            <v>292.5</v>
          </cell>
          <cell r="L187">
            <v>336</v>
          </cell>
          <cell r="M187">
            <v>368.1</v>
          </cell>
          <cell r="N187">
            <v>373.00000000000006</v>
          </cell>
          <cell r="O187">
            <v>370.6</v>
          </cell>
          <cell r="P187">
            <v>352.6</v>
          </cell>
          <cell r="Q187">
            <v>318.5</v>
          </cell>
          <cell r="R187">
            <v>287.80999999999995</v>
          </cell>
          <cell r="S187">
            <v>368.7</v>
          </cell>
          <cell r="T187">
            <v>413.20000000000005</v>
          </cell>
          <cell r="U187">
            <v>368.9</v>
          </cell>
          <cell r="V187">
            <v>375.7</v>
          </cell>
          <cell r="W187">
            <v>186</v>
          </cell>
          <cell r="X187">
            <v>0</v>
          </cell>
          <cell r="Y187">
            <v>0</v>
          </cell>
          <cell r="Z187">
            <v>0</v>
          </cell>
          <cell r="AA187">
            <v>0</v>
          </cell>
          <cell r="AB187">
            <v>0</v>
          </cell>
          <cell r="AC187">
            <v>0</v>
          </cell>
          <cell r="AD187">
            <v>0</v>
          </cell>
        </row>
        <row r="188">
          <cell r="A188" t="str">
            <v xml:space="preserve">Paper </v>
          </cell>
          <cell r="K188">
            <v>1256.7</v>
          </cell>
          <cell r="L188">
            <v>1429.1000000000001</v>
          </cell>
          <cell r="M188">
            <v>1506.5</v>
          </cell>
          <cell r="N188">
            <v>1513.3999999999999</v>
          </cell>
          <cell r="O188">
            <v>1485.7</v>
          </cell>
          <cell r="P188">
            <v>1607</v>
          </cell>
          <cell r="Q188">
            <v>1639.6949999999999</v>
          </cell>
          <cell r="R188">
            <v>1834.6799999999998</v>
          </cell>
          <cell r="S188">
            <v>2194</v>
          </cell>
          <cell r="T188">
            <v>2084.0259433962265</v>
          </cell>
          <cell r="U188">
            <v>2062.9</v>
          </cell>
          <cell r="V188">
            <v>2017.4</v>
          </cell>
          <cell r="W188">
            <v>1798</v>
          </cell>
          <cell r="X188">
            <v>2034</v>
          </cell>
          <cell r="Y188">
            <v>2082</v>
          </cell>
          <cell r="Z188">
            <v>2596</v>
          </cell>
          <cell r="AA188">
            <v>2864.6174157303367</v>
          </cell>
          <cell r="AB188">
            <v>3001.0056179775279</v>
          </cell>
          <cell r="AC188">
            <v>2860.1845056179773</v>
          </cell>
          <cell r="AD188">
            <v>2730.3688606741571</v>
          </cell>
        </row>
        <row r="189">
          <cell r="A189" t="str">
            <v>Building products</v>
          </cell>
          <cell r="C189">
            <v>208.6</v>
          </cell>
          <cell r="D189">
            <v>192.7</v>
          </cell>
          <cell r="E189">
            <v>210.2</v>
          </cell>
          <cell r="F189">
            <v>225.5</v>
          </cell>
          <cell r="G189">
            <v>295.10000000000002</v>
          </cell>
          <cell r="H189">
            <v>295.3</v>
          </cell>
          <cell r="I189">
            <v>268</v>
          </cell>
          <cell r="J189">
            <v>281.5</v>
          </cell>
          <cell r="K189">
            <v>322.8</v>
          </cell>
          <cell r="L189">
            <v>312.2</v>
          </cell>
          <cell r="M189">
            <v>316.2</v>
          </cell>
          <cell r="N189">
            <v>305.3</v>
          </cell>
          <cell r="O189">
            <v>311.10000000000002</v>
          </cell>
          <cell r="P189">
            <v>391.3</v>
          </cell>
          <cell r="Q189">
            <v>386</v>
          </cell>
          <cell r="R189">
            <v>433.4</v>
          </cell>
          <cell r="S189">
            <v>386.726</v>
          </cell>
          <cell r="T189">
            <v>524.69109191000007</v>
          </cell>
          <cell r="U189">
            <v>617.30000000000007</v>
          </cell>
          <cell r="V189">
            <v>613</v>
          </cell>
          <cell r="W189">
            <v>768.3</v>
          </cell>
          <cell r="X189">
            <v>786</v>
          </cell>
          <cell r="Y189">
            <v>726</v>
          </cell>
          <cell r="Z189">
            <v>787</v>
          </cell>
          <cell r="AA189">
            <v>752.68573594465261</v>
          </cell>
          <cell r="AB189">
            <v>753.48573594465279</v>
          </cell>
          <cell r="AC189">
            <v>763.53073594465263</v>
          </cell>
          <cell r="AD189">
            <v>773.3619359446526</v>
          </cell>
        </row>
        <row r="190">
          <cell r="A190" t="str">
            <v xml:space="preserve">    Manufacturing</v>
          </cell>
          <cell r="C190">
            <v>165.6</v>
          </cell>
          <cell r="D190">
            <v>145.9</v>
          </cell>
          <cell r="E190">
            <v>151</v>
          </cell>
          <cell r="F190">
            <v>158.19999999999999</v>
          </cell>
          <cell r="G190">
            <v>207.5</v>
          </cell>
          <cell r="H190">
            <v>226.6</v>
          </cell>
          <cell r="I190">
            <v>226.9</v>
          </cell>
          <cell r="J190">
            <v>251</v>
          </cell>
          <cell r="K190">
            <v>290.7</v>
          </cell>
          <cell r="L190">
            <v>278.39999999999998</v>
          </cell>
          <cell r="M190">
            <v>274.10000000000002</v>
          </cell>
          <cell r="N190">
            <v>263.7</v>
          </cell>
          <cell r="O190">
            <v>273.2</v>
          </cell>
          <cell r="P190">
            <v>345</v>
          </cell>
          <cell r="Q190">
            <v>346</v>
          </cell>
          <cell r="R190">
            <v>370.4</v>
          </cell>
          <cell r="S190">
            <v>320.57600000000002</v>
          </cell>
          <cell r="T190">
            <v>457.89109191</v>
          </cell>
          <cell r="U190">
            <v>613.1</v>
          </cell>
          <cell r="V190">
            <v>613.4</v>
          </cell>
          <cell r="W190">
            <v>768</v>
          </cell>
          <cell r="X190">
            <v>786</v>
          </cell>
          <cell r="Y190">
            <v>726</v>
          </cell>
          <cell r="AA190">
            <v>752.68573594465272</v>
          </cell>
          <cell r="AB190">
            <v>753.4857359446529</v>
          </cell>
          <cell r="AC190">
            <v>763.53073594465275</v>
          </cell>
          <cell r="AD190">
            <v>773.36193594465271</v>
          </cell>
        </row>
        <row r="191">
          <cell r="A191" t="str">
            <v xml:space="preserve">    Retail</v>
          </cell>
          <cell r="C191">
            <v>43</v>
          </cell>
          <cell r="D191">
            <v>46.8</v>
          </cell>
          <cell r="E191">
            <v>59.2</v>
          </cell>
          <cell r="F191">
            <v>67.3</v>
          </cell>
          <cell r="G191">
            <v>87.6</v>
          </cell>
          <cell r="H191">
            <v>68.7</v>
          </cell>
          <cell r="I191">
            <v>41.1</v>
          </cell>
          <cell r="J191">
            <v>30.5</v>
          </cell>
          <cell r="K191">
            <v>32.1</v>
          </cell>
          <cell r="L191">
            <v>33.799999999999997</v>
          </cell>
          <cell r="M191">
            <v>42.1</v>
          </cell>
          <cell r="N191">
            <v>41.6</v>
          </cell>
          <cell r="O191">
            <v>42.2</v>
          </cell>
          <cell r="P191">
            <v>53.5</v>
          </cell>
          <cell r="Q191">
            <v>60</v>
          </cell>
          <cell r="R191">
            <v>63</v>
          </cell>
          <cell r="S191">
            <v>66.150000000000006</v>
          </cell>
          <cell r="T191">
            <v>66.8</v>
          </cell>
          <cell r="U191">
            <v>4.2</v>
          </cell>
          <cell r="V191">
            <v>0</v>
          </cell>
          <cell r="W191">
            <v>0</v>
          </cell>
          <cell r="X191">
            <v>0</v>
          </cell>
          <cell r="Y191">
            <v>0</v>
          </cell>
          <cell r="AA191">
            <v>0</v>
          </cell>
          <cell r="AB191">
            <v>0</v>
          </cell>
          <cell r="AC191">
            <v>0</v>
          </cell>
          <cell r="AD191">
            <v>0</v>
          </cell>
        </row>
        <row r="192">
          <cell r="A192" t="str">
            <v>Other activities</v>
          </cell>
          <cell r="C192">
            <v>38.299999999999997</v>
          </cell>
          <cell r="D192">
            <v>34.5</v>
          </cell>
          <cell r="E192">
            <v>46.5</v>
          </cell>
          <cell r="F192">
            <v>39.6</v>
          </cell>
          <cell r="G192">
            <v>30.3</v>
          </cell>
          <cell r="H192">
            <v>17.8</v>
          </cell>
          <cell r="I192">
            <v>34.200000000000003</v>
          </cell>
          <cell r="J192">
            <v>27.7</v>
          </cell>
          <cell r="K192">
            <v>23.2</v>
          </cell>
          <cell r="L192">
            <v>32.200000000000003</v>
          </cell>
          <cell r="M192">
            <v>67.2</v>
          </cell>
          <cell r="N192">
            <v>70</v>
          </cell>
          <cell r="O192">
            <v>67.900000000000006</v>
          </cell>
          <cell r="P192">
            <v>77.099999999999994</v>
          </cell>
          <cell r="Q192">
            <v>58.4</v>
          </cell>
          <cell r="R192">
            <v>61.32</v>
          </cell>
          <cell r="S192">
            <v>64.38600000000001</v>
          </cell>
          <cell r="T192">
            <v>0</v>
          </cell>
          <cell r="U192">
            <v>0</v>
          </cell>
          <cell r="V192">
            <v>0</v>
          </cell>
          <cell r="W192">
            <v>0</v>
          </cell>
          <cell r="X192">
            <v>0</v>
          </cell>
          <cell r="Y192">
            <v>0</v>
          </cell>
          <cell r="Z192">
            <v>0</v>
          </cell>
          <cell r="AA192">
            <v>0</v>
          </cell>
          <cell r="AB192">
            <v>0</v>
          </cell>
          <cell r="AC192">
            <v>0</v>
          </cell>
          <cell r="AD192">
            <v>0</v>
          </cell>
        </row>
        <row r="193">
          <cell r="A193" t="str">
            <v xml:space="preserve">  Manufacturing net sales</v>
          </cell>
          <cell r="C193">
            <v>893.9</v>
          </cell>
          <cell r="D193">
            <v>995</v>
          </cell>
          <cell r="E193">
            <v>1114.0999999999999</v>
          </cell>
          <cell r="F193">
            <v>1096.4000000000001</v>
          </cell>
          <cell r="G193">
            <v>1175.5</v>
          </cell>
          <cell r="H193">
            <v>1262.9000000000001</v>
          </cell>
          <cell r="I193">
            <v>1243.0999999999999</v>
          </cell>
          <cell r="J193">
            <v>1295.8</v>
          </cell>
          <cell r="K193">
            <v>1602.7</v>
          </cell>
          <cell r="L193">
            <v>1773.5</v>
          </cell>
          <cell r="M193">
            <v>1889.9</v>
          </cell>
          <cell r="N193">
            <v>1892.5</v>
          </cell>
          <cell r="O193">
            <v>1898.1999999999998</v>
          </cell>
          <cell r="P193">
            <v>2069.5</v>
          </cell>
          <cell r="Q193">
            <v>2105.6949999999997</v>
          </cell>
          <cell r="R193">
            <v>2329.3999999999996</v>
          </cell>
          <cell r="S193">
            <v>2645.1120000000001</v>
          </cell>
          <cell r="T193">
            <v>2608.7170353062265</v>
          </cell>
          <cell r="U193">
            <v>2680.2</v>
          </cell>
          <cell r="V193">
            <v>2630.4</v>
          </cell>
          <cell r="W193">
            <v>2566.3000000000002</v>
          </cell>
          <cell r="X193">
            <v>2820</v>
          </cell>
          <cell r="Y193">
            <v>2808</v>
          </cell>
          <cell r="Z193">
            <v>3383</v>
          </cell>
          <cell r="AA193">
            <v>3617.3031516749897</v>
          </cell>
          <cell r="AB193">
            <v>3754.4913539221807</v>
          </cell>
          <cell r="AC193">
            <v>3623.7152415626301</v>
          </cell>
          <cell r="AD193">
            <v>3503.73079661881</v>
          </cell>
        </row>
        <row r="194">
          <cell r="A194" t="str">
            <v>Financial services</v>
          </cell>
          <cell r="H194">
            <v>152.30000000000001</v>
          </cell>
          <cell r="I194">
            <v>231.4</v>
          </cell>
          <cell r="J194">
            <v>346.3</v>
          </cell>
          <cell r="K194">
            <v>336.2</v>
          </cell>
          <cell r="L194">
            <v>325.60000000000002</v>
          </cell>
          <cell r="M194">
            <v>283</v>
          </cell>
          <cell r="N194">
            <v>508.6</v>
          </cell>
          <cell r="O194">
            <v>608.9</v>
          </cell>
          <cell r="P194">
            <v>637.79999999999995</v>
          </cell>
          <cell r="Q194">
            <v>635.1</v>
          </cell>
          <cell r="R194">
            <v>655</v>
          </cell>
          <cell r="S194">
            <v>675</v>
          </cell>
          <cell r="T194">
            <v>812.6</v>
          </cell>
          <cell r="U194">
            <v>945.2</v>
          </cell>
          <cell r="V194">
            <v>1109.5</v>
          </cell>
          <cell r="W194">
            <v>1131.3</v>
          </cell>
          <cell r="X194">
            <v>1338</v>
          </cell>
          <cell r="Y194">
            <v>1335</v>
          </cell>
          <cell r="Z194">
            <v>1175</v>
          </cell>
          <cell r="AA194">
            <v>1276</v>
          </cell>
          <cell r="AB194">
            <v>1276</v>
          </cell>
          <cell r="AC194">
            <v>1276</v>
          </cell>
          <cell r="AD194">
            <v>1276</v>
          </cell>
        </row>
        <row r="195">
          <cell r="A195" t="str">
            <v>Total Revenues</v>
          </cell>
          <cell r="C195">
            <v>893.9</v>
          </cell>
          <cell r="D195">
            <v>995</v>
          </cell>
          <cell r="E195">
            <v>1114.0999999999999</v>
          </cell>
          <cell r="F195">
            <v>1096.4000000000001</v>
          </cell>
          <cell r="G195">
            <v>1175.5</v>
          </cell>
          <cell r="H195">
            <v>1415.2</v>
          </cell>
          <cell r="I195">
            <v>1474.5</v>
          </cell>
          <cell r="J195">
            <v>1642.1</v>
          </cell>
          <cell r="K195">
            <v>1938.9</v>
          </cell>
          <cell r="L195">
            <v>2099.1</v>
          </cell>
          <cell r="M195">
            <v>2172.9</v>
          </cell>
          <cell r="N195">
            <v>2401.1</v>
          </cell>
          <cell r="O195">
            <v>2507.1</v>
          </cell>
          <cell r="P195">
            <v>2707.3</v>
          </cell>
          <cell r="Q195">
            <v>2740.7949999999996</v>
          </cell>
          <cell r="R195">
            <v>2984.3999999999996</v>
          </cell>
          <cell r="S195">
            <v>3320.1120000000001</v>
          </cell>
          <cell r="T195">
            <v>3421.3170353062264</v>
          </cell>
          <cell r="U195">
            <v>3625.4000000000005</v>
          </cell>
          <cell r="V195">
            <v>3739.9</v>
          </cell>
          <cell r="W195">
            <v>3697.6000000000004</v>
          </cell>
          <cell r="X195">
            <v>4158</v>
          </cell>
          <cell r="Y195">
            <v>4143</v>
          </cell>
          <cell r="Z195">
            <v>4558</v>
          </cell>
          <cell r="AA195">
            <v>4893.3031516749897</v>
          </cell>
          <cell r="AB195">
            <v>5030.4913539221807</v>
          </cell>
          <cell r="AC195">
            <v>4899.7152415626297</v>
          </cell>
          <cell r="AD195">
            <v>4779.73079661881</v>
          </cell>
        </row>
        <row r="197">
          <cell r="A197" t="str">
            <v>Operating Profit</v>
          </cell>
        </row>
        <row r="198">
          <cell r="A198" t="str">
            <v xml:space="preserve">  Container and containerboard</v>
          </cell>
          <cell r="C198">
            <v>45</v>
          </cell>
          <cell r="D198">
            <v>55</v>
          </cell>
          <cell r="E198">
            <v>58</v>
          </cell>
          <cell r="F198">
            <v>30</v>
          </cell>
          <cell r="G198">
            <v>20.8</v>
          </cell>
          <cell r="H198">
            <v>74.8</v>
          </cell>
          <cell r="I198">
            <v>49.7</v>
          </cell>
          <cell r="J198">
            <v>38.799999999999997</v>
          </cell>
          <cell r="K198">
            <v>150.80000000000001</v>
          </cell>
          <cell r="L198">
            <v>221.29999999999998</v>
          </cell>
          <cell r="M198">
            <v>208.4</v>
          </cell>
          <cell r="N198">
            <v>150.9</v>
          </cell>
          <cell r="O198">
            <v>75.400000000000006</v>
          </cell>
          <cell r="P198">
            <v>112.4</v>
          </cell>
          <cell r="Q198">
            <v>25.5</v>
          </cell>
          <cell r="R198">
            <v>105.98</v>
          </cell>
          <cell r="S198">
            <v>344</v>
          </cell>
          <cell r="T198">
            <v>150.30000000000001</v>
          </cell>
          <cell r="U198">
            <v>-6.9999999999999982</v>
          </cell>
          <cell r="V198">
            <v>100.1</v>
          </cell>
          <cell r="W198">
            <v>157.69999999999999</v>
          </cell>
          <cell r="X198">
            <v>356.86844113526445</v>
          </cell>
          <cell r="Y198">
            <v>439.87631838792078</v>
          </cell>
          <cell r="Z198">
            <v>313.63298505458749</v>
          </cell>
          <cell r="AA198">
            <v>81.476996263646868</v>
          </cell>
          <cell r="AB198">
            <v>433.50798505458738</v>
          </cell>
          <cell r="AC198">
            <v>374.53898505458733</v>
          </cell>
          <cell r="AD198">
            <v>252.11962505458735</v>
          </cell>
        </row>
        <row r="199">
          <cell r="A199" t="str">
            <v xml:space="preserve">  Pulp and paperboard</v>
          </cell>
          <cell r="C199">
            <v>35.700000000000003</v>
          </cell>
          <cell r="D199">
            <v>36.6</v>
          </cell>
          <cell r="E199">
            <v>45.4</v>
          </cell>
          <cell r="F199">
            <v>20.9</v>
          </cell>
          <cell r="G199">
            <v>20</v>
          </cell>
          <cell r="H199">
            <v>46.8</v>
          </cell>
          <cell r="I199">
            <v>19.8</v>
          </cell>
          <cell r="J199">
            <v>29.4</v>
          </cell>
          <cell r="K199">
            <v>53.4</v>
          </cell>
          <cell r="L199">
            <v>82.7</v>
          </cell>
          <cell r="M199">
            <v>114.89999999999999</v>
          </cell>
          <cell r="N199">
            <v>98.8</v>
          </cell>
          <cell r="O199">
            <v>79.900000000000006</v>
          </cell>
          <cell r="P199">
            <v>23.299999999999997</v>
          </cell>
          <cell r="Q199">
            <v>-12.48</v>
          </cell>
          <cell r="R199">
            <v>-25.769999999999996</v>
          </cell>
          <cell r="S199">
            <v>18.630000000000003</v>
          </cell>
          <cell r="T199">
            <v>-9.3000000000000007</v>
          </cell>
          <cell r="U199">
            <v>15.3</v>
          </cell>
          <cell r="V199">
            <v>-5.0999999999999996</v>
          </cell>
          <cell r="W199">
            <v>0</v>
          </cell>
          <cell r="X199">
            <v>0</v>
          </cell>
          <cell r="Y199">
            <v>0</v>
          </cell>
          <cell r="Z199">
            <v>0</v>
          </cell>
          <cell r="AA199">
            <v>0</v>
          </cell>
          <cell r="AB199">
            <v>0</v>
          </cell>
          <cell r="AC199">
            <v>0</v>
          </cell>
          <cell r="AD199">
            <v>0</v>
          </cell>
        </row>
        <row r="200">
          <cell r="A200" t="str">
            <v xml:space="preserve">  Divisional G&amp;A</v>
          </cell>
          <cell r="U200">
            <v>-43</v>
          </cell>
          <cell r="V200">
            <v>-61.6</v>
          </cell>
          <cell r="W200">
            <v>-54.2</v>
          </cell>
          <cell r="X200">
            <v>-56</v>
          </cell>
          <cell r="Y200">
            <v>-56</v>
          </cell>
          <cell r="Z200">
            <v>-56</v>
          </cell>
          <cell r="AA200">
            <v>-14</v>
          </cell>
          <cell r="AB200">
            <v>-56</v>
          </cell>
          <cell r="AC200">
            <v>-56</v>
          </cell>
          <cell r="AD200">
            <v>-56</v>
          </cell>
        </row>
        <row r="201">
          <cell r="A201" t="str">
            <v xml:space="preserve">Paper </v>
          </cell>
          <cell r="C201">
            <v>80.7</v>
          </cell>
          <cell r="D201">
            <v>91.6</v>
          </cell>
          <cell r="E201">
            <v>103.4</v>
          </cell>
          <cell r="F201">
            <v>50.9</v>
          </cell>
          <cell r="G201">
            <v>40.799999999999997</v>
          </cell>
          <cell r="H201">
            <v>121.6</v>
          </cell>
          <cell r="I201">
            <v>69.5</v>
          </cell>
          <cell r="J201">
            <v>68.199999999999989</v>
          </cell>
          <cell r="K201">
            <v>204.20000000000002</v>
          </cell>
          <cell r="L201">
            <v>304</v>
          </cell>
          <cell r="M201">
            <v>323.3</v>
          </cell>
          <cell r="N201">
            <v>249.7</v>
          </cell>
          <cell r="O201">
            <v>155.30000000000001</v>
          </cell>
          <cell r="P201">
            <v>135.69999999999999</v>
          </cell>
          <cell r="Q201">
            <v>13.02</v>
          </cell>
          <cell r="R201">
            <v>80.210000000000008</v>
          </cell>
          <cell r="S201">
            <v>362.63</v>
          </cell>
          <cell r="T201">
            <v>119.28000000000002</v>
          </cell>
          <cell r="U201">
            <v>-34.700000000000003</v>
          </cell>
          <cell r="V201">
            <v>33.4</v>
          </cell>
          <cell r="W201">
            <v>103.5</v>
          </cell>
          <cell r="X201">
            <v>205</v>
          </cell>
          <cell r="Y201">
            <v>106.8</v>
          </cell>
          <cell r="Z201">
            <v>78</v>
          </cell>
          <cell r="AA201">
            <v>101.69999999999999</v>
          </cell>
          <cell r="AB201">
            <v>218.3</v>
          </cell>
          <cell r="AC201">
            <v>163.23100000000002</v>
          </cell>
          <cell r="AD201">
            <v>40.811640000000004</v>
          </cell>
        </row>
        <row r="202">
          <cell r="A202" t="str">
            <v>Building products</v>
          </cell>
          <cell r="C202">
            <v>15.2</v>
          </cell>
          <cell r="D202">
            <v>-3.94</v>
          </cell>
          <cell r="E202">
            <v>2.9</v>
          </cell>
          <cell r="F202">
            <v>4.5999999999999996</v>
          </cell>
          <cell r="G202">
            <v>35.200000000000003</v>
          </cell>
          <cell r="H202">
            <v>40.900000000000006</v>
          </cell>
          <cell r="I202">
            <v>22.5</v>
          </cell>
          <cell r="J202">
            <v>35.900000000000006</v>
          </cell>
          <cell r="K202">
            <v>36.5</v>
          </cell>
          <cell r="L202">
            <v>24.599999999999998</v>
          </cell>
          <cell r="M202">
            <v>23.7</v>
          </cell>
          <cell r="N202">
            <v>9.4</v>
          </cell>
          <cell r="O202">
            <v>5.2</v>
          </cell>
          <cell r="P202">
            <v>39.4</v>
          </cell>
          <cell r="Q202">
            <v>99.25</v>
          </cell>
          <cell r="R202">
            <v>130.63750000000002</v>
          </cell>
          <cell r="S202">
            <v>61.349999999999994</v>
          </cell>
          <cell r="T202">
            <v>89.659485910000001</v>
          </cell>
          <cell r="U202">
            <v>131.1</v>
          </cell>
          <cell r="V202">
            <v>112.5</v>
          </cell>
          <cell r="W202">
            <v>173.70000000000002</v>
          </cell>
          <cell r="X202">
            <v>68</v>
          </cell>
          <cell r="Y202">
            <v>5.0999999999999996</v>
          </cell>
          <cell r="Z202">
            <v>49</v>
          </cell>
          <cell r="AA202">
            <v>52.494999999999997</v>
          </cell>
          <cell r="AB202">
            <v>55.819999999999993</v>
          </cell>
          <cell r="AC202">
            <v>63.439999999999991</v>
          </cell>
          <cell r="AD202">
            <v>70.714199999999991</v>
          </cell>
        </row>
        <row r="203">
          <cell r="A203" t="str">
            <v xml:space="preserve">    Manufacturing</v>
          </cell>
          <cell r="C203">
            <v>14.2</v>
          </cell>
          <cell r="D203">
            <v>-4</v>
          </cell>
          <cell r="E203">
            <v>0.9</v>
          </cell>
          <cell r="F203">
            <v>1.8</v>
          </cell>
          <cell r="G203">
            <v>31</v>
          </cell>
          <cell r="H203">
            <v>40.200000000000003</v>
          </cell>
          <cell r="I203">
            <v>23.5</v>
          </cell>
          <cell r="J203">
            <v>36.200000000000003</v>
          </cell>
          <cell r="K203">
            <v>36.799999999999997</v>
          </cell>
          <cell r="L203">
            <v>24.099999999999998</v>
          </cell>
          <cell r="M203">
            <v>22.4</v>
          </cell>
          <cell r="N203">
            <v>8</v>
          </cell>
          <cell r="O203">
            <v>4.1000000000000005</v>
          </cell>
          <cell r="P203">
            <v>38.299999999999997</v>
          </cell>
          <cell r="Q203">
            <v>99.1</v>
          </cell>
          <cell r="R203">
            <v>128.27000000000004</v>
          </cell>
          <cell r="S203">
            <v>61.199999999999996</v>
          </cell>
          <cell r="T203">
            <v>94.959485910000012</v>
          </cell>
          <cell r="U203">
            <v>146.89999999999992</v>
          </cell>
          <cell r="V203">
            <v>114.87179487179489</v>
          </cell>
          <cell r="W203">
            <v>176.47027450980391</v>
          </cell>
          <cell r="X203">
            <v>112.00113870733477</v>
          </cell>
          <cell r="Y203">
            <v>36.052751610560577</v>
          </cell>
          <cell r="Z203">
            <v>-10.100352093143103</v>
          </cell>
          <cell r="AA203">
            <v>-26.771633056096363</v>
          </cell>
          <cell r="AB203">
            <v>-39.672520931444168</v>
          </cell>
          <cell r="AC203">
            <v>-50.02840880679193</v>
          </cell>
          <cell r="AD203">
            <v>-60.478096682139807</v>
          </cell>
        </row>
        <row r="204">
          <cell r="A204" t="str">
            <v xml:space="preserve">    Retail</v>
          </cell>
          <cell r="C204">
            <v>1</v>
          </cell>
          <cell r="D204">
            <v>0.06</v>
          </cell>
          <cell r="E204">
            <v>2</v>
          </cell>
          <cell r="F204">
            <v>2.8</v>
          </cell>
          <cell r="G204">
            <v>4.2</v>
          </cell>
          <cell r="H204">
            <v>0.7</v>
          </cell>
          <cell r="I204">
            <v>-1</v>
          </cell>
          <cell r="J204">
            <v>-0.3</v>
          </cell>
          <cell r="K204">
            <v>-0.3</v>
          </cell>
          <cell r="L204">
            <v>0.5</v>
          </cell>
          <cell r="M204">
            <v>1.3</v>
          </cell>
          <cell r="N204">
            <v>1.4</v>
          </cell>
          <cell r="O204">
            <v>2.1</v>
          </cell>
          <cell r="P204">
            <v>1.1000000000000001</v>
          </cell>
          <cell r="Q204">
            <v>0.15000000000000002</v>
          </cell>
          <cell r="R204">
            <v>0.75</v>
          </cell>
          <cell r="S204">
            <v>0.15000000000000002</v>
          </cell>
          <cell r="T204">
            <v>0.1</v>
          </cell>
          <cell r="U204">
            <v>0.15000000000000002</v>
          </cell>
          <cell r="V204">
            <v>0.15000000000000002</v>
          </cell>
          <cell r="W204">
            <v>0.15000000000000002</v>
          </cell>
          <cell r="X204">
            <v>0.15000000000000002</v>
          </cell>
          <cell r="Y204">
            <v>0.15000000000000002</v>
          </cell>
          <cell r="Z204">
            <v>0.15000000000000002</v>
          </cell>
          <cell r="AA204">
            <v>0.15000000000000002</v>
          </cell>
          <cell r="AB204">
            <v>0.15000000000000002</v>
          </cell>
          <cell r="AC204">
            <v>0.15000000000000002</v>
          </cell>
          <cell r="AD204">
            <v>0.15000000000000002</v>
          </cell>
        </row>
        <row r="205">
          <cell r="A205" t="str">
            <v>Other activities</v>
          </cell>
          <cell r="C205">
            <v>2.2999999999999998</v>
          </cell>
          <cell r="D205">
            <v>2</v>
          </cell>
          <cell r="E205">
            <v>1.2</v>
          </cell>
          <cell r="G205">
            <v>-2.1</v>
          </cell>
          <cell r="H205">
            <v>-3.2</v>
          </cell>
          <cell r="I205">
            <v>2.5</v>
          </cell>
          <cell r="J205">
            <v>-5.8</v>
          </cell>
          <cell r="L205">
            <v>1.2000000000000002</v>
          </cell>
          <cell r="M205">
            <v>-0.97000000000000008</v>
          </cell>
          <cell r="N205">
            <v>-1.7</v>
          </cell>
          <cell r="O205">
            <v>1.1000000000000001</v>
          </cell>
          <cell r="P205">
            <v>-2</v>
          </cell>
          <cell r="Q205">
            <v>-2.9</v>
          </cell>
          <cell r="R205">
            <v>1.6</v>
          </cell>
          <cell r="S205">
            <v>1.6</v>
          </cell>
          <cell r="T205">
            <v>1.2000000000000002</v>
          </cell>
          <cell r="U205">
            <v>0</v>
          </cell>
          <cell r="V205">
            <v>0</v>
          </cell>
          <cell r="W205">
            <v>0</v>
          </cell>
          <cell r="X205">
            <v>0</v>
          </cell>
          <cell r="Y205">
            <v>0</v>
          </cell>
          <cell r="Z205">
            <v>0</v>
          </cell>
          <cell r="AA205">
            <v>0</v>
          </cell>
          <cell r="AB205">
            <v>0</v>
          </cell>
          <cell r="AC205">
            <v>0</v>
          </cell>
          <cell r="AD205">
            <v>0</v>
          </cell>
        </row>
        <row r="206">
          <cell r="A206" t="str">
            <v xml:space="preserve">  Manufacturing operating profit </v>
          </cell>
          <cell r="C206">
            <v>98.2</v>
          </cell>
          <cell r="D206">
            <v>89.66</v>
          </cell>
          <cell r="E206">
            <v>107.5</v>
          </cell>
          <cell r="F206">
            <v>55.5</v>
          </cell>
          <cell r="G206">
            <v>73.900000000000006</v>
          </cell>
          <cell r="H206">
            <v>159.30000000000001</v>
          </cell>
          <cell r="I206">
            <v>94.5</v>
          </cell>
          <cell r="J206">
            <v>98.3</v>
          </cell>
          <cell r="K206">
            <v>240.70000000000002</v>
          </cell>
          <cell r="L206">
            <v>329.8</v>
          </cell>
          <cell r="M206">
            <v>346.03000000000003</v>
          </cell>
          <cell r="N206">
            <v>257.39999999999998</v>
          </cell>
          <cell r="O206">
            <v>161.60000000000002</v>
          </cell>
          <cell r="P206">
            <v>173.1</v>
          </cell>
          <cell r="Q206">
            <v>109.36999999999999</v>
          </cell>
          <cell r="R206">
            <v>212.44750000000002</v>
          </cell>
          <cell r="S206">
            <v>425.58</v>
          </cell>
          <cell r="T206">
            <v>210.13948591000002</v>
          </cell>
          <cell r="U206">
            <v>96.399999999999991</v>
          </cell>
          <cell r="V206">
            <v>145.9</v>
          </cell>
          <cell r="W206">
            <v>277.20000000000005</v>
          </cell>
          <cell r="X206">
            <v>273</v>
          </cell>
          <cell r="Y206">
            <v>111.89999999999999</v>
          </cell>
          <cell r="Z206">
            <v>127</v>
          </cell>
          <cell r="AA206">
            <v>154.19499999999999</v>
          </cell>
          <cell r="AB206">
            <v>274.12</v>
          </cell>
          <cell r="AC206">
            <v>226.67099999999999</v>
          </cell>
          <cell r="AD206">
            <v>111.52583999999999</v>
          </cell>
        </row>
        <row r="207">
          <cell r="A207" t="str">
            <v>Financial Services</v>
          </cell>
          <cell r="C207">
            <v>8.8000000000000007</v>
          </cell>
          <cell r="D207">
            <v>5.6</v>
          </cell>
          <cell r="E207">
            <v>15.2</v>
          </cell>
          <cell r="F207">
            <v>11.4</v>
          </cell>
          <cell r="G207">
            <v>13.8</v>
          </cell>
          <cell r="H207">
            <v>15.2</v>
          </cell>
          <cell r="I207">
            <v>25.3</v>
          </cell>
          <cell r="J207">
            <v>33</v>
          </cell>
          <cell r="K207">
            <v>7.6</v>
          </cell>
          <cell r="L207">
            <v>-5.6</v>
          </cell>
          <cell r="M207">
            <v>6.9</v>
          </cell>
          <cell r="N207">
            <v>51.4</v>
          </cell>
          <cell r="O207">
            <v>54.2</v>
          </cell>
          <cell r="P207">
            <v>64.400000000000006</v>
          </cell>
          <cell r="Q207">
            <v>67.5</v>
          </cell>
          <cell r="R207">
            <v>60.824999999999996</v>
          </cell>
          <cell r="S207">
            <v>89.1</v>
          </cell>
          <cell r="T207">
            <v>107.19999999999999</v>
          </cell>
          <cell r="U207">
            <v>132.1</v>
          </cell>
          <cell r="V207">
            <v>144.30000000000001</v>
          </cell>
          <cell r="W207">
            <v>138.1</v>
          </cell>
          <cell r="X207">
            <v>189</v>
          </cell>
          <cell r="Y207">
            <v>183.8</v>
          </cell>
          <cell r="Z207">
            <v>171</v>
          </cell>
          <cell r="AA207">
            <v>180</v>
          </cell>
          <cell r="AB207">
            <v>180</v>
          </cell>
          <cell r="AC207">
            <v>174.6</v>
          </cell>
          <cell r="AD207">
            <v>169.36199999999999</v>
          </cell>
        </row>
        <row r="208">
          <cell r="A208" t="str">
            <v xml:space="preserve">  Total</v>
          </cell>
          <cell r="C208">
            <v>107</v>
          </cell>
          <cell r="D208">
            <v>95.259999999999991</v>
          </cell>
          <cell r="E208">
            <v>122.7</v>
          </cell>
          <cell r="F208">
            <v>66.900000000000006</v>
          </cell>
          <cell r="G208">
            <v>87.7</v>
          </cell>
          <cell r="H208">
            <v>174.5</v>
          </cell>
          <cell r="I208">
            <v>119.8</v>
          </cell>
          <cell r="J208">
            <v>131.30000000000001</v>
          </cell>
          <cell r="K208">
            <v>248.3</v>
          </cell>
          <cell r="L208">
            <v>324.2</v>
          </cell>
          <cell r="M208">
            <v>352.93000000000006</v>
          </cell>
          <cell r="N208">
            <v>308.79999999999995</v>
          </cell>
          <cell r="O208">
            <v>215.8</v>
          </cell>
          <cell r="P208">
            <v>237.5</v>
          </cell>
          <cell r="Q208">
            <v>176.87</v>
          </cell>
          <cell r="R208">
            <v>273.27250000000004</v>
          </cell>
          <cell r="S208">
            <v>514.67999999999995</v>
          </cell>
          <cell r="T208">
            <v>317.33948590999995</v>
          </cell>
          <cell r="U208">
            <v>228.5</v>
          </cell>
          <cell r="V208">
            <v>290.2</v>
          </cell>
          <cell r="W208">
            <v>415.30000000000007</v>
          </cell>
          <cell r="X208">
            <v>462</v>
          </cell>
          <cell r="Y208">
            <v>295.7</v>
          </cell>
          <cell r="Z208">
            <v>298</v>
          </cell>
          <cell r="AA208">
            <v>334.19499999999999</v>
          </cell>
          <cell r="AB208">
            <v>454.12</v>
          </cell>
          <cell r="AC208">
            <v>401.27100000000002</v>
          </cell>
          <cell r="AD208">
            <v>280.88783999999998</v>
          </cell>
        </row>
        <row r="209">
          <cell r="A209" t="str">
            <v>Corporate Expense</v>
          </cell>
          <cell r="G209">
            <v>-7.2</v>
          </cell>
          <cell r="H209">
            <v>-11.9</v>
          </cell>
          <cell r="I209">
            <v>-8.1</v>
          </cell>
          <cell r="J209">
            <v>-13.1</v>
          </cell>
          <cell r="K209">
            <v>-11.7</v>
          </cell>
          <cell r="L209">
            <v>-19.899999999999999</v>
          </cell>
          <cell r="M209">
            <v>-12.899999999999999</v>
          </cell>
          <cell r="N209">
            <v>-20.7</v>
          </cell>
          <cell r="O209">
            <v>-16</v>
          </cell>
          <cell r="P209">
            <v>-15.3</v>
          </cell>
          <cell r="Q209">
            <v>-11.2</v>
          </cell>
          <cell r="R209">
            <v>-13.5</v>
          </cell>
          <cell r="S209">
            <v>-21.7</v>
          </cell>
          <cell r="T209">
            <v>-17.2</v>
          </cell>
          <cell r="U209">
            <v>-24.6</v>
          </cell>
          <cell r="V209">
            <v>-27.9</v>
          </cell>
          <cell r="W209">
            <v>-30.099999999999998</v>
          </cell>
          <cell r="X209">
            <v>-33</v>
          </cell>
          <cell r="Y209">
            <v>-33.4</v>
          </cell>
          <cell r="Z209">
            <v>-34</v>
          </cell>
          <cell r="AA209">
            <v>-34</v>
          </cell>
          <cell r="AB209">
            <v>-38</v>
          </cell>
          <cell r="AC209">
            <v>-40</v>
          </cell>
          <cell r="AD209">
            <v>-40</v>
          </cell>
        </row>
        <row r="210">
          <cell r="A210" t="str">
            <v>Synergies</v>
          </cell>
          <cell r="Z210">
            <v>0</v>
          </cell>
          <cell r="AA210">
            <v>6</v>
          </cell>
          <cell r="AB210">
            <v>6</v>
          </cell>
          <cell r="AC210">
            <v>6</v>
          </cell>
          <cell r="AD210">
            <v>6</v>
          </cell>
        </row>
        <row r="211">
          <cell r="A211" t="str">
            <v>EBIT</v>
          </cell>
          <cell r="C211">
            <v>107</v>
          </cell>
          <cell r="D211">
            <v>95.259999999999991</v>
          </cell>
          <cell r="E211">
            <v>122.7</v>
          </cell>
          <cell r="F211">
            <v>66.900000000000006</v>
          </cell>
          <cell r="G211">
            <v>80.5</v>
          </cell>
          <cell r="H211">
            <v>162.6</v>
          </cell>
          <cell r="I211">
            <v>111.7</v>
          </cell>
          <cell r="J211">
            <v>118.20000000000002</v>
          </cell>
          <cell r="K211">
            <v>236.60000000000002</v>
          </cell>
          <cell r="L211">
            <v>304.3</v>
          </cell>
          <cell r="M211">
            <v>340.03000000000009</v>
          </cell>
          <cell r="N211">
            <v>288.09999999999997</v>
          </cell>
          <cell r="O211">
            <v>199.8</v>
          </cell>
          <cell r="P211">
            <v>222.2</v>
          </cell>
          <cell r="Q211">
            <v>165.67000000000002</v>
          </cell>
          <cell r="R211">
            <v>259.77250000000004</v>
          </cell>
          <cell r="S211">
            <v>492.97999999999996</v>
          </cell>
          <cell r="T211">
            <v>300.13948590999996</v>
          </cell>
          <cell r="U211">
            <v>203.9</v>
          </cell>
          <cell r="V211">
            <v>262.3</v>
          </cell>
          <cell r="W211">
            <v>385.19999999999993</v>
          </cell>
          <cell r="X211">
            <v>429</v>
          </cell>
          <cell r="Y211">
            <v>262.3</v>
          </cell>
          <cell r="Z211">
            <v>264</v>
          </cell>
          <cell r="AA211">
            <v>306.19499999999999</v>
          </cell>
          <cell r="AB211">
            <v>422.12</v>
          </cell>
          <cell r="AC211">
            <v>367.27100000000002</v>
          </cell>
          <cell r="AD211">
            <v>246.88783999999998</v>
          </cell>
        </row>
        <row r="213">
          <cell r="A213" t="str">
            <v>Interest-net</v>
          </cell>
          <cell r="G213">
            <v>-4.7</v>
          </cell>
          <cell r="H213">
            <v>-4.5999999999999996</v>
          </cell>
          <cell r="I213">
            <v>1.2</v>
          </cell>
          <cell r="J213">
            <v>-13</v>
          </cell>
          <cell r="K213">
            <v>-20.3</v>
          </cell>
          <cell r="L213">
            <v>-23.1</v>
          </cell>
          <cell r="M213">
            <v>-24.4</v>
          </cell>
          <cell r="N213">
            <v>-24</v>
          </cell>
          <cell r="O213">
            <v>-31.8</v>
          </cell>
          <cell r="P213">
            <v>-48.019999999999996</v>
          </cell>
          <cell r="Q213">
            <v>-69</v>
          </cell>
          <cell r="R213">
            <v>-65.7</v>
          </cell>
          <cell r="S213">
            <v>-72.400000000000006</v>
          </cell>
          <cell r="T213">
            <v>-109.6</v>
          </cell>
          <cell r="U213">
            <v>-110.30000000000001</v>
          </cell>
          <cell r="V213">
            <v>-106</v>
          </cell>
          <cell r="W213">
            <v>-104</v>
          </cell>
          <cell r="X213">
            <v>-104</v>
          </cell>
          <cell r="Y213">
            <v>-98</v>
          </cell>
          <cell r="Z213">
            <v>-132.80000000000001</v>
          </cell>
          <cell r="AA213">
            <v>-135.578125</v>
          </cell>
          <cell r="AB213">
            <v>-121.1875</v>
          </cell>
          <cell r="AC213">
            <v>-110.828125</v>
          </cell>
          <cell r="AD213">
            <v>-107.5</v>
          </cell>
        </row>
        <row r="214">
          <cell r="A214" t="str">
            <v>Other income</v>
          </cell>
          <cell r="G214">
            <v>2.9</v>
          </cell>
          <cell r="H214">
            <v>1.8</v>
          </cell>
          <cell r="I214">
            <v>2.2000000000000002</v>
          </cell>
          <cell r="J214">
            <v>3.6</v>
          </cell>
          <cell r="L214">
            <v>-0.4</v>
          </cell>
          <cell r="M214">
            <v>-0.89999999999999991</v>
          </cell>
          <cell r="N214">
            <v>9.9999999999999978E-2</v>
          </cell>
          <cell r="O214">
            <v>-1.2</v>
          </cell>
          <cell r="P214">
            <v>1.6</v>
          </cell>
          <cell r="Q214">
            <v>2.8000000000000003</v>
          </cell>
          <cell r="R214">
            <v>2.2000000000000002</v>
          </cell>
          <cell r="S214">
            <v>2.8000000000000003</v>
          </cell>
          <cell r="T214">
            <v>3.5</v>
          </cell>
          <cell r="U214">
            <v>5.7</v>
          </cell>
          <cell r="V214">
            <v>6.6</v>
          </cell>
          <cell r="W214">
            <v>16.7</v>
          </cell>
          <cell r="X214">
            <v>10</v>
          </cell>
          <cell r="Y214">
            <v>0</v>
          </cell>
          <cell r="Z214">
            <v>0</v>
          </cell>
          <cell r="AA214">
            <v>-0.8</v>
          </cell>
          <cell r="AB214">
            <v>8</v>
          </cell>
          <cell r="AC214">
            <v>0</v>
          </cell>
          <cell r="AD214">
            <v>0</v>
          </cell>
        </row>
        <row r="215">
          <cell r="A215" t="str">
            <v>Gain on sale of P&amp;E</v>
          </cell>
          <cell r="E215" t="str">
            <v xml:space="preserve">   NOT PUBLIC</v>
          </cell>
          <cell r="H215">
            <v>5.8</v>
          </cell>
          <cell r="I215">
            <v>12.5</v>
          </cell>
          <cell r="J215">
            <v>4.5</v>
          </cell>
          <cell r="K215">
            <v>4.0999999999999996</v>
          </cell>
          <cell r="L215">
            <v>21</v>
          </cell>
          <cell r="M215">
            <v>-0.79999999999999993</v>
          </cell>
          <cell r="N215">
            <v>4.7</v>
          </cell>
          <cell r="P215">
            <v>0</v>
          </cell>
          <cell r="Q215">
            <v>0</v>
          </cell>
          <cell r="R215">
            <v>0</v>
          </cell>
          <cell r="S215">
            <v>0</v>
          </cell>
          <cell r="T215">
            <v>0</v>
          </cell>
          <cell r="U215">
            <v>0</v>
          </cell>
          <cell r="V215">
            <v>0</v>
          </cell>
          <cell r="W215">
            <v>0</v>
          </cell>
          <cell r="X215">
            <v>0</v>
          </cell>
          <cell r="Y215">
            <v>0</v>
          </cell>
          <cell r="Z215">
            <v>0</v>
          </cell>
          <cell r="AA215">
            <v>0</v>
          </cell>
          <cell r="AB215">
            <v>0</v>
          </cell>
          <cell r="AC215">
            <v>0</v>
          </cell>
          <cell r="AD215">
            <v>0</v>
          </cell>
        </row>
        <row r="216">
          <cell r="A216" t="str">
            <v>Income before taxes</v>
          </cell>
          <cell r="E216" t="str">
            <v>Owned by Time Inc.</v>
          </cell>
          <cell r="G216">
            <v>78.7</v>
          </cell>
          <cell r="H216">
            <v>165.60000000000002</v>
          </cell>
          <cell r="I216">
            <v>127.60000000000001</v>
          </cell>
          <cell r="J216">
            <v>113.30000000000001</v>
          </cell>
          <cell r="K216">
            <v>220.4</v>
          </cell>
          <cell r="L216">
            <v>301.8</v>
          </cell>
          <cell r="M216">
            <v>313.93</v>
          </cell>
          <cell r="N216">
            <v>268.89999999999998</v>
          </cell>
          <cell r="O216">
            <v>166.8</v>
          </cell>
          <cell r="P216">
            <v>175.78</v>
          </cell>
          <cell r="Q216">
            <v>99.470000000000013</v>
          </cell>
          <cell r="R216">
            <v>196.27250000000004</v>
          </cell>
          <cell r="S216">
            <v>423.37999999999994</v>
          </cell>
          <cell r="T216">
            <v>194.03948590999997</v>
          </cell>
          <cell r="U216">
            <v>99.3</v>
          </cell>
          <cell r="V216">
            <v>162.9</v>
          </cell>
          <cell r="W216">
            <v>297.89999999999992</v>
          </cell>
          <cell r="X216">
            <v>335</v>
          </cell>
          <cell r="Y216">
            <v>164.3</v>
          </cell>
          <cell r="Z216">
            <v>131.19999999999999</v>
          </cell>
          <cell r="AA216">
            <v>169.81687499999998</v>
          </cell>
          <cell r="AB216">
            <v>308.9325</v>
          </cell>
          <cell r="AC216">
            <v>256.44287500000002</v>
          </cell>
          <cell r="AD216">
            <v>139.38783999999998</v>
          </cell>
        </row>
        <row r="217">
          <cell r="A217" t="str">
            <v>Taxes</v>
          </cell>
          <cell r="G217">
            <v>31</v>
          </cell>
          <cell r="H217">
            <v>63</v>
          </cell>
          <cell r="I217">
            <v>43</v>
          </cell>
          <cell r="J217">
            <v>33</v>
          </cell>
          <cell r="K217">
            <v>79</v>
          </cell>
          <cell r="L217">
            <v>104.349</v>
          </cell>
          <cell r="M217">
            <v>104.495</v>
          </cell>
          <cell r="N217">
            <v>36.281999999999996</v>
          </cell>
          <cell r="O217">
            <v>28.350999999999999</v>
          </cell>
          <cell r="P217">
            <v>29.70682</v>
          </cell>
          <cell r="Q217">
            <v>29.796000000000003</v>
          </cell>
          <cell r="R217">
            <v>60.981200000000008</v>
          </cell>
          <cell r="S217">
            <v>146.77064999999999</v>
          </cell>
          <cell r="T217">
            <v>67.913820068500002</v>
          </cell>
          <cell r="U217">
            <v>44.2</v>
          </cell>
          <cell r="V217">
            <v>68.456000000000003</v>
          </cell>
          <cell r="W217">
            <v>105.9496</v>
          </cell>
          <cell r="X217">
            <v>130.97280000000001</v>
          </cell>
          <cell r="Y217">
            <v>67.15835834063688</v>
          </cell>
          <cell r="Z217">
            <v>52.160449938163744</v>
          </cell>
          <cell r="AA217">
            <v>67.926749999999998</v>
          </cell>
          <cell r="AB217">
            <v>123.57300000000001</v>
          </cell>
          <cell r="AC217">
            <v>102.57715000000002</v>
          </cell>
          <cell r="AD217">
            <v>55.755135999999993</v>
          </cell>
        </row>
        <row r="218">
          <cell r="A218" t="str">
            <v xml:space="preserve">  Tax rate</v>
          </cell>
          <cell r="G218">
            <v>0.39390088945362134</v>
          </cell>
          <cell r="H218">
            <v>0.38043478260869562</v>
          </cell>
          <cell r="I218">
            <v>0.33699059561128525</v>
          </cell>
          <cell r="J218">
            <v>0.29126213592233008</v>
          </cell>
          <cell r="K218">
            <v>0.35843920145190561</v>
          </cell>
          <cell r="L218">
            <v>0.3457554671968191</v>
          </cell>
          <cell r="M218">
            <v>0.33286082884719526</v>
          </cell>
          <cell r="N218">
            <v>0.13492748233544069</v>
          </cell>
          <cell r="O218">
            <v>0.16997002398081534</v>
          </cell>
          <cell r="P218">
            <v>0.16900000000000001</v>
          </cell>
          <cell r="Q218">
            <v>0.29954760229214838</v>
          </cell>
          <cell r="R218">
            <v>0.31069660803220012</v>
          </cell>
          <cell r="S218">
            <v>0.34666410789361807</v>
          </cell>
          <cell r="T218">
            <v>0.35000000000000009</v>
          </cell>
          <cell r="U218">
            <v>0.44511581067472311</v>
          </cell>
          <cell r="V218">
            <v>0.42023327194597915</v>
          </cell>
          <cell r="W218">
            <v>0.35565491775763691</v>
          </cell>
          <cell r="X218">
            <v>0.39180109890109893</v>
          </cell>
          <cell r="Y218">
            <v>0.40875446342444843</v>
          </cell>
          <cell r="Z218">
            <v>0.39756440501649198</v>
          </cell>
          <cell r="AA218">
            <v>0.4</v>
          </cell>
          <cell r="AB218">
            <v>0.4</v>
          </cell>
          <cell r="AC218">
            <v>0.4</v>
          </cell>
          <cell r="AD218">
            <v>0.4</v>
          </cell>
        </row>
        <row r="220">
          <cell r="A220" t="str">
            <v>Net Income</v>
          </cell>
          <cell r="G220">
            <v>47.7</v>
          </cell>
          <cell r="H220">
            <v>102.60000000000002</v>
          </cell>
          <cell r="I220">
            <v>84.600000000000009</v>
          </cell>
          <cell r="J220">
            <v>80.300000000000011</v>
          </cell>
          <cell r="K220">
            <v>141.4</v>
          </cell>
          <cell r="L220">
            <v>197.45100000000002</v>
          </cell>
          <cell r="M220">
            <v>209.435</v>
          </cell>
          <cell r="N220">
            <v>232.61799999999999</v>
          </cell>
          <cell r="O220">
            <v>138.44900000000001</v>
          </cell>
          <cell r="P220">
            <v>146.07318000000001</v>
          </cell>
          <cell r="Q220">
            <v>69.674000000000007</v>
          </cell>
          <cell r="R220">
            <v>135.29130000000004</v>
          </cell>
          <cell r="S220">
            <v>276.60934999999995</v>
          </cell>
          <cell r="T220">
            <v>126.12566584150001</v>
          </cell>
          <cell r="U220">
            <v>55.099999999999994</v>
          </cell>
          <cell r="V220">
            <v>94.443999999999988</v>
          </cell>
          <cell r="W220">
            <v>191.9504</v>
          </cell>
          <cell r="X220">
            <v>204.02719999999999</v>
          </cell>
          <cell r="Y220">
            <v>97.141641659363131</v>
          </cell>
          <cell r="Z220">
            <v>79.039550061836252</v>
          </cell>
          <cell r="AA220">
            <v>101.89012499999998</v>
          </cell>
          <cell r="AB220">
            <v>185.3595</v>
          </cell>
          <cell r="AC220">
            <v>153.865725</v>
          </cell>
          <cell r="AD220">
            <v>83.63270399999999</v>
          </cell>
        </row>
        <row r="222">
          <cell r="A222" t="str">
            <v>EPS</v>
          </cell>
          <cell r="G222">
            <v>0.77941176470588236</v>
          </cell>
          <cell r="H222">
            <v>1.6764705882352944</v>
          </cell>
          <cell r="I222">
            <v>1.3919052319842053</v>
          </cell>
          <cell r="J222">
            <v>1.3120915032679741</v>
          </cell>
          <cell r="K222">
            <v>2.3440090179696309</v>
          </cell>
          <cell r="L222">
            <v>3.1559540163401056</v>
          </cell>
          <cell r="M222">
            <v>3.7856084158773773</v>
          </cell>
          <cell r="N222">
            <v>4.2018388396163369</v>
          </cell>
          <cell r="O222">
            <v>2.5059549666956271</v>
          </cell>
          <cell r="P222">
            <v>2.6278298882832316</v>
          </cell>
          <cell r="Q222">
            <v>1.2533492833725339</v>
          </cell>
          <cell r="R222">
            <v>2.4249229280183546</v>
          </cell>
          <cell r="S222">
            <v>4.9337920332475678</v>
          </cell>
          <cell r="T222">
            <v>2.2703244401076468</v>
          </cell>
          <cell r="U222">
            <v>0.98167846919863999</v>
          </cell>
          <cell r="V222">
            <v>1.6816916169101539</v>
          </cell>
          <cell r="W222">
            <v>3.4399273161278536</v>
          </cell>
          <cell r="X222">
            <v>3.9971303391207558</v>
          </cell>
          <cell r="Y222">
            <v>1.9770385395537524</v>
          </cell>
          <cell r="Z222">
            <v>1.5172766914715168</v>
          </cell>
          <cell r="AA222">
            <v>1.8938684944237918</v>
          </cell>
          <cell r="AB222">
            <v>3.4453438661710036</v>
          </cell>
          <cell r="AC222">
            <v>2.859957713754647</v>
          </cell>
          <cell r="AD222">
            <v>1.5545112267657992</v>
          </cell>
        </row>
        <row r="224">
          <cell r="A224" t="str">
            <v>Shares Outstanding</v>
          </cell>
          <cell r="G224">
            <v>61.2</v>
          </cell>
          <cell r="H224">
            <v>61.2</v>
          </cell>
          <cell r="I224">
            <v>60.78</v>
          </cell>
          <cell r="J224">
            <v>61.2</v>
          </cell>
          <cell r="K224">
            <v>60.323999999999998</v>
          </cell>
          <cell r="L224">
            <v>55.323999999999998</v>
          </cell>
          <cell r="M224">
            <v>55.323999999999998</v>
          </cell>
          <cell r="N224">
            <v>55.360999999999997</v>
          </cell>
          <cell r="O224">
            <v>55.247999999999998</v>
          </cell>
          <cell r="P224">
            <v>55.587000000000003</v>
          </cell>
          <cell r="Q224">
            <v>55.590249999999997</v>
          </cell>
          <cell r="R224">
            <v>55.792000000000002</v>
          </cell>
          <cell r="S224">
            <v>56.064250000000001</v>
          </cell>
          <cell r="T224">
            <v>55.549250000000001</v>
          </cell>
          <cell r="U224">
            <v>56.163250000000005</v>
          </cell>
          <cell r="V224">
            <v>56.061250000000001</v>
          </cell>
          <cell r="W224">
            <v>55.817499999999995</v>
          </cell>
          <cell r="X224">
            <v>50.875</v>
          </cell>
          <cell r="Y224">
            <v>49.3</v>
          </cell>
          <cell r="Z224">
            <v>52.3</v>
          </cell>
          <cell r="AA224">
            <v>53.8</v>
          </cell>
          <cell r="AB224">
            <v>53.8</v>
          </cell>
          <cell r="AC224">
            <v>53.8</v>
          </cell>
          <cell r="AD224">
            <v>53.8</v>
          </cell>
        </row>
        <row r="227">
          <cell r="A227" t="str">
            <v xml:space="preserve">Free Cash Flow (CFO-Capex-Div) </v>
          </cell>
        </row>
        <row r="228">
          <cell r="A228" t="str">
            <v>Share Repurchases</v>
          </cell>
          <cell r="B228">
            <v>42.79</v>
          </cell>
        </row>
        <row r="229">
          <cell r="A229" t="str">
            <v># of shares repurchased</v>
          </cell>
        </row>
        <row r="230">
          <cell r="A230" t="str">
            <v>Debt Paydown</v>
          </cell>
        </row>
        <row r="231">
          <cell r="A231" t="str">
            <v>Additional Debt</v>
          </cell>
        </row>
        <row r="232">
          <cell r="A232" t="str">
            <v>Net Change in Debt</v>
          </cell>
        </row>
        <row r="233">
          <cell r="A233" t="str">
            <v>Cash Position</v>
          </cell>
        </row>
        <row r="235">
          <cell r="A235" t="str">
            <v>CEPS</v>
          </cell>
          <cell r="T235">
            <v>6.6628229886929109</v>
          </cell>
          <cell r="U235">
            <v>5.5220140088976422</v>
          </cell>
          <cell r="V235">
            <v>6.3373138158443556</v>
          </cell>
          <cell r="W235">
            <v>7.0230329729559102</v>
          </cell>
          <cell r="X235">
            <v>7.8890222310126479</v>
          </cell>
          <cell r="Y235">
            <v>5.7579716024340772</v>
          </cell>
          <cell r="Z235">
            <v>5.7237776474944617</v>
          </cell>
          <cell r="AA235">
            <v>6.0574372676579928</v>
          </cell>
          <cell r="AB235">
            <v>7.5256412639405204</v>
          </cell>
          <cell r="AC235">
            <v>6.8586491635687734</v>
          </cell>
          <cell r="AD235">
            <v>5.473228847583643</v>
          </cell>
        </row>
        <row r="488">
          <cell r="R488" t="str">
            <v xml:space="preserve"> </v>
          </cell>
          <cell r="T488" t="str">
            <v xml:space="preserve"> </v>
          </cell>
        </row>
        <row r="489">
          <cell r="A489" t="str">
            <v>Temple-Inland - Consolidated Statement of Cash Flows</v>
          </cell>
          <cell r="K489" t="str">
            <v>TEMPLE-INLAND, INC.</v>
          </cell>
        </row>
        <row r="490">
          <cell r="R490" t="str">
            <v xml:space="preserve"> </v>
          </cell>
        </row>
        <row r="491">
          <cell r="A491" t="str">
            <v>($ in Millions)</v>
          </cell>
          <cell r="G491" t="str">
            <v>1983</v>
          </cell>
          <cell r="H491" t="str">
            <v>1984</v>
          </cell>
          <cell r="I491" t="str">
            <v>1985</v>
          </cell>
          <cell r="J491" t="str">
            <v>1986</v>
          </cell>
          <cell r="K491" t="str">
            <v>1987</v>
          </cell>
          <cell r="L491" t="str">
            <v>1988</v>
          </cell>
          <cell r="M491" t="str">
            <v>1989</v>
          </cell>
          <cell r="N491">
            <v>1990</v>
          </cell>
          <cell r="O491">
            <v>1991</v>
          </cell>
          <cell r="P491">
            <v>1992</v>
          </cell>
          <cell r="Q491">
            <v>1993</v>
          </cell>
          <cell r="R491">
            <v>1994</v>
          </cell>
          <cell r="S491">
            <v>1995</v>
          </cell>
          <cell r="T491">
            <v>1996</v>
          </cell>
          <cell r="U491">
            <v>1997</v>
          </cell>
          <cell r="V491" t="str">
            <v>1998E</v>
          </cell>
          <cell r="W491" t="str">
            <v>1999E</v>
          </cell>
          <cell r="X491" t="str">
            <v>2000E</v>
          </cell>
        </row>
        <row r="493">
          <cell r="A493" t="str">
            <v>Cash provided by (used for) Operations</v>
          </cell>
        </row>
        <row r="494">
          <cell r="A494" t="str">
            <v>Net Income</v>
          </cell>
          <cell r="K494">
            <v>137.19999999999993</v>
          </cell>
          <cell r="L494">
            <v>182.48699999999991</v>
          </cell>
          <cell r="M494">
            <v>197.18599999999992</v>
          </cell>
          <cell r="N494">
            <v>227.90900000000005</v>
          </cell>
          <cell r="O494">
            <v>138.44900000000001</v>
          </cell>
          <cell r="P494">
            <v>146.07318000000001</v>
          </cell>
          <cell r="Q494">
            <v>69.674000000000007</v>
          </cell>
          <cell r="R494">
            <v>135.29130000000004</v>
          </cell>
          <cell r="S494">
            <v>276.60934999999995</v>
          </cell>
          <cell r="T494">
            <v>126.12566584150001</v>
          </cell>
          <cell r="U494">
            <v>55.099999999999994</v>
          </cell>
          <cell r="V494">
            <v>94.443999999999988</v>
          </cell>
          <cell r="W494">
            <v>191.9504</v>
          </cell>
          <cell r="X494">
            <v>204.02719999999999</v>
          </cell>
        </row>
        <row r="495">
          <cell r="A495" t="str">
            <v xml:space="preserve">Depreciation and depletion </v>
          </cell>
          <cell r="K495">
            <v>94</v>
          </cell>
          <cell r="L495">
            <v>115.3</v>
          </cell>
          <cell r="M495">
            <v>129.1</v>
          </cell>
          <cell r="N495">
            <v>144.51400000000001</v>
          </cell>
          <cell r="O495">
            <v>161.584</v>
          </cell>
          <cell r="P495">
            <v>172.31200000000001</v>
          </cell>
          <cell r="Q495">
            <v>196.9</v>
          </cell>
          <cell r="R495">
            <v>200</v>
          </cell>
          <cell r="S495">
            <v>208</v>
          </cell>
          <cell r="T495">
            <v>244</v>
          </cell>
          <cell r="U495">
            <v>255</v>
          </cell>
          <cell r="V495">
            <v>261</v>
          </cell>
          <cell r="W495">
            <v>200</v>
          </cell>
          <cell r="X495">
            <v>198</v>
          </cell>
        </row>
        <row r="496">
          <cell r="A496" t="str">
            <v>Deferred Taxes</v>
          </cell>
          <cell r="K496">
            <v>9.6660000000000004</v>
          </cell>
          <cell r="L496">
            <v>11.35</v>
          </cell>
          <cell r="M496">
            <v>36.197000000000003</v>
          </cell>
          <cell r="N496">
            <v>23.285</v>
          </cell>
          <cell r="O496">
            <v>5.2089999999999996</v>
          </cell>
          <cell r="P496">
            <v>19.907</v>
          </cell>
          <cell r="Q496">
            <v>-15.891</v>
          </cell>
          <cell r="R496">
            <v>32</v>
          </cell>
          <cell r="S496">
            <v>29</v>
          </cell>
          <cell r="T496">
            <v>-29</v>
          </cell>
          <cell r="U496">
            <v>18</v>
          </cell>
        </row>
        <row r="497">
          <cell r="A497" t="str">
            <v>Amortization of purchase accounting adjustment</v>
          </cell>
          <cell r="N497">
            <v>-20.472000000000001</v>
          </cell>
          <cell r="O497">
            <v>6.2069999999999999</v>
          </cell>
          <cell r="P497">
            <v>22.863</v>
          </cell>
          <cell r="Q497">
            <v>22.863</v>
          </cell>
        </row>
        <row r="498">
          <cell r="A498" t="str">
            <v>Unremitted earnings from FS</v>
          </cell>
          <cell r="S498">
            <v>-71</v>
          </cell>
          <cell r="T498">
            <v>-39</v>
          </cell>
          <cell r="U498">
            <v>-111</v>
          </cell>
        </row>
        <row r="499">
          <cell r="A499" t="str">
            <v>Receivable from FSLIC</v>
          </cell>
          <cell r="N499">
            <v>47.655000000000001</v>
          </cell>
          <cell r="O499">
            <v>27.771999999999998</v>
          </cell>
          <cell r="P499">
            <v>119.31699999999999</v>
          </cell>
        </row>
        <row r="500">
          <cell r="A500" t="str">
            <v>Receivables</v>
          </cell>
          <cell r="L500">
            <v>-17.670999999999999</v>
          </cell>
          <cell r="M500">
            <v>-5.3949999999999996</v>
          </cell>
          <cell r="N500">
            <v>-9.3719999999999999</v>
          </cell>
          <cell r="O500">
            <v>9.6809999999999992</v>
          </cell>
          <cell r="P500">
            <v>-2.1219999999999999</v>
          </cell>
          <cell r="Q500">
            <v>15.574999999999999</v>
          </cell>
          <cell r="R500">
            <v>17.095434316991906</v>
          </cell>
          <cell r="S500">
            <v>-42</v>
          </cell>
          <cell r="T500">
            <v>-11</v>
          </cell>
          <cell r="U500">
            <v>7</v>
          </cell>
        </row>
        <row r="501">
          <cell r="A501" t="str">
            <v>Inventories</v>
          </cell>
          <cell r="L501">
            <v>-9.0289999999999999</v>
          </cell>
          <cell r="M501">
            <v>-66.834999999999994</v>
          </cell>
          <cell r="N501">
            <v>-24.347000000000001</v>
          </cell>
          <cell r="O501">
            <v>-100.753</v>
          </cell>
          <cell r="P501">
            <v>-215.11699999999999</v>
          </cell>
          <cell r="Q501">
            <v>-9.8000000000000007</v>
          </cell>
          <cell r="S501">
            <v>-71</v>
          </cell>
          <cell r="T501">
            <v>23</v>
          </cell>
          <cell r="U501">
            <v>-30</v>
          </cell>
        </row>
        <row r="502">
          <cell r="A502" t="str">
            <v>Accounts payable</v>
          </cell>
          <cell r="S502">
            <v>-46</v>
          </cell>
          <cell r="T502">
            <v>-27</v>
          </cell>
          <cell r="U502">
            <v>-7</v>
          </cell>
        </row>
        <row r="503">
          <cell r="A503" t="str">
            <v>Other</v>
          </cell>
          <cell r="L503">
            <v>-3.9020000000000001</v>
          </cell>
          <cell r="M503">
            <v>-35.161999999999999</v>
          </cell>
          <cell r="N503">
            <v>-35.825000000000003</v>
          </cell>
          <cell r="O503">
            <v>-24.921999999999997</v>
          </cell>
          <cell r="P503">
            <v>88.435000000000002</v>
          </cell>
          <cell r="Q503">
            <v>-48.7</v>
          </cell>
          <cell r="S503">
            <v>-2</v>
          </cell>
          <cell r="T503">
            <v>19</v>
          </cell>
          <cell r="U503">
            <v>-12</v>
          </cell>
        </row>
        <row r="504">
          <cell r="A504" t="str">
            <v>Cash Provided by Operations</v>
          </cell>
          <cell r="K504">
            <v>240.86599999999993</v>
          </cell>
          <cell r="L504">
            <v>278.53499999999997</v>
          </cell>
          <cell r="M504">
            <v>255.09099999999998</v>
          </cell>
          <cell r="N504">
            <v>353.34700000000009</v>
          </cell>
          <cell r="O504">
            <v>223.227</v>
          </cell>
          <cell r="P504">
            <v>351.66817999999995</v>
          </cell>
          <cell r="Q504">
            <v>230.62100000000004</v>
          </cell>
          <cell r="R504">
            <v>384.38673431699192</v>
          </cell>
          <cell r="S504">
            <v>281.60934999999995</v>
          </cell>
          <cell r="T504">
            <v>306.12566584149999</v>
          </cell>
          <cell r="U504">
            <v>175.10000000000002</v>
          </cell>
          <cell r="V504">
            <v>355.44399999999996</v>
          </cell>
          <cell r="W504">
            <v>391.9504</v>
          </cell>
        </row>
        <row r="506">
          <cell r="A506" t="str">
            <v>Cash provided by (used for) Financing</v>
          </cell>
        </row>
        <row r="507">
          <cell r="A507" t="str">
            <v>Additions to debt</v>
          </cell>
          <cell r="K507">
            <v>70.248000000000005</v>
          </cell>
          <cell r="L507">
            <v>89.078000000000003</v>
          </cell>
          <cell r="M507">
            <v>289.44200000000001</v>
          </cell>
          <cell r="N507">
            <v>321.52699999999999</v>
          </cell>
          <cell r="O507">
            <v>777.09900000000005</v>
          </cell>
          <cell r="P507">
            <v>308.68599999999998</v>
          </cell>
          <cell r="Q507">
            <v>82.978999999999999</v>
          </cell>
          <cell r="R507">
            <v>150</v>
          </cell>
          <cell r="S507">
            <v>175</v>
          </cell>
          <cell r="T507">
            <v>213</v>
          </cell>
          <cell r="U507">
            <v>36</v>
          </cell>
        </row>
        <row r="508">
          <cell r="A508" t="str">
            <v>Payments of debt</v>
          </cell>
          <cell r="K508">
            <v>-70.900000000000006</v>
          </cell>
          <cell r="L508">
            <v>-84.25</v>
          </cell>
          <cell r="M508">
            <v>-304.33100000000002</v>
          </cell>
          <cell r="N508">
            <v>-261.79599999999999</v>
          </cell>
          <cell r="O508">
            <v>-506.45400000000001</v>
          </cell>
          <cell r="P508">
            <v>-207.68600000000001</v>
          </cell>
          <cell r="Q508">
            <v>-4.2</v>
          </cell>
          <cell r="S508">
            <v>-15</v>
          </cell>
          <cell r="T508">
            <v>-198</v>
          </cell>
          <cell r="U508">
            <v>-125</v>
          </cell>
        </row>
        <row r="509">
          <cell r="A509" t="str">
            <v>Cash Dividends Paid **</v>
          </cell>
          <cell r="K509">
            <v>-20.6</v>
          </cell>
          <cell r="L509">
            <v>-23.116</v>
          </cell>
          <cell r="M509">
            <v>-31.815000000000001</v>
          </cell>
          <cell r="N509">
            <v>-43.884999999999998</v>
          </cell>
          <cell r="O509">
            <v>-48.235999999999997</v>
          </cell>
          <cell r="P509">
            <v>-52.94</v>
          </cell>
          <cell r="Q509">
            <v>-55.341000000000001</v>
          </cell>
          <cell r="R509">
            <v>-56.90784</v>
          </cell>
          <cell r="S509">
            <v>-64</v>
          </cell>
          <cell r="T509">
            <v>-69</v>
          </cell>
          <cell r="U509">
            <v>-71</v>
          </cell>
        </row>
        <row r="510">
          <cell r="A510" t="str">
            <v>Common Shares Issued</v>
          </cell>
          <cell r="K510">
            <v>11.14</v>
          </cell>
        </row>
        <row r="511">
          <cell r="A511" t="str">
            <v>Common Shares Purchased</v>
          </cell>
          <cell r="K511">
            <v>-133.31200000000001</v>
          </cell>
          <cell r="L511">
            <v>-11.500999999999999</v>
          </cell>
          <cell r="M511">
            <v>-18.404</v>
          </cell>
          <cell r="N511">
            <v>-12.52</v>
          </cell>
          <cell r="O511">
            <v>-5.1150000000000002</v>
          </cell>
          <cell r="P511">
            <v>-2.3260000000000001</v>
          </cell>
          <cell r="S511">
            <v>-24</v>
          </cell>
          <cell r="T511">
            <v>-16</v>
          </cell>
          <cell r="U511">
            <v>-59</v>
          </cell>
        </row>
        <row r="512">
          <cell r="A512" t="str">
            <v>Net decrease to FHLB advances</v>
          </cell>
          <cell r="N512">
            <v>-505.18200000000002</v>
          </cell>
          <cell r="O512">
            <v>-414.74400000000003</v>
          </cell>
          <cell r="P512">
            <v>1273.7819999999999</v>
          </cell>
        </row>
        <row r="513">
          <cell r="A513" t="str">
            <v>Net increase in deposits</v>
          </cell>
          <cell r="L513">
            <v>35.646999999999998</v>
          </cell>
          <cell r="M513">
            <v>35.667999999999999</v>
          </cell>
          <cell r="N513">
            <v>-196.61600000000001</v>
          </cell>
          <cell r="O513">
            <v>-1047.3130000000001</v>
          </cell>
          <cell r="P513">
            <v>-890.59100000000001</v>
          </cell>
        </row>
        <row r="514">
          <cell r="A514" t="str">
            <v>Other</v>
          </cell>
          <cell r="L514">
            <v>3.4220000000000002</v>
          </cell>
          <cell r="M514">
            <v>11.143000000000001</v>
          </cell>
          <cell r="N514">
            <v>-7.2130000000000001</v>
          </cell>
          <cell r="O514">
            <v>3.5219999999999998</v>
          </cell>
          <cell r="P514">
            <v>3.22</v>
          </cell>
          <cell r="Q514">
            <v>3.2603469879518077</v>
          </cell>
          <cell r="R514">
            <v>3.5786226506024099</v>
          </cell>
          <cell r="S514">
            <v>2</v>
          </cell>
          <cell r="T514">
            <v>3</v>
          </cell>
          <cell r="U514">
            <v>9</v>
          </cell>
        </row>
        <row r="515">
          <cell r="A515" t="str">
            <v>Cash Provided by Financing</v>
          </cell>
          <cell r="K515">
            <v>-143.42400000000001</v>
          </cell>
          <cell r="L515">
            <v>9.2800000000000047</v>
          </cell>
          <cell r="M515">
            <v>-18.297000000000004</v>
          </cell>
          <cell r="N515">
            <v>-705.68499999999995</v>
          </cell>
          <cell r="O515">
            <v>-1241.2410000000002</v>
          </cell>
          <cell r="P515">
            <v>432.14499999999987</v>
          </cell>
          <cell r="Q515">
            <v>26.698346987951801</v>
          </cell>
          <cell r="R515">
            <v>96.670782650602419</v>
          </cell>
          <cell r="S515">
            <v>74</v>
          </cell>
          <cell r="T515">
            <v>-67</v>
          </cell>
          <cell r="U515">
            <v>-210</v>
          </cell>
          <cell r="V515">
            <v>0</v>
          </cell>
          <cell r="W515">
            <v>0</v>
          </cell>
        </row>
        <row r="517">
          <cell r="A517" t="str">
            <v>Cash provided by (used for) Investments</v>
          </cell>
        </row>
        <row r="518">
          <cell r="A518" t="str">
            <v>Capital Expenditures</v>
          </cell>
          <cell r="K518">
            <v>-138.1</v>
          </cell>
          <cell r="L518">
            <v>-223.44800000000001</v>
          </cell>
          <cell r="M518">
            <v>-268.80799999999999</v>
          </cell>
          <cell r="N518">
            <v>-328.26</v>
          </cell>
          <cell r="O518">
            <v>-387.35599999999999</v>
          </cell>
          <cell r="P518">
            <v>-369.74299999999999</v>
          </cell>
          <cell r="Q518">
            <v>-340</v>
          </cell>
          <cell r="R518">
            <v>-463</v>
          </cell>
          <cell r="S518">
            <v>-386</v>
          </cell>
          <cell r="T518">
            <v>-275</v>
          </cell>
          <cell r="U518">
            <v>-233</v>
          </cell>
          <cell r="V518">
            <v>-175</v>
          </cell>
          <cell r="W518">
            <v>-178</v>
          </cell>
        </row>
        <row r="519">
          <cell r="A519" t="str">
            <v>Payments for Acquired Businesses</v>
          </cell>
          <cell r="K519">
            <v>-2.27</v>
          </cell>
          <cell r="N519">
            <v>1161.8909999999998</v>
          </cell>
          <cell r="O519">
            <v>2902.49</v>
          </cell>
        </row>
        <row r="520">
          <cell r="A520" t="str">
            <v>Sale of property and equipment</v>
          </cell>
          <cell r="K520">
            <v>4.4409999999999998</v>
          </cell>
          <cell r="L520">
            <v>25.754999999999999</v>
          </cell>
          <cell r="M520">
            <v>16.404</v>
          </cell>
          <cell r="N520">
            <v>11.19</v>
          </cell>
          <cell r="O520">
            <v>12.051</v>
          </cell>
          <cell r="P520">
            <v>11.688000000000001</v>
          </cell>
          <cell r="Q520">
            <v>19</v>
          </cell>
          <cell r="R520">
            <v>19</v>
          </cell>
          <cell r="S520">
            <v>15</v>
          </cell>
          <cell r="T520">
            <v>5</v>
          </cell>
          <cell r="U520">
            <v>52</v>
          </cell>
          <cell r="V520">
            <v>0</v>
          </cell>
          <cell r="W520">
            <v>0</v>
          </cell>
        </row>
        <row r="521">
          <cell r="A521" t="str">
            <v>Proceeds from sales of loans</v>
          </cell>
          <cell r="N521">
            <v>341.55</v>
          </cell>
          <cell r="O521">
            <v>161.14699999999999</v>
          </cell>
          <cell r="P521">
            <v>129.386</v>
          </cell>
        </row>
        <row r="522">
          <cell r="A522" t="str">
            <v>Loans originated net of principal collected</v>
          </cell>
          <cell r="N522">
            <v>-23.677</v>
          </cell>
          <cell r="O522">
            <v>-223.209</v>
          </cell>
          <cell r="P522">
            <v>-135.41300000000001</v>
          </cell>
        </row>
        <row r="523">
          <cell r="A523" t="str">
            <v>Reduction in covered assets</v>
          </cell>
          <cell r="N523">
            <v>225.14099999999999</v>
          </cell>
          <cell r="O523">
            <v>575.23299999999995</v>
          </cell>
          <cell r="P523">
            <v>472.84300000000002</v>
          </cell>
        </row>
        <row r="524">
          <cell r="A524" t="str">
            <v>Proceeds from repayment of FSLIC notes</v>
          </cell>
          <cell r="N524">
            <v>107.86199999999999</v>
          </cell>
          <cell r="O524">
            <v>1063.6479999999999</v>
          </cell>
        </row>
        <row r="525">
          <cell r="A525" t="str">
            <v>Investment in Financial Services</v>
          </cell>
          <cell r="L525">
            <v>-75</v>
          </cell>
          <cell r="M525">
            <v>-50.787999999999997</v>
          </cell>
          <cell r="N525">
            <v>-19.600000000000001</v>
          </cell>
          <cell r="O525">
            <v>-15.1</v>
          </cell>
          <cell r="Q525">
            <v>-15.1</v>
          </cell>
          <cell r="R525">
            <v>-15.1</v>
          </cell>
          <cell r="S525">
            <v>-15.1</v>
          </cell>
          <cell r="T525">
            <v>80</v>
          </cell>
          <cell r="U525">
            <v>80</v>
          </cell>
          <cell r="V525">
            <v>80</v>
          </cell>
          <cell r="W525">
            <v>80</v>
          </cell>
        </row>
        <row r="526">
          <cell r="A526" t="str">
            <v>Tax savings credited to Financial Services</v>
          </cell>
          <cell r="L526">
            <v>17.012</v>
          </cell>
          <cell r="M526">
            <v>56.795999999999999</v>
          </cell>
        </row>
        <row r="527">
          <cell r="A527" t="str">
            <v>Consolidation of Savings Banks</v>
          </cell>
          <cell r="M527">
            <v>91.236000000000004</v>
          </cell>
        </row>
        <row r="528">
          <cell r="A528" t="str">
            <v>Purchase of investments</v>
          </cell>
          <cell r="L528">
            <v>-116.33</v>
          </cell>
          <cell r="M528">
            <v>-17.622</v>
          </cell>
          <cell r="N528">
            <v>-1233.316</v>
          </cell>
          <cell r="O528">
            <v>-3480.172</v>
          </cell>
          <cell r="P528">
            <v>-2239.355</v>
          </cell>
        </row>
        <row r="529">
          <cell r="A529" t="str">
            <v>Sales or maturity of investments</v>
          </cell>
          <cell r="L529">
            <v>93.605000000000004</v>
          </cell>
          <cell r="M529">
            <v>31.986000000000001</v>
          </cell>
          <cell r="N529">
            <v>80.602999999999994</v>
          </cell>
          <cell r="O529">
            <v>421.03300000000002</v>
          </cell>
          <cell r="P529">
            <v>1306.135</v>
          </cell>
        </row>
        <row r="530">
          <cell r="A530" t="str">
            <v>Cash received on disposal of insurances operations</v>
          </cell>
          <cell r="N530">
            <v>70.683000000000007</v>
          </cell>
        </row>
        <row r="531">
          <cell r="A531" t="str">
            <v>Other</v>
          </cell>
          <cell r="K531">
            <v>-2.27</v>
          </cell>
          <cell r="L531">
            <v>-16.841000000000001</v>
          </cell>
          <cell r="N531">
            <v>-2.8029999999999999</v>
          </cell>
          <cell r="O531">
            <v>-20.185000000000002</v>
          </cell>
          <cell r="P531">
            <v>-6.8440000000000003</v>
          </cell>
          <cell r="Q531">
            <v>-6.9297561445783131</v>
          </cell>
          <cell r="R531">
            <v>-7.6062401927710841</v>
          </cell>
          <cell r="S531">
            <v>-9.0076934939759035</v>
          </cell>
          <cell r="T531">
            <v>-8.7240385542168681</v>
          </cell>
          <cell r="U531">
            <v>-8.8401391807228915</v>
          </cell>
          <cell r="V531">
            <v>-8.6758831807228933</v>
          </cell>
          <cell r="W531">
            <v>-8.4644613012048211</v>
          </cell>
        </row>
        <row r="533">
          <cell r="A533" t="str">
            <v>Cash Provided by Investments</v>
          </cell>
          <cell r="K533">
            <v>-138.19900000000001</v>
          </cell>
          <cell r="L533">
            <v>-295.24699999999996</v>
          </cell>
          <cell r="M533">
            <v>-140.79600000000005</v>
          </cell>
          <cell r="N533">
            <v>391.26400000000018</v>
          </cell>
          <cell r="O533">
            <v>1009.5799999999999</v>
          </cell>
          <cell r="P533">
            <v>-831.30300000000011</v>
          </cell>
          <cell r="Q533">
            <v>-343.02975614457836</v>
          </cell>
          <cell r="R533">
            <v>-466.70624019277113</v>
          </cell>
          <cell r="S533">
            <v>-395.10769349397594</v>
          </cell>
          <cell r="T533">
            <v>-198.72403855421686</v>
          </cell>
          <cell r="U533">
            <v>-109.84013918072289</v>
          </cell>
          <cell r="V533">
            <v>-103.67588318072289</v>
          </cell>
          <cell r="W533">
            <v>-106.46446130120482</v>
          </cell>
        </row>
        <row r="535">
          <cell r="A535" t="str">
            <v>Net increase in cash</v>
          </cell>
          <cell r="K535">
            <v>-40.757000000000119</v>
          </cell>
          <cell r="L535">
            <v>-7.4319999999999595</v>
          </cell>
          <cell r="M535">
            <v>95.997999999999934</v>
          </cell>
          <cell r="N535">
            <v>38.926000000000329</v>
          </cell>
          <cell r="O535">
            <v>-8.4340000000002817</v>
          </cell>
          <cell r="P535">
            <v>-47.489820000000293</v>
          </cell>
          <cell r="Q535">
            <v>-85.710409156626497</v>
          </cell>
          <cell r="R535">
            <v>14.351276774823191</v>
          </cell>
          <cell r="S535">
            <v>-39.498343493975995</v>
          </cell>
          <cell r="T535">
            <v>40.401627287283134</v>
          </cell>
          <cell r="U535">
            <v>-144.74013918072285</v>
          </cell>
          <cell r="V535">
            <v>251.76811681927705</v>
          </cell>
          <cell r="W535">
            <v>285.48593869879517</v>
          </cell>
        </row>
        <row r="537">
          <cell r="A537" t="str">
            <v>Cash at beginning of year</v>
          </cell>
          <cell r="L537">
            <v>25.795000000000002</v>
          </cell>
          <cell r="M537">
            <v>18.363000000000042</v>
          </cell>
          <cell r="N537">
            <v>114.36099999999998</v>
          </cell>
          <cell r="O537">
            <v>153.28700000000032</v>
          </cell>
          <cell r="P537">
            <v>144.85300000000004</v>
          </cell>
          <cell r="Q537">
            <v>97.363179999999744</v>
          </cell>
          <cell r="R537">
            <v>11.652770843373247</v>
          </cell>
          <cell r="S537">
            <v>26.004047618196438</v>
          </cell>
          <cell r="T537">
            <v>-13.494295875779557</v>
          </cell>
          <cell r="U537">
            <v>26.907331411503577</v>
          </cell>
          <cell r="V537">
            <v>-117.83280776921927</v>
          </cell>
          <cell r="W537">
            <v>133.93530905005778</v>
          </cell>
        </row>
        <row r="538">
          <cell r="A538" t="str">
            <v>Cash at end of year</v>
          </cell>
          <cell r="L538">
            <v>18.363000000000042</v>
          </cell>
          <cell r="M538">
            <v>114.36099999999998</v>
          </cell>
          <cell r="N538">
            <v>153.28700000000032</v>
          </cell>
          <cell r="O538">
            <v>144.85300000000004</v>
          </cell>
          <cell r="P538">
            <v>97.363179999999744</v>
          </cell>
          <cell r="Q538">
            <v>11.652770843373247</v>
          </cell>
          <cell r="R538">
            <v>26.004047618196438</v>
          </cell>
          <cell r="S538">
            <v>-13.494295875779557</v>
          </cell>
          <cell r="T538">
            <v>26.907331411503577</v>
          </cell>
          <cell r="U538">
            <v>-117.83280776921927</v>
          </cell>
          <cell r="V538">
            <v>133.93530905005778</v>
          </cell>
          <cell r="W538">
            <v>419.42124774885292</v>
          </cell>
        </row>
        <row r="541">
          <cell r="A541" t="str">
            <v>Free cash flow per share</v>
          </cell>
          <cell r="K541">
            <v>-0.66670483543807035</v>
          </cell>
          <cell r="L541">
            <v>-0.13433591208155521</v>
          </cell>
          <cell r="M541">
            <v>1.7351962981707747</v>
          </cell>
          <cell r="N541">
            <v>0.70360060733136309</v>
          </cell>
          <cell r="O541">
            <v>-0.15234551398999804</v>
          </cell>
          <cell r="P541">
            <v>-0.85957536924414091</v>
          </cell>
          <cell r="Q541">
            <v>-1.5419146411323958</v>
          </cell>
          <cell r="R541">
            <v>0.2581617599277426</v>
          </cell>
          <cell r="S541">
            <v>-0.70795711739991385</v>
          </cell>
          <cell r="T541">
            <v>0.72063083493105018</v>
          </cell>
          <cell r="U541">
            <v>-2.6056182429235832</v>
          </cell>
          <cell r="V541">
            <v>4.4827910923829553</v>
          </cell>
          <cell r="W541">
            <v>5.0923933857842121</v>
          </cell>
        </row>
        <row r="542">
          <cell r="A542" t="str">
            <v># of Shares buyable @</v>
          </cell>
          <cell r="B542">
            <v>50</v>
          </cell>
          <cell r="M542">
            <v>1.6270847457627107</v>
          </cell>
          <cell r="N542">
            <v>0.65976271186441238</v>
          </cell>
          <cell r="O542">
            <v>-0.14294915254237767</v>
          </cell>
          <cell r="P542">
            <v>-0.80491220338983549</v>
          </cell>
          <cell r="Q542">
            <v>-1.4527187992648558</v>
          </cell>
          <cell r="R542">
            <v>0.24324197923429136</v>
          </cell>
          <cell r="S542">
            <v>-0.78996686987951992</v>
          </cell>
          <cell r="T542">
            <v>0.80803254574566263</v>
          </cell>
          <cell r="U542">
            <v>-2.8948027836144572</v>
          </cell>
          <cell r="V542">
            <v>5.0353623363855409</v>
          </cell>
          <cell r="W542">
            <v>5.7097187739759034</v>
          </cell>
        </row>
        <row r="543">
          <cell r="M543">
            <v>2.9410106748657197E-2</v>
          </cell>
          <cell r="N543">
            <v>1.1925434022565476E-2</v>
          </cell>
          <cell r="O543">
            <v>-2.5821273557626789E-3</v>
          </cell>
          <cell r="P543">
            <v>-1.4569074054985439E-2</v>
          </cell>
          <cell r="Q543">
            <v>-2.6134146459871117E-2</v>
          </cell>
          <cell r="R543">
            <v>4.375623049622755E-3</v>
          </cell>
          <cell r="S543">
            <v>-1.4159142347998277E-2</v>
          </cell>
          <cell r="T543">
            <v>1.4412616698621004E-2</v>
          </cell>
          <cell r="U543">
            <v>-5.2112364858471663E-2</v>
          </cell>
          <cell r="V543">
            <v>8.9655821847659106E-2</v>
          </cell>
          <cell r="W543">
            <v>0.10184786771568424</v>
          </cell>
        </row>
        <row r="545">
          <cell r="A545" t="str">
            <v>Debt paydown</v>
          </cell>
          <cell r="L545">
            <v>416</v>
          </cell>
          <cell r="M545">
            <v>320.00200000000007</v>
          </cell>
          <cell r="N545">
            <v>281.07599999999974</v>
          </cell>
          <cell r="O545">
            <v>289.51</v>
          </cell>
        </row>
        <row r="602">
          <cell r="A602" t="str">
            <v>Temple-Inland - Parent Cash Flow Statement</v>
          </cell>
          <cell r="K602" t="str">
            <v>TEMPLE-INLAND, INC.</v>
          </cell>
        </row>
        <row r="603">
          <cell r="R603" t="str">
            <v xml:space="preserve"> </v>
          </cell>
        </row>
        <row r="604">
          <cell r="A604" t="str">
            <v>($ in Millions)</v>
          </cell>
          <cell r="G604" t="str">
            <v>1983</v>
          </cell>
          <cell r="H604" t="str">
            <v>1984</v>
          </cell>
          <cell r="I604" t="str">
            <v>1985</v>
          </cell>
          <cell r="J604" t="str">
            <v>1986</v>
          </cell>
          <cell r="K604" t="str">
            <v>1987</v>
          </cell>
          <cell r="L604" t="str">
            <v>1988</v>
          </cell>
          <cell r="M604" t="str">
            <v>1989</v>
          </cell>
          <cell r="N604">
            <v>1990</v>
          </cell>
          <cell r="O604">
            <v>1991</v>
          </cell>
          <cell r="P604">
            <v>1992</v>
          </cell>
          <cell r="Q604">
            <v>1993</v>
          </cell>
          <cell r="R604">
            <v>1994</v>
          </cell>
          <cell r="S604">
            <v>1995</v>
          </cell>
          <cell r="T604">
            <v>1996</v>
          </cell>
          <cell r="U604">
            <v>1997</v>
          </cell>
          <cell r="V604" t="str">
            <v>1998E</v>
          </cell>
          <cell r="W604" t="str">
            <v>1999E</v>
          </cell>
          <cell r="X604" t="str">
            <v>2000E</v>
          </cell>
        </row>
        <row r="605">
          <cell r="A605" t="str">
            <v>Net Income</v>
          </cell>
          <cell r="L605">
            <v>182.48699999999991</v>
          </cell>
          <cell r="M605">
            <v>197.18599999999992</v>
          </cell>
          <cell r="N605">
            <v>227.90900000000005</v>
          </cell>
          <cell r="O605">
            <v>138.44900000000001</v>
          </cell>
          <cell r="P605">
            <v>146.07318000000001</v>
          </cell>
          <cell r="Q605">
            <v>69.674000000000007</v>
          </cell>
          <cell r="R605">
            <v>135.29130000000004</v>
          </cell>
          <cell r="S605">
            <v>276.60934999999995</v>
          </cell>
          <cell r="T605">
            <v>126.12566584150001</v>
          </cell>
          <cell r="U605">
            <v>55.099999999999994</v>
          </cell>
          <cell r="V605">
            <v>94.443999999999988</v>
          </cell>
          <cell r="W605">
            <v>191.9504</v>
          </cell>
        </row>
        <row r="606">
          <cell r="A606" t="str">
            <v xml:space="preserve">Depreciation and depletion </v>
          </cell>
          <cell r="L606">
            <v>112.059</v>
          </cell>
          <cell r="M606">
            <v>126.48699999999999</v>
          </cell>
          <cell r="N606">
            <v>139.798</v>
          </cell>
          <cell r="O606">
            <v>157.67500000000001</v>
          </cell>
          <cell r="P606">
            <v>167.45599999999999</v>
          </cell>
          <cell r="Q606">
            <v>196.9</v>
          </cell>
          <cell r="R606">
            <v>200</v>
          </cell>
          <cell r="S606">
            <v>216</v>
          </cell>
          <cell r="T606">
            <v>245</v>
          </cell>
          <cell r="U606">
            <v>255</v>
          </cell>
          <cell r="V606">
            <v>261</v>
          </cell>
          <cell r="W606">
            <v>200</v>
          </cell>
        </row>
        <row r="607">
          <cell r="A607" t="str">
            <v>Deferred income taxes</v>
          </cell>
          <cell r="L607">
            <v>11.35</v>
          </cell>
          <cell r="M607">
            <v>36.197000000000003</v>
          </cell>
          <cell r="N607">
            <v>23.285</v>
          </cell>
          <cell r="O607">
            <v>5.2089999999999996</v>
          </cell>
          <cell r="P607">
            <v>19.907</v>
          </cell>
          <cell r="Q607">
            <v>-15.89</v>
          </cell>
          <cell r="R607">
            <v>32</v>
          </cell>
          <cell r="S607">
            <v>53</v>
          </cell>
          <cell r="T607">
            <v>24</v>
          </cell>
          <cell r="U607">
            <v>24</v>
          </cell>
          <cell r="V607">
            <v>24</v>
          </cell>
          <cell r="W607">
            <v>24</v>
          </cell>
        </row>
        <row r="608">
          <cell r="A608" t="str">
            <v>Unremitted earnings of affiliates</v>
          </cell>
          <cell r="L608">
            <v>3.2589999999999999</v>
          </cell>
          <cell r="M608">
            <v>-1.2</v>
          </cell>
          <cell r="N608">
            <v>-44.463999999999999</v>
          </cell>
          <cell r="O608">
            <v>-44.966000000000001</v>
          </cell>
          <cell r="P608">
            <v>-53.44</v>
          </cell>
          <cell r="Q608">
            <v>-48</v>
          </cell>
          <cell r="R608">
            <v>-41</v>
          </cell>
          <cell r="S608">
            <v>-71</v>
          </cell>
          <cell r="T608">
            <v>-81.422999999999988</v>
          </cell>
          <cell r="U608">
            <v>-81.422999999999988</v>
          </cell>
          <cell r="V608">
            <v>-81.422999999999988</v>
          </cell>
          <cell r="W608">
            <v>-81.422999999999988</v>
          </cell>
        </row>
        <row r="609">
          <cell r="A609" t="str">
            <v>Receivables</v>
          </cell>
          <cell r="L609">
            <v>-17.670999999999999</v>
          </cell>
          <cell r="M609">
            <v>-5.3949999999999996</v>
          </cell>
          <cell r="N609">
            <v>-9.3719999999999999</v>
          </cell>
          <cell r="O609">
            <v>9.6809999999999992</v>
          </cell>
          <cell r="P609">
            <v>-2.1219999999999999</v>
          </cell>
          <cell r="Q609">
            <v>15</v>
          </cell>
          <cell r="R609">
            <v>-41</v>
          </cell>
          <cell r="S609">
            <v>-42</v>
          </cell>
          <cell r="T609">
            <v>-20</v>
          </cell>
          <cell r="U609">
            <v>-20.266162570888469</v>
          </cell>
          <cell r="V609">
            <v>-19.889603024574669</v>
          </cell>
          <cell r="W609">
            <v>-19.404914933837428</v>
          </cell>
        </row>
        <row r="610">
          <cell r="A610" t="str">
            <v>Inventories</v>
          </cell>
          <cell r="L610">
            <v>-7.0410000000000004</v>
          </cell>
          <cell r="M610">
            <v>-9.2219999999999995</v>
          </cell>
          <cell r="N610">
            <v>-19.808</v>
          </cell>
          <cell r="O610">
            <v>-19.148</v>
          </cell>
          <cell r="P610">
            <v>-23.032</v>
          </cell>
          <cell r="Q610">
            <v>-10</v>
          </cell>
          <cell r="R610">
            <v>-1</v>
          </cell>
          <cell r="S610">
            <v>-71</v>
          </cell>
          <cell r="T610">
            <v>-25</v>
          </cell>
          <cell r="U610">
            <v>-27.500000000000004</v>
          </cell>
          <cell r="V610">
            <v>-30.250000000000007</v>
          </cell>
          <cell r="W610">
            <v>-33.275000000000013</v>
          </cell>
        </row>
        <row r="611">
          <cell r="A611" t="str">
            <v>Prepaid expenses</v>
          </cell>
          <cell r="L611">
            <v>7.2030000000000003</v>
          </cell>
          <cell r="M611">
            <v>-7.8170000000000002</v>
          </cell>
          <cell r="N611">
            <v>0.66400000000000003</v>
          </cell>
          <cell r="O611">
            <v>-8.2739999999999991</v>
          </cell>
          <cell r="P611">
            <v>7.8310000000000004</v>
          </cell>
          <cell r="Q611">
            <v>-6</v>
          </cell>
          <cell r="R611">
            <v>-2</v>
          </cell>
          <cell r="S611">
            <v>1</v>
          </cell>
          <cell r="T611">
            <v>1.0931408702981773</v>
          </cell>
          <cell r="U611">
            <v>1.1949569623162564</v>
          </cell>
          <cell r="V611">
            <v>1.3062562937552586</v>
          </cell>
          <cell r="W611">
            <v>1.4279221417880952</v>
          </cell>
        </row>
        <row r="612">
          <cell r="A612" t="str">
            <v>Accounts payable and accrued expenses</v>
          </cell>
          <cell r="L612">
            <v>-27.081</v>
          </cell>
          <cell r="M612">
            <v>-13.901</v>
          </cell>
          <cell r="N612">
            <v>4.8239999999999998</v>
          </cell>
          <cell r="O612">
            <v>36.651000000000003</v>
          </cell>
          <cell r="P612">
            <v>22.683</v>
          </cell>
          <cell r="Q612">
            <v>45</v>
          </cell>
          <cell r="R612">
            <v>-3</v>
          </cell>
          <cell r="S612">
            <v>-46</v>
          </cell>
          <cell r="T612">
            <v>25</v>
          </cell>
          <cell r="U612">
            <v>27.328521757454435</v>
          </cell>
          <cell r="V612">
            <v>29.873924057906418</v>
          </cell>
          <cell r="W612">
            <v>32.656407343881476</v>
          </cell>
        </row>
        <row r="613">
          <cell r="A613" t="str">
            <v>Other assets and liabilities</v>
          </cell>
          <cell r="L613">
            <v>-10.750999999999999</v>
          </cell>
          <cell r="M613">
            <v>-13.551</v>
          </cell>
          <cell r="N613">
            <v>-4.1909999999999998</v>
          </cell>
          <cell r="O613">
            <v>-1.7949999999999999</v>
          </cell>
          <cell r="P613">
            <v>17.757000000000001</v>
          </cell>
          <cell r="Q613">
            <v>-4.26</v>
          </cell>
          <cell r="R613">
            <v>-30</v>
          </cell>
          <cell r="S613">
            <v>1</v>
          </cell>
          <cell r="T613">
            <v>1.0931408702981773</v>
          </cell>
          <cell r="U613">
            <v>1.1949569623162564</v>
          </cell>
          <cell r="V613">
            <v>1.3062562937552586</v>
          </cell>
          <cell r="W613">
            <v>1.4279221417880952</v>
          </cell>
        </row>
        <row r="614">
          <cell r="A614" t="str">
            <v>Other</v>
          </cell>
          <cell r="L614">
            <v>0.17399999999999999</v>
          </cell>
          <cell r="M614">
            <v>3.742</v>
          </cell>
          <cell r="N614">
            <v>6.9939999999999998</v>
          </cell>
          <cell r="O614">
            <v>-6.1319999999999997</v>
          </cell>
          <cell r="P614">
            <v>-23.619</v>
          </cell>
          <cell r="Q614">
            <v>8</v>
          </cell>
          <cell r="R614">
            <v>-2</v>
          </cell>
          <cell r="S614">
            <v>-4</v>
          </cell>
          <cell r="T614">
            <v>-4.3725634811927092</v>
          </cell>
          <cell r="U614">
            <v>-4.7798278492650255</v>
          </cell>
          <cell r="V614">
            <v>-5.2250251750210346</v>
          </cell>
          <cell r="W614">
            <v>-5.7116885671523807</v>
          </cell>
        </row>
        <row r="616">
          <cell r="A616" t="str">
            <v>Cash Provided by Operations</v>
          </cell>
          <cell r="L616">
            <v>253.98799999999994</v>
          </cell>
          <cell r="M616">
            <v>312.52599999999995</v>
          </cell>
          <cell r="N616">
            <v>325.63900000000012</v>
          </cell>
          <cell r="O616">
            <v>267.34999999999997</v>
          </cell>
          <cell r="P616">
            <v>279.49417999999991</v>
          </cell>
          <cell r="Q616">
            <v>250.42400000000004</v>
          </cell>
          <cell r="R616">
            <v>247.29130000000004</v>
          </cell>
          <cell r="S616">
            <v>313.60934999999995</v>
          </cell>
          <cell r="T616">
            <v>291.51638410090362</v>
          </cell>
          <cell r="U616">
            <v>229.84944526193351</v>
          </cell>
          <cell r="V616">
            <v>275.14280844582123</v>
          </cell>
          <cell r="W616">
            <v>311.64804812646781</v>
          </cell>
        </row>
        <row r="618">
          <cell r="A618" t="str">
            <v>Capital Expenditures</v>
          </cell>
          <cell r="L618">
            <v>-219</v>
          </cell>
          <cell r="M618">
            <v>-260</v>
          </cell>
          <cell r="N618">
            <v>-324</v>
          </cell>
          <cell r="O618">
            <v>-378.26799999999997</v>
          </cell>
          <cell r="P618">
            <v>-358.66800000000001</v>
          </cell>
          <cell r="Q618">
            <v>-340</v>
          </cell>
          <cell r="R618">
            <v>-463</v>
          </cell>
          <cell r="S618">
            <v>-386</v>
          </cell>
          <cell r="T618">
            <v>-275</v>
          </cell>
          <cell r="U618">
            <v>-233</v>
          </cell>
          <cell r="V618">
            <v>-175</v>
          </cell>
          <cell r="W618">
            <v>-178</v>
          </cell>
        </row>
        <row r="619">
          <cell r="A619" t="str">
            <v>Sale of property and equipment</v>
          </cell>
          <cell r="L619">
            <v>25.754999999999999</v>
          </cell>
          <cell r="M619">
            <v>16.404</v>
          </cell>
          <cell r="N619">
            <v>11.19</v>
          </cell>
          <cell r="O619">
            <v>12.051</v>
          </cell>
          <cell r="P619">
            <v>11.688000000000001</v>
          </cell>
          <cell r="Q619">
            <v>19</v>
          </cell>
          <cell r="R619">
            <v>19</v>
          </cell>
          <cell r="S619">
            <v>15</v>
          </cell>
          <cell r="T619">
            <v>5</v>
          </cell>
          <cell r="U619">
            <v>52</v>
          </cell>
          <cell r="V619">
            <v>0</v>
          </cell>
          <cell r="W619">
            <v>0</v>
          </cell>
        </row>
        <row r="620">
          <cell r="A620" t="str">
            <v>Manufacturing acquisitions</v>
          </cell>
          <cell r="L620">
            <v>-17</v>
          </cell>
          <cell r="N620">
            <v>-58.545999999999999</v>
          </cell>
          <cell r="R620">
            <v>-60</v>
          </cell>
        </row>
        <row r="621">
          <cell r="A621" t="str">
            <v>Investment in Financial Services</v>
          </cell>
          <cell r="L621">
            <v>-75</v>
          </cell>
          <cell r="M621">
            <v>-50.787999999999997</v>
          </cell>
          <cell r="N621">
            <v>-64.599999999999994</v>
          </cell>
          <cell r="O621">
            <v>-140.1</v>
          </cell>
          <cell r="P621">
            <v>9</v>
          </cell>
          <cell r="Q621">
            <v>42</v>
          </cell>
          <cell r="R621">
            <v>30</v>
          </cell>
          <cell r="S621">
            <v>15</v>
          </cell>
          <cell r="T621">
            <v>60</v>
          </cell>
          <cell r="U621">
            <v>65</v>
          </cell>
          <cell r="V621">
            <v>75</v>
          </cell>
          <cell r="W621">
            <v>75</v>
          </cell>
        </row>
        <row r="622">
          <cell r="A622" t="str">
            <v>Tax savings credited to Financial Services</v>
          </cell>
          <cell r="L622">
            <v>17.012</v>
          </cell>
          <cell r="M622">
            <v>56.795999999999999</v>
          </cell>
          <cell r="N622">
            <v>0</v>
          </cell>
        </row>
        <row r="623">
          <cell r="A623" t="str">
            <v>Food service acquisitions</v>
          </cell>
          <cell r="O623">
            <v>-27.972000000000001</v>
          </cell>
          <cell r="P623">
            <v>-6.7060000000000004</v>
          </cell>
        </row>
        <row r="624">
          <cell r="A624" t="str">
            <v>Cash Provided by Investments</v>
          </cell>
          <cell r="L624">
            <v>-268.233</v>
          </cell>
          <cell r="M624">
            <v>-237.58800000000002</v>
          </cell>
          <cell r="N624">
            <v>-435.95600000000002</v>
          </cell>
          <cell r="O624">
            <v>-534.28899999999999</v>
          </cell>
          <cell r="P624">
            <v>-344.68600000000004</v>
          </cell>
          <cell r="Q624">
            <v>-279</v>
          </cell>
          <cell r="R624">
            <v>-474</v>
          </cell>
          <cell r="S624">
            <v>-356</v>
          </cell>
          <cell r="T624">
            <v>-210</v>
          </cell>
          <cell r="U624">
            <v>-116</v>
          </cell>
          <cell r="V624">
            <v>-100</v>
          </cell>
          <cell r="W624">
            <v>-103</v>
          </cell>
        </row>
        <row r="626">
          <cell r="A626" t="str">
            <v>Issuance of long-term debt</v>
          </cell>
          <cell r="L626">
            <v>75.057000000000002</v>
          </cell>
          <cell r="M626">
            <v>165.12100000000001</v>
          </cell>
          <cell r="N626">
            <v>269.22699999999998</v>
          </cell>
          <cell r="O626">
            <v>753.50699999999995</v>
          </cell>
          <cell r="P626">
            <v>308.08600000000001</v>
          </cell>
          <cell r="Q626">
            <v>85</v>
          </cell>
          <cell r="R626">
            <v>299</v>
          </cell>
          <cell r="S626">
            <v>175</v>
          </cell>
        </row>
        <row r="627">
          <cell r="A627" t="str">
            <v>Reduction of long-term debt</v>
          </cell>
          <cell r="L627">
            <v>-49.359000000000002</v>
          </cell>
          <cell r="M627">
            <v>-208.548</v>
          </cell>
          <cell r="N627">
            <v>-116.622</v>
          </cell>
          <cell r="O627">
            <v>-437.80200000000002</v>
          </cell>
          <cell r="P627">
            <v>-199.596</v>
          </cell>
          <cell r="Q627">
            <v>-4</v>
          </cell>
          <cell r="R627">
            <v>-24</v>
          </cell>
          <cell r="S627">
            <v>-15</v>
          </cell>
          <cell r="T627">
            <v>0</v>
          </cell>
          <cell r="U627">
            <v>0</v>
          </cell>
          <cell r="V627">
            <v>0</v>
          </cell>
          <cell r="W627">
            <v>0</v>
          </cell>
        </row>
        <row r="628">
          <cell r="A628" t="str">
            <v>Constuction funds held by trustees</v>
          </cell>
          <cell r="L628">
            <v>-0.312</v>
          </cell>
          <cell r="M628">
            <v>5.1550000000000002</v>
          </cell>
          <cell r="P628">
            <v>-7.3150000000000004</v>
          </cell>
          <cell r="Q628">
            <v>7.3</v>
          </cell>
        </row>
        <row r="629">
          <cell r="A629" t="str">
            <v xml:space="preserve">Cash Dividends Paid </v>
          </cell>
          <cell r="L629">
            <v>-23.116</v>
          </cell>
          <cell r="M629">
            <v>-31.815000000000001</v>
          </cell>
          <cell r="N629">
            <v>-43.884999999999998</v>
          </cell>
          <cell r="O629">
            <v>-48.235999999999997</v>
          </cell>
          <cell r="P629">
            <v>-52.94</v>
          </cell>
          <cell r="Q629">
            <v>-55.341000000000001</v>
          </cell>
          <cell r="R629">
            <v>-56.90784</v>
          </cell>
          <cell r="S629">
            <v>-64</v>
          </cell>
          <cell r="T629">
            <v>-69</v>
          </cell>
          <cell r="U629">
            <v>-71</v>
          </cell>
          <cell r="V629">
            <v>0</v>
          </cell>
          <cell r="W629">
            <v>0</v>
          </cell>
        </row>
        <row r="630">
          <cell r="A630" t="str">
            <v>Common Shares Issued</v>
          </cell>
          <cell r="L630">
            <v>3.734</v>
          </cell>
          <cell r="M630">
            <v>5.9880000000000004</v>
          </cell>
          <cell r="N630">
            <v>4.3230000000000004</v>
          </cell>
          <cell r="O630">
            <v>7.1559999999999997</v>
          </cell>
          <cell r="P630">
            <v>8.8000000000000007</v>
          </cell>
          <cell r="Q630">
            <v>8.8000000000000007</v>
          </cell>
          <cell r="R630">
            <v>8.8000000000000007</v>
          </cell>
          <cell r="S630">
            <v>8.8000000000000007</v>
          </cell>
          <cell r="T630">
            <v>8.8000000000000007</v>
          </cell>
          <cell r="U630">
            <v>8.8000000000000007</v>
          </cell>
          <cell r="V630">
            <v>8.8000000000000007</v>
          </cell>
          <cell r="W630">
            <v>8.8000000000000007</v>
          </cell>
        </row>
        <row r="631">
          <cell r="A631" t="str">
            <v>Common Shares Purchased</v>
          </cell>
          <cell r="L631">
            <v>-11.500999999999999</v>
          </cell>
          <cell r="M631">
            <v>-18.404</v>
          </cell>
          <cell r="N631">
            <v>-12.52</v>
          </cell>
          <cell r="O631">
            <v>-5.1150000000000002</v>
          </cell>
          <cell r="P631">
            <v>-2.3260000000000001</v>
          </cell>
          <cell r="Q631">
            <v>-3</v>
          </cell>
          <cell r="R631">
            <v>-1</v>
          </cell>
          <cell r="S631">
            <v>-24</v>
          </cell>
          <cell r="T631">
            <v>-24</v>
          </cell>
          <cell r="U631">
            <v>-24</v>
          </cell>
          <cell r="V631">
            <v>-24</v>
          </cell>
          <cell r="W631">
            <v>-24</v>
          </cell>
        </row>
        <row r="632">
          <cell r="A632" t="str">
            <v>Cash Provided by Financing</v>
          </cell>
          <cell r="L632">
            <v>-5.4969999999999999</v>
          </cell>
          <cell r="M632">
            <v>-82.502999999999986</v>
          </cell>
          <cell r="N632">
            <v>100.52299999999998</v>
          </cell>
          <cell r="O632">
            <v>269.50999999999993</v>
          </cell>
          <cell r="P632">
            <v>54.70900000000001</v>
          </cell>
          <cell r="Q632">
            <v>38.759</v>
          </cell>
          <cell r="R632">
            <v>225.89216000000002</v>
          </cell>
          <cell r="S632">
            <v>80.8</v>
          </cell>
          <cell r="T632">
            <v>-84.2</v>
          </cell>
          <cell r="U632">
            <v>-86.2</v>
          </cell>
          <cell r="V632">
            <v>-15.2</v>
          </cell>
          <cell r="W632">
            <v>-15.2</v>
          </cell>
        </row>
        <row r="634">
          <cell r="A634" t="str">
            <v>Net increase in cash</v>
          </cell>
          <cell r="L634">
            <v>-19.742000000000075</v>
          </cell>
          <cell r="M634">
            <v>-7.5650000000000546</v>
          </cell>
          <cell r="N634">
            <v>-9.7939999999999259</v>
          </cell>
          <cell r="O634">
            <v>2.5709999999999127</v>
          </cell>
          <cell r="P634">
            <v>-10.482820000000117</v>
          </cell>
          <cell r="Q634">
            <v>10.18300000000005</v>
          </cell>
          <cell r="R634">
            <v>-0.81653999999994653</v>
          </cell>
          <cell r="S634">
            <v>38.409349999999961</v>
          </cell>
          <cell r="T634">
            <v>-2.6836158990963668</v>
          </cell>
          <cell r="U634">
            <v>27.649445261933522</v>
          </cell>
          <cell r="V634">
            <v>159.94280844582124</v>
          </cell>
          <cell r="W634">
            <v>193.44804812646782</v>
          </cell>
        </row>
        <row r="635">
          <cell r="A635" t="str">
            <v>Cash at beginning of year</v>
          </cell>
          <cell r="L635">
            <v>19.236000000000001</v>
          </cell>
          <cell r="M635">
            <v>-0.50600000000007483</v>
          </cell>
          <cell r="N635">
            <v>-8.0710000000001294</v>
          </cell>
          <cell r="O635">
            <v>-17.865000000000055</v>
          </cell>
          <cell r="P635">
            <v>-15.294000000000143</v>
          </cell>
          <cell r="Q635">
            <v>-25.77682000000026</v>
          </cell>
          <cell r="R635">
            <v>-15.593820000000211</v>
          </cell>
          <cell r="S635">
            <v>-16.410360000000157</v>
          </cell>
          <cell r="T635">
            <v>21.998989999999804</v>
          </cell>
          <cell r="U635">
            <v>19.315374100903437</v>
          </cell>
          <cell r="V635">
            <v>46.964819362836963</v>
          </cell>
          <cell r="W635">
            <v>206.90762780865822</v>
          </cell>
        </row>
        <row r="636">
          <cell r="A636" t="str">
            <v>Cash at end of year</v>
          </cell>
          <cell r="L636">
            <v>-0.50600000000007483</v>
          </cell>
          <cell r="M636">
            <v>-8.0710000000001294</v>
          </cell>
          <cell r="N636">
            <v>-17.865000000000055</v>
          </cell>
          <cell r="O636">
            <v>-15.294000000000143</v>
          </cell>
          <cell r="P636">
            <v>-25.77682000000026</v>
          </cell>
          <cell r="Q636">
            <v>-15.593820000000211</v>
          </cell>
          <cell r="R636">
            <v>-16.410360000000157</v>
          </cell>
          <cell r="S636">
            <v>21.998989999999804</v>
          </cell>
          <cell r="T636">
            <v>19.315374100903437</v>
          </cell>
          <cell r="U636">
            <v>46.964819362836963</v>
          </cell>
          <cell r="V636">
            <v>206.90762780865822</v>
          </cell>
          <cell r="W636">
            <v>400.35567593512604</v>
          </cell>
        </row>
        <row r="641">
          <cell r="A641" t="str">
            <v xml:space="preserve"> </v>
          </cell>
        </row>
        <row r="642">
          <cell r="A642" t="str">
            <v>Savings and Loans</v>
          </cell>
          <cell r="L642">
            <v>0.625</v>
          </cell>
          <cell r="M642">
            <v>1.2090000000000001</v>
          </cell>
          <cell r="N642">
            <v>35.359000000000002</v>
          </cell>
          <cell r="O642">
            <v>35</v>
          </cell>
          <cell r="P642">
            <v>45</v>
          </cell>
          <cell r="Q642">
            <v>45.1</v>
          </cell>
          <cell r="R642">
            <v>37.200000000000003</v>
          </cell>
          <cell r="S642">
            <v>78.099999999999994</v>
          </cell>
          <cell r="T642">
            <v>78.099999999999994</v>
          </cell>
          <cell r="U642">
            <v>78.099999999999994</v>
          </cell>
          <cell r="V642">
            <v>78.099999999999994</v>
          </cell>
          <cell r="W642">
            <v>78.099999999999994</v>
          </cell>
        </row>
        <row r="643">
          <cell r="A643" t="str">
            <v>Mortgage Banking</v>
          </cell>
          <cell r="G643">
            <v>7.1269999999999998</v>
          </cell>
          <cell r="H643">
            <v>5.423</v>
          </cell>
          <cell r="I643">
            <v>6.6219999999999999</v>
          </cell>
          <cell r="J643">
            <v>6.5449999999999999</v>
          </cell>
          <cell r="K643">
            <v>4.4279999999999999</v>
          </cell>
          <cell r="L643">
            <v>-1.4850000000000001</v>
          </cell>
          <cell r="M643">
            <v>-4.8259999999999996</v>
          </cell>
          <cell r="N643">
            <v>3.4169999999999998</v>
          </cell>
          <cell r="O643">
            <v>8</v>
          </cell>
          <cell r="P643">
            <v>12</v>
          </cell>
          <cell r="Q643">
            <v>19.899999999999999</v>
          </cell>
          <cell r="R643">
            <v>15.9</v>
          </cell>
          <cell r="S643">
            <v>20.3</v>
          </cell>
          <cell r="T643">
            <v>20.3</v>
          </cell>
          <cell r="U643">
            <v>20.3</v>
          </cell>
          <cell r="V643">
            <v>20.3</v>
          </cell>
          <cell r="W643">
            <v>20.3</v>
          </cell>
        </row>
        <row r="644">
          <cell r="A644" t="str">
            <v>Real Estate</v>
          </cell>
          <cell r="G644">
            <v>6.2210000000000001</v>
          </cell>
          <cell r="H644">
            <v>4.8170000000000002</v>
          </cell>
          <cell r="I644">
            <v>8.1159999999999997</v>
          </cell>
          <cell r="J644">
            <v>3.331</v>
          </cell>
          <cell r="K644">
            <v>-1.6950000000000001</v>
          </cell>
          <cell r="L644">
            <v>-1.05</v>
          </cell>
          <cell r="M644">
            <v>-0.313</v>
          </cell>
          <cell r="N644">
            <v>1.798</v>
          </cell>
          <cell r="O644">
            <v>3</v>
          </cell>
          <cell r="P644">
            <v>3</v>
          </cell>
          <cell r="Q644">
            <v>-1.5</v>
          </cell>
          <cell r="R644">
            <v>-0.6</v>
          </cell>
          <cell r="S644">
            <v>-3.8</v>
          </cell>
          <cell r="T644">
            <v>-3.8</v>
          </cell>
          <cell r="U644">
            <v>-3.8</v>
          </cell>
          <cell r="V644">
            <v>-3.8</v>
          </cell>
          <cell r="W644">
            <v>-3.8</v>
          </cell>
        </row>
        <row r="645">
          <cell r="A645" t="str">
            <v>Agency Insurance</v>
          </cell>
          <cell r="G645">
            <v>1.774</v>
          </cell>
          <cell r="H645">
            <v>1.0109999999999999</v>
          </cell>
          <cell r="I645">
            <v>0.93700000000000006</v>
          </cell>
          <cell r="J645">
            <v>1.3660000000000001</v>
          </cell>
          <cell r="K645">
            <v>1.5429999999999999</v>
          </cell>
          <cell r="L645">
            <v>1.4990000000000001</v>
          </cell>
          <cell r="M645">
            <v>1.952</v>
          </cell>
          <cell r="N645">
            <v>2.1989999999999998</v>
          </cell>
          <cell r="O645">
            <v>2.5</v>
          </cell>
          <cell r="P645">
            <v>2.5</v>
          </cell>
          <cell r="Q645">
            <v>4</v>
          </cell>
          <cell r="R645">
            <v>3.8</v>
          </cell>
          <cell r="S645">
            <v>3.5</v>
          </cell>
          <cell r="T645">
            <v>3.5</v>
          </cell>
          <cell r="U645">
            <v>3.5</v>
          </cell>
          <cell r="V645">
            <v>3.5</v>
          </cell>
          <cell r="W645">
            <v>3.5</v>
          </cell>
        </row>
        <row r="646">
          <cell r="A646" t="str">
            <v>Other</v>
          </cell>
          <cell r="G646">
            <v>-1.2930000000000001</v>
          </cell>
          <cell r="H646">
            <v>3.911</v>
          </cell>
          <cell r="I646">
            <v>9.64</v>
          </cell>
          <cell r="J646">
            <v>21.791999999999998</v>
          </cell>
          <cell r="K646">
            <v>3.3450000000000002</v>
          </cell>
          <cell r="L646">
            <v>0.81599999999999995</v>
          </cell>
          <cell r="M646">
            <v>-0.106</v>
          </cell>
          <cell r="N646">
            <v>8.6300000000000008</v>
          </cell>
          <cell r="O646">
            <v>4</v>
          </cell>
          <cell r="P646">
            <v>2</v>
          </cell>
        </row>
        <row r="647">
          <cell r="A647" t="str">
            <v xml:space="preserve">  Total pretax</v>
          </cell>
          <cell r="G647">
            <v>13.829000000000001</v>
          </cell>
          <cell r="H647">
            <v>15.161999999999999</v>
          </cell>
          <cell r="I647">
            <v>25.314999999999998</v>
          </cell>
          <cell r="J647">
            <v>33.033999999999999</v>
          </cell>
          <cell r="K647">
            <v>7.6210000000000004</v>
          </cell>
          <cell r="L647">
            <v>0.40499999999999992</v>
          </cell>
          <cell r="M647">
            <v>-2.0839999999999996</v>
          </cell>
          <cell r="N647">
            <v>51.403000000000006</v>
          </cell>
          <cell r="O647">
            <v>52.5</v>
          </cell>
          <cell r="P647">
            <v>64.5</v>
          </cell>
          <cell r="Q647">
            <v>67.5</v>
          </cell>
          <cell r="R647">
            <v>56.3</v>
          </cell>
          <cell r="S647">
            <v>98.1</v>
          </cell>
          <cell r="T647">
            <v>98.1</v>
          </cell>
          <cell r="U647">
            <v>98.1</v>
          </cell>
          <cell r="V647">
            <v>98.1</v>
          </cell>
          <cell r="W647">
            <v>98.1</v>
          </cell>
        </row>
        <row r="648">
          <cell r="A648" t="str">
            <v>Taxes</v>
          </cell>
          <cell r="Q648">
            <v>18.8</v>
          </cell>
          <cell r="R648">
            <v>15.3</v>
          </cell>
          <cell r="S648">
            <v>27.3</v>
          </cell>
          <cell r="T648">
            <v>27.3</v>
          </cell>
          <cell r="U648">
            <v>27.3</v>
          </cell>
          <cell r="V648">
            <v>27.3</v>
          </cell>
          <cell r="W648">
            <v>27.3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sheetData sheetId="17"/>
      <sheetData sheetId="18" refreshError="1"/>
      <sheetData sheetId="19"/>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c-Yr Summary"/>
      <sheetName val="Inc-Yr Summary Calendar"/>
      <sheetName val="Balance"/>
      <sheetName val="Main Cover"/>
      <sheetName val="Cover"/>
      <sheetName val="Graphs"/>
      <sheetName val="FX"/>
      <sheetName val="Free-standing Stores"/>
      <sheetName val="Common Size"/>
      <sheetName val="Inc.-Qtr Var Analysis"/>
      <sheetName val="Cash Flow"/>
      <sheetName val="Free Cash Flow"/>
      <sheetName val="Depr Amm Schedule"/>
      <sheetName val="DCF - EVA"/>
      <sheetName val="Notes to Financials"/>
      <sheetName val="__FDSCACHE__"/>
      <sheetName val="Historical Trading"/>
      <sheetName val="Old- Inc-Qtr Summary"/>
      <sheetName val="Old-Inc. - Yr."/>
      <sheetName val="PE"/>
      <sheetName val="TEV"/>
      <sheetName val="Old Inc. - Qtr."/>
      <sheetName val="Figures"/>
      <sheetName val="Q _Q Comparisons"/>
      <sheetName val="Geographic Exposure"/>
      <sheetName val="Charts"/>
      <sheetName val="PE data"/>
      <sheetName val="IndexInformation"/>
      <sheetName val="revs"/>
      <sheetName val="MainCode"/>
    </sheetNames>
    <sheetDataSet>
      <sheetData sheetId="0" refreshError="1">
        <row r="48">
          <cell r="X48">
            <v>240.2</v>
          </cell>
        </row>
      </sheetData>
      <sheetData sheetId="1" refreshError="1">
        <row r="19">
          <cell r="I19">
            <v>3057.6</v>
          </cell>
          <cell r="O19">
            <v>3314.8999999999996</v>
          </cell>
          <cell r="U19">
            <v>3468.8</v>
          </cell>
          <cell r="AA19">
            <v>3804.5</v>
          </cell>
          <cell r="AG19">
            <v>4202.3</v>
          </cell>
          <cell r="AH19">
            <v>4539.3245649999999</v>
          </cell>
          <cell r="AI19">
            <v>4936.3282047249995</v>
          </cell>
          <cell r="AJ19">
            <v>5374.2528251796248</v>
          </cell>
        </row>
        <row r="35">
          <cell r="I35">
            <v>0.38832054560954765</v>
          </cell>
          <cell r="O35">
            <v>0.66337907375643235</v>
          </cell>
          <cell r="U35">
            <v>0.83752107925800756</v>
          </cell>
          <cell r="AA35">
            <v>0.97935054121565357</v>
          </cell>
          <cell r="AG35">
            <v>1.1498319850653407</v>
          </cell>
          <cell r="AH35">
            <v>1.292262260575116</v>
          </cell>
          <cell r="AI35">
            <v>1.5183613083394347</v>
          </cell>
          <cell r="AJ35">
            <v>1.7957971857766397</v>
          </cell>
        </row>
        <row r="41">
          <cell r="I41">
            <v>322.89999999999981</v>
          </cell>
          <cell r="O41">
            <v>395.40000000000003</v>
          </cell>
          <cell r="U41">
            <v>465.85999999999933</v>
          </cell>
          <cell r="AA41">
            <v>554.69129742878579</v>
          </cell>
          <cell r="AG41">
            <v>600.61107544364688</v>
          </cell>
          <cell r="AH41">
            <v>666.2586266359001</v>
          </cell>
          <cell r="AI41">
            <v>758.91035344182433</v>
          </cell>
          <cell r="AJ41">
            <v>873.61863452101886</v>
          </cell>
        </row>
      </sheetData>
      <sheetData sheetId="2" refreshError="1">
        <row r="9">
          <cell r="R9">
            <v>204.4</v>
          </cell>
        </row>
        <row r="21">
          <cell r="R21">
            <v>29</v>
          </cell>
        </row>
        <row r="28">
          <cell r="R28">
            <v>425.5</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__FDSCACHE__"/>
      <sheetName val="TXT Tables"/>
      <sheetName val="Output"/>
      <sheetName val="TCFC Liquid analysis"/>
      <sheetName val="Fin, Output"/>
      <sheetName val="Debt"/>
      <sheetName val="Capital Raise"/>
      <sheetName val="Variance Analysis"/>
      <sheetName val="Quarterly P&amp;L"/>
      <sheetName val="Finance"/>
      <sheetName val="TFC Roll-Off Analysis"/>
      <sheetName val="Finance Senario Analysis"/>
      <sheetName val="Cessna"/>
      <sheetName val="Bell"/>
      <sheetName val="Industrial"/>
      <sheetName val="TXT Systems"/>
      <sheetName val="Valuation- Multiples (2)"/>
      <sheetName val="MWA RR"/>
      <sheetName val="Open Platform- Assumptions"/>
      <sheetName val="Covenant Checks"/>
      <sheetName val="Debt Schedule"/>
      <sheetName val="Valuation- Sum of Parts"/>
      <sheetName val="Valuation- Multiples"/>
      <sheetName val="DCF"/>
      <sheetName val="Key Ratios"/>
      <sheetName val="MW-Cache"/>
      <sheetName val="CessnaDetail"/>
      <sheetName val="Bell-Detail"/>
      <sheetName val="Revenue by Segment"/>
      <sheetName val="Backlog- Time to Fill"/>
      <sheetName val="Backlog- Govt. vs Commerical"/>
      <sheetName val="R&amp;D Spend"/>
      <sheetName val="Revs, Assets Per Employee"/>
      <sheetName val="Revs &amp; Manufacturing Space "/>
      <sheetName val="Historical"/>
      <sheetName val="Management"/>
      <sheetName val="mwareDates"/>
      <sheetName val="Roll off Speed"/>
      <sheetName val="Chart1"/>
      <sheetName val="Chart2"/>
      <sheetName val="Chart3"/>
      <sheetName val="Chart4"/>
      <sheetName val="Chart5"/>
      <sheetName val="SOTP Guidance"/>
      <sheetName val="SOTP Guidance (2)"/>
      <sheetName val="mwareSettings"/>
      <sheetName val="XOM"/>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ow r="12">
          <cell r="W12">
            <v>0.25</v>
          </cell>
          <cell r="X12">
            <v>1064</v>
          </cell>
        </row>
        <row r="13">
          <cell r="W13">
            <v>0.24</v>
          </cell>
        </row>
        <row r="14">
          <cell r="W14">
            <v>0.22999999999999998</v>
          </cell>
        </row>
        <row r="15">
          <cell r="W15">
            <v>0.21999999999999997</v>
          </cell>
        </row>
        <row r="16">
          <cell r="W16">
            <v>0.20999999999999996</v>
          </cell>
        </row>
        <row r="17">
          <cell r="W17">
            <v>0.19999999999999996</v>
          </cell>
        </row>
        <row r="18">
          <cell r="W18">
            <v>0.18999999999999995</v>
          </cell>
        </row>
        <row r="19">
          <cell r="W19">
            <v>0.17999999999999994</v>
          </cell>
        </row>
        <row r="20">
          <cell r="W20">
            <v>0.16999999999999993</v>
          </cell>
        </row>
        <row r="21">
          <cell r="W21">
            <v>0.15999999999999992</v>
          </cell>
        </row>
        <row r="22">
          <cell r="W22">
            <v>0.14999999999999991</v>
          </cell>
        </row>
        <row r="23">
          <cell r="W23">
            <v>0.1399999999999999</v>
          </cell>
        </row>
        <row r="24">
          <cell r="W24">
            <v>0.12999999999999989</v>
          </cell>
        </row>
        <row r="25">
          <cell r="W25">
            <v>0.1199999999999999</v>
          </cell>
        </row>
        <row r="26">
          <cell r="W26">
            <v>0.1099999999999999</v>
          </cell>
        </row>
        <row r="27">
          <cell r="W27">
            <v>9.9999999999999908E-2</v>
          </cell>
        </row>
        <row r="28">
          <cell r="W28">
            <v>8.9999999999999913E-2</v>
          </cell>
        </row>
        <row r="29">
          <cell r="W29">
            <v>7.9999999999999918E-2</v>
          </cell>
        </row>
        <row r="30">
          <cell r="W30">
            <v>6.9999999999999923E-2</v>
          </cell>
        </row>
        <row r="31">
          <cell r="W31">
            <v>5.9999999999999921E-2</v>
          </cell>
        </row>
        <row r="32">
          <cell r="W32">
            <v>4.999999999999992E-2</v>
          </cell>
        </row>
        <row r="33">
          <cell r="W33">
            <v>3.9999999999999918E-2</v>
          </cell>
        </row>
        <row r="34">
          <cell r="W34">
            <v>2.9999999999999916E-2</v>
          </cell>
        </row>
        <row r="35">
          <cell r="W35">
            <v>1.9999999999999914E-2</v>
          </cell>
        </row>
        <row r="36">
          <cell r="W36">
            <v>9.9999999999999135E-3</v>
          </cell>
        </row>
        <row r="37">
          <cell r="W37">
            <v>-8.6736173798840355E-17</v>
          </cell>
        </row>
        <row r="38">
          <cell r="W38">
            <v>-1.0000000000000087E-2</v>
          </cell>
        </row>
        <row r="39">
          <cell r="W39">
            <v>-2.0000000000000087E-2</v>
          </cell>
        </row>
        <row r="40">
          <cell r="W40">
            <v>-3.0000000000000089E-2</v>
          </cell>
        </row>
        <row r="41">
          <cell r="W41">
            <v>-4.0000000000000091E-2</v>
          </cell>
        </row>
        <row r="42">
          <cell r="W42">
            <v>-5.0000000000000093E-2</v>
          </cell>
        </row>
        <row r="43">
          <cell r="W43">
            <v>-6.0000000000000095E-2</v>
          </cell>
        </row>
        <row r="44">
          <cell r="W44">
            <v>-7.000000000000009E-2</v>
          </cell>
        </row>
        <row r="45">
          <cell r="W45">
            <v>-8.0000000000000085E-2</v>
          </cell>
        </row>
        <row r="46">
          <cell r="W46">
            <v>-9.000000000000008E-2</v>
          </cell>
        </row>
        <row r="47">
          <cell r="W47">
            <v>-0.10000000000000007</v>
          </cell>
        </row>
        <row r="48">
          <cell r="W48">
            <v>-0.11000000000000007</v>
          </cell>
        </row>
        <row r="49">
          <cell r="W49">
            <v>-0.12000000000000006</v>
          </cell>
        </row>
        <row r="50">
          <cell r="W50">
            <v>-0.13000000000000006</v>
          </cell>
        </row>
        <row r="51">
          <cell r="W51">
            <v>-0.14000000000000007</v>
          </cell>
        </row>
        <row r="52">
          <cell r="W52">
            <v>-0.15000000000000008</v>
          </cell>
        </row>
        <row r="53">
          <cell r="W53">
            <v>-0.16000000000000009</v>
          </cell>
        </row>
        <row r="54">
          <cell r="W54">
            <v>-0.1700000000000001</v>
          </cell>
        </row>
        <row r="55">
          <cell r="W55">
            <v>-0.1800000000000001</v>
          </cell>
        </row>
        <row r="56">
          <cell r="W56">
            <v>-0.19000000000000011</v>
          </cell>
        </row>
        <row r="57">
          <cell r="W57">
            <v>-0.20000000000000012</v>
          </cell>
        </row>
        <row r="58">
          <cell r="W58">
            <v>-0.21000000000000013</v>
          </cell>
        </row>
        <row r="59">
          <cell r="W59">
            <v>-0.22000000000000014</v>
          </cell>
        </row>
        <row r="60">
          <cell r="W60">
            <v>-0.23000000000000015</v>
          </cell>
        </row>
        <row r="61">
          <cell r="W61">
            <v>-0.24000000000000016</v>
          </cell>
        </row>
        <row r="62">
          <cell r="W62">
            <v>-0.25000000000000017</v>
          </cell>
        </row>
        <row r="63">
          <cell r="W63" t="b">
            <v>0</v>
          </cell>
        </row>
        <row r="64">
          <cell r="W64" t="b">
            <v>0</v>
          </cell>
        </row>
        <row r="65">
          <cell r="W65" t="b">
            <v>0</v>
          </cell>
        </row>
        <row r="66">
          <cell r="W66" t="b">
            <v>0</v>
          </cell>
        </row>
        <row r="67">
          <cell r="W67" t="b">
            <v>0</v>
          </cell>
        </row>
        <row r="68">
          <cell r="W68" t="b">
            <v>0</v>
          </cell>
        </row>
        <row r="69">
          <cell r="W69" t="b">
            <v>0</v>
          </cell>
        </row>
        <row r="70">
          <cell r="W70" t="b">
            <v>0</v>
          </cell>
        </row>
        <row r="71">
          <cell r="W71" t="b">
            <v>0</v>
          </cell>
        </row>
        <row r="72">
          <cell r="W72" t="b">
            <v>0</v>
          </cell>
        </row>
        <row r="73">
          <cell r="W73" t="b">
            <v>0</v>
          </cell>
        </row>
        <row r="74">
          <cell r="W74" t="b">
            <v>0</v>
          </cell>
        </row>
        <row r="75">
          <cell r="W75" t="b">
            <v>0</v>
          </cell>
        </row>
        <row r="76">
          <cell r="W76" t="b">
            <v>0</v>
          </cell>
        </row>
        <row r="77">
          <cell r="W77" t="b">
            <v>0</v>
          </cell>
        </row>
        <row r="78">
          <cell r="W78" t="b">
            <v>0</v>
          </cell>
        </row>
        <row r="79">
          <cell r="W79" t="b">
            <v>0</v>
          </cell>
        </row>
        <row r="80">
          <cell r="W80" t="b">
            <v>0</v>
          </cell>
        </row>
        <row r="81">
          <cell r="W81" t="b">
            <v>0</v>
          </cell>
        </row>
        <row r="82">
          <cell r="W82" t="b">
            <v>0</v>
          </cell>
        </row>
        <row r="83">
          <cell r="W83" t="b">
            <v>0</v>
          </cell>
        </row>
        <row r="84">
          <cell r="W84" t="b">
            <v>0</v>
          </cell>
        </row>
        <row r="85">
          <cell r="W85" t="b">
            <v>0</v>
          </cell>
        </row>
        <row r="86">
          <cell r="W86" t="b">
            <v>0</v>
          </cell>
        </row>
        <row r="87">
          <cell r="W87" t="b">
            <v>0</v>
          </cell>
        </row>
        <row r="88">
          <cell r="W88" t="b">
            <v>0</v>
          </cell>
        </row>
        <row r="89">
          <cell r="W89" t="b">
            <v>0</v>
          </cell>
        </row>
        <row r="90">
          <cell r="W90" t="b">
            <v>0</v>
          </cell>
        </row>
        <row r="91">
          <cell r="W91" t="b">
            <v>0</v>
          </cell>
        </row>
        <row r="92">
          <cell r="W92" t="b">
            <v>0</v>
          </cell>
        </row>
        <row r="93">
          <cell r="W93" t="b">
            <v>0</v>
          </cell>
        </row>
        <row r="94">
          <cell r="W94" t="b">
            <v>0</v>
          </cell>
        </row>
        <row r="95">
          <cell r="W95" t="b">
            <v>0</v>
          </cell>
        </row>
        <row r="96">
          <cell r="W96" t="b">
            <v>0</v>
          </cell>
        </row>
        <row r="97">
          <cell r="W97" t="b">
            <v>0</v>
          </cell>
        </row>
        <row r="98">
          <cell r="W98" t="b">
            <v>0</v>
          </cell>
        </row>
        <row r="99">
          <cell r="W99" t="b">
            <v>0</v>
          </cell>
        </row>
        <row r="100">
          <cell r="W100" t="b">
            <v>0</v>
          </cell>
        </row>
        <row r="101">
          <cell r="W101" t="b">
            <v>0</v>
          </cell>
        </row>
        <row r="102">
          <cell r="W102" t="b">
            <v>0</v>
          </cell>
        </row>
        <row r="103">
          <cell r="W103" t="b">
            <v>0</v>
          </cell>
        </row>
        <row r="104">
          <cell r="W104" t="b">
            <v>0</v>
          </cell>
        </row>
        <row r="105">
          <cell r="W105" t="b">
            <v>0</v>
          </cell>
        </row>
        <row r="106">
          <cell r="W106" t="b">
            <v>0</v>
          </cell>
        </row>
        <row r="107">
          <cell r="W107" t="b">
            <v>0</v>
          </cell>
        </row>
        <row r="108">
          <cell r="W108" t="b">
            <v>0</v>
          </cell>
        </row>
        <row r="109">
          <cell r="W109" t="b">
            <v>0</v>
          </cell>
        </row>
        <row r="110">
          <cell r="W110" t="b">
            <v>0</v>
          </cell>
        </row>
        <row r="111">
          <cell r="W111" t="b">
            <v>0</v>
          </cell>
        </row>
        <row r="112">
          <cell r="W112" t="b">
            <v>0</v>
          </cell>
        </row>
        <row r="113">
          <cell r="W113" t="b">
            <v>0</v>
          </cell>
        </row>
        <row r="114">
          <cell r="W114" t="b">
            <v>0</v>
          </cell>
        </row>
        <row r="115">
          <cell r="W115" t="b">
            <v>0</v>
          </cell>
        </row>
        <row r="116">
          <cell r="W116" t="b">
            <v>0</v>
          </cell>
        </row>
        <row r="117">
          <cell r="W117" t="b">
            <v>0</v>
          </cell>
        </row>
        <row r="118">
          <cell r="W118" t="b">
            <v>0</v>
          </cell>
        </row>
        <row r="119">
          <cell r="W119" t="b">
            <v>0</v>
          </cell>
        </row>
        <row r="120">
          <cell r="W120" t="b">
            <v>0</v>
          </cell>
        </row>
        <row r="121">
          <cell r="W121" t="b">
            <v>0</v>
          </cell>
        </row>
        <row r="122">
          <cell r="W122" t="b">
            <v>0</v>
          </cell>
        </row>
        <row r="123">
          <cell r="W123" t="b">
            <v>0</v>
          </cell>
        </row>
        <row r="124">
          <cell r="W124" t="b">
            <v>0</v>
          </cell>
        </row>
        <row r="125">
          <cell r="W125" t="b">
            <v>0</v>
          </cell>
        </row>
        <row r="126">
          <cell r="W126" t="b">
            <v>0</v>
          </cell>
        </row>
        <row r="127">
          <cell r="W127" t="b">
            <v>0</v>
          </cell>
        </row>
        <row r="128">
          <cell r="W128" t="b">
            <v>0</v>
          </cell>
        </row>
        <row r="129">
          <cell r="W129" t="b">
            <v>0</v>
          </cell>
        </row>
        <row r="130">
          <cell r="W130" t="b">
            <v>0</v>
          </cell>
        </row>
        <row r="131">
          <cell r="W131" t="b">
            <v>0</v>
          </cell>
        </row>
        <row r="132">
          <cell r="W132" t="b">
            <v>0</v>
          </cell>
        </row>
        <row r="133">
          <cell r="W133" t="b">
            <v>0</v>
          </cell>
        </row>
        <row r="134">
          <cell r="W134" t="b">
            <v>0</v>
          </cell>
        </row>
        <row r="135">
          <cell r="W135" t="b">
            <v>0</v>
          </cell>
        </row>
        <row r="136">
          <cell r="W136" t="b">
            <v>0</v>
          </cell>
        </row>
        <row r="137">
          <cell r="W137" t="b">
            <v>0</v>
          </cell>
        </row>
        <row r="138">
          <cell r="W138" t="b">
            <v>0</v>
          </cell>
        </row>
        <row r="139">
          <cell r="W139" t="b">
            <v>0</v>
          </cell>
        </row>
        <row r="140">
          <cell r="W140" t="b">
            <v>0</v>
          </cell>
        </row>
        <row r="141">
          <cell r="W141" t="b">
            <v>0</v>
          </cell>
        </row>
        <row r="142">
          <cell r="W142" t="b">
            <v>0</v>
          </cell>
        </row>
        <row r="143">
          <cell r="W143" t="b">
            <v>0</v>
          </cell>
        </row>
        <row r="144">
          <cell r="W144" t="b">
            <v>0</v>
          </cell>
        </row>
        <row r="145">
          <cell r="W145" t="b">
            <v>0</v>
          </cell>
        </row>
        <row r="146">
          <cell r="W146" t="b">
            <v>0</v>
          </cell>
        </row>
        <row r="147">
          <cell r="W147" t="b">
            <v>0</v>
          </cell>
        </row>
        <row r="148">
          <cell r="W148" t="b">
            <v>0</v>
          </cell>
        </row>
        <row r="149">
          <cell r="W149" t="b">
            <v>0</v>
          </cell>
        </row>
        <row r="150">
          <cell r="W150" t="b">
            <v>0</v>
          </cell>
        </row>
        <row r="151">
          <cell r="W151" t="b">
            <v>0</v>
          </cell>
        </row>
        <row r="152">
          <cell r="W152" t="b">
            <v>0</v>
          </cell>
        </row>
        <row r="153">
          <cell r="W153" t="b">
            <v>0</v>
          </cell>
        </row>
        <row r="154">
          <cell r="W154" t="b">
            <v>0</v>
          </cell>
        </row>
        <row r="155">
          <cell r="W155" t="b">
            <v>0</v>
          </cell>
        </row>
        <row r="156">
          <cell r="W156" t="b">
            <v>0</v>
          </cell>
        </row>
        <row r="157">
          <cell r="W157" t="b">
            <v>0</v>
          </cell>
        </row>
        <row r="158">
          <cell r="W158" t="b">
            <v>0</v>
          </cell>
        </row>
        <row r="159">
          <cell r="W159" t="b">
            <v>0</v>
          </cell>
        </row>
        <row r="160">
          <cell r="W160" t="b">
            <v>0</v>
          </cell>
        </row>
        <row r="161">
          <cell r="W161" t="b">
            <v>0</v>
          </cell>
        </row>
        <row r="162">
          <cell r="W162" t="b">
            <v>0</v>
          </cell>
        </row>
        <row r="163">
          <cell r="W163" t="b">
            <v>0</v>
          </cell>
        </row>
        <row r="164">
          <cell r="W164" t="b">
            <v>0</v>
          </cell>
        </row>
        <row r="165">
          <cell r="W165" t="b">
            <v>0</v>
          </cell>
        </row>
        <row r="166">
          <cell r="W166" t="b">
            <v>0</v>
          </cell>
        </row>
        <row r="167">
          <cell r="W167" t="b">
            <v>0</v>
          </cell>
        </row>
        <row r="168">
          <cell r="W168" t="b">
            <v>0</v>
          </cell>
        </row>
        <row r="169">
          <cell r="W169" t="b">
            <v>0</v>
          </cell>
        </row>
        <row r="170">
          <cell r="W170" t="b">
            <v>0</v>
          </cell>
        </row>
        <row r="171">
          <cell r="W171" t="b">
            <v>0</v>
          </cell>
        </row>
        <row r="172">
          <cell r="W172" t="b">
            <v>0</v>
          </cell>
        </row>
        <row r="173">
          <cell r="W173" t="b">
            <v>0</v>
          </cell>
        </row>
        <row r="174">
          <cell r="W174" t="b">
            <v>0</v>
          </cell>
        </row>
        <row r="175">
          <cell r="W175" t="b">
            <v>0</v>
          </cell>
        </row>
        <row r="176">
          <cell r="W176" t="b">
            <v>0</v>
          </cell>
        </row>
        <row r="177">
          <cell r="W177" t="b">
            <v>0</v>
          </cell>
        </row>
        <row r="178">
          <cell r="W178" t="b">
            <v>0</v>
          </cell>
        </row>
        <row r="179">
          <cell r="W179" t="b">
            <v>0</v>
          </cell>
        </row>
        <row r="180">
          <cell r="W180" t="b">
            <v>0</v>
          </cell>
        </row>
        <row r="181">
          <cell r="W181" t="b">
            <v>0</v>
          </cell>
        </row>
        <row r="182">
          <cell r="W182" t="b">
            <v>0</v>
          </cell>
        </row>
        <row r="183">
          <cell r="W183" t="b">
            <v>0</v>
          </cell>
        </row>
        <row r="184">
          <cell r="W184" t="b">
            <v>0</v>
          </cell>
        </row>
        <row r="185">
          <cell r="W185" t="b">
            <v>0</v>
          </cell>
        </row>
        <row r="186">
          <cell r="W186" t="b">
            <v>0</v>
          </cell>
        </row>
        <row r="187">
          <cell r="W187" t="b">
            <v>0</v>
          </cell>
        </row>
        <row r="188">
          <cell r="W188" t="b">
            <v>0</v>
          </cell>
        </row>
        <row r="189">
          <cell r="W189" t="b">
            <v>0</v>
          </cell>
        </row>
        <row r="190">
          <cell r="W190" t="b">
            <v>0</v>
          </cell>
        </row>
        <row r="191">
          <cell r="W191" t="b">
            <v>0</v>
          </cell>
        </row>
        <row r="192">
          <cell r="W192" t="b">
            <v>0</v>
          </cell>
        </row>
        <row r="193">
          <cell r="W193" t="b">
            <v>0</v>
          </cell>
        </row>
        <row r="194">
          <cell r="W194" t="b">
            <v>0</v>
          </cell>
        </row>
        <row r="195">
          <cell r="W195" t="b">
            <v>0</v>
          </cell>
        </row>
        <row r="196">
          <cell r="W196" t="b">
            <v>0</v>
          </cell>
        </row>
        <row r="197">
          <cell r="W197" t="b">
            <v>0</v>
          </cell>
        </row>
        <row r="198">
          <cell r="W198" t="b">
            <v>0</v>
          </cell>
        </row>
        <row r="199">
          <cell r="W199" t="b">
            <v>0</v>
          </cell>
        </row>
        <row r="200">
          <cell r="W200" t="b">
            <v>0</v>
          </cell>
        </row>
        <row r="201">
          <cell r="W201" t="b">
            <v>0</v>
          </cell>
        </row>
        <row r="202">
          <cell r="W202" t="b">
            <v>0</v>
          </cell>
        </row>
        <row r="203">
          <cell r="W203" t="b">
            <v>0</v>
          </cell>
        </row>
        <row r="204">
          <cell r="W204" t="b">
            <v>0</v>
          </cell>
        </row>
        <row r="205">
          <cell r="W205" t="b">
            <v>0</v>
          </cell>
        </row>
        <row r="206">
          <cell r="W206" t="b">
            <v>0</v>
          </cell>
        </row>
        <row r="207">
          <cell r="W207" t="b">
            <v>0</v>
          </cell>
        </row>
        <row r="208">
          <cell r="W208" t="b">
            <v>0</v>
          </cell>
        </row>
        <row r="209">
          <cell r="W209" t="b">
            <v>0</v>
          </cell>
        </row>
        <row r="210">
          <cell r="W210" t="b">
            <v>0</v>
          </cell>
        </row>
        <row r="211">
          <cell r="W211" t="b">
            <v>0</v>
          </cell>
        </row>
        <row r="212">
          <cell r="W212" t="b">
            <v>0</v>
          </cell>
        </row>
        <row r="213">
          <cell r="W213" t="b">
            <v>0</v>
          </cell>
        </row>
        <row r="214">
          <cell r="W214" t="b">
            <v>0</v>
          </cell>
        </row>
        <row r="215">
          <cell r="W215" t="b">
            <v>0</v>
          </cell>
        </row>
        <row r="216">
          <cell r="W216" t="b">
            <v>0</v>
          </cell>
        </row>
        <row r="217">
          <cell r="W217" t="b">
            <v>0</v>
          </cell>
        </row>
        <row r="218">
          <cell r="W218" t="b">
            <v>0</v>
          </cell>
        </row>
        <row r="219">
          <cell r="W219" t="b">
            <v>0</v>
          </cell>
        </row>
        <row r="220">
          <cell r="W220" t="b">
            <v>0</v>
          </cell>
        </row>
        <row r="221">
          <cell r="W221" t="b">
            <v>0</v>
          </cell>
        </row>
        <row r="222">
          <cell r="W222" t="b">
            <v>0</v>
          </cell>
        </row>
        <row r="223">
          <cell r="W223" t="b">
            <v>0</v>
          </cell>
        </row>
        <row r="224">
          <cell r="W224" t="b">
            <v>0</v>
          </cell>
        </row>
        <row r="225">
          <cell r="W225" t="b">
            <v>0</v>
          </cell>
        </row>
        <row r="226">
          <cell r="W226" t="b">
            <v>0</v>
          </cell>
        </row>
        <row r="227">
          <cell r="W227" t="b">
            <v>0</v>
          </cell>
        </row>
        <row r="228">
          <cell r="W228" t="b">
            <v>0</v>
          </cell>
        </row>
        <row r="229">
          <cell r="W229" t="b">
            <v>0</v>
          </cell>
        </row>
        <row r="230">
          <cell r="W230" t="b">
            <v>0</v>
          </cell>
        </row>
        <row r="231">
          <cell r="W231" t="b">
            <v>0</v>
          </cell>
        </row>
        <row r="232">
          <cell r="W232" t="b">
            <v>0</v>
          </cell>
        </row>
        <row r="233">
          <cell r="W233" t="b">
            <v>0</v>
          </cell>
        </row>
        <row r="234">
          <cell r="W234" t="b">
            <v>0</v>
          </cell>
        </row>
        <row r="235">
          <cell r="W235" t="b">
            <v>0</v>
          </cell>
        </row>
        <row r="236">
          <cell r="W236" t="b">
            <v>0</v>
          </cell>
        </row>
        <row r="237">
          <cell r="W237" t="b">
            <v>0</v>
          </cell>
        </row>
        <row r="238">
          <cell r="W238" t="b">
            <v>0</v>
          </cell>
        </row>
        <row r="239">
          <cell r="W239" t="b">
            <v>0</v>
          </cell>
        </row>
        <row r="240">
          <cell r="W240" t="b">
            <v>0</v>
          </cell>
        </row>
        <row r="241">
          <cell r="W241" t="b">
            <v>0</v>
          </cell>
        </row>
        <row r="242">
          <cell r="W242" t="b">
            <v>0</v>
          </cell>
        </row>
        <row r="243">
          <cell r="W243" t="b">
            <v>0</v>
          </cell>
        </row>
        <row r="244">
          <cell r="W244" t="b">
            <v>0</v>
          </cell>
        </row>
        <row r="245">
          <cell r="W245" t="b">
            <v>0</v>
          </cell>
        </row>
        <row r="246">
          <cell r="W246" t="b">
            <v>0</v>
          </cell>
        </row>
        <row r="247">
          <cell r="W247" t="b">
            <v>0</v>
          </cell>
        </row>
        <row r="248">
          <cell r="W248" t="b">
            <v>0</v>
          </cell>
        </row>
        <row r="249">
          <cell r="W249" t="b">
            <v>0</v>
          </cell>
        </row>
        <row r="250">
          <cell r="W250" t="b">
            <v>0</v>
          </cell>
        </row>
        <row r="251">
          <cell r="W251" t="b">
            <v>0</v>
          </cell>
        </row>
        <row r="252">
          <cell r="W252" t="b">
            <v>0</v>
          </cell>
        </row>
        <row r="253">
          <cell r="W253" t="b">
            <v>0</v>
          </cell>
        </row>
        <row r="254">
          <cell r="W254" t="b">
            <v>0</v>
          </cell>
        </row>
        <row r="255">
          <cell r="W255" t="b">
            <v>0</v>
          </cell>
        </row>
        <row r="256">
          <cell r="W256" t="b">
            <v>0</v>
          </cell>
        </row>
        <row r="257">
          <cell r="W257" t="b">
            <v>0</v>
          </cell>
        </row>
        <row r="258">
          <cell r="W258" t="b">
            <v>0</v>
          </cell>
        </row>
        <row r="259">
          <cell r="W259" t="b">
            <v>0</v>
          </cell>
        </row>
        <row r="260">
          <cell r="W260" t="b">
            <v>0</v>
          </cell>
        </row>
        <row r="261">
          <cell r="W261" t="b">
            <v>0</v>
          </cell>
        </row>
        <row r="262">
          <cell r="W262" t="b">
            <v>0</v>
          </cell>
        </row>
        <row r="263">
          <cell r="W263" t="b">
            <v>0</v>
          </cell>
        </row>
        <row r="264">
          <cell r="W264" t="b">
            <v>0</v>
          </cell>
        </row>
        <row r="265">
          <cell r="W265" t="b">
            <v>0</v>
          </cell>
        </row>
        <row r="266">
          <cell r="W266" t="b">
            <v>0</v>
          </cell>
        </row>
        <row r="267">
          <cell r="W267" t="b">
            <v>0</v>
          </cell>
        </row>
        <row r="268">
          <cell r="W268" t="b">
            <v>0</v>
          </cell>
        </row>
        <row r="269">
          <cell r="W269" t="b">
            <v>0</v>
          </cell>
        </row>
        <row r="270">
          <cell r="W270" t="b">
            <v>0</v>
          </cell>
        </row>
        <row r="271">
          <cell r="W271" t="b">
            <v>0</v>
          </cell>
        </row>
        <row r="272">
          <cell r="W272" t="b">
            <v>0</v>
          </cell>
        </row>
        <row r="273">
          <cell r="W273" t="b">
            <v>0</v>
          </cell>
        </row>
        <row r="274">
          <cell r="W274" t="b">
            <v>0</v>
          </cell>
        </row>
        <row r="275">
          <cell r="W275" t="b">
            <v>0</v>
          </cell>
        </row>
        <row r="276">
          <cell r="W276" t="b">
            <v>0</v>
          </cell>
        </row>
        <row r="277">
          <cell r="W277" t="b">
            <v>0</v>
          </cell>
        </row>
        <row r="278">
          <cell r="W278" t="b">
            <v>0</v>
          </cell>
        </row>
        <row r="279">
          <cell r="W279" t="b">
            <v>0</v>
          </cell>
        </row>
        <row r="280">
          <cell r="W280" t="b">
            <v>0</v>
          </cell>
        </row>
        <row r="281">
          <cell r="W281" t="b">
            <v>0</v>
          </cell>
        </row>
        <row r="282">
          <cell r="W282" t="b">
            <v>0</v>
          </cell>
        </row>
        <row r="283">
          <cell r="W283" t="b">
            <v>0</v>
          </cell>
        </row>
        <row r="284">
          <cell r="W284" t="b">
            <v>0</v>
          </cell>
        </row>
        <row r="285">
          <cell r="W285" t="b">
            <v>0</v>
          </cell>
        </row>
        <row r="286">
          <cell r="W286" t="b">
            <v>0</v>
          </cell>
        </row>
        <row r="287">
          <cell r="W287" t="b">
            <v>0</v>
          </cell>
        </row>
        <row r="288">
          <cell r="W288" t="b">
            <v>0</v>
          </cell>
        </row>
        <row r="289">
          <cell r="W289" t="b">
            <v>0</v>
          </cell>
        </row>
        <row r="290">
          <cell r="W290" t="b">
            <v>0</v>
          </cell>
        </row>
        <row r="291">
          <cell r="W291" t="b">
            <v>0</v>
          </cell>
        </row>
        <row r="292">
          <cell r="W292" t="b">
            <v>0</v>
          </cell>
        </row>
        <row r="293">
          <cell r="W293" t="b">
            <v>0</v>
          </cell>
        </row>
        <row r="294">
          <cell r="W294" t="b">
            <v>0</v>
          </cell>
        </row>
        <row r="295">
          <cell r="W295" t="b">
            <v>0</v>
          </cell>
        </row>
        <row r="296">
          <cell r="W296" t="b">
            <v>0</v>
          </cell>
        </row>
        <row r="297">
          <cell r="W297" t="b">
            <v>0</v>
          </cell>
        </row>
        <row r="298">
          <cell r="W298" t="b">
            <v>0</v>
          </cell>
        </row>
        <row r="299">
          <cell r="W299" t="b">
            <v>0</v>
          </cell>
        </row>
        <row r="300">
          <cell r="W300" t="b">
            <v>0</v>
          </cell>
        </row>
        <row r="301">
          <cell r="W301" t="b">
            <v>0</v>
          </cell>
        </row>
        <row r="302">
          <cell r="W302" t="b">
            <v>0</v>
          </cell>
        </row>
        <row r="303">
          <cell r="W303" t="b">
            <v>0</v>
          </cell>
        </row>
        <row r="304">
          <cell r="W304" t="b">
            <v>0</v>
          </cell>
        </row>
        <row r="305">
          <cell r="W305" t="b">
            <v>0</v>
          </cell>
        </row>
        <row r="306">
          <cell r="W306" t="b">
            <v>0</v>
          </cell>
        </row>
        <row r="307">
          <cell r="W307" t="b">
            <v>0</v>
          </cell>
        </row>
        <row r="308">
          <cell r="W308" t="b">
            <v>0</v>
          </cell>
        </row>
        <row r="309">
          <cell r="W309" t="b">
            <v>0</v>
          </cell>
        </row>
        <row r="310">
          <cell r="W310" t="b">
            <v>0</v>
          </cell>
        </row>
        <row r="311">
          <cell r="W311" t="b">
            <v>0</v>
          </cell>
        </row>
        <row r="312">
          <cell r="W312" t="b">
            <v>0</v>
          </cell>
        </row>
        <row r="313">
          <cell r="W313" t="b">
            <v>0</v>
          </cell>
        </row>
        <row r="314">
          <cell r="W314" t="b">
            <v>0</v>
          </cell>
        </row>
        <row r="315">
          <cell r="W315" t="b">
            <v>0</v>
          </cell>
        </row>
        <row r="316">
          <cell r="W316" t="b">
            <v>0</v>
          </cell>
        </row>
        <row r="317">
          <cell r="W317" t="b">
            <v>0</v>
          </cell>
        </row>
        <row r="318">
          <cell r="W318" t="b">
            <v>0</v>
          </cell>
        </row>
        <row r="319">
          <cell r="W319" t="b">
            <v>0</v>
          </cell>
        </row>
        <row r="320">
          <cell r="W320" t="b">
            <v>0</v>
          </cell>
        </row>
        <row r="321">
          <cell r="W321" t="b">
            <v>0</v>
          </cell>
        </row>
        <row r="322">
          <cell r="W322" t="b">
            <v>0</v>
          </cell>
        </row>
        <row r="323">
          <cell r="W323" t="b">
            <v>0</v>
          </cell>
        </row>
        <row r="324">
          <cell r="W324" t="b">
            <v>0</v>
          </cell>
        </row>
        <row r="325">
          <cell r="W325" t="b">
            <v>0</v>
          </cell>
        </row>
        <row r="326">
          <cell r="W326" t="b">
            <v>0</v>
          </cell>
        </row>
        <row r="327">
          <cell r="W327" t="b">
            <v>0</v>
          </cell>
        </row>
        <row r="328">
          <cell r="W328" t="b">
            <v>0</v>
          </cell>
        </row>
        <row r="329">
          <cell r="W329" t="b">
            <v>0</v>
          </cell>
        </row>
        <row r="330">
          <cell r="W330" t="b">
            <v>0</v>
          </cell>
        </row>
        <row r="331">
          <cell r="W331" t="b">
            <v>0</v>
          </cell>
        </row>
        <row r="332">
          <cell r="W332" t="b">
            <v>0</v>
          </cell>
        </row>
        <row r="333">
          <cell r="W333" t="b">
            <v>0</v>
          </cell>
        </row>
        <row r="334">
          <cell r="W334" t="b">
            <v>0</v>
          </cell>
        </row>
        <row r="335">
          <cell r="W335" t="b">
            <v>0</v>
          </cell>
        </row>
        <row r="336">
          <cell r="W336" t="b">
            <v>0</v>
          </cell>
        </row>
        <row r="337">
          <cell r="W337" t="b">
            <v>0</v>
          </cell>
        </row>
        <row r="338">
          <cell r="W338" t="b">
            <v>0</v>
          </cell>
        </row>
        <row r="339">
          <cell r="W339" t="b">
            <v>0</v>
          </cell>
        </row>
        <row r="340">
          <cell r="W340" t="b">
            <v>0</v>
          </cell>
        </row>
        <row r="341">
          <cell r="W341" t="b">
            <v>0</v>
          </cell>
        </row>
        <row r="342">
          <cell r="W342" t="b">
            <v>0</v>
          </cell>
        </row>
        <row r="343">
          <cell r="W343" t="b">
            <v>0</v>
          </cell>
        </row>
        <row r="344">
          <cell r="W344" t="b">
            <v>0</v>
          </cell>
        </row>
        <row r="345">
          <cell r="W345" t="b">
            <v>0</v>
          </cell>
        </row>
        <row r="346">
          <cell r="W346" t="b">
            <v>0</v>
          </cell>
        </row>
        <row r="347">
          <cell r="W347" t="b">
            <v>0</v>
          </cell>
        </row>
        <row r="348">
          <cell r="W348" t="b">
            <v>0</v>
          </cell>
        </row>
        <row r="349">
          <cell r="W349" t="b">
            <v>0</v>
          </cell>
        </row>
        <row r="350">
          <cell r="W350" t="b">
            <v>0</v>
          </cell>
        </row>
        <row r="351">
          <cell r="W351" t="b">
            <v>0</v>
          </cell>
        </row>
        <row r="352">
          <cell r="W352" t="b">
            <v>0</v>
          </cell>
        </row>
        <row r="353">
          <cell r="W353" t="b">
            <v>0</v>
          </cell>
        </row>
        <row r="354">
          <cell r="W354" t="b">
            <v>0</v>
          </cell>
        </row>
        <row r="355">
          <cell r="W355" t="b">
            <v>0</v>
          </cell>
        </row>
        <row r="356">
          <cell r="W356" t="b">
            <v>0</v>
          </cell>
        </row>
        <row r="357">
          <cell r="W357" t="b">
            <v>0</v>
          </cell>
        </row>
        <row r="358">
          <cell r="W358" t="b">
            <v>0</v>
          </cell>
        </row>
        <row r="359">
          <cell r="W359" t="b">
            <v>0</v>
          </cell>
        </row>
        <row r="360">
          <cell r="W360" t="b">
            <v>0</v>
          </cell>
        </row>
        <row r="361">
          <cell r="W361" t="b">
            <v>0</v>
          </cell>
        </row>
        <row r="362">
          <cell r="W362" t="b">
            <v>0</v>
          </cell>
        </row>
        <row r="363">
          <cell r="W363" t="b">
            <v>0</v>
          </cell>
        </row>
        <row r="364">
          <cell r="W364" t="b">
            <v>0</v>
          </cell>
        </row>
        <row r="365">
          <cell r="W365" t="b">
            <v>0</v>
          </cell>
        </row>
        <row r="366">
          <cell r="W366" t="b">
            <v>0</v>
          </cell>
        </row>
        <row r="367">
          <cell r="W367" t="b">
            <v>0</v>
          </cell>
        </row>
        <row r="368">
          <cell r="W368" t="b">
            <v>0</v>
          </cell>
        </row>
        <row r="369">
          <cell r="W369" t="b">
            <v>0</v>
          </cell>
        </row>
        <row r="370">
          <cell r="W370" t="b">
            <v>0</v>
          </cell>
        </row>
        <row r="371">
          <cell r="W371" t="b">
            <v>0</v>
          </cell>
        </row>
        <row r="372">
          <cell r="W372" t="b">
            <v>0</v>
          </cell>
        </row>
        <row r="373">
          <cell r="W373" t="b">
            <v>0</v>
          </cell>
        </row>
        <row r="374">
          <cell r="W374" t="b">
            <v>0</v>
          </cell>
        </row>
        <row r="375">
          <cell r="W375" t="b">
            <v>0</v>
          </cell>
        </row>
        <row r="376">
          <cell r="W376" t="b">
            <v>0</v>
          </cell>
        </row>
        <row r="377">
          <cell r="W377" t="b">
            <v>0</v>
          </cell>
        </row>
        <row r="378">
          <cell r="W378" t="b">
            <v>0</v>
          </cell>
        </row>
        <row r="379">
          <cell r="W379" t="b">
            <v>0</v>
          </cell>
        </row>
        <row r="380">
          <cell r="W380" t="b">
            <v>0</v>
          </cell>
        </row>
        <row r="381">
          <cell r="W381" t="b">
            <v>0</v>
          </cell>
        </row>
        <row r="382">
          <cell r="W382" t="b">
            <v>0</v>
          </cell>
        </row>
        <row r="383">
          <cell r="W383" t="b">
            <v>0</v>
          </cell>
        </row>
        <row r="384">
          <cell r="W384" t="b">
            <v>0</v>
          </cell>
        </row>
        <row r="385">
          <cell r="W385" t="b">
            <v>0</v>
          </cell>
        </row>
        <row r="386">
          <cell r="W386" t="b">
            <v>0</v>
          </cell>
        </row>
        <row r="387">
          <cell r="W387" t="b">
            <v>0</v>
          </cell>
        </row>
        <row r="388">
          <cell r="W388" t="b">
            <v>0</v>
          </cell>
        </row>
        <row r="389">
          <cell r="W389" t="b">
            <v>0</v>
          </cell>
        </row>
        <row r="390">
          <cell r="W390" t="b">
            <v>0</v>
          </cell>
        </row>
        <row r="391">
          <cell r="W391" t="b">
            <v>0</v>
          </cell>
        </row>
        <row r="392">
          <cell r="W392" t="b">
            <v>0</v>
          </cell>
        </row>
        <row r="393">
          <cell r="W393" t="b">
            <v>0</v>
          </cell>
        </row>
        <row r="394">
          <cell r="W394" t="b">
            <v>0</v>
          </cell>
        </row>
        <row r="395">
          <cell r="W395" t="b">
            <v>0</v>
          </cell>
        </row>
        <row r="396">
          <cell r="W396" t="b">
            <v>0</v>
          </cell>
        </row>
        <row r="397">
          <cell r="W397" t="b">
            <v>0</v>
          </cell>
        </row>
        <row r="398">
          <cell r="W398" t="b">
            <v>0</v>
          </cell>
        </row>
        <row r="399">
          <cell r="W399" t="b">
            <v>0</v>
          </cell>
        </row>
        <row r="400">
          <cell r="W400" t="b">
            <v>0</v>
          </cell>
        </row>
        <row r="401">
          <cell r="W401" t="b">
            <v>0</v>
          </cell>
        </row>
        <row r="402">
          <cell r="W402" t="b">
            <v>0</v>
          </cell>
        </row>
        <row r="403">
          <cell r="W403" t="b">
            <v>0</v>
          </cell>
        </row>
        <row r="404">
          <cell r="W404" t="b">
            <v>0</v>
          </cell>
        </row>
        <row r="405">
          <cell r="W405" t="b">
            <v>0</v>
          </cell>
        </row>
        <row r="406">
          <cell r="W406" t="b">
            <v>0</v>
          </cell>
        </row>
        <row r="407">
          <cell r="W407" t="b">
            <v>0</v>
          </cell>
        </row>
        <row r="408">
          <cell r="W408" t="b">
            <v>0</v>
          </cell>
        </row>
        <row r="409">
          <cell r="W409" t="b">
            <v>0</v>
          </cell>
        </row>
        <row r="410">
          <cell r="W410" t="b">
            <v>0</v>
          </cell>
        </row>
        <row r="411">
          <cell r="W411" t="b">
            <v>0</v>
          </cell>
        </row>
        <row r="412">
          <cell r="W412" t="b">
            <v>0</v>
          </cell>
        </row>
        <row r="413">
          <cell r="W413" t="b">
            <v>0</v>
          </cell>
        </row>
        <row r="414">
          <cell r="W414" t="b">
            <v>0</v>
          </cell>
        </row>
        <row r="415">
          <cell r="W415" t="b">
            <v>0</v>
          </cell>
        </row>
        <row r="416">
          <cell r="W416" t="b">
            <v>0</v>
          </cell>
        </row>
        <row r="417">
          <cell r="W417" t="b">
            <v>0</v>
          </cell>
        </row>
        <row r="418">
          <cell r="W418" t="b">
            <v>0</v>
          </cell>
        </row>
        <row r="419">
          <cell r="W419" t="b">
            <v>0</v>
          </cell>
        </row>
        <row r="420">
          <cell r="W420" t="b">
            <v>0</v>
          </cell>
        </row>
        <row r="421">
          <cell r="W421" t="b">
            <v>0</v>
          </cell>
        </row>
        <row r="422">
          <cell r="W422" t="b">
            <v>0</v>
          </cell>
        </row>
        <row r="423">
          <cell r="W423" t="b">
            <v>0</v>
          </cell>
        </row>
        <row r="424">
          <cell r="W424" t="b">
            <v>0</v>
          </cell>
        </row>
        <row r="425">
          <cell r="W425" t="b">
            <v>0</v>
          </cell>
        </row>
        <row r="426">
          <cell r="W426" t="b">
            <v>0</v>
          </cell>
        </row>
        <row r="427">
          <cell r="W427" t="b">
            <v>0</v>
          </cell>
        </row>
        <row r="428">
          <cell r="W428" t="b">
            <v>0</v>
          </cell>
        </row>
        <row r="429">
          <cell r="W429" t="b">
            <v>0</v>
          </cell>
        </row>
        <row r="430">
          <cell r="W430" t="b">
            <v>0</v>
          </cell>
        </row>
        <row r="431">
          <cell r="W431" t="b">
            <v>0</v>
          </cell>
        </row>
        <row r="432">
          <cell r="W432" t="b">
            <v>0</v>
          </cell>
        </row>
        <row r="433">
          <cell r="W433" t="b">
            <v>0</v>
          </cell>
        </row>
        <row r="434">
          <cell r="W434" t="b">
            <v>0</v>
          </cell>
        </row>
        <row r="435">
          <cell r="W435" t="b">
            <v>0</v>
          </cell>
        </row>
        <row r="436">
          <cell r="W436" t="b">
            <v>0</v>
          </cell>
        </row>
        <row r="437">
          <cell r="W437" t="b">
            <v>0</v>
          </cell>
        </row>
        <row r="438">
          <cell r="W438" t="b">
            <v>0</v>
          </cell>
        </row>
        <row r="439">
          <cell r="W439" t="b">
            <v>0</v>
          </cell>
        </row>
        <row r="440">
          <cell r="W440" t="b">
            <v>0</v>
          </cell>
        </row>
        <row r="441">
          <cell r="W441" t="b">
            <v>0</v>
          </cell>
        </row>
        <row r="442">
          <cell r="W442" t="b">
            <v>0</v>
          </cell>
        </row>
        <row r="443">
          <cell r="W443" t="b">
            <v>0</v>
          </cell>
        </row>
        <row r="444">
          <cell r="W444" t="b">
            <v>0</v>
          </cell>
        </row>
        <row r="445">
          <cell r="W445" t="b">
            <v>0</v>
          </cell>
        </row>
        <row r="446">
          <cell r="W446" t="b">
            <v>0</v>
          </cell>
        </row>
        <row r="447">
          <cell r="W447" t="b">
            <v>0</v>
          </cell>
        </row>
        <row r="448">
          <cell r="W448" t="b">
            <v>0</v>
          </cell>
        </row>
        <row r="449">
          <cell r="W449" t="b">
            <v>0</v>
          </cell>
        </row>
        <row r="450">
          <cell r="W450" t="b">
            <v>0</v>
          </cell>
        </row>
        <row r="451">
          <cell r="W451" t="b">
            <v>0</v>
          </cell>
        </row>
        <row r="452">
          <cell r="W452" t="b">
            <v>0</v>
          </cell>
        </row>
        <row r="453">
          <cell r="W453" t="b">
            <v>0</v>
          </cell>
        </row>
        <row r="454">
          <cell r="W454" t="b">
            <v>0</v>
          </cell>
        </row>
        <row r="455">
          <cell r="W455" t="b">
            <v>0</v>
          </cell>
        </row>
        <row r="456">
          <cell r="W456" t="b">
            <v>0</v>
          </cell>
        </row>
        <row r="457">
          <cell r="W457" t="b">
            <v>0</v>
          </cell>
        </row>
        <row r="458">
          <cell r="W458" t="b">
            <v>0</v>
          </cell>
        </row>
        <row r="459">
          <cell r="W459" t="b">
            <v>0</v>
          </cell>
        </row>
        <row r="460">
          <cell r="W460" t="b">
            <v>0</v>
          </cell>
        </row>
        <row r="461">
          <cell r="W461" t="b">
            <v>0</v>
          </cell>
        </row>
        <row r="462">
          <cell r="W462" t="b">
            <v>0</v>
          </cell>
        </row>
        <row r="463">
          <cell r="W463" t="b">
            <v>0</v>
          </cell>
        </row>
        <row r="464">
          <cell r="W464" t="b">
            <v>0</v>
          </cell>
        </row>
        <row r="465">
          <cell r="W465" t="b">
            <v>0</v>
          </cell>
        </row>
        <row r="466">
          <cell r="W466" t="b">
            <v>0</v>
          </cell>
        </row>
        <row r="467">
          <cell r="W467" t="b">
            <v>0</v>
          </cell>
        </row>
        <row r="468">
          <cell r="W468" t="b">
            <v>0</v>
          </cell>
        </row>
        <row r="469">
          <cell r="W469" t="b">
            <v>0</v>
          </cell>
        </row>
        <row r="470">
          <cell r="W470" t="b">
            <v>0</v>
          </cell>
        </row>
        <row r="471">
          <cell r="W471" t="b">
            <v>0</v>
          </cell>
        </row>
        <row r="472">
          <cell r="W472" t="b">
            <v>0</v>
          </cell>
        </row>
        <row r="473">
          <cell r="W473" t="b">
            <v>0</v>
          </cell>
        </row>
        <row r="474">
          <cell r="W474" t="b">
            <v>0</v>
          </cell>
        </row>
        <row r="475">
          <cell r="W475" t="b">
            <v>0</v>
          </cell>
        </row>
        <row r="476">
          <cell r="W476" t="b">
            <v>0</v>
          </cell>
        </row>
        <row r="477">
          <cell r="W477" t="b">
            <v>0</v>
          </cell>
        </row>
        <row r="478">
          <cell r="W478" t="b">
            <v>0</v>
          </cell>
        </row>
        <row r="479">
          <cell r="W479" t="b">
            <v>0</v>
          </cell>
        </row>
        <row r="480">
          <cell r="W480" t="b">
            <v>0</v>
          </cell>
        </row>
        <row r="481">
          <cell r="W481" t="b">
            <v>0</v>
          </cell>
        </row>
        <row r="482">
          <cell r="W482" t="b">
            <v>0</v>
          </cell>
        </row>
        <row r="483">
          <cell r="W483" t="b">
            <v>0</v>
          </cell>
        </row>
        <row r="484">
          <cell r="W484" t="b">
            <v>0</v>
          </cell>
        </row>
        <row r="485">
          <cell r="W485" t="b">
            <v>0</v>
          </cell>
        </row>
        <row r="486">
          <cell r="W486" t="b">
            <v>0</v>
          </cell>
        </row>
        <row r="487">
          <cell r="W487" t="b">
            <v>0</v>
          </cell>
        </row>
        <row r="488">
          <cell r="W488" t="b">
            <v>0</v>
          </cell>
        </row>
        <row r="489">
          <cell r="W489" t="b">
            <v>0</v>
          </cell>
        </row>
        <row r="490">
          <cell r="W490" t="b">
            <v>0</v>
          </cell>
        </row>
        <row r="491">
          <cell r="W491" t="b">
            <v>0</v>
          </cell>
        </row>
        <row r="492">
          <cell r="W492" t="b">
            <v>0</v>
          </cell>
        </row>
        <row r="493">
          <cell r="W493" t="b">
            <v>0</v>
          </cell>
        </row>
        <row r="494">
          <cell r="W494" t="b">
            <v>0</v>
          </cell>
        </row>
        <row r="495">
          <cell r="W495" t="b">
            <v>0</v>
          </cell>
        </row>
        <row r="496">
          <cell r="W496" t="b">
            <v>0</v>
          </cell>
        </row>
        <row r="497">
          <cell r="W497" t="b">
            <v>0</v>
          </cell>
        </row>
        <row r="498">
          <cell r="W498" t="b">
            <v>0</v>
          </cell>
        </row>
        <row r="499">
          <cell r="W499" t="b">
            <v>0</v>
          </cell>
        </row>
        <row r="500">
          <cell r="W500" t="b">
            <v>0</v>
          </cell>
        </row>
        <row r="501">
          <cell r="W501" t="b">
            <v>0</v>
          </cell>
        </row>
        <row r="502">
          <cell r="W502" t="b">
            <v>0</v>
          </cell>
        </row>
        <row r="503">
          <cell r="W503" t="b">
            <v>0</v>
          </cell>
        </row>
        <row r="504">
          <cell r="W504" t="b">
            <v>0</v>
          </cell>
        </row>
        <row r="505">
          <cell r="W505" t="b">
            <v>0</v>
          </cell>
        </row>
        <row r="506">
          <cell r="W506" t="b">
            <v>0</v>
          </cell>
        </row>
        <row r="507">
          <cell r="W507" t="b">
            <v>0</v>
          </cell>
        </row>
        <row r="508">
          <cell r="W508" t="b">
            <v>0</v>
          </cell>
        </row>
        <row r="509">
          <cell r="W509" t="b">
            <v>0</v>
          </cell>
        </row>
        <row r="510">
          <cell r="W510" t="b">
            <v>0</v>
          </cell>
        </row>
        <row r="511">
          <cell r="W511" t="b">
            <v>0</v>
          </cell>
        </row>
        <row r="512">
          <cell r="W512" t="b">
            <v>0</v>
          </cell>
        </row>
        <row r="513">
          <cell r="W513" t="b">
            <v>0</v>
          </cell>
        </row>
        <row r="514">
          <cell r="W514" t="b">
            <v>0</v>
          </cell>
        </row>
        <row r="515">
          <cell r="W515" t="b">
            <v>0</v>
          </cell>
        </row>
        <row r="516">
          <cell r="W516" t="b">
            <v>0</v>
          </cell>
        </row>
        <row r="517">
          <cell r="W517" t="b">
            <v>0</v>
          </cell>
        </row>
        <row r="518">
          <cell r="W518" t="b">
            <v>0</v>
          </cell>
        </row>
        <row r="519">
          <cell r="W519" t="b">
            <v>0</v>
          </cell>
        </row>
        <row r="520">
          <cell r="W520" t="b">
            <v>0</v>
          </cell>
        </row>
        <row r="521">
          <cell r="W521" t="b">
            <v>0</v>
          </cell>
        </row>
        <row r="522">
          <cell r="W522" t="b">
            <v>0</v>
          </cell>
        </row>
        <row r="523">
          <cell r="W523" t="b">
            <v>0</v>
          </cell>
        </row>
        <row r="524">
          <cell r="W524" t="b">
            <v>0</v>
          </cell>
        </row>
        <row r="525">
          <cell r="W525" t="b">
            <v>0</v>
          </cell>
        </row>
        <row r="526">
          <cell r="W526" t="b">
            <v>0</v>
          </cell>
        </row>
        <row r="527">
          <cell r="W527" t="b">
            <v>0</v>
          </cell>
        </row>
        <row r="528">
          <cell r="W528" t="b">
            <v>0</v>
          </cell>
        </row>
        <row r="529">
          <cell r="W529" t="b">
            <v>0</v>
          </cell>
        </row>
        <row r="530">
          <cell r="W530" t="b">
            <v>0</v>
          </cell>
        </row>
        <row r="531">
          <cell r="W531" t="b">
            <v>0</v>
          </cell>
        </row>
        <row r="532">
          <cell r="W532" t="b">
            <v>0</v>
          </cell>
        </row>
        <row r="533">
          <cell r="W533" t="b">
            <v>0</v>
          </cell>
        </row>
        <row r="534">
          <cell r="W534" t="b">
            <v>0</v>
          </cell>
        </row>
        <row r="535">
          <cell r="W535" t="b">
            <v>0</v>
          </cell>
        </row>
        <row r="536">
          <cell r="W536" t="b">
            <v>0</v>
          </cell>
        </row>
        <row r="537">
          <cell r="W537" t="b">
            <v>0</v>
          </cell>
        </row>
        <row r="538">
          <cell r="W538" t="b">
            <v>0</v>
          </cell>
        </row>
        <row r="539">
          <cell r="W539" t="b">
            <v>0</v>
          </cell>
        </row>
        <row r="540">
          <cell r="W540" t="b">
            <v>0</v>
          </cell>
        </row>
        <row r="541">
          <cell r="W541" t="b">
            <v>0</v>
          </cell>
        </row>
        <row r="542">
          <cell r="W542" t="b">
            <v>0</v>
          </cell>
        </row>
        <row r="543">
          <cell r="W543" t="b">
            <v>0</v>
          </cell>
        </row>
        <row r="544">
          <cell r="W544" t="b">
            <v>0</v>
          </cell>
        </row>
        <row r="545">
          <cell r="W545" t="b">
            <v>0</v>
          </cell>
        </row>
        <row r="546">
          <cell r="W546" t="b">
            <v>0</v>
          </cell>
        </row>
        <row r="547">
          <cell r="W547" t="b">
            <v>0</v>
          </cell>
        </row>
        <row r="548">
          <cell r="W548" t="b">
            <v>0</v>
          </cell>
        </row>
        <row r="549">
          <cell r="W549" t="b">
            <v>0</v>
          </cell>
        </row>
        <row r="550">
          <cell r="W550" t="b">
            <v>0</v>
          </cell>
        </row>
        <row r="551">
          <cell r="W551" t="b">
            <v>0</v>
          </cell>
        </row>
        <row r="552">
          <cell r="W552" t="b">
            <v>0</v>
          </cell>
        </row>
        <row r="553">
          <cell r="W553" t="b">
            <v>0</v>
          </cell>
        </row>
        <row r="554">
          <cell r="W554" t="b">
            <v>0</v>
          </cell>
        </row>
        <row r="555">
          <cell r="W555" t="b">
            <v>0</v>
          </cell>
        </row>
        <row r="556">
          <cell r="W556" t="b">
            <v>0</v>
          </cell>
        </row>
        <row r="557">
          <cell r="W557" t="b">
            <v>0</v>
          </cell>
        </row>
        <row r="558">
          <cell r="W558" t="b">
            <v>0</v>
          </cell>
        </row>
        <row r="559">
          <cell r="W559" t="b">
            <v>0</v>
          </cell>
        </row>
        <row r="560">
          <cell r="W560" t="b">
            <v>0</v>
          </cell>
        </row>
        <row r="561">
          <cell r="W561" t="b">
            <v>0</v>
          </cell>
        </row>
        <row r="562">
          <cell r="W562" t="b">
            <v>0</v>
          </cell>
        </row>
        <row r="563">
          <cell r="W563" t="b">
            <v>0</v>
          </cell>
        </row>
        <row r="564">
          <cell r="W564" t="b">
            <v>0</v>
          </cell>
        </row>
        <row r="565">
          <cell r="W565" t="b">
            <v>0</v>
          </cell>
        </row>
        <row r="566">
          <cell r="W566" t="b">
            <v>0</v>
          </cell>
        </row>
        <row r="567">
          <cell r="W567" t="b">
            <v>0</v>
          </cell>
        </row>
        <row r="568">
          <cell r="W568" t="b">
            <v>0</v>
          </cell>
        </row>
        <row r="569">
          <cell r="W569" t="b">
            <v>0</v>
          </cell>
        </row>
        <row r="570">
          <cell r="W570" t="b">
            <v>0</v>
          </cell>
        </row>
        <row r="571">
          <cell r="W571" t="b">
            <v>0</v>
          </cell>
        </row>
        <row r="572">
          <cell r="W572" t="b">
            <v>0</v>
          </cell>
        </row>
        <row r="573">
          <cell r="W573" t="b">
            <v>0</v>
          </cell>
        </row>
        <row r="574">
          <cell r="W574" t="b">
            <v>0</v>
          </cell>
        </row>
        <row r="575">
          <cell r="W575" t="b">
            <v>0</v>
          </cell>
        </row>
        <row r="576">
          <cell r="W576" t="b">
            <v>0</v>
          </cell>
        </row>
        <row r="577">
          <cell r="W577" t="b">
            <v>0</v>
          </cell>
        </row>
        <row r="578">
          <cell r="W578" t="b">
            <v>0</v>
          </cell>
        </row>
        <row r="579">
          <cell r="W579" t="b">
            <v>0</v>
          </cell>
        </row>
        <row r="580">
          <cell r="W580" t="b">
            <v>0</v>
          </cell>
        </row>
        <row r="581">
          <cell r="W581" t="b">
            <v>0</v>
          </cell>
        </row>
        <row r="582">
          <cell r="W582" t="b">
            <v>0</v>
          </cell>
        </row>
        <row r="583">
          <cell r="W583" t="b">
            <v>0</v>
          </cell>
        </row>
        <row r="584">
          <cell r="W584" t="b">
            <v>0</v>
          </cell>
        </row>
        <row r="585">
          <cell r="W585" t="b">
            <v>0</v>
          </cell>
        </row>
        <row r="586">
          <cell r="W586" t="b">
            <v>0</v>
          </cell>
        </row>
        <row r="587">
          <cell r="W587" t="b">
            <v>0</v>
          </cell>
        </row>
        <row r="588">
          <cell r="W588" t="b">
            <v>0</v>
          </cell>
        </row>
        <row r="589">
          <cell r="W589" t="b">
            <v>0</v>
          </cell>
        </row>
        <row r="590">
          <cell r="W590" t="b">
            <v>0</v>
          </cell>
        </row>
        <row r="591">
          <cell r="W591" t="b">
            <v>0</v>
          </cell>
        </row>
        <row r="592">
          <cell r="W592" t="b">
            <v>0</v>
          </cell>
        </row>
        <row r="593">
          <cell r="W593" t="b">
            <v>0</v>
          </cell>
        </row>
        <row r="594">
          <cell r="W594" t="b">
            <v>0</v>
          </cell>
        </row>
        <row r="595">
          <cell r="W595" t="b">
            <v>0</v>
          </cell>
        </row>
        <row r="596">
          <cell r="W596" t="b">
            <v>0</v>
          </cell>
        </row>
        <row r="597">
          <cell r="W597" t="b">
            <v>0</v>
          </cell>
        </row>
        <row r="598">
          <cell r="W598" t="b">
            <v>0</v>
          </cell>
        </row>
        <row r="599">
          <cell r="W599" t="b">
            <v>0</v>
          </cell>
        </row>
        <row r="600">
          <cell r="W600" t="b">
            <v>0</v>
          </cell>
        </row>
        <row r="601">
          <cell r="W601" t="b">
            <v>0</v>
          </cell>
        </row>
        <row r="602">
          <cell r="W602" t="b">
            <v>0</v>
          </cell>
        </row>
        <row r="603">
          <cell r="W603" t="b">
            <v>0</v>
          </cell>
        </row>
        <row r="604">
          <cell r="W604" t="b">
            <v>0</v>
          </cell>
        </row>
        <row r="605">
          <cell r="W605" t="b">
            <v>0</v>
          </cell>
        </row>
        <row r="606">
          <cell r="W606" t="b">
            <v>0</v>
          </cell>
        </row>
        <row r="607">
          <cell r="W607" t="b">
            <v>0</v>
          </cell>
        </row>
        <row r="608">
          <cell r="W608" t="b">
            <v>0</v>
          </cell>
        </row>
        <row r="609">
          <cell r="W609" t="b">
            <v>0</v>
          </cell>
        </row>
        <row r="610">
          <cell r="W610" t="b">
            <v>0</v>
          </cell>
        </row>
        <row r="611">
          <cell r="W611" t="b">
            <v>0</v>
          </cell>
        </row>
        <row r="612">
          <cell r="W612" t="b">
            <v>0</v>
          </cell>
        </row>
        <row r="613">
          <cell r="W613" t="b">
            <v>0</v>
          </cell>
        </row>
        <row r="614">
          <cell r="W614" t="b">
            <v>0</v>
          </cell>
        </row>
        <row r="615">
          <cell r="W615" t="b">
            <v>0</v>
          </cell>
        </row>
        <row r="616">
          <cell r="W616" t="b">
            <v>0</v>
          </cell>
        </row>
        <row r="617">
          <cell r="W617" t="b">
            <v>0</v>
          </cell>
        </row>
        <row r="618">
          <cell r="W618" t="b">
            <v>0</v>
          </cell>
        </row>
        <row r="619">
          <cell r="W619" t="b">
            <v>0</v>
          </cell>
        </row>
        <row r="620">
          <cell r="W620" t="b">
            <v>0</v>
          </cell>
        </row>
        <row r="621">
          <cell r="W621" t="b">
            <v>0</v>
          </cell>
        </row>
        <row r="622">
          <cell r="W622" t="b">
            <v>0</v>
          </cell>
        </row>
        <row r="623">
          <cell r="W623" t="b">
            <v>0</v>
          </cell>
        </row>
        <row r="624">
          <cell r="W624" t="b">
            <v>0</v>
          </cell>
        </row>
        <row r="625">
          <cell r="W625" t="b">
            <v>0</v>
          </cell>
        </row>
        <row r="626">
          <cell r="W626" t="b">
            <v>0</v>
          </cell>
        </row>
        <row r="627">
          <cell r="W627" t="b">
            <v>0</v>
          </cell>
        </row>
        <row r="628">
          <cell r="W628" t="b">
            <v>0</v>
          </cell>
        </row>
        <row r="629">
          <cell r="W629" t="b">
            <v>0</v>
          </cell>
        </row>
        <row r="630">
          <cell r="W630" t="b">
            <v>0</v>
          </cell>
        </row>
        <row r="631">
          <cell r="W631" t="b">
            <v>0</v>
          </cell>
        </row>
        <row r="632">
          <cell r="W632" t="b">
            <v>0</v>
          </cell>
        </row>
        <row r="633">
          <cell r="W633" t="b">
            <v>0</v>
          </cell>
        </row>
        <row r="634">
          <cell r="W634" t="b">
            <v>0</v>
          </cell>
        </row>
        <row r="635">
          <cell r="W635" t="b">
            <v>0</v>
          </cell>
        </row>
        <row r="636">
          <cell r="W636" t="b">
            <v>0</v>
          </cell>
        </row>
        <row r="637">
          <cell r="W637" t="b">
            <v>0</v>
          </cell>
        </row>
        <row r="638">
          <cell r="W638" t="b">
            <v>0</v>
          </cell>
        </row>
        <row r="639">
          <cell r="W639" t="b">
            <v>0</v>
          </cell>
        </row>
        <row r="640">
          <cell r="W640" t="b">
            <v>0</v>
          </cell>
        </row>
        <row r="641">
          <cell r="W641" t="b">
            <v>0</v>
          </cell>
        </row>
        <row r="642">
          <cell r="W642" t="b">
            <v>0</v>
          </cell>
        </row>
        <row r="643">
          <cell r="W643" t="b">
            <v>0</v>
          </cell>
        </row>
        <row r="644">
          <cell r="W644" t="b">
            <v>0</v>
          </cell>
        </row>
        <row r="645">
          <cell r="W645" t="b">
            <v>0</v>
          </cell>
        </row>
        <row r="646">
          <cell r="W646" t="b">
            <v>0</v>
          </cell>
        </row>
        <row r="647">
          <cell r="W647" t="b">
            <v>0</v>
          </cell>
        </row>
        <row r="648">
          <cell r="W648" t="b">
            <v>0</v>
          </cell>
        </row>
        <row r="649">
          <cell r="W649" t="b">
            <v>0</v>
          </cell>
        </row>
        <row r="650">
          <cell r="W650" t="b">
            <v>0</v>
          </cell>
        </row>
        <row r="651">
          <cell r="W651" t="b">
            <v>0</v>
          </cell>
        </row>
        <row r="652">
          <cell r="W652" t="b">
            <v>0</v>
          </cell>
        </row>
        <row r="653">
          <cell r="W653" t="b">
            <v>0</v>
          </cell>
        </row>
        <row r="654">
          <cell r="W654" t="b">
            <v>0</v>
          </cell>
        </row>
        <row r="655">
          <cell r="W655" t="b">
            <v>0</v>
          </cell>
        </row>
        <row r="656">
          <cell r="W656" t="b">
            <v>0</v>
          </cell>
        </row>
        <row r="657">
          <cell r="W657" t="b">
            <v>0</v>
          </cell>
        </row>
        <row r="658">
          <cell r="W658" t="b">
            <v>0</v>
          </cell>
        </row>
        <row r="659">
          <cell r="W659" t="b">
            <v>0</v>
          </cell>
        </row>
        <row r="660">
          <cell r="W660" t="b">
            <v>0</v>
          </cell>
        </row>
        <row r="661">
          <cell r="W661" t="b">
            <v>0</v>
          </cell>
        </row>
        <row r="662">
          <cell r="W662" t="b">
            <v>0</v>
          </cell>
        </row>
        <row r="663">
          <cell r="W663" t="b">
            <v>0</v>
          </cell>
        </row>
        <row r="664">
          <cell r="W664" t="b">
            <v>0</v>
          </cell>
        </row>
        <row r="665">
          <cell r="W665" t="b">
            <v>0</v>
          </cell>
        </row>
        <row r="666">
          <cell r="W666" t="b">
            <v>0</v>
          </cell>
        </row>
        <row r="667">
          <cell r="W667" t="b">
            <v>0</v>
          </cell>
        </row>
        <row r="668">
          <cell r="W668" t="b">
            <v>0</v>
          </cell>
        </row>
        <row r="669">
          <cell r="W669" t="b">
            <v>0</v>
          </cell>
        </row>
        <row r="670">
          <cell r="W670" t="b">
            <v>0</v>
          </cell>
        </row>
        <row r="671">
          <cell r="W671" t="b">
            <v>0</v>
          </cell>
        </row>
        <row r="672">
          <cell r="W672" t="b">
            <v>0</v>
          </cell>
        </row>
        <row r="673">
          <cell r="W673" t="b">
            <v>0</v>
          </cell>
        </row>
        <row r="674">
          <cell r="W674" t="b">
            <v>0</v>
          </cell>
        </row>
        <row r="675">
          <cell r="W675" t="b">
            <v>0</v>
          </cell>
        </row>
        <row r="676">
          <cell r="W676" t="b">
            <v>0</v>
          </cell>
        </row>
        <row r="677">
          <cell r="W677" t="b">
            <v>0</v>
          </cell>
        </row>
        <row r="678">
          <cell r="W678" t="b">
            <v>0</v>
          </cell>
        </row>
        <row r="679">
          <cell r="W679" t="b">
            <v>0</v>
          </cell>
        </row>
        <row r="680">
          <cell r="W680" t="b">
            <v>0</v>
          </cell>
        </row>
        <row r="681">
          <cell r="W681" t="b">
            <v>0</v>
          </cell>
        </row>
        <row r="682">
          <cell r="W682" t="b">
            <v>0</v>
          </cell>
        </row>
        <row r="683">
          <cell r="W683" t="b">
            <v>0</v>
          </cell>
        </row>
        <row r="684">
          <cell r="W684" t="b">
            <v>0</v>
          </cell>
        </row>
        <row r="685">
          <cell r="W685" t="b">
            <v>0</v>
          </cell>
        </row>
        <row r="686">
          <cell r="W686" t="b">
            <v>0</v>
          </cell>
        </row>
        <row r="687">
          <cell r="W687" t="b">
            <v>0</v>
          </cell>
        </row>
        <row r="688">
          <cell r="W688" t="b">
            <v>0</v>
          </cell>
        </row>
        <row r="689">
          <cell r="W689" t="b">
            <v>0</v>
          </cell>
        </row>
        <row r="690">
          <cell r="W690" t="b">
            <v>0</v>
          </cell>
        </row>
        <row r="691">
          <cell r="W691" t="b">
            <v>0</v>
          </cell>
        </row>
        <row r="692">
          <cell r="W692" t="b">
            <v>0</v>
          </cell>
        </row>
        <row r="693">
          <cell r="W693" t="b">
            <v>0</v>
          </cell>
        </row>
        <row r="694">
          <cell r="W694" t="b">
            <v>0</v>
          </cell>
        </row>
        <row r="695">
          <cell r="W695" t="b">
            <v>0</v>
          </cell>
        </row>
        <row r="696">
          <cell r="W696" t="b">
            <v>0</v>
          </cell>
        </row>
        <row r="697">
          <cell r="W697" t="b">
            <v>0</v>
          </cell>
        </row>
        <row r="698">
          <cell r="W698" t="b">
            <v>0</v>
          </cell>
        </row>
        <row r="699">
          <cell r="W699" t="b">
            <v>0</v>
          </cell>
        </row>
        <row r="700">
          <cell r="W700" t="b">
            <v>0</v>
          </cell>
        </row>
        <row r="701">
          <cell r="W701" t="b">
            <v>0</v>
          </cell>
        </row>
        <row r="702">
          <cell r="W702" t="b">
            <v>0</v>
          </cell>
        </row>
        <row r="703">
          <cell r="W703" t="b">
            <v>0</v>
          </cell>
        </row>
        <row r="704">
          <cell r="W704" t="b">
            <v>0</v>
          </cell>
        </row>
        <row r="705">
          <cell r="W705" t="b">
            <v>0</v>
          </cell>
        </row>
        <row r="706">
          <cell r="W706" t="b">
            <v>0</v>
          </cell>
        </row>
        <row r="707">
          <cell r="W707" t="b">
            <v>0</v>
          </cell>
        </row>
        <row r="708">
          <cell r="W708" t="b">
            <v>0</v>
          </cell>
        </row>
        <row r="709">
          <cell r="W709" t="b">
            <v>0</v>
          </cell>
        </row>
        <row r="710">
          <cell r="W710" t="b">
            <v>0</v>
          </cell>
        </row>
        <row r="711">
          <cell r="W711" t="b">
            <v>0</v>
          </cell>
        </row>
        <row r="712">
          <cell r="W712" t="b">
            <v>0</v>
          </cell>
        </row>
        <row r="713">
          <cell r="W713" t="b">
            <v>0</v>
          </cell>
        </row>
        <row r="714">
          <cell r="W714" t="b">
            <v>0</v>
          </cell>
        </row>
        <row r="715">
          <cell r="W715" t="b">
            <v>0</v>
          </cell>
        </row>
        <row r="716">
          <cell r="W716" t="b">
            <v>0</v>
          </cell>
        </row>
        <row r="717">
          <cell r="W717" t="b">
            <v>0</v>
          </cell>
        </row>
        <row r="718">
          <cell r="W718" t="b">
            <v>0</v>
          </cell>
        </row>
        <row r="719">
          <cell r="W719" t="b">
            <v>0</v>
          </cell>
        </row>
        <row r="720">
          <cell r="W720" t="b">
            <v>0</v>
          </cell>
        </row>
        <row r="721">
          <cell r="W721" t="b">
            <v>0</v>
          </cell>
        </row>
        <row r="722">
          <cell r="W722" t="b">
            <v>0</v>
          </cell>
        </row>
        <row r="723">
          <cell r="W723" t="b">
            <v>0</v>
          </cell>
        </row>
        <row r="724">
          <cell r="W724" t="b">
            <v>0</v>
          </cell>
        </row>
        <row r="725">
          <cell r="W725" t="b">
            <v>0</v>
          </cell>
        </row>
        <row r="726">
          <cell r="W726" t="b">
            <v>0</v>
          </cell>
        </row>
        <row r="727">
          <cell r="W727" t="b">
            <v>0</v>
          </cell>
        </row>
        <row r="728">
          <cell r="W728" t="b">
            <v>0</v>
          </cell>
        </row>
        <row r="729">
          <cell r="W729" t="b">
            <v>0</v>
          </cell>
        </row>
        <row r="730">
          <cell r="W730" t="b">
            <v>0</v>
          </cell>
        </row>
        <row r="731">
          <cell r="W731" t="b">
            <v>0</v>
          </cell>
        </row>
        <row r="732">
          <cell r="W732" t="b">
            <v>0</v>
          </cell>
        </row>
        <row r="733">
          <cell r="W733" t="b">
            <v>0</v>
          </cell>
        </row>
        <row r="734">
          <cell r="W734" t="b">
            <v>0</v>
          </cell>
        </row>
        <row r="735">
          <cell r="W735" t="b">
            <v>0</v>
          </cell>
        </row>
        <row r="736">
          <cell r="W736" t="b">
            <v>0</v>
          </cell>
        </row>
        <row r="737">
          <cell r="W737" t="b">
            <v>0</v>
          </cell>
        </row>
        <row r="738">
          <cell r="W738" t="b">
            <v>0</v>
          </cell>
        </row>
        <row r="739">
          <cell r="W739" t="b">
            <v>0</v>
          </cell>
        </row>
        <row r="740">
          <cell r="W740" t="b">
            <v>0</v>
          </cell>
        </row>
        <row r="741">
          <cell r="W741" t="b">
            <v>0</v>
          </cell>
        </row>
        <row r="742">
          <cell r="W742" t="b">
            <v>0</v>
          </cell>
        </row>
        <row r="743">
          <cell r="W743" t="b">
            <v>0</v>
          </cell>
        </row>
        <row r="744">
          <cell r="W744" t="b">
            <v>0</v>
          </cell>
        </row>
        <row r="745">
          <cell r="W745" t="b">
            <v>0</v>
          </cell>
        </row>
        <row r="746">
          <cell r="W746" t="b">
            <v>0</v>
          </cell>
        </row>
        <row r="747">
          <cell r="W747" t="b">
            <v>0</v>
          </cell>
        </row>
        <row r="748">
          <cell r="W748" t="b">
            <v>0</v>
          </cell>
        </row>
        <row r="749">
          <cell r="W749" t="b">
            <v>0</v>
          </cell>
        </row>
        <row r="750">
          <cell r="W750" t="b">
            <v>0</v>
          </cell>
        </row>
        <row r="751">
          <cell r="W751" t="b">
            <v>0</v>
          </cell>
        </row>
        <row r="752">
          <cell r="W752" t="b">
            <v>0</v>
          </cell>
        </row>
        <row r="753">
          <cell r="W753" t="b">
            <v>0</v>
          </cell>
        </row>
        <row r="754">
          <cell r="W754" t="b">
            <v>0</v>
          </cell>
        </row>
        <row r="755">
          <cell r="W755" t="b">
            <v>0</v>
          </cell>
        </row>
        <row r="756">
          <cell r="W756" t="b">
            <v>0</v>
          </cell>
        </row>
        <row r="757">
          <cell r="W757" t="b">
            <v>0</v>
          </cell>
        </row>
        <row r="758">
          <cell r="W758" t="b">
            <v>0</v>
          </cell>
        </row>
        <row r="759">
          <cell r="W759" t="b">
            <v>0</v>
          </cell>
        </row>
        <row r="760">
          <cell r="W760" t="b">
            <v>0</v>
          </cell>
        </row>
        <row r="761">
          <cell r="W761" t="b">
            <v>0</v>
          </cell>
        </row>
        <row r="762">
          <cell r="W762" t="b">
            <v>0</v>
          </cell>
        </row>
        <row r="763">
          <cell r="W763" t="b">
            <v>0</v>
          </cell>
        </row>
        <row r="764">
          <cell r="W764" t="b">
            <v>0</v>
          </cell>
        </row>
        <row r="765">
          <cell r="W765" t="b">
            <v>0</v>
          </cell>
        </row>
        <row r="766">
          <cell r="W766" t="b">
            <v>0</v>
          </cell>
        </row>
        <row r="767">
          <cell r="W767" t="b">
            <v>0</v>
          </cell>
        </row>
        <row r="768">
          <cell r="W768" t="b">
            <v>0</v>
          </cell>
        </row>
        <row r="769">
          <cell r="W769" t="b">
            <v>0</v>
          </cell>
        </row>
        <row r="770">
          <cell r="W770" t="b">
            <v>0</v>
          </cell>
        </row>
        <row r="771">
          <cell r="W771" t="b">
            <v>0</v>
          </cell>
        </row>
        <row r="772">
          <cell r="W772" t="b">
            <v>0</v>
          </cell>
        </row>
        <row r="773">
          <cell r="W773" t="b">
            <v>0</v>
          </cell>
        </row>
        <row r="774">
          <cell r="W774" t="b">
            <v>0</v>
          </cell>
        </row>
        <row r="775">
          <cell r="W775" t="b">
            <v>0</v>
          </cell>
        </row>
        <row r="776">
          <cell r="W776" t="b">
            <v>0</v>
          </cell>
        </row>
        <row r="777">
          <cell r="W777" t="b">
            <v>0</v>
          </cell>
        </row>
        <row r="778">
          <cell r="W778" t="b">
            <v>0</v>
          </cell>
        </row>
        <row r="779">
          <cell r="W779" t="b">
            <v>0</v>
          </cell>
        </row>
        <row r="780">
          <cell r="W780" t="b">
            <v>0</v>
          </cell>
        </row>
        <row r="781">
          <cell r="W781" t="b">
            <v>0</v>
          </cell>
        </row>
        <row r="782">
          <cell r="W782" t="b">
            <v>0</v>
          </cell>
        </row>
        <row r="783">
          <cell r="W783" t="b">
            <v>0</v>
          </cell>
        </row>
        <row r="784">
          <cell r="W784" t="b">
            <v>0</v>
          </cell>
        </row>
        <row r="785">
          <cell r="W785" t="b">
            <v>0</v>
          </cell>
        </row>
        <row r="786">
          <cell r="W786" t="b">
            <v>0</v>
          </cell>
        </row>
        <row r="787">
          <cell r="W787" t="b">
            <v>0</v>
          </cell>
        </row>
        <row r="788">
          <cell r="W788" t="b">
            <v>0</v>
          </cell>
        </row>
        <row r="789">
          <cell r="W789" t="b">
            <v>0</v>
          </cell>
        </row>
        <row r="790">
          <cell r="W790" t="b">
            <v>0</v>
          </cell>
        </row>
        <row r="791">
          <cell r="W791" t="b">
            <v>0</v>
          </cell>
        </row>
        <row r="792">
          <cell r="W792" t="b">
            <v>0</v>
          </cell>
        </row>
        <row r="793">
          <cell r="W793" t="b">
            <v>0</v>
          </cell>
        </row>
        <row r="794">
          <cell r="W794" t="b">
            <v>0</v>
          </cell>
        </row>
        <row r="795">
          <cell r="W795" t="b">
            <v>0</v>
          </cell>
        </row>
        <row r="796">
          <cell r="W796" t="b">
            <v>0</v>
          </cell>
        </row>
        <row r="797">
          <cell r="W797" t="b">
            <v>0</v>
          </cell>
        </row>
        <row r="798">
          <cell r="W798" t="b">
            <v>0</v>
          </cell>
        </row>
        <row r="799">
          <cell r="W799" t="b">
            <v>0</v>
          </cell>
        </row>
        <row r="800">
          <cell r="W800" t="b">
            <v>0</v>
          </cell>
        </row>
        <row r="801">
          <cell r="W801" t="b">
            <v>0</v>
          </cell>
        </row>
        <row r="802">
          <cell r="W802" t="b">
            <v>0</v>
          </cell>
        </row>
        <row r="803">
          <cell r="W803" t="b">
            <v>0</v>
          </cell>
        </row>
        <row r="804">
          <cell r="W804" t="b">
            <v>0</v>
          </cell>
        </row>
        <row r="805">
          <cell r="W805" t="b">
            <v>0</v>
          </cell>
        </row>
        <row r="806">
          <cell r="W806" t="b">
            <v>0</v>
          </cell>
        </row>
        <row r="807">
          <cell r="W807" t="b">
            <v>0</v>
          </cell>
        </row>
        <row r="808">
          <cell r="W808" t="b">
            <v>0</v>
          </cell>
        </row>
        <row r="809">
          <cell r="W809" t="b">
            <v>0</v>
          </cell>
        </row>
        <row r="810">
          <cell r="W810" t="b">
            <v>0</v>
          </cell>
        </row>
        <row r="811">
          <cell r="W811" t="b">
            <v>0</v>
          </cell>
        </row>
        <row r="812">
          <cell r="W812" t="b">
            <v>0</v>
          </cell>
        </row>
        <row r="813">
          <cell r="W813" t="b">
            <v>0</v>
          </cell>
        </row>
        <row r="814">
          <cell r="W814" t="b">
            <v>0</v>
          </cell>
        </row>
        <row r="815">
          <cell r="W815" t="b">
            <v>0</v>
          </cell>
        </row>
        <row r="816">
          <cell r="W816" t="b">
            <v>0</v>
          </cell>
        </row>
        <row r="817">
          <cell r="W817" t="b">
            <v>0</v>
          </cell>
        </row>
        <row r="818">
          <cell r="W818" t="b">
            <v>0</v>
          </cell>
        </row>
        <row r="819">
          <cell r="W819" t="b">
            <v>0</v>
          </cell>
        </row>
        <row r="820">
          <cell r="W820" t="b">
            <v>0</v>
          </cell>
        </row>
        <row r="821">
          <cell r="W821" t="b">
            <v>0</v>
          </cell>
        </row>
        <row r="822">
          <cell r="W822" t="b">
            <v>0</v>
          </cell>
        </row>
        <row r="823">
          <cell r="W823" t="b">
            <v>0</v>
          </cell>
        </row>
        <row r="824">
          <cell r="W824" t="b">
            <v>0</v>
          </cell>
        </row>
        <row r="825">
          <cell r="W825" t="b">
            <v>0</v>
          </cell>
        </row>
        <row r="826">
          <cell r="W826" t="b">
            <v>0</v>
          </cell>
        </row>
        <row r="827">
          <cell r="W827" t="b">
            <v>0</v>
          </cell>
        </row>
        <row r="828">
          <cell r="W828" t="b">
            <v>0</v>
          </cell>
        </row>
        <row r="829">
          <cell r="W829" t="b">
            <v>0</v>
          </cell>
        </row>
        <row r="830">
          <cell r="W830" t="b">
            <v>0</v>
          </cell>
        </row>
        <row r="831">
          <cell r="W831" t="b">
            <v>0</v>
          </cell>
        </row>
        <row r="832">
          <cell r="W832" t="b">
            <v>0</v>
          </cell>
        </row>
        <row r="833">
          <cell r="W833" t="b">
            <v>0</v>
          </cell>
        </row>
        <row r="834">
          <cell r="W834" t="b">
            <v>0</v>
          </cell>
        </row>
        <row r="835">
          <cell r="W835" t="b">
            <v>0</v>
          </cell>
        </row>
        <row r="836">
          <cell r="W836" t="b">
            <v>0</v>
          </cell>
        </row>
        <row r="837">
          <cell r="W837" t="b">
            <v>0</v>
          </cell>
        </row>
        <row r="838">
          <cell r="W838" t="b">
            <v>0</v>
          </cell>
        </row>
        <row r="839">
          <cell r="W839" t="b">
            <v>0</v>
          </cell>
        </row>
        <row r="840">
          <cell r="W840" t="b">
            <v>0</v>
          </cell>
        </row>
        <row r="841">
          <cell r="W841" t="b">
            <v>0</v>
          </cell>
        </row>
        <row r="842">
          <cell r="W842" t="b">
            <v>0</v>
          </cell>
        </row>
        <row r="843">
          <cell r="W843" t="b">
            <v>0</v>
          </cell>
        </row>
        <row r="844">
          <cell r="W844" t="b">
            <v>0</v>
          </cell>
        </row>
        <row r="845">
          <cell r="W845" t="b">
            <v>0</v>
          </cell>
        </row>
        <row r="846">
          <cell r="W846" t="b">
            <v>0</v>
          </cell>
        </row>
        <row r="847">
          <cell r="W847" t="b">
            <v>0</v>
          </cell>
        </row>
        <row r="848">
          <cell r="W848" t="b">
            <v>0</v>
          </cell>
        </row>
        <row r="849">
          <cell r="W849" t="b">
            <v>0</v>
          </cell>
        </row>
        <row r="850">
          <cell r="W850" t="b">
            <v>0</v>
          </cell>
        </row>
        <row r="851">
          <cell r="W851" t="b">
            <v>0</v>
          </cell>
        </row>
        <row r="852">
          <cell r="W852" t="b">
            <v>0</v>
          </cell>
        </row>
        <row r="853">
          <cell r="W853" t="b">
            <v>0</v>
          </cell>
        </row>
        <row r="854">
          <cell r="W854" t="b">
            <v>0</v>
          </cell>
        </row>
        <row r="855">
          <cell r="W855" t="b">
            <v>0</v>
          </cell>
        </row>
        <row r="856">
          <cell r="W856" t="b">
            <v>0</v>
          </cell>
        </row>
        <row r="857">
          <cell r="W857" t="b">
            <v>0</v>
          </cell>
        </row>
        <row r="858">
          <cell r="W858" t="b">
            <v>0</v>
          </cell>
        </row>
        <row r="859">
          <cell r="W859" t="b">
            <v>0</v>
          </cell>
        </row>
        <row r="860">
          <cell r="W860" t="b">
            <v>0</v>
          </cell>
        </row>
        <row r="861">
          <cell r="W861" t="b">
            <v>0</v>
          </cell>
        </row>
        <row r="862">
          <cell r="W862" t="b">
            <v>0</v>
          </cell>
        </row>
        <row r="863">
          <cell r="W863" t="b">
            <v>0</v>
          </cell>
        </row>
        <row r="864">
          <cell r="W864" t="b">
            <v>0</v>
          </cell>
        </row>
        <row r="865">
          <cell r="W865" t="b">
            <v>0</v>
          </cell>
        </row>
        <row r="866">
          <cell r="W866" t="b">
            <v>0</v>
          </cell>
        </row>
        <row r="867">
          <cell r="W867" t="b">
            <v>0</v>
          </cell>
        </row>
        <row r="868">
          <cell r="W868" t="b">
            <v>0</v>
          </cell>
        </row>
        <row r="869">
          <cell r="W869" t="b">
            <v>0</v>
          </cell>
        </row>
        <row r="870">
          <cell r="W870" t="b">
            <v>0</v>
          </cell>
        </row>
        <row r="871">
          <cell r="W871" t="b">
            <v>0</v>
          </cell>
        </row>
        <row r="872">
          <cell r="W872" t="b">
            <v>0</v>
          </cell>
        </row>
        <row r="873">
          <cell r="W873" t="b">
            <v>0</v>
          </cell>
        </row>
        <row r="874">
          <cell r="W874" t="b">
            <v>0</v>
          </cell>
        </row>
        <row r="875">
          <cell r="W875" t="b">
            <v>0</v>
          </cell>
        </row>
        <row r="876">
          <cell r="W876" t="b">
            <v>0</v>
          </cell>
        </row>
        <row r="877">
          <cell r="W877" t="b">
            <v>0</v>
          </cell>
        </row>
        <row r="878">
          <cell r="W878" t="b">
            <v>0</v>
          </cell>
        </row>
        <row r="879">
          <cell r="W879" t="b">
            <v>0</v>
          </cell>
        </row>
        <row r="880">
          <cell r="W880" t="b">
            <v>0</v>
          </cell>
        </row>
        <row r="881">
          <cell r="W881" t="b">
            <v>0</v>
          </cell>
        </row>
        <row r="882">
          <cell r="W882" t="b">
            <v>0</v>
          </cell>
        </row>
        <row r="883">
          <cell r="W883" t="b">
            <v>0</v>
          </cell>
        </row>
        <row r="884">
          <cell r="W884" t="b">
            <v>0</v>
          </cell>
        </row>
        <row r="885">
          <cell r="W885" t="b">
            <v>0</v>
          </cell>
        </row>
        <row r="886">
          <cell r="W886" t="b">
            <v>0</v>
          </cell>
        </row>
        <row r="887">
          <cell r="W887" t="b">
            <v>0</v>
          </cell>
        </row>
        <row r="888">
          <cell r="W888" t="b">
            <v>0</v>
          </cell>
        </row>
        <row r="889">
          <cell r="W889" t="b">
            <v>0</v>
          </cell>
        </row>
        <row r="890">
          <cell r="W890" t="b">
            <v>0</v>
          </cell>
        </row>
        <row r="891">
          <cell r="W891" t="b">
            <v>0</v>
          </cell>
        </row>
        <row r="892">
          <cell r="W892" t="b">
            <v>0</v>
          </cell>
        </row>
        <row r="893">
          <cell r="W893" t="b">
            <v>0</v>
          </cell>
        </row>
        <row r="894">
          <cell r="W894" t="b">
            <v>0</v>
          </cell>
        </row>
        <row r="895">
          <cell r="W895" t="b">
            <v>0</v>
          </cell>
        </row>
        <row r="896">
          <cell r="W896" t="b">
            <v>0</v>
          </cell>
        </row>
        <row r="897">
          <cell r="W897" t="b">
            <v>0</v>
          </cell>
        </row>
        <row r="898">
          <cell r="W898" t="b">
            <v>0</v>
          </cell>
        </row>
        <row r="899">
          <cell r="W899" t="b">
            <v>0</v>
          </cell>
        </row>
        <row r="900">
          <cell r="W900" t="b">
            <v>0</v>
          </cell>
        </row>
        <row r="901">
          <cell r="W901" t="b">
            <v>0</v>
          </cell>
        </row>
        <row r="902">
          <cell r="W902" t="b">
            <v>0</v>
          </cell>
        </row>
        <row r="903">
          <cell r="W903" t="b">
            <v>0</v>
          </cell>
        </row>
        <row r="904">
          <cell r="W904" t="b">
            <v>0</v>
          </cell>
        </row>
        <row r="905">
          <cell r="W905" t="b">
            <v>0</v>
          </cell>
        </row>
        <row r="906">
          <cell r="W906" t="b">
            <v>0</v>
          </cell>
        </row>
        <row r="907">
          <cell r="W907" t="b">
            <v>0</v>
          </cell>
        </row>
        <row r="908">
          <cell r="W908" t="b">
            <v>0</v>
          </cell>
        </row>
        <row r="909">
          <cell r="W909" t="b">
            <v>0</v>
          </cell>
        </row>
        <row r="910">
          <cell r="W910" t="b">
            <v>0</v>
          </cell>
        </row>
        <row r="911">
          <cell r="W911" t="b">
            <v>0</v>
          </cell>
        </row>
        <row r="912">
          <cell r="W912" t="b">
            <v>0</v>
          </cell>
        </row>
        <row r="913">
          <cell r="W913" t="b">
            <v>0</v>
          </cell>
        </row>
        <row r="914">
          <cell r="W914" t="b">
            <v>0</v>
          </cell>
        </row>
        <row r="915">
          <cell r="W915" t="b">
            <v>0</v>
          </cell>
        </row>
        <row r="916">
          <cell r="W916" t="b">
            <v>0</v>
          </cell>
        </row>
        <row r="917">
          <cell r="W917" t="b">
            <v>0</v>
          </cell>
        </row>
        <row r="918">
          <cell r="W918" t="b">
            <v>0</v>
          </cell>
        </row>
        <row r="919">
          <cell r="W919" t="b">
            <v>0</v>
          </cell>
        </row>
        <row r="920">
          <cell r="W920" t="b">
            <v>0</v>
          </cell>
        </row>
        <row r="921">
          <cell r="W921" t="b">
            <v>0</v>
          </cell>
        </row>
        <row r="922">
          <cell r="W922" t="b">
            <v>0</v>
          </cell>
        </row>
        <row r="923">
          <cell r="W923" t="b">
            <v>0</v>
          </cell>
        </row>
        <row r="924">
          <cell r="W924" t="b">
            <v>0</v>
          </cell>
        </row>
        <row r="925">
          <cell r="W925" t="b">
            <v>0</v>
          </cell>
        </row>
        <row r="926">
          <cell r="W926" t="b">
            <v>0</v>
          </cell>
        </row>
        <row r="927">
          <cell r="W927" t="b">
            <v>0</v>
          </cell>
        </row>
        <row r="928">
          <cell r="W928" t="b">
            <v>0</v>
          </cell>
        </row>
        <row r="929">
          <cell r="W929" t="b">
            <v>0</v>
          </cell>
        </row>
        <row r="930">
          <cell r="W930" t="b">
            <v>0</v>
          </cell>
        </row>
        <row r="931">
          <cell r="W931" t="b">
            <v>0</v>
          </cell>
        </row>
        <row r="932">
          <cell r="W932" t="b">
            <v>0</v>
          </cell>
        </row>
        <row r="933">
          <cell r="W933" t="b">
            <v>0</v>
          </cell>
        </row>
        <row r="934">
          <cell r="W934" t="b">
            <v>0</v>
          </cell>
        </row>
        <row r="935">
          <cell r="W935" t="b">
            <v>0</v>
          </cell>
        </row>
        <row r="936">
          <cell r="W936" t="b">
            <v>0</v>
          </cell>
        </row>
        <row r="937">
          <cell r="W937" t="b">
            <v>0</v>
          </cell>
        </row>
        <row r="938">
          <cell r="W938" t="b">
            <v>0</v>
          </cell>
        </row>
        <row r="939">
          <cell r="W939" t="b">
            <v>0</v>
          </cell>
        </row>
        <row r="940">
          <cell r="W940" t="b">
            <v>0</v>
          </cell>
        </row>
        <row r="941">
          <cell r="W941" t="b">
            <v>0</v>
          </cell>
        </row>
        <row r="942">
          <cell r="W942" t="b">
            <v>0</v>
          </cell>
        </row>
        <row r="943">
          <cell r="W943" t="b">
            <v>0</v>
          </cell>
        </row>
        <row r="944">
          <cell r="W944" t="b">
            <v>0</v>
          </cell>
        </row>
        <row r="945">
          <cell r="W945" t="b">
            <v>0</v>
          </cell>
        </row>
        <row r="946">
          <cell r="W946" t="b">
            <v>0</v>
          </cell>
        </row>
        <row r="947">
          <cell r="W947" t="b">
            <v>0</v>
          </cell>
        </row>
        <row r="948">
          <cell r="W948" t="b">
            <v>0</v>
          </cell>
        </row>
        <row r="949">
          <cell r="W949" t="b">
            <v>0</v>
          </cell>
        </row>
        <row r="950">
          <cell r="W950" t="b">
            <v>0</v>
          </cell>
        </row>
        <row r="951">
          <cell r="W951" t="b">
            <v>0</v>
          </cell>
        </row>
        <row r="952">
          <cell r="W952" t="b">
            <v>0</v>
          </cell>
        </row>
        <row r="953">
          <cell r="W953" t="b">
            <v>0</v>
          </cell>
        </row>
        <row r="954">
          <cell r="W954" t="b">
            <v>0</v>
          </cell>
        </row>
        <row r="955">
          <cell r="W955" t="b">
            <v>0</v>
          </cell>
        </row>
        <row r="956">
          <cell r="W956" t="b">
            <v>0</v>
          </cell>
        </row>
        <row r="957">
          <cell r="W957" t="b">
            <v>0</v>
          </cell>
        </row>
        <row r="958">
          <cell r="W958" t="b">
            <v>0</v>
          </cell>
        </row>
        <row r="959">
          <cell r="W959" t="b">
            <v>0</v>
          </cell>
        </row>
        <row r="960">
          <cell r="W960" t="b">
            <v>0</v>
          </cell>
        </row>
        <row r="961">
          <cell r="W961" t="b">
            <v>0</v>
          </cell>
        </row>
        <row r="962">
          <cell r="W962" t="b">
            <v>0</v>
          </cell>
        </row>
        <row r="963">
          <cell r="W963" t="b">
            <v>0</v>
          </cell>
        </row>
        <row r="964">
          <cell r="W964" t="b">
            <v>0</v>
          </cell>
        </row>
        <row r="965">
          <cell r="W965" t="b">
            <v>0</v>
          </cell>
        </row>
        <row r="966">
          <cell r="W966" t="b">
            <v>0</v>
          </cell>
        </row>
        <row r="967">
          <cell r="W967" t="b">
            <v>0</v>
          </cell>
        </row>
        <row r="968">
          <cell r="W968" t="b">
            <v>0</v>
          </cell>
        </row>
        <row r="969">
          <cell r="W969" t="b">
            <v>0</v>
          </cell>
        </row>
        <row r="970">
          <cell r="W970" t="b">
            <v>0</v>
          </cell>
        </row>
        <row r="971">
          <cell r="W971" t="b">
            <v>0</v>
          </cell>
        </row>
        <row r="972">
          <cell r="W972" t="b">
            <v>0</v>
          </cell>
        </row>
        <row r="973">
          <cell r="W973" t="b">
            <v>0</v>
          </cell>
        </row>
        <row r="974">
          <cell r="W974" t="b">
            <v>0</v>
          </cell>
        </row>
        <row r="975">
          <cell r="W975" t="b">
            <v>0</v>
          </cell>
        </row>
        <row r="976">
          <cell r="W976" t="b">
            <v>0</v>
          </cell>
        </row>
        <row r="977">
          <cell r="W977" t="b">
            <v>0</v>
          </cell>
        </row>
        <row r="978">
          <cell r="W978" t="b">
            <v>0</v>
          </cell>
        </row>
        <row r="979">
          <cell r="W979" t="b">
            <v>0</v>
          </cell>
        </row>
        <row r="980">
          <cell r="W980" t="b">
            <v>0</v>
          </cell>
        </row>
        <row r="981">
          <cell r="W981" t="b">
            <v>0</v>
          </cell>
        </row>
        <row r="982">
          <cell r="W982" t="b">
            <v>0</v>
          </cell>
        </row>
        <row r="983">
          <cell r="W983" t="b">
            <v>0</v>
          </cell>
        </row>
        <row r="984">
          <cell r="W984" t="b">
            <v>0</v>
          </cell>
        </row>
        <row r="985">
          <cell r="W985" t="b">
            <v>0</v>
          </cell>
        </row>
        <row r="986">
          <cell r="W986" t="b">
            <v>0</v>
          </cell>
        </row>
        <row r="987">
          <cell r="W987" t="b">
            <v>0</v>
          </cell>
        </row>
        <row r="988">
          <cell r="W988" t="b">
            <v>0</v>
          </cell>
        </row>
        <row r="989">
          <cell r="W989" t="b">
            <v>0</v>
          </cell>
        </row>
        <row r="990">
          <cell r="W990" t="b">
            <v>0</v>
          </cell>
        </row>
        <row r="991">
          <cell r="W991" t="b">
            <v>0</v>
          </cell>
        </row>
        <row r="992">
          <cell r="W992" t="b">
            <v>0</v>
          </cell>
        </row>
        <row r="993">
          <cell r="W993" t="b">
            <v>0</v>
          </cell>
        </row>
        <row r="994">
          <cell r="W994" t="b">
            <v>0</v>
          </cell>
        </row>
        <row r="995">
          <cell r="W995" t="b">
            <v>0</v>
          </cell>
        </row>
        <row r="996">
          <cell r="W996" t="b">
            <v>0</v>
          </cell>
        </row>
        <row r="997">
          <cell r="W997" t="b">
            <v>0</v>
          </cell>
        </row>
        <row r="998">
          <cell r="W998" t="b">
            <v>0</v>
          </cell>
        </row>
        <row r="999">
          <cell r="W999" t="b">
            <v>0</v>
          </cell>
        </row>
        <row r="1000">
          <cell r="W1000" t="b">
            <v>0</v>
          </cell>
        </row>
        <row r="1001">
          <cell r="W1001" t="b">
            <v>0</v>
          </cell>
        </row>
        <row r="1002">
          <cell r="W1002" t="b">
            <v>0</v>
          </cell>
        </row>
        <row r="1003">
          <cell r="W1003" t="b">
            <v>0</v>
          </cell>
        </row>
        <row r="1004">
          <cell r="W1004" t="b">
            <v>0</v>
          </cell>
        </row>
        <row r="1005">
          <cell r="W1005" t="b">
            <v>0</v>
          </cell>
        </row>
        <row r="1006">
          <cell r="W1006" t="b">
            <v>0</v>
          </cell>
        </row>
        <row r="1007">
          <cell r="W1007" t="b">
            <v>0</v>
          </cell>
        </row>
        <row r="1008">
          <cell r="W1008" t="b">
            <v>0</v>
          </cell>
        </row>
        <row r="1009">
          <cell r="W1009" t="b">
            <v>0</v>
          </cell>
        </row>
        <row r="1010">
          <cell r="W1010" t="b">
            <v>0</v>
          </cell>
        </row>
        <row r="1011">
          <cell r="W1011" t="b">
            <v>0</v>
          </cell>
        </row>
        <row r="1012">
          <cell r="W1012" t="b">
            <v>0</v>
          </cell>
        </row>
        <row r="1013">
          <cell r="W1013" t="b">
            <v>0</v>
          </cell>
        </row>
        <row r="1014">
          <cell r="W1014" t="b">
            <v>0</v>
          </cell>
        </row>
        <row r="1015">
          <cell r="W1015" t="b">
            <v>0</v>
          </cell>
        </row>
        <row r="1016">
          <cell r="W1016" t="b">
            <v>0</v>
          </cell>
        </row>
        <row r="1017">
          <cell r="W1017" t="b">
            <v>0</v>
          </cell>
        </row>
        <row r="1018">
          <cell r="W1018" t="b">
            <v>0</v>
          </cell>
        </row>
        <row r="1019">
          <cell r="W1019" t="b">
            <v>0</v>
          </cell>
        </row>
        <row r="1020">
          <cell r="W1020" t="b">
            <v>0</v>
          </cell>
        </row>
        <row r="1021">
          <cell r="W1021" t="b">
            <v>0</v>
          </cell>
        </row>
        <row r="1022">
          <cell r="W1022" t="b">
            <v>0</v>
          </cell>
        </row>
        <row r="1023">
          <cell r="W1023" t="b">
            <v>0</v>
          </cell>
        </row>
        <row r="1024">
          <cell r="W1024" t="b">
            <v>0</v>
          </cell>
        </row>
        <row r="1025">
          <cell r="W1025" t="b">
            <v>0</v>
          </cell>
        </row>
        <row r="1026">
          <cell r="W1026" t="b">
            <v>0</v>
          </cell>
        </row>
        <row r="1027">
          <cell r="W1027" t="b">
            <v>0</v>
          </cell>
        </row>
        <row r="1028">
          <cell r="W1028" t="b">
            <v>0</v>
          </cell>
        </row>
        <row r="1029">
          <cell r="W1029" t="b">
            <v>0</v>
          </cell>
        </row>
        <row r="1030">
          <cell r="W1030" t="b">
            <v>0</v>
          </cell>
        </row>
        <row r="1031">
          <cell r="W1031" t="b">
            <v>0</v>
          </cell>
        </row>
        <row r="1032">
          <cell r="W1032" t="b">
            <v>0</v>
          </cell>
        </row>
        <row r="1033">
          <cell r="W1033" t="b">
            <v>0</v>
          </cell>
        </row>
        <row r="1034">
          <cell r="W1034" t="b">
            <v>0</v>
          </cell>
        </row>
        <row r="1035">
          <cell r="W1035" t="b">
            <v>0</v>
          </cell>
        </row>
        <row r="1036">
          <cell r="W1036" t="b">
            <v>0</v>
          </cell>
        </row>
        <row r="1037">
          <cell r="W1037" t="b">
            <v>0</v>
          </cell>
        </row>
        <row r="1038">
          <cell r="W1038" t="b">
            <v>0</v>
          </cell>
        </row>
        <row r="1039">
          <cell r="W1039" t="b">
            <v>0</v>
          </cell>
        </row>
        <row r="1040">
          <cell r="W1040" t="b">
            <v>0</v>
          </cell>
        </row>
        <row r="1041">
          <cell r="W1041" t="b">
            <v>0</v>
          </cell>
        </row>
        <row r="1042">
          <cell r="W1042" t="b">
            <v>0</v>
          </cell>
        </row>
        <row r="1043">
          <cell r="W1043" t="b">
            <v>0</v>
          </cell>
        </row>
        <row r="1044">
          <cell r="W1044" t="b">
            <v>0</v>
          </cell>
        </row>
        <row r="1045">
          <cell r="W1045" t="b">
            <v>0</v>
          </cell>
        </row>
        <row r="1046">
          <cell r="W1046" t="b">
            <v>0</v>
          </cell>
        </row>
        <row r="1047">
          <cell r="W1047" t="b">
            <v>0</v>
          </cell>
        </row>
        <row r="1048">
          <cell r="W1048" t="b">
            <v>0</v>
          </cell>
        </row>
        <row r="1049">
          <cell r="W1049" t="b">
            <v>0</v>
          </cell>
        </row>
        <row r="1050">
          <cell r="W1050" t="b">
            <v>0</v>
          </cell>
        </row>
        <row r="1051">
          <cell r="W1051" t="b">
            <v>0</v>
          </cell>
        </row>
        <row r="1052">
          <cell r="W1052" t="b">
            <v>0</v>
          </cell>
        </row>
        <row r="1053">
          <cell r="W1053" t="b">
            <v>0</v>
          </cell>
        </row>
        <row r="1054">
          <cell r="W1054" t="b">
            <v>0</v>
          </cell>
        </row>
        <row r="1055">
          <cell r="W1055" t="b">
            <v>0</v>
          </cell>
        </row>
        <row r="1056">
          <cell r="W1056" t="b">
            <v>0</v>
          </cell>
        </row>
        <row r="1057">
          <cell r="W1057" t="b">
            <v>0</v>
          </cell>
        </row>
        <row r="1058">
          <cell r="W1058" t="b">
            <v>0</v>
          </cell>
        </row>
        <row r="1059">
          <cell r="W1059" t="b">
            <v>0</v>
          </cell>
        </row>
        <row r="1060">
          <cell r="W1060" t="b">
            <v>0</v>
          </cell>
        </row>
        <row r="1061">
          <cell r="W1061" t="b">
            <v>0</v>
          </cell>
        </row>
        <row r="1062">
          <cell r="W1062" t="b">
            <v>0</v>
          </cell>
        </row>
        <row r="1063">
          <cell r="W1063" t="b">
            <v>0</v>
          </cell>
        </row>
        <row r="1064">
          <cell r="W1064" t="b">
            <v>0</v>
          </cell>
        </row>
        <row r="1065">
          <cell r="W1065" t="b">
            <v>0</v>
          </cell>
        </row>
        <row r="1066">
          <cell r="W1066" t="b">
            <v>0</v>
          </cell>
        </row>
        <row r="1067">
          <cell r="W1067" t="b">
            <v>0</v>
          </cell>
        </row>
        <row r="1068">
          <cell r="W1068" t="b">
            <v>0</v>
          </cell>
        </row>
        <row r="1069">
          <cell r="W1069" t="b">
            <v>0</v>
          </cell>
        </row>
        <row r="1070">
          <cell r="W1070" t="b">
            <v>0</v>
          </cell>
        </row>
        <row r="1071">
          <cell r="W1071" t="b">
            <v>0</v>
          </cell>
        </row>
        <row r="1072">
          <cell r="W1072" t="b">
            <v>0</v>
          </cell>
        </row>
        <row r="1073">
          <cell r="W1073" t="b">
            <v>0</v>
          </cell>
        </row>
        <row r="1074">
          <cell r="W1074" t="b">
            <v>0</v>
          </cell>
        </row>
        <row r="1075">
          <cell r="W1075" t="b">
            <v>0</v>
          </cell>
        </row>
        <row r="1076">
          <cell r="W1076" t="b">
            <v>0</v>
          </cell>
        </row>
        <row r="1077">
          <cell r="W1077" t="b">
            <v>0</v>
          </cell>
        </row>
        <row r="1078">
          <cell r="W1078" t="b">
            <v>0</v>
          </cell>
        </row>
        <row r="1079">
          <cell r="W1079" t="b">
            <v>0</v>
          </cell>
        </row>
        <row r="1080">
          <cell r="W1080" t="b">
            <v>0</v>
          </cell>
        </row>
        <row r="1081">
          <cell r="W1081" t="b">
            <v>0</v>
          </cell>
        </row>
        <row r="1082">
          <cell r="W1082" t="b">
            <v>0</v>
          </cell>
        </row>
        <row r="1083">
          <cell r="W1083" t="b">
            <v>0</v>
          </cell>
        </row>
        <row r="1084">
          <cell r="W1084" t="b">
            <v>0</v>
          </cell>
        </row>
        <row r="1085">
          <cell r="W1085" t="b">
            <v>0</v>
          </cell>
        </row>
        <row r="1086">
          <cell r="W1086" t="b">
            <v>0</v>
          </cell>
        </row>
        <row r="1087">
          <cell r="W1087" t="b">
            <v>0</v>
          </cell>
        </row>
        <row r="1088">
          <cell r="W1088" t="b">
            <v>0</v>
          </cell>
        </row>
        <row r="1089">
          <cell r="W1089" t="b">
            <v>0</v>
          </cell>
        </row>
        <row r="1090">
          <cell r="W1090" t="b">
            <v>0</v>
          </cell>
        </row>
        <row r="1091">
          <cell r="W1091" t="b">
            <v>0</v>
          </cell>
        </row>
        <row r="1092">
          <cell r="W1092" t="b">
            <v>0</v>
          </cell>
        </row>
        <row r="1093">
          <cell r="W1093" t="b">
            <v>0</v>
          </cell>
        </row>
        <row r="1094">
          <cell r="W1094" t="b">
            <v>0</v>
          </cell>
        </row>
        <row r="1095">
          <cell r="W1095" t="b">
            <v>0</v>
          </cell>
        </row>
        <row r="1096">
          <cell r="W1096" t="b">
            <v>0</v>
          </cell>
        </row>
        <row r="1097">
          <cell r="W1097" t="b">
            <v>0</v>
          </cell>
        </row>
        <row r="1098">
          <cell r="W1098" t="b">
            <v>0</v>
          </cell>
        </row>
        <row r="1099">
          <cell r="W1099" t="b">
            <v>0</v>
          </cell>
        </row>
        <row r="1100">
          <cell r="W1100" t="b">
            <v>0</v>
          </cell>
        </row>
        <row r="1101">
          <cell r="W1101" t="b">
            <v>0</v>
          </cell>
        </row>
        <row r="1102">
          <cell r="W1102" t="b">
            <v>0</v>
          </cell>
        </row>
        <row r="1103">
          <cell r="W1103" t="b">
            <v>0</v>
          </cell>
        </row>
        <row r="1104">
          <cell r="W1104" t="b">
            <v>0</v>
          </cell>
        </row>
        <row r="1105">
          <cell r="W1105" t="b">
            <v>0</v>
          </cell>
        </row>
        <row r="1106">
          <cell r="W1106" t="b">
            <v>0</v>
          </cell>
        </row>
        <row r="1107">
          <cell r="W1107" t="b">
            <v>0</v>
          </cell>
        </row>
        <row r="1108">
          <cell r="W1108" t="b">
            <v>0</v>
          </cell>
        </row>
        <row r="1109">
          <cell r="W1109" t="b">
            <v>0</v>
          </cell>
        </row>
        <row r="1110">
          <cell r="W1110" t="b">
            <v>0</v>
          </cell>
        </row>
        <row r="1111">
          <cell r="W1111" t="b">
            <v>0</v>
          </cell>
        </row>
        <row r="1112">
          <cell r="W1112" t="b">
            <v>0</v>
          </cell>
        </row>
        <row r="1113">
          <cell r="W1113" t="b">
            <v>0</v>
          </cell>
        </row>
        <row r="1114">
          <cell r="W1114" t="b">
            <v>0</v>
          </cell>
        </row>
        <row r="1115">
          <cell r="W1115" t="b">
            <v>0</v>
          </cell>
        </row>
        <row r="1116">
          <cell r="W1116" t="b">
            <v>0</v>
          </cell>
        </row>
        <row r="1117">
          <cell r="W1117" t="b">
            <v>0</v>
          </cell>
        </row>
        <row r="1118">
          <cell r="W1118" t="b">
            <v>0</v>
          </cell>
        </row>
        <row r="1119">
          <cell r="W1119" t="b">
            <v>0</v>
          </cell>
        </row>
        <row r="1120">
          <cell r="W1120" t="b">
            <v>0</v>
          </cell>
        </row>
        <row r="1121">
          <cell r="W1121" t="b">
            <v>0</v>
          </cell>
        </row>
        <row r="1122">
          <cell r="W1122" t="b">
            <v>0</v>
          </cell>
        </row>
        <row r="1123">
          <cell r="W1123" t="b">
            <v>0</v>
          </cell>
        </row>
        <row r="1124">
          <cell r="W1124" t="b">
            <v>0</v>
          </cell>
        </row>
        <row r="1125">
          <cell r="W1125" t="b">
            <v>0</v>
          </cell>
        </row>
        <row r="1126">
          <cell r="W1126" t="b">
            <v>0</v>
          </cell>
        </row>
        <row r="1127">
          <cell r="W1127" t="b">
            <v>0</v>
          </cell>
        </row>
        <row r="1128">
          <cell r="W1128" t="b">
            <v>0</v>
          </cell>
        </row>
        <row r="1129">
          <cell r="W1129" t="b">
            <v>0</v>
          </cell>
        </row>
        <row r="1130">
          <cell r="W1130" t="b">
            <v>0</v>
          </cell>
        </row>
        <row r="1131">
          <cell r="W1131" t="b">
            <v>0</v>
          </cell>
        </row>
        <row r="1132">
          <cell r="W1132" t="b">
            <v>0</v>
          </cell>
        </row>
        <row r="1133">
          <cell r="W1133" t="b">
            <v>0</v>
          </cell>
        </row>
        <row r="1134">
          <cell r="W1134" t="b">
            <v>0</v>
          </cell>
        </row>
        <row r="1135">
          <cell r="W1135" t="b">
            <v>0</v>
          </cell>
        </row>
        <row r="1136">
          <cell r="W1136" t="b">
            <v>0</v>
          </cell>
        </row>
        <row r="1137">
          <cell r="W1137" t="b">
            <v>0</v>
          </cell>
        </row>
        <row r="1138">
          <cell r="W1138" t="b">
            <v>0</v>
          </cell>
        </row>
        <row r="1139">
          <cell r="W1139" t="b">
            <v>0</v>
          </cell>
        </row>
        <row r="1140">
          <cell r="W1140" t="b">
            <v>0</v>
          </cell>
        </row>
        <row r="1141">
          <cell r="W1141" t="b">
            <v>0</v>
          </cell>
        </row>
        <row r="1142">
          <cell r="W1142" t="b">
            <v>0</v>
          </cell>
        </row>
        <row r="1143">
          <cell r="W1143" t="b">
            <v>0</v>
          </cell>
        </row>
        <row r="1144">
          <cell r="W1144" t="b">
            <v>0</v>
          </cell>
        </row>
        <row r="1145">
          <cell r="W1145" t="b">
            <v>0</v>
          </cell>
        </row>
        <row r="1146">
          <cell r="W1146" t="b">
            <v>0</v>
          </cell>
        </row>
        <row r="1147">
          <cell r="W1147" t="b">
            <v>0</v>
          </cell>
        </row>
        <row r="1148">
          <cell r="W1148" t="b">
            <v>0</v>
          </cell>
        </row>
        <row r="1149">
          <cell r="W1149" t="b">
            <v>0</v>
          </cell>
        </row>
        <row r="1150">
          <cell r="W1150" t="b">
            <v>0</v>
          </cell>
        </row>
        <row r="1151">
          <cell r="W1151" t="b">
            <v>0</v>
          </cell>
        </row>
        <row r="1152">
          <cell r="W1152" t="b">
            <v>0</v>
          </cell>
        </row>
        <row r="1153">
          <cell r="W1153" t="b">
            <v>0</v>
          </cell>
        </row>
        <row r="1154">
          <cell r="W1154" t="b">
            <v>0</v>
          </cell>
        </row>
        <row r="1155">
          <cell r="W1155" t="b">
            <v>0</v>
          </cell>
        </row>
        <row r="1156">
          <cell r="W1156" t="b">
            <v>0</v>
          </cell>
        </row>
        <row r="1157">
          <cell r="W1157" t="b">
            <v>0</v>
          </cell>
        </row>
        <row r="1158">
          <cell r="W1158" t="b">
            <v>0</v>
          </cell>
        </row>
        <row r="1159">
          <cell r="W1159" t="b">
            <v>0</v>
          </cell>
        </row>
        <row r="1160">
          <cell r="W1160" t="b">
            <v>0</v>
          </cell>
        </row>
        <row r="1161">
          <cell r="W1161" t="b">
            <v>0</v>
          </cell>
        </row>
        <row r="1162">
          <cell r="W1162" t="b">
            <v>0</v>
          </cell>
        </row>
        <row r="1163">
          <cell r="W1163" t="b">
            <v>0</v>
          </cell>
        </row>
        <row r="1164">
          <cell r="W1164" t="b">
            <v>0</v>
          </cell>
        </row>
        <row r="1165">
          <cell r="W1165" t="b">
            <v>0</v>
          </cell>
        </row>
        <row r="1166">
          <cell r="W1166" t="b">
            <v>0</v>
          </cell>
        </row>
        <row r="1167">
          <cell r="W1167" t="b">
            <v>0</v>
          </cell>
        </row>
        <row r="1168">
          <cell r="W1168" t="b">
            <v>0</v>
          </cell>
        </row>
        <row r="1169">
          <cell r="W1169" t="b">
            <v>0</v>
          </cell>
        </row>
        <row r="1170">
          <cell r="W1170" t="b">
            <v>0</v>
          </cell>
        </row>
        <row r="1171">
          <cell r="W1171" t="b">
            <v>0</v>
          </cell>
        </row>
        <row r="1172">
          <cell r="W1172" t="b">
            <v>0</v>
          </cell>
        </row>
        <row r="1173">
          <cell r="W1173" t="b">
            <v>0</v>
          </cell>
        </row>
        <row r="1174">
          <cell r="W1174" t="b">
            <v>0</v>
          </cell>
        </row>
        <row r="1175">
          <cell r="W1175" t="b">
            <v>0</v>
          </cell>
        </row>
        <row r="1176">
          <cell r="W1176" t="b">
            <v>0</v>
          </cell>
        </row>
        <row r="1177">
          <cell r="W1177" t="b">
            <v>0</v>
          </cell>
        </row>
        <row r="1178">
          <cell r="W1178" t="b">
            <v>0</v>
          </cell>
        </row>
        <row r="1179">
          <cell r="W1179" t="b">
            <v>0</v>
          </cell>
        </row>
        <row r="1180">
          <cell r="W1180" t="b">
            <v>0</v>
          </cell>
        </row>
        <row r="1181">
          <cell r="W1181" t="b">
            <v>0</v>
          </cell>
        </row>
        <row r="1182">
          <cell r="W1182" t="b">
            <v>0</v>
          </cell>
        </row>
        <row r="1183">
          <cell r="W1183" t="b">
            <v>0</v>
          </cell>
        </row>
        <row r="1184">
          <cell r="W1184" t="b">
            <v>0</v>
          </cell>
        </row>
        <row r="1185">
          <cell r="W1185" t="b">
            <v>0</v>
          </cell>
        </row>
        <row r="1186">
          <cell r="W1186" t="b">
            <v>0</v>
          </cell>
        </row>
        <row r="1187">
          <cell r="W1187" t="b">
            <v>0</v>
          </cell>
        </row>
        <row r="1188">
          <cell r="W1188" t="b">
            <v>0</v>
          </cell>
        </row>
        <row r="1189">
          <cell r="W1189" t="b">
            <v>0</v>
          </cell>
        </row>
        <row r="1190">
          <cell r="W1190" t="b">
            <v>0</v>
          </cell>
        </row>
        <row r="1191">
          <cell r="W1191" t="b">
            <v>0</v>
          </cell>
        </row>
        <row r="1192">
          <cell r="W1192" t="b">
            <v>0</v>
          </cell>
        </row>
        <row r="1193">
          <cell r="W1193" t="b">
            <v>0</v>
          </cell>
        </row>
        <row r="1194">
          <cell r="W1194" t="b">
            <v>0</v>
          </cell>
        </row>
        <row r="1195">
          <cell r="W1195" t="b">
            <v>0</v>
          </cell>
        </row>
        <row r="1196">
          <cell r="W1196" t="b">
            <v>0</v>
          </cell>
        </row>
        <row r="1197">
          <cell r="W1197" t="b">
            <v>0</v>
          </cell>
        </row>
        <row r="1198">
          <cell r="W1198" t="b">
            <v>0</v>
          </cell>
        </row>
        <row r="1199">
          <cell r="W1199" t="b">
            <v>0</v>
          </cell>
        </row>
        <row r="1200">
          <cell r="W1200" t="b">
            <v>0</v>
          </cell>
        </row>
        <row r="1201">
          <cell r="W1201" t="b">
            <v>0</v>
          </cell>
        </row>
        <row r="1202">
          <cell r="W1202" t="b">
            <v>0</v>
          </cell>
        </row>
        <row r="1203">
          <cell r="W1203" t="b">
            <v>0</v>
          </cell>
        </row>
        <row r="1204">
          <cell r="W1204" t="b">
            <v>0</v>
          </cell>
        </row>
        <row r="1205">
          <cell r="W1205" t="b">
            <v>0</v>
          </cell>
        </row>
        <row r="1206">
          <cell r="W1206" t="b">
            <v>0</v>
          </cell>
        </row>
        <row r="1207">
          <cell r="W1207" t="b">
            <v>0</v>
          </cell>
        </row>
        <row r="1208">
          <cell r="W1208" t="b">
            <v>0</v>
          </cell>
        </row>
        <row r="1209">
          <cell r="W1209" t="b">
            <v>0</v>
          </cell>
        </row>
        <row r="1210">
          <cell r="W1210" t="b">
            <v>0</v>
          </cell>
        </row>
        <row r="1211">
          <cell r="W1211" t="b">
            <v>0</v>
          </cell>
        </row>
        <row r="1212">
          <cell r="W1212" t="b">
            <v>0</v>
          </cell>
        </row>
        <row r="1213">
          <cell r="W1213" t="b">
            <v>0</v>
          </cell>
        </row>
        <row r="1214">
          <cell r="W1214" t="b">
            <v>0</v>
          </cell>
        </row>
        <row r="1215">
          <cell r="W1215" t="b">
            <v>0</v>
          </cell>
        </row>
        <row r="1216">
          <cell r="W1216" t="b">
            <v>0</v>
          </cell>
        </row>
        <row r="1217">
          <cell r="W1217" t="b">
            <v>0</v>
          </cell>
        </row>
        <row r="1218">
          <cell r="W1218" t="b">
            <v>0</v>
          </cell>
        </row>
        <row r="1219">
          <cell r="W1219" t="b">
            <v>0</v>
          </cell>
        </row>
        <row r="1220">
          <cell r="W1220" t="b">
            <v>0</v>
          </cell>
        </row>
        <row r="1221">
          <cell r="W1221" t="b">
            <v>0</v>
          </cell>
        </row>
        <row r="1222">
          <cell r="W1222" t="b">
            <v>0</v>
          </cell>
        </row>
        <row r="1223">
          <cell r="W1223" t="b">
            <v>0</v>
          </cell>
        </row>
        <row r="1224">
          <cell r="W1224" t="b">
            <v>0</v>
          </cell>
        </row>
        <row r="1225">
          <cell r="W1225" t="b">
            <v>0</v>
          </cell>
        </row>
        <row r="1226">
          <cell r="W1226" t="b">
            <v>0</v>
          </cell>
        </row>
        <row r="1227">
          <cell r="W1227" t="b">
            <v>0</v>
          </cell>
        </row>
        <row r="1228">
          <cell r="W1228" t="b">
            <v>0</v>
          </cell>
        </row>
        <row r="1229">
          <cell r="W1229" t="b">
            <v>0</v>
          </cell>
        </row>
        <row r="1230">
          <cell r="W1230" t="b">
            <v>0</v>
          </cell>
        </row>
        <row r="1231">
          <cell r="W1231" t="b">
            <v>0</v>
          </cell>
        </row>
      </sheetData>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hina"/>
      <sheetName val="Corp Profits"/>
      <sheetName val="Backlogs"/>
      <sheetName val="Plane Models"/>
      <sheetName val="Biz Jets Takeoffs Landings&gt;&gt;"/>
      <sheetName val="Sheet1"/>
      <sheetName val="GAMA Annual Data"/>
      <sheetName val="Delivs Condensed"/>
      <sheetName val="Deliveries"/>
      <sheetName val="BizJet Deliveries"/>
      <sheetName val="Biz Jet Output Data"/>
      <sheetName val="Quart. &amp; Annual Summary"/>
      <sheetName val="Sheet2"/>
      <sheetName val="BJs charts"/>
      <sheetName val="__FDSCACHE__"/>
      <sheetName val="BBD Data"/>
      <sheetName val="AFOSHEET"/>
      <sheetName val="Source Data All Biz Jets"/>
      <sheetName val="Source Data Gulfstream "/>
      <sheetName val="Source Data Cessna"/>
      <sheetName val="Source Data Bombardier"/>
      <sheetName val="Source Data Embraer"/>
      <sheetName val="Source Data Hawker-Beechcraft"/>
      <sheetName val="Amstat Inventories"/>
      <sheetName val="Delivs by Regions"/>
      <sheetName val="Feb"/>
      <sheetName val="mwareDates"/>
      <sheetName val="Model"/>
      <sheetName val="Exclusion List"/>
    </sheetNames>
    <sheetDataSet>
      <sheetData sheetId="0"/>
      <sheetData sheetId="1"/>
      <sheetData sheetId="2"/>
      <sheetData sheetId="3"/>
      <sheetData sheetId="4"/>
      <sheetData sheetId="5"/>
      <sheetData sheetId="6"/>
      <sheetData sheetId="7"/>
      <sheetData sheetId="8"/>
      <sheetData sheetId="9">
        <row r="1">
          <cell r="A1" t="str">
            <v>Annual Deliveries</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Summ. Val."/>
      <sheetName val="mwareValPrintout"/>
      <sheetName val="mwareTaxoPres"/>
      <sheetName val="Main"/>
      <sheetName val="Quarterly"/>
      <sheetName val="Acquisitions"/>
      <sheetName val="Rev Breakdown"/>
      <sheetName val="Facilities"/>
      <sheetName val="Tables"/>
      <sheetName val="Valuation"/>
      <sheetName val="__FDSCACHE__"/>
      <sheetName val="Contracts"/>
      <sheetName val="DCF"/>
      <sheetName val="mwarePreview"/>
      <sheetName val="Comp Table"/>
      <sheetName val="Stk Price"/>
      <sheetName val="Rel P_E"/>
      <sheetName val="Rel_Pr_Bk"/>
      <sheetName val="Pr_Bk"/>
      <sheetName val="IDE"/>
      <sheetName val="NY UPLOAD"/>
      <sheetName val="mwareDates"/>
      <sheetName val="mwareSettings"/>
      <sheetName val="NY UPLOAD shadow"/>
      <sheetName val="ImportantDisclosures"/>
      <sheetName val="Model_Template"/>
      <sheetName val="C4I"/>
      <sheetName val="SR"/>
      <sheetName val="Historical"/>
      <sheetName val="Segments"/>
      <sheetName val="Scenario Assumptions"/>
      <sheetName val="Scenario Output"/>
      <sheetName val="Scenario DCF"/>
      <sheetName val="DCF07"/>
      <sheetName val="DCF08"/>
      <sheetName val="RSTA"/>
      <sheetName val="SS"/>
      <sheetName val="TS"/>
      <sheetName val="Valuation Metrics"/>
      <sheetName val="SumOfParts"/>
    </sheetNames>
    <sheetDataSet>
      <sheetData sheetId="0" refreshError="1"/>
      <sheetData sheetId="1" refreshError="1"/>
      <sheetData sheetId="2" refreshError="1"/>
      <sheetData sheetId="3" refreshError="1"/>
      <sheetData sheetId="4" refreshError="1">
        <row r="1">
          <cell r="A1" t="str">
            <v>DRS</v>
          </cell>
        </row>
        <row r="130">
          <cell r="A130" t="str">
            <v>FSCG</v>
          </cell>
        </row>
        <row r="180">
          <cell r="A180" t="str">
            <v>Other</v>
          </cell>
          <cell r="B180">
            <v>1.2689999999999999</v>
          </cell>
          <cell r="C180">
            <v>-1.46</v>
          </cell>
          <cell r="D180">
            <v>-0.92999999999999972</v>
          </cell>
          <cell r="E180">
            <v>1.9089999999999998</v>
          </cell>
          <cell r="F180">
            <v>0.49099999999999999</v>
          </cell>
          <cell r="G180">
            <v>0.26100000000000001</v>
          </cell>
          <cell r="H180">
            <v>0.997</v>
          </cell>
          <cell r="I180">
            <v>-1.0060000000000002</v>
          </cell>
          <cell r="J180">
            <v>1.4510000000000001</v>
          </cell>
          <cell r="K180">
            <v>0.66000000000000014</v>
          </cell>
          <cell r="L180">
            <v>2.8009999999999997</v>
          </cell>
          <cell r="M180">
            <v>-3.5049999999999999</v>
          </cell>
          <cell r="N180">
            <v>1.911</v>
          </cell>
          <cell r="O180">
            <v>0.122409960903395</v>
          </cell>
          <cell r="P180">
            <v>0.1315401763096565</v>
          </cell>
          <cell r="Q180">
            <v>0.13901344948800243</v>
          </cell>
          <cell r="R180">
            <v>-0.36299999999999999</v>
          </cell>
          <cell r="S180">
            <v>2.6790000000000003</v>
          </cell>
          <cell r="T180">
            <v>1.3819999999999999</v>
          </cell>
          <cell r="U180">
            <v>1.8560000000000001</v>
          </cell>
          <cell r="V180">
            <v>0.78800000000000003</v>
          </cell>
          <cell r="W180">
            <v>0.74299999999999999</v>
          </cell>
          <cell r="X180">
            <v>1.407</v>
          </cell>
        </row>
        <row r="181">
          <cell r="A181" t="str">
            <v>Working capital, net of effect of bus comb</v>
          </cell>
        </row>
        <row r="182">
          <cell r="A182" t="str">
            <v>(Increase) decrease in accounts receivable</v>
          </cell>
          <cell r="B182">
            <v>23.937000000000001</v>
          </cell>
          <cell r="C182">
            <v>-4.7740000000000009</v>
          </cell>
          <cell r="D182">
            <v>-7.3239999999999998</v>
          </cell>
          <cell r="E182">
            <v>-14.457000000000001</v>
          </cell>
          <cell r="F182">
            <v>13.875</v>
          </cell>
          <cell r="G182">
            <v>-13.842000000000001</v>
          </cell>
          <cell r="H182">
            <v>-7.7759999999999998</v>
          </cell>
          <cell r="I182">
            <v>-14.845000000000001</v>
          </cell>
          <cell r="J182">
            <v>28.276</v>
          </cell>
          <cell r="K182">
            <v>-2.7190000000000012</v>
          </cell>
          <cell r="L182">
            <v>-18.324999999999999</v>
          </cell>
          <cell r="M182">
            <v>18.783000000000001</v>
          </cell>
          <cell r="N182">
            <v>31.873000000000001</v>
          </cell>
          <cell r="O182">
            <v>23.135999999999999</v>
          </cell>
          <cell r="R182">
            <v>-17.268000000000001</v>
          </cell>
          <cell r="S182">
            <v>-21.001999999999999</v>
          </cell>
          <cell r="T182">
            <v>-4.1310000000000002</v>
          </cell>
          <cell r="U182">
            <v>-15.926</v>
          </cell>
          <cell r="V182">
            <v>-2.6179999999999999</v>
          </cell>
          <cell r="W182">
            <v>-22.588000000000001</v>
          </cell>
          <cell r="X182">
            <v>-2.3E-2</v>
          </cell>
          <cell r="Y182">
            <v>-30.79266666666669</v>
          </cell>
          <cell r="Z182">
            <v>-14.4444444444444</v>
          </cell>
          <cell r="AA182">
            <v>-16.000000000000057</v>
          </cell>
          <cell r="AB182">
            <v>-15.111111111111086</v>
          </cell>
          <cell r="AC182">
            <v>-10</v>
          </cell>
        </row>
        <row r="183">
          <cell r="A183" t="str">
            <v>(Increase) decrease in inventories</v>
          </cell>
          <cell r="B183">
            <v>-17.239000000000001</v>
          </cell>
          <cell r="C183">
            <v>1.979000000000001</v>
          </cell>
          <cell r="D183">
            <v>-4.947000000000001</v>
          </cell>
          <cell r="E183">
            <v>-5.1929999999999978</v>
          </cell>
          <cell r="F183">
            <v>2.9580000000000002</v>
          </cell>
          <cell r="G183">
            <v>7.6069999999999993</v>
          </cell>
          <cell r="H183">
            <v>-14.62</v>
          </cell>
          <cell r="I183">
            <v>13.304</v>
          </cell>
          <cell r="J183">
            <v>-22.731000000000002</v>
          </cell>
          <cell r="K183">
            <v>3.3000000000000007</v>
          </cell>
          <cell r="L183">
            <v>-4.384999999999998</v>
          </cell>
          <cell r="M183">
            <v>30.618000000000002</v>
          </cell>
          <cell r="N183">
            <v>5.1970000000000001</v>
          </cell>
          <cell r="O183">
            <v>45.798000000000002</v>
          </cell>
          <cell r="R183">
            <v>-9.7539999999999996</v>
          </cell>
          <cell r="S183">
            <v>-22.75</v>
          </cell>
          <cell r="T183">
            <v>7.516</v>
          </cell>
          <cell r="U183">
            <v>-10.007</v>
          </cell>
          <cell r="V183">
            <v>-25.4</v>
          </cell>
          <cell r="W183">
            <v>9.2490000000000006</v>
          </cell>
          <cell r="X183">
            <v>-11.803000000000001</v>
          </cell>
          <cell r="Y183">
            <v>-20.807041095890412</v>
          </cell>
          <cell r="Z183">
            <v>-10.403917808219177</v>
          </cell>
          <cell r="AA183">
            <v>-11.524339726027392</v>
          </cell>
          <cell r="AB183">
            <v>-10.681098630137029</v>
          </cell>
          <cell r="AC183">
            <v>-7.3713068493150615</v>
          </cell>
        </row>
        <row r="184">
          <cell r="A184" t="str">
            <v>(Increase) decrease in prepaid expense/othe current assets</v>
          </cell>
          <cell r="B184">
            <v>-2.1030000000000002</v>
          </cell>
          <cell r="C184">
            <v>-1.0709999999999997</v>
          </cell>
          <cell r="D184">
            <v>-2.8660000000000001</v>
          </cell>
          <cell r="E184">
            <v>2.6160000000000001</v>
          </cell>
          <cell r="F184">
            <v>-0.92200000000000004</v>
          </cell>
          <cell r="G184">
            <v>-5.7990000000000004</v>
          </cell>
          <cell r="H184">
            <v>0.49400000000000011</v>
          </cell>
          <cell r="I184">
            <v>3.2440000000000002</v>
          </cell>
          <cell r="J184">
            <v>-2.7469999999999999</v>
          </cell>
          <cell r="K184">
            <v>-0.15200000000000014</v>
          </cell>
          <cell r="L184">
            <v>-0.2669999999999999</v>
          </cell>
          <cell r="M184">
            <v>3.282</v>
          </cell>
          <cell r="N184">
            <v>-0.48699999999999999</v>
          </cell>
          <cell r="O184">
            <v>14.905000000000001</v>
          </cell>
          <cell r="R184">
            <v>-0.29099999999999998</v>
          </cell>
          <cell r="S184">
            <v>-0.64600000000000002</v>
          </cell>
          <cell r="T184">
            <v>1.573</v>
          </cell>
          <cell r="U184">
            <v>0.35399999999999998</v>
          </cell>
          <cell r="V184">
            <v>-3.4239999999999999</v>
          </cell>
          <cell r="W184">
            <v>-2.9830000000000001</v>
          </cell>
          <cell r="X184">
            <v>-2.488</v>
          </cell>
          <cell r="Y184">
            <v>-20.010000000000002</v>
          </cell>
          <cell r="Z184">
            <v>-2.1450000000000031</v>
          </cell>
          <cell r="AA184">
            <v>-2.3759999999999977</v>
          </cell>
          <cell r="AB184">
            <v>-2.2439999999999998</v>
          </cell>
          <cell r="AC184">
            <v>-1.4849999999999994</v>
          </cell>
        </row>
        <row r="185">
          <cell r="A185" t="str">
            <v>Increase (decrease) in acounts payable</v>
          </cell>
          <cell r="B185">
            <v>-6.47</v>
          </cell>
          <cell r="C185">
            <v>-6.1179999999999994</v>
          </cell>
          <cell r="D185">
            <v>15.826000000000001</v>
          </cell>
          <cell r="E185">
            <v>6.3079999999999981</v>
          </cell>
          <cell r="F185">
            <v>-19.561</v>
          </cell>
          <cell r="G185">
            <v>12.132999999999999</v>
          </cell>
          <cell r="H185">
            <v>11.938000000000001</v>
          </cell>
          <cell r="I185">
            <v>10.611000000000001</v>
          </cell>
          <cell r="J185">
            <v>-11.285</v>
          </cell>
          <cell r="K185">
            <v>2.09</v>
          </cell>
          <cell r="L185">
            <v>10.474</v>
          </cell>
          <cell r="M185">
            <v>1.093</v>
          </cell>
          <cell r="N185">
            <v>-4.2750000000000004</v>
          </cell>
          <cell r="O185">
            <v>0.45899999999999996</v>
          </cell>
          <cell r="R185">
            <v>10.984999999999999</v>
          </cell>
          <cell r="S185">
            <v>12.202</v>
          </cell>
          <cell r="T185">
            <v>-15.45</v>
          </cell>
          <cell r="U185">
            <v>11.007</v>
          </cell>
          <cell r="V185">
            <v>9.5459999999999994</v>
          </cell>
          <cell r="W185">
            <v>15.121</v>
          </cell>
          <cell r="X185">
            <v>3.4</v>
          </cell>
          <cell r="Y185">
            <v>31.576333333333324</v>
          </cell>
          <cell r="Z185">
            <v>6.1388888888888999</v>
          </cell>
          <cell r="AA185">
            <v>6.7999999999999829</v>
          </cell>
          <cell r="AB185">
            <v>6.4222222222222456</v>
          </cell>
          <cell r="AC185">
            <v>4.25</v>
          </cell>
        </row>
        <row r="186">
          <cell r="A186" t="str">
            <v>Increase (decrease) in accrued expenses/other current liab</v>
          </cell>
          <cell r="B186">
            <v>-3.4140000000000001</v>
          </cell>
          <cell r="C186">
            <v>4.0019999999999998</v>
          </cell>
          <cell r="D186">
            <v>4.1470000000000002</v>
          </cell>
          <cell r="E186">
            <v>2.1000000000000005</v>
          </cell>
          <cell r="F186">
            <v>-9.5329999999999995</v>
          </cell>
          <cell r="G186">
            <v>8.7779999999999987</v>
          </cell>
          <cell r="H186">
            <v>-2.472999999999999</v>
          </cell>
          <cell r="I186">
            <v>-30.588999999999999</v>
          </cell>
          <cell r="J186">
            <v>-9.0370000000000008</v>
          </cell>
          <cell r="K186">
            <v>-0.86799999999999855</v>
          </cell>
          <cell r="L186">
            <v>5.5059999999999993</v>
          </cell>
          <cell r="N186">
            <v>-23.832000000000001</v>
          </cell>
          <cell r="O186">
            <v>40.302</v>
          </cell>
          <cell r="P186">
            <v>67.814999999999998</v>
          </cell>
          <cell r="Q186">
            <v>86.489000000000004</v>
          </cell>
          <cell r="R186">
            <v>2.7250000000000001</v>
          </cell>
          <cell r="S186">
            <v>16.167999999999999</v>
          </cell>
          <cell r="T186">
            <v>-3.75</v>
          </cell>
          <cell r="U186">
            <v>6.9160000000000004</v>
          </cell>
          <cell r="V186">
            <v>6.835</v>
          </cell>
          <cell r="W186">
            <v>-33.817</v>
          </cell>
          <cell r="X186">
            <v>8.8930000000000007</v>
          </cell>
          <cell r="Y186">
            <v>52.791999999999973</v>
          </cell>
          <cell r="Z186">
            <v>18.199999999999989</v>
          </cell>
          <cell r="AA186">
            <v>20.160000000000025</v>
          </cell>
          <cell r="AB186">
            <v>19.04000000000002</v>
          </cell>
          <cell r="AC186">
            <v>12.599999999999966</v>
          </cell>
        </row>
        <row r="187">
          <cell r="A187" t="str">
            <v>Increase (decrease) in customer advances</v>
          </cell>
          <cell r="B187">
            <v>2.258</v>
          </cell>
          <cell r="C187">
            <v>2.4710000000000001</v>
          </cell>
          <cell r="D187">
            <v>-7.2110000000000003</v>
          </cell>
          <cell r="E187">
            <v>7.0550000000000006</v>
          </cell>
          <cell r="F187">
            <v>4.9329999999999998</v>
          </cell>
          <cell r="G187">
            <v>2.282</v>
          </cell>
          <cell r="H187">
            <v>-0.60799999999999965</v>
          </cell>
          <cell r="I187">
            <v>13.908999999999999</v>
          </cell>
          <cell r="J187">
            <v>3.7879999999999998</v>
          </cell>
          <cell r="K187">
            <v>5.7270000000000003</v>
          </cell>
          <cell r="L187">
            <v>-1.7959999999999998</v>
          </cell>
          <cell r="N187">
            <v>-8.2230000000000008</v>
          </cell>
          <cell r="O187">
            <v>43.536999999999999</v>
          </cell>
          <cell r="P187">
            <v>61.602000000000004</v>
          </cell>
          <cell r="Q187">
            <v>94.832999999999998</v>
          </cell>
          <cell r="R187">
            <v>0.68300000000000005</v>
          </cell>
          <cell r="S187">
            <v>14.613</v>
          </cell>
          <cell r="T187">
            <v>-6.5179999999999998</v>
          </cell>
          <cell r="U187">
            <v>7.0570000000000004</v>
          </cell>
          <cell r="V187">
            <v>4.5730000000000004</v>
          </cell>
          <cell r="W187">
            <v>20.515999999999998</v>
          </cell>
          <cell r="X187">
            <v>22.547000000000001</v>
          </cell>
        </row>
        <row r="188">
          <cell r="A188" t="str">
            <v>Other</v>
          </cell>
          <cell r="B188">
            <v>-0.46</v>
          </cell>
          <cell r="C188">
            <v>-3.2909999999999999</v>
          </cell>
          <cell r="D188">
            <v>3.8569999999999998</v>
          </cell>
          <cell r="E188">
            <v>0.9700000000000002</v>
          </cell>
          <cell r="F188">
            <v>0.24399999999999999</v>
          </cell>
          <cell r="G188">
            <v>3.3000000000000029E-2</v>
          </cell>
          <cell r="H188">
            <v>0.40900000000000003</v>
          </cell>
          <cell r="I188">
            <v>8.6929999999999996</v>
          </cell>
          <cell r="J188">
            <v>-0.35099999999999998</v>
          </cell>
          <cell r="K188">
            <v>1.038</v>
          </cell>
          <cell r="L188">
            <v>-0.84600000000000009</v>
          </cell>
          <cell r="M188">
            <v>36.424000000000007</v>
          </cell>
          <cell r="N188">
            <v>-0.157</v>
          </cell>
          <cell r="R188">
            <v>-0.70299999999999996</v>
          </cell>
          <cell r="S188">
            <v>0.46100000000000002</v>
          </cell>
          <cell r="T188">
            <v>0.84099999999999997</v>
          </cell>
          <cell r="U188">
            <v>2.1480000000000001</v>
          </cell>
          <cell r="V188">
            <v>1.0760000000000001</v>
          </cell>
          <cell r="W188">
            <v>9.3789999999999996</v>
          </cell>
          <cell r="X188">
            <v>0.58799999999999997</v>
          </cell>
        </row>
        <row r="189">
          <cell r="A189" t="str">
            <v>Loss on discontinued ops, net of tax</v>
          </cell>
          <cell r="D189">
            <v>37.36</v>
          </cell>
          <cell r="H189">
            <v>33.615000000000002</v>
          </cell>
          <cell r="R189">
            <v>0.189</v>
          </cell>
          <cell r="S189">
            <v>0.40200000000000002</v>
          </cell>
          <cell r="T189">
            <v>0.66499999999999992</v>
          </cell>
        </row>
        <row r="190">
          <cell r="A190" t="str">
            <v>Loss on disposal of discontinued ops, net of tax</v>
          </cell>
          <cell r="D190">
            <v>17.146000000000001</v>
          </cell>
          <cell r="H190">
            <v>0.57499999999999996</v>
          </cell>
          <cell r="T190">
            <v>2.0960000000000001</v>
          </cell>
          <cell r="W190">
            <v>0.57499999999999996</v>
          </cell>
        </row>
        <row r="191">
          <cell r="A191" t="str">
            <v>- subtotal</v>
          </cell>
          <cell r="B191">
            <v>1.0590000000000015</v>
          </cell>
          <cell r="C191">
            <v>-4.7089999999999996</v>
          </cell>
          <cell r="D191">
            <v>6.5500000000000007</v>
          </cell>
          <cell r="E191">
            <v>11.378999999999994</v>
          </cell>
          <cell r="F191">
            <v>-3.0809999999999977</v>
          </cell>
          <cell r="G191">
            <v>18.392999999999997</v>
          </cell>
          <cell r="H191">
            <v>-3.1119999999999957</v>
          </cell>
          <cell r="I191">
            <v>18.283000000000005</v>
          </cell>
          <cell r="J191">
            <v>-3.9680000000000066</v>
          </cell>
          <cell r="K191">
            <v>19.128999999999998</v>
          </cell>
          <cell r="L191">
            <v>7.1080000000000041</v>
          </cell>
          <cell r="M191">
            <v>55.302999999999997</v>
          </cell>
          <cell r="N191">
            <v>17.285000000000014</v>
          </cell>
          <cell r="R191">
            <v>-6.5160000000000009</v>
          </cell>
          <cell r="S191">
            <v>3.5349999999999899</v>
          </cell>
          <cell r="T191">
            <v>0.52700000000000191</v>
          </cell>
          <cell r="U191">
            <v>17.689999999999998</v>
          </cell>
          <cell r="V191">
            <v>14.279000000000003</v>
          </cell>
          <cell r="W191">
            <v>30.483000000000008</v>
          </cell>
          <cell r="X191">
            <v>77.571999999999989</v>
          </cell>
          <cell r="Y191">
            <v>66.797625665444571</v>
          </cell>
          <cell r="Z191">
            <v>58.489803959962096</v>
          </cell>
          <cell r="AA191">
            <v>64.745296533524737</v>
          </cell>
          <cell r="AB191">
            <v>70.895309021274315</v>
          </cell>
          <cell r="AC191">
            <v>75.451737185415752</v>
          </cell>
        </row>
        <row r="192">
          <cell r="A192" t="str">
            <v>TS</v>
          </cell>
          <cell r="D192" t="str">
            <v>NA</v>
          </cell>
          <cell r="H192">
            <v>14.711</v>
          </cell>
        </row>
        <row r="193">
          <cell r="A193" t="str">
            <v>Discretionary</v>
          </cell>
          <cell r="B193">
            <v>45.137</v>
          </cell>
          <cell r="C193">
            <v>48.621999999999993</v>
          </cell>
          <cell r="D193">
            <v>55.100999999999999</v>
          </cell>
          <cell r="E193">
            <v>90.824999999999989</v>
          </cell>
          <cell r="F193">
            <v>83.625</v>
          </cell>
          <cell r="G193">
            <v>90.638000000000005</v>
          </cell>
          <cell r="H193">
            <v>95.25500000000001</v>
          </cell>
          <cell r="J193">
            <v>19.38</v>
          </cell>
          <cell r="K193">
            <v>25.880999999999997</v>
          </cell>
          <cell r="L193">
            <v>41.93</v>
          </cell>
          <cell r="M193">
            <v>52.349999999999994</v>
          </cell>
          <cell r="N193">
            <v>61.951999999999998</v>
          </cell>
          <cell r="O193">
            <v>82.72</v>
          </cell>
          <cell r="P193">
            <v>129.81700000000001</v>
          </cell>
          <cell r="Q193">
            <v>181.91299999999995</v>
          </cell>
          <cell r="R193">
            <v>239.685</v>
          </cell>
          <cell r="S193">
            <v>389.95</v>
          </cell>
          <cell r="T193">
            <v>452.92</v>
          </cell>
          <cell r="U193">
            <v>505.81999999999994</v>
          </cell>
          <cell r="V193">
            <v>560.11500000000001</v>
          </cell>
        </row>
        <row r="194">
          <cell r="A194" t="str">
            <v>Dividends</v>
          </cell>
          <cell r="B194">
            <v>0</v>
          </cell>
          <cell r="C194">
            <v>0</v>
          </cell>
          <cell r="D194">
            <v>0</v>
          </cell>
          <cell r="E194">
            <v>0</v>
          </cell>
          <cell r="F194">
            <v>0</v>
          </cell>
          <cell r="G194">
            <v>0</v>
          </cell>
          <cell r="H194">
            <v>0</v>
          </cell>
          <cell r="I194">
            <v>0</v>
          </cell>
          <cell r="J194">
            <v>0</v>
          </cell>
          <cell r="K194">
            <v>0</v>
          </cell>
          <cell r="L194">
            <v>0</v>
          </cell>
          <cell r="M194">
            <v>0</v>
          </cell>
          <cell r="N194">
            <v>0</v>
          </cell>
          <cell r="O194">
            <v>2.7209260154738879</v>
          </cell>
          <cell r="P194">
            <v>4.4018811095619217</v>
          </cell>
          <cell r="Q194">
            <v>4.0143530149027296</v>
          </cell>
          <cell r="R194">
            <v>0</v>
          </cell>
          <cell r="S194">
            <v>0</v>
          </cell>
          <cell r="T194">
            <v>0</v>
          </cell>
          <cell r="U194">
            <v>0</v>
          </cell>
          <cell r="V194">
            <v>0</v>
          </cell>
          <cell r="W194">
            <v>0</v>
          </cell>
          <cell r="X194">
            <v>0</v>
          </cell>
          <cell r="Y194">
            <v>0</v>
          </cell>
          <cell r="Z194">
            <v>0</v>
          </cell>
          <cell r="AA194">
            <v>0</v>
          </cell>
          <cell r="AB194">
            <v>0</v>
          </cell>
          <cell r="AC194">
            <v>0</v>
          </cell>
        </row>
        <row r="195">
          <cell r="A195" t="str">
            <v>Asset sales</v>
          </cell>
          <cell r="B195">
            <v>2.7452644172186891</v>
          </cell>
          <cell r="C195">
            <v>2.3195312821356588</v>
          </cell>
          <cell r="D195">
            <v>1.9861027930527575</v>
          </cell>
          <cell r="E195">
            <v>5.042939719240298</v>
          </cell>
          <cell r="F195">
            <v>5.6160837070254113</v>
          </cell>
          <cell r="G195">
            <v>5.0664566738012748</v>
          </cell>
          <cell r="H195">
            <v>4.7506902524801848</v>
          </cell>
          <cell r="J195">
            <v>3.0676986584107322</v>
          </cell>
          <cell r="K195">
            <v>4.1371276225802713</v>
          </cell>
          <cell r="L195">
            <v>2.7998330550918187</v>
          </cell>
          <cell r="M195">
            <v>1.5434574976122253</v>
          </cell>
          <cell r="N195">
            <v>0.35412900309917322</v>
          </cell>
          <cell r="O195">
            <v>1.561133945841392</v>
          </cell>
          <cell r="P195">
            <v>3.9644191438717566</v>
          </cell>
          <cell r="Q195">
            <v>2.3275466844040835</v>
          </cell>
          <cell r="R195">
            <v>4.1669999999999998</v>
          </cell>
          <cell r="S195">
            <v>4.1806714408332084</v>
          </cell>
          <cell r="T195">
            <v>3.0504579227710877</v>
          </cell>
          <cell r="U195">
            <v>3.5750000000000002</v>
          </cell>
          <cell r="V195">
            <v>1.1266319107873968</v>
          </cell>
          <cell r="W195">
            <v>7.6239999999999997</v>
          </cell>
          <cell r="X195">
            <v>0</v>
          </cell>
        </row>
        <row r="196">
          <cell r="A196" t="str">
            <v>Acquis./Divests</v>
          </cell>
          <cell r="C196">
            <v>-71.927000000000007</v>
          </cell>
          <cell r="D196">
            <v>-1.0229999999999961</v>
          </cell>
          <cell r="E196">
            <v>0.68900000000000716</v>
          </cell>
          <cell r="F196">
            <v>-0.75</v>
          </cell>
          <cell r="G196">
            <v>-92.85</v>
          </cell>
          <cell r="H196">
            <v>-95.128000000000014</v>
          </cell>
          <cell r="I196">
            <v>-76.329999999999984</v>
          </cell>
          <cell r="J196">
            <v>-2.206</v>
          </cell>
          <cell r="K196">
            <v>-5.3620000000000001</v>
          </cell>
          <cell r="L196">
            <v>-236.43100000000001</v>
          </cell>
          <cell r="R196">
            <v>1.7960000000000065</v>
          </cell>
          <cell r="S196">
            <v>-7.1009999999999991</v>
          </cell>
          <cell r="T196">
            <v>-8.3859999999999992</v>
          </cell>
          <cell r="U196">
            <v>-6.9790000000000001</v>
          </cell>
          <cell r="V196">
            <v>-72.260999999999996</v>
          </cell>
          <cell r="W196">
            <v>-265.05799999999999</v>
          </cell>
          <cell r="X196">
            <v>-250.32900000000001</v>
          </cell>
        </row>
        <row r="197">
          <cell r="A197" t="str">
            <v>Stock repurchase</v>
          </cell>
        </row>
        <row r="198">
          <cell r="A198" t="str">
            <v>Common stock issuance</v>
          </cell>
          <cell r="D198">
            <v>113.462</v>
          </cell>
          <cell r="E198">
            <v>-0.86800000000000921</v>
          </cell>
          <cell r="H198">
            <v>145.303</v>
          </cell>
          <cell r="I198">
            <v>-0.95900000000000318</v>
          </cell>
          <cell r="J198">
            <v>9.4540000000000006</v>
          </cell>
          <cell r="K198">
            <v>9.2919999999999998</v>
          </cell>
          <cell r="L198">
            <v>14.593</v>
          </cell>
          <cell r="M198">
            <v>15.336</v>
          </cell>
          <cell r="N198">
            <v>18.053000000000001</v>
          </cell>
          <cell r="O198">
            <v>18.733000000000001</v>
          </cell>
          <cell r="V198">
            <v>112.59399999999999</v>
          </cell>
          <cell r="W198">
            <v>144.34399999999999</v>
          </cell>
          <cell r="X198">
            <v>0</v>
          </cell>
        </row>
        <row r="199">
          <cell r="A199" t="str">
            <v>Proceeds from stock options</v>
          </cell>
          <cell r="B199">
            <v>0.72899999999999998</v>
          </cell>
          <cell r="C199">
            <v>0.93400000000000005</v>
          </cell>
          <cell r="D199">
            <v>3.1379999999999999</v>
          </cell>
          <cell r="E199">
            <v>4.7880000000000003</v>
          </cell>
          <cell r="F199">
            <v>0.255</v>
          </cell>
          <cell r="G199">
            <v>7.9000000000000015E-2</v>
          </cell>
          <cell r="H199">
            <v>0.24699999999999994</v>
          </cell>
          <cell r="I199">
            <v>0.54100000000000015</v>
          </cell>
          <cell r="J199">
            <v>0.40100000000000002</v>
          </cell>
          <cell r="K199">
            <v>0.17099999999999993</v>
          </cell>
          <cell r="L199">
            <v>0.46899999999999997</v>
          </cell>
          <cell r="M199">
            <v>23.646000000000001</v>
          </cell>
          <cell r="N199">
            <v>27.364999999999998</v>
          </cell>
          <cell r="O199">
            <v>37.167999999999999</v>
          </cell>
          <cell r="S199">
            <v>0.14399999999999999</v>
          </cell>
          <cell r="T199">
            <v>8.0000000000000002E-3</v>
          </cell>
          <cell r="U199">
            <v>2.1880000000000002</v>
          </cell>
          <cell r="V199">
            <v>9.5890000000000004</v>
          </cell>
          <cell r="W199">
            <v>1.1220000000000001</v>
          </cell>
          <cell r="X199">
            <v>1.97</v>
          </cell>
        </row>
        <row r="200">
          <cell r="A200" t="str">
            <v>Debt issuance costs</v>
          </cell>
          <cell r="C200">
            <v>-4.6639999999999997</v>
          </cell>
          <cell r="E200">
            <v>4.6639999999999997</v>
          </cell>
          <cell r="H200">
            <v>-2.254</v>
          </cell>
          <cell r="I200">
            <v>0</v>
          </cell>
          <cell r="J200">
            <v>2.1240000000000001</v>
          </cell>
          <cell r="K200">
            <v>4.6840000000000002</v>
          </cell>
          <cell r="L200">
            <v>-14.955</v>
          </cell>
          <cell r="M200">
            <v>-0.747</v>
          </cell>
          <cell r="N200">
            <v>5.09</v>
          </cell>
          <cell r="O200">
            <v>12.605</v>
          </cell>
          <cell r="W200">
            <v>-2.254</v>
          </cell>
          <cell r="X200">
            <v>-15.744</v>
          </cell>
        </row>
        <row r="201">
          <cell r="A201" t="str">
            <v>Other</v>
          </cell>
          <cell r="C201">
            <v>6.7000000000000004E-2</v>
          </cell>
          <cell r="D201">
            <v>8.8999999999999996E-2</v>
          </cell>
          <cell r="E201">
            <v>-5.6000000000000022E-2</v>
          </cell>
          <cell r="F201">
            <v>9.6000000000000002E-2</v>
          </cell>
          <cell r="G201">
            <v>0.13999999999999999</v>
          </cell>
          <cell r="H201">
            <v>-0.159</v>
          </cell>
          <cell r="I201">
            <v>0.252</v>
          </cell>
          <cell r="J201">
            <v>0.31000000000000005</v>
          </cell>
          <cell r="K201">
            <v>0.10099999999999998</v>
          </cell>
          <cell r="L201">
            <v>0.86699999999999999</v>
          </cell>
          <cell r="M201">
            <v>0</v>
          </cell>
          <cell r="N201">
            <v>0</v>
          </cell>
          <cell r="O201">
            <v>0</v>
          </cell>
          <cell r="R201">
            <v>-1.9000000000000017E-2</v>
          </cell>
          <cell r="S201">
            <v>0.15</v>
          </cell>
          <cell r="T201">
            <v>-0.13200000000000001</v>
          </cell>
          <cell r="U201">
            <v>0.43099999999999999</v>
          </cell>
          <cell r="V201">
            <v>9.9999999999999978E-2</v>
          </cell>
          <cell r="W201">
            <v>0.32899999999999996</v>
          </cell>
          <cell r="X201">
            <v>0.92999999999999994</v>
          </cell>
          <cell r="Y201">
            <v>1.8887500000000017</v>
          </cell>
          <cell r="Z201">
            <v>9.3962499999999949</v>
          </cell>
          <cell r="AA201">
            <v>3.1680000000000064</v>
          </cell>
          <cell r="AB201">
            <v>2.9919999999999973</v>
          </cell>
          <cell r="AC201">
            <v>1.980000000000004</v>
          </cell>
        </row>
        <row r="202">
          <cell r="A202" t="str">
            <v>- subtotal</v>
          </cell>
          <cell r="B202">
            <v>0.72899999999999998</v>
          </cell>
          <cell r="C202">
            <v>-75.590000000000018</v>
          </cell>
          <cell r="D202">
            <v>115.66600000000001</v>
          </cell>
          <cell r="E202">
            <v>9.2169999999999987</v>
          </cell>
          <cell r="F202">
            <v>-0.39900000000000002</v>
          </cell>
          <cell r="G202">
            <v>-92.631</v>
          </cell>
          <cell r="H202">
            <v>48.008999999999986</v>
          </cell>
          <cell r="I202">
            <v>-68.871999999999971</v>
          </cell>
          <cell r="J202">
            <v>-1.4949999999999999</v>
          </cell>
          <cell r="K202">
            <v>-5.09</v>
          </cell>
          <cell r="L202">
            <v>-250.05000000000004</v>
          </cell>
          <cell r="N202">
            <v>30.018999999999998</v>
          </cell>
          <cell r="O202">
            <v>32.429000000000002</v>
          </cell>
          <cell r="P202">
            <v>58.652000000000001</v>
          </cell>
          <cell r="Q202">
            <v>73.566000000000003</v>
          </cell>
          <cell r="R202">
            <v>5.9440000000000062</v>
          </cell>
          <cell r="S202">
            <v>-6.8069999999999986</v>
          </cell>
          <cell r="T202">
            <v>-8.51</v>
          </cell>
          <cell r="U202">
            <v>-0.7849999999999997</v>
          </cell>
          <cell r="V202">
            <v>50.021999999999998</v>
          </cell>
          <cell r="W202">
            <v>-113.89299999999999</v>
          </cell>
          <cell r="X202">
            <v>-263.173</v>
          </cell>
          <cell r="Y202">
            <v>1.8887500000000017</v>
          </cell>
          <cell r="Z202">
            <v>9.3962499999999949</v>
          </cell>
          <cell r="AA202">
            <v>3.1680000000000064</v>
          </cell>
          <cell r="AB202">
            <v>2.9919999999999973</v>
          </cell>
          <cell r="AC202">
            <v>1.980000000000004</v>
          </cell>
        </row>
        <row r="203">
          <cell r="A203" t="str">
            <v>SR</v>
          </cell>
          <cell r="B203">
            <v>15.788</v>
          </cell>
          <cell r="C203">
            <v>21.077000000000002</v>
          </cell>
          <cell r="D203">
            <v>20.978999999999999</v>
          </cell>
          <cell r="E203">
            <v>30.056000000000004</v>
          </cell>
          <cell r="F203">
            <v>20.8</v>
          </cell>
          <cell r="G203">
            <v>23</v>
          </cell>
          <cell r="H203">
            <v>24</v>
          </cell>
          <cell r="I203">
            <v>36.762500000000003</v>
          </cell>
          <cell r="N203">
            <v>20.489000000000001</v>
          </cell>
          <cell r="O203">
            <v>36.076999999999998</v>
          </cell>
          <cell r="P203">
            <v>44.597000000000001</v>
          </cell>
          <cell r="Q203">
            <v>69.893000000000001</v>
          </cell>
          <cell r="R203">
            <v>87.9</v>
          </cell>
          <cell r="S203">
            <v>104.5625</v>
          </cell>
          <cell r="T203">
            <v>120.78</v>
          </cell>
          <cell r="U203">
            <v>132</v>
          </cell>
          <cell r="V203">
            <v>145.19999999999999</v>
          </cell>
        </row>
        <row r="204">
          <cell r="A204" t="str">
            <v>Change in Net Debt - pre debt fin'g</v>
          </cell>
          <cell r="B204">
            <v>1.7880000000000016</v>
          </cell>
          <cell r="C204">
            <v>-80.299000000000021</v>
          </cell>
          <cell r="D204">
            <v>122.21600000000001</v>
          </cell>
          <cell r="E204">
            <v>20.595999999999993</v>
          </cell>
          <cell r="F204">
            <v>-3.4799999999999978</v>
          </cell>
          <cell r="G204">
            <v>-74.238</v>
          </cell>
          <cell r="H204">
            <v>44.896999999999991</v>
          </cell>
          <cell r="I204">
            <v>-50.58899999999997</v>
          </cell>
          <cell r="J204">
            <v>-5.4630000000000063</v>
          </cell>
          <cell r="K204">
            <v>14.038999999999998</v>
          </cell>
          <cell r="L204">
            <v>-242.94200000000004</v>
          </cell>
          <cell r="N204">
            <v>17.285000000000014</v>
          </cell>
          <cell r="R204">
            <v>-0.57199999999999473</v>
          </cell>
          <cell r="S204">
            <v>-3.2720000000000087</v>
          </cell>
          <cell r="T204">
            <v>-7.9829999999999979</v>
          </cell>
          <cell r="U204">
            <v>16.904999999999998</v>
          </cell>
          <cell r="V204">
            <v>64.301000000000002</v>
          </cell>
          <cell r="W204">
            <v>-83.409999999999982</v>
          </cell>
          <cell r="X204">
            <v>-185.601</v>
          </cell>
          <cell r="Y204">
            <v>68.686375665444572</v>
          </cell>
          <cell r="Z204">
            <v>67.886053959962084</v>
          </cell>
          <cell r="AA204">
            <v>67.913296533524743</v>
          </cell>
          <cell r="AB204">
            <v>73.887309021274319</v>
          </cell>
          <cell r="AC204">
            <v>77.431737185415756</v>
          </cell>
        </row>
        <row r="205">
          <cell r="A205" t="str">
            <v>Short-term debt issuance (repayment)</v>
          </cell>
          <cell r="B205">
            <v>0.184</v>
          </cell>
          <cell r="C205">
            <v>0.29699999999999999</v>
          </cell>
          <cell r="D205">
            <v>-0.56200000000000006</v>
          </cell>
          <cell r="E205">
            <v>8.1000000000000072E-2</v>
          </cell>
          <cell r="F205">
            <v>0.70899999999999996</v>
          </cell>
          <cell r="G205">
            <v>-3.0999999999999917E-2</v>
          </cell>
          <cell r="H205">
            <v>7.6999999999999957E-2</v>
          </cell>
          <cell r="I205">
            <v>-0.48299999999999998</v>
          </cell>
          <cell r="J205">
            <v>0.24299999999999999</v>
          </cell>
          <cell r="K205">
            <v>-0.59299999999999997</v>
          </cell>
          <cell r="L205">
            <v>0.83700000000000008</v>
          </cell>
          <cell r="N205">
            <v>0.24299999999999999</v>
          </cell>
          <cell r="W205">
            <v>0.27200000000000002</v>
          </cell>
          <cell r="X205">
            <v>-0.52100000000000002</v>
          </cell>
          <cell r="Y205">
            <v>0</v>
          </cell>
          <cell r="Z205">
            <v>0</v>
          </cell>
          <cell r="AA205">
            <v>0</v>
          </cell>
          <cell r="AB205">
            <v>0</v>
          </cell>
          <cell r="AC205">
            <v>0</v>
          </cell>
        </row>
        <row r="206">
          <cell r="A206" t="str">
            <v>Long-term debt issuance (repayment)</v>
          </cell>
          <cell r="B206">
            <v>-3.2189999999999976</v>
          </cell>
          <cell r="C206">
            <v>82.088999999999999</v>
          </cell>
          <cell r="D206">
            <v>-21.355999999999995</v>
          </cell>
          <cell r="E206">
            <v>-6.3309999999999889</v>
          </cell>
          <cell r="F206">
            <v>-0.54500000000000004</v>
          </cell>
          <cell r="G206">
            <v>-0.35</v>
          </cell>
          <cell r="H206">
            <v>62.426000000000002</v>
          </cell>
          <cell r="I206">
            <v>-0.70700000000001495</v>
          </cell>
          <cell r="J206">
            <v>-0.68700000000000006</v>
          </cell>
          <cell r="K206">
            <v>-0.71299999999999986</v>
          </cell>
          <cell r="L206">
            <v>166.81799999999998</v>
          </cell>
          <cell r="N206">
            <v>-0.68700000000000006</v>
          </cell>
          <cell r="R206">
            <v>2.4120000000000004</v>
          </cell>
          <cell r="S206">
            <v>4.1739999999999995</v>
          </cell>
          <cell r="T206">
            <v>2.8290000000000006</v>
          </cell>
          <cell r="U206">
            <v>-18.346000000000004</v>
          </cell>
          <cell r="V206">
            <v>51.183000000000021</v>
          </cell>
          <cell r="W206">
            <v>60.823999999999984</v>
          </cell>
          <cell r="X206">
            <v>146.06199999999995</v>
          </cell>
          <cell r="Y206">
            <v>-3.9389999999999645</v>
          </cell>
          <cell r="Z206">
            <v>-2.3600000000001273</v>
          </cell>
          <cell r="AA206">
            <v>-2.3599999999999</v>
          </cell>
          <cell r="AB206">
            <v>-2.3600000000000136</v>
          </cell>
          <cell r="AC206">
            <v>-2.3600000000000136</v>
          </cell>
        </row>
        <row r="207">
          <cell r="A207" t="str">
            <v>Debt increase (decrease)</v>
          </cell>
          <cell r="B207">
            <v>-3.0349999999999975</v>
          </cell>
          <cell r="C207">
            <v>82.385999999999996</v>
          </cell>
          <cell r="D207">
            <v>-21.917999999999996</v>
          </cell>
          <cell r="E207">
            <v>-6.2499999999999885</v>
          </cell>
          <cell r="F207">
            <v>0.16399999999999992</v>
          </cell>
          <cell r="G207">
            <v>-0.38099999999999989</v>
          </cell>
          <cell r="H207">
            <v>62.503</v>
          </cell>
          <cell r="I207">
            <v>-1.190000000000019</v>
          </cell>
          <cell r="J207">
            <v>-0.44400000000000006</v>
          </cell>
          <cell r="K207">
            <v>-1.3059999999999998</v>
          </cell>
          <cell r="L207">
            <v>167.65499999999997</v>
          </cell>
          <cell r="N207">
            <v>-0.44400000000000006</v>
          </cell>
          <cell r="R207">
            <v>2.4120000000000004</v>
          </cell>
          <cell r="S207">
            <v>4.1739999999999995</v>
          </cell>
          <cell r="T207">
            <v>2.8290000000000006</v>
          </cell>
          <cell r="U207">
            <v>-18.346000000000004</v>
          </cell>
          <cell r="V207">
            <v>51.183000000000021</v>
          </cell>
          <cell r="W207">
            <v>61.095999999999982</v>
          </cell>
          <cell r="X207">
            <v>145.54099999999997</v>
          </cell>
          <cell r="Y207">
            <v>-3.9389999999999645</v>
          </cell>
          <cell r="Z207">
            <v>-2.3600000000001273</v>
          </cell>
          <cell r="AA207">
            <v>-2.3599999999999</v>
          </cell>
          <cell r="AB207">
            <v>-2.3600000000000136</v>
          </cell>
          <cell r="AC207">
            <v>-2.3600000000000136</v>
          </cell>
        </row>
        <row r="208">
          <cell r="A208" t="str">
            <v>Net cash from Discontinued Operations</v>
          </cell>
          <cell r="B208" t="str">
            <v>NA</v>
          </cell>
          <cell r="C208" t="str">
            <v>NA</v>
          </cell>
          <cell r="D208" t="str">
            <v>NA</v>
          </cell>
          <cell r="E208">
            <v>6.8</v>
          </cell>
          <cell r="F208">
            <v>13.3</v>
          </cell>
          <cell r="G208">
            <v>11.9</v>
          </cell>
          <cell r="H208">
            <v>11.4</v>
          </cell>
          <cell r="R208">
            <v>-0.63400000000000001</v>
          </cell>
          <cell r="S208">
            <v>-0.28499999999999998</v>
          </cell>
          <cell r="T208">
            <v>-0.13</v>
          </cell>
        </row>
        <row r="209">
          <cell r="A209" t="str">
            <v>F/X (UK/Canada)</v>
          </cell>
          <cell r="B209">
            <v>0.749</v>
          </cell>
          <cell r="C209">
            <v>0.22599999999999998</v>
          </cell>
          <cell r="D209">
            <v>-0.35399999999999998</v>
          </cell>
          <cell r="E209">
            <v>-0.63400000000000001</v>
          </cell>
          <cell r="F209">
            <v>5.7000000000000002E-2</v>
          </cell>
          <cell r="G209">
            <v>0.31</v>
          </cell>
          <cell r="H209">
            <v>0.17200000000000004</v>
          </cell>
          <cell r="I209">
            <v>-6.800000000000006E-2</v>
          </cell>
          <cell r="J209">
            <v>0.44</v>
          </cell>
          <cell r="K209">
            <v>-0.54</v>
          </cell>
          <cell r="L209">
            <v>0.95199999999999996</v>
          </cell>
          <cell r="M209">
            <v>-0.70399999999999996</v>
          </cell>
          <cell r="N209">
            <v>0.44</v>
          </cell>
          <cell r="O209">
            <v>-0.82199999999999995</v>
          </cell>
          <cell r="P209">
            <v>8.3000000000000004E-2</v>
          </cell>
          <cell r="Q209">
            <v>-0.32700000000000001</v>
          </cell>
          <cell r="R209">
            <v>-1.2999999999999999E-2</v>
          </cell>
          <cell r="S209">
            <v>-0.28000000000000003</v>
          </cell>
          <cell r="T209">
            <v>-0.96899999999999997</v>
          </cell>
          <cell r="U209">
            <v>-1.2999999999999999E-2</v>
          </cell>
          <cell r="V209">
            <v>-1.2999999999999999E-2</v>
          </cell>
          <cell r="W209">
            <v>0.47099999999999997</v>
          </cell>
          <cell r="X209">
            <v>0.91200000000000003</v>
          </cell>
          <cell r="Y209">
            <v>0</v>
          </cell>
          <cell r="Z209">
            <v>0</v>
          </cell>
          <cell r="AA209">
            <v>0</v>
          </cell>
          <cell r="AB209">
            <v>0</v>
          </cell>
          <cell r="AC209">
            <v>0</v>
          </cell>
        </row>
        <row r="210">
          <cell r="A210" t="str">
            <v>Increase (decrease) in Cash</v>
          </cell>
          <cell r="B210">
            <v>-0.49799999999999578</v>
          </cell>
          <cell r="C210">
            <v>2.312999999999974</v>
          </cell>
          <cell r="D210">
            <v>99.944000000000017</v>
          </cell>
          <cell r="E210">
            <v>13.712000000000003</v>
          </cell>
          <cell r="F210">
            <v>-3.2589999999999977</v>
          </cell>
          <cell r="G210">
            <v>-74.308999999999997</v>
          </cell>
          <cell r="H210">
            <v>107.57199999999999</v>
          </cell>
          <cell r="I210">
            <v>-51.846999999999987</v>
          </cell>
          <cell r="J210">
            <v>-5.4670000000000067</v>
          </cell>
          <cell r="K210">
            <v>12.192999999999998</v>
          </cell>
          <cell r="L210">
            <v>-72.978000000000037</v>
          </cell>
          <cell r="M210">
            <v>36.104999999999997</v>
          </cell>
          <cell r="N210">
            <v>17.281000000000013</v>
          </cell>
          <cell r="O210">
            <v>66.105999999999995</v>
          </cell>
          <cell r="P210">
            <v>101.381</v>
          </cell>
          <cell r="Q210">
            <v>140.94499999999996</v>
          </cell>
          <cell r="R210">
            <v>1.1930000000000058</v>
          </cell>
          <cell r="S210">
            <v>0.33699999999999042</v>
          </cell>
          <cell r="T210">
            <v>-6.2529999999999966</v>
          </cell>
          <cell r="U210">
            <v>-1.4540000000000077</v>
          </cell>
          <cell r="V210">
            <v>115.47100000000003</v>
          </cell>
          <cell r="W210">
            <v>-21.843000000000004</v>
          </cell>
          <cell r="X210">
            <v>-39.148000000000025</v>
          </cell>
          <cell r="Y210">
            <v>64.747375665444608</v>
          </cell>
          <cell r="Z210">
            <v>65.526053959961956</v>
          </cell>
          <cell r="AA210">
            <v>65.553296533524843</v>
          </cell>
          <cell r="AB210">
            <v>71.527309021274306</v>
          </cell>
          <cell r="AC210">
            <v>75.071737185415742</v>
          </cell>
        </row>
        <row r="211">
          <cell r="A211" t="str">
            <v>Depreciation &amp; Amortization</v>
          </cell>
        </row>
        <row r="212">
          <cell r="A212" t="str">
            <v>CASH FLOW/NINC</v>
          </cell>
          <cell r="B212">
            <v>0.26974019358125345</v>
          </cell>
          <cell r="C212">
            <v>-1.0639403524627205</v>
          </cell>
          <cell r="D212">
            <v>1.219512195121951</v>
          </cell>
          <cell r="E212">
            <v>1.7220036319612599</v>
          </cell>
          <cell r="F212">
            <v>-0.56698564593301382</v>
          </cell>
          <cell r="G212">
            <v>2.3980443285528024</v>
          </cell>
          <cell r="H212">
            <v>-0.42019983796921351</v>
          </cell>
          <cell r="I212">
            <v>1.8922583316083641</v>
          </cell>
          <cell r="J212">
            <v>-0.54089422028353429</v>
          </cell>
          <cell r="K212">
            <v>2.0356496754283286</v>
          </cell>
          <cell r="L212">
            <v>0.60845745591508327</v>
          </cell>
          <cell r="M212">
            <v>3.4470000000000001</v>
          </cell>
          <cell r="N212">
            <v>1.9139999999999999</v>
          </cell>
          <cell r="O212">
            <v>4.4029999999999996</v>
          </cell>
          <cell r="R212">
            <v>-1.022598870056497</v>
          </cell>
          <cell r="S212">
            <v>0.91461836998706092</v>
          </cell>
          <cell r="T212">
            <v>6.8789975199060424E-2</v>
          </cell>
          <cell r="U212">
            <v>1.4768742694940724</v>
          </cell>
          <cell r="V212">
            <v>0.70232649648320333</v>
          </cell>
          <cell r="W212">
            <v>1.0103075699323878</v>
          </cell>
          <cell r="X212">
            <v>1.7346153846153842</v>
          </cell>
          <cell r="Y212">
            <v>1.2516948059339215</v>
          </cell>
          <cell r="Z212">
            <v>1.0041432737586444</v>
          </cell>
          <cell r="AA212">
            <v>1.013373313178622</v>
          </cell>
          <cell r="AB212">
            <v>1.0329261686806657</v>
          </cell>
          <cell r="AC212">
            <v>1.0511799695487314</v>
          </cell>
        </row>
      </sheetData>
      <sheetData sheetId="5" refreshError="1">
        <row r="124">
          <cell r="A124" t="str">
            <v>Loss on disposal of discontinued ops, net of tax</v>
          </cell>
        </row>
        <row r="166">
          <cell r="A166" t="str">
            <v>Inventories, net of progress payments</v>
          </cell>
          <cell r="B166">
            <v>137.44900000000001</v>
          </cell>
          <cell r="C166">
            <v>134.96199999999999</v>
          </cell>
          <cell r="E166">
            <v>184.333</v>
          </cell>
          <cell r="G166">
            <v>0</v>
          </cell>
          <cell r="H166">
            <v>178.46799999999999</v>
          </cell>
        </row>
        <row r="167">
          <cell r="A167" t="str">
            <v>Prepaid expenses, deferred income tax and other</v>
          </cell>
          <cell r="B167">
            <v>19.309000000000001</v>
          </cell>
          <cell r="C167">
            <v>20.405000000000001</v>
          </cell>
          <cell r="E167">
            <v>31.954999999999998</v>
          </cell>
          <cell r="G167">
            <v>0</v>
          </cell>
          <cell r="H167">
            <v>21.074999999999999</v>
          </cell>
        </row>
        <row r="168">
          <cell r="A168" t="str">
            <v>Net current assets of discontinued operations</v>
          </cell>
          <cell r="B168">
            <v>0</v>
          </cell>
          <cell r="C168">
            <v>0</v>
          </cell>
          <cell r="E168">
            <v>0</v>
          </cell>
          <cell r="G168">
            <v>0</v>
          </cell>
          <cell r="H168">
            <v>0</v>
          </cell>
        </row>
        <row r="169">
          <cell r="A169" t="str">
            <v>Total Current Assets</v>
          </cell>
          <cell r="B169">
            <v>383.06900000000007</v>
          </cell>
          <cell r="C169">
            <v>396.85199999999998</v>
          </cell>
          <cell r="E169">
            <v>486.64899999999994</v>
          </cell>
          <cell r="G169">
            <v>0</v>
          </cell>
          <cell r="H169">
            <v>502.22099999999995</v>
          </cell>
        </row>
        <row r="171">
          <cell r="A171" t="str">
            <v>Property, plant, and equipment, net</v>
          </cell>
          <cell r="B171">
            <v>87.44</v>
          </cell>
          <cell r="C171">
            <v>87.584999999999994</v>
          </cell>
          <cell r="E171">
            <v>149.29300000000001</v>
          </cell>
          <cell r="G171">
            <v>0</v>
          </cell>
          <cell r="H171">
            <v>149.542</v>
          </cell>
        </row>
        <row r="172">
          <cell r="A172" t="str">
            <v>Intangible assets, net</v>
          </cell>
          <cell r="B172">
            <v>46.817</v>
          </cell>
          <cell r="C172">
            <v>45.902000000000001</v>
          </cell>
          <cell r="E172">
            <v>98.311999999999998</v>
          </cell>
          <cell r="G172">
            <v>0</v>
          </cell>
          <cell r="H172">
            <v>105.199</v>
          </cell>
        </row>
        <row r="173">
          <cell r="A173" t="str">
            <v>Goodwill, net</v>
          </cell>
          <cell r="B173">
            <v>433.94</v>
          </cell>
          <cell r="C173">
            <v>437.90600000000001</v>
          </cell>
          <cell r="E173">
            <v>878.572</v>
          </cell>
          <cell r="G173">
            <v>0</v>
          </cell>
          <cell r="H173">
            <v>808.62300000000005</v>
          </cell>
        </row>
        <row r="174">
          <cell r="A174" t="str">
            <v>Deferred income taxes and Other</v>
          </cell>
          <cell r="B174">
            <v>13.159000000000001</v>
          </cell>
          <cell r="C174">
            <v>12.837</v>
          </cell>
          <cell r="E174">
            <v>31.416</v>
          </cell>
          <cell r="G174">
            <v>0</v>
          </cell>
          <cell r="H174">
            <v>29.817</v>
          </cell>
        </row>
        <row r="176">
          <cell r="A176" t="str">
            <v>Total Noncurrent assets</v>
          </cell>
          <cell r="B176">
            <v>581.35599999999999</v>
          </cell>
          <cell r="C176">
            <v>584.23</v>
          </cell>
          <cell r="E176">
            <v>1157.5930000000001</v>
          </cell>
          <cell r="G176">
            <v>0</v>
          </cell>
          <cell r="H176">
            <v>1093.181</v>
          </cell>
        </row>
        <row r="178">
          <cell r="A178" t="str">
            <v>Total Assets</v>
          </cell>
          <cell r="B178">
            <v>964.42500000000007</v>
          </cell>
          <cell r="C178">
            <v>981.08199999999999</v>
          </cell>
          <cell r="E178">
            <v>1644.242</v>
          </cell>
          <cell r="G178">
            <v>0</v>
          </cell>
          <cell r="H178">
            <v>1595.402</v>
          </cell>
        </row>
        <row r="180">
          <cell r="A180" t="str">
            <v>Liabs. and Shareholders' Equity</v>
          </cell>
        </row>
        <row r="181">
          <cell r="A181" t="str">
            <v>Current installments on long-term debt</v>
          </cell>
          <cell r="B181">
            <v>7.7030000000000003</v>
          </cell>
          <cell r="C181">
            <v>7.6150000000000002</v>
          </cell>
          <cell r="E181">
            <v>5.8869999999999996</v>
          </cell>
          <cell r="G181">
            <v>0</v>
          </cell>
          <cell r="H181">
            <v>5.8940000000000001</v>
          </cell>
        </row>
        <row r="182">
          <cell r="A182" t="str">
            <v>Short-term bank debt</v>
          </cell>
          <cell r="B182">
            <v>0.78900000000000003</v>
          </cell>
          <cell r="C182">
            <v>0.19500000000000001</v>
          </cell>
          <cell r="E182">
            <v>1.18</v>
          </cell>
          <cell r="G182">
            <v>0</v>
          </cell>
          <cell r="H182">
            <v>4.4999999999999998E-2</v>
          </cell>
        </row>
        <row r="183">
          <cell r="A183" t="str">
            <v>Accounts payable</v>
          </cell>
          <cell r="B183">
            <v>57.316000000000003</v>
          </cell>
          <cell r="C183">
            <v>59.698</v>
          </cell>
          <cell r="E183">
            <v>83.662999999999997</v>
          </cell>
          <cell r="G183">
            <v>0</v>
          </cell>
          <cell r="H183">
            <v>86.007000000000005</v>
          </cell>
        </row>
        <row r="184">
          <cell r="A184" t="str">
            <v>Accrued expenses and other</v>
          </cell>
          <cell r="B184">
            <v>204.71600000000001</v>
          </cell>
          <cell r="C184">
            <v>209.84200000000001</v>
          </cell>
          <cell r="E184">
            <v>347.36099999999999</v>
          </cell>
          <cell r="G184">
            <v>0</v>
          </cell>
          <cell r="H184">
            <v>295.80800000000005</v>
          </cell>
        </row>
        <row r="186">
          <cell r="A186" t="str">
            <v>Total Current Liabilities</v>
          </cell>
          <cell r="B186">
            <v>270.524</v>
          </cell>
          <cell r="C186">
            <v>277.35000000000002</v>
          </cell>
          <cell r="E186">
            <v>438.09100000000001</v>
          </cell>
          <cell r="G186">
            <v>0</v>
          </cell>
          <cell r="H186">
            <v>387.75400000000002</v>
          </cell>
        </row>
        <row r="188">
          <cell r="A188" t="str">
            <v>Long-term debt</v>
          </cell>
          <cell r="B188">
            <v>216.16399999999999</v>
          </cell>
          <cell r="C188">
            <v>215.529</v>
          </cell>
          <cell r="E188">
            <v>586.41700000000003</v>
          </cell>
          <cell r="G188">
            <v>0</v>
          </cell>
          <cell r="H188">
            <v>565.654</v>
          </cell>
        </row>
        <row r="189">
          <cell r="A189" t="str">
            <v>Other liabilities</v>
          </cell>
          <cell r="B189">
            <v>28.283000000000001</v>
          </cell>
          <cell r="C189">
            <v>28.236999999999998</v>
          </cell>
          <cell r="E189">
            <v>38.084000000000003</v>
          </cell>
          <cell r="G189">
            <v>0</v>
          </cell>
          <cell r="H189">
            <v>46.354999999999997</v>
          </cell>
        </row>
        <row r="190">
          <cell r="A190" t="str">
            <v>Total Noncurrent Liabilities</v>
          </cell>
          <cell r="B190">
            <v>244.447</v>
          </cell>
          <cell r="C190">
            <v>243.76599999999999</v>
          </cell>
          <cell r="E190">
            <v>624.50099999999998</v>
          </cell>
          <cell r="G190">
            <v>0</v>
          </cell>
          <cell r="H190">
            <v>612.00900000000001</v>
          </cell>
        </row>
        <row r="192">
          <cell r="A192" t="str">
            <v>Total Shareholders' Equity</v>
          </cell>
          <cell r="B192">
            <v>449.4</v>
          </cell>
          <cell r="C192">
            <v>459.96600000000001</v>
          </cell>
          <cell r="E192">
            <v>581.649</v>
          </cell>
          <cell r="G192">
            <v>0</v>
          </cell>
          <cell r="H192">
            <v>595.625</v>
          </cell>
        </row>
        <row r="194">
          <cell r="A194" t="str">
            <v>Total Liabs. and Equity</v>
          </cell>
          <cell r="B194">
            <v>964.37099999999998</v>
          </cell>
          <cell r="C194">
            <v>981.08199999999999</v>
          </cell>
          <cell r="E194">
            <v>1644.241</v>
          </cell>
          <cell r="G194">
            <v>0</v>
          </cell>
          <cell r="H194">
            <v>1595.3879999999999</v>
          </cell>
        </row>
        <row r="195">
          <cell r="A195" t="str">
            <v>balance check</v>
          </cell>
          <cell r="B195">
            <v>-5.4000000000087311E-2</v>
          </cell>
          <cell r="C195">
            <v>0</v>
          </cell>
          <cell r="E195">
            <v>-9.9999999997635314E-4</v>
          </cell>
          <cell r="G195">
            <v>0</v>
          </cell>
          <cell r="H195">
            <v>-1.4000000000123691E-2</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tingsHistoryAndDistribution"/>
      <sheetName val="Disclaimer"/>
      <sheetName val="One Page Summary"/>
      <sheetName val="Summary"/>
      <sheetName val="WY"/>
      <sheetName val="WY-WLLMid-PeakEPS"/>
      <sheetName val="NAV"/>
      <sheetName val="EPS Lev"/>
      <sheetName val="DCF"/>
      <sheetName val="ResidualInc"/>
      <sheetName val="Timberlands"/>
      <sheetName val="Valuation"/>
      <sheetName val="__FDSCACHE__"/>
      <sheetName val="WLLValue"/>
      <sheetName val="Trading"/>
      <sheetName val="Debt"/>
      <sheetName val="Downtime"/>
      <sheetName val="Segment EBITDA"/>
      <sheetName val="Sheet2"/>
      <sheetName val="MainCode"/>
      <sheetName val="ROIC"/>
      <sheetName val="FCF"/>
      <sheetName val="Ratios"/>
      <sheetName val="NY UPLOAD"/>
      <sheetName val="NY UPLOAD shadow"/>
    </sheetNames>
    <sheetDataSet>
      <sheetData sheetId="0"/>
      <sheetData sheetId="1"/>
      <sheetData sheetId="2"/>
      <sheetData sheetId="3"/>
      <sheetData sheetId="4" refreshError="1">
        <row r="271">
          <cell r="AJ271">
            <v>283.2</v>
          </cell>
          <cell r="AK271">
            <v>322.5</v>
          </cell>
          <cell r="AL271">
            <v>346.3</v>
          </cell>
          <cell r="AM271">
            <v>357.4</v>
          </cell>
          <cell r="AN271">
            <v>1309.4000000000001</v>
          </cell>
          <cell r="AP271">
            <v>384.8</v>
          </cell>
          <cell r="AQ271">
            <v>385.1</v>
          </cell>
          <cell r="AR271">
            <v>375.58800000000008</v>
          </cell>
          <cell r="AS271">
            <v>324.10000000000002</v>
          </cell>
          <cell r="AT271">
            <v>1469.5880000000002</v>
          </cell>
          <cell r="AV271">
            <v>313.01</v>
          </cell>
          <cell r="AW271">
            <v>270.39999999999998</v>
          </cell>
          <cell r="AX271">
            <v>241.79799999999989</v>
          </cell>
          <cell r="AY271">
            <v>197.3</v>
          </cell>
          <cell r="AZ271">
            <v>1022.5079999999998</v>
          </cell>
          <cell r="BB271">
            <v>182.1</v>
          </cell>
          <cell r="BC271">
            <v>198.3</v>
          </cell>
          <cell r="BD271">
            <v>156.6</v>
          </cell>
          <cell r="BE271">
            <v>131</v>
          </cell>
          <cell r="BF271">
            <v>668</v>
          </cell>
          <cell r="BH271">
            <v>222.2</v>
          </cell>
          <cell r="BI271">
            <v>237.24235812927935</v>
          </cell>
          <cell r="BJ271">
            <v>239.6</v>
          </cell>
          <cell r="BK271">
            <v>202.4</v>
          </cell>
          <cell r="BL271">
            <v>901.44235812927934</v>
          </cell>
          <cell r="BN271">
            <v>340.2</v>
          </cell>
          <cell r="BO271">
            <v>342.1</v>
          </cell>
          <cell r="BP271">
            <v>199.9</v>
          </cell>
          <cell r="BQ271">
            <v>212.9</v>
          </cell>
          <cell r="BR271">
            <v>1095.0999999999999</v>
          </cell>
          <cell r="BT271">
            <v>271.69999999999993</v>
          </cell>
          <cell r="BU271">
            <v>259.60000000000002</v>
          </cell>
          <cell r="BV271">
            <v>275.31875000000002</v>
          </cell>
          <cell r="BW271">
            <v>316.25725</v>
          </cell>
          <cell r="BX271">
            <v>1122.8760000000002</v>
          </cell>
          <cell r="BZ271">
            <v>406</v>
          </cell>
          <cell r="CA271">
            <v>454</v>
          </cell>
          <cell r="CB271">
            <v>507</v>
          </cell>
          <cell r="CC271">
            <v>447</v>
          </cell>
          <cell r="CD271">
            <v>1814</v>
          </cell>
          <cell r="CF271">
            <v>281.2</v>
          </cell>
          <cell r="CG271">
            <v>225</v>
          </cell>
          <cell r="CH271">
            <v>253.2</v>
          </cell>
          <cell r="CI271">
            <v>213</v>
          </cell>
          <cell r="CJ271">
            <v>972.40000000000009</v>
          </cell>
          <cell r="CL271">
            <v>157</v>
          </cell>
          <cell r="CM271">
            <v>162</v>
          </cell>
          <cell r="CN271">
            <v>229</v>
          </cell>
          <cell r="CO271">
            <v>248</v>
          </cell>
          <cell r="CP271">
            <v>796</v>
          </cell>
          <cell r="CR271">
            <v>201</v>
          </cell>
          <cell r="CS271">
            <v>173</v>
          </cell>
          <cell r="CT271">
            <v>238</v>
          </cell>
          <cell r="CU271">
            <v>177</v>
          </cell>
          <cell r="CV271">
            <v>789</v>
          </cell>
          <cell r="CX271">
            <v>225</v>
          </cell>
          <cell r="CY271">
            <v>320.5</v>
          </cell>
          <cell r="CZ271">
            <v>432</v>
          </cell>
          <cell r="DA271">
            <v>356</v>
          </cell>
          <cell r="DB271">
            <v>1333.5</v>
          </cell>
          <cell r="DD271">
            <v>474</v>
          </cell>
          <cell r="DE271">
            <v>527</v>
          </cell>
          <cell r="DF271">
            <v>397</v>
          </cell>
          <cell r="DG271">
            <v>394</v>
          </cell>
          <cell r="DH271">
            <v>1792</v>
          </cell>
          <cell r="DJ271">
            <v>280</v>
          </cell>
          <cell r="DK271">
            <v>329</v>
          </cell>
          <cell r="DL271">
            <v>229</v>
          </cell>
          <cell r="DM271">
            <v>94</v>
          </cell>
          <cell r="DN271">
            <v>932</v>
          </cell>
          <cell r="DP271">
            <v>229</v>
          </cell>
          <cell r="DQ271">
            <v>339</v>
          </cell>
          <cell r="DR271">
            <v>218</v>
          </cell>
          <cell r="DS271">
            <v>330</v>
          </cell>
          <cell r="DT271">
            <v>1116</v>
          </cell>
          <cell r="DV271">
            <v>272.3638502</v>
          </cell>
          <cell r="DW271">
            <v>366.92875220000002</v>
          </cell>
          <cell r="DX271">
            <v>368.81239670000002</v>
          </cell>
          <cell r="DY271">
            <v>368.42032930000005</v>
          </cell>
          <cell r="DZ271">
            <v>1376.5253284</v>
          </cell>
          <cell r="EB271">
            <v>415.13667190600012</v>
          </cell>
          <cell r="EC271">
            <v>533.20530824600019</v>
          </cell>
          <cell r="ED271">
            <v>547.67406516100004</v>
          </cell>
          <cell r="EE271">
            <v>567.47408668200012</v>
          </cell>
          <cell r="EF271">
            <v>2063.4901319950004</v>
          </cell>
          <cell r="EH271">
            <v>562.25754450386</v>
          </cell>
          <cell r="EI271">
            <v>558.37498966226008</v>
          </cell>
          <cell r="EJ271">
            <v>450.36333661326</v>
          </cell>
          <cell r="EK271">
            <v>348.69339471446</v>
          </cell>
          <cell r="EL271">
            <v>1919.6892654938399</v>
          </cell>
          <cell r="EN271">
            <v>318.7343136837431</v>
          </cell>
          <cell r="EO271">
            <v>261.97545584333426</v>
          </cell>
          <cell r="EP271">
            <v>242.11469469700228</v>
          </cell>
          <cell r="EQ271">
            <v>264.79066449143983</v>
          </cell>
          <cell r="ER271">
            <v>1087.6151287155194</v>
          </cell>
          <cell r="GU271" t="str">
            <v xml:space="preserve"> </v>
          </cell>
        </row>
        <row r="306">
          <cell r="AG306">
            <v>745.82184671582263</v>
          </cell>
          <cell r="AJ306">
            <v>60.6</v>
          </cell>
          <cell r="AK306">
            <v>72.8</v>
          </cell>
          <cell r="AL306">
            <v>68.599999999999994</v>
          </cell>
          <cell r="AM306">
            <v>49.1</v>
          </cell>
          <cell r="AN306">
            <v>251.1</v>
          </cell>
          <cell r="AP306">
            <v>76</v>
          </cell>
          <cell r="AQ306">
            <v>80.099999999999994</v>
          </cell>
          <cell r="AR306">
            <v>70.7</v>
          </cell>
          <cell r="AS306">
            <v>52.954999999999991</v>
          </cell>
          <cell r="AT306">
            <v>282.755</v>
          </cell>
          <cell r="AV306">
            <v>60.783000000000001</v>
          </cell>
          <cell r="AW306">
            <v>54.5</v>
          </cell>
          <cell r="AX306">
            <v>34.267000000000003</v>
          </cell>
          <cell r="AY306">
            <v>28.1</v>
          </cell>
          <cell r="AZ306">
            <v>177.6</v>
          </cell>
          <cell r="BB306">
            <v>19.600000000000001</v>
          </cell>
          <cell r="BC306">
            <v>24.9</v>
          </cell>
          <cell r="BD306">
            <v>7.5</v>
          </cell>
          <cell r="BE306">
            <v>11.231</v>
          </cell>
          <cell r="BF306">
            <v>63.231000000000002</v>
          </cell>
          <cell r="BH306">
            <v>36.4</v>
          </cell>
          <cell r="BI306">
            <v>44</v>
          </cell>
          <cell r="BJ306">
            <v>45.9</v>
          </cell>
          <cell r="BK306">
            <v>24.5</v>
          </cell>
          <cell r="BL306">
            <v>150.80000000000001</v>
          </cell>
          <cell r="BN306">
            <v>81.100000000000009</v>
          </cell>
          <cell r="BO306">
            <v>80.2</v>
          </cell>
          <cell r="BP306">
            <v>38.800000000000004</v>
          </cell>
          <cell r="BQ306">
            <v>34</v>
          </cell>
          <cell r="BR306">
            <v>234.10000000000002</v>
          </cell>
          <cell r="BT306">
            <v>74.707999999999984</v>
          </cell>
          <cell r="BU306">
            <v>70.956000000000003</v>
          </cell>
          <cell r="BV306">
            <v>81.618750000000006</v>
          </cell>
          <cell r="BW306">
            <v>89.012609999999995</v>
          </cell>
          <cell r="BX306">
            <v>316.70174000000003</v>
          </cell>
          <cell r="BZ306">
            <v>129.1875</v>
          </cell>
          <cell r="CA306">
            <v>137.8125</v>
          </cell>
          <cell r="CB306">
            <v>165.75</v>
          </cell>
          <cell r="CC306">
            <v>125.46000000000001</v>
          </cell>
          <cell r="CD306">
            <v>558.21</v>
          </cell>
          <cell r="CF306">
            <v>82.199999999999989</v>
          </cell>
          <cell r="CG306">
            <v>58.125</v>
          </cell>
          <cell r="CH306">
            <v>67</v>
          </cell>
          <cell r="CI306">
            <v>46.08</v>
          </cell>
          <cell r="CJ306">
            <v>253.40499999999997</v>
          </cell>
          <cell r="CL306">
            <v>49.25</v>
          </cell>
          <cell r="CM306">
            <v>49.25</v>
          </cell>
          <cell r="CN306">
            <v>49.25</v>
          </cell>
          <cell r="CO306">
            <v>49.25</v>
          </cell>
          <cell r="CP306">
            <v>197</v>
          </cell>
          <cell r="CR306">
            <v>49.95</v>
          </cell>
          <cell r="CS306">
            <v>40.33</v>
          </cell>
          <cell r="CT306">
            <v>65</v>
          </cell>
          <cell r="CU306">
            <v>37.29</v>
          </cell>
          <cell r="CV306">
            <v>192.57</v>
          </cell>
          <cell r="CX306">
            <v>58.4</v>
          </cell>
          <cell r="CY306">
            <v>94</v>
          </cell>
          <cell r="CZ306">
            <v>136</v>
          </cell>
          <cell r="DA306">
            <v>102</v>
          </cell>
          <cell r="DB306">
            <v>125.2505149578696</v>
          </cell>
          <cell r="DD306">
            <v>143</v>
          </cell>
          <cell r="DE306">
            <v>163.79999999999998</v>
          </cell>
          <cell r="DF306">
            <v>114</v>
          </cell>
          <cell r="DG306">
            <v>112</v>
          </cell>
          <cell r="DH306">
            <v>532.79999999999995</v>
          </cell>
          <cell r="DJ306">
            <v>63</v>
          </cell>
          <cell r="DK306">
            <v>77</v>
          </cell>
          <cell r="DL306">
            <v>45</v>
          </cell>
          <cell r="DM306">
            <v>2</v>
          </cell>
          <cell r="DN306">
            <v>187</v>
          </cell>
          <cell r="DP306">
            <v>31.139999999999997</v>
          </cell>
          <cell r="DQ306">
            <v>46.55</v>
          </cell>
          <cell r="DR306">
            <v>-5</v>
          </cell>
          <cell r="DS306">
            <v>47.949999999999996</v>
          </cell>
          <cell r="DT306">
            <v>120.63999999999999</v>
          </cell>
          <cell r="DV306">
            <v>22.990986071999998</v>
          </cell>
          <cell r="DW306">
            <v>58.924350792000006</v>
          </cell>
          <cell r="DX306">
            <v>61.177462812000009</v>
          </cell>
          <cell r="DY306">
            <v>62.296318548000016</v>
          </cell>
          <cell r="DZ306">
            <v>205.38911822400004</v>
          </cell>
          <cell r="EB306">
            <v>79.114201886160046</v>
          </cell>
          <cell r="EC306">
            <v>122.87891096856006</v>
          </cell>
          <cell r="ED306">
            <v>130.60766345796</v>
          </cell>
          <cell r="EE306">
            <v>140.25567120552003</v>
          </cell>
          <cell r="EF306">
            <v>472.85644751820007</v>
          </cell>
          <cell r="EH306">
            <v>138.3777160213896</v>
          </cell>
          <cell r="EI306">
            <v>138.55499627841363</v>
          </cell>
          <cell r="EJ306">
            <v>100.6158011807736</v>
          </cell>
          <cell r="EK306">
            <v>64.644622097205598</v>
          </cell>
          <cell r="EL306">
            <v>442.19313557778241</v>
          </cell>
          <cell r="EN306">
            <v>53.859352926147515</v>
          </cell>
          <cell r="EO306">
            <v>33.426164103600335</v>
          </cell>
          <cell r="EP306">
            <v>26.276290090920821</v>
          </cell>
          <cell r="EQ306">
            <v>34.439639216918337</v>
          </cell>
          <cell r="ER306">
            <v>148.001446337587</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sheetData sheetId="21"/>
      <sheetData sheetId="22"/>
      <sheetData sheetId="23"/>
      <sheetData sheetId="24"/>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c-Yr Summary"/>
      <sheetName val="Balance"/>
      <sheetName val="Valuation"/>
      <sheetName val="Main Cover"/>
      <sheetName val="Cover"/>
      <sheetName val="__FDSCACHE__"/>
      <sheetName val="Revenue Breakdown-new"/>
      <sheetName val="Ratios"/>
      <sheetName val="Cash Flow"/>
      <sheetName val="Cost-Structure"/>
      <sheetName val="DCF-EVA "/>
      <sheetName val="Revenue Breakdown-old"/>
      <sheetName val="Cap Allocation"/>
      <sheetName val="Inc.-Qtr Var Analysis"/>
      <sheetName val="margins"/>
      <sheetName val="Depreciation Schedule"/>
      <sheetName val="mStartup"/>
      <sheetName val="NY UPLOAD"/>
      <sheetName val="NY UPLOAD Shadow"/>
      <sheetName val="MainCode"/>
      <sheetName val="Module1"/>
    </sheetNames>
    <sheetDataSet>
      <sheetData sheetId="0" refreshError="1">
        <row r="27">
          <cell r="AC27">
            <v>6768</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refreshError="1"/>
      <sheetData sheetId="15"/>
      <sheetData sheetId="16" refreshError="1"/>
      <sheetData sheetId="17"/>
      <sheetData sheetId="18"/>
      <sheetData sheetId="19" refreshError="1"/>
      <sheetData sheetId="20"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c-Yr Summary"/>
      <sheetName val="Revenue- Assumptions"/>
      <sheetName val="Charts"/>
      <sheetName val="Main Cover"/>
      <sheetName val="Cover"/>
      <sheetName val="FAS 131"/>
      <sheetName val="Inc.-Qtr Var Analysis"/>
      <sheetName val="Balance"/>
      <sheetName val="Cash Flow"/>
      <sheetName val="DCF - EVA"/>
      <sheetName val="Free Cash Flow"/>
      <sheetName val="Depreciation Schedule"/>
      <sheetName val="__FDSCACHE__"/>
      <sheetName val="Geographic "/>
      <sheetName val="Inc. - Yr."/>
      <sheetName val="Flavor Market"/>
      <sheetName val="Fragrance Market"/>
      <sheetName val="MainCode"/>
    </sheetNames>
    <sheetDataSet>
      <sheetData sheetId="0" refreshError="1">
        <row r="46">
          <cell r="Z46">
            <v>384.97099980163591</v>
          </cell>
        </row>
      </sheetData>
      <sheetData sheetId="1"/>
      <sheetData sheetId="2" refreshError="1"/>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CRS"/>
      <sheetName val="Analysis"/>
    </sheetNames>
    <sheetDataSet>
      <sheetData sheetId="0" refreshError="1">
        <row r="4">
          <cell r="C4">
            <v>3</v>
          </cell>
        </row>
        <row r="5">
          <cell r="C5">
            <v>5</v>
          </cell>
        </row>
        <row r="6">
          <cell r="C6">
            <v>7</v>
          </cell>
        </row>
        <row r="7">
          <cell r="C7">
            <v>10</v>
          </cell>
        </row>
        <row r="8">
          <cell r="C8">
            <v>15</v>
          </cell>
        </row>
      </sheetData>
      <sheetData sheetId="1" refreshError="1">
        <row r="2">
          <cell r="C2">
            <v>3</v>
          </cell>
        </row>
      </sheetData>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ultipleSecurities"/>
      <sheetName val="Model_Template"/>
      <sheetName val="Q&amp;A"/>
      <sheetName val="mwareDates"/>
      <sheetName val="mwareSettings"/>
      <sheetName val="INPUT"/>
      <sheetName val="Val"/>
      <sheetName val="PRINT SHEET"/>
      <sheetName val="Key Metrics"/>
      <sheetName val="Profile"/>
      <sheetName val="STA GRAPHS"/>
      <sheetName val="RESIDUAL INCOME"/>
      <sheetName val="Employee"/>
      <sheetName val="Individual"/>
      <sheetName val="Assumptions"/>
      <sheetName val="BS"/>
      <sheetName val="UPS-GAS"/>
      <sheetName val="Quarterly"/>
      <sheetName val="Combo Box"/>
      <sheetName val="MMD"/>
      <sheetName val="Model"/>
      <sheetName val="MATQTRS"/>
      <sheetName val="UNIV-EBS DATA"/>
      <sheetName val="Ratios"/>
      <sheetName val="MATINC"/>
      <sheetName val="MATBAL"/>
      <sheetName val="Macro1"/>
      <sheetName val="Macro2"/>
      <sheetName val="Valuation"/>
      <sheetName val="yearly"/>
      <sheetName val="OnAir"/>
      <sheetName val="Analysis"/>
      <sheetName val="MACRS"/>
      <sheetName val="FutureAcq"/>
      <sheetName val="Credit Output"/>
      <sheetName val="CalcsMO"/>
      <sheetName val=" Capital"/>
      <sheetName val="New Business"/>
      <sheetName val="LXK"/>
      <sheetName val="RELPE"/>
      <sheetName val="SALESCAT"/>
      <sheetName val="MATCASH"/>
      <sheetName val="FinSum"/>
      <sheetName val="Scenario"/>
      <sheetName val="Aladdin Macro1"/>
      <sheetName val="DATA"/>
      <sheetName val="Gas"/>
      <sheetName val="Off Peak"/>
      <sheetName val="Peak"/>
      <sheetName val="WY"/>
      <sheetName val="changes in EST"/>
      <sheetName val="US peers EBIT Margins"/>
      <sheetName val="Sheet7"/>
      <sheetName val="Model (Euro)"/>
      <sheetName val="Monthly Spot"/>
      <sheetName val="NKEBALST"/>
      <sheetName val="NKEQTRIN"/>
      <sheetName val="main"/>
      <sheetName val="Sheet1"/>
      <sheetName val="premium detail - P&amp;C"/>
      <sheetName val="DMK"/>
      <sheetName val="Monthly figures"/>
      <sheetName val="Cashflow Mode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come-Segment"/>
    </sheetNames>
    <sheetDataSet>
      <sheetData sheetId="0" refreshError="1">
        <row r="25">
          <cell r="AD25">
            <v>2049.3000000000002</v>
          </cell>
          <cell r="AN25">
            <v>2324</v>
          </cell>
          <cell r="AS25">
            <v>2324</v>
          </cell>
          <cell r="AX25">
            <v>2103.4</v>
          </cell>
          <cell r="BC25">
            <v>2236.4946301284799</v>
          </cell>
          <cell r="BD25">
            <v>2454.9950033387586</v>
          </cell>
          <cell r="BE25">
            <v>2697.79759998386</v>
          </cell>
          <cell r="BF25">
            <v>2962.7001694999481</v>
          </cell>
        </row>
      </sheetData>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IT Screen"/>
      <sheetName val="Exclusion List"/>
      <sheetName val="MVT Demo"/>
      <sheetName val="OIT Screening"/>
    </sheetNames>
    <sheetDataSet>
      <sheetData sheetId="0"/>
      <sheetData sheetId="1" refreshError="1">
        <row r="1">
          <cell r="A1" t="str">
            <v>ticker</v>
          </cell>
        </row>
        <row r="2">
          <cell r="A2" t="str">
            <v>ABP.L</v>
          </cell>
        </row>
        <row r="3">
          <cell r="A3" t="str">
            <v>AGG.L</v>
          </cell>
        </row>
        <row r="4">
          <cell r="A4" t="str">
            <v>AHLN.AS</v>
          </cell>
        </row>
        <row r="5">
          <cell r="A5" t="str">
            <v>AHo.N</v>
          </cell>
        </row>
        <row r="6">
          <cell r="A6" t="str">
            <v>AIRF.PA</v>
          </cell>
        </row>
        <row r="7">
          <cell r="A7" t="str">
            <v>AKH.N</v>
          </cell>
        </row>
        <row r="8">
          <cell r="A8" t="str">
            <v>AIB.N</v>
          </cell>
        </row>
        <row r="9">
          <cell r="A9" t="str">
            <v>ALBK.I</v>
          </cell>
        </row>
        <row r="10">
          <cell r="A10" t="str">
            <v>ALO.N</v>
          </cell>
        </row>
        <row r="11">
          <cell r="A11" t="str">
            <v>AHC.N</v>
          </cell>
        </row>
        <row r="12">
          <cell r="A12" t="str">
            <v>AMGN.O</v>
          </cell>
        </row>
        <row r="13">
          <cell r="A13" t="str">
            <v>AAL.L</v>
          </cell>
        </row>
        <row r="14">
          <cell r="A14" t="str">
            <v>ANGL.I</v>
          </cell>
        </row>
        <row r="15">
          <cell r="A15" t="str">
            <v>A3TV.MC</v>
          </cell>
        </row>
        <row r="16">
          <cell r="A16" t="str">
            <v>5201.T</v>
          </cell>
        </row>
        <row r="17">
          <cell r="A17" t="str">
            <v>ASGLY.PK</v>
          </cell>
        </row>
        <row r="18">
          <cell r="A18" t="str">
            <v>020560.KQ</v>
          </cell>
        </row>
        <row r="19">
          <cell r="A19" t="str">
            <v>ASSAb.ST</v>
          </cell>
        </row>
        <row r="20">
          <cell r="A20" t="str">
            <v>AZN.L</v>
          </cell>
        </row>
        <row r="21">
          <cell r="A21" t="str">
            <v>AZN.N</v>
          </cell>
        </row>
        <row r="22">
          <cell r="A22" t="str">
            <v>AZN.ST</v>
          </cell>
        </row>
        <row r="23">
          <cell r="A23" t="str">
            <v>ATML.O</v>
          </cell>
        </row>
        <row r="24">
          <cell r="A24" t="str">
            <v>AMS.S</v>
          </cell>
        </row>
        <row r="25">
          <cell r="A25" t="str">
            <v>AWG.L</v>
          </cell>
        </row>
        <row r="26">
          <cell r="A26" t="str">
            <v>BBY.L</v>
          </cell>
        </row>
        <row r="27">
          <cell r="A27" t="str">
            <v>BRL.N</v>
          </cell>
        </row>
        <row r="28">
          <cell r="A28" t="str">
            <v>BCOM.BR</v>
          </cell>
        </row>
        <row r="29">
          <cell r="A29" t="str">
            <v>BKG_u.L</v>
          </cell>
        </row>
        <row r="30">
          <cell r="A30" t="str">
            <v>BEZQ.TA</v>
          </cell>
        </row>
        <row r="31">
          <cell r="A31" t="str">
            <v>1114.HK</v>
          </cell>
        </row>
        <row r="32">
          <cell r="A32" t="str">
            <v>CBA.N</v>
          </cell>
        </row>
        <row r="33">
          <cell r="A33" t="str">
            <v>BAB.N</v>
          </cell>
        </row>
        <row r="34">
          <cell r="A34" t="str">
            <v>BAY.L</v>
          </cell>
        </row>
        <row r="35">
          <cell r="A35" t="str">
            <v>BGY.L</v>
          </cell>
        </row>
        <row r="36">
          <cell r="A36" t="str">
            <v>BGY.N</v>
          </cell>
        </row>
        <row r="37">
          <cell r="A37" t="str">
            <v>BSY.L</v>
          </cell>
        </row>
        <row r="38">
          <cell r="A38" t="str">
            <v>BSY.N</v>
          </cell>
        </row>
        <row r="39">
          <cell r="A39" t="str">
            <v>BLGSY.OTC</v>
          </cell>
        </row>
        <row r="40">
          <cell r="A40" t="str">
            <v>BULG.MI</v>
          </cell>
        </row>
        <row r="41">
          <cell r="A41" t="str">
            <v>BNI.N</v>
          </cell>
        </row>
        <row r="42">
          <cell r="A42" t="str">
            <v>CW.L</v>
          </cell>
        </row>
        <row r="43">
          <cell r="A43" t="str">
            <v>CWP.N</v>
          </cell>
        </row>
        <row r="44">
          <cell r="A44" t="str">
            <v>CECO.O</v>
          </cell>
        </row>
        <row r="45">
          <cell r="A45" t="str">
            <v>CASP.PA</v>
          </cell>
        </row>
        <row r="46">
          <cell r="A46" t="str">
            <v>CASP_p.PA</v>
          </cell>
        </row>
        <row r="47">
          <cell r="A47" t="str">
            <v>6952.T</v>
          </cell>
        </row>
        <row r="48">
          <cell r="A48" t="str">
            <v>CSIOY.PK</v>
          </cell>
        </row>
        <row r="49">
          <cell r="A49" t="str">
            <v>0293.HK</v>
          </cell>
        </row>
        <row r="50">
          <cell r="A50" t="str">
            <v>CE.N</v>
          </cell>
        </row>
        <row r="51">
          <cell r="A51" t="str">
            <v>CZ.N</v>
          </cell>
        </row>
        <row r="52">
          <cell r="A52" t="str">
            <v>CNA.L</v>
          </cell>
        </row>
        <row r="53">
          <cell r="A53" t="str">
            <v>CVX.N</v>
          </cell>
        </row>
        <row r="54">
          <cell r="A54" t="str">
            <v>2002.TW</v>
          </cell>
        </row>
        <row r="55">
          <cell r="A55" t="str">
            <v>2002q.L</v>
          </cell>
        </row>
        <row r="56">
          <cell r="A56" t="str">
            <v>2891.TW</v>
          </cell>
        </row>
        <row r="57">
          <cell r="A57" t="str">
            <v>1110.HK</v>
          </cell>
        </row>
        <row r="58">
          <cell r="A58" t="str">
            <v>CBKG.DE</v>
          </cell>
        </row>
        <row r="59">
          <cell r="A59" t="str">
            <v>CRZBY.OTC</v>
          </cell>
        </row>
        <row r="60">
          <cell r="A60" t="str">
            <v>CAL.N</v>
          </cell>
        </row>
        <row r="61">
          <cell r="A61" t="str">
            <v>CHRN.S</v>
          </cell>
        </row>
        <row r="62">
          <cell r="A62" t="str">
            <v>CRBK.BO</v>
          </cell>
        </row>
        <row r="63">
          <cell r="A63" t="str">
            <v>COSr.AT</v>
          </cell>
        </row>
        <row r="64">
          <cell r="A64" t="str">
            <v>CSGKY.OTC</v>
          </cell>
        </row>
        <row r="65">
          <cell r="A65" t="str">
            <v>CSGN.VX</v>
          </cell>
        </row>
        <row r="66">
          <cell r="A66" t="str">
            <v>8601.T</v>
          </cell>
        </row>
        <row r="67">
          <cell r="A67" t="str">
            <v>DSECY.PK</v>
          </cell>
        </row>
        <row r="68">
          <cell r="A68" t="str">
            <v>DES.N</v>
          </cell>
        </row>
        <row r="69">
          <cell r="A69" t="str">
            <v>DESCB.MX</v>
          </cell>
        </row>
        <row r="70">
          <cell r="A70" t="str">
            <v>DT.N</v>
          </cell>
        </row>
        <row r="71">
          <cell r="A71" t="str">
            <v>DTEGn.DE</v>
          </cell>
        </row>
        <row r="72">
          <cell r="A72" t="str">
            <v>DEO.N</v>
          </cell>
        </row>
        <row r="73">
          <cell r="A73" t="str">
            <v>DGE.L</v>
          </cell>
        </row>
        <row r="74">
          <cell r="A74" t="str">
            <v>2884.TW</v>
          </cell>
        </row>
        <row r="75">
          <cell r="A75" t="str">
            <v>ELN.N</v>
          </cell>
        </row>
        <row r="76">
          <cell r="A76" t="str">
            <v>AKD_pb.SN</v>
          </cell>
        </row>
        <row r="77">
          <cell r="A77" t="str">
            <v>AKOa.N</v>
          </cell>
        </row>
        <row r="78">
          <cell r="A78" t="str">
            <v>AKOb.N</v>
          </cell>
        </row>
        <row r="79">
          <cell r="A79" t="str">
            <v>AND_pa.SN</v>
          </cell>
        </row>
        <row r="80">
          <cell r="A80" t="str">
            <v>END.SN</v>
          </cell>
        </row>
        <row r="81">
          <cell r="A81" t="str">
            <v>EOC.N</v>
          </cell>
        </row>
        <row r="82">
          <cell r="A82" t="str">
            <v>ENE.SN</v>
          </cell>
        </row>
        <row r="83">
          <cell r="A83" t="str">
            <v>ENI.N</v>
          </cell>
        </row>
        <row r="84">
          <cell r="A84" t="str">
            <v>2618.TW</v>
          </cell>
        </row>
        <row r="85">
          <cell r="A85" t="str">
            <v>XJT.N</v>
          </cell>
        </row>
        <row r="86">
          <cell r="A86" t="str">
            <v>XOM.N</v>
          </cell>
        </row>
        <row r="87">
          <cell r="A87" t="str">
            <v>FAMVY.OTC</v>
          </cell>
        </row>
        <row r="88">
          <cell r="A88" t="str">
            <v>FOR.AS</v>
          </cell>
        </row>
        <row r="89">
          <cell r="A89" t="str">
            <v>FOR.BR</v>
          </cell>
        </row>
        <row r="90">
          <cell r="A90" t="str">
            <v>FRNT.O</v>
          </cell>
        </row>
        <row r="91">
          <cell r="A91" t="str">
            <v>2817.TW</v>
          </cell>
        </row>
        <row r="92">
          <cell r="A92" t="str">
            <v>2881.TW</v>
          </cell>
        </row>
        <row r="93">
          <cell r="A93" t="str">
            <v>2881q.L</v>
          </cell>
        </row>
        <row r="94">
          <cell r="A94" t="str">
            <v>GAZPq.L</v>
          </cell>
        </row>
        <row r="95">
          <cell r="A95" t="str">
            <v>RADGYP.OTC</v>
          </cell>
        </row>
        <row r="96">
          <cell r="A96" t="str">
            <v>GFCP.PA</v>
          </cell>
        </row>
        <row r="97">
          <cell r="A97" t="str">
            <v>GD.N</v>
          </cell>
        </row>
        <row r="98">
          <cell r="A98" t="str">
            <v>GASI.MI</v>
          </cell>
        </row>
        <row r="99">
          <cell r="A99" t="str">
            <v>GNW.N</v>
          </cell>
        </row>
        <row r="100">
          <cell r="A100" t="str">
            <v>TL5.MC</v>
          </cell>
        </row>
        <row r="101">
          <cell r="A101" t="str">
            <v>GRAS.BO</v>
          </cell>
        </row>
        <row r="102">
          <cell r="A102" t="str">
            <v>GFS.L</v>
          </cell>
        </row>
        <row r="103">
          <cell r="A103" t="str">
            <v>ASR.N</v>
          </cell>
        </row>
        <row r="104">
          <cell r="A104" t="str">
            <v>ASUR.MX</v>
          </cell>
        </row>
        <row r="105">
          <cell r="A105" t="str">
            <v>GCARSOA1.MX</v>
          </cell>
        </row>
        <row r="106">
          <cell r="A106" t="str">
            <v>GPOOY.O</v>
          </cell>
        </row>
        <row r="107">
          <cell r="A107" t="str">
            <v>PRS.MC</v>
          </cell>
        </row>
        <row r="108">
          <cell r="A108" t="str">
            <v>HAN.N</v>
          </cell>
        </row>
        <row r="109">
          <cell r="A109" t="str">
            <v>HNS.L</v>
          </cell>
        </row>
        <row r="110">
          <cell r="A110" t="str">
            <v>HAS.L</v>
          </cell>
        </row>
        <row r="111">
          <cell r="A111" t="str">
            <v>HRMS.PA</v>
          </cell>
        </row>
        <row r="112">
          <cell r="A112" t="str">
            <v>HLT.N</v>
          </cell>
        </row>
        <row r="113">
          <cell r="A113" t="str">
            <v>HOLMb.ST</v>
          </cell>
        </row>
        <row r="114">
          <cell r="A114" t="str">
            <v>011170.KS</v>
          </cell>
        </row>
        <row r="115">
          <cell r="A115" t="str">
            <v>HMT.N</v>
          </cell>
        </row>
        <row r="116">
          <cell r="A116" t="str">
            <v>HVMG.DE</v>
          </cell>
        </row>
        <row r="117">
          <cell r="A117" t="str">
            <v>HVMGY.OTC</v>
          </cell>
        </row>
        <row r="118">
          <cell r="A118" t="str">
            <v>012330.KS</v>
          </cell>
        </row>
        <row r="119">
          <cell r="A119" t="str">
            <v>IBE.MC</v>
          </cell>
        </row>
        <row r="120">
          <cell r="A120" t="str">
            <v>IBLA.MC</v>
          </cell>
        </row>
        <row r="121">
          <cell r="A121" t="str">
            <v>ITX.MC</v>
          </cell>
        </row>
        <row r="122">
          <cell r="A122" t="str">
            <v>ING.AS</v>
          </cell>
        </row>
        <row r="123">
          <cell r="A123" t="str">
            <v>ING.N</v>
          </cell>
        </row>
        <row r="124">
          <cell r="A124" t="str">
            <v>IPR.L</v>
          </cell>
        </row>
        <row r="125">
          <cell r="A125" t="str">
            <v>IPR.N</v>
          </cell>
        </row>
        <row r="126">
          <cell r="A126" t="str">
            <v>ITRK.L</v>
          </cell>
        </row>
        <row r="127">
          <cell r="A127" t="str">
            <v>JCDX.PA</v>
          </cell>
        </row>
        <row r="128">
          <cell r="A128" t="str">
            <v>KEL.L</v>
          </cell>
        </row>
        <row r="129">
          <cell r="A129" t="str">
            <v>KPN.AS</v>
          </cell>
        </row>
        <row r="130">
          <cell r="A130" t="str">
            <v>KPN.N</v>
          </cell>
        </row>
        <row r="131">
          <cell r="A131" t="str">
            <v>LQI.N</v>
          </cell>
        </row>
        <row r="132">
          <cell r="A132" t="str">
            <v>LH.N</v>
          </cell>
        </row>
        <row r="133">
          <cell r="A133" t="str">
            <v>0992.HK</v>
          </cell>
        </row>
        <row r="134">
          <cell r="A134" t="str">
            <v>LGHLY.O</v>
          </cell>
        </row>
        <row r="135">
          <cell r="A135" t="str">
            <v>LING.DE</v>
          </cell>
        </row>
        <row r="136">
          <cell r="A136" t="str">
            <v>LAD.N</v>
          </cell>
        </row>
        <row r="137">
          <cell r="A137" t="str">
            <v>LOG.L</v>
          </cell>
        </row>
        <row r="138">
          <cell r="A138" t="str">
            <v>LMI.L</v>
          </cell>
        </row>
        <row r="139">
          <cell r="A139" t="str">
            <v>LKOH.RTS</v>
          </cell>
        </row>
        <row r="140">
          <cell r="A140" t="str">
            <v>LUKOY.OTC</v>
          </cell>
        </row>
        <row r="141">
          <cell r="A141" t="str">
            <v>LUN.CO</v>
          </cell>
        </row>
        <row r="142">
          <cell r="A142" t="str">
            <v>LYO.N</v>
          </cell>
        </row>
        <row r="143">
          <cell r="A143" t="str">
            <v>MANG.DE</v>
          </cell>
        </row>
        <row r="144">
          <cell r="A144" t="str">
            <v>MANG_p.DE</v>
          </cell>
        </row>
        <row r="145">
          <cell r="A145" t="str">
            <v>MOLB.BU</v>
          </cell>
        </row>
        <row r="146">
          <cell r="A146" t="str">
            <v>MOLBq.L</v>
          </cell>
        </row>
        <row r="147">
          <cell r="A147" t="str">
            <v>MRLAV.HE</v>
          </cell>
        </row>
        <row r="148">
          <cell r="A148" t="str">
            <v>MRLBV.HE</v>
          </cell>
        </row>
        <row r="149">
          <cell r="A149" t="str">
            <v>NGT.L</v>
          </cell>
        </row>
        <row r="150">
          <cell r="A150" t="str">
            <v>NGT.N</v>
          </cell>
        </row>
        <row r="151">
          <cell r="A151" t="str">
            <v>NXT.L</v>
          </cell>
        </row>
        <row r="152">
          <cell r="A152" t="str">
            <v>NHH.MC</v>
          </cell>
        </row>
        <row r="153">
          <cell r="A153" t="str">
            <v>8603.T</v>
          </cell>
        </row>
        <row r="154">
          <cell r="A154" t="str">
            <v>NIKOY.PK</v>
          </cell>
        </row>
        <row r="155">
          <cell r="A155" t="str">
            <v>NSG.OL</v>
          </cell>
        </row>
        <row r="156">
          <cell r="A156" t="str">
            <v>NSG.OTC</v>
          </cell>
        </row>
        <row r="157">
          <cell r="A157" t="str">
            <v>NSGB.OL</v>
          </cell>
        </row>
        <row r="158">
          <cell r="A158" t="str">
            <v>NOC.N</v>
          </cell>
        </row>
        <row r="159">
          <cell r="A159" t="str">
            <v>NVDA.O</v>
          </cell>
        </row>
        <row r="160">
          <cell r="A160" t="str">
            <v>OMVKY.OTC</v>
          </cell>
        </row>
        <row r="161">
          <cell r="A161" t="str">
            <v>OMVV.VI</v>
          </cell>
        </row>
        <row r="162">
          <cell r="A162" t="str">
            <v>ORBC.BO</v>
          </cell>
        </row>
        <row r="163">
          <cell r="A163" t="str">
            <v>0008.HK</v>
          </cell>
        </row>
        <row r="164">
          <cell r="A164" t="str">
            <v>PCW.N</v>
          </cell>
        </row>
        <row r="165">
          <cell r="A165" t="str">
            <v>PNN.L</v>
          </cell>
        </row>
        <row r="166">
          <cell r="A166" t="str">
            <v>PDRDY.OTC</v>
          </cell>
        </row>
        <row r="167">
          <cell r="A167" t="str">
            <v>PERP.PA</v>
          </cell>
        </row>
        <row r="168">
          <cell r="A168" t="str">
            <v>PER.BA</v>
          </cell>
        </row>
        <row r="169">
          <cell r="A169" t="str">
            <v>PZE.N</v>
          </cell>
        </row>
        <row r="170">
          <cell r="A170" t="str">
            <v>PNCL.O</v>
          </cell>
        </row>
        <row r="171">
          <cell r="A171" t="str">
            <v>PT.N</v>
          </cell>
        </row>
        <row r="172">
          <cell r="A172" t="str">
            <v>PTCO.IN</v>
          </cell>
        </row>
        <row r="173">
          <cell r="A173" t="str">
            <v>PPS.N</v>
          </cell>
        </row>
        <row r="174">
          <cell r="A174" t="str">
            <v>DPBGn.DE</v>
          </cell>
        </row>
        <row r="175">
          <cell r="A175" t="str">
            <v>PCO.N</v>
          </cell>
        </row>
        <row r="176">
          <cell r="A176" t="str">
            <v>PFG.N</v>
          </cell>
        </row>
        <row r="177">
          <cell r="A177" t="str">
            <v>PSMG_p.DE</v>
          </cell>
        </row>
        <row r="178">
          <cell r="A178" t="str">
            <v>PEUGY.OTC</v>
          </cell>
        </row>
        <row r="179">
          <cell r="A179" t="str">
            <v>PEUP.PA</v>
          </cell>
        </row>
        <row r="180">
          <cell r="A180" t="str">
            <v>PUBP.PA</v>
          </cell>
        </row>
        <row r="181">
          <cell r="A181" t="str">
            <v>PUMG.DE</v>
          </cell>
        </row>
        <row r="182">
          <cell r="A182" t="str">
            <v>PUMG.OTC</v>
          </cell>
        </row>
        <row r="183">
          <cell r="A183" t="str">
            <v>RANB.BO</v>
          </cell>
        </row>
        <row r="184">
          <cell r="A184" t="str">
            <v>RANBq.L</v>
          </cell>
        </row>
        <row r="185">
          <cell r="A185" t="str">
            <v>RTN.N</v>
          </cell>
        </row>
        <row r="186">
          <cell r="A186" t="str">
            <v>RTNa.N</v>
          </cell>
        </row>
        <row r="187">
          <cell r="A187" t="str">
            <v>RCOP.PA</v>
          </cell>
        </row>
        <row r="188">
          <cell r="A188" t="str">
            <v>RENA.PA</v>
          </cell>
        </row>
        <row r="189">
          <cell r="A189" t="str">
            <v>RSA.L</v>
          </cell>
        </row>
        <row r="190">
          <cell r="A190" t="str">
            <v>SBS.N</v>
          </cell>
        </row>
        <row r="191">
          <cell r="A191" t="str">
            <v>SBSP3.SA</v>
          </cell>
        </row>
        <row r="192">
          <cell r="A192" t="str">
            <v>005930.KS</v>
          </cell>
        </row>
        <row r="193">
          <cell r="A193" t="str">
            <v>0593q.L</v>
          </cell>
        </row>
        <row r="194">
          <cell r="A194" t="str">
            <v>SANM.O</v>
          </cell>
        </row>
        <row r="195">
          <cell r="A195" t="str">
            <v>SASY.PA</v>
          </cell>
        </row>
        <row r="196">
          <cell r="A196" t="str">
            <v>SNY.N</v>
          </cell>
        </row>
        <row r="197">
          <cell r="A197" t="str">
            <v>SAPJ.J</v>
          </cell>
        </row>
        <row r="198">
          <cell r="A198" t="str">
            <v>SPP.N</v>
          </cell>
        </row>
        <row r="199">
          <cell r="A199" t="str">
            <v>SAS.ST</v>
          </cell>
        </row>
        <row r="200">
          <cell r="A200" t="str">
            <v>SCAb.ST</v>
          </cell>
        </row>
        <row r="201">
          <cell r="A201" t="str">
            <v>SVCBY.OTC</v>
          </cell>
        </row>
        <row r="202">
          <cell r="A202" t="str">
            <v>SCHG.DE</v>
          </cell>
        </row>
        <row r="203">
          <cell r="A203" t="str">
            <v>SCO.N</v>
          </cell>
        </row>
        <row r="204">
          <cell r="A204" t="str">
            <v>SCOR.PA</v>
          </cell>
        </row>
        <row r="205">
          <cell r="A205" t="str">
            <v>SPI.N</v>
          </cell>
        </row>
        <row r="206">
          <cell r="A206" t="str">
            <v>SPW.L</v>
          </cell>
        </row>
        <row r="207">
          <cell r="A207" t="str">
            <v>SVT.L</v>
          </cell>
        </row>
        <row r="208">
          <cell r="A208" t="str">
            <v>8184.T</v>
          </cell>
        </row>
        <row r="209">
          <cell r="A209" t="str">
            <v>SHI.L</v>
          </cell>
        </row>
        <row r="210">
          <cell r="A210" t="str">
            <v>2890.TW</v>
          </cell>
        </row>
        <row r="211">
          <cell r="A211" t="str">
            <v>SKFa.ST</v>
          </cell>
        </row>
        <row r="212">
          <cell r="A212" t="str">
            <v>SKFb.ST</v>
          </cell>
        </row>
        <row r="213">
          <cell r="A213" t="str">
            <v>SKFR.O</v>
          </cell>
        </row>
        <row r="214">
          <cell r="A214" t="str">
            <v>SCGLY.OTC</v>
          </cell>
        </row>
        <row r="215">
          <cell r="A215" t="str">
            <v>SOGN.PA</v>
          </cell>
        </row>
        <row r="216">
          <cell r="A216" t="str">
            <v>6758.T</v>
          </cell>
        </row>
        <row r="217">
          <cell r="A217" t="str">
            <v>SNE.N</v>
          </cell>
        </row>
        <row r="218">
          <cell r="A218" t="str">
            <v>SGC.L</v>
          </cell>
        </row>
        <row r="219">
          <cell r="A219" t="str">
            <v>SEO.N</v>
          </cell>
        </row>
        <row r="220">
          <cell r="A220" t="str">
            <v>STERV.HE</v>
          </cell>
        </row>
        <row r="221">
          <cell r="A221" t="str">
            <v>LYOE.PA</v>
          </cell>
        </row>
        <row r="222">
          <cell r="A222" t="str">
            <v>5713.T</v>
          </cell>
        </row>
        <row r="223">
          <cell r="A223" t="str">
            <v>SLF.TO</v>
          </cell>
        </row>
        <row r="224">
          <cell r="A224" t="str">
            <v>SHO.N</v>
          </cell>
        </row>
        <row r="225">
          <cell r="A225" t="str">
            <v>SNGS.RTS</v>
          </cell>
        </row>
        <row r="226">
          <cell r="A226" t="str">
            <v>SNGSyq.L</v>
          </cell>
        </row>
        <row r="227">
          <cell r="A227" t="str">
            <v>SCM.N</v>
          </cell>
        </row>
        <row r="228">
          <cell r="A228" t="str">
            <v>SCMN.VX</v>
          </cell>
        </row>
        <row r="229">
          <cell r="A229" t="str">
            <v>2887.TW</v>
          </cell>
        </row>
        <row r="230">
          <cell r="A230" t="str">
            <v>1310.TW</v>
          </cell>
        </row>
        <row r="231">
          <cell r="A231" t="str">
            <v>TELA.VI</v>
          </cell>
        </row>
        <row r="232">
          <cell r="A232" t="str">
            <v>TKA.US</v>
          </cell>
        </row>
        <row r="233">
          <cell r="A233" t="str">
            <v>TMB.N</v>
          </cell>
        </row>
        <row r="234">
          <cell r="A234" t="str">
            <v>TMCP4.SA</v>
          </cell>
        </row>
        <row r="235">
          <cell r="A235" t="str">
            <v>TLSN.ST</v>
          </cell>
        </row>
        <row r="236">
          <cell r="A236" t="str">
            <v>TKGJ.J</v>
          </cell>
        </row>
        <row r="237">
          <cell r="A237" t="str">
            <v>THAI.BK</v>
          </cell>
        </row>
        <row r="238">
          <cell r="A238" t="str">
            <v>UU.L</v>
          </cell>
        </row>
        <row r="239">
          <cell r="A239" t="str">
            <v>UU.N</v>
          </cell>
        </row>
        <row r="240">
          <cell r="A240" t="str">
            <v>UNM.N</v>
          </cell>
        </row>
        <row r="241">
          <cell r="A241" t="str">
            <v>UPM.N</v>
          </cell>
        </row>
        <row r="242">
          <cell r="A242" t="str">
            <v>UPM1V.HE</v>
          </cell>
        </row>
        <row r="243">
          <cell r="A243" t="str">
            <v>VLO.N</v>
          </cell>
        </row>
        <row r="244">
          <cell r="A244" t="str">
            <v>VDOR.AS</v>
          </cell>
        </row>
        <row r="245">
          <cell r="A245" t="str">
            <v>2388.TW</v>
          </cell>
        </row>
        <row r="246">
          <cell r="A246" t="str">
            <v>VIA.N</v>
          </cell>
        </row>
        <row r="247">
          <cell r="A247" t="str">
            <v>6792.T</v>
          </cell>
        </row>
        <row r="248">
          <cell r="A248" t="str">
            <v>VJAPY.PK</v>
          </cell>
        </row>
        <row r="249">
          <cell r="A249" t="str">
            <v>VMOB.L</v>
          </cell>
        </row>
        <row r="250">
          <cell r="A250" t="str">
            <v>VLKAY.OTC</v>
          </cell>
        </row>
        <row r="251">
          <cell r="A251" t="str">
            <v>VOWG.DE</v>
          </cell>
        </row>
        <row r="252">
          <cell r="A252" t="str">
            <v>VOWG_p.F</v>
          </cell>
        </row>
        <row r="253">
          <cell r="A253" t="str">
            <v>WLTHYP.O</v>
          </cell>
        </row>
        <row r="254">
          <cell r="A254" t="str">
            <v>WOW.AX</v>
          </cell>
        </row>
        <row r="255">
          <cell r="A255" t="str">
            <v>XTA.L</v>
          </cell>
        </row>
      </sheetData>
      <sheetData sheetId="2"/>
      <sheetData sheetId="3" refreshError="1"/>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TOS"/>
      <sheetName val="BS"/>
      <sheetName val="Nymex"/>
      <sheetName val="Stats"/>
      <sheetName val="Variance"/>
      <sheetName val="quarterly"/>
      <sheetName val="ROCE"/>
      <sheetName val="XON Acq."/>
      <sheetName val="Wood R. Avon"/>
      <sheetName val="Alliance"/>
      <sheetName val="Cork"/>
      <sheetName val="INPC-Whitegate"/>
      <sheetName val="Retail"/>
      <sheetName val="WACC"/>
      <sheetName val="Book Value"/>
      <sheetName val="Chart"/>
      <sheetName val="E PWR"/>
      <sheetName val="Acq."/>
      <sheetName val="UCL"/>
      <sheetName val="Notes"/>
      <sheetName val="Old - Refineries"/>
      <sheetName val="Debt"/>
      <sheetName val="Data"/>
      <sheetName val="GE Data"/>
      <sheetName val="IndexInformation"/>
      <sheetName val="MainCode"/>
      <sheetName val="NY UPLOAD.bak"/>
      <sheetName val="NY UPLOAD Shadow.bak"/>
      <sheetName val="NY UPLOAD"/>
      <sheetName val="NY UPLOAD Shadow"/>
      <sheetName val="P"/>
      <sheetName val="DCF + ROCE"/>
      <sheetName val="Report Stats"/>
      <sheetName val="Report CFBS"/>
      <sheetName val="VLOVAL"/>
      <sheetName val="R-Stats1"/>
      <sheetName val="Diffs"/>
      <sheetName val="NEWREF"/>
      <sheetName val="REPLCOST"/>
      <sheetName val="PBook"/>
      <sheetName val="CAPEX"/>
      <sheetName val="VLOVAL1"/>
      <sheetName val="VLO"/>
      <sheetName val="Front Page"/>
      <sheetName val="Report Income Statement"/>
      <sheetName val="Divisional Comps"/>
    </sheetNames>
    <definedNames>
      <definedName name="Update_This"/>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 sheetId="27"/>
      <sheetData sheetId="28"/>
      <sheetData sheetId="29"/>
      <sheetData sheetId="30"/>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7.xml.rels><?xml version="1.0" encoding="UTF-8" standalone="yes"?>
<Relationships xmlns="http://schemas.openxmlformats.org/package/2006/relationships">
<Relationship Id="rId1" Target="../printerSettings/printerSettings6.bin" Type="http://schemas.openxmlformats.org/officeDocument/2006/relationships/printerSettings"/>
</Relationships>

</file>

<file path=xl/worksheets/_rels/sheet8.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customProperty1.bin" Type="http://schemas.openxmlformats.org/officeDocument/2006/relationships/customProperty"/>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391"/>
  <sheetViews>
    <sheetView showGridLines="0" tabSelected="1" workbookViewId="0">
      <selection activeCell="E42" sqref="E42"/>
    </sheetView>
  </sheetViews>
  <sheetFormatPr defaultRowHeight="12.75"/>
  <cols>
    <col min="1" max="1" width="25.7109375" style="1122" customWidth="1"/>
    <col min="2" max="5" width="9.140625" style="1122"/>
    <col min="6" max="6" width="18.7109375" style="1122" customWidth="1"/>
    <col min="7" max="256" width="9.140625" style="1122"/>
    <col min="257" max="257" width="100.7109375" style="1122" customWidth="1"/>
    <col min="258" max="512" width="9.140625" style="1122"/>
    <col min="513" max="513" width="100.7109375" style="1122" customWidth="1"/>
    <col min="514" max="768" width="9.140625" style="1122"/>
    <col min="769" max="769" width="100.7109375" style="1122" customWidth="1"/>
    <col min="770" max="1024" width="9.140625" style="1122"/>
    <col min="1025" max="1025" width="100.7109375" style="1122" customWidth="1"/>
    <col min="1026" max="1280" width="9.140625" style="1122"/>
    <col min="1281" max="1281" width="100.7109375" style="1122" customWidth="1"/>
    <col min="1282" max="1536" width="9.140625" style="1122"/>
    <col min="1537" max="1537" width="100.7109375" style="1122" customWidth="1"/>
    <col min="1538" max="1792" width="9.140625" style="1122"/>
    <col min="1793" max="1793" width="100.7109375" style="1122" customWidth="1"/>
    <col min="1794" max="2048" width="9.140625" style="1122"/>
    <col min="2049" max="2049" width="100.7109375" style="1122" customWidth="1"/>
    <col min="2050" max="2304" width="9.140625" style="1122"/>
    <col min="2305" max="2305" width="100.7109375" style="1122" customWidth="1"/>
    <col min="2306" max="2560" width="9.140625" style="1122"/>
    <col min="2561" max="2561" width="100.7109375" style="1122" customWidth="1"/>
    <col min="2562" max="2816" width="9.140625" style="1122"/>
    <col min="2817" max="2817" width="100.7109375" style="1122" customWidth="1"/>
    <col min="2818" max="3072" width="9.140625" style="1122"/>
    <col min="3073" max="3073" width="100.7109375" style="1122" customWidth="1"/>
    <col min="3074" max="3328" width="9.140625" style="1122"/>
    <col min="3329" max="3329" width="100.7109375" style="1122" customWidth="1"/>
    <col min="3330" max="3584" width="9.140625" style="1122"/>
    <col min="3585" max="3585" width="100.7109375" style="1122" customWidth="1"/>
    <col min="3586" max="3840" width="9.140625" style="1122"/>
    <col min="3841" max="3841" width="100.7109375" style="1122" customWidth="1"/>
    <col min="3842" max="4096" width="9.140625" style="1122"/>
    <col min="4097" max="4097" width="100.7109375" style="1122" customWidth="1"/>
    <col min="4098" max="4352" width="9.140625" style="1122"/>
    <col min="4353" max="4353" width="100.7109375" style="1122" customWidth="1"/>
    <col min="4354" max="4608" width="9.140625" style="1122"/>
    <col min="4609" max="4609" width="100.7109375" style="1122" customWidth="1"/>
    <col min="4610" max="4864" width="9.140625" style="1122"/>
    <col min="4865" max="4865" width="100.7109375" style="1122" customWidth="1"/>
    <col min="4866" max="5120" width="9.140625" style="1122"/>
    <col min="5121" max="5121" width="100.7109375" style="1122" customWidth="1"/>
    <col min="5122" max="5376" width="9.140625" style="1122"/>
    <col min="5377" max="5377" width="100.7109375" style="1122" customWidth="1"/>
    <col min="5378" max="5632" width="9.140625" style="1122"/>
    <col min="5633" max="5633" width="100.7109375" style="1122" customWidth="1"/>
    <col min="5634" max="5888" width="9.140625" style="1122"/>
    <col min="5889" max="5889" width="100.7109375" style="1122" customWidth="1"/>
    <col min="5890" max="6144" width="9.140625" style="1122"/>
    <col min="6145" max="6145" width="100.7109375" style="1122" customWidth="1"/>
    <col min="6146" max="6400" width="9.140625" style="1122"/>
    <col min="6401" max="6401" width="100.7109375" style="1122" customWidth="1"/>
    <col min="6402" max="6656" width="9.140625" style="1122"/>
    <col min="6657" max="6657" width="100.7109375" style="1122" customWidth="1"/>
    <col min="6658" max="6912" width="9.140625" style="1122"/>
    <col min="6913" max="6913" width="100.7109375" style="1122" customWidth="1"/>
    <col min="6914" max="7168" width="9.140625" style="1122"/>
    <col min="7169" max="7169" width="100.7109375" style="1122" customWidth="1"/>
    <col min="7170" max="7424" width="9.140625" style="1122"/>
    <col min="7425" max="7425" width="100.7109375" style="1122" customWidth="1"/>
    <col min="7426" max="7680" width="9.140625" style="1122"/>
    <col min="7681" max="7681" width="100.7109375" style="1122" customWidth="1"/>
    <col min="7682" max="7936" width="9.140625" style="1122"/>
    <col min="7937" max="7937" width="100.7109375" style="1122" customWidth="1"/>
    <col min="7938" max="8192" width="9.140625" style="1122"/>
    <col min="8193" max="8193" width="100.7109375" style="1122" customWidth="1"/>
    <col min="8194" max="8448" width="9.140625" style="1122"/>
    <col min="8449" max="8449" width="100.7109375" style="1122" customWidth="1"/>
    <col min="8450" max="8704" width="9.140625" style="1122"/>
    <col min="8705" max="8705" width="100.7109375" style="1122" customWidth="1"/>
    <col min="8706" max="8960" width="9.140625" style="1122"/>
    <col min="8961" max="8961" width="100.7109375" style="1122" customWidth="1"/>
    <col min="8962" max="9216" width="9.140625" style="1122"/>
    <col min="9217" max="9217" width="100.7109375" style="1122" customWidth="1"/>
    <col min="9218" max="9472" width="9.140625" style="1122"/>
    <col min="9473" max="9473" width="100.7109375" style="1122" customWidth="1"/>
    <col min="9474" max="9728" width="9.140625" style="1122"/>
    <col min="9729" max="9729" width="100.7109375" style="1122" customWidth="1"/>
    <col min="9730" max="9984" width="9.140625" style="1122"/>
    <col min="9985" max="9985" width="100.7109375" style="1122" customWidth="1"/>
    <col min="9986" max="10240" width="9.140625" style="1122"/>
    <col min="10241" max="10241" width="100.7109375" style="1122" customWidth="1"/>
    <col min="10242" max="10496" width="9.140625" style="1122"/>
    <col min="10497" max="10497" width="100.7109375" style="1122" customWidth="1"/>
    <col min="10498" max="10752" width="9.140625" style="1122"/>
    <col min="10753" max="10753" width="100.7109375" style="1122" customWidth="1"/>
    <col min="10754" max="11008" width="9.140625" style="1122"/>
    <col min="11009" max="11009" width="100.7109375" style="1122" customWidth="1"/>
    <col min="11010" max="11264" width="9.140625" style="1122"/>
    <col min="11265" max="11265" width="100.7109375" style="1122" customWidth="1"/>
    <col min="11266" max="11520" width="9.140625" style="1122"/>
    <col min="11521" max="11521" width="100.7109375" style="1122" customWidth="1"/>
    <col min="11522" max="11776" width="9.140625" style="1122"/>
    <col min="11777" max="11777" width="100.7109375" style="1122" customWidth="1"/>
    <col min="11778" max="12032" width="9.140625" style="1122"/>
    <col min="12033" max="12033" width="100.7109375" style="1122" customWidth="1"/>
    <col min="12034" max="12288" width="9.140625" style="1122"/>
    <col min="12289" max="12289" width="100.7109375" style="1122" customWidth="1"/>
    <col min="12290" max="12544" width="9.140625" style="1122"/>
    <col min="12545" max="12545" width="100.7109375" style="1122" customWidth="1"/>
    <col min="12546" max="12800" width="9.140625" style="1122"/>
    <col min="12801" max="12801" width="100.7109375" style="1122" customWidth="1"/>
    <col min="12802" max="13056" width="9.140625" style="1122"/>
    <col min="13057" max="13057" width="100.7109375" style="1122" customWidth="1"/>
    <col min="13058" max="13312" width="9.140625" style="1122"/>
    <col min="13313" max="13313" width="100.7109375" style="1122" customWidth="1"/>
    <col min="13314" max="13568" width="9.140625" style="1122"/>
    <col min="13569" max="13569" width="100.7109375" style="1122" customWidth="1"/>
    <col min="13570" max="13824" width="9.140625" style="1122"/>
    <col min="13825" max="13825" width="100.7109375" style="1122" customWidth="1"/>
    <col min="13826" max="14080" width="9.140625" style="1122"/>
    <col min="14081" max="14081" width="100.7109375" style="1122" customWidth="1"/>
    <col min="14082" max="14336" width="9.140625" style="1122"/>
    <col min="14337" max="14337" width="100.7109375" style="1122" customWidth="1"/>
    <col min="14338" max="14592" width="9.140625" style="1122"/>
    <col min="14593" max="14593" width="100.7109375" style="1122" customWidth="1"/>
    <col min="14594" max="14848" width="9.140625" style="1122"/>
    <col min="14849" max="14849" width="100.7109375" style="1122" customWidth="1"/>
    <col min="14850" max="15104" width="9.140625" style="1122"/>
    <col min="15105" max="15105" width="100.7109375" style="1122" customWidth="1"/>
    <col min="15106" max="15360" width="9.140625" style="1122"/>
    <col min="15361" max="15361" width="100.7109375" style="1122" customWidth="1"/>
    <col min="15362" max="15616" width="9.140625" style="1122"/>
    <col min="15617" max="15617" width="100.7109375" style="1122" customWidth="1"/>
    <col min="15618" max="15872" width="9.140625" style="1122"/>
    <col min="15873" max="15873" width="100.7109375" style="1122" customWidth="1"/>
    <col min="15874" max="16128" width="9.140625" style="1122"/>
    <col min="16129" max="16129" width="100.7109375" style="1122" customWidth="1"/>
    <col min="16130" max="16384" width="9.140625" style="1122"/>
  </cols>
  <sheetData>
    <row r="1" spans="1:8" ht="30" customHeight="1">
      <c r="A1" s="1120"/>
      <c r="B1" s="1121"/>
      <c r="C1" s="1121"/>
      <c r="D1" s="1121"/>
      <c r="E1" s="1121"/>
      <c r="F1" s="1121"/>
      <c r="G1" s="1121"/>
      <c r="H1" s="1121"/>
    </row>
    <row r="2" spans="1:8" ht="14.25">
      <c r="A2" s="1123" t="s">
        <v>423</v>
      </c>
      <c r="B2" s="1121"/>
      <c r="C2" s="1121"/>
      <c r="D2" s="1121"/>
      <c r="E2" s="1121"/>
      <c r="F2" s="1121"/>
      <c r="G2" s="1121"/>
      <c r="H2" s="1121"/>
    </row>
    <row r="3" spans="1:8" ht="14.25">
      <c r="A3" s="1123" t="s">
        <v>424</v>
      </c>
      <c r="B3" s="1121"/>
      <c r="C3" s="1121"/>
      <c r="D3" s="1121"/>
      <c r="E3" s="1121"/>
      <c r="F3" s="1121"/>
      <c r="G3" s="1121"/>
      <c r="H3" s="1121"/>
    </row>
    <row r="4" spans="1:8" ht="14.25">
      <c r="A4" s="1123" t="s">
        <v>425</v>
      </c>
      <c r="B4" s="1121"/>
      <c r="C4" s="1121"/>
      <c r="D4" s="1121"/>
      <c r="E4" s="1121"/>
      <c r="F4" s="1121"/>
      <c r="G4" s="1121"/>
      <c r="H4" s="1121"/>
    </row>
    <row r="5" spans="1:8" ht="14.25">
      <c r="A5" s="1123" t="s">
        <v>426</v>
      </c>
      <c r="B5" s="1121"/>
      <c r="C5" s="1121"/>
      <c r="D5" s="1121"/>
      <c r="E5" s="1121"/>
      <c r="F5" s="1121"/>
      <c r="G5" s="1121"/>
      <c r="H5" s="1121"/>
    </row>
    <row r="6" spans="1:8" ht="14.25">
      <c r="A6" s="1123"/>
      <c r="B6" s="1121"/>
      <c r="C6" s="1121"/>
      <c r="D6" s="1121"/>
      <c r="E6" s="1121"/>
      <c r="F6" s="1121"/>
      <c r="G6" s="1121"/>
      <c r="H6" s="1121"/>
    </row>
    <row r="7" spans="1:8">
      <c r="A7" s="1120" t="s">
        <v>427</v>
      </c>
      <c r="B7" s="1121"/>
      <c r="C7" s="1121"/>
      <c r="D7" s="1121"/>
      <c r="E7" s="1121"/>
      <c r="F7" s="1121"/>
      <c r="G7" s="1121"/>
      <c r="H7" s="1121"/>
    </row>
    <row r="8" spans="1:8">
      <c r="A8" s="1120" t="s">
        <v>428</v>
      </c>
      <c r="B8" s="1121"/>
      <c r="C8" s="1121"/>
      <c r="D8" s="1121"/>
      <c r="E8" s="1121"/>
      <c r="F8" s="1121"/>
      <c r="G8" s="1121"/>
      <c r="H8" s="1121"/>
    </row>
    <row r="9" spans="1:8">
      <c r="A9" s="1120"/>
      <c r="B9" s="1121"/>
      <c r="C9" s="1121"/>
      <c r="D9" s="1121"/>
      <c r="E9" s="1121"/>
      <c r="F9" s="1121"/>
      <c r="G9" s="1121"/>
      <c r="H9" s="1121"/>
    </row>
    <row r="10" spans="1:8">
      <c r="A10" s="1124" t="s">
        <v>429</v>
      </c>
      <c r="B10" s="1121"/>
      <c r="C10" s="1121"/>
      <c r="D10" s="1121"/>
      <c r="E10" s="1121"/>
      <c r="F10" s="1121"/>
      <c r="G10" s="1121"/>
      <c r="H10" s="1121"/>
    </row>
    <row r="11" spans="1:8">
      <c r="A11" s="1124" t="s">
        <v>430</v>
      </c>
      <c r="B11" s="1121"/>
      <c r="C11" s="1121"/>
      <c r="D11" s="1121"/>
      <c r="E11" s="1121"/>
      <c r="F11" s="1121"/>
      <c r="G11" s="1121"/>
      <c r="H11" s="1121"/>
    </row>
    <row r="12" spans="1:8">
      <c r="A12" s="1124" t="s">
        <v>431</v>
      </c>
      <c r="B12" s="1121"/>
      <c r="C12" s="1121"/>
      <c r="D12" s="1121"/>
      <c r="E12" s="1121"/>
      <c r="F12" s="1121"/>
      <c r="G12" s="1121"/>
      <c r="H12" s="1121"/>
    </row>
    <row r="13" spans="1:8">
      <c r="A13" s="1124" t="s">
        <v>432</v>
      </c>
      <c r="B13" s="1121"/>
      <c r="C13" s="1121"/>
      <c r="D13" s="1121"/>
      <c r="E13" s="1121"/>
      <c r="F13" s="1121"/>
      <c r="G13" s="1121"/>
      <c r="H13" s="1121"/>
    </row>
    <row r="14" spans="1:8">
      <c r="A14" s="1124" t="s">
        <v>433</v>
      </c>
      <c r="B14" s="1121"/>
      <c r="C14" s="1121"/>
      <c r="D14" s="1121"/>
      <c r="E14" s="1121"/>
      <c r="F14" s="1121"/>
      <c r="G14" s="1121"/>
      <c r="H14" s="1121"/>
    </row>
    <row r="15" spans="1:8">
      <c r="A15" s="1124" t="s">
        <v>434</v>
      </c>
      <c r="B15" s="1121"/>
      <c r="C15" s="1121"/>
      <c r="D15" s="1121"/>
      <c r="E15" s="1121"/>
      <c r="F15" s="1121"/>
      <c r="G15" s="1121"/>
      <c r="H15" s="1121"/>
    </row>
    <row r="16" spans="1:8">
      <c r="A16" s="1124"/>
      <c r="B16" s="1121"/>
      <c r="C16" s="1121"/>
      <c r="D16" s="1121"/>
      <c r="E16" s="1121"/>
      <c r="F16" s="1121"/>
      <c r="G16" s="1121"/>
      <c r="H16" s="1121"/>
    </row>
    <row r="17" spans="1:8">
      <c r="A17" s="1124" t="s">
        <v>420</v>
      </c>
      <c r="B17" s="1121"/>
      <c r="C17" s="1121"/>
      <c r="D17" s="1121"/>
      <c r="E17" s="1121"/>
      <c r="F17" s="1121"/>
      <c r="G17" s="1121"/>
      <c r="H17" s="1121"/>
    </row>
    <row r="18" spans="1:8">
      <c r="A18" s="1124"/>
      <c r="B18" s="1121"/>
      <c r="C18" s="1121"/>
      <c r="D18" s="1121"/>
      <c r="E18" s="1121"/>
      <c r="F18" s="1121"/>
      <c r="G18" s="1121"/>
      <c r="H18" s="1121"/>
    </row>
    <row r="19" spans="1:8">
      <c r="A19" s="1124" t="s">
        <v>421</v>
      </c>
      <c r="B19" s="1121"/>
      <c r="C19" s="1121"/>
      <c r="D19" s="1121"/>
      <c r="E19" s="1121"/>
      <c r="F19" s="1121"/>
      <c r="G19" s="1121"/>
      <c r="H19" s="1121"/>
    </row>
    <row r="20" spans="1:8">
      <c r="A20" s="1120"/>
      <c r="B20" s="1121"/>
      <c r="C20" s="1121"/>
      <c r="D20" s="1121"/>
      <c r="E20" s="1121"/>
      <c r="F20" s="1121"/>
      <c r="G20" s="1121"/>
      <c r="H20" s="1121"/>
    </row>
    <row r="21" spans="1:8">
      <c r="A21" s="1125" t="s">
        <v>422</v>
      </c>
      <c r="B21" s="1121"/>
      <c r="C21" s="1121"/>
      <c r="D21" s="1121"/>
      <c r="E21" s="1121"/>
      <c r="F21" s="1121"/>
      <c r="G21" s="1121"/>
      <c r="H21" s="1121"/>
    </row>
    <row r="22" spans="1:8">
      <c r="A22" s="1126"/>
      <c r="B22" s="1126"/>
      <c r="C22" s="1126"/>
      <c r="D22" s="1126"/>
      <c r="E22" s="1126"/>
      <c r="F22" s="1126"/>
      <c r="G22" s="1126"/>
      <c r="H22" s="1126"/>
    </row>
    <row r="23" spans="1:8">
      <c r="A23" s="1127" t="s">
        <v>713</v>
      </c>
      <c r="B23" s="1126"/>
      <c r="C23" s="1126"/>
      <c r="D23" s="1126"/>
      <c r="E23" s="1126"/>
      <c r="F23" s="1126"/>
      <c r="G23" s="1126"/>
      <c r="H23" s="1126"/>
    </row>
    <row r="24" spans="1:8">
      <c r="A24" s="1127" t="s">
        <v>714</v>
      </c>
      <c r="B24" s="1126"/>
      <c r="C24" s="1126"/>
      <c r="D24" s="1126"/>
      <c r="E24" s="1126"/>
      <c r="F24" s="1126"/>
      <c r="G24" s="1126"/>
      <c r="H24" s="1126"/>
    </row>
    <row r="25" spans="1:8">
      <c r="A25" s="1127" t="s">
        <v>715</v>
      </c>
      <c r="B25" s="1126"/>
      <c r="C25" s="1126"/>
      <c r="D25" s="1126"/>
      <c r="E25" s="1126"/>
      <c r="F25" s="1126"/>
      <c r="G25" s="1126"/>
      <c r="H25" s="1126"/>
    </row>
    <row r="26" spans="1:8">
      <c r="A26" s="1127" t="s">
        <v>716</v>
      </c>
      <c r="B26" s="1126"/>
      <c r="C26" s="1126"/>
      <c r="D26" s="1126"/>
      <c r="E26" s="1126"/>
      <c r="F26" s="1126"/>
      <c r="G26" s="1126"/>
      <c r="H26" s="1126"/>
    </row>
    <row r="27" spans="1:8">
      <c r="A27" s="1126"/>
      <c r="B27" s="1126"/>
      <c r="C27" s="1126"/>
      <c r="D27" s="1126"/>
      <c r="E27" s="1126"/>
      <c r="F27" s="1126"/>
      <c r="G27" s="1126"/>
      <c r="H27" s="1126"/>
    </row>
    <row r="28" spans="1:8">
      <c r="A28" s="1126"/>
      <c r="B28" s="1126"/>
      <c r="C28" s="1126"/>
      <c r="D28" s="1126"/>
      <c r="E28" s="1126"/>
      <c r="F28" s="1126"/>
      <c r="G28" s="1126"/>
      <c r="H28" s="1126"/>
    </row>
    <row r="29" spans="1:8">
      <c r="A29" s="1127" t="s">
        <v>708</v>
      </c>
      <c r="B29" s="1126"/>
      <c r="C29" s="1126"/>
      <c r="D29" s="1126"/>
      <c r="E29" s="1126"/>
      <c r="F29" s="1126"/>
      <c r="G29" s="1126"/>
      <c r="H29" s="1126"/>
    </row>
    <row r="30" spans="1:8">
      <c r="A30" s="1127" t="s">
        <v>709</v>
      </c>
      <c r="B30" s="1126"/>
      <c r="C30" s="1126"/>
      <c r="D30" s="1126"/>
      <c r="E30" s="1126"/>
      <c r="F30" s="1126"/>
      <c r="G30" s="1126"/>
      <c r="H30" s="1126"/>
    </row>
    <row r="31" spans="1:8">
      <c r="A31" s="1127" t="s">
        <v>710</v>
      </c>
      <c r="B31" s="1126"/>
      <c r="C31" s="1126"/>
      <c r="D31" s="1126"/>
      <c r="E31" s="1126"/>
      <c r="F31" s="1126"/>
      <c r="G31" s="1126"/>
      <c r="H31" s="1126"/>
    </row>
    <row r="32" spans="1:8">
      <c r="A32" s="1127" t="s">
        <v>711</v>
      </c>
      <c r="B32" s="1126"/>
      <c r="C32" s="1126"/>
      <c r="D32" s="1126"/>
      <c r="E32" s="1126"/>
      <c r="F32" s="1126"/>
      <c r="G32" s="1126"/>
      <c r="H32" s="1126"/>
    </row>
    <row r="33" spans="1:8">
      <c r="A33" s="1127" t="s">
        <v>712</v>
      </c>
      <c r="B33" s="1126"/>
      <c r="C33" s="1126"/>
      <c r="D33" s="1126"/>
      <c r="E33" s="1126"/>
      <c r="F33" s="1126"/>
      <c r="G33" s="1126"/>
      <c r="H33" s="1126"/>
    </row>
    <row r="34" spans="1:8">
      <c r="A34" s="1126"/>
      <c r="B34" s="1126"/>
      <c r="C34" s="1126"/>
      <c r="D34" s="1126"/>
      <c r="E34" s="1126"/>
      <c r="F34" s="1126"/>
      <c r="G34" s="1126"/>
      <c r="H34" s="1126"/>
    </row>
    <row r="35" spans="1:8">
      <c r="A35" s="1127" t="s">
        <v>704</v>
      </c>
      <c r="B35" s="1126"/>
      <c r="C35" s="1126"/>
      <c r="D35" s="1126"/>
      <c r="E35" s="1126"/>
      <c r="F35" s="1126"/>
      <c r="G35" s="1126"/>
      <c r="H35" s="1126"/>
    </row>
    <row r="36" spans="1:8">
      <c r="A36" s="1127" t="s">
        <v>705</v>
      </c>
      <c r="B36" s="1126"/>
      <c r="C36" s="1126"/>
      <c r="D36" s="1126"/>
      <c r="E36" s="1126"/>
      <c r="F36" s="1126"/>
      <c r="G36" s="1126"/>
      <c r="H36" s="1126"/>
    </row>
    <row r="37" spans="1:8">
      <c r="A37" s="1127" t="s">
        <v>706</v>
      </c>
      <c r="B37" s="1126"/>
      <c r="C37" s="1126"/>
      <c r="D37" s="1126"/>
      <c r="E37" s="1126"/>
      <c r="F37" s="1126"/>
      <c r="G37" s="1126"/>
      <c r="H37" s="1126"/>
    </row>
    <row r="38" spans="1:8">
      <c r="A38" s="1127" t="s">
        <v>707</v>
      </c>
      <c r="B38" s="1126"/>
      <c r="C38" s="1126"/>
      <c r="D38" s="1126"/>
      <c r="E38" s="1126"/>
      <c r="F38" s="1126"/>
      <c r="G38" s="1126"/>
      <c r="H38" s="1126"/>
    </row>
    <row r="39" spans="1:8">
      <c r="A39" s="1126"/>
      <c r="B39" s="1126"/>
      <c r="C39" s="1126"/>
      <c r="D39" s="1126"/>
      <c r="E39" s="1126"/>
      <c r="F39" s="1126"/>
      <c r="G39" s="1126"/>
      <c r="H39" s="1126"/>
    </row>
    <row r="40" spans="1:8">
      <c r="A40" s="1127" t="s">
        <v>698</v>
      </c>
      <c r="B40" s="1126"/>
      <c r="C40" s="1126"/>
      <c r="D40" s="1126"/>
      <c r="E40" s="1126"/>
      <c r="F40" s="1126"/>
      <c r="G40" s="1126"/>
      <c r="H40" s="1126"/>
    </row>
    <row r="41" spans="1:8">
      <c r="A41" s="1127" t="s">
        <v>699</v>
      </c>
      <c r="B41" s="1126"/>
      <c r="C41" s="1126"/>
      <c r="D41" s="1126"/>
      <c r="E41" s="1126"/>
      <c r="F41" s="1126"/>
      <c r="G41" s="1126"/>
      <c r="H41" s="1126"/>
    </row>
    <row r="42" spans="1:8">
      <c r="A42" s="1127" t="s">
        <v>700</v>
      </c>
      <c r="B42" s="1126"/>
      <c r="C42" s="1126"/>
      <c r="D42" s="1126"/>
      <c r="E42" s="1126"/>
      <c r="F42" s="1126"/>
      <c r="G42" s="1126"/>
      <c r="H42" s="1126"/>
    </row>
    <row r="43" spans="1:8">
      <c r="A43" s="1127" t="s">
        <v>701</v>
      </c>
      <c r="B43" s="1126"/>
      <c r="C43" s="1126"/>
      <c r="D43" s="1126"/>
      <c r="E43" s="1126"/>
      <c r="F43" s="1126"/>
      <c r="G43" s="1126"/>
      <c r="H43" s="1126"/>
    </row>
    <row r="44" spans="1:8">
      <c r="A44" s="1127" t="s">
        <v>702</v>
      </c>
      <c r="B44" s="1126"/>
      <c r="C44" s="1126"/>
      <c r="D44" s="1126"/>
      <c r="E44" s="1126"/>
      <c r="F44" s="1126"/>
      <c r="G44" s="1126"/>
      <c r="H44" s="1126"/>
    </row>
    <row r="45" spans="1:8">
      <c r="A45" s="1127" t="s">
        <v>703</v>
      </c>
      <c r="B45" s="1126"/>
      <c r="C45" s="1126"/>
      <c r="D45" s="1126"/>
      <c r="E45" s="1126"/>
      <c r="F45" s="1126"/>
      <c r="G45" s="1126"/>
      <c r="H45" s="1126"/>
    </row>
    <row r="46" spans="1:8">
      <c r="A46" s="1126"/>
      <c r="B46" s="1126"/>
      <c r="C46" s="1126"/>
      <c r="D46" s="1126"/>
      <c r="E46" s="1126"/>
      <c r="F46" s="1126"/>
      <c r="G46" s="1126"/>
      <c r="H46" s="1126"/>
    </row>
    <row r="47" spans="1:8" ht="15.75">
      <c r="A47" s="1128" t="s">
        <v>435</v>
      </c>
      <c r="B47" s="1126"/>
      <c r="C47" s="1126"/>
      <c r="D47" s="1126"/>
      <c r="E47" s="1126"/>
      <c r="F47" s="1126"/>
      <c r="G47" s="1126"/>
      <c r="H47" s="1126"/>
    </row>
    <row r="48" spans="1:8">
      <c r="A48" s="1126"/>
      <c r="B48" s="1126"/>
      <c r="C48" s="1126"/>
      <c r="D48" s="1126"/>
      <c r="E48" s="1126"/>
      <c r="F48" s="1126"/>
      <c r="G48" s="1126"/>
      <c r="H48" s="1126"/>
    </row>
    <row r="49" spans="1:8">
      <c r="A49" s="1127" t="s">
        <v>694</v>
      </c>
      <c r="B49" s="1126"/>
      <c r="C49" s="1126"/>
      <c r="D49" s="1126"/>
      <c r="E49" s="1126"/>
      <c r="F49" s="1126"/>
      <c r="G49" s="1126"/>
      <c r="H49" s="1126"/>
    </row>
    <row r="50" spans="1:8">
      <c r="A50" s="1127" t="s">
        <v>695</v>
      </c>
      <c r="B50" s="1126"/>
      <c r="C50" s="1126"/>
      <c r="D50" s="1126"/>
      <c r="E50" s="1126"/>
      <c r="F50" s="1126"/>
      <c r="G50" s="1126"/>
      <c r="H50" s="1126"/>
    </row>
    <row r="51" spans="1:8">
      <c r="A51" s="1127" t="s">
        <v>696</v>
      </c>
      <c r="B51" s="1126"/>
      <c r="C51" s="1126"/>
      <c r="D51" s="1126"/>
      <c r="E51" s="1126"/>
      <c r="F51" s="1126"/>
      <c r="G51" s="1126"/>
      <c r="H51" s="1126"/>
    </row>
    <row r="52" spans="1:8">
      <c r="A52" s="1127" t="s">
        <v>697</v>
      </c>
      <c r="B52" s="1126"/>
      <c r="C52" s="1126"/>
      <c r="D52" s="1126"/>
      <c r="E52" s="1126"/>
      <c r="F52" s="1126"/>
      <c r="G52" s="1126"/>
      <c r="H52" s="1126"/>
    </row>
    <row r="53" spans="1:8">
      <c r="A53" s="1126"/>
      <c r="B53" s="1126"/>
      <c r="C53" s="1126"/>
      <c r="D53" s="1126"/>
      <c r="E53" s="1126"/>
      <c r="F53" s="1126"/>
      <c r="G53" s="1126"/>
      <c r="H53" s="1126"/>
    </row>
    <row r="54" spans="1:8">
      <c r="A54" s="1127" t="s">
        <v>436</v>
      </c>
      <c r="B54" s="1126"/>
      <c r="C54" s="1126"/>
      <c r="D54" s="1126"/>
      <c r="E54" s="1126"/>
      <c r="F54" s="1126"/>
      <c r="G54" s="1126"/>
      <c r="H54" s="1126"/>
    </row>
    <row r="55" spans="1:8">
      <c r="A55" s="1126"/>
      <c r="B55" s="1126"/>
      <c r="C55" s="1126"/>
      <c r="D55" s="1126"/>
      <c r="E55" s="1126"/>
      <c r="F55" s="1126"/>
      <c r="G55" s="1126"/>
      <c r="H55" s="1126"/>
    </row>
    <row r="56" spans="1:8" ht="15.75">
      <c r="A56" s="1128" t="s">
        <v>437</v>
      </c>
      <c r="B56" s="1126"/>
      <c r="C56" s="1126"/>
      <c r="D56" s="1126"/>
      <c r="E56" s="1126"/>
      <c r="F56" s="1126"/>
      <c r="G56" s="1126"/>
      <c r="H56" s="1126"/>
    </row>
    <row r="57" spans="1:8">
      <c r="A57" s="1126"/>
      <c r="B57" s="1126"/>
      <c r="C57" s="1126"/>
      <c r="D57" s="1126"/>
      <c r="E57" s="1126"/>
      <c r="F57" s="1126"/>
      <c r="G57" s="1126"/>
      <c r="H57" s="1126"/>
    </row>
    <row r="58" spans="1:8">
      <c r="A58" s="1127" t="s">
        <v>692</v>
      </c>
      <c r="B58" s="1126"/>
      <c r="C58" s="1126"/>
      <c r="D58" s="1126"/>
      <c r="E58" s="1126"/>
      <c r="F58" s="1126"/>
      <c r="G58" s="1126"/>
      <c r="H58" s="1126"/>
    </row>
    <row r="59" spans="1:8">
      <c r="A59" s="1127" t="s">
        <v>693</v>
      </c>
      <c r="B59" s="1126"/>
      <c r="C59" s="1126"/>
      <c r="D59" s="1126"/>
      <c r="E59" s="1126"/>
      <c r="F59" s="1126"/>
      <c r="G59" s="1126"/>
      <c r="H59" s="1126"/>
    </row>
    <row r="60" spans="1:8">
      <c r="A60" s="1126"/>
      <c r="B60" s="1126"/>
      <c r="C60" s="1126"/>
      <c r="D60" s="1126"/>
      <c r="E60" s="1126"/>
      <c r="F60" s="1126"/>
      <c r="G60" s="1126"/>
      <c r="H60" s="1126"/>
    </row>
    <row r="61" spans="1:8" ht="15.75">
      <c r="A61" s="1128" t="s">
        <v>438</v>
      </c>
      <c r="B61" s="1126"/>
      <c r="C61" s="1126"/>
      <c r="D61" s="1126"/>
      <c r="E61" s="1126"/>
      <c r="F61" s="1126"/>
      <c r="G61" s="1126"/>
      <c r="H61" s="1126"/>
    </row>
    <row r="62" spans="1:8">
      <c r="A62" s="1126"/>
      <c r="B62" s="1126"/>
      <c r="C62" s="1126"/>
      <c r="D62" s="1126"/>
      <c r="E62" s="1126"/>
      <c r="F62" s="1126"/>
      <c r="G62" s="1126"/>
      <c r="H62" s="1126"/>
    </row>
    <row r="63" spans="1:8">
      <c r="A63" s="1127" t="s">
        <v>690</v>
      </c>
      <c r="B63" s="1126"/>
      <c r="C63" s="1126"/>
      <c r="D63" s="1126"/>
      <c r="E63" s="1126"/>
      <c r="F63" s="1126"/>
      <c r="G63" s="1126"/>
      <c r="H63" s="1126"/>
    </row>
    <row r="64" spans="1:8">
      <c r="A64" s="1127" t="s">
        <v>691</v>
      </c>
      <c r="B64" s="1126"/>
      <c r="C64" s="1126"/>
      <c r="D64" s="1126"/>
      <c r="E64" s="1126"/>
      <c r="F64" s="1126"/>
      <c r="G64" s="1126"/>
      <c r="H64" s="1126"/>
    </row>
    <row r="65" spans="1:8">
      <c r="A65" s="1126"/>
      <c r="B65" s="1126"/>
      <c r="C65" s="1126"/>
      <c r="D65" s="1126"/>
      <c r="E65" s="1126"/>
      <c r="F65" s="1126"/>
      <c r="G65" s="1126"/>
      <c r="H65" s="1126"/>
    </row>
    <row r="66" spans="1:8">
      <c r="A66" s="1127" t="s">
        <v>688</v>
      </c>
      <c r="B66" s="1126"/>
      <c r="C66" s="1126"/>
      <c r="D66" s="1126"/>
      <c r="E66" s="1126"/>
      <c r="F66" s="1126"/>
      <c r="G66" s="1126"/>
      <c r="H66" s="1126"/>
    </row>
    <row r="67" spans="1:8">
      <c r="A67" s="1127" t="s">
        <v>689</v>
      </c>
      <c r="B67" s="1126"/>
      <c r="C67" s="1126"/>
      <c r="D67" s="1126"/>
      <c r="E67" s="1126"/>
      <c r="F67" s="1126"/>
      <c r="G67" s="1126"/>
      <c r="H67" s="1126"/>
    </row>
    <row r="68" spans="1:8">
      <c r="A68" s="1126"/>
      <c r="B68" s="1126"/>
      <c r="C68" s="1126"/>
      <c r="D68" s="1126"/>
      <c r="E68" s="1126"/>
      <c r="F68" s="1126"/>
      <c r="G68" s="1126"/>
      <c r="H68" s="1126"/>
    </row>
    <row r="69" spans="1:8">
      <c r="A69" s="1127" t="s">
        <v>686</v>
      </c>
      <c r="B69" s="1126"/>
      <c r="C69" s="1126"/>
      <c r="D69" s="1126"/>
      <c r="E69" s="1126"/>
      <c r="F69" s="1126"/>
      <c r="G69" s="1126"/>
      <c r="H69" s="1126"/>
    </row>
    <row r="70" spans="1:8">
      <c r="A70" s="1127" t="s">
        <v>687</v>
      </c>
      <c r="B70" s="1126"/>
      <c r="C70" s="1126"/>
      <c r="D70" s="1126"/>
      <c r="E70" s="1126"/>
      <c r="F70" s="1126"/>
      <c r="G70" s="1126"/>
      <c r="H70" s="1126"/>
    </row>
    <row r="71" spans="1:8">
      <c r="A71" s="1126"/>
      <c r="B71" s="1126"/>
      <c r="C71" s="1126"/>
      <c r="D71" s="1126"/>
      <c r="E71" s="1126"/>
      <c r="F71" s="1126"/>
      <c r="G71" s="1126"/>
      <c r="H71" s="1126"/>
    </row>
    <row r="72" spans="1:8">
      <c r="A72" s="1127" t="s">
        <v>683</v>
      </c>
      <c r="B72" s="1126"/>
      <c r="C72" s="1126"/>
      <c r="D72" s="1126"/>
      <c r="E72" s="1126"/>
      <c r="F72" s="1126"/>
      <c r="G72" s="1126"/>
      <c r="H72" s="1126"/>
    </row>
    <row r="73" spans="1:8">
      <c r="A73" s="1127" t="s">
        <v>684</v>
      </c>
      <c r="B73" s="1126"/>
      <c r="C73" s="1126"/>
      <c r="D73" s="1126"/>
      <c r="E73" s="1126"/>
      <c r="F73" s="1126"/>
      <c r="G73" s="1126"/>
      <c r="H73" s="1126"/>
    </row>
    <row r="74" spans="1:8">
      <c r="A74" s="1127" t="s">
        <v>685</v>
      </c>
      <c r="B74" s="1126"/>
      <c r="C74" s="1126"/>
      <c r="D74" s="1126"/>
      <c r="E74" s="1126"/>
      <c r="F74" s="1126"/>
      <c r="G74" s="1126"/>
      <c r="H74" s="1126"/>
    </row>
    <row r="75" spans="1:8">
      <c r="A75" s="1126"/>
      <c r="B75" s="1126"/>
      <c r="C75" s="1126"/>
      <c r="D75" s="1126"/>
      <c r="E75" s="1126"/>
      <c r="F75" s="1126"/>
      <c r="G75" s="1126"/>
      <c r="H75" s="1126"/>
    </row>
    <row r="76" spans="1:8">
      <c r="A76" s="1127" t="s">
        <v>439</v>
      </c>
      <c r="B76" s="1126"/>
      <c r="C76" s="1126"/>
      <c r="D76" s="1126"/>
      <c r="E76" s="1126"/>
      <c r="F76" s="1126"/>
      <c r="G76" s="1126"/>
      <c r="H76" s="1126"/>
    </row>
    <row r="77" spans="1:8">
      <c r="A77" s="1126"/>
      <c r="B77" s="1126"/>
      <c r="C77" s="1126"/>
      <c r="D77" s="1126"/>
      <c r="E77" s="1126"/>
      <c r="F77" s="1126"/>
      <c r="G77" s="1126"/>
      <c r="H77" s="1126"/>
    </row>
    <row r="78" spans="1:8">
      <c r="A78" s="1127" t="s">
        <v>678</v>
      </c>
      <c r="B78" s="1126"/>
      <c r="C78" s="1126"/>
      <c r="D78" s="1126"/>
      <c r="E78" s="1126"/>
      <c r="F78" s="1126"/>
      <c r="G78" s="1126"/>
      <c r="H78" s="1126"/>
    </row>
    <row r="79" spans="1:8">
      <c r="A79" s="1127" t="s">
        <v>679</v>
      </c>
      <c r="B79" s="1126"/>
      <c r="C79" s="1126"/>
      <c r="D79" s="1126"/>
      <c r="E79" s="1126"/>
      <c r="F79" s="1126"/>
      <c r="G79" s="1126"/>
      <c r="H79" s="1126"/>
    </row>
    <row r="80" spans="1:8">
      <c r="A80" s="1127" t="s">
        <v>680</v>
      </c>
      <c r="B80" s="1126"/>
      <c r="C80" s="1126"/>
      <c r="D80" s="1126"/>
      <c r="E80" s="1126"/>
      <c r="F80" s="1126"/>
      <c r="G80" s="1126"/>
      <c r="H80" s="1126"/>
    </row>
    <row r="81" spans="1:8">
      <c r="A81" s="1127" t="s">
        <v>681</v>
      </c>
      <c r="B81" s="1126"/>
      <c r="C81" s="1126"/>
      <c r="D81" s="1126"/>
      <c r="E81" s="1126"/>
      <c r="F81" s="1126"/>
      <c r="G81" s="1126"/>
      <c r="H81" s="1126"/>
    </row>
    <row r="82" spans="1:8">
      <c r="A82" s="1127" t="s">
        <v>682</v>
      </c>
      <c r="B82" s="1126"/>
      <c r="C82" s="1126"/>
      <c r="D82" s="1126"/>
      <c r="E82" s="1126"/>
      <c r="F82" s="1126"/>
      <c r="G82" s="1126"/>
      <c r="H82" s="1126"/>
    </row>
    <row r="83" spans="1:8">
      <c r="A83" s="1127" t="s">
        <v>565</v>
      </c>
      <c r="B83" s="1126"/>
      <c r="C83" s="1126"/>
      <c r="D83" s="1126"/>
      <c r="E83" s="1126"/>
      <c r="F83" s="1126"/>
      <c r="G83" s="1126"/>
      <c r="H83" s="1126"/>
    </row>
    <row r="84" spans="1:8">
      <c r="A84" s="1126"/>
      <c r="B84" s="1126"/>
      <c r="C84" s="1126"/>
      <c r="D84" s="1126"/>
      <c r="E84" s="1126"/>
      <c r="F84" s="1126"/>
      <c r="G84" s="1126"/>
      <c r="H84" s="1126"/>
    </row>
    <row r="85" spans="1:8">
      <c r="A85" s="1127" t="s">
        <v>671</v>
      </c>
      <c r="B85" s="1126"/>
      <c r="C85" s="1126"/>
      <c r="D85" s="1126"/>
      <c r="E85" s="1126"/>
      <c r="F85" s="1126"/>
      <c r="G85" s="1126"/>
      <c r="H85" s="1126"/>
    </row>
    <row r="86" spans="1:8">
      <c r="A86" s="1127" t="s">
        <v>672</v>
      </c>
      <c r="B86" s="1126"/>
      <c r="C86" s="1126"/>
      <c r="D86" s="1126"/>
      <c r="E86" s="1126"/>
      <c r="F86" s="1126"/>
      <c r="G86" s="1126"/>
      <c r="H86" s="1126"/>
    </row>
    <row r="87" spans="1:8">
      <c r="A87" s="1127" t="s">
        <v>673</v>
      </c>
      <c r="B87" s="1126"/>
      <c r="C87" s="1126"/>
      <c r="D87" s="1126"/>
      <c r="E87" s="1126"/>
      <c r="F87" s="1126"/>
      <c r="G87" s="1126"/>
      <c r="H87" s="1126"/>
    </row>
    <row r="88" spans="1:8">
      <c r="A88" s="1127" t="s">
        <v>674</v>
      </c>
      <c r="B88" s="1126"/>
      <c r="C88" s="1126"/>
      <c r="D88" s="1126"/>
      <c r="E88" s="1126"/>
      <c r="F88" s="1126"/>
      <c r="G88" s="1126"/>
      <c r="H88" s="1126"/>
    </row>
    <row r="89" spans="1:8">
      <c r="A89" s="1127" t="s">
        <v>675</v>
      </c>
      <c r="B89" s="1126"/>
      <c r="C89" s="1126"/>
      <c r="D89" s="1126"/>
      <c r="E89" s="1126"/>
      <c r="F89" s="1126"/>
      <c r="G89" s="1126"/>
      <c r="H89" s="1126"/>
    </row>
    <row r="90" spans="1:8">
      <c r="A90" s="1127" t="s">
        <v>676</v>
      </c>
      <c r="B90" s="1126"/>
      <c r="C90" s="1126"/>
      <c r="D90" s="1126"/>
      <c r="E90" s="1126"/>
      <c r="F90" s="1126"/>
      <c r="G90" s="1126"/>
      <c r="H90" s="1126"/>
    </row>
    <row r="91" spans="1:8">
      <c r="A91" s="1127" t="s">
        <v>677</v>
      </c>
      <c r="B91" s="1126"/>
      <c r="C91" s="1126"/>
      <c r="D91" s="1126"/>
      <c r="E91" s="1126"/>
      <c r="F91" s="1126"/>
      <c r="G91" s="1126"/>
      <c r="H91" s="1126"/>
    </row>
    <row r="92" spans="1:8">
      <c r="A92" s="1126"/>
      <c r="B92" s="1126"/>
      <c r="C92" s="1126"/>
      <c r="D92" s="1126"/>
      <c r="E92" s="1126"/>
      <c r="F92" s="1126"/>
      <c r="G92" s="1126"/>
      <c r="H92" s="1126"/>
    </row>
    <row r="93" spans="1:8">
      <c r="A93" s="1127" t="s">
        <v>669</v>
      </c>
      <c r="B93" s="1126"/>
      <c r="C93" s="1126"/>
      <c r="D93" s="1126"/>
      <c r="E93" s="1126"/>
      <c r="F93" s="1126"/>
      <c r="G93" s="1126"/>
      <c r="H93" s="1126"/>
    </row>
    <row r="94" spans="1:8">
      <c r="A94" s="1127" t="s">
        <v>670</v>
      </c>
      <c r="B94" s="1126"/>
      <c r="C94" s="1126"/>
      <c r="D94" s="1126"/>
      <c r="E94" s="1126"/>
      <c r="F94" s="1126"/>
      <c r="G94" s="1126"/>
      <c r="H94" s="1126"/>
    </row>
    <row r="95" spans="1:8">
      <c r="A95" s="1126"/>
      <c r="B95" s="1126"/>
      <c r="C95" s="1126"/>
      <c r="D95" s="1126"/>
      <c r="E95" s="1126"/>
      <c r="F95" s="1126"/>
      <c r="G95" s="1126"/>
      <c r="H95" s="1126"/>
    </row>
    <row r="96" spans="1:8" ht="15.75">
      <c r="A96" s="1128" t="s">
        <v>440</v>
      </c>
      <c r="B96" s="1126"/>
      <c r="C96" s="1126"/>
      <c r="D96" s="1126"/>
      <c r="E96" s="1126"/>
      <c r="F96" s="1126"/>
      <c r="G96" s="1126"/>
      <c r="H96" s="1126"/>
    </row>
    <row r="97" spans="1:8">
      <c r="A97" s="1126"/>
      <c r="B97" s="1126"/>
      <c r="C97" s="1126"/>
      <c r="D97" s="1126"/>
      <c r="E97" s="1126"/>
      <c r="F97" s="1126"/>
      <c r="G97" s="1126"/>
      <c r="H97" s="1126"/>
    </row>
    <row r="98" spans="1:8">
      <c r="A98" s="1127" t="s">
        <v>660</v>
      </c>
      <c r="B98" s="1126"/>
      <c r="C98" s="1126"/>
      <c r="D98" s="1126"/>
      <c r="E98" s="1126"/>
      <c r="F98" s="1126"/>
      <c r="G98" s="1126"/>
      <c r="H98" s="1126"/>
    </row>
    <row r="99" spans="1:8">
      <c r="A99" s="1127" t="s">
        <v>661</v>
      </c>
      <c r="B99" s="1126"/>
      <c r="C99" s="1126"/>
      <c r="D99" s="1126"/>
      <c r="E99" s="1126"/>
      <c r="F99" s="1126"/>
      <c r="G99" s="1126"/>
      <c r="H99" s="1126"/>
    </row>
    <row r="100" spans="1:8">
      <c r="A100" s="1127" t="s">
        <v>662</v>
      </c>
      <c r="B100" s="1126"/>
      <c r="C100" s="1126"/>
      <c r="D100" s="1126"/>
      <c r="E100" s="1126"/>
      <c r="F100" s="1126"/>
      <c r="G100" s="1126"/>
      <c r="H100" s="1126"/>
    </row>
    <row r="101" spans="1:8">
      <c r="A101" s="1127" t="s">
        <v>663</v>
      </c>
      <c r="B101" s="1126"/>
      <c r="C101" s="1126"/>
      <c r="D101" s="1126"/>
      <c r="E101" s="1126"/>
      <c r="F101" s="1126"/>
      <c r="G101" s="1126"/>
      <c r="H101" s="1126"/>
    </row>
    <row r="102" spans="1:8">
      <c r="A102" s="1127" t="s">
        <v>664</v>
      </c>
      <c r="B102" s="1126"/>
      <c r="C102" s="1126"/>
      <c r="D102" s="1126"/>
      <c r="E102" s="1126"/>
      <c r="F102" s="1126"/>
      <c r="G102" s="1126"/>
      <c r="H102" s="1126"/>
    </row>
    <row r="103" spans="1:8">
      <c r="A103" s="1127" t="s">
        <v>665</v>
      </c>
      <c r="B103" s="1126"/>
      <c r="C103" s="1126"/>
      <c r="D103" s="1126"/>
      <c r="E103" s="1126"/>
      <c r="F103" s="1126"/>
      <c r="G103" s="1126"/>
      <c r="H103" s="1126"/>
    </row>
    <row r="104" spans="1:8">
      <c r="A104" s="1127" t="s">
        <v>666</v>
      </c>
      <c r="B104" s="1126"/>
      <c r="C104" s="1126"/>
      <c r="D104" s="1126"/>
      <c r="E104" s="1126"/>
      <c r="F104" s="1126"/>
      <c r="G104" s="1126"/>
      <c r="H104" s="1126"/>
    </row>
    <row r="105" spans="1:8">
      <c r="A105" s="1127" t="s">
        <v>667</v>
      </c>
      <c r="B105" s="1126"/>
      <c r="C105" s="1126"/>
      <c r="D105" s="1126"/>
      <c r="E105" s="1126"/>
      <c r="F105" s="1126"/>
      <c r="G105" s="1126"/>
      <c r="H105" s="1126"/>
    </row>
    <row r="106" spans="1:8">
      <c r="A106" s="1127" t="s">
        <v>668</v>
      </c>
      <c r="B106" s="1126"/>
      <c r="C106" s="1126"/>
      <c r="D106" s="1126"/>
      <c r="E106" s="1126"/>
      <c r="F106" s="1126"/>
      <c r="G106" s="1126"/>
      <c r="H106" s="1126"/>
    </row>
    <row r="107" spans="1:8">
      <c r="A107" s="1126"/>
      <c r="B107" s="1126"/>
      <c r="C107" s="1126"/>
      <c r="D107" s="1126"/>
      <c r="E107" s="1126"/>
      <c r="F107" s="1126"/>
      <c r="G107" s="1126"/>
      <c r="H107" s="1126"/>
    </row>
    <row r="108" spans="1:8" ht="15.75">
      <c r="A108" s="1143" t="s">
        <v>441</v>
      </c>
      <c r="B108" s="1143"/>
      <c r="C108" s="1143"/>
      <c r="D108" s="1143"/>
      <c r="E108" s="1143"/>
      <c r="F108" s="1143"/>
      <c r="G108" s="1143"/>
      <c r="H108" s="1143"/>
    </row>
    <row r="109" spans="1:8">
      <c r="A109" s="1139" t="s">
        <v>442</v>
      </c>
      <c r="B109" s="1139"/>
      <c r="C109" s="1139"/>
      <c r="D109" s="1139"/>
      <c r="E109" s="1139"/>
      <c r="F109" s="1139"/>
      <c r="G109" s="1139"/>
      <c r="H109" s="1139"/>
    </row>
    <row r="110" spans="1:8">
      <c r="A110" s="1144"/>
      <c r="B110" s="1144"/>
      <c r="C110" s="1144"/>
      <c r="D110" s="1144"/>
      <c r="E110" s="1144"/>
      <c r="F110" s="1144"/>
      <c r="G110" s="1144"/>
      <c r="H110" s="1144"/>
    </row>
    <row r="111" spans="1:8">
      <c r="A111" s="1139" t="s">
        <v>658</v>
      </c>
      <c r="B111" s="1139"/>
      <c r="C111" s="1139"/>
      <c r="D111" s="1139"/>
      <c r="E111" s="1139"/>
      <c r="F111" s="1139"/>
      <c r="G111" s="1139"/>
      <c r="H111" s="1139"/>
    </row>
    <row r="112" spans="1:8">
      <c r="A112" s="1127" t="s">
        <v>659</v>
      </c>
      <c r="B112" s="1127"/>
      <c r="C112" s="1127"/>
      <c r="D112" s="1127"/>
      <c r="E112" s="1127"/>
      <c r="F112" s="1127"/>
      <c r="G112" s="1127"/>
      <c r="H112" s="1127"/>
    </row>
    <row r="113" spans="1:8">
      <c r="A113" s="1144"/>
      <c r="B113" s="1144"/>
      <c r="C113" s="1144"/>
      <c r="D113" s="1144"/>
      <c r="E113" s="1144"/>
      <c r="F113" s="1144"/>
      <c r="G113" s="1144"/>
      <c r="H113" s="1144"/>
    </row>
    <row r="114" spans="1:8">
      <c r="A114" s="1139" t="s">
        <v>651</v>
      </c>
      <c r="B114" s="1139"/>
      <c r="C114" s="1139"/>
      <c r="D114" s="1139"/>
      <c r="E114" s="1139"/>
      <c r="F114" s="1139"/>
      <c r="G114" s="1139"/>
      <c r="H114" s="1139"/>
    </row>
    <row r="115" spans="1:8">
      <c r="A115" s="1127" t="s">
        <v>652</v>
      </c>
      <c r="B115" s="1127"/>
      <c r="C115" s="1127"/>
      <c r="D115" s="1127"/>
      <c r="E115" s="1127"/>
      <c r="F115" s="1127"/>
      <c r="G115" s="1127"/>
      <c r="H115" s="1127"/>
    </row>
    <row r="116" spans="1:8">
      <c r="A116" s="1127" t="s">
        <v>653</v>
      </c>
      <c r="B116" s="1127"/>
      <c r="C116" s="1127"/>
      <c r="D116" s="1127"/>
      <c r="E116" s="1127"/>
      <c r="F116" s="1127"/>
      <c r="G116" s="1127"/>
      <c r="H116" s="1127"/>
    </row>
    <row r="117" spans="1:8">
      <c r="A117" s="1127" t="s">
        <v>654</v>
      </c>
      <c r="B117" s="1127"/>
      <c r="C117" s="1127"/>
      <c r="D117" s="1127"/>
      <c r="E117" s="1127"/>
      <c r="F117" s="1127"/>
      <c r="G117" s="1127"/>
      <c r="H117" s="1127"/>
    </row>
    <row r="118" spans="1:8">
      <c r="A118" s="1127" t="s">
        <v>655</v>
      </c>
      <c r="B118" s="1127"/>
      <c r="C118" s="1127"/>
      <c r="D118" s="1127"/>
      <c r="E118" s="1127"/>
      <c r="F118" s="1127"/>
      <c r="G118" s="1127"/>
      <c r="H118" s="1127"/>
    </row>
    <row r="119" spans="1:8">
      <c r="A119" s="1127" t="s">
        <v>656</v>
      </c>
      <c r="B119" s="1127"/>
      <c r="C119" s="1127"/>
      <c r="D119" s="1127"/>
      <c r="E119" s="1127"/>
      <c r="F119" s="1127"/>
      <c r="G119" s="1127"/>
      <c r="H119" s="1127"/>
    </row>
    <row r="120" spans="1:8">
      <c r="A120" s="1127" t="s">
        <v>657</v>
      </c>
      <c r="B120" s="1127"/>
      <c r="C120" s="1127"/>
      <c r="D120" s="1127"/>
      <c r="E120" s="1127"/>
      <c r="F120" s="1127"/>
      <c r="G120" s="1127"/>
      <c r="H120" s="1127"/>
    </row>
    <row r="121" spans="1:8">
      <c r="A121" s="1145"/>
      <c r="B121" s="1145"/>
      <c r="C121" s="1145"/>
      <c r="D121" s="1145"/>
      <c r="E121" s="1145"/>
      <c r="F121" s="1145"/>
      <c r="G121" s="1145"/>
      <c r="H121" s="1145"/>
    </row>
    <row r="122" spans="1:8">
      <c r="A122" s="1129"/>
      <c r="B122" s="1140" t="s">
        <v>443</v>
      </c>
      <c r="C122" s="1141"/>
      <c r="D122" s="1140" t="s">
        <v>444</v>
      </c>
      <c r="E122" s="1142"/>
      <c r="F122" s="1141"/>
      <c r="G122" s="1140" t="s">
        <v>445</v>
      </c>
      <c r="H122" s="1141"/>
    </row>
    <row r="123" spans="1:8">
      <c r="A123" s="1129" t="s">
        <v>446</v>
      </c>
      <c r="B123" s="1129" t="s">
        <v>197</v>
      </c>
      <c r="C123" s="1129" t="s">
        <v>447</v>
      </c>
      <c r="D123" s="1129" t="s">
        <v>197</v>
      </c>
      <c r="E123" s="1129" t="s">
        <v>448</v>
      </c>
      <c r="F123" s="1129" t="s">
        <v>449</v>
      </c>
      <c r="G123" s="1129" t="s">
        <v>197</v>
      </c>
      <c r="H123" s="1129" t="s">
        <v>450</v>
      </c>
    </row>
    <row r="124" spans="1:8">
      <c r="A124" s="1129" t="s">
        <v>451</v>
      </c>
      <c r="B124" s="1129">
        <v>1189</v>
      </c>
      <c r="C124" s="1130">
        <v>0.38</v>
      </c>
      <c r="D124" s="1129">
        <v>315</v>
      </c>
      <c r="E124" s="1130">
        <v>0.41</v>
      </c>
      <c r="F124" s="1130">
        <v>0.26</v>
      </c>
      <c r="G124" s="1129">
        <v>555</v>
      </c>
      <c r="H124" s="1130">
        <v>0.39</v>
      </c>
    </row>
    <row r="125" spans="1:8">
      <c r="A125" s="1129" t="s">
        <v>452</v>
      </c>
      <c r="B125" s="1129">
        <v>1355</v>
      </c>
      <c r="C125" s="1130">
        <v>0.43</v>
      </c>
      <c r="D125" s="1129">
        <v>364</v>
      </c>
      <c r="E125" s="1130">
        <v>0.47</v>
      </c>
      <c r="F125" s="1130">
        <v>0.27</v>
      </c>
      <c r="G125" s="1129">
        <v>644</v>
      </c>
      <c r="H125" s="1130">
        <v>0.45</v>
      </c>
    </row>
    <row r="126" spans="1:8">
      <c r="A126" s="1129" t="s">
        <v>453</v>
      </c>
      <c r="B126" s="1129">
        <v>53</v>
      </c>
      <c r="C126" s="1130">
        <v>0.02</v>
      </c>
      <c r="D126" s="1129">
        <v>4</v>
      </c>
      <c r="E126" s="1130">
        <v>0.01</v>
      </c>
      <c r="F126" s="1130">
        <v>0.08</v>
      </c>
      <c r="G126" s="1129">
        <v>7</v>
      </c>
      <c r="H126" s="1130">
        <v>0</v>
      </c>
    </row>
    <row r="127" spans="1:8">
      <c r="A127" s="1129" t="s">
        <v>454</v>
      </c>
      <c r="B127" s="1129">
        <v>545</v>
      </c>
      <c r="C127" s="1130">
        <v>0.17</v>
      </c>
      <c r="D127" s="1129">
        <v>84</v>
      </c>
      <c r="E127" s="1130">
        <v>0.11</v>
      </c>
      <c r="F127" s="1130">
        <v>0.15</v>
      </c>
      <c r="G127" s="1129">
        <v>214</v>
      </c>
      <c r="H127" s="1130">
        <v>0.15</v>
      </c>
    </row>
    <row r="128" spans="1:8">
      <c r="A128" s="1129" t="s">
        <v>2</v>
      </c>
      <c r="B128" s="1131">
        <v>3142</v>
      </c>
      <c r="C128" s="1129"/>
      <c r="D128" s="1129">
        <v>767</v>
      </c>
      <c r="E128" s="1129"/>
      <c r="F128" s="1129"/>
      <c r="G128" s="1129">
        <v>1420</v>
      </c>
      <c r="H128" s="1129"/>
    </row>
    <row r="129" spans="1:8">
      <c r="A129" s="1138"/>
      <c r="B129" s="1138"/>
      <c r="C129" s="1138"/>
      <c r="D129" s="1138"/>
      <c r="E129" s="1138"/>
      <c r="F129" s="1138"/>
      <c r="G129" s="1138"/>
      <c r="H129" s="1138"/>
    </row>
    <row r="130" spans="1:8">
      <c r="A130" s="1139" t="s">
        <v>647</v>
      </c>
      <c r="B130" s="1139"/>
      <c r="C130" s="1139"/>
      <c r="D130" s="1139"/>
      <c r="E130" s="1139"/>
      <c r="F130" s="1139"/>
      <c r="G130" s="1139"/>
      <c r="H130" s="1139"/>
    </row>
    <row r="131" spans="1:8">
      <c r="A131" s="1127" t="s">
        <v>648</v>
      </c>
      <c r="B131" s="1127"/>
      <c r="C131" s="1127"/>
      <c r="D131" s="1127"/>
      <c r="E131" s="1127"/>
      <c r="F131" s="1127"/>
      <c r="G131" s="1127"/>
      <c r="H131" s="1127"/>
    </row>
    <row r="132" spans="1:8">
      <c r="A132" s="1127" t="s">
        <v>649</v>
      </c>
      <c r="B132" s="1127"/>
      <c r="C132" s="1127"/>
      <c r="D132" s="1127"/>
      <c r="E132" s="1127"/>
      <c r="F132" s="1127"/>
      <c r="G132" s="1127"/>
      <c r="H132" s="1127"/>
    </row>
    <row r="133" spans="1:8">
      <c r="A133" s="1127" t="s">
        <v>650</v>
      </c>
      <c r="B133" s="1127"/>
      <c r="C133" s="1127"/>
      <c r="D133" s="1127"/>
      <c r="E133" s="1127"/>
      <c r="F133" s="1127"/>
      <c r="G133" s="1127"/>
      <c r="H133" s="1127"/>
    </row>
    <row r="134" spans="1:8">
      <c r="A134" s="1126"/>
      <c r="B134" s="1126"/>
      <c r="C134" s="1126"/>
      <c r="D134" s="1126"/>
      <c r="E134" s="1126"/>
      <c r="F134" s="1126"/>
      <c r="G134" s="1126"/>
      <c r="H134" s="1126"/>
    </row>
    <row r="135" spans="1:8" ht="15.75">
      <c r="A135" s="1128" t="s">
        <v>455</v>
      </c>
      <c r="B135" s="1126"/>
      <c r="C135" s="1126"/>
      <c r="D135" s="1126"/>
      <c r="E135" s="1126"/>
      <c r="F135" s="1126"/>
      <c r="G135" s="1126"/>
      <c r="H135" s="1126"/>
    </row>
    <row r="136" spans="1:8">
      <c r="A136" s="1126"/>
      <c r="B136" s="1126"/>
      <c r="C136" s="1126"/>
      <c r="D136" s="1126"/>
      <c r="E136" s="1126"/>
      <c r="F136" s="1126"/>
      <c r="G136" s="1126"/>
      <c r="H136" s="1126"/>
    </row>
    <row r="137" spans="1:8">
      <c r="A137" s="1127" t="s">
        <v>645</v>
      </c>
      <c r="B137" s="1126"/>
      <c r="C137" s="1126"/>
      <c r="D137" s="1126"/>
      <c r="E137" s="1126"/>
      <c r="F137" s="1126"/>
      <c r="G137" s="1126"/>
      <c r="H137" s="1126"/>
    </row>
    <row r="138" spans="1:8">
      <c r="A138" s="1127" t="s">
        <v>646</v>
      </c>
      <c r="B138" s="1126"/>
      <c r="C138" s="1126"/>
      <c r="D138" s="1126"/>
      <c r="E138" s="1126"/>
      <c r="F138" s="1126"/>
      <c r="G138" s="1126"/>
      <c r="H138" s="1126"/>
    </row>
    <row r="139" spans="1:8">
      <c r="A139" s="1126"/>
      <c r="B139" s="1126"/>
      <c r="C139" s="1126"/>
      <c r="D139" s="1126"/>
      <c r="E139" s="1126"/>
      <c r="F139" s="1126"/>
      <c r="G139" s="1126"/>
      <c r="H139" s="1126"/>
    </row>
    <row r="140" spans="1:8">
      <c r="A140" s="1127" t="s">
        <v>642</v>
      </c>
      <c r="B140" s="1126"/>
      <c r="C140" s="1126"/>
      <c r="D140" s="1126"/>
      <c r="E140" s="1126"/>
      <c r="F140" s="1126"/>
      <c r="G140" s="1126"/>
      <c r="H140" s="1126"/>
    </row>
    <row r="141" spans="1:8">
      <c r="A141" s="1127" t="s">
        <v>643</v>
      </c>
      <c r="B141" s="1126"/>
      <c r="C141" s="1126"/>
      <c r="D141" s="1126"/>
      <c r="E141" s="1126"/>
      <c r="F141" s="1126"/>
      <c r="G141" s="1126"/>
      <c r="H141" s="1126"/>
    </row>
    <row r="142" spans="1:8">
      <c r="A142" s="1127" t="s">
        <v>644</v>
      </c>
      <c r="B142" s="1126"/>
      <c r="C142" s="1126"/>
      <c r="D142" s="1126"/>
      <c r="E142" s="1126"/>
      <c r="F142" s="1126"/>
      <c r="G142" s="1126"/>
      <c r="H142" s="1126"/>
    </row>
    <row r="143" spans="1:8">
      <c r="A143" s="1126"/>
      <c r="B143" s="1126"/>
      <c r="C143" s="1126"/>
      <c r="D143" s="1126"/>
      <c r="E143" s="1126"/>
      <c r="F143" s="1126"/>
      <c r="G143" s="1126"/>
      <c r="H143" s="1126"/>
    </row>
    <row r="144" spans="1:8">
      <c r="A144" s="1127" t="s">
        <v>639</v>
      </c>
      <c r="B144" s="1126"/>
      <c r="C144" s="1126"/>
      <c r="D144" s="1126"/>
      <c r="E144" s="1126"/>
      <c r="F144" s="1126"/>
      <c r="G144" s="1126"/>
      <c r="H144" s="1126"/>
    </row>
    <row r="145" spans="1:8">
      <c r="A145" s="1127" t="s">
        <v>640</v>
      </c>
      <c r="B145" s="1126"/>
      <c r="C145" s="1126"/>
      <c r="D145" s="1126"/>
      <c r="E145" s="1126"/>
      <c r="F145" s="1126"/>
      <c r="G145" s="1126"/>
      <c r="H145" s="1126"/>
    </row>
    <row r="146" spans="1:8">
      <c r="A146" s="1127" t="s">
        <v>641</v>
      </c>
      <c r="B146" s="1126"/>
      <c r="C146" s="1126"/>
      <c r="D146" s="1126"/>
      <c r="E146" s="1126"/>
      <c r="F146" s="1126"/>
      <c r="G146" s="1126"/>
      <c r="H146" s="1126"/>
    </row>
    <row r="147" spans="1:8">
      <c r="A147" s="1126"/>
      <c r="B147" s="1126"/>
      <c r="C147" s="1126"/>
      <c r="D147" s="1126"/>
      <c r="E147" s="1126"/>
      <c r="F147" s="1126"/>
      <c r="G147" s="1126"/>
      <c r="H147" s="1126"/>
    </row>
    <row r="148" spans="1:8">
      <c r="A148" s="1127" t="s">
        <v>636</v>
      </c>
      <c r="B148" s="1126"/>
      <c r="C148" s="1126"/>
      <c r="D148" s="1126"/>
      <c r="E148" s="1126"/>
      <c r="F148" s="1126"/>
      <c r="G148" s="1126"/>
      <c r="H148" s="1126"/>
    </row>
    <row r="149" spans="1:8">
      <c r="A149" s="1127" t="s">
        <v>637</v>
      </c>
      <c r="B149" s="1126"/>
      <c r="C149" s="1126"/>
      <c r="D149" s="1126"/>
      <c r="E149" s="1126"/>
      <c r="F149" s="1126"/>
      <c r="G149" s="1126"/>
      <c r="H149" s="1126"/>
    </row>
    <row r="150" spans="1:8">
      <c r="A150" s="1127" t="s">
        <v>638</v>
      </c>
      <c r="B150" s="1126"/>
      <c r="C150" s="1126"/>
      <c r="D150" s="1126"/>
      <c r="E150" s="1126"/>
      <c r="F150" s="1126"/>
      <c r="G150" s="1126"/>
      <c r="H150" s="1126"/>
    </row>
    <row r="151" spans="1:8">
      <c r="A151" s="1126"/>
      <c r="B151" s="1126"/>
      <c r="C151" s="1126"/>
      <c r="D151" s="1126"/>
      <c r="E151" s="1126"/>
      <c r="F151" s="1126"/>
      <c r="G151" s="1126"/>
      <c r="H151" s="1126"/>
    </row>
    <row r="152" spans="1:8">
      <c r="A152" s="1127" t="s">
        <v>634</v>
      </c>
      <c r="B152" s="1126"/>
      <c r="C152" s="1126"/>
      <c r="D152" s="1126"/>
      <c r="E152" s="1126"/>
      <c r="F152" s="1126"/>
      <c r="G152" s="1126"/>
      <c r="H152" s="1126"/>
    </row>
    <row r="153" spans="1:8">
      <c r="A153" s="1127" t="s">
        <v>635</v>
      </c>
      <c r="B153" s="1126"/>
      <c r="C153" s="1126"/>
      <c r="D153" s="1126"/>
      <c r="E153" s="1126"/>
      <c r="F153" s="1126"/>
      <c r="G153" s="1126"/>
      <c r="H153" s="1126"/>
    </row>
    <row r="154" spans="1:8">
      <c r="A154" s="1126"/>
      <c r="B154" s="1126"/>
      <c r="C154" s="1126"/>
      <c r="D154" s="1126"/>
      <c r="E154" s="1126"/>
      <c r="F154" s="1126"/>
      <c r="G154" s="1126"/>
      <c r="H154" s="1126"/>
    </row>
    <row r="155" spans="1:8" ht="15.75">
      <c r="A155" s="1128" t="s">
        <v>456</v>
      </c>
      <c r="B155" s="1126"/>
      <c r="C155" s="1126"/>
      <c r="D155" s="1126"/>
      <c r="E155" s="1126"/>
      <c r="F155" s="1126"/>
      <c r="G155" s="1126"/>
      <c r="H155" s="1126"/>
    </row>
    <row r="156" spans="1:8">
      <c r="A156" s="1126"/>
      <c r="B156" s="1126"/>
      <c r="C156" s="1126"/>
      <c r="D156" s="1126"/>
      <c r="E156" s="1126"/>
      <c r="F156" s="1126"/>
      <c r="G156" s="1126"/>
      <c r="H156" s="1126"/>
    </row>
    <row r="157" spans="1:8">
      <c r="A157" s="1127" t="s">
        <v>632</v>
      </c>
      <c r="B157" s="1126"/>
      <c r="C157" s="1126"/>
      <c r="D157" s="1126"/>
      <c r="E157" s="1126"/>
      <c r="F157" s="1126"/>
      <c r="G157" s="1126"/>
      <c r="H157" s="1126"/>
    </row>
    <row r="158" spans="1:8">
      <c r="A158" s="1127" t="s">
        <v>633</v>
      </c>
      <c r="B158" s="1126"/>
      <c r="C158" s="1126"/>
      <c r="D158" s="1126"/>
      <c r="E158" s="1126"/>
      <c r="F158" s="1126"/>
      <c r="G158" s="1126"/>
      <c r="H158" s="1126"/>
    </row>
    <row r="159" spans="1:8">
      <c r="A159" s="1126"/>
      <c r="B159" s="1126"/>
      <c r="C159" s="1126"/>
      <c r="D159" s="1126"/>
      <c r="E159" s="1126"/>
      <c r="F159" s="1126"/>
      <c r="G159" s="1126"/>
      <c r="H159" s="1126"/>
    </row>
    <row r="160" spans="1:8">
      <c r="A160" s="1127" t="s">
        <v>630</v>
      </c>
      <c r="B160" s="1126"/>
      <c r="C160" s="1126"/>
      <c r="D160" s="1126"/>
      <c r="E160" s="1126"/>
      <c r="F160" s="1126"/>
      <c r="G160" s="1126"/>
      <c r="H160" s="1126"/>
    </row>
    <row r="161" spans="1:8">
      <c r="A161" s="1127" t="s">
        <v>631</v>
      </c>
      <c r="B161" s="1126"/>
      <c r="C161" s="1126"/>
      <c r="D161" s="1126"/>
      <c r="E161" s="1126"/>
      <c r="F161" s="1126"/>
      <c r="G161" s="1126"/>
      <c r="H161" s="1126"/>
    </row>
    <row r="162" spans="1:8">
      <c r="A162" s="1126"/>
      <c r="B162" s="1126"/>
      <c r="C162" s="1126"/>
      <c r="D162" s="1126"/>
      <c r="E162" s="1126"/>
      <c r="F162" s="1126"/>
      <c r="G162" s="1126"/>
      <c r="H162" s="1126"/>
    </row>
    <row r="163" spans="1:8">
      <c r="A163" s="1127" t="s">
        <v>628</v>
      </c>
      <c r="B163" s="1126"/>
      <c r="C163" s="1126"/>
      <c r="D163" s="1126"/>
      <c r="E163" s="1126"/>
      <c r="F163" s="1126"/>
      <c r="G163" s="1126"/>
      <c r="H163" s="1126"/>
    </row>
    <row r="164" spans="1:8">
      <c r="A164" s="1127" t="s">
        <v>629</v>
      </c>
      <c r="B164" s="1126"/>
      <c r="C164" s="1126"/>
      <c r="D164" s="1126"/>
      <c r="E164" s="1126"/>
      <c r="F164" s="1126"/>
      <c r="G164" s="1126"/>
      <c r="H164" s="1126"/>
    </row>
    <row r="165" spans="1:8">
      <c r="A165" s="1126"/>
      <c r="B165" s="1126"/>
      <c r="C165" s="1126"/>
      <c r="D165" s="1126"/>
      <c r="E165" s="1126"/>
      <c r="F165" s="1126"/>
      <c r="G165" s="1126"/>
      <c r="H165" s="1126"/>
    </row>
    <row r="166" spans="1:8">
      <c r="A166" s="1127" t="s">
        <v>625</v>
      </c>
      <c r="B166" s="1126"/>
      <c r="C166" s="1126"/>
      <c r="D166" s="1126"/>
      <c r="E166" s="1126"/>
      <c r="F166" s="1126"/>
      <c r="G166" s="1126"/>
      <c r="H166" s="1126"/>
    </row>
    <row r="167" spans="1:8">
      <c r="A167" s="1127" t="s">
        <v>626</v>
      </c>
      <c r="B167" s="1126"/>
      <c r="C167" s="1126"/>
      <c r="D167" s="1126"/>
      <c r="E167" s="1126"/>
      <c r="F167" s="1126"/>
      <c r="G167" s="1126"/>
      <c r="H167" s="1126"/>
    </row>
    <row r="168" spans="1:8">
      <c r="A168" s="1127" t="s">
        <v>627</v>
      </c>
      <c r="B168" s="1126"/>
      <c r="C168" s="1126"/>
      <c r="D168" s="1126"/>
      <c r="E168" s="1126"/>
      <c r="F168" s="1126"/>
      <c r="G168" s="1126"/>
      <c r="H168" s="1126"/>
    </row>
    <row r="169" spans="1:8">
      <c r="A169" s="1126"/>
      <c r="B169" s="1126"/>
      <c r="C169" s="1126"/>
      <c r="D169" s="1126"/>
      <c r="E169" s="1126"/>
      <c r="F169" s="1126"/>
      <c r="G169" s="1126"/>
      <c r="H169" s="1126"/>
    </row>
    <row r="170" spans="1:8">
      <c r="A170" s="1126"/>
      <c r="B170" s="1126"/>
      <c r="C170" s="1126"/>
      <c r="D170" s="1126"/>
      <c r="E170" s="1126"/>
      <c r="F170" s="1126"/>
      <c r="G170" s="1126"/>
      <c r="H170" s="1126"/>
    </row>
    <row r="171" spans="1:8">
      <c r="A171" s="1127" t="s">
        <v>457</v>
      </c>
      <c r="B171" s="1126"/>
      <c r="C171" s="1126"/>
      <c r="D171" s="1126"/>
      <c r="E171" s="1126"/>
      <c r="F171" s="1126"/>
      <c r="G171" s="1126"/>
      <c r="H171" s="1126"/>
    </row>
    <row r="172" spans="1:8">
      <c r="A172" s="1126"/>
      <c r="B172" s="1126"/>
      <c r="C172" s="1126"/>
      <c r="D172" s="1126"/>
      <c r="E172" s="1126"/>
      <c r="F172" s="1126"/>
      <c r="G172" s="1126"/>
      <c r="H172" s="1126"/>
    </row>
    <row r="173" spans="1:8" ht="15.75">
      <c r="A173" s="1128" t="s">
        <v>458</v>
      </c>
      <c r="B173" s="1126"/>
      <c r="C173" s="1126"/>
      <c r="D173" s="1126"/>
      <c r="E173" s="1126"/>
      <c r="F173" s="1126"/>
      <c r="G173" s="1126"/>
      <c r="H173" s="1126"/>
    </row>
    <row r="174" spans="1:8">
      <c r="A174" s="1126"/>
      <c r="B174" s="1126"/>
      <c r="C174" s="1126"/>
      <c r="D174" s="1126"/>
      <c r="E174" s="1126"/>
      <c r="F174" s="1126"/>
      <c r="G174" s="1126"/>
      <c r="H174" s="1126"/>
    </row>
    <row r="175" spans="1:8">
      <c r="A175" s="1126"/>
      <c r="B175" s="1126"/>
      <c r="C175" s="1126"/>
      <c r="D175" s="1126"/>
      <c r="E175" s="1126"/>
      <c r="F175" s="1126"/>
      <c r="G175" s="1126"/>
      <c r="H175" s="1126"/>
    </row>
    <row r="176" spans="1:8">
      <c r="A176" s="1126"/>
      <c r="B176" s="1126"/>
      <c r="C176" s="1126"/>
      <c r="D176" s="1126"/>
      <c r="E176" s="1126"/>
      <c r="F176" s="1126"/>
      <c r="G176" s="1126"/>
      <c r="H176" s="1126"/>
    </row>
    <row r="177" spans="1:8">
      <c r="A177" s="1126"/>
      <c r="B177" s="1126"/>
      <c r="C177" s="1126"/>
      <c r="D177" s="1126"/>
      <c r="E177" s="1126"/>
      <c r="F177" s="1126"/>
      <c r="G177" s="1126"/>
      <c r="H177" s="1126"/>
    </row>
    <row r="178" spans="1:8">
      <c r="A178" s="1126"/>
      <c r="B178" s="1126"/>
      <c r="C178" s="1126"/>
      <c r="D178" s="1126"/>
      <c r="E178" s="1126"/>
      <c r="F178" s="1126"/>
      <c r="G178" s="1126"/>
      <c r="H178" s="1126"/>
    </row>
    <row r="179" spans="1:8">
      <c r="A179" s="1126"/>
      <c r="B179" s="1126"/>
      <c r="C179" s="1126"/>
      <c r="D179" s="1126"/>
      <c r="E179" s="1126"/>
      <c r="F179" s="1126"/>
      <c r="G179" s="1126"/>
      <c r="H179" s="1126"/>
    </row>
    <row r="180" spans="1:8">
      <c r="A180" s="1126"/>
      <c r="B180" s="1126"/>
      <c r="C180" s="1126"/>
      <c r="D180" s="1126"/>
      <c r="E180" s="1126"/>
      <c r="F180" s="1126"/>
      <c r="G180" s="1126"/>
      <c r="H180" s="1126"/>
    </row>
    <row r="181" spans="1:8">
      <c r="A181" s="1126"/>
      <c r="B181" s="1126"/>
      <c r="C181" s="1126"/>
      <c r="D181" s="1126"/>
      <c r="E181" s="1126"/>
      <c r="F181" s="1126"/>
      <c r="G181" s="1126"/>
      <c r="H181" s="1126"/>
    </row>
    <row r="182" spans="1:8">
      <c r="A182" s="1126"/>
      <c r="B182" s="1126"/>
      <c r="C182" s="1126"/>
      <c r="D182" s="1126"/>
      <c r="E182" s="1126"/>
      <c r="F182" s="1126"/>
      <c r="G182" s="1126"/>
      <c r="H182" s="1126"/>
    </row>
    <row r="183" spans="1:8">
      <c r="A183" s="1126"/>
      <c r="B183" s="1126"/>
      <c r="C183" s="1126"/>
      <c r="D183" s="1126"/>
      <c r="E183" s="1126"/>
      <c r="F183" s="1126"/>
      <c r="G183" s="1126"/>
      <c r="H183" s="1126"/>
    </row>
    <row r="184" spans="1:8">
      <c r="A184" s="1126"/>
      <c r="B184" s="1126"/>
      <c r="C184" s="1126"/>
      <c r="D184" s="1126"/>
      <c r="E184" s="1126"/>
      <c r="F184" s="1126"/>
      <c r="G184" s="1126"/>
      <c r="H184" s="1126"/>
    </row>
    <row r="185" spans="1:8">
      <c r="A185" s="1126"/>
      <c r="B185" s="1126"/>
      <c r="C185" s="1126"/>
      <c r="D185" s="1126"/>
      <c r="E185" s="1126"/>
      <c r="F185" s="1126"/>
      <c r="G185" s="1126"/>
      <c r="H185" s="1126"/>
    </row>
    <row r="186" spans="1:8">
      <c r="A186" s="1126"/>
      <c r="B186" s="1126"/>
      <c r="C186" s="1126"/>
      <c r="D186" s="1126"/>
      <c r="E186" s="1126"/>
      <c r="F186" s="1126"/>
      <c r="G186" s="1126"/>
      <c r="H186" s="1126"/>
    </row>
    <row r="187" spans="1:8">
      <c r="A187" s="1126"/>
      <c r="B187" s="1126"/>
      <c r="C187" s="1126"/>
      <c r="D187" s="1126"/>
      <c r="E187" s="1126"/>
      <c r="F187" s="1126"/>
      <c r="G187" s="1126"/>
      <c r="H187" s="1126"/>
    </row>
    <row r="188" spans="1:8">
      <c r="A188" s="1126"/>
      <c r="B188" s="1126"/>
      <c r="C188" s="1126"/>
      <c r="D188" s="1126"/>
      <c r="E188" s="1126"/>
      <c r="F188" s="1126"/>
      <c r="G188" s="1126"/>
      <c r="H188" s="1126"/>
    </row>
    <row r="189" spans="1:8">
      <c r="A189" s="1126"/>
      <c r="B189" s="1126"/>
      <c r="C189" s="1126"/>
      <c r="D189" s="1126"/>
      <c r="E189" s="1126"/>
      <c r="F189" s="1126"/>
      <c r="G189" s="1126"/>
      <c r="H189" s="1126"/>
    </row>
    <row r="190" spans="1:8">
      <c r="A190" s="1126"/>
      <c r="B190" s="1126"/>
      <c r="C190" s="1126"/>
      <c r="D190" s="1126"/>
      <c r="E190" s="1126"/>
      <c r="F190" s="1126"/>
      <c r="G190" s="1126"/>
      <c r="H190" s="1126"/>
    </row>
    <row r="191" spans="1:8">
      <c r="A191" s="1126"/>
      <c r="B191" s="1126"/>
      <c r="C191" s="1126"/>
      <c r="D191" s="1126"/>
      <c r="E191" s="1126"/>
      <c r="F191" s="1126"/>
      <c r="G191" s="1126"/>
      <c r="H191" s="1126"/>
    </row>
    <row r="192" spans="1:8">
      <c r="A192" s="1126"/>
      <c r="B192" s="1126"/>
      <c r="C192" s="1126"/>
      <c r="D192" s="1126"/>
      <c r="E192" s="1126"/>
      <c r="F192" s="1126"/>
      <c r="G192" s="1126"/>
      <c r="H192" s="1126"/>
    </row>
    <row r="193" spans="1:8">
      <c r="A193" s="1126"/>
      <c r="B193" s="1126"/>
      <c r="C193" s="1126"/>
      <c r="D193" s="1126"/>
      <c r="E193" s="1126"/>
      <c r="F193" s="1126"/>
      <c r="G193" s="1126"/>
      <c r="H193" s="1126"/>
    </row>
    <row r="194" spans="1:8">
      <c r="A194" s="1126"/>
      <c r="B194" s="1126"/>
      <c r="C194" s="1126"/>
      <c r="D194" s="1126"/>
      <c r="E194" s="1126"/>
      <c r="F194" s="1126"/>
      <c r="G194" s="1126"/>
      <c r="H194" s="1126"/>
    </row>
    <row r="195" spans="1:8">
      <c r="A195" s="1126"/>
      <c r="B195" s="1126"/>
      <c r="C195" s="1126"/>
      <c r="D195" s="1126"/>
      <c r="E195" s="1126"/>
      <c r="F195" s="1126"/>
      <c r="G195" s="1126"/>
      <c r="H195" s="1126"/>
    </row>
    <row r="196" spans="1:8">
      <c r="A196" s="1126"/>
      <c r="B196" s="1126"/>
      <c r="C196" s="1126"/>
      <c r="D196" s="1126"/>
      <c r="E196" s="1126"/>
      <c r="F196" s="1126"/>
      <c r="G196" s="1126"/>
      <c r="H196" s="1126"/>
    </row>
    <row r="197" spans="1:8">
      <c r="A197" s="1126"/>
      <c r="B197" s="1126"/>
      <c r="C197" s="1126"/>
      <c r="D197" s="1126"/>
      <c r="E197" s="1126"/>
      <c r="F197" s="1126"/>
      <c r="G197" s="1126"/>
      <c r="H197" s="1126"/>
    </row>
    <row r="198" spans="1:8">
      <c r="A198" s="1126"/>
      <c r="B198" s="1126"/>
      <c r="C198" s="1126"/>
      <c r="D198" s="1126"/>
      <c r="E198" s="1126"/>
      <c r="F198" s="1126"/>
      <c r="G198" s="1126"/>
      <c r="H198" s="1126"/>
    </row>
    <row r="199" spans="1:8">
      <c r="A199" s="1126"/>
      <c r="B199" s="1126"/>
      <c r="C199" s="1126"/>
      <c r="D199" s="1126"/>
      <c r="E199" s="1126"/>
      <c r="F199" s="1126"/>
      <c r="G199" s="1126"/>
      <c r="H199" s="1126"/>
    </row>
    <row r="200" spans="1:8" ht="15.75">
      <c r="A200" s="1128" t="s">
        <v>459</v>
      </c>
      <c r="B200" s="1126"/>
      <c r="C200" s="1126"/>
      <c r="D200" s="1126"/>
      <c r="E200" s="1126"/>
      <c r="F200" s="1126"/>
      <c r="G200" s="1126"/>
      <c r="H200" s="1126"/>
    </row>
    <row r="201" spans="1:8">
      <c r="A201" s="1126"/>
      <c r="B201" s="1126"/>
      <c r="C201" s="1126"/>
      <c r="D201" s="1126"/>
      <c r="E201" s="1126"/>
      <c r="F201" s="1126"/>
      <c r="G201" s="1126"/>
      <c r="H201" s="1126"/>
    </row>
    <row r="202" spans="1:8">
      <c r="A202" s="1127" t="s">
        <v>620</v>
      </c>
      <c r="B202" s="1126"/>
      <c r="C202" s="1126"/>
      <c r="D202" s="1126"/>
      <c r="E202" s="1126"/>
      <c r="F202" s="1126"/>
      <c r="G202" s="1126"/>
      <c r="H202" s="1126"/>
    </row>
    <row r="203" spans="1:8">
      <c r="A203" s="1127" t="s">
        <v>621</v>
      </c>
      <c r="B203" s="1126"/>
      <c r="C203" s="1126"/>
      <c r="D203" s="1126"/>
      <c r="E203" s="1126"/>
      <c r="F203" s="1126"/>
      <c r="G203" s="1126"/>
      <c r="H203" s="1126"/>
    </row>
    <row r="204" spans="1:8">
      <c r="A204" s="1127" t="s">
        <v>622</v>
      </c>
      <c r="B204" s="1126"/>
      <c r="C204" s="1126"/>
      <c r="D204" s="1126"/>
      <c r="E204" s="1126"/>
      <c r="F204" s="1126"/>
      <c r="G204" s="1126"/>
      <c r="H204" s="1126"/>
    </row>
    <row r="205" spans="1:8">
      <c r="A205" s="1127" t="s">
        <v>623</v>
      </c>
      <c r="B205" s="1126"/>
      <c r="C205" s="1126"/>
      <c r="D205" s="1126"/>
      <c r="E205" s="1126"/>
      <c r="F205" s="1126"/>
      <c r="G205" s="1126"/>
      <c r="H205" s="1126"/>
    </row>
    <row r="206" spans="1:8">
      <c r="A206" s="1127" t="s">
        <v>624</v>
      </c>
      <c r="B206" s="1126"/>
      <c r="C206" s="1126"/>
      <c r="D206" s="1126"/>
      <c r="E206" s="1126"/>
      <c r="F206" s="1126"/>
      <c r="G206" s="1126"/>
      <c r="H206" s="1126"/>
    </row>
    <row r="207" spans="1:8">
      <c r="A207" s="1126"/>
      <c r="B207" s="1126"/>
      <c r="C207" s="1126"/>
      <c r="D207" s="1126"/>
      <c r="E207" s="1126"/>
      <c r="F207" s="1126"/>
      <c r="G207" s="1126"/>
      <c r="H207" s="1126"/>
    </row>
    <row r="208" spans="1:8">
      <c r="A208" s="1127" t="s">
        <v>617</v>
      </c>
      <c r="B208" s="1126"/>
      <c r="C208" s="1126"/>
      <c r="D208" s="1126"/>
      <c r="E208" s="1126"/>
      <c r="F208" s="1126"/>
      <c r="G208" s="1126"/>
      <c r="H208" s="1126"/>
    </row>
    <row r="209" spans="1:8">
      <c r="A209" s="1127" t="s">
        <v>618</v>
      </c>
      <c r="B209" s="1126"/>
      <c r="C209" s="1126"/>
      <c r="D209" s="1126"/>
      <c r="E209" s="1126"/>
      <c r="F209" s="1126"/>
      <c r="G209" s="1126"/>
      <c r="H209" s="1126"/>
    </row>
    <row r="210" spans="1:8">
      <c r="A210" s="1127" t="s">
        <v>619</v>
      </c>
      <c r="B210" s="1126"/>
      <c r="C210" s="1126"/>
      <c r="D210" s="1126"/>
      <c r="E210" s="1126"/>
      <c r="F210" s="1126"/>
      <c r="G210" s="1126"/>
      <c r="H210" s="1126"/>
    </row>
    <row r="211" spans="1:8" ht="15.75">
      <c r="A211" s="1128" t="s">
        <v>460</v>
      </c>
      <c r="B211" s="1126"/>
      <c r="C211" s="1126"/>
      <c r="D211" s="1126"/>
      <c r="E211" s="1126"/>
      <c r="F211" s="1126"/>
      <c r="G211" s="1126"/>
      <c r="H211" s="1126"/>
    </row>
    <row r="212" spans="1:8">
      <c r="A212" s="1126"/>
      <c r="B212" s="1126"/>
      <c r="C212" s="1126"/>
      <c r="D212" s="1126"/>
      <c r="E212" s="1126"/>
      <c r="F212" s="1126"/>
      <c r="G212" s="1126"/>
      <c r="H212" s="1126"/>
    </row>
    <row r="213" spans="1:8">
      <c r="A213" s="1127" t="s">
        <v>615</v>
      </c>
      <c r="B213" s="1126"/>
      <c r="C213" s="1126"/>
      <c r="D213" s="1126"/>
      <c r="E213" s="1126"/>
      <c r="F213" s="1126"/>
      <c r="G213" s="1126"/>
      <c r="H213" s="1126"/>
    </row>
    <row r="214" spans="1:8">
      <c r="A214" s="1127" t="s">
        <v>616</v>
      </c>
      <c r="B214" s="1126"/>
      <c r="C214" s="1126"/>
      <c r="D214" s="1126"/>
      <c r="E214" s="1126"/>
      <c r="F214" s="1126"/>
      <c r="G214" s="1126"/>
      <c r="H214" s="1126"/>
    </row>
    <row r="215" spans="1:8">
      <c r="A215" s="1126"/>
      <c r="B215" s="1126"/>
      <c r="C215" s="1126"/>
      <c r="D215" s="1126"/>
      <c r="E215" s="1126"/>
      <c r="F215" s="1126"/>
      <c r="G215" s="1126"/>
      <c r="H215" s="1126"/>
    </row>
    <row r="216" spans="1:8">
      <c r="A216" s="1127" t="s">
        <v>608</v>
      </c>
      <c r="B216" s="1126"/>
      <c r="C216" s="1126"/>
      <c r="D216" s="1126"/>
      <c r="E216" s="1126"/>
      <c r="F216" s="1126"/>
      <c r="G216" s="1126"/>
      <c r="H216" s="1126"/>
    </row>
    <row r="217" spans="1:8">
      <c r="A217" s="1127" t="s">
        <v>609</v>
      </c>
      <c r="B217" s="1126"/>
      <c r="C217" s="1126"/>
      <c r="D217" s="1126"/>
      <c r="E217" s="1126"/>
      <c r="F217" s="1126"/>
      <c r="G217" s="1126"/>
      <c r="H217" s="1126"/>
    </row>
    <row r="218" spans="1:8">
      <c r="A218" s="1127" t="s">
        <v>610</v>
      </c>
      <c r="B218" s="1126"/>
      <c r="C218" s="1126"/>
      <c r="D218" s="1126"/>
      <c r="E218" s="1126"/>
      <c r="F218" s="1126"/>
      <c r="G218" s="1126"/>
      <c r="H218" s="1126"/>
    </row>
    <row r="219" spans="1:8">
      <c r="A219" s="1127" t="s">
        <v>611</v>
      </c>
      <c r="B219" s="1126"/>
      <c r="C219" s="1126"/>
      <c r="D219" s="1126"/>
      <c r="E219" s="1126"/>
      <c r="F219" s="1126"/>
      <c r="G219" s="1126"/>
      <c r="H219" s="1126"/>
    </row>
    <row r="220" spans="1:8">
      <c r="A220" s="1127" t="s">
        <v>612</v>
      </c>
      <c r="B220" s="1126"/>
      <c r="C220" s="1126"/>
      <c r="D220" s="1126"/>
      <c r="E220" s="1126"/>
      <c r="F220" s="1126"/>
      <c r="G220" s="1126"/>
      <c r="H220" s="1126"/>
    </row>
    <row r="221" spans="1:8">
      <c r="A221" s="1127" t="s">
        <v>613</v>
      </c>
      <c r="B221" s="1126"/>
      <c r="C221" s="1126"/>
      <c r="D221" s="1126"/>
      <c r="E221" s="1126"/>
      <c r="F221" s="1126"/>
      <c r="G221" s="1126"/>
      <c r="H221" s="1126"/>
    </row>
    <row r="222" spans="1:8">
      <c r="A222" s="1127" t="s">
        <v>614</v>
      </c>
      <c r="B222" s="1126"/>
      <c r="C222" s="1126"/>
      <c r="D222" s="1126"/>
      <c r="E222" s="1126"/>
      <c r="F222" s="1126"/>
      <c r="G222" s="1126"/>
      <c r="H222" s="1126"/>
    </row>
    <row r="223" spans="1:8">
      <c r="A223" s="1126"/>
      <c r="B223" s="1126"/>
      <c r="C223" s="1126"/>
      <c r="D223" s="1126"/>
      <c r="E223" s="1126"/>
      <c r="F223" s="1126"/>
      <c r="G223" s="1126"/>
      <c r="H223" s="1126"/>
    </row>
    <row r="224" spans="1:8">
      <c r="A224" s="1127" t="s">
        <v>605</v>
      </c>
      <c r="B224" s="1126"/>
      <c r="C224" s="1126"/>
      <c r="D224" s="1126"/>
      <c r="E224" s="1126"/>
      <c r="F224" s="1126"/>
      <c r="G224" s="1126"/>
      <c r="H224" s="1126"/>
    </row>
    <row r="225" spans="1:8">
      <c r="A225" s="1127" t="s">
        <v>606</v>
      </c>
      <c r="B225" s="1126"/>
      <c r="C225" s="1126"/>
      <c r="D225" s="1126"/>
      <c r="E225" s="1126"/>
      <c r="F225" s="1126"/>
      <c r="G225" s="1126"/>
      <c r="H225" s="1126"/>
    </row>
    <row r="226" spans="1:8">
      <c r="A226" s="1127" t="s">
        <v>607</v>
      </c>
      <c r="B226" s="1126"/>
      <c r="C226" s="1126"/>
      <c r="D226" s="1126"/>
      <c r="E226" s="1126"/>
      <c r="F226" s="1126"/>
      <c r="G226" s="1126"/>
      <c r="H226" s="1126"/>
    </row>
    <row r="227" spans="1:8">
      <c r="A227" s="1126"/>
      <c r="B227" s="1126"/>
      <c r="C227" s="1126"/>
      <c r="D227" s="1126"/>
      <c r="E227" s="1126"/>
      <c r="F227" s="1126"/>
      <c r="G227" s="1126"/>
      <c r="H227" s="1126"/>
    </row>
    <row r="228" spans="1:8">
      <c r="A228" s="1127" t="s">
        <v>600</v>
      </c>
      <c r="B228" s="1126"/>
      <c r="C228" s="1126"/>
      <c r="D228" s="1126"/>
      <c r="E228" s="1126"/>
      <c r="F228" s="1126"/>
      <c r="G228" s="1126"/>
      <c r="H228" s="1126"/>
    </row>
    <row r="229" spans="1:8">
      <c r="A229" s="1127" t="s">
        <v>601</v>
      </c>
      <c r="B229" s="1126"/>
      <c r="C229" s="1126"/>
      <c r="D229" s="1126"/>
      <c r="E229" s="1126"/>
      <c r="F229" s="1126"/>
      <c r="G229" s="1126"/>
      <c r="H229" s="1126"/>
    </row>
    <row r="230" spans="1:8">
      <c r="A230" s="1127" t="s">
        <v>602</v>
      </c>
      <c r="B230" s="1126"/>
      <c r="C230" s="1126"/>
      <c r="D230" s="1126"/>
      <c r="E230" s="1126"/>
      <c r="F230" s="1126"/>
      <c r="G230" s="1126"/>
      <c r="H230" s="1126"/>
    </row>
    <row r="231" spans="1:8">
      <c r="A231" s="1127" t="s">
        <v>603</v>
      </c>
      <c r="B231" s="1126"/>
      <c r="C231" s="1126"/>
      <c r="D231" s="1126"/>
      <c r="E231" s="1126"/>
      <c r="F231" s="1126"/>
      <c r="G231" s="1126"/>
      <c r="H231" s="1126"/>
    </row>
    <row r="232" spans="1:8">
      <c r="A232" s="1127" t="s">
        <v>604</v>
      </c>
      <c r="B232" s="1126"/>
      <c r="C232" s="1126"/>
      <c r="D232" s="1126"/>
      <c r="E232" s="1126"/>
      <c r="F232" s="1126"/>
      <c r="G232" s="1126"/>
      <c r="H232" s="1126"/>
    </row>
    <row r="233" spans="1:8">
      <c r="A233" s="1126"/>
      <c r="B233" s="1126"/>
      <c r="C233" s="1126"/>
      <c r="D233" s="1126"/>
      <c r="E233" s="1126"/>
      <c r="F233" s="1126"/>
      <c r="G233" s="1126"/>
      <c r="H233" s="1126"/>
    </row>
    <row r="234" spans="1:8">
      <c r="A234" s="1127" t="s">
        <v>594</v>
      </c>
      <c r="B234" s="1126"/>
      <c r="C234" s="1126"/>
      <c r="D234" s="1126"/>
      <c r="E234" s="1126"/>
      <c r="F234" s="1126"/>
      <c r="G234" s="1126"/>
      <c r="H234" s="1126"/>
    </row>
    <row r="235" spans="1:8">
      <c r="A235" s="1127" t="s">
        <v>595</v>
      </c>
      <c r="B235" s="1126"/>
      <c r="C235" s="1126"/>
      <c r="D235" s="1126"/>
      <c r="E235" s="1126"/>
      <c r="F235" s="1126"/>
      <c r="G235" s="1126"/>
      <c r="H235" s="1126"/>
    </row>
    <row r="236" spans="1:8">
      <c r="A236" s="1127" t="s">
        <v>596</v>
      </c>
      <c r="B236" s="1126"/>
      <c r="C236" s="1126"/>
      <c r="D236" s="1126"/>
      <c r="E236" s="1126"/>
      <c r="F236" s="1126"/>
      <c r="G236" s="1126"/>
      <c r="H236" s="1126"/>
    </row>
    <row r="237" spans="1:8">
      <c r="A237" s="1127" t="s">
        <v>597</v>
      </c>
      <c r="B237" s="1126"/>
      <c r="C237" s="1126"/>
      <c r="D237" s="1126"/>
      <c r="E237" s="1126"/>
      <c r="F237" s="1126"/>
      <c r="G237" s="1126"/>
      <c r="H237" s="1126"/>
    </row>
    <row r="238" spans="1:8">
      <c r="A238" s="1127" t="s">
        <v>598</v>
      </c>
      <c r="B238" s="1126"/>
      <c r="C238" s="1126"/>
      <c r="D238" s="1126"/>
      <c r="E238" s="1126"/>
      <c r="F238" s="1126"/>
      <c r="G238" s="1126"/>
      <c r="H238" s="1126"/>
    </row>
    <row r="239" spans="1:8">
      <c r="A239" s="1127" t="s">
        <v>599</v>
      </c>
      <c r="B239" s="1126"/>
      <c r="C239" s="1126"/>
      <c r="D239" s="1126"/>
      <c r="E239" s="1126"/>
      <c r="F239" s="1126"/>
      <c r="G239" s="1126"/>
      <c r="H239" s="1126"/>
    </row>
    <row r="240" spans="1:8">
      <c r="A240" s="1126"/>
      <c r="B240" s="1126"/>
      <c r="C240" s="1126"/>
      <c r="D240" s="1126"/>
      <c r="E240" s="1126"/>
      <c r="F240" s="1126"/>
      <c r="G240" s="1126"/>
      <c r="H240" s="1126"/>
    </row>
    <row r="241" spans="1:8">
      <c r="A241" s="1127" t="s">
        <v>584</v>
      </c>
      <c r="B241" s="1126"/>
      <c r="C241" s="1126"/>
      <c r="D241" s="1126"/>
      <c r="E241" s="1126"/>
      <c r="F241" s="1126"/>
      <c r="G241" s="1126"/>
      <c r="H241" s="1126"/>
    </row>
    <row r="242" spans="1:8">
      <c r="A242" s="1127" t="s">
        <v>585</v>
      </c>
      <c r="B242" s="1126"/>
      <c r="C242" s="1126"/>
      <c r="D242" s="1126"/>
      <c r="E242" s="1126"/>
      <c r="F242" s="1126"/>
      <c r="G242" s="1126"/>
      <c r="H242" s="1126"/>
    </row>
    <row r="243" spans="1:8">
      <c r="A243" s="1127" t="s">
        <v>586</v>
      </c>
      <c r="B243" s="1126"/>
      <c r="C243" s="1126"/>
      <c r="D243" s="1126"/>
      <c r="E243" s="1126"/>
      <c r="F243" s="1126"/>
      <c r="G243" s="1126"/>
      <c r="H243" s="1126"/>
    </row>
    <row r="244" spans="1:8">
      <c r="A244" s="1127" t="s">
        <v>587</v>
      </c>
      <c r="B244" s="1126"/>
      <c r="C244" s="1126"/>
      <c r="D244" s="1126"/>
      <c r="E244" s="1126"/>
      <c r="F244" s="1126"/>
      <c r="G244" s="1126"/>
      <c r="H244" s="1126"/>
    </row>
    <row r="245" spans="1:8">
      <c r="A245" s="1127" t="s">
        <v>588</v>
      </c>
      <c r="B245" s="1126"/>
      <c r="C245" s="1126"/>
      <c r="D245" s="1126"/>
      <c r="E245" s="1126"/>
      <c r="F245" s="1126"/>
      <c r="G245" s="1126"/>
      <c r="H245" s="1126"/>
    </row>
    <row r="246" spans="1:8">
      <c r="A246" s="1127" t="s">
        <v>589</v>
      </c>
      <c r="B246" s="1126"/>
      <c r="C246" s="1126"/>
      <c r="D246" s="1126"/>
      <c r="E246" s="1126"/>
      <c r="F246" s="1126"/>
      <c r="G246" s="1126"/>
      <c r="H246" s="1126"/>
    </row>
    <row r="247" spans="1:8">
      <c r="A247" s="1127" t="s">
        <v>590</v>
      </c>
      <c r="B247" s="1126"/>
      <c r="C247" s="1126"/>
      <c r="D247" s="1126"/>
      <c r="E247" s="1126"/>
      <c r="F247" s="1126"/>
      <c r="G247" s="1126"/>
      <c r="H247" s="1126"/>
    </row>
    <row r="248" spans="1:8">
      <c r="A248" s="1127" t="s">
        <v>591</v>
      </c>
      <c r="B248" s="1126"/>
      <c r="C248" s="1126"/>
      <c r="D248" s="1126"/>
      <c r="E248" s="1126"/>
      <c r="F248" s="1126"/>
      <c r="G248" s="1126"/>
      <c r="H248" s="1126"/>
    </row>
    <row r="249" spans="1:8">
      <c r="A249" s="1127" t="s">
        <v>592</v>
      </c>
      <c r="B249" s="1126"/>
      <c r="C249" s="1126"/>
      <c r="D249" s="1126"/>
      <c r="E249" s="1126"/>
      <c r="F249" s="1126"/>
      <c r="G249" s="1126"/>
      <c r="H249" s="1126"/>
    </row>
    <row r="250" spans="1:8">
      <c r="A250" s="1127" t="s">
        <v>593</v>
      </c>
      <c r="B250" s="1126"/>
      <c r="C250" s="1126"/>
      <c r="D250" s="1126"/>
      <c r="E250" s="1126"/>
      <c r="F250" s="1126"/>
      <c r="G250" s="1126"/>
      <c r="H250" s="1126"/>
    </row>
    <row r="251" spans="1:8">
      <c r="A251" s="1126"/>
      <c r="B251" s="1126"/>
      <c r="C251" s="1126"/>
      <c r="D251" s="1126"/>
      <c r="E251" s="1126"/>
      <c r="F251" s="1126"/>
      <c r="G251" s="1126"/>
      <c r="H251" s="1126"/>
    </row>
    <row r="252" spans="1:8">
      <c r="A252" s="1127" t="s">
        <v>582</v>
      </c>
      <c r="B252" s="1126"/>
      <c r="C252" s="1126"/>
      <c r="D252" s="1126"/>
      <c r="E252" s="1126"/>
      <c r="F252" s="1126"/>
      <c r="G252" s="1126"/>
      <c r="H252" s="1126"/>
    </row>
    <row r="253" spans="1:8">
      <c r="A253" s="1127" t="s">
        <v>583</v>
      </c>
      <c r="B253" s="1126"/>
      <c r="C253" s="1126"/>
      <c r="D253" s="1126"/>
      <c r="E253" s="1126"/>
      <c r="F253" s="1126"/>
      <c r="G253" s="1126"/>
      <c r="H253" s="1126"/>
    </row>
    <row r="254" spans="1:8">
      <c r="A254" s="1126"/>
      <c r="B254" s="1126"/>
      <c r="C254" s="1126"/>
      <c r="D254" s="1126"/>
      <c r="E254" s="1126"/>
      <c r="F254" s="1126"/>
      <c r="G254" s="1126"/>
      <c r="H254" s="1126"/>
    </row>
    <row r="255" spans="1:8">
      <c r="A255" s="1127" t="s">
        <v>566</v>
      </c>
      <c r="B255" s="1126"/>
      <c r="C255" s="1126"/>
      <c r="D255" s="1126"/>
      <c r="E255" s="1126"/>
      <c r="F255" s="1126"/>
      <c r="G255" s="1126"/>
      <c r="H255" s="1126"/>
    </row>
    <row r="256" spans="1:8">
      <c r="A256" s="1127" t="s">
        <v>567</v>
      </c>
      <c r="B256" s="1126"/>
      <c r="C256" s="1126"/>
      <c r="D256" s="1126"/>
      <c r="E256" s="1126"/>
      <c r="F256" s="1126"/>
      <c r="G256" s="1126"/>
      <c r="H256" s="1126"/>
    </row>
    <row r="257" spans="1:8">
      <c r="A257" s="1127" t="s">
        <v>568</v>
      </c>
      <c r="B257" s="1126"/>
      <c r="C257" s="1126"/>
      <c r="D257" s="1126"/>
      <c r="E257" s="1126"/>
      <c r="F257" s="1126"/>
      <c r="G257" s="1126"/>
      <c r="H257" s="1126"/>
    </row>
    <row r="258" spans="1:8">
      <c r="A258" s="1127" t="s">
        <v>569</v>
      </c>
      <c r="B258" s="1126"/>
      <c r="C258" s="1126"/>
      <c r="D258" s="1126"/>
      <c r="E258" s="1126"/>
      <c r="F258" s="1126"/>
      <c r="G258" s="1126"/>
      <c r="H258" s="1126"/>
    </row>
    <row r="259" spans="1:8">
      <c r="A259" s="1127" t="s">
        <v>570</v>
      </c>
      <c r="B259" s="1126"/>
      <c r="C259" s="1126"/>
      <c r="D259" s="1126"/>
      <c r="E259" s="1126"/>
      <c r="F259" s="1126"/>
      <c r="G259" s="1126"/>
      <c r="H259" s="1126"/>
    </row>
    <row r="260" spans="1:8">
      <c r="A260" s="1127" t="s">
        <v>571</v>
      </c>
      <c r="B260" s="1126"/>
      <c r="C260" s="1126"/>
      <c r="D260" s="1126"/>
      <c r="E260" s="1126"/>
      <c r="F260" s="1126"/>
      <c r="G260" s="1126"/>
      <c r="H260" s="1126"/>
    </row>
    <row r="261" spans="1:8">
      <c r="A261" s="1127" t="s">
        <v>572</v>
      </c>
      <c r="B261" s="1126"/>
      <c r="C261" s="1126"/>
      <c r="D261" s="1126"/>
      <c r="E261" s="1126"/>
      <c r="F261" s="1126"/>
      <c r="G261" s="1126"/>
      <c r="H261" s="1126"/>
    </row>
    <row r="262" spans="1:8">
      <c r="A262" s="1127" t="s">
        <v>573</v>
      </c>
      <c r="B262" s="1126"/>
      <c r="C262" s="1126"/>
      <c r="D262" s="1126"/>
      <c r="E262" s="1126"/>
      <c r="F262" s="1126"/>
      <c r="G262" s="1126"/>
      <c r="H262" s="1126"/>
    </row>
    <row r="263" spans="1:8">
      <c r="A263" s="1127" t="s">
        <v>574</v>
      </c>
      <c r="B263" s="1126"/>
      <c r="C263" s="1126"/>
      <c r="D263" s="1126"/>
      <c r="E263" s="1126"/>
      <c r="F263" s="1126"/>
      <c r="G263" s="1126"/>
      <c r="H263" s="1126"/>
    </row>
    <row r="264" spans="1:8">
      <c r="A264" s="1127" t="s">
        <v>575</v>
      </c>
      <c r="B264" s="1126"/>
      <c r="C264" s="1126"/>
      <c r="D264" s="1126"/>
      <c r="E264" s="1126"/>
      <c r="F264" s="1126"/>
      <c r="G264" s="1126"/>
      <c r="H264" s="1126"/>
    </row>
    <row r="265" spans="1:8">
      <c r="A265" s="1127" t="s">
        <v>576</v>
      </c>
      <c r="B265" s="1126"/>
      <c r="C265" s="1126"/>
      <c r="D265" s="1126"/>
      <c r="E265" s="1126"/>
      <c r="F265" s="1126"/>
      <c r="G265" s="1126"/>
      <c r="H265" s="1126"/>
    </row>
    <row r="266" spans="1:8">
      <c r="A266" s="1127" t="s">
        <v>577</v>
      </c>
      <c r="B266" s="1126"/>
      <c r="C266" s="1126"/>
      <c r="D266" s="1126"/>
      <c r="E266" s="1126"/>
      <c r="F266" s="1126"/>
      <c r="G266" s="1126"/>
      <c r="H266" s="1126"/>
    </row>
    <row r="267" spans="1:8">
      <c r="A267" s="1127" t="s">
        <v>578</v>
      </c>
      <c r="B267" s="1126"/>
      <c r="C267" s="1126"/>
      <c r="D267" s="1126"/>
      <c r="E267" s="1126"/>
      <c r="F267" s="1126"/>
      <c r="G267" s="1126"/>
      <c r="H267" s="1126"/>
    </row>
    <row r="268" spans="1:8">
      <c r="A268" s="1127" t="s">
        <v>579</v>
      </c>
      <c r="B268" s="1126"/>
      <c r="C268" s="1126"/>
      <c r="D268" s="1126"/>
      <c r="E268" s="1126"/>
      <c r="F268" s="1126"/>
      <c r="G268" s="1126"/>
      <c r="H268" s="1126"/>
    </row>
    <row r="269" spans="1:8">
      <c r="A269" s="1127" t="s">
        <v>580</v>
      </c>
      <c r="B269" s="1126"/>
      <c r="C269" s="1126"/>
      <c r="D269" s="1126"/>
      <c r="E269" s="1126"/>
      <c r="F269" s="1126"/>
      <c r="G269" s="1126"/>
      <c r="H269" s="1126"/>
    </row>
    <row r="270" spans="1:8">
      <c r="A270" s="1127" t="s">
        <v>581</v>
      </c>
      <c r="B270" s="1126"/>
      <c r="C270" s="1126"/>
      <c r="D270" s="1126"/>
      <c r="E270" s="1126"/>
      <c r="F270" s="1126"/>
      <c r="G270" s="1126"/>
      <c r="H270" s="1126"/>
    </row>
    <row r="271" spans="1:8">
      <c r="A271" s="1126"/>
      <c r="B271" s="1126"/>
      <c r="C271" s="1126"/>
      <c r="D271" s="1126"/>
      <c r="E271" s="1126"/>
      <c r="F271" s="1126"/>
      <c r="G271" s="1126"/>
      <c r="H271" s="1126"/>
    </row>
    <row r="272" spans="1:8">
      <c r="A272" s="1127" t="s">
        <v>559</v>
      </c>
      <c r="B272" s="1126"/>
      <c r="C272" s="1126"/>
      <c r="D272" s="1126"/>
      <c r="E272" s="1126"/>
      <c r="F272" s="1126"/>
      <c r="G272" s="1126"/>
      <c r="H272" s="1126"/>
    </row>
    <row r="273" spans="1:8">
      <c r="A273" s="1127" t="s">
        <v>560</v>
      </c>
      <c r="B273" s="1126"/>
      <c r="C273" s="1126"/>
      <c r="D273" s="1126"/>
      <c r="E273" s="1126"/>
      <c r="F273" s="1126"/>
      <c r="G273" s="1126"/>
      <c r="H273" s="1126"/>
    </row>
    <row r="274" spans="1:8">
      <c r="A274" s="1127" t="s">
        <v>561</v>
      </c>
      <c r="B274" s="1126"/>
      <c r="C274" s="1126"/>
      <c r="D274" s="1126"/>
      <c r="E274" s="1126"/>
      <c r="F274" s="1126"/>
      <c r="G274" s="1126"/>
      <c r="H274" s="1126"/>
    </row>
    <row r="275" spans="1:8">
      <c r="A275" s="1127" t="s">
        <v>562</v>
      </c>
      <c r="B275" s="1126"/>
      <c r="C275" s="1126"/>
      <c r="D275" s="1126"/>
      <c r="E275" s="1126"/>
      <c r="F275" s="1126"/>
      <c r="G275" s="1126"/>
      <c r="H275" s="1126"/>
    </row>
    <row r="276" spans="1:8">
      <c r="A276" s="1127" t="s">
        <v>563</v>
      </c>
      <c r="B276" s="1126"/>
      <c r="C276" s="1126"/>
      <c r="D276" s="1126"/>
      <c r="E276" s="1126"/>
      <c r="F276" s="1126"/>
      <c r="G276" s="1126"/>
      <c r="H276" s="1126"/>
    </row>
    <row r="277" spans="1:8">
      <c r="A277" s="1127" t="s">
        <v>564</v>
      </c>
      <c r="B277" s="1126"/>
      <c r="C277" s="1126"/>
      <c r="D277" s="1126"/>
      <c r="E277" s="1126"/>
      <c r="F277" s="1126"/>
      <c r="G277" s="1126"/>
      <c r="H277" s="1126"/>
    </row>
    <row r="278" spans="1:8">
      <c r="A278" s="1127" t="s">
        <v>565</v>
      </c>
      <c r="B278" s="1126"/>
      <c r="C278" s="1126"/>
      <c r="D278" s="1126"/>
      <c r="E278" s="1126"/>
      <c r="F278" s="1126"/>
      <c r="G278" s="1126"/>
      <c r="H278" s="1126"/>
    </row>
    <row r="279" spans="1:8">
      <c r="A279" s="1126"/>
      <c r="B279" s="1126"/>
      <c r="C279" s="1126"/>
      <c r="D279" s="1126"/>
      <c r="E279" s="1126"/>
      <c r="F279" s="1126"/>
      <c r="G279" s="1126"/>
      <c r="H279" s="1126"/>
    </row>
    <row r="280" spans="1:8">
      <c r="A280" s="1127" t="s">
        <v>550</v>
      </c>
      <c r="B280" s="1126"/>
      <c r="C280" s="1126"/>
      <c r="D280" s="1126"/>
      <c r="E280" s="1126"/>
      <c r="F280" s="1126"/>
      <c r="G280" s="1126"/>
      <c r="H280" s="1126"/>
    </row>
    <row r="281" spans="1:8">
      <c r="A281" s="1127" t="s">
        <v>551</v>
      </c>
      <c r="B281" s="1126"/>
      <c r="C281" s="1126"/>
      <c r="D281" s="1126"/>
      <c r="E281" s="1126"/>
      <c r="F281" s="1126"/>
      <c r="G281" s="1126"/>
      <c r="H281" s="1126"/>
    </row>
    <row r="282" spans="1:8">
      <c r="A282" s="1127" t="s">
        <v>552</v>
      </c>
      <c r="B282" s="1126"/>
      <c r="C282" s="1126"/>
      <c r="D282" s="1126"/>
      <c r="E282" s="1126"/>
      <c r="F282" s="1126"/>
      <c r="G282" s="1126"/>
      <c r="H282" s="1126"/>
    </row>
    <row r="283" spans="1:8">
      <c r="A283" s="1127" t="s">
        <v>553</v>
      </c>
      <c r="B283" s="1126"/>
      <c r="C283" s="1126"/>
      <c r="D283" s="1126"/>
      <c r="E283" s="1126"/>
      <c r="F283" s="1126"/>
      <c r="G283" s="1126"/>
      <c r="H283" s="1126"/>
    </row>
    <row r="284" spans="1:8">
      <c r="A284" s="1127" t="s">
        <v>554</v>
      </c>
      <c r="B284" s="1126"/>
      <c r="C284" s="1126"/>
      <c r="D284" s="1126"/>
      <c r="E284" s="1126"/>
      <c r="F284" s="1126"/>
      <c r="G284" s="1126"/>
      <c r="H284" s="1126"/>
    </row>
    <row r="285" spans="1:8">
      <c r="A285" s="1127" t="s">
        <v>555</v>
      </c>
      <c r="B285" s="1126"/>
      <c r="C285" s="1126"/>
      <c r="D285" s="1126"/>
      <c r="E285" s="1126"/>
      <c r="F285" s="1126"/>
      <c r="G285" s="1126"/>
      <c r="H285" s="1126"/>
    </row>
    <row r="286" spans="1:8">
      <c r="A286" s="1127" t="s">
        <v>556</v>
      </c>
      <c r="B286" s="1126"/>
      <c r="C286" s="1126"/>
      <c r="D286" s="1126"/>
      <c r="E286" s="1126"/>
      <c r="F286" s="1126"/>
      <c r="G286" s="1126"/>
      <c r="H286" s="1126"/>
    </row>
    <row r="287" spans="1:8">
      <c r="A287" s="1127" t="s">
        <v>557</v>
      </c>
      <c r="B287" s="1126"/>
      <c r="C287" s="1126"/>
      <c r="D287" s="1126"/>
      <c r="E287" s="1126"/>
      <c r="F287" s="1126"/>
      <c r="G287" s="1126"/>
      <c r="H287" s="1126"/>
    </row>
    <row r="288" spans="1:8">
      <c r="A288" s="1127" t="s">
        <v>558</v>
      </c>
      <c r="B288" s="1126"/>
      <c r="C288" s="1126"/>
      <c r="D288" s="1126"/>
      <c r="E288" s="1126"/>
      <c r="F288" s="1126"/>
      <c r="G288" s="1126"/>
      <c r="H288" s="1126"/>
    </row>
    <row r="289" spans="1:8">
      <c r="A289" s="1126"/>
      <c r="B289" s="1126"/>
      <c r="C289" s="1126"/>
      <c r="D289" s="1126"/>
      <c r="E289" s="1126"/>
      <c r="F289" s="1126"/>
      <c r="G289" s="1126"/>
      <c r="H289" s="1126"/>
    </row>
    <row r="290" spans="1:8">
      <c r="A290" s="1127" t="s">
        <v>543</v>
      </c>
      <c r="B290" s="1126"/>
      <c r="C290" s="1126"/>
      <c r="D290" s="1126"/>
      <c r="E290" s="1126"/>
      <c r="F290" s="1126"/>
      <c r="G290" s="1126"/>
      <c r="H290" s="1126"/>
    </row>
    <row r="291" spans="1:8">
      <c r="A291" s="1127" t="s">
        <v>544</v>
      </c>
      <c r="B291" s="1126"/>
      <c r="C291" s="1126"/>
      <c r="D291" s="1126"/>
      <c r="E291" s="1126"/>
      <c r="F291" s="1126"/>
      <c r="G291" s="1126"/>
      <c r="H291" s="1126"/>
    </row>
    <row r="292" spans="1:8">
      <c r="A292" s="1127" t="s">
        <v>545</v>
      </c>
      <c r="B292" s="1126"/>
      <c r="C292" s="1126"/>
      <c r="D292" s="1126"/>
      <c r="E292" s="1126"/>
      <c r="F292" s="1126"/>
      <c r="G292" s="1126"/>
      <c r="H292" s="1126"/>
    </row>
    <row r="293" spans="1:8">
      <c r="A293" s="1127" t="s">
        <v>546</v>
      </c>
      <c r="B293" s="1126"/>
      <c r="C293" s="1126"/>
      <c r="D293" s="1126"/>
      <c r="E293" s="1126"/>
      <c r="F293" s="1126"/>
      <c r="G293" s="1126"/>
      <c r="H293" s="1126"/>
    </row>
    <row r="294" spans="1:8">
      <c r="A294" s="1127" t="s">
        <v>547</v>
      </c>
      <c r="B294" s="1126"/>
      <c r="C294" s="1126"/>
      <c r="D294" s="1126"/>
      <c r="E294" s="1126"/>
      <c r="F294" s="1126"/>
      <c r="G294" s="1126"/>
      <c r="H294" s="1126"/>
    </row>
    <row r="295" spans="1:8">
      <c r="A295" s="1127" t="s">
        <v>548</v>
      </c>
      <c r="B295" s="1126"/>
      <c r="C295" s="1126"/>
      <c r="D295" s="1126"/>
      <c r="E295" s="1126"/>
      <c r="F295" s="1126"/>
      <c r="G295" s="1126"/>
      <c r="H295" s="1126"/>
    </row>
    <row r="296" spans="1:8">
      <c r="A296" s="1127" t="s">
        <v>549</v>
      </c>
      <c r="B296" s="1126"/>
      <c r="C296" s="1126"/>
      <c r="D296" s="1126"/>
      <c r="E296" s="1126"/>
      <c r="F296" s="1126"/>
      <c r="G296" s="1126"/>
      <c r="H296" s="1126"/>
    </row>
    <row r="297" spans="1:8">
      <c r="A297" s="1126"/>
      <c r="B297" s="1126"/>
      <c r="C297" s="1126"/>
      <c r="D297" s="1126"/>
      <c r="E297" s="1126"/>
      <c r="F297" s="1126"/>
      <c r="G297" s="1126"/>
      <c r="H297" s="1126"/>
    </row>
    <row r="298" spans="1:8">
      <c r="A298" s="1127" t="s">
        <v>540</v>
      </c>
      <c r="B298" s="1126"/>
      <c r="C298" s="1126"/>
      <c r="D298" s="1126"/>
      <c r="E298" s="1126"/>
      <c r="F298" s="1126"/>
      <c r="G298" s="1126"/>
      <c r="H298" s="1126"/>
    </row>
    <row r="299" spans="1:8">
      <c r="A299" s="1127" t="s">
        <v>541</v>
      </c>
      <c r="B299" s="1126"/>
      <c r="C299" s="1126"/>
      <c r="D299" s="1126"/>
      <c r="E299" s="1126"/>
      <c r="F299" s="1126"/>
      <c r="G299" s="1126"/>
      <c r="H299" s="1126"/>
    </row>
    <row r="300" spans="1:8">
      <c r="A300" s="1127" t="s">
        <v>542</v>
      </c>
      <c r="B300" s="1126"/>
      <c r="C300" s="1126"/>
      <c r="D300" s="1126"/>
      <c r="E300" s="1126"/>
      <c r="F300" s="1126"/>
      <c r="G300" s="1126"/>
      <c r="H300" s="1126"/>
    </row>
    <row r="301" spans="1:8">
      <c r="A301" s="1126"/>
      <c r="B301" s="1126"/>
      <c r="C301" s="1126"/>
      <c r="D301" s="1126"/>
      <c r="E301" s="1126"/>
      <c r="F301" s="1126"/>
      <c r="G301" s="1126"/>
      <c r="H301" s="1126"/>
    </row>
    <row r="302" spans="1:8">
      <c r="A302" s="1127" t="s">
        <v>538</v>
      </c>
      <c r="B302" s="1126"/>
      <c r="C302" s="1126"/>
      <c r="D302" s="1126"/>
      <c r="E302" s="1126"/>
      <c r="F302" s="1126"/>
      <c r="G302" s="1126"/>
      <c r="H302" s="1126"/>
    </row>
    <row r="303" spans="1:8">
      <c r="A303" s="1127" t="s">
        <v>539</v>
      </c>
      <c r="B303" s="1126"/>
      <c r="C303" s="1126"/>
      <c r="D303" s="1126"/>
      <c r="E303" s="1126"/>
      <c r="F303" s="1126"/>
      <c r="G303" s="1126"/>
      <c r="H303" s="1126"/>
    </row>
    <row r="304" spans="1:8">
      <c r="A304" s="1126"/>
      <c r="B304" s="1126"/>
      <c r="C304" s="1126"/>
      <c r="D304" s="1126"/>
      <c r="E304" s="1126"/>
      <c r="F304" s="1126"/>
      <c r="G304" s="1126"/>
      <c r="H304" s="1126"/>
    </row>
    <row r="305" spans="1:8">
      <c r="A305" s="1127" t="s">
        <v>525</v>
      </c>
      <c r="B305" s="1126"/>
      <c r="C305" s="1126"/>
      <c r="D305" s="1126"/>
      <c r="E305" s="1126"/>
      <c r="F305" s="1126"/>
      <c r="G305" s="1126"/>
      <c r="H305" s="1126"/>
    </row>
    <row r="306" spans="1:8">
      <c r="A306" s="1127" t="s">
        <v>526</v>
      </c>
      <c r="B306" s="1126"/>
      <c r="C306" s="1126"/>
      <c r="D306" s="1126"/>
      <c r="E306" s="1126"/>
      <c r="F306" s="1126"/>
      <c r="G306" s="1126"/>
      <c r="H306" s="1126"/>
    </row>
    <row r="307" spans="1:8">
      <c r="A307" s="1127" t="s">
        <v>527</v>
      </c>
      <c r="B307" s="1126"/>
      <c r="C307" s="1126"/>
      <c r="D307" s="1126"/>
      <c r="E307" s="1126"/>
      <c r="F307" s="1126"/>
      <c r="G307" s="1126"/>
      <c r="H307" s="1126"/>
    </row>
    <row r="308" spans="1:8">
      <c r="A308" s="1127" t="s">
        <v>528</v>
      </c>
      <c r="B308" s="1126"/>
      <c r="C308" s="1126"/>
      <c r="D308" s="1126"/>
      <c r="E308" s="1126"/>
      <c r="F308" s="1126"/>
      <c r="G308" s="1126"/>
      <c r="H308" s="1126"/>
    </row>
    <row r="309" spans="1:8">
      <c r="A309" s="1127" t="s">
        <v>529</v>
      </c>
      <c r="B309" s="1126"/>
      <c r="C309" s="1126"/>
      <c r="D309" s="1126"/>
      <c r="E309" s="1126"/>
      <c r="F309" s="1126"/>
      <c r="G309" s="1126"/>
      <c r="H309" s="1126"/>
    </row>
    <row r="310" spans="1:8">
      <c r="A310" s="1127" t="s">
        <v>530</v>
      </c>
      <c r="B310" s="1126"/>
      <c r="C310" s="1126"/>
      <c r="D310" s="1126"/>
      <c r="E310" s="1126"/>
      <c r="F310" s="1126"/>
      <c r="G310" s="1126"/>
      <c r="H310" s="1126"/>
    </row>
    <row r="311" spans="1:8">
      <c r="A311" s="1127" t="s">
        <v>531</v>
      </c>
      <c r="B311" s="1126"/>
      <c r="C311" s="1126"/>
      <c r="D311" s="1126"/>
      <c r="E311" s="1126"/>
      <c r="F311" s="1126"/>
      <c r="G311" s="1126"/>
      <c r="H311" s="1126"/>
    </row>
    <row r="312" spans="1:8">
      <c r="A312" s="1127" t="s">
        <v>532</v>
      </c>
      <c r="B312" s="1126"/>
      <c r="C312" s="1126"/>
      <c r="D312" s="1126"/>
      <c r="E312" s="1126"/>
      <c r="F312" s="1126"/>
      <c r="G312" s="1126"/>
      <c r="H312" s="1126"/>
    </row>
    <row r="313" spans="1:8">
      <c r="A313" s="1127" t="s">
        <v>533</v>
      </c>
      <c r="B313" s="1126"/>
      <c r="C313" s="1126"/>
      <c r="D313" s="1126"/>
      <c r="E313" s="1126"/>
      <c r="F313" s="1126"/>
      <c r="G313" s="1126"/>
      <c r="H313" s="1126"/>
    </row>
    <row r="314" spans="1:8">
      <c r="A314" s="1127" t="s">
        <v>534</v>
      </c>
      <c r="B314" s="1126"/>
      <c r="C314" s="1126"/>
      <c r="D314" s="1126"/>
      <c r="E314" s="1126"/>
      <c r="F314" s="1126"/>
      <c r="G314" s="1126"/>
      <c r="H314" s="1126"/>
    </row>
    <row r="315" spans="1:8">
      <c r="A315" s="1127" t="s">
        <v>535</v>
      </c>
      <c r="B315" s="1126"/>
      <c r="C315" s="1126"/>
      <c r="D315" s="1126"/>
      <c r="E315" s="1126"/>
      <c r="F315" s="1126"/>
      <c r="G315" s="1126"/>
      <c r="H315" s="1126"/>
    </row>
    <row r="316" spans="1:8">
      <c r="A316" s="1127" t="s">
        <v>536</v>
      </c>
      <c r="B316" s="1126"/>
      <c r="C316" s="1126"/>
      <c r="D316" s="1126"/>
      <c r="E316" s="1126"/>
      <c r="F316" s="1126"/>
      <c r="G316" s="1126"/>
      <c r="H316" s="1126"/>
    </row>
    <row r="317" spans="1:8">
      <c r="A317" s="1127" t="s">
        <v>537</v>
      </c>
      <c r="B317" s="1126"/>
      <c r="C317" s="1126"/>
      <c r="D317" s="1126"/>
      <c r="E317" s="1126"/>
      <c r="F317" s="1126"/>
      <c r="G317" s="1126"/>
      <c r="H317" s="1126"/>
    </row>
    <row r="318" spans="1:8">
      <c r="A318" s="1126"/>
      <c r="B318" s="1126"/>
      <c r="C318" s="1126"/>
      <c r="D318" s="1126"/>
      <c r="E318" s="1126"/>
      <c r="F318" s="1126"/>
      <c r="G318" s="1126"/>
      <c r="H318" s="1126"/>
    </row>
    <row r="319" spans="1:8">
      <c r="A319" s="1127" t="s">
        <v>517</v>
      </c>
      <c r="B319" s="1126"/>
      <c r="C319" s="1126"/>
      <c r="D319" s="1126"/>
      <c r="E319" s="1126"/>
      <c r="F319" s="1126"/>
      <c r="G319" s="1126"/>
      <c r="H319" s="1126"/>
    </row>
    <row r="320" spans="1:8">
      <c r="A320" s="1127" t="s">
        <v>518</v>
      </c>
      <c r="B320" s="1126"/>
      <c r="C320" s="1126"/>
      <c r="D320" s="1126"/>
      <c r="E320" s="1126"/>
      <c r="F320" s="1126"/>
      <c r="G320" s="1126"/>
      <c r="H320" s="1126"/>
    </row>
    <row r="321" spans="1:8">
      <c r="A321" s="1127" t="s">
        <v>519</v>
      </c>
      <c r="B321" s="1126"/>
      <c r="C321" s="1126"/>
      <c r="D321" s="1126"/>
      <c r="E321" s="1126"/>
      <c r="F321" s="1126"/>
      <c r="G321" s="1126"/>
      <c r="H321" s="1126"/>
    </row>
    <row r="322" spans="1:8">
      <c r="A322" s="1127" t="s">
        <v>520</v>
      </c>
      <c r="B322" s="1126"/>
      <c r="C322" s="1126"/>
      <c r="D322" s="1126"/>
      <c r="E322" s="1126"/>
      <c r="F322" s="1126"/>
      <c r="G322" s="1126"/>
      <c r="H322" s="1126"/>
    </row>
    <row r="323" spans="1:8">
      <c r="A323" s="1127" t="s">
        <v>521</v>
      </c>
      <c r="B323" s="1126"/>
      <c r="C323" s="1126"/>
      <c r="D323" s="1126"/>
      <c r="E323" s="1126"/>
      <c r="F323" s="1126"/>
      <c r="G323" s="1126"/>
      <c r="H323" s="1126"/>
    </row>
    <row r="324" spans="1:8">
      <c r="A324" s="1127" t="s">
        <v>522</v>
      </c>
      <c r="B324" s="1126"/>
      <c r="C324" s="1126"/>
      <c r="D324" s="1126"/>
      <c r="E324" s="1126"/>
      <c r="F324" s="1126"/>
      <c r="G324" s="1126"/>
      <c r="H324" s="1126"/>
    </row>
    <row r="325" spans="1:8">
      <c r="A325" s="1127" t="s">
        <v>523</v>
      </c>
      <c r="B325" s="1126"/>
      <c r="C325" s="1126"/>
      <c r="D325" s="1126"/>
      <c r="E325" s="1126"/>
      <c r="F325" s="1126"/>
      <c r="G325" s="1126"/>
      <c r="H325" s="1126"/>
    </row>
    <row r="326" spans="1:8">
      <c r="A326" s="1127" t="s">
        <v>524</v>
      </c>
      <c r="B326" s="1126"/>
      <c r="C326" s="1126"/>
      <c r="D326" s="1126"/>
      <c r="E326" s="1126"/>
      <c r="F326" s="1126"/>
      <c r="G326" s="1126"/>
      <c r="H326" s="1126"/>
    </row>
    <row r="327" spans="1:8">
      <c r="A327" s="1126"/>
      <c r="B327" s="1126"/>
      <c r="C327" s="1126"/>
      <c r="D327" s="1126"/>
      <c r="E327" s="1126"/>
      <c r="F327" s="1126"/>
      <c r="G327" s="1126"/>
      <c r="H327" s="1126"/>
    </row>
    <row r="328" spans="1:8">
      <c r="A328" s="1127" t="s">
        <v>482</v>
      </c>
      <c r="B328" s="1126"/>
      <c r="C328" s="1126"/>
      <c r="D328" s="1126"/>
      <c r="E328" s="1126"/>
      <c r="F328" s="1126"/>
      <c r="G328" s="1126"/>
      <c r="H328" s="1126"/>
    </row>
    <row r="329" spans="1:8">
      <c r="A329" s="1127" t="s">
        <v>483</v>
      </c>
      <c r="B329" s="1126"/>
      <c r="C329" s="1126"/>
      <c r="D329" s="1126"/>
      <c r="E329" s="1126"/>
      <c r="F329" s="1126"/>
      <c r="G329" s="1126"/>
      <c r="H329" s="1126"/>
    </row>
    <row r="330" spans="1:8">
      <c r="A330" s="1127" t="s">
        <v>484</v>
      </c>
      <c r="B330" s="1126"/>
      <c r="C330" s="1126"/>
      <c r="D330" s="1126"/>
      <c r="E330" s="1126"/>
      <c r="F330" s="1126"/>
      <c r="G330" s="1126"/>
      <c r="H330" s="1126"/>
    </row>
    <row r="331" spans="1:8">
      <c r="A331" s="1127" t="s">
        <v>485</v>
      </c>
      <c r="B331" s="1126"/>
      <c r="C331" s="1126"/>
      <c r="D331" s="1126"/>
      <c r="E331" s="1126"/>
      <c r="F331" s="1126"/>
      <c r="G331" s="1126"/>
      <c r="H331" s="1126"/>
    </row>
    <row r="332" spans="1:8">
      <c r="A332" s="1127" t="s">
        <v>486</v>
      </c>
      <c r="B332" s="1126"/>
      <c r="C332" s="1126"/>
      <c r="D332" s="1126"/>
      <c r="E332" s="1126"/>
      <c r="F332" s="1126"/>
      <c r="G332" s="1126"/>
      <c r="H332" s="1126"/>
    </row>
    <row r="333" spans="1:8">
      <c r="A333" s="1127" t="s">
        <v>487</v>
      </c>
      <c r="B333" s="1126"/>
      <c r="C333" s="1126"/>
      <c r="D333" s="1126"/>
      <c r="E333" s="1126"/>
      <c r="F333" s="1126"/>
      <c r="G333" s="1126"/>
      <c r="H333" s="1126"/>
    </row>
    <row r="334" spans="1:8">
      <c r="A334" s="1127" t="s">
        <v>488</v>
      </c>
      <c r="B334" s="1126"/>
      <c r="C334" s="1126"/>
      <c r="D334" s="1126"/>
      <c r="E334" s="1126"/>
      <c r="F334" s="1126"/>
      <c r="G334" s="1126"/>
      <c r="H334" s="1126"/>
    </row>
    <row r="335" spans="1:8">
      <c r="A335" s="1127" t="s">
        <v>489</v>
      </c>
      <c r="B335" s="1126"/>
      <c r="C335" s="1126"/>
      <c r="D335" s="1126"/>
      <c r="E335" s="1126"/>
      <c r="F335" s="1126"/>
      <c r="G335" s="1126"/>
      <c r="H335" s="1126"/>
    </row>
    <row r="336" spans="1:8">
      <c r="A336" s="1127" t="s">
        <v>490</v>
      </c>
      <c r="B336" s="1126"/>
      <c r="C336" s="1126"/>
      <c r="D336" s="1126"/>
      <c r="E336" s="1126"/>
      <c r="F336" s="1126"/>
      <c r="G336" s="1126"/>
      <c r="H336" s="1126"/>
    </row>
    <row r="337" spans="1:8">
      <c r="A337" s="1127" t="s">
        <v>491</v>
      </c>
      <c r="B337" s="1126"/>
      <c r="C337" s="1126"/>
      <c r="D337" s="1126"/>
      <c r="E337" s="1126"/>
      <c r="F337" s="1126"/>
      <c r="G337" s="1126"/>
      <c r="H337" s="1126"/>
    </row>
    <row r="338" spans="1:8">
      <c r="A338" s="1127" t="s">
        <v>492</v>
      </c>
      <c r="B338" s="1126"/>
      <c r="C338" s="1126"/>
      <c r="D338" s="1126"/>
      <c r="E338" s="1126"/>
      <c r="F338" s="1126"/>
      <c r="G338" s="1126"/>
      <c r="H338" s="1126"/>
    </row>
    <row r="339" spans="1:8">
      <c r="A339" s="1127" t="s">
        <v>493</v>
      </c>
      <c r="B339" s="1126"/>
      <c r="C339" s="1126"/>
      <c r="D339" s="1126"/>
      <c r="E339" s="1126"/>
      <c r="F339" s="1126"/>
      <c r="G339" s="1126"/>
      <c r="H339" s="1126"/>
    </row>
    <row r="340" spans="1:8">
      <c r="A340" s="1127" t="s">
        <v>494</v>
      </c>
      <c r="B340" s="1126"/>
      <c r="C340" s="1126"/>
      <c r="D340" s="1126"/>
      <c r="E340" s="1126"/>
      <c r="F340" s="1126"/>
      <c r="G340" s="1126"/>
      <c r="H340" s="1126"/>
    </row>
    <row r="341" spans="1:8">
      <c r="A341" s="1127" t="s">
        <v>495</v>
      </c>
      <c r="B341" s="1126"/>
      <c r="C341" s="1126"/>
      <c r="D341" s="1126"/>
      <c r="E341" s="1126"/>
      <c r="F341" s="1126"/>
      <c r="G341" s="1126"/>
      <c r="H341" s="1126"/>
    </row>
    <row r="342" spans="1:8">
      <c r="A342" s="1127" t="s">
        <v>496</v>
      </c>
      <c r="B342" s="1126"/>
      <c r="C342" s="1126"/>
      <c r="D342" s="1126"/>
      <c r="E342" s="1126"/>
      <c r="F342" s="1126"/>
      <c r="G342" s="1126"/>
      <c r="H342" s="1126"/>
    </row>
    <row r="343" spans="1:8">
      <c r="A343" s="1127" t="s">
        <v>497</v>
      </c>
      <c r="B343" s="1126"/>
      <c r="C343" s="1126"/>
      <c r="D343" s="1126"/>
      <c r="E343" s="1126"/>
      <c r="F343" s="1126"/>
      <c r="G343" s="1126"/>
      <c r="H343" s="1126"/>
    </row>
    <row r="344" spans="1:8">
      <c r="A344" s="1127" t="s">
        <v>498</v>
      </c>
      <c r="B344" s="1126"/>
      <c r="C344" s="1126"/>
      <c r="D344" s="1126"/>
      <c r="E344" s="1126"/>
      <c r="F344" s="1126"/>
      <c r="G344" s="1126"/>
      <c r="H344" s="1126"/>
    </row>
    <row r="345" spans="1:8">
      <c r="A345" s="1127" t="s">
        <v>499</v>
      </c>
      <c r="B345" s="1126"/>
      <c r="C345" s="1126"/>
      <c r="D345" s="1126"/>
      <c r="E345" s="1126"/>
      <c r="F345" s="1126"/>
      <c r="G345" s="1126"/>
      <c r="H345" s="1126"/>
    </row>
    <row r="346" spans="1:8">
      <c r="A346" s="1127" t="s">
        <v>500</v>
      </c>
      <c r="B346" s="1126"/>
      <c r="C346" s="1126"/>
      <c r="D346" s="1126"/>
      <c r="E346" s="1126"/>
      <c r="F346" s="1126"/>
      <c r="G346" s="1126"/>
      <c r="H346" s="1126"/>
    </row>
    <row r="347" spans="1:8">
      <c r="A347" s="1127" t="s">
        <v>501</v>
      </c>
      <c r="B347" s="1126"/>
      <c r="C347" s="1126"/>
      <c r="D347" s="1126"/>
      <c r="E347" s="1126"/>
      <c r="F347" s="1126"/>
      <c r="G347" s="1126"/>
      <c r="H347" s="1126"/>
    </row>
    <row r="348" spans="1:8">
      <c r="A348" s="1127" t="s">
        <v>502</v>
      </c>
      <c r="B348" s="1126"/>
      <c r="C348" s="1126"/>
      <c r="D348" s="1126"/>
      <c r="E348" s="1126"/>
      <c r="F348" s="1126"/>
      <c r="G348" s="1126"/>
      <c r="H348" s="1126"/>
    </row>
    <row r="349" spans="1:8">
      <c r="A349" s="1127" t="s">
        <v>503</v>
      </c>
      <c r="B349" s="1126"/>
      <c r="C349" s="1126"/>
      <c r="D349" s="1126"/>
      <c r="E349" s="1126"/>
      <c r="F349" s="1126"/>
      <c r="G349" s="1126"/>
      <c r="H349" s="1126"/>
    </row>
    <row r="350" spans="1:8">
      <c r="A350" s="1127" t="s">
        <v>504</v>
      </c>
      <c r="B350" s="1126"/>
      <c r="C350" s="1126"/>
      <c r="D350" s="1126"/>
      <c r="E350" s="1126"/>
      <c r="F350" s="1126"/>
      <c r="G350" s="1126"/>
      <c r="H350" s="1126"/>
    </row>
    <row r="351" spans="1:8">
      <c r="A351" s="1127" t="s">
        <v>505</v>
      </c>
      <c r="B351" s="1126"/>
      <c r="C351" s="1126"/>
      <c r="D351" s="1126"/>
      <c r="E351" s="1126"/>
      <c r="F351" s="1126"/>
      <c r="G351" s="1126"/>
      <c r="H351" s="1126"/>
    </row>
    <row r="352" spans="1:8">
      <c r="A352" s="1127" t="s">
        <v>506</v>
      </c>
      <c r="B352" s="1126"/>
      <c r="C352" s="1126"/>
      <c r="D352" s="1126"/>
      <c r="E352" s="1126"/>
      <c r="F352" s="1126"/>
      <c r="G352" s="1126"/>
      <c r="H352" s="1126"/>
    </row>
    <row r="353" spans="1:8">
      <c r="A353" s="1127" t="s">
        <v>507</v>
      </c>
      <c r="B353" s="1126"/>
      <c r="C353" s="1126"/>
      <c r="D353" s="1126"/>
      <c r="E353" s="1126"/>
      <c r="F353" s="1126"/>
      <c r="G353" s="1126"/>
      <c r="H353" s="1126"/>
    </row>
    <row r="354" spans="1:8">
      <c r="A354" s="1127" t="s">
        <v>508</v>
      </c>
      <c r="B354" s="1126"/>
      <c r="C354" s="1126"/>
      <c r="D354" s="1126"/>
      <c r="E354" s="1126"/>
      <c r="F354" s="1126"/>
      <c r="G354" s="1126"/>
      <c r="H354" s="1126"/>
    </row>
    <row r="355" spans="1:8">
      <c r="A355" s="1127" t="s">
        <v>509</v>
      </c>
      <c r="B355" s="1126"/>
      <c r="C355" s="1126"/>
      <c r="D355" s="1126"/>
      <c r="E355" s="1126"/>
      <c r="F355" s="1126"/>
      <c r="G355" s="1126"/>
      <c r="H355" s="1126"/>
    </row>
    <row r="356" spans="1:8">
      <c r="A356" s="1127" t="s">
        <v>510</v>
      </c>
      <c r="B356" s="1126"/>
      <c r="C356" s="1126"/>
      <c r="D356" s="1126"/>
      <c r="E356" s="1126"/>
      <c r="F356" s="1126"/>
      <c r="G356" s="1126"/>
      <c r="H356" s="1126"/>
    </row>
    <row r="357" spans="1:8">
      <c r="A357" s="1127" t="s">
        <v>511</v>
      </c>
      <c r="B357" s="1126"/>
      <c r="C357" s="1126"/>
      <c r="D357" s="1126"/>
      <c r="E357" s="1126"/>
      <c r="F357" s="1126"/>
      <c r="G357" s="1126"/>
      <c r="H357" s="1126"/>
    </row>
    <row r="358" spans="1:8">
      <c r="A358" s="1127" t="s">
        <v>512</v>
      </c>
      <c r="B358" s="1126"/>
      <c r="C358" s="1126"/>
      <c r="D358" s="1126"/>
      <c r="E358" s="1126"/>
      <c r="F358" s="1126"/>
      <c r="G358" s="1126"/>
      <c r="H358" s="1126"/>
    </row>
    <row r="359" spans="1:8">
      <c r="A359" s="1127" t="s">
        <v>513</v>
      </c>
      <c r="B359" s="1126"/>
      <c r="C359" s="1126"/>
      <c r="D359" s="1126"/>
      <c r="E359" s="1126"/>
      <c r="F359" s="1126"/>
      <c r="G359" s="1126"/>
      <c r="H359" s="1126"/>
    </row>
    <row r="360" spans="1:8">
      <c r="A360" s="1127" t="s">
        <v>514</v>
      </c>
      <c r="B360" s="1126"/>
      <c r="C360" s="1126"/>
      <c r="D360" s="1126"/>
      <c r="E360" s="1126"/>
      <c r="F360" s="1126"/>
      <c r="G360" s="1126"/>
      <c r="H360" s="1126"/>
    </row>
    <row r="361" spans="1:8">
      <c r="A361" s="1127" t="s">
        <v>515</v>
      </c>
      <c r="B361" s="1126"/>
      <c r="C361" s="1126"/>
      <c r="D361" s="1126"/>
      <c r="E361" s="1126"/>
      <c r="F361" s="1126"/>
      <c r="G361" s="1126"/>
      <c r="H361" s="1126"/>
    </row>
    <row r="362" spans="1:8">
      <c r="A362" s="1127" t="s">
        <v>516</v>
      </c>
      <c r="B362" s="1126"/>
      <c r="C362" s="1126"/>
      <c r="D362" s="1126"/>
      <c r="E362" s="1126"/>
      <c r="F362" s="1126"/>
      <c r="G362" s="1126"/>
      <c r="H362" s="1126"/>
    </row>
    <row r="363" spans="1:8">
      <c r="A363" s="1126"/>
      <c r="B363" s="1126"/>
      <c r="C363" s="1126"/>
      <c r="D363" s="1126"/>
      <c r="E363" s="1126"/>
      <c r="F363" s="1126"/>
      <c r="G363" s="1126"/>
      <c r="H363" s="1126"/>
    </row>
    <row r="364" spans="1:8">
      <c r="A364" s="1127" t="s">
        <v>474</v>
      </c>
      <c r="B364" s="1126"/>
      <c r="C364" s="1126"/>
      <c r="D364" s="1126"/>
      <c r="E364" s="1126"/>
      <c r="F364" s="1126"/>
      <c r="G364" s="1126"/>
      <c r="H364" s="1126"/>
    </row>
    <row r="365" spans="1:8">
      <c r="A365" s="1127" t="s">
        <v>478</v>
      </c>
      <c r="B365" s="1126"/>
      <c r="C365" s="1126"/>
      <c r="D365" s="1126"/>
      <c r="E365" s="1126"/>
      <c r="F365" s="1126"/>
      <c r="G365" s="1126"/>
      <c r="H365" s="1126"/>
    </row>
    <row r="366" spans="1:8">
      <c r="A366" s="1127" t="s">
        <v>479</v>
      </c>
      <c r="B366" s="1126"/>
      <c r="C366" s="1126"/>
      <c r="D366" s="1126"/>
      <c r="E366" s="1126"/>
      <c r="F366" s="1126"/>
      <c r="G366" s="1126"/>
      <c r="H366" s="1126"/>
    </row>
    <row r="367" spans="1:8">
      <c r="A367" s="1127" t="s">
        <v>480</v>
      </c>
      <c r="B367" s="1126"/>
      <c r="C367" s="1126"/>
      <c r="D367" s="1126"/>
      <c r="E367" s="1126"/>
      <c r="F367" s="1126"/>
      <c r="G367" s="1126"/>
      <c r="H367" s="1126"/>
    </row>
    <row r="368" spans="1:8">
      <c r="A368" s="1127" t="s">
        <v>481</v>
      </c>
      <c r="B368" s="1126"/>
      <c r="C368" s="1126"/>
      <c r="D368" s="1126"/>
      <c r="E368" s="1126"/>
      <c r="F368" s="1126"/>
      <c r="G368" s="1126"/>
      <c r="H368" s="1126"/>
    </row>
    <row r="369" spans="1:8">
      <c r="A369" s="1126"/>
      <c r="B369" s="1126"/>
      <c r="C369" s="1126"/>
      <c r="D369" s="1126"/>
      <c r="E369" s="1126"/>
      <c r="F369" s="1126"/>
      <c r="G369" s="1126"/>
      <c r="H369" s="1126"/>
    </row>
    <row r="370" spans="1:8">
      <c r="A370" s="1127" t="s">
        <v>474</v>
      </c>
      <c r="B370" s="1126"/>
      <c r="C370" s="1126"/>
      <c r="D370" s="1126"/>
      <c r="E370" s="1126"/>
      <c r="F370" s="1126"/>
      <c r="G370" s="1126"/>
      <c r="H370" s="1126"/>
    </row>
    <row r="371" spans="1:8">
      <c r="A371" s="1127" t="s">
        <v>475</v>
      </c>
      <c r="B371" s="1126"/>
      <c r="C371" s="1126"/>
      <c r="D371" s="1126"/>
      <c r="E371" s="1126"/>
      <c r="F371" s="1126"/>
      <c r="G371" s="1126"/>
      <c r="H371" s="1126"/>
    </row>
    <row r="372" spans="1:8">
      <c r="A372" s="1127" t="s">
        <v>476</v>
      </c>
      <c r="B372" s="1126"/>
      <c r="C372" s="1126"/>
      <c r="D372" s="1126"/>
      <c r="E372" s="1126"/>
      <c r="F372" s="1126"/>
      <c r="G372" s="1126"/>
      <c r="H372" s="1126"/>
    </row>
    <row r="373" spans="1:8">
      <c r="A373" s="1127" t="s">
        <v>477</v>
      </c>
      <c r="B373" s="1126"/>
      <c r="C373" s="1126"/>
      <c r="D373" s="1126"/>
      <c r="E373" s="1126"/>
      <c r="F373" s="1126"/>
      <c r="G373" s="1126"/>
      <c r="H373" s="1126"/>
    </row>
    <row r="374" spans="1:8">
      <c r="A374" s="1126"/>
      <c r="B374" s="1126"/>
      <c r="C374" s="1126"/>
      <c r="D374" s="1126"/>
      <c r="E374" s="1126"/>
      <c r="F374" s="1126"/>
      <c r="G374" s="1126"/>
      <c r="H374" s="1126"/>
    </row>
    <row r="375" spans="1:8">
      <c r="A375" s="1127" t="s">
        <v>468</v>
      </c>
      <c r="B375" s="1126"/>
      <c r="C375" s="1126"/>
      <c r="D375" s="1126"/>
      <c r="E375" s="1126"/>
      <c r="F375" s="1126"/>
      <c r="G375" s="1126"/>
      <c r="H375" s="1126"/>
    </row>
    <row r="376" spans="1:8">
      <c r="A376" s="1127" t="s">
        <v>469</v>
      </c>
      <c r="B376" s="1126"/>
      <c r="C376" s="1126"/>
      <c r="D376" s="1126"/>
      <c r="E376" s="1126"/>
      <c r="F376" s="1126"/>
      <c r="G376" s="1126"/>
      <c r="H376" s="1126"/>
    </row>
    <row r="377" spans="1:8">
      <c r="A377" s="1127" t="s">
        <v>470</v>
      </c>
      <c r="B377" s="1126"/>
      <c r="C377" s="1126"/>
      <c r="D377" s="1126"/>
      <c r="E377" s="1126"/>
      <c r="F377" s="1126"/>
      <c r="G377" s="1126"/>
      <c r="H377" s="1126"/>
    </row>
    <row r="378" spans="1:8">
      <c r="A378" s="1127" t="s">
        <v>471</v>
      </c>
      <c r="B378" s="1126"/>
      <c r="C378" s="1126"/>
      <c r="D378" s="1126"/>
      <c r="E378" s="1126"/>
      <c r="F378" s="1126"/>
      <c r="G378" s="1126"/>
      <c r="H378" s="1126"/>
    </row>
    <row r="379" spans="1:8">
      <c r="A379" s="1127" t="s">
        <v>472</v>
      </c>
      <c r="B379" s="1126"/>
      <c r="C379" s="1126"/>
      <c r="D379" s="1126"/>
      <c r="E379" s="1126"/>
      <c r="F379" s="1126"/>
      <c r="G379" s="1126"/>
      <c r="H379" s="1126"/>
    </row>
    <row r="380" spans="1:8">
      <c r="A380" s="1127" t="s">
        <v>473</v>
      </c>
      <c r="B380" s="1126"/>
      <c r="C380" s="1126"/>
      <c r="D380" s="1126"/>
      <c r="E380" s="1126"/>
      <c r="F380" s="1126"/>
      <c r="G380" s="1126"/>
      <c r="H380" s="1126"/>
    </row>
    <row r="381" spans="1:8">
      <c r="A381" s="1126"/>
      <c r="B381" s="1126"/>
      <c r="C381" s="1126"/>
      <c r="D381" s="1126"/>
      <c r="E381" s="1126"/>
      <c r="F381" s="1126"/>
      <c r="G381" s="1126"/>
      <c r="H381" s="1126"/>
    </row>
    <row r="382" spans="1:8">
      <c r="A382" s="1127" t="s">
        <v>463</v>
      </c>
      <c r="B382" s="1126"/>
      <c r="C382" s="1126"/>
      <c r="D382" s="1126"/>
      <c r="E382" s="1126"/>
      <c r="F382" s="1126"/>
      <c r="G382" s="1126"/>
      <c r="H382" s="1126"/>
    </row>
    <row r="383" spans="1:8">
      <c r="A383" s="1127" t="s">
        <v>464</v>
      </c>
      <c r="B383" s="1126"/>
      <c r="C383" s="1126"/>
      <c r="D383" s="1126"/>
      <c r="E383" s="1126"/>
      <c r="F383" s="1126"/>
      <c r="G383" s="1126"/>
      <c r="H383" s="1126"/>
    </row>
    <row r="384" spans="1:8">
      <c r="A384" s="1127" t="s">
        <v>465</v>
      </c>
      <c r="B384" s="1126"/>
      <c r="C384" s="1126"/>
      <c r="D384" s="1126"/>
      <c r="E384" s="1126"/>
      <c r="F384" s="1126"/>
      <c r="G384" s="1126"/>
      <c r="H384" s="1126"/>
    </row>
    <row r="385" spans="1:8">
      <c r="A385" s="1127" t="s">
        <v>466</v>
      </c>
      <c r="B385" s="1126"/>
      <c r="C385" s="1126"/>
      <c r="D385" s="1126"/>
      <c r="E385" s="1126"/>
      <c r="F385" s="1126"/>
      <c r="G385" s="1126"/>
      <c r="H385" s="1126"/>
    </row>
    <row r="386" spans="1:8">
      <c r="A386" s="1127" t="s">
        <v>467</v>
      </c>
      <c r="B386" s="1126"/>
      <c r="C386" s="1126"/>
      <c r="D386" s="1126"/>
      <c r="E386" s="1126"/>
      <c r="F386" s="1126"/>
      <c r="G386" s="1126"/>
      <c r="H386" s="1126"/>
    </row>
    <row r="387" spans="1:8">
      <c r="A387" s="1126"/>
      <c r="B387" s="1126"/>
      <c r="C387" s="1126"/>
      <c r="D387" s="1126"/>
      <c r="E387" s="1126"/>
      <c r="F387" s="1126"/>
      <c r="G387" s="1126"/>
      <c r="H387" s="1126"/>
    </row>
    <row r="388" spans="1:8">
      <c r="A388" s="1127" t="s">
        <v>461</v>
      </c>
      <c r="B388" s="1126"/>
      <c r="C388" s="1126"/>
      <c r="D388" s="1126"/>
      <c r="E388" s="1126"/>
      <c r="F388" s="1126"/>
      <c r="G388" s="1126"/>
      <c r="H388" s="1126"/>
    </row>
    <row r="389" spans="1:8">
      <c r="A389" s="1127" t="s">
        <v>462</v>
      </c>
      <c r="B389" s="1126"/>
      <c r="C389" s="1126"/>
      <c r="D389" s="1126"/>
      <c r="E389" s="1126"/>
      <c r="F389" s="1126"/>
      <c r="G389" s="1126"/>
      <c r="H389" s="1126"/>
    </row>
    <row r="391" spans="1:8">
      <c r="A391" s="1122" t="s">
        <v>717</v>
      </c>
    </row>
  </sheetData>
  <mergeCells count="12">
    <mergeCell ref="A114:H114"/>
    <mergeCell ref="A121:H121"/>
    <mergeCell ref="A108:H108"/>
    <mergeCell ref="A109:H109"/>
    <mergeCell ref="A110:H110"/>
    <mergeCell ref="A111:H111"/>
    <mergeCell ref="A113:H113"/>
    <mergeCell ref="A129:H129"/>
    <mergeCell ref="A130:H130"/>
    <mergeCell ref="B122:C122"/>
    <mergeCell ref="D122:F122"/>
    <mergeCell ref="G122:H122"/>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73"/>
  <sheetViews>
    <sheetView workbookViewId="0"/>
  </sheetViews>
  <sheetFormatPr defaultRowHeight="12.75"/>
  <cols>
    <col min="1" max="1" width="9.140625" style="693"/>
    <col min="2" max="4" width="38.42578125" style="693" customWidth="1"/>
    <col min="5" max="16384" width="9.140625" style="693"/>
  </cols>
  <sheetData>
    <row r="1" spans="1:29" s="687" customFormat="1">
      <c r="A1" s="686"/>
      <c r="B1" s="686"/>
      <c r="C1" s="686"/>
      <c r="D1" s="686"/>
      <c r="E1" s="686"/>
      <c r="F1" s="686"/>
      <c r="G1" s="686"/>
      <c r="H1" s="686"/>
      <c r="I1" s="686"/>
      <c r="J1" s="686"/>
      <c r="K1" s="686"/>
      <c r="L1" s="686"/>
      <c r="M1" s="686"/>
      <c r="N1" s="686"/>
      <c r="O1" s="686"/>
      <c r="P1" s="686"/>
      <c r="Q1" s="686"/>
      <c r="R1" s="686"/>
      <c r="S1" s="686"/>
      <c r="T1" s="686"/>
      <c r="U1" s="686"/>
      <c r="V1" s="686"/>
      <c r="W1" s="686"/>
      <c r="X1" s="686"/>
      <c r="Y1" s="686"/>
      <c r="Z1" s="686"/>
      <c r="AA1" s="686"/>
      <c r="AB1" s="686"/>
      <c r="AC1" s="686"/>
    </row>
    <row r="2" spans="1:29" s="687" customFormat="1" ht="28.5" customHeight="1">
      <c r="A2" s="686"/>
      <c r="B2" s="688" t="s">
        <v>254</v>
      </c>
      <c r="C2" s="686"/>
      <c r="D2" s="686"/>
      <c r="E2" s="686"/>
      <c r="F2" s="686"/>
      <c r="G2" s="686"/>
      <c r="H2" s="686"/>
      <c r="I2" s="686"/>
      <c r="J2" s="686"/>
      <c r="K2" s="686"/>
      <c r="L2" s="686"/>
      <c r="M2" s="686"/>
      <c r="N2" s="686"/>
      <c r="O2" s="686"/>
      <c r="P2" s="686"/>
      <c r="Q2" s="686"/>
      <c r="R2" s="686"/>
      <c r="S2" s="686"/>
      <c r="T2" s="686"/>
      <c r="U2" s="686"/>
      <c r="V2" s="686"/>
      <c r="W2" s="686"/>
      <c r="X2" s="686"/>
      <c r="Y2" s="686"/>
      <c r="Z2" s="686"/>
      <c r="AA2" s="686"/>
      <c r="AB2" s="686"/>
      <c r="AC2" s="686"/>
    </row>
    <row r="3" spans="1:29" s="687" customFormat="1" ht="15.75">
      <c r="A3" s="686"/>
      <c r="B3" s="689" t="s">
        <v>193</v>
      </c>
      <c r="C3" s="689" t="s">
        <v>96</v>
      </c>
      <c r="D3" s="686"/>
      <c r="E3" s="686"/>
      <c r="F3" s="686"/>
      <c r="G3" s="686"/>
      <c r="H3" s="686"/>
      <c r="I3" s="686"/>
      <c r="J3" s="686"/>
      <c r="K3" s="686"/>
      <c r="L3" s="686"/>
      <c r="M3" s="686"/>
      <c r="N3" s="686"/>
      <c r="O3" s="686"/>
      <c r="P3" s="686"/>
      <c r="Q3" s="686"/>
      <c r="R3" s="686"/>
      <c r="S3" s="686"/>
      <c r="T3" s="686"/>
      <c r="U3" s="686"/>
      <c r="V3" s="686"/>
      <c r="W3" s="686"/>
      <c r="X3" s="686"/>
      <c r="Y3" s="686"/>
      <c r="Z3" s="686"/>
      <c r="AA3" s="686"/>
      <c r="AB3" s="686"/>
      <c r="AC3" s="686"/>
    </row>
    <row r="4" spans="1:29" s="687" customFormat="1" ht="15.75">
      <c r="A4" s="686"/>
      <c r="B4" s="689" t="s">
        <v>248</v>
      </c>
      <c r="C4" s="689" t="s">
        <v>315</v>
      </c>
      <c r="D4" s="686"/>
      <c r="E4" s="686"/>
      <c r="F4" s="686"/>
      <c r="G4" s="686"/>
      <c r="H4" s="686"/>
      <c r="I4" s="686"/>
      <c r="J4" s="686"/>
      <c r="K4" s="686"/>
      <c r="L4" s="686"/>
      <c r="M4" s="686"/>
      <c r="N4" s="686"/>
      <c r="O4" s="686"/>
      <c r="P4" s="686"/>
      <c r="Q4" s="686"/>
      <c r="R4" s="686"/>
      <c r="S4" s="686"/>
      <c r="T4" s="686"/>
      <c r="U4" s="686"/>
      <c r="V4" s="686"/>
      <c r="W4" s="686"/>
      <c r="X4" s="686"/>
      <c r="Y4" s="686"/>
      <c r="Z4" s="686"/>
      <c r="AA4" s="686"/>
      <c r="AB4" s="686"/>
      <c r="AC4" s="686"/>
    </row>
    <row r="5" spans="1:29" s="687" customFormat="1" ht="15.75">
      <c r="A5" s="686"/>
      <c r="B5" s="689" t="s">
        <v>249</v>
      </c>
      <c r="C5" s="839">
        <f>+Valuation!G9</f>
        <v>378</v>
      </c>
      <c r="D5" s="686"/>
      <c r="E5" s="686"/>
      <c r="F5" s="686"/>
      <c r="G5" s="686"/>
      <c r="H5" s="686"/>
      <c r="I5" s="686"/>
      <c r="J5" s="686"/>
      <c r="K5" s="686"/>
      <c r="L5" s="686"/>
      <c r="M5" s="686"/>
      <c r="N5" s="686"/>
      <c r="O5" s="686"/>
      <c r="P5" s="686"/>
      <c r="Q5" s="686"/>
      <c r="R5" s="686"/>
      <c r="S5" s="686"/>
      <c r="T5" s="686"/>
      <c r="U5" s="686"/>
      <c r="V5" s="686"/>
      <c r="W5" s="686"/>
      <c r="X5" s="686"/>
      <c r="Y5" s="686"/>
      <c r="Z5" s="686"/>
      <c r="AA5" s="686"/>
      <c r="AB5" s="686"/>
      <c r="AC5" s="686"/>
    </row>
    <row r="6" spans="1:29" s="687" customFormat="1" ht="15.75">
      <c r="A6" s="686"/>
      <c r="B6" s="689" t="s">
        <v>250</v>
      </c>
      <c r="C6" s="690">
        <f ca="1">NOW()</f>
        <v>43201.449173958332</v>
      </c>
      <c r="D6" s="686"/>
      <c r="E6" s="686"/>
      <c r="F6" s="686"/>
      <c r="G6" s="686"/>
      <c r="H6" s="686"/>
      <c r="I6" s="686"/>
      <c r="J6" s="686"/>
      <c r="K6" s="686"/>
      <c r="L6" s="686"/>
      <c r="M6" s="686"/>
      <c r="N6" s="686"/>
      <c r="O6" s="686"/>
      <c r="P6" s="686"/>
      <c r="Q6" s="686"/>
      <c r="R6" s="686"/>
      <c r="S6" s="686"/>
      <c r="T6" s="686"/>
      <c r="U6" s="686"/>
      <c r="V6" s="686"/>
      <c r="W6" s="686"/>
      <c r="X6" s="686"/>
      <c r="Y6" s="686"/>
      <c r="Z6" s="686"/>
      <c r="AA6" s="686"/>
      <c r="AB6" s="686"/>
      <c r="AC6" s="686"/>
    </row>
    <row r="7" spans="1:29" s="687" customFormat="1">
      <c r="A7" s="686"/>
      <c r="B7" s="686"/>
      <c r="C7" s="686"/>
      <c r="D7" s="686"/>
      <c r="E7" s="686"/>
      <c r="F7" s="686"/>
      <c r="G7" s="686"/>
      <c r="H7" s="686"/>
      <c r="I7" s="686"/>
      <c r="J7" s="686"/>
      <c r="K7" s="686"/>
      <c r="L7" s="686"/>
      <c r="M7" s="686"/>
      <c r="N7" s="686"/>
      <c r="O7" s="686"/>
      <c r="P7" s="686"/>
      <c r="Q7" s="686"/>
      <c r="R7" s="686"/>
      <c r="S7" s="686"/>
      <c r="T7" s="686"/>
      <c r="U7" s="686"/>
      <c r="V7" s="686"/>
      <c r="W7" s="686"/>
      <c r="X7" s="686"/>
      <c r="Y7" s="686"/>
      <c r="Z7" s="686"/>
      <c r="AA7" s="686"/>
      <c r="AB7" s="686"/>
      <c r="AC7" s="686"/>
    </row>
    <row r="8" spans="1:29">
      <c r="A8" s="691"/>
      <c r="B8" s="692"/>
      <c r="C8" s="692"/>
      <c r="D8" s="692"/>
      <c r="E8" s="692"/>
      <c r="F8" s="692"/>
      <c r="G8" s="692"/>
      <c r="H8" s="692"/>
      <c r="I8" s="692"/>
      <c r="J8" s="692"/>
      <c r="K8" s="692"/>
      <c r="L8" s="692"/>
      <c r="M8" s="692"/>
      <c r="N8" s="692"/>
      <c r="O8" s="692"/>
      <c r="P8" s="692"/>
      <c r="Q8" s="692"/>
      <c r="R8" s="692"/>
      <c r="S8" s="691"/>
      <c r="T8" s="691"/>
      <c r="U8" s="691"/>
      <c r="V8" s="691"/>
      <c r="W8" s="691"/>
      <c r="X8" s="691"/>
      <c r="Y8" s="691"/>
      <c r="Z8" s="691"/>
      <c r="AA8" s="691"/>
      <c r="AB8" s="691"/>
      <c r="AC8" s="691"/>
    </row>
    <row r="9" spans="1:29">
      <c r="A9" s="691"/>
      <c r="B9" s="692"/>
      <c r="C9" s="692"/>
      <c r="D9" s="692"/>
      <c r="E9" s="692"/>
      <c r="F9" s="692"/>
      <c r="G9" s="692"/>
      <c r="H9" s="692"/>
      <c r="I9" s="692"/>
      <c r="J9" s="692"/>
      <c r="K9" s="692"/>
      <c r="L9" s="692"/>
      <c r="M9" s="692"/>
      <c r="N9" s="692"/>
      <c r="O9" s="692"/>
      <c r="P9" s="692"/>
      <c r="Q9" s="692"/>
      <c r="R9" s="692"/>
      <c r="S9" s="691"/>
      <c r="T9" s="691"/>
      <c r="U9" s="691"/>
      <c r="V9" s="691"/>
      <c r="W9" s="691"/>
      <c r="X9" s="691"/>
      <c r="Y9" s="691"/>
      <c r="Z9" s="691"/>
      <c r="AA9" s="691"/>
      <c r="AB9" s="691"/>
      <c r="AC9" s="691"/>
    </row>
    <row r="10" spans="1:29" s="698" customFormat="1" ht="15">
      <c r="A10" s="694"/>
      <c r="B10" s="695" t="s">
        <v>251</v>
      </c>
      <c r="C10" s="695" t="s">
        <v>358</v>
      </c>
      <c r="D10" s="695"/>
      <c r="E10" s="695"/>
      <c r="F10" s="695"/>
      <c r="G10" s="695"/>
      <c r="H10" s="695"/>
      <c r="I10" s="696"/>
      <c r="J10" s="696"/>
      <c r="K10" s="695"/>
      <c r="L10" s="695"/>
      <c r="M10" s="695"/>
      <c r="N10" s="695"/>
      <c r="O10" s="695"/>
      <c r="P10" s="695"/>
      <c r="Q10" s="697"/>
      <c r="R10" s="697"/>
      <c r="S10" s="694"/>
      <c r="T10" s="694"/>
      <c r="U10" s="694"/>
      <c r="V10" s="694"/>
      <c r="W10" s="694"/>
      <c r="X10" s="694"/>
      <c r="Y10" s="694"/>
      <c r="Z10" s="694"/>
      <c r="AA10" s="694"/>
      <c r="AB10" s="694"/>
      <c r="AC10" s="694"/>
    </row>
    <row r="11" spans="1:29" s="698" customFormat="1" ht="15">
      <c r="A11" s="694"/>
      <c r="B11" s="695" t="s">
        <v>252</v>
      </c>
      <c r="C11" s="695" t="s">
        <v>359</v>
      </c>
      <c r="D11" s="695"/>
      <c r="E11" s="695"/>
      <c r="F11" s="695"/>
      <c r="G11" s="695"/>
      <c r="H11" s="695"/>
      <c r="I11" s="696"/>
      <c r="J11" s="696"/>
      <c r="K11" s="695"/>
      <c r="L11" s="695"/>
      <c r="M11" s="695"/>
      <c r="N11" s="695"/>
      <c r="O11" s="695"/>
      <c r="P11" s="695"/>
      <c r="Q11" s="697"/>
      <c r="R11" s="697"/>
      <c r="S11" s="694"/>
      <c r="T11" s="694"/>
      <c r="U11" s="694"/>
      <c r="V11" s="694"/>
      <c r="W11" s="694"/>
      <c r="X11" s="694"/>
      <c r="Y11" s="694"/>
      <c r="Z11" s="694"/>
      <c r="AA11" s="694"/>
      <c r="AB11" s="694"/>
      <c r="AC11" s="694"/>
    </row>
    <row r="12" spans="1:29" s="698" customFormat="1" ht="15">
      <c r="A12" s="694"/>
      <c r="B12" s="695" t="s">
        <v>253</v>
      </c>
      <c r="C12" s="695" t="s">
        <v>360</v>
      </c>
      <c r="D12" s="695"/>
      <c r="E12" s="695"/>
      <c r="F12" s="695"/>
      <c r="G12" s="695"/>
      <c r="H12" s="695"/>
      <c r="I12" s="696"/>
      <c r="J12" s="696"/>
      <c r="K12" s="695"/>
      <c r="L12" s="695"/>
      <c r="M12" s="695"/>
      <c r="N12" s="695"/>
      <c r="O12" s="695"/>
      <c r="P12" s="695"/>
      <c r="Q12" s="697"/>
      <c r="R12" s="697"/>
      <c r="S12" s="694"/>
      <c r="T12" s="694"/>
      <c r="U12" s="694"/>
      <c r="V12" s="694"/>
      <c r="W12" s="694"/>
      <c r="X12" s="694"/>
      <c r="Y12" s="694"/>
      <c r="Z12" s="694"/>
      <c r="AA12" s="694"/>
      <c r="AB12" s="694"/>
      <c r="AC12" s="694"/>
    </row>
    <row r="13" spans="1:29">
      <c r="A13" s="691"/>
      <c r="B13" s="699"/>
      <c r="C13" s="699"/>
      <c r="D13" s="699"/>
      <c r="E13" s="699"/>
      <c r="F13" s="699"/>
      <c r="G13" s="699"/>
      <c r="H13" s="699"/>
      <c r="I13" s="699"/>
      <c r="J13" s="699"/>
      <c r="K13" s="699"/>
      <c r="L13" s="699"/>
      <c r="M13" s="699"/>
      <c r="N13" s="699"/>
      <c r="O13" s="699"/>
      <c r="P13" s="699"/>
      <c r="Q13" s="699"/>
      <c r="R13" s="699"/>
      <c r="S13" s="691"/>
      <c r="T13" s="691"/>
      <c r="U13" s="691"/>
      <c r="V13" s="691"/>
      <c r="W13" s="691"/>
      <c r="X13" s="691"/>
      <c r="Y13" s="691"/>
      <c r="Z13" s="691"/>
      <c r="AA13" s="691"/>
      <c r="AB13" s="691"/>
      <c r="AC13" s="691"/>
    </row>
    <row r="14" spans="1:29" ht="15">
      <c r="A14" s="691"/>
      <c r="B14" s="700"/>
      <c r="C14" s="700"/>
      <c r="D14" s="700"/>
      <c r="E14" s="700"/>
      <c r="F14" s="700"/>
      <c r="G14" s="701"/>
      <c r="H14" s="700"/>
      <c r="I14" s="700"/>
      <c r="J14" s="700"/>
      <c r="K14" s="700"/>
      <c r="L14" s="700"/>
      <c r="M14" s="700"/>
      <c r="N14" s="700"/>
      <c r="O14" s="700"/>
      <c r="P14" s="700"/>
      <c r="Q14" s="700"/>
      <c r="R14" s="700"/>
      <c r="S14" s="691"/>
      <c r="T14" s="691"/>
      <c r="U14" s="691"/>
      <c r="V14" s="691"/>
      <c r="W14" s="691"/>
      <c r="X14" s="691"/>
      <c r="Y14" s="691"/>
      <c r="Z14" s="691"/>
      <c r="AA14" s="691"/>
      <c r="AB14" s="691"/>
      <c r="AC14" s="691"/>
    </row>
    <row r="15" spans="1:29" ht="15">
      <c r="A15" s="691"/>
      <c r="B15" s="691"/>
      <c r="C15" s="691"/>
      <c r="D15" s="691"/>
      <c r="E15" s="691"/>
      <c r="F15" s="691"/>
      <c r="G15" s="701"/>
      <c r="H15" s="691"/>
      <c r="I15" s="691"/>
      <c r="J15" s="691"/>
      <c r="K15" s="691"/>
      <c r="L15" s="691"/>
      <c r="M15" s="691"/>
      <c r="N15" s="691"/>
      <c r="O15" s="691"/>
      <c r="P15" s="691"/>
      <c r="Q15" s="691"/>
      <c r="R15" s="691"/>
      <c r="S15" s="691"/>
      <c r="T15" s="691"/>
      <c r="U15" s="691"/>
      <c r="V15" s="691"/>
      <c r="W15" s="691"/>
      <c r="X15" s="691"/>
      <c r="Y15" s="691"/>
      <c r="Z15" s="691"/>
      <c r="AA15" s="691"/>
      <c r="AB15" s="691"/>
      <c r="AC15" s="691"/>
    </row>
    <row r="16" spans="1:29" ht="15">
      <c r="A16" s="691"/>
      <c r="B16" s="691"/>
      <c r="C16" s="691"/>
      <c r="D16" s="691"/>
      <c r="E16" s="691"/>
      <c r="F16" s="691"/>
      <c r="G16" s="701"/>
      <c r="H16" s="691"/>
      <c r="I16" s="691"/>
      <c r="J16" s="691"/>
      <c r="K16" s="691"/>
      <c r="L16" s="691"/>
      <c r="M16" s="691"/>
      <c r="N16" s="691"/>
      <c r="O16" s="691"/>
      <c r="P16" s="691"/>
      <c r="Q16" s="691"/>
      <c r="R16" s="691"/>
      <c r="S16" s="691"/>
      <c r="T16" s="691"/>
      <c r="U16" s="691"/>
      <c r="V16" s="691"/>
      <c r="W16" s="691"/>
      <c r="X16" s="691"/>
      <c r="Y16" s="691"/>
      <c r="Z16" s="691"/>
      <c r="AA16" s="691"/>
      <c r="AB16" s="691"/>
      <c r="AC16" s="691"/>
    </row>
    <row r="17" spans="1:29">
      <c r="A17" s="691"/>
      <c r="B17" s="691"/>
      <c r="C17" s="691"/>
      <c r="D17" s="691"/>
      <c r="E17" s="691"/>
      <c r="F17" s="691"/>
      <c r="G17" s="691"/>
      <c r="H17" s="691"/>
      <c r="I17" s="691"/>
      <c r="J17" s="691"/>
      <c r="K17" s="691"/>
      <c r="L17" s="691"/>
      <c r="M17" s="691"/>
      <c r="N17" s="691"/>
      <c r="O17" s="691"/>
      <c r="P17" s="691"/>
      <c r="Q17" s="691"/>
      <c r="R17" s="691"/>
      <c r="S17" s="691"/>
      <c r="T17" s="691"/>
      <c r="U17" s="691"/>
      <c r="V17" s="691"/>
      <c r="W17" s="691"/>
      <c r="X17" s="691"/>
      <c r="Y17" s="691"/>
      <c r="Z17" s="691"/>
      <c r="AA17" s="691"/>
      <c r="AB17" s="691"/>
      <c r="AC17" s="691"/>
    </row>
    <row r="18" spans="1:29">
      <c r="A18" s="691"/>
      <c r="B18" s="691"/>
      <c r="C18" s="691"/>
      <c r="D18" s="691"/>
      <c r="E18" s="691"/>
      <c r="F18" s="691"/>
      <c r="G18" s="691"/>
      <c r="H18" s="691"/>
      <c r="I18" s="691"/>
      <c r="J18" s="691"/>
      <c r="K18" s="691"/>
      <c r="L18" s="691"/>
      <c r="M18" s="691"/>
      <c r="N18" s="691"/>
      <c r="O18" s="691"/>
      <c r="P18" s="691"/>
      <c r="Q18" s="691"/>
      <c r="R18" s="691"/>
      <c r="S18" s="691"/>
      <c r="T18" s="691"/>
      <c r="U18" s="691"/>
      <c r="V18" s="691"/>
      <c r="W18" s="691"/>
      <c r="X18" s="691"/>
      <c r="Y18" s="691"/>
      <c r="Z18" s="691"/>
      <c r="AA18" s="691"/>
      <c r="AB18" s="691"/>
      <c r="AC18" s="691"/>
    </row>
    <row r="19" spans="1:29">
      <c r="A19" s="691"/>
      <c r="B19" s="691"/>
      <c r="C19" s="691"/>
      <c r="D19" s="691"/>
      <c r="E19" s="691"/>
      <c r="F19" s="691"/>
      <c r="G19" s="691"/>
      <c r="H19" s="691"/>
      <c r="I19" s="691"/>
      <c r="J19" s="691"/>
      <c r="K19" s="691"/>
      <c r="L19" s="691"/>
      <c r="M19" s="691"/>
      <c r="N19" s="691"/>
      <c r="O19" s="691"/>
      <c r="P19" s="691"/>
      <c r="Q19" s="691"/>
      <c r="R19" s="691"/>
      <c r="S19" s="691"/>
      <c r="T19" s="691"/>
      <c r="U19" s="691"/>
      <c r="V19" s="691"/>
      <c r="W19" s="691"/>
      <c r="X19" s="691"/>
      <c r="Y19" s="691"/>
      <c r="Z19" s="691"/>
      <c r="AA19" s="691"/>
      <c r="AB19" s="691"/>
      <c r="AC19" s="691"/>
    </row>
    <row r="20" spans="1:29">
      <c r="A20" s="691"/>
      <c r="B20" s="691"/>
      <c r="C20" s="691"/>
      <c r="D20" s="691"/>
      <c r="E20" s="691"/>
      <c r="F20" s="691"/>
      <c r="G20" s="691"/>
      <c r="H20" s="691"/>
      <c r="I20" s="691"/>
      <c r="J20" s="691"/>
      <c r="K20" s="691"/>
      <c r="L20" s="691"/>
      <c r="M20" s="691"/>
      <c r="N20" s="691"/>
      <c r="O20" s="691"/>
      <c r="P20" s="691"/>
      <c r="Q20" s="691"/>
      <c r="R20" s="691"/>
      <c r="S20" s="691"/>
      <c r="T20" s="691"/>
      <c r="U20" s="691"/>
      <c r="V20" s="691"/>
      <c r="W20" s="691"/>
      <c r="X20" s="691"/>
      <c r="Y20" s="691"/>
      <c r="Z20" s="691"/>
      <c r="AA20" s="691"/>
      <c r="AB20" s="691"/>
      <c r="AC20" s="691"/>
    </row>
    <row r="21" spans="1:29">
      <c r="A21" s="691"/>
      <c r="B21" s="691"/>
      <c r="C21" s="691"/>
      <c r="D21" s="691"/>
      <c r="E21" s="691"/>
      <c r="F21" s="691"/>
      <c r="G21" s="691"/>
      <c r="H21" s="691"/>
      <c r="I21" s="691"/>
      <c r="J21" s="691"/>
      <c r="K21" s="691"/>
      <c r="L21" s="691"/>
      <c r="M21" s="691"/>
      <c r="N21" s="691"/>
      <c r="O21" s="691"/>
      <c r="P21" s="691"/>
      <c r="Q21" s="691"/>
      <c r="R21" s="691"/>
      <c r="S21" s="691"/>
      <c r="T21" s="691"/>
      <c r="U21" s="691"/>
      <c r="V21" s="691"/>
      <c r="W21" s="691"/>
      <c r="X21" s="691"/>
      <c r="Y21" s="691"/>
      <c r="Z21" s="691"/>
      <c r="AA21" s="691"/>
      <c r="AB21" s="691"/>
      <c r="AC21" s="691"/>
    </row>
    <row r="22" spans="1:29">
      <c r="A22" s="691"/>
      <c r="B22" s="691"/>
      <c r="C22" s="691"/>
      <c r="D22" s="691"/>
      <c r="E22" s="691"/>
      <c r="F22" s="691"/>
      <c r="G22" s="691"/>
      <c r="H22" s="691"/>
      <c r="I22" s="691"/>
      <c r="J22" s="691"/>
      <c r="K22" s="691"/>
      <c r="L22" s="691"/>
      <c r="M22" s="691"/>
      <c r="N22" s="691"/>
      <c r="O22" s="691"/>
      <c r="P22" s="691"/>
      <c r="Q22" s="691"/>
      <c r="R22" s="691"/>
      <c r="S22" s="691"/>
      <c r="T22" s="691"/>
      <c r="U22" s="691"/>
      <c r="V22" s="691"/>
      <c r="W22" s="691"/>
      <c r="X22" s="691"/>
      <c r="Y22" s="691"/>
      <c r="Z22" s="691"/>
      <c r="AA22" s="691"/>
      <c r="AB22" s="691"/>
      <c r="AC22" s="691"/>
    </row>
    <row r="23" spans="1:29">
      <c r="A23" s="691"/>
      <c r="B23" s="691"/>
      <c r="C23" s="691"/>
      <c r="D23" s="691"/>
      <c r="E23" s="691"/>
      <c r="F23" s="691"/>
      <c r="G23" s="691"/>
      <c r="H23" s="691"/>
      <c r="I23" s="691"/>
      <c r="J23" s="691"/>
      <c r="K23" s="691"/>
      <c r="L23" s="691"/>
      <c r="M23" s="691"/>
      <c r="N23" s="691"/>
      <c r="O23" s="691"/>
      <c r="P23" s="691"/>
      <c r="Q23" s="691"/>
      <c r="R23" s="691"/>
      <c r="S23" s="691"/>
      <c r="T23" s="691"/>
      <c r="U23" s="691"/>
      <c r="V23" s="691"/>
      <c r="W23" s="691"/>
      <c r="X23" s="691"/>
      <c r="Y23" s="691"/>
      <c r="Z23" s="691"/>
      <c r="AA23" s="691"/>
      <c r="AB23" s="691"/>
      <c r="AC23" s="691"/>
    </row>
    <row r="24" spans="1:29">
      <c r="A24" s="691"/>
      <c r="B24" s="691"/>
      <c r="C24" s="691"/>
      <c r="D24" s="691"/>
      <c r="E24" s="691"/>
      <c r="F24" s="691"/>
      <c r="G24" s="691"/>
      <c r="H24" s="691"/>
      <c r="I24" s="691"/>
      <c r="J24" s="691"/>
      <c r="K24" s="691"/>
      <c r="L24" s="691"/>
      <c r="M24" s="691"/>
      <c r="N24" s="691"/>
      <c r="O24" s="691"/>
      <c r="P24" s="691"/>
      <c r="Q24" s="691"/>
      <c r="R24" s="691"/>
      <c r="S24" s="691"/>
      <c r="T24" s="691"/>
      <c r="U24" s="691"/>
      <c r="V24" s="691"/>
      <c r="W24" s="691"/>
      <c r="X24" s="691"/>
      <c r="Y24" s="691"/>
      <c r="Z24" s="691"/>
      <c r="AA24" s="691"/>
      <c r="AB24" s="691"/>
      <c r="AC24" s="691"/>
    </row>
    <row r="25" spans="1:29">
      <c r="A25" s="691"/>
      <c r="B25" s="691"/>
      <c r="C25" s="691"/>
      <c r="D25" s="691"/>
      <c r="E25" s="691"/>
      <c r="F25" s="691"/>
      <c r="G25" s="691"/>
      <c r="H25" s="691"/>
      <c r="I25" s="691"/>
      <c r="J25" s="691"/>
      <c r="K25" s="691"/>
      <c r="L25" s="691"/>
      <c r="M25" s="691"/>
      <c r="N25" s="691"/>
      <c r="O25" s="691"/>
      <c r="P25" s="691"/>
      <c r="Q25" s="691"/>
      <c r="R25" s="691"/>
      <c r="S25" s="691"/>
      <c r="T25" s="691"/>
      <c r="U25" s="691"/>
      <c r="V25" s="691"/>
      <c r="W25" s="691"/>
      <c r="X25" s="691"/>
      <c r="Y25" s="691"/>
      <c r="Z25" s="691"/>
      <c r="AA25" s="691"/>
      <c r="AB25" s="691"/>
      <c r="AC25" s="691"/>
    </row>
    <row r="26" spans="1:29">
      <c r="A26" s="691"/>
      <c r="B26" s="691"/>
      <c r="C26" s="691"/>
      <c r="D26" s="691"/>
      <c r="E26" s="691"/>
      <c r="F26" s="691"/>
      <c r="G26" s="691"/>
      <c r="H26" s="691"/>
      <c r="I26" s="691"/>
      <c r="J26" s="691"/>
      <c r="K26" s="691"/>
      <c r="L26" s="691"/>
      <c r="M26" s="691"/>
      <c r="N26" s="691"/>
      <c r="O26" s="691"/>
      <c r="P26" s="691"/>
      <c r="Q26" s="691"/>
      <c r="R26" s="691"/>
      <c r="S26" s="691"/>
      <c r="T26" s="691"/>
      <c r="U26" s="691"/>
      <c r="V26" s="691"/>
      <c r="W26" s="691"/>
      <c r="X26" s="691"/>
      <c r="Y26" s="691"/>
      <c r="Z26" s="691"/>
      <c r="AA26" s="691"/>
      <c r="AB26" s="691"/>
      <c r="AC26" s="691"/>
    </row>
    <row r="27" spans="1:29">
      <c r="A27" s="691"/>
      <c r="B27" s="691"/>
      <c r="C27" s="691"/>
      <c r="D27" s="691"/>
      <c r="E27" s="691"/>
      <c r="F27" s="691"/>
      <c r="G27" s="691"/>
      <c r="H27" s="691"/>
      <c r="I27" s="691"/>
      <c r="J27" s="691"/>
      <c r="K27" s="691"/>
      <c r="L27" s="691"/>
      <c r="M27" s="691"/>
      <c r="N27" s="691"/>
      <c r="O27" s="691"/>
      <c r="P27" s="691"/>
      <c r="Q27" s="691"/>
      <c r="R27" s="691"/>
      <c r="S27" s="691"/>
      <c r="T27" s="691"/>
      <c r="U27" s="691"/>
      <c r="V27" s="691"/>
      <c r="W27" s="691"/>
      <c r="X27" s="691"/>
      <c r="Y27" s="691"/>
      <c r="Z27" s="691"/>
      <c r="AA27" s="691"/>
      <c r="AB27" s="691"/>
      <c r="AC27" s="691"/>
    </row>
    <row r="28" spans="1:29">
      <c r="A28" s="691"/>
      <c r="B28" s="691"/>
      <c r="C28" s="691"/>
      <c r="D28" s="691"/>
      <c r="E28" s="691"/>
      <c r="F28" s="691"/>
      <c r="G28" s="691"/>
      <c r="H28" s="691"/>
      <c r="I28" s="691"/>
      <c r="J28" s="691"/>
      <c r="K28" s="691"/>
      <c r="L28" s="691"/>
      <c r="M28" s="691"/>
      <c r="N28" s="691"/>
      <c r="O28" s="691"/>
      <c r="P28" s="691"/>
      <c r="Q28" s="691"/>
      <c r="R28" s="691"/>
      <c r="S28" s="691"/>
      <c r="T28" s="691"/>
      <c r="U28" s="691"/>
      <c r="V28" s="691"/>
      <c r="W28" s="691"/>
      <c r="X28" s="691"/>
      <c r="Y28" s="691"/>
      <c r="Z28" s="691"/>
      <c r="AA28" s="691"/>
      <c r="AB28" s="691"/>
      <c r="AC28" s="691"/>
    </row>
    <row r="29" spans="1:29">
      <c r="A29" s="691"/>
      <c r="B29" s="691"/>
      <c r="C29" s="691"/>
      <c r="D29" s="691"/>
      <c r="E29" s="691"/>
      <c r="F29" s="691"/>
      <c r="G29" s="691"/>
      <c r="H29" s="691"/>
      <c r="I29" s="691"/>
      <c r="J29" s="691"/>
      <c r="K29" s="691"/>
      <c r="L29" s="691"/>
      <c r="M29" s="691"/>
      <c r="N29" s="691"/>
      <c r="O29" s="691"/>
      <c r="P29" s="691"/>
      <c r="Q29" s="691"/>
      <c r="R29" s="691"/>
      <c r="S29" s="691"/>
      <c r="T29" s="691"/>
      <c r="U29" s="691"/>
      <c r="V29" s="691"/>
      <c r="W29" s="691"/>
      <c r="X29" s="691"/>
      <c r="Y29" s="691"/>
      <c r="Z29" s="691"/>
      <c r="AA29" s="691"/>
      <c r="AB29" s="691"/>
      <c r="AC29" s="691"/>
    </row>
    <row r="30" spans="1:29">
      <c r="A30" s="691"/>
      <c r="B30" s="691"/>
      <c r="C30" s="691"/>
      <c r="D30" s="691"/>
      <c r="E30" s="691"/>
      <c r="F30" s="691"/>
      <c r="G30" s="691"/>
      <c r="H30" s="691"/>
      <c r="I30" s="691"/>
      <c r="J30" s="691"/>
      <c r="K30" s="691"/>
      <c r="L30" s="691"/>
      <c r="M30" s="691"/>
      <c r="N30" s="691"/>
      <c r="O30" s="691"/>
      <c r="P30" s="691"/>
      <c r="Q30" s="691"/>
      <c r="R30" s="691"/>
      <c r="S30" s="691"/>
      <c r="T30" s="691"/>
      <c r="U30" s="691"/>
      <c r="V30" s="691"/>
      <c r="W30" s="691"/>
      <c r="X30" s="691"/>
      <c r="Y30" s="691"/>
      <c r="Z30" s="691"/>
      <c r="AA30" s="691"/>
      <c r="AB30" s="691"/>
      <c r="AC30" s="691"/>
    </row>
    <row r="31" spans="1:29">
      <c r="A31" s="691"/>
      <c r="B31" s="691"/>
      <c r="C31" s="691"/>
      <c r="D31" s="691"/>
      <c r="E31" s="691"/>
      <c r="F31" s="691"/>
      <c r="G31" s="691"/>
      <c r="H31" s="691"/>
      <c r="I31" s="691"/>
      <c r="J31" s="691"/>
      <c r="K31" s="691"/>
      <c r="L31" s="691"/>
      <c r="M31" s="691"/>
      <c r="N31" s="691"/>
      <c r="O31" s="691"/>
      <c r="P31" s="691"/>
      <c r="Q31" s="691"/>
      <c r="R31" s="691"/>
      <c r="S31" s="691"/>
      <c r="T31" s="691"/>
      <c r="U31" s="691"/>
      <c r="V31" s="691"/>
      <c r="W31" s="691"/>
      <c r="X31" s="691"/>
      <c r="Y31" s="691"/>
      <c r="Z31" s="691"/>
      <c r="AA31" s="691"/>
      <c r="AB31" s="691"/>
      <c r="AC31" s="691"/>
    </row>
    <row r="32" spans="1:29">
      <c r="A32" s="691"/>
      <c r="B32" s="691"/>
      <c r="C32" s="691"/>
      <c r="D32" s="691"/>
      <c r="E32" s="691"/>
      <c r="F32" s="691"/>
      <c r="G32" s="691"/>
      <c r="H32" s="691"/>
      <c r="I32" s="691"/>
      <c r="J32" s="691"/>
      <c r="K32" s="691"/>
      <c r="L32" s="691"/>
      <c r="M32" s="691"/>
      <c r="N32" s="691"/>
      <c r="O32" s="691"/>
      <c r="P32" s="691"/>
      <c r="Q32" s="691"/>
      <c r="R32" s="691"/>
      <c r="S32" s="691"/>
      <c r="T32" s="691"/>
      <c r="U32" s="691"/>
      <c r="V32" s="691"/>
      <c r="W32" s="691"/>
      <c r="X32" s="691"/>
      <c r="Y32" s="691"/>
      <c r="Z32" s="691"/>
      <c r="AA32" s="691"/>
      <c r="AB32" s="691"/>
      <c r="AC32" s="691"/>
    </row>
    <row r="33" spans="1:29">
      <c r="A33" s="691"/>
      <c r="B33" s="691"/>
      <c r="C33" s="691"/>
      <c r="D33" s="691"/>
      <c r="E33" s="691"/>
      <c r="F33" s="691"/>
      <c r="G33" s="691"/>
      <c r="H33" s="691"/>
      <c r="I33" s="691"/>
      <c r="J33" s="691"/>
      <c r="K33" s="691"/>
      <c r="L33" s="691"/>
      <c r="M33" s="691"/>
      <c r="N33" s="691"/>
      <c r="O33" s="691"/>
      <c r="P33" s="691"/>
      <c r="Q33" s="691"/>
      <c r="R33" s="691"/>
      <c r="S33" s="691"/>
      <c r="T33" s="691"/>
      <c r="U33" s="691"/>
      <c r="V33" s="691"/>
      <c r="W33" s="691"/>
      <c r="X33" s="691"/>
      <c r="Y33" s="691"/>
      <c r="Z33" s="691"/>
      <c r="AA33" s="691"/>
      <c r="AB33" s="691"/>
      <c r="AC33" s="691"/>
    </row>
    <row r="34" spans="1:29">
      <c r="A34" s="691"/>
      <c r="B34" s="691"/>
      <c r="C34" s="691"/>
      <c r="D34" s="691"/>
      <c r="E34" s="691"/>
      <c r="F34" s="691"/>
      <c r="G34" s="691"/>
      <c r="H34" s="691"/>
      <c r="I34" s="691"/>
      <c r="J34" s="691"/>
      <c r="K34" s="691"/>
      <c r="L34" s="691"/>
      <c r="M34" s="691"/>
      <c r="N34" s="691"/>
      <c r="O34" s="691"/>
      <c r="P34" s="691"/>
      <c r="Q34" s="691"/>
      <c r="R34" s="691"/>
      <c r="S34" s="691"/>
      <c r="T34" s="691"/>
      <c r="U34" s="691"/>
      <c r="V34" s="691"/>
      <c r="W34" s="691"/>
      <c r="X34" s="691"/>
      <c r="Y34" s="691"/>
      <c r="Z34" s="691"/>
      <c r="AA34" s="691"/>
      <c r="AB34" s="691"/>
      <c r="AC34" s="691"/>
    </row>
    <row r="35" spans="1:29">
      <c r="A35" s="691"/>
      <c r="B35" s="691"/>
      <c r="C35" s="691"/>
      <c r="D35" s="691"/>
      <c r="E35" s="691"/>
      <c r="F35" s="691"/>
      <c r="G35" s="691"/>
      <c r="H35" s="691"/>
      <c r="I35" s="691"/>
      <c r="J35" s="691"/>
      <c r="K35" s="691"/>
      <c r="L35" s="691"/>
      <c r="M35" s="691"/>
      <c r="N35" s="691"/>
      <c r="O35" s="691"/>
      <c r="P35" s="691"/>
      <c r="Q35" s="691"/>
      <c r="R35" s="691"/>
      <c r="S35" s="691"/>
      <c r="T35" s="691"/>
      <c r="U35" s="691"/>
      <c r="V35" s="691"/>
      <c r="W35" s="691"/>
      <c r="X35" s="691"/>
      <c r="Y35" s="691"/>
      <c r="Z35" s="691"/>
      <c r="AA35" s="691"/>
      <c r="AB35" s="691"/>
      <c r="AC35" s="691"/>
    </row>
    <row r="36" spans="1:29">
      <c r="A36" s="691"/>
      <c r="B36" s="691"/>
      <c r="C36" s="691"/>
      <c r="D36" s="691"/>
      <c r="E36" s="691"/>
      <c r="F36" s="691"/>
      <c r="G36" s="691"/>
      <c r="H36" s="691"/>
      <c r="I36" s="691"/>
      <c r="J36" s="691"/>
      <c r="K36" s="691"/>
      <c r="L36" s="691"/>
      <c r="M36" s="691"/>
      <c r="N36" s="691"/>
      <c r="O36" s="691"/>
      <c r="P36" s="691"/>
      <c r="Q36" s="691"/>
      <c r="R36" s="691"/>
      <c r="S36" s="691"/>
      <c r="T36" s="691"/>
      <c r="U36" s="691"/>
      <c r="V36" s="691"/>
      <c r="W36" s="691"/>
      <c r="X36" s="691"/>
      <c r="Y36" s="691"/>
      <c r="Z36" s="691"/>
      <c r="AA36" s="691"/>
      <c r="AB36" s="691"/>
      <c r="AC36" s="691"/>
    </row>
    <row r="37" spans="1:29">
      <c r="A37" s="691"/>
      <c r="B37" s="691"/>
      <c r="C37" s="691"/>
      <c r="D37" s="691"/>
      <c r="E37" s="691"/>
      <c r="F37" s="691"/>
      <c r="G37" s="691"/>
      <c r="H37" s="691"/>
      <c r="I37" s="691"/>
      <c r="J37" s="691"/>
      <c r="K37" s="691"/>
      <c r="L37" s="691"/>
      <c r="M37" s="691"/>
      <c r="N37" s="691"/>
      <c r="O37" s="691"/>
      <c r="P37" s="691"/>
      <c r="Q37" s="691"/>
      <c r="R37" s="691"/>
      <c r="S37" s="691"/>
      <c r="T37" s="691"/>
      <c r="U37" s="691"/>
      <c r="V37" s="691"/>
      <c r="W37" s="691"/>
      <c r="X37" s="691"/>
      <c r="Y37" s="691"/>
      <c r="Z37" s="691"/>
      <c r="AA37" s="691"/>
      <c r="AB37" s="691"/>
      <c r="AC37" s="691"/>
    </row>
    <row r="38" spans="1:29">
      <c r="A38" s="691"/>
      <c r="B38" s="691"/>
      <c r="C38" s="691"/>
      <c r="D38" s="691"/>
      <c r="E38" s="691"/>
      <c r="F38" s="691"/>
      <c r="G38" s="691"/>
      <c r="H38" s="691"/>
      <c r="I38" s="691"/>
      <c r="J38" s="691"/>
      <c r="K38" s="691"/>
      <c r="L38" s="691"/>
      <c r="M38" s="691"/>
      <c r="N38" s="691"/>
      <c r="O38" s="691"/>
      <c r="P38" s="691"/>
      <c r="Q38" s="691"/>
      <c r="R38" s="691"/>
      <c r="S38" s="691"/>
      <c r="T38" s="691"/>
      <c r="U38" s="691"/>
      <c r="V38" s="691"/>
      <c r="W38" s="691"/>
      <c r="X38" s="691"/>
      <c r="Y38" s="691"/>
      <c r="Z38" s="691"/>
      <c r="AA38" s="691"/>
      <c r="AB38" s="691"/>
      <c r="AC38" s="691"/>
    </row>
    <row r="39" spans="1:29">
      <c r="A39" s="691"/>
      <c r="B39" s="691"/>
      <c r="C39" s="691"/>
      <c r="D39" s="691"/>
      <c r="E39" s="691"/>
      <c r="F39" s="691"/>
      <c r="G39" s="691"/>
      <c r="H39" s="691"/>
      <c r="I39" s="691"/>
      <c r="J39" s="691"/>
      <c r="K39" s="691"/>
      <c r="L39" s="691"/>
      <c r="M39" s="691"/>
      <c r="N39" s="691"/>
      <c r="O39" s="691"/>
      <c r="P39" s="691"/>
      <c r="Q39" s="691"/>
      <c r="R39" s="691"/>
      <c r="S39" s="691"/>
      <c r="T39" s="691"/>
      <c r="U39" s="691"/>
      <c r="V39" s="691"/>
      <c r="W39" s="691"/>
      <c r="X39" s="691"/>
      <c r="Y39" s="691"/>
      <c r="Z39" s="691"/>
      <c r="AA39" s="691"/>
      <c r="AB39" s="691"/>
      <c r="AC39" s="691"/>
    </row>
    <row r="40" spans="1:29">
      <c r="A40" s="691"/>
      <c r="B40" s="691"/>
      <c r="C40" s="691"/>
      <c r="D40" s="691"/>
      <c r="E40" s="691"/>
      <c r="F40" s="691"/>
      <c r="G40" s="691"/>
      <c r="H40" s="691"/>
      <c r="I40" s="691"/>
      <c r="J40" s="691"/>
      <c r="K40" s="691"/>
      <c r="L40" s="691"/>
      <c r="M40" s="691"/>
      <c r="N40" s="691"/>
      <c r="O40" s="691"/>
      <c r="P40" s="691"/>
      <c r="Q40" s="691"/>
      <c r="R40" s="691"/>
      <c r="S40" s="691"/>
      <c r="T40" s="691"/>
      <c r="U40" s="691"/>
      <c r="V40" s="691"/>
      <c r="W40" s="691"/>
      <c r="X40" s="691"/>
      <c r="Y40" s="691"/>
      <c r="Z40" s="691"/>
      <c r="AA40" s="691"/>
      <c r="AB40" s="691"/>
      <c r="AC40" s="691"/>
    </row>
    <row r="41" spans="1:29">
      <c r="A41" s="691"/>
      <c r="B41" s="691"/>
      <c r="C41" s="691"/>
      <c r="D41" s="691"/>
      <c r="E41" s="691"/>
      <c r="F41" s="691"/>
      <c r="G41" s="691"/>
      <c r="H41" s="691"/>
      <c r="I41" s="691"/>
      <c r="J41" s="691"/>
      <c r="K41" s="691"/>
      <c r="L41" s="691"/>
      <c r="M41" s="691"/>
      <c r="N41" s="691"/>
      <c r="O41" s="691"/>
      <c r="P41" s="691"/>
      <c r="Q41" s="691"/>
      <c r="R41" s="691"/>
      <c r="S41" s="691"/>
      <c r="T41" s="691"/>
      <c r="U41" s="691"/>
      <c r="V41" s="691"/>
      <c r="W41" s="691"/>
      <c r="X41" s="691"/>
      <c r="Y41" s="691"/>
      <c r="Z41" s="691"/>
      <c r="AA41" s="691"/>
      <c r="AB41" s="691"/>
      <c r="AC41" s="691"/>
    </row>
    <row r="42" spans="1:29">
      <c r="A42" s="691"/>
      <c r="B42" s="691"/>
      <c r="C42" s="691"/>
      <c r="D42" s="691"/>
      <c r="E42" s="691"/>
      <c r="F42" s="691"/>
      <c r="G42" s="691"/>
      <c r="H42" s="691"/>
      <c r="I42" s="691"/>
      <c r="J42" s="691"/>
      <c r="K42" s="691"/>
      <c r="L42" s="691"/>
      <c r="M42" s="691"/>
      <c r="N42" s="691"/>
      <c r="O42" s="691"/>
      <c r="P42" s="691"/>
      <c r="Q42" s="691"/>
      <c r="R42" s="691"/>
      <c r="S42" s="691"/>
      <c r="T42" s="691"/>
      <c r="U42" s="691"/>
      <c r="V42" s="691"/>
      <c r="W42" s="691"/>
      <c r="X42" s="691"/>
      <c r="Y42" s="691"/>
      <c r="Z42" s="691"/>
      <c r="AA42" s="691"/>
      <c r="AB42" s="691"/>
      <c r="AC42" s="691"/>
    </row>
    <row r="43" spans="1:29">
      <c r="A43" s="691"/>
      <c r="B43" s="691"/>
      <c r="C43" s="691"/>
      <c r="D43" s="691"/>
      <c r="E43" s="691"/>
      <c r="F43" s="691"/>
      <c r="G43" s="691"/>
      <c r="H43" s="691"/>
      <c r="I43" s="691"/>
      <c r="J43" s="691"/>
      <c r="K43" s="691"/>
      <c r="L43" s="691"/>
      <c r="M43" s="691"/>
      <c r="N43" s="691"/>
      <c r="O43" s="691"/>
      <c r="P43" s="691"/>
      <c r="Q43" s="691"/>
      <c r="R43" s="691"/>
      <c r="S43" s="691"/>
      <c r="T43" s="691"/>
      <c r="U43" s="691"/>
      <c r="V43" s="691"/>
      <c r="W43" s="691"/>
      <c r="X43" s="691"/>
      <c r="Y43" s="691"/>
      <c r="Z43" s="691"/>
      <c r="AA43" s="691"/>
      <c r="AB43" s="691"/>
      <c r="AC43" s="691"/>
    </row>
    <row r="44" spans="1:29">
      <c r="A44" s="691"/>
      <c r="B44" s="691"/>
      <c r="C44" s="691"/>
      <c r="D44" s="691"/>
      <c r="E44" s="691"/>
      <c r="F44" s="691"/>
      <c r="G44" s="691"/>
      <c r="H44" s="691"/>
      <c r="I44" s="691"/>
      <c r="J44" s="691"/>
      <c r="K44" s="691"/>
      <c r="L44" s="691"/>
      <c r="M44" s="691"/>
      <c r="N44" s="691"/>
      <c r="O44" s="691"/>
      <c r="P44" s="691"/>
      <c r="Q44" s="691"/>
      <c r="R44" s="691"/>
      <c r="S44" s="691"/>
      <c r="T44" s="691"/>
      <c r="U44" s="691"/>
      <c r="V44" s="691"/>
      <c r="W44" s="691"/>
      <c r="X44" s="691"/>
      <c r="Y44" s="691"/>
      <c r="Z44" s="691"/>
      <c r="AA44" s="691"/>
      <c r="AB44" s="691"/>
      <c r="AC44" s="691"/>
    </row>
    <row r="45" spans="1:29">
      <c r="A45" s="691"/>
      <c r="B45" s="691"/>
      <c r="C45" s="691"/>
      <c r="D45" s="691"/>
      <c r="E45" s="691"/>
      <c r="F45" s="691"/>
      <c r="G45" s="691"/>
      <c r="H45" s="691"/>
      <c r="I45" s="691"/>
      <c r="J45" s="691"/>
      <c r="K45" s="691"/>
      <c r="L45" s="691"/>
      <c r="M45" s="691"/>
      <c r="N45" s="691"/>
      <c r="O45" s="691"/>
      <c r="P45" s="691"/>
      <c r="Q45" s="691"/>
      <c r="R45" s="691"/>
      <c r="S45" s="691"/>
      <c r="T45" s="691"/>
      <c r="U45" s="691"/>
      <c r="V45" s="691"/>
      <c r="W45" s="691"/>
      <c r="X45" s="691"/>
      <c r="Y45" s="691"/>
      <c r="Z45" s="691"/>
      <c r="AA45" s="691"/>
      <c r="AB45" s="691"/>
      <c r="AC45" s="691"/>
    </row>
    <row r="46" spans="1:29">
      <c r="A46" s="691"/>
      <c r="B46" s="691"/>
      <c r="C46" s="691"/>
      <c r="D46" s="691"/>
      <c r="E46" s="691"/>
      <c r="F46" s="691"/>
      <c r="G46" s="691"/>
      <c r="H46" s="691"/>
      <c r="I46" s="691"/>
      <c r="J46" s="691"/>
      <c r="K46" s="691"/>
      <c r="L46" s="691"/>
      <c r="M46" s="691"/>
      <c r="N46" s="691"/>
      <c r="O46" s="691"/>
      <c r="P46" s="691"/>
      <c r="Q46" s="691"/>
      <c r="R46" s="691"/>
      <c r="S46" s="691"/>
      <c r="T46" s="691"/>
      <c r="U46" s="691"/>
      <c r="V46" s="691"/>
      <c r="W46" s="691"/>
      <c r="X46" s="691"/>
      <c r="Y46" s="691"/>
      <c r="Z46" s="691"/>
      <c r="AA46" s="691"/>
      <c r="AB46" s="691"/>
      <c r="AC46" s="691"/>
    </row>
    <row r="47" spans="1:29">
      <c r="A47" s="691"/>
      <c r="B47" s="691"/>
      <c r="C47" s="691"/>
      <c r="D47" s="691"/>
      <c r="E47" s="691"/>
      <c r="F47" s="691"/>
      <c r="G47" s="691"/>
      <c r="H47" s="691"/>
      <c r="I47" s="691"/>
      <c r="J47" s="691"/>
      <c r="K47" s="691"/>
      <c r="L47" s="691"/>
      <c r="M47" s="691"/>
      <c r="N47" s="691"/>
      <c r="O47" s="691"/>
      <c r="P47" s="691"/>
      <c r="Q47" s="691"/>
      <c r="R47" s="691"/>
      <c r="S47" s="691"/>
      <c r="T47" s="691"/>
      <c r="U47" s="691"/>
      <c r="V47" s="691"/>
      <c r="W47" s="691"/>
      <c r="X47" s="691"/>
      <c r="Y47" s="691"/>
      <c r="Z47" s="691"/>
      <c r="AA47" s="691"/>
      <c r="AB47" s="691"/>
      <c r="AC47" s="691"/>
    </row>
    <row r="48" spans="1:29">
      <c r="A48" s="691"/>
      <c r="B48" s="691"/>
      <c r="C48" s="691"/>
      <c r="D48" s="691"/>
      <c r="E48" s="691"/>
      <c r="F48" s="691"/>
      <c r="G48" s="691"/>
      <c r="H48" s="691"/>
      <c r="I48" s="691"/>
      <c r="J48" s="691"/>
      <c r="K48" s="691"/>
      <c r="L48" s="691"/>
      <c r="M48" s="691"/>
      <c r="N48" s="691"/>
      <c r="O48" s="691"/>
      <c r="P48" s="691"/>
      <c r="Q48" s="691"/>
      <c r="R48" s="691"/>
      <c r="S48" s="691"/>
      <c r="T48" s="691"/>
      <c r="U48" s="691"/>
      <c r="V48" s="691"/>
      <c r="W48" s="691"/>
      <c r="X48" s="691"/>
      <c r="Y48" s="691"/>
      <c r="Z48" s="691"/>
      <c r="AA48" s="691"/>
      <c r="AB48" s="691"/>
      <c r="AC48" s="691"/>
    </row>
    <row r="49" spans="1:29">
      <c r="A49" s="691"/>
      <c r="B49" s="691"/>
      <c r="C49" s="691"/>
      <c r="D49" s="691"/>
      <c r="E49" s="691"/>
      <c r="F49" s="691"/>
      <c r="G49" s="691"/>
      <c r="H49" s="691"/>
      <c r="I49" s="691"/>
      <c r="J49" s="691"/>
      <c r="K49" s="691"/>
      <c r="L49" s="691"/>
      <c r="M49" s="691"/>
      <c r="N49" s="691"/>
      <c r="O49" s="691"/>
      <c r="P49" s="691"/>
      <c r="Q49" s="691"/>
      <c r="R49" s="691"/>
      <c r="S49" s="691"/>
      <c r="T49" s="691"/>
      <c r="U49" s="691"/>
      <c r="V49" s="691"/>
      <c r="W49" s="691"/>
      <c r="X49" s="691"/>
      <c r="Y49" s="691"/>
      <c r="Z49" s="691"/>
      <c r="AA49" s="691"/>
      <c r="AB49" s="691"/>
      <c r="AC49" s="691"/>
    </row>
    <row r="50" spans="1:29">
      <c r="A50" s="691"/>
      <c r="B50" s="691"/>
      <c r="C50" s="691"/>
      <c r="D50" s="691"/>
      <c r="E50" s="691"/>
      <c r="F50" s="691"/>
      <c r="G50" s="691"/>
      <c r="H50" s="691"/>
      <c r="I50" s="691"/>
      <c r="J50" s="691"/>
      <c r="K50" s="691"/>
      <c r="L50" s="691"/>
      <c r="M50" s="691"/>
      <c r="N50" s="691"/>
      <c r="O50" s="691"/>
      <c r="P50" s="691"/>
      <c r="Q50" s="691"/>
      <c r="R50" s="691"/>
      <c r="S50" s="691"/>
      <c r="T50" s="691"/>
      <c r="U50" s="691"/>
      <c r="V50" s="691"/>
      <c r="W50" s="691"/>
      <c r="X50" s="691"/>
      <c r="Y50" s="691"/>
      <c r="Z50" s="691"/>
      <c r="AA50" s="691"/>
      <c r="AB50" s="691"/>
      <c r="AC50" s="691"/>
    </row>
    <row r="51" spans="1:29">
      <c r="A51" s="691"/>
      <c r="B51" s="691"/>
      <c r="C51" s="691"/>
      <c r="D51" s="691"/>
      <c r="E51" s="691"/>
      <c r="F51" s="691"/>
      <c r="G51" s="691"/>
      <c r="H51" s="691"/>
      <c r="I51" s="691"/>
      <c r="J51" s="691"/>
      <c r="K51" s="691"/>
      <c r="L51" s="691"/>
      <c r="M51" s="691"/>
      <c r="N51" s="691"/>
      <c r="O51" s="691"/>
      <c r="P51" s="691"/>
      <c r="Q51" s="691"/>
      <c r="R51" s="691"/>
      <c r="S51" s="691"/>
      <c r="T51" s="691"/>
      <c r="U51" s="691"/>
      <c r="V51" s="691"/>
      <c r="W51" s="691"/>
      <c r="X51" s="691"/>
      <c r="Y51" s="691"/>
      <c r="Z51" s="691"/>
      <c r="AA51" s="691"/>
      <c r="AB51" s="691"/>
      <c r="AC51" s="691"/>
    </row>
    <row r="52" spans="1:29">
      <c r="A52" s="691"/>
      <c r="B52" s="691"/>
      <c r="C52" s="691"/>
      <c r="D52" s="691"/>
      <c r="E52" s="691"/>
      <c r="F52" s="691"/>
      <c r="G52" s="691"/>
      <c r="H52" s="691"/>
      <c r="I52" s="691"/>
      <c r="J52" s="691"/>
      <c r="K52" s="691"/>
      <c r="L52" s="691"/>
      <c r="M52" s="691"/>
      <c r="N52" s="691"/>
      <c r="O52" s="691"/>
      <c r="P52" s="691"/>
      <c r="Q52" s="691"/>
      <c r="R52" s="691"/>
      <c r="S52" s="691"/>
      <c r="T52" s="691"/>
      <c r="U52" s="691"/>
      <c r="V52" s="691"/>
      <c r="W52" s="691"/>
      <c r="X52" s="691"/>
      <c r="Y52" s="691"/>
      <c r="Z52" s="691"/>
      <c r="AA52" s="691"/>
      <c r="AB52" s="691"/>
      <c r="AC52" s="691"/>
    </row>
    <row r="53" spans="1:29">
      <c r="A53" s="691"/>
      <c r="B53" s="691"/>
      <c r="C53" s="691"/>
      <c r="D53" s="691"/>
      <c r="E53" s="691"/>
      <c r="F53" s="691"/>
      <c r="G53" s="691"/>
      <c r="H53" s="691"/>
      <c r="I53" s="691"/>
      <c r="J53" s="691"/>
      <c r="K53" s="691"/>
      <c r="L53" s="691"/>
      <c r="M53" s="691"/>
      <c r="N53" s="691"/>
      <c r="O53" s="691"/>
      <c r="P53" s="691"/>
      <c r="Q53" s="691"/>
      <c r="R53" s="691"/>
      <c r="S53" s="691"/>
      <c r="T53" s="691"/>
      <c r="U53" s="691"/>
      <c r="V53" s="691"/>
      <c r="W53" s="691"/>
      <c r="X53" s="691"/>
      <c r="Y53" s="691"/>
      <c r="Z53" s="691"/>
      <c r="AA53" s="691"/>
      <c r="AB53" s="691"/>
      <c r="AC53" s="691"/>
    </row>
    <row r="54" spans="1:29">
      <c r="A54" s="691"/>
      <c r="B54" s="691"/>
      <c r="C54" s="691"/>
      <c r="D54" s="691"/>
      <c r="E54" s="691"/>
      <c r="F54" s="691"/>
      <c r="G54" s="691"/>
      <c r="H54" s="691"/>
      <c r="I54" s="691"/>
      <c r="J54" s="691"/>
      <c r="K54" s="691"/>
      <c r="L54" s="691"/>
      <c r="M54" s="691"/>
      <c r="N54" s="691"/>
      <c r="O54" s="691"/>
      <c r="P54" s="691"/>
      <c r="Q54" s="691"/>
      <c r="R54" s="691"/>
      <c r="S54" s="691"/>
      <c r="T54" s="691"/>
      <c r="U54" s="691"/>
      <c r="V54" s="691"/>
      <c r="W54" s="691"/>
      <c r="X54" s="691"/>
      <c r="Y54" s="691"/>
      <c r="Z54" s="691"/>
      <c r="AA54" s="691"/>
      <c r="AB54" s="691"/>
      <c r="AC54" s="691"/>
    </row>
    <row r="55" spans="1:29">
      <c r="A55" s="691"/>
      <c r="B55" s="691"/>
      <c r="C55" s="691"/>
      <c r="D55" s="691"/>
      <c r="E55" s="691"/>
      <c r="F55" s="691"/>
      <c r="G55" s="691"/>
      <c r="H55" s="691"/>
      <c r="I55" s="691"/>
      <c r="J55" s="691"/>
      <c r="K55" s="691"/>
      <c r="L55" s="691"/>
      <c r="M55" s="691"/>
      <c r="N55" s="691"/>
      <c r="O55" s="691"/>
      <c r="P55" s="691"/>
      <c r="Q55" s="691"/>
      <c r="R55" s="691"/>
      <c r="S55" s="691"/>
      <c r="T55" s="691"/>
      <c r="U55" s="691"/>
      <c r="V55" s="691"/>
      <c r="W55" s="691"/>
      <c r="X55" s="691"/>
      <c r="Y55" s="691"/>
      <c r="Z55" s="691"/>
      <c r="AA55" s="691"/>
      <c r="AB55" s="691"/>
      <c r="AC55" s="691"/>
    </row>
    <row r="56" spans="1:29">
      <c r="A56" s="691"/>
      <c r="B56" s="691"/>
      <c r="C56" s="691"/>
      <c r="D56" s="691"/>
      <c r="E56" s="691"/>
      <c r="F56" s="691"/>
      <c r="G56" s="691"/>
      <c r="H56" s="691"/>
      <c r="I56" s="691"/>
      <c r="J56" s="691"/>
      <c r="K56" s="691"/>
      <c r="L56" s="691"/>
      <c r="M56" s="691"/>
      <c r="N56" s="691"/>
      <c r="O56" s="691"/>
      <c r="P56" s="691"/>
      <c r="Q56" s="691"/>
      <c r="R56" s="691"/>
      <c r="S56" s="691"/>
      <c r="T56" s="691"/>
      <c r="U56" s="691"/>
      <c r="V56" s="691"/>
      <c r="W56" s="691"/>
      <c r="X56" s="691"/>
      <c r="Y56" s="691"/>
      <c r="Z56" s="691"/>
      <c r="AA56" s="691"/>
      <c r="AB56" s="691"/>
      <c r="AC56" s="691"/>
    </row>
    <row r="57" spans="1:29">
      <c r="A57" s="691"/>
      <c r="B57" s="691"/>
      <c r="C57" s="691"/>
      <c r="D57" s="691"/>
      <c r="E57" s="691"/>
      <c r="F57" s="691"/>
      <c r="G57" s="691"/>
      <c r="H57" s="691"/>
      <c r="I57" s="691"/>
      <c r="J57" s="691"/>
      <c r="K57" s="691"/>
      <c r="L57" s="691"/>
      <c r="M57" s="691"/>
      <c r="N57" s="691"/>
      <c r="O57" s="691"/>
      <c r="P57" s="691"/>
      <c r="Q57" s="691"/>
      <c r="R57" s="691"/>
      <c r="S57" s="691"/>
      <c r="T57" s="691"/>
      <c r="U57" s="691"/>
      <c r="V57" s="691"/>
      <c r="W57" s="691"/>
      <c r="X57" s="691"/>
      <c r="Y57" s="691"/>
      <c r="Z57" s="691"/>
      <c r="AA57" s="691"/>
      <c r="AB57" s="691"/>
      <c r="AC57" s="691"/>
    </row>
    <row r="58" spans="1:29">
      <c r="A58" s="691"/>
      <c r="B58" s="691"/>
      <c r="C58" s="691"/>
      <c r="D58" s="691"/>
      <c r="E58" s="691"/>
      <c r="F58" s="691"/>
      <c r="G58" s="691"/>
      <c r="H58" s="691"/>
      <c r="I58" s="691"/>
      <c r="J58" s="691"/>
      <c r="K58" s="691"/>
      <c r="L58" s="691"/>
      <c r="M58" s="691"/>
      <c r="N58" s="691"/>
      <c r="O58" s="691"/>
      <c r="P58" s="691"/>
      <c r="Q58" s="691"/>
      <c r="R58" s="691"/>
      <c r="S58" s="691"/>
      <c r="T58" s="691"/>
      <c r="U58" s="691"/>
      <c r="V58" s="691"/>
      <c r="W58" s="691"/>
      <c r="X58" s="691"/>
      <c r="Y58" s="691"/>
      <c r="Z58" s="691"/>
      <c r="AA58" s="691"/>
      <c r="AB58" s="691"/>
      <c r="AC58" s="691"/>
    </row>
    <row r="59" spans="1:29">
      <c r="A59" s="691"/>
      <c r="B59" s="691"/>
      <c r="C59" s="691"/>
      <c r="D59" s="691"/>
      <c r="E59" s="691"/>
      <c r="F59" s="691"/>
      <c r="G59" s="691"/>
      <c r="H59" s="691"/>
      <c r="I59" s="691"/>
      <c r="J59" s="691"/>
      <c r="K59" s="691"/>
      <c r="L59" s="691"/>
      <c r="M59" s="691"/>
      <c r="N59" s="691"/>
      <c r="O59" s="691"/>
      <c r="P59" s="691"/>
      <c r="Q59" s="691"/>
      <c r="R59" s="691"/>
      <c r="S59" s="691"/>
      <c r="T59" s="691"/>
      <c r="U59" s="691"/>
      <c r="V59" s="691"/>
      <c r="W59" s="691"/>
      <c r="X59" s="691"/>
      <c r="Y59" s="691"/>
      <c r="Z59" s="691"/>
      <c r="AA59" s="691"/>
      <c r="AB59" s="691"/>
      <c r="AC59" s="691"/>
    </row>
    <row r="60" spans="1:29">
      <c r="A60" s="691"/>
      <c r="B60" s="691"/>
      <c r="C60" s="691"/>
      <c r="D60" s="691"/>
      <c r="E60" s="691"/>
      <c r="F60" s="691"/>
      <c r="G60" s="691"/>
      <c r="H60" s="691"/>
      <c r="I60" s="691"/>
      <c r="J60" s="691"/>
      <c r="K60" s="691"/>
      <c r="L60" s="691"/>
      <c r="M60" s="691"/>
      <c r="N60" s="691"/>
      <c r="O60" s="691"/>
      <c r="P60" s="691"/>
      <c r="Q60" s="691"/>
      <c r="R60" s="691"/>
      <c r="S60" s="691"/>
      <c r="T60" s="691"/>
      <c r="U60" s="691"/>
      <c r="V60" s="691"/>
      <c r="W60" s="691"/>
      <c r="X60" s="691"/>
      <c r="Y60" s="691"/>
      <c r="Z60" s="691"/>
      <c r="AA60" s="691"/>
      <c r="AB60" s="691"/>
      <c r="AC60" s="691"/>
    </row>
    <row r="61" spans="1:29">
      <c r="A61" s="691"/>
      <c r="B61" s="691"/>
      <c r="C61" s="691"/>
      <c r="D61" s="691"/>
      <c r="E61" s="691"/>
      <c r="F61" s="691"/>
      <c r="G61" s="691"/>
      <c r="H61" s="691"/>
      <c r="I61" s="691"/>
      <c r="J61" s="691"/>
      <c r="K61" s="691"/>
      <c r="L61" s="691"/>
      <c r="M61" s="691"/>
      <c r="N61" s="691"/>
      <c r="O61" s="691"/>
      <c r="P61" s="691"/>
      <c r="Q61" s="691"/>
      <c r="R61" s="691"/>
      <c r="S61" s="691"/>
      <c r="T61" s="691"/>
      <c r="U61" s="691"/>
      <c r="V61" s="691"/>
      <c r="W61" s="691"/>
      <c r="X61" s="691"/>
      <c r="Y61" s="691"/>
      <c r="Z61" s="691"/>
      <c r="AA61" s="691"/>
      <c r="AB61" s="691"/>
      <c r="AC61" s="691"/>
    </row>
    <row r="62" spans="1:29">
      <c r="A62" s="691"/>
      <c r="B62" s="691"/>
      <c r="C62" s="691"/>
      <c r="D62" s="691"/>
      <c r="E62" s="691"/>
      <c r="F62" s="691"/>
      <c r="G62" s="691"/>
      <c r="H62" s="691"/>
      <c r="I62" s="691"/>
      <c r="J62" s="691"/>
      <c r="K62" s="691"/>
      <c r="L62" s="691"/>
      <c r="M62" s="691"/>
      <c r="N62" s="691"/>
      <c r="O62" s="691"/>
      <c r="P62" s="691"/>
      <c r="Q62" s="691"/>
      <c r="R62" s="691"/>
      <c r="S62" s="691"/>
      <c r="T62" s="691"/>
      <c r="U62" s="691"/>
      <c r="V62" s="691"/>
      <c r="W62" s="691"/>
      <c r="X62" s="691"/>
      <c r="Y62" s="691"/>
      <c r="Z62" s="691"/>
      <c r="AA62" s="691"/>
      <c r="AB62" s="691"/>
      <c r="AC62" s="691"/>
    </row>
    <row r="63" spans="1:29">
      <c r="A63" s="691"/>
      <c r="B63" s="691"/>
      <c r="C63" s="691"/>
      <c r="D63" s="691"/>
      <c r="E63" s="691"/>
      <c r="F63" s="691"/>
      <c r="G63" s="691"/>
      <c r="H63" s="691"/>
      <c r="I63" s="691"/>
      <c r="J63" s="691"/>
      <c r="K63" s="691"/>
      <c r="L63" s="691"/>
      <c r="M63" s="691"/>
      <c r="N63" s="691"/>
      <c r="O63" s="691"/>
      <c r="P63" s="691"/>
      <c r="Q63" s="691"/>
      <c r="R63" s="691"/>
      <c r="S63" s="691"/>
      <c r="T63" s="691"/>
      <c r="U63" s="691"/>
      <c r="V63" s="691"/>
      <c r="W63" s="691"/>
      <c r="X63" s="691"/>
      <c r="Y63" s="691"/>
      <c r="Z63" s="691"/>
      <c r="AA63" s="691"/>
      <c r="AB63" s="691"/>
      <c r="AC63" s="691"/>
    </row>
    <row r="64" spans="1:29">
      <c r="A64" s="691"/>
      <c r="B64" s="691"/>
      <c r="C64" s="691"/>
      <c r="D64" s="691"/>
      <c r="E64" s="691"/>
      <c r="F64" s="691"/>
      <c r="G64" s="691"/>
      <c r="H64" s="691"/>
      <c r="I64" s="691"/>
      <c r="J64" s="691"/>
      <c r="K64" s="691"/>
      <c r="L64" s="691"/>
      <c r="M64" s="691"/>
      <c r="N64" s="691"/>
      <c r="O64" s="691"/>
      <c r="P64" s="691"/>
      <c r="Q64" s="691"/>
      <c r="R64" s="691"/>
      <c r="S64" s="691"/>
      <c r="T64" s="691"/>
      <c r="U64" s="691"/>
      <c r="V64" s="691"/>
      <c r="W64" s="691"/>
      <c r="X64" s="691"/>
      <c r="Y64" s="691"/>
      <c r="Z64" s="691"/>
      <c r="AA64" s="691"/>
      <c r="AB64" s="691"/>
      <c r="AC64" s="691"/>
    </row>
    <row r="65" spans="1:29">
      <c r="A65" s="691"/>
      <c r="B65" s="691"/>
      <c r="C65" s="691"/>
      <c r="D65" s="691"/>
      <c r="E65" s="691"/>
      <c r="F65" s="691"/>
      <c r="G65" s="691"/>
      <c r="H65" s="691"/>
      <c r="I65" s="691"/>
      <c r="J65" s="691"/>
      <c r="K65" s="691"/>
      <c r="L65" s="691"/>
      <c r="M65" s="691"/>
      <c r="N65" s="691"/>
      <c r="O65" s="691"/>
      <c r="P65" s="691"/>
      <c r="Q65" s="691"/>
      <c r="R65" s="691"/>
      <c r="S65" s="691"/>
      <c r="T65" s="691"/>
      <c r="U65" s="691"/>
      <c r="V65" s="691"/>
      <c r="W65" s="691"/>
      <c r="X65" s="691"/>
      <c r="Y65" s="691"/>
      <c r="Z65" s="691"/>
      <c r="AA65" s="691"/>
      <c r="AB65" s="691"/>
      <c r="AC65" s="691"/>
    </row>
    <row r="66" spans="1:29">
      <c r="A66" s="691"/>
      <c r="B66" s="691"/>
      <c r="C66" s="691"/>
      <c r="D66" s="691"/>
      <c r="E66" s="691"/>
      <c r="F66" s="691"/>
      <c r="G66" s="691"/>
      <c r="H66" s="691"/>
      <c r="I66" s="691"/>
      <c r="J66" s="691"/>
      <c r="K66" s="691"/>
      <c r="L66" s="691"/>
      <c r="M66" s="691"/>
      <c r="N66" s="691"/>
      <c r="O66" s="691"/>
      <c r="P66" s="691"/>
      <c r="Q66" s="691"/>
      <c r="R66" s="691"/>
      <c r="S66" s="691"/>
      <c r="T66" s="691"/>
      <c r="U66" s="691"/>
      <c r="V66" s="691"/>
      <c r="W66" s="691"/>
      <c r="X66" s="691"/>
      <c r="Y66" s="691"/>
      <c r="Z66" s="691"/>
      <c r="AA66" s="691"/>
      <c r="AB66" s="691"/>
      <c r="AC66" s="691"/>
    </row>
    <row r="67" spans="1:29">
      <c r="A67" s="691"/>
      <c r="B67" s="691"/>
      <c r="C67" s="691"/>
      <c r="D67" s="691"/>
      <c r="E67" s="691"/>
      <c r="F67" s="691"/>
      <c r="G67" s="691"/>
      <c r="H67" s="691"/>
      <c r="I67" s="691"/>
      <c r="J67" s="691"/>
      <c r="K67" s="691"/>
      <c r="L67" s="691"/>
      <c r="M67" s="691"/>
      <c r="N67" s="691"/>
      <c r="O67" s="691"/>
      <c r="P67" s="691"/>
      <c r="Q67" s="691"/>
      <c r="R67" s="691"/>
      <c r="S67" s="691"/>
      <c r="T67" s="691"/>
      <c r="U67" s="691"/>
      <c r="V67" s="691"/>
      <c r="W67" s="691"/>
      <c r="X67" s="691"/>
      <c r="Y67" s="691"/>
      <c r="Z67" s="691"/>
      <c r="AA67" s="691"/>
      <c r="AB67" s="691"/>
      <c r="AC67" s="691"/>
    </row>
    <row r="68" spans="1:29">
      <c r="A68" s="691"/>
      <c r="B68" s="691"/>
      <c r="C68" s="691"/>
      <c r="D68" s="691"/>
      <c r="E68" s="691"/>
      <c r="F68" s="691"/>
      <c r="G68" s="691"/>
      <c r="H68" s="691"/>
      <c r="I68" s="691"/>
      <c r="J68" s="691"/>
      <c r="K68" s="691"/>
      <c r="L68" s="691"/>
      <c r="M68" s="691"/>
      <c r="N68" s="691"/>
      <c r="O68" s="691"/>
      <c r="P68" s="691"/>
      <c r="Q68" s="691"/>
      <c r="R68" s="691"/>
      <c r="S68" s="691"/>
      <c r="T68" s="691"/>
      <c r="U68" s="691"/>
      <c r="V68" s="691"/>
      <c r="W68" s="691"/>
      <c r="X68" s="691"/>
      <c r="Y68" s="691"/>
      <c r="Z68" s="691"/>
      <c r="AA68" s="691"/>
      <c r="AB68" s="691"/>
      <c r="AC68" s="691"/>
    </row>
    <row r="69" spans="1:29">
      <c r="A69" s="691"/>
      <c r="B69" s="691"/>
      <c r="C69" s="691"/>
      <c r="D69" s="691"/>
      <c r="E69" s="691"/>
      <c r="F69" s="691"/>
      <c r="G69" s="691"/>
      <c r="H69" s="691"/>
      <c r="I69" s="691"/>
      <c r="J69" s="691"/>
      <c r="K69" s="691"/>
      <c r="L69" s="691"/>
      <c r="M69" s="691"/>
      <c r="N69" s="691"/>
      <c r="O69" s="691"/>
      <c r="P69" s="691"/>
      <c r="Q69" s="691"/>
      <c r="R69" s="691"/>
      <c r="S69" s="691"/>
      <c r="T69" s="691"/>
      <c r="U69" s="691"/>
      <c r="V69" s="691"/>
      <c r="W69" s="691"/>
      <c r="X69" s="691"/>
      <c r="Y69" s="691"/>
      <c r="Z69" s="691"/>
      <c r="AA69" s="691"/>
      <c r="AB69" s="691"/>
      <c r="AC69" s="691"/>
    </row>
    <row r="70" spans="1:29">
      <c r="A70" s="691"/>
      <c r="B70" s="691"/>
      <c r="C70" s="691"/>
      <c r="D70" s="691"/>
      <c r="E70" s="691"/>
      <c r="F70" s="691"/>
      <c r="G70" s="691"/>
      <c r="H70" s="691"/>
      <c r="I70" s="691"/>
      <c r="J70" s="691"/>
      <c r="K70" s="691"/>
      <c r="L70" s="691"/>
      <c r="M70" s="691"/>
      <c r="N70" s="691"/>
      <c r="O70" s="691"/>
      <c r="P70" s="691"/>
      <c r="Q70" s="691"/>
      <c r="R70" s="691"/>
      <c r="S70" s="691"/>
      <c r="T70" s="691"/>
      <c r="U70" s="691"/>
      <c r="V70" s="691"/>
      <c r="W70" s="691"/>
      <c r="X70" s="691"/>
      <c r="Y70" s="691"/>
      <c r="Z70" s="691"/>
      <c r="AA70" s="691"/>
      <c r="AB70" s="691"/>
      <c r="AC70" s="691"/>
    </row>
    <row r="71" spans="1:29">
      <c r="A71" s="691"/>
      <c r="B71" s="691"/>
      <c r="C71" s="691"/>
      <c r="D71" s="691"/>
      <c r="E71" s="691"/>
      <c r="F71" s="691"/>
      <c r="G71" s="691"/>
      <c r="H71" s="691"/>
      <c r="I71" s="691"/>
      <c r="J71" s="691"/>
      <c r="K71" s="691"/>
      <c r="L71" s="691"/>
      <c r="M71" s="691"/>
      <c r="N71" s="691"/>
      <c r="O71" s="691"/>
      <c r="P71" s="691"/>
      <c r="Q71" s="691"/>
      <c r="R71" s="691"/>
      <c r="S71" s="691"/>
      <c r="T71" s="691"/>
      <c r="U71" s="691"/>
      <c r="V71" s="691"/>
      <c r="W71" s="691"/>
      <c r="X71" s="691"/>
      <c r="Y71" s="691"/>
      <c r="Z71" s="691"/>
      <c r="AA71" s="691"/>
      <c r="AB71" s="691"/>
      <c r="AC71" s="691"/>
    </row>
    <row r="72" spans="1:29">
      <c r="A72" s="691"/>
      <c r="B72" s="691"/>
      <c r="C72" s="691"/>
      <c r="D72" s="691"/>
      <c r="E72" s="691"/>
      <c r="F72" s="691"/>
      <c r="G72" s="691"/>
      <c r="H72" s="691"/>
      <c r="I72" s="691"/>
      <c r="J72" s="691"/>
      <c r="K72" s="691"/>
      <c r="L72" s="691"/>
      <c r="M72" s="691"/>
      <c r="N72" s="691"/>
      <c r="O72" s="691"/>
      <c r="P72" s="691"/>
      <c r="Q72" s="691"/>
      <c r="R72" s="691"/>
      <c r="S72" s="691"/>
      <c r="T72" s="691"/>
      <c r="U72" s="691"/>
      <c r="V72" s="691"/>
      <c r="W72" s="691"/>
      <c r="X72" s="691"/>
      <c r="Y72" s="691"/>
      <c r="Z72" s="691"/>
      <c r="AA72" s="691"/>
      <c r="AB72" s="691"/>
      <c r="AC72" s="691"/>
    </row>
    <row r="73" spans="1:29">
      <c r="A73" s="691"/>
      <c r="B73" s="691"/>
      <c r="C73" s="691"/>
      <c r="D73" s="691"/>
      <c r="E73" s="691"/>
      <c r="F73" s="691"/>
      <c r="G73" s="691"/>
      <c r="H73" s="691"/>
      <c r="I73" s="691"/>
      <c r="J73" s="691"/>
      <c r="K73" s="691"/>
      <c r="L73" s="691"/>
      <c r="M73" s="691"/>
      <c r="N73" s="691"/>
      <c r="O73" s="691"/>
      <c r="P73" s="691"/>
      <c r="Q73" s="691"/>
      <c r="R73" s="691"/>
      <c r="S73" s="691"/>
      <c r="T73" s="691"/>
      <c r="U73" s="691"/>
      <c r="V73" s="691"/>
      <c r="W73" s="691"/>
      <c r="X73" s="691"/>
      <c r="Y73" s="691"/>
      <c r="Z73" s="691"/>
      <c r="AA73" s="691"/>
      <c r="AB73" s="691"/>
      <c r="AC73" s="691"/>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XFD103"/>
  <sheetViews>
    <sheetView showGridLines="0" zoomScaleNormal="100" workbookViewId="0"/>
  </sheetViews>
  <sheetFormatPr defaultRowHeight="12.75"/>
  <cols>
    <col min="1" max="2" width="2.42578125" style="715" customWidth="1"/>
    <col min="3" max="3" width="39.28515625" style="715" customWidth="1"/>
    <col min="4" max="4" width="2.42578125" style="715" customWidth="1"/>
    <col min="5" max="10" width="8" style="715" customWidth="1"/>
    <col min="11" max="11" width="2.42578125" style="715" customWidth="1"/>
    <col min="12" max="12" width="39.28515625" style="715" customWidth="1"/>
    <col min="13" max="13" width="2.42578125" style="715" customWidth="1"/>
    <col min="14" max="15" width="8" style="715" hidden="1" customWidth="1"/>
    <col min="16" max="20" width="8" style="722" customWidth="1"/>
    <col min="21" max="21" width="9.140625" style="722" customWidth="1"/>
    <col min="22" max="22" width="9.140625" style="715" customWidth="1"/>
    <col min="23" max="16384" width="9.140625" style="715"/>
  </cols>
  <sheetData>
    <row r="1" spans="1:107" s="705" customFormat="1" ht="15" customHeight="1">
      <c r="A1" s="702"/>
      <c r="B1" s="702"/>
      <c r="C1" s="702"/>
      <c r="D1" s="702"/>
      <c r="E1" s="703"/>
      <c r="F1" s="703"/>
      <c r="G1" s="703"/>
      <c r="H1" s="703"/>
      <c r="I1" s="703"/>
      <c r="J1" s="703"/>
      <c r="K1" s="702"/>
      <c r="L1" s="702"/>
      <c r="M1" s="702"/>
      <c r="N1" s="703"/>
      <c r="O1" s="703"/>
      <c r="P1" s="704"/>
      <c r="Q1" s="704"/>
      <c r="R1" s="704"/>
      <c r="S1" s="704"/>
      <c r="T1" s="704"/>
      <c r="U1" s="704"/>
      <c r="V1" s="703"/>
      <c r="W1" s="703"/>
      <c r="X1" s="703"/>
      <c r="Y1" s="703"/>
      <c r="Z1" s="703"/>
      <c r="AA1" s="703"/>
      <c r="AB1" s="703"/>
      <c r="AC1" s="703"/>
      <c r="AD1" s="703"/>
      <c r="AE1" s="703"/>
      <c r="AF1" s="703"/>
      <c r="AG1" s="703"/>
      <c r="AH1" s="703"/>
      <c r="AI1" s="703"/>
      <c r="AJ1" s="703"/>
      <c r="AK1" s="703"/>
      <c r="AL1" s="703"/>
      <c r="AM1" s="703"/>
      <c r="AN1" s="703"/>
      <c r="AO1" s="703"/>
      <c r="AP1" s="703"/>
      <c r="AQ1" s="703"/>
      <c r="AR1" s="703"/>
      <c r="AS1" s="703"/>
      <c r="AT1" s="703"/>
      <c r="AU1" s="703"/>
      <c r="AV1" s="703"/>
      <c r="AW1" s="703"/>
      <c r="AX1" s="703"/>
      <c r="AY1" s="703"/>
      <c r="AZ1" s="703"/>
      <c r="CX1" s="706"/>
      <c r="CY1" s="706" t="s">
        <v>110</v>
      </c>
      <c r="CZ1" s="706" t="s">
        <v>111</v>
      </c>
      <c r="DA1" s="706" t="s">
        <v>112</v>
      </c>
      <c r="DB1" s="706" t="s">
        <v>113</v>
      </c>
      <c r="DC1" s="706" t="s">
        <v>114</v>
      </c>
    </row>
    <row r="2" spans="1:107" s="705" customFormat="1" ht="15" customHeight="1">
      <c r="A2" s="702"/>
      <c r="B2" s="702" t="str">
        <f>+'Cover '!B2</f>
        <v xml:space="preserve">Northrop Grumman </v>
      </c>
      <c r="C2" s="702"/>
      <c r="D2" s="702"/>
      <c r="E2" s="703"/>
      <c r="F2" s="703"/>
      <c r="G2" s="703"/>
      <c r="H2" s="703"/>
      <c r="I2" s="703"/>
      <c r="J2" s="703"/>
      <c r="K2" s="702"/>
      <c r="L2" s="702"/>
      <c r="M2" s="702"/>
      <c r="N2" s="703"/>
      <c r="O2" s="703"/>
      <c r="P2" s="704"/>
      <c r="Q2" s="704"/>
      <c r="R2" s="704"/>
      <c r="S2" s="704"/>
      <c r="T2" s="704"/>
      <c r="U2" s="704"/>
      <c r="V2" s="703"/>
      <c r="W2" s="703"/>
      <c r="X2" s="703"/>
      <c r="Y2" s="703"/>
      <c r="Z2" s="703"/>
      <c r="AA2" s="703"/>
      <c r="AB2" s="703"/>
      <c r="AC2" s="703"/>
      <c r="AD2" s="703"/>
      <c r="AE2" s="703"/>
      <c r="AF2" s="703"/>
      <c r="AG2" s="703"/>
      <c r="AH2" s="703"/>
      <c r="AI2" s="703"/>
      <c r="AJ2" s="703"/>
      <c r="AK2" s="703"/>
      <c r="AL2" s="703"/>
      <c r="AM2" s="703"/>
      <c r="AN2" s="703"/>
      <c r="AO2" s="703"/>
      <c r="AP2" s="703"/>
      <c r="AQ2" s="703"/>
      <c r="AR2" s="703"/>
      <c r="AS2" s="703"/>
      <c r="AT2" s="703"/>
      <c r="AU2" s="703"/>
      <c r="AV2" s="703"/>
      <c r="AW2" s="703"/>
      <c r="AX2" s="703"/>
      <c r="AY2" s="703"/>
      <c r="AZ2" s="703"/>
    </row>
    <row r="3" spans="1:107" s="705" customFormat="1" ht="15" customHeight="1">
      <c r="A3" s="707"/>
      <c r="B3" s="708" t="s">
        <v>255</v>
      </c>
      <c r="C3" s="708"/>
      <c r="D3" s="707"/>
      <c r="E3" s="703"/>
      <c r="F3" s="703"/>
      <c r="G3" s="703"/>
      <c r="H3" s="703"/>
      <c r="I3" s="703"/>
      <c r="J3" s="703"/>
      <c r="K3" s="708"/>
      <c r="L3" s="708"/>
      <c r="M3" s="707"/>
      <c r="N3" s="703"/>
      <c r="O3" s="703"/>
      <c r="P3" s="704"/>
      <c r="Q3" s="704"/>
      <c r="R3" s="704"/>
      <c r="S3" s="704"/>
      <c r="T3" s="704"/>
      <c r="U3" s="704"/>
      <c r="V3" s="703"/>
      <c r="W3" s="703"/>
      <c r="X3" s="703"/>
      <c r="Y3" s="703"/>
      <c r="Z3" s="703"/>
      <c r="AA3" s="703"/>
      <c r="AB3" s="703"/>
      <c r="AC3" s="703"/>
      <c r="AD3" s="703"/>
      <c r="AE3" s="703"/>
      <c r="AF3" s="703"/>
      <c r="AG3" s="703"/>
      <c r="AH3" s="703"/>
      <c r="AI3" s="703"/>
      <c r="AJ3" s="703"/>
      <c r="AK3" s="703"/>
      <c r="AL3" s="703"/>
      <c r="AM3" s="703"/>
      <c r="AN3" s="703"/>
      <c r="AO3" s="703"/>
      <c r="AP3" s="703"/>
      <c r="AQ3" s="703"/>
      <c r="AR3" s="703"/>
      <c r="AS3" s="703"/>
      <c r="AT3" s="703"/>
      <c r="AU3" s="703"/>
      <c r="AV3" s="703"/>
      <c r="AW3" s="703"/>
      <c r="AX3" s="703"/>
      <c r="AY3" s="703"/>
      <c r="AZ3" s="703"/>
    </row>
    <row r="4" spans="1:107" s="705" customFormat="1">
      <c r="A4" s="709"/>
      <c r="B4" s="710" t="s">
        <v>256</v>
      </c>
      <c r="C4" s="710"/>
      <c r="D4" s="709"/>
      <c r="E4" s="711"/>
      <c r="F4" s="711"/>
      <c r="G4" s="711"/>
      <c r="H4" s="711"/>
      <c r="I4" s="711"/>
      <c r="J4" s="711"/>
      <c r="K4" s="710"/>
      <c r="L4" s="710"/>
      <c r="M4" s="709"/>
      <c r="N4" s="711"/>
      <c r="O4" s="711"/>
      <c r="P4" s="712"/>
      <c r="Q4" s="712"/>
      <c r="R4" s="712"/>
      <c r="S4" s="712"/>
      <c r="T4" s="712"/>
      <c r="U4" s="712"/>
      <c r="V4" s="711"/>
      <c r="W4" s="711"/>
      <c r="X4" s="711"/>
      <c r="Y4" s="711"/>
      <c r="Z4" s="711"/>
      <c r="AA4" s="711"/>
      <c r="AB4" s="711"/>
      <c r="AC4" s="711"/>
      <c r="AD4" s="711"/>
      <c r="AE4" s="711"/>
      <c r="AF4" s="711"/>
      <c r="AG4" s="711"/>
      <c r="AH4" s="711"/>
      <c r="AI4" s="711"/>
      <c r="AJ4" s="711"/>
      <c r="AK4" s="711"/>
      <c r="AL4" s="711"/>
      <c r="AM4" s="711"/>
      <c r="AN4" s="711"/>
      <c r="AO4" s="711"/>
      <c r="AP4" s="711"/>
      <c r="AQ4" s="711"/>
      <c r="AR4" s="711"/>
      <c r="AS4" s="711"/>
      <c r="AT4" s="711"/>
      <c r="AU4" s="711"/>
      <c r="AV4" s="711"/>
      <c r="AW4" s="711"/>
      <c r="AX4" s="711"/>
      <c r="AY4" s="711"/>
      <c r="AZ4" s="711"/>
    </row>
    <row r="5" spans="1:107" s="713" customFormat="1">
      <c r="P5" s="1078"/>
      <c r="Q5" s="714"/>
      <c r="R5" s="714"/>
      <c r="S5" s="714"/>
      <c r="T5" s="714"/>
    </row>
    <row r="6" spans="1:107">
      <c r="B6" s="716" t="s">
        <v>257</v>
      </c>
      <c r="C6" s="717"/>
      <c r="D6" s="717"/>
      <c r="F6" s="718" t="s">
        <v>258</v>
      </c>
      <c r="G6" s="718" t="s">
        <v>259</v>
      </c>
      <c r="H6" s="718" t="s">
        <v>260</v>
      </c>
      <c r="K6" s="716" t="s">
        <v>261</v>
      </c>
      <c r="L6" s="717"/>
      <c r="M6" s="717"/>
      <c r="N6" s="719">
        <v>2015</v>
      </c>
      <c r="O6" s="719">
        <v>2016</v>
      </c>
      <c r="P6" s="719">
        <v>2017</v>
      </c>
      <c r="Q6" s="720">
        <v>2018</v>
      </c>
      <c r="R6" s="720">
        <v>2019</v>
      </c>
      <c r="S6" s="720">
        <v>2020</v>
      </c>
      <c r="T6" s="720">
        <v>2021</v>
      </c>
    </row>
    <row r="7" spans="1:107">
      <c r="C7" s="715" t="s">
        <v>262</v>
      </c>
      <c r="F7" s="721">
        <v>2019</v>
      </c>
      <c r="G7" s="721">
        <v>2019</v>
      </c>
      <c r="H7" s="721">
        <v>2019</v>
      </c>
    </row>
    <row r="8" spans="1:107">
      <c r="F8" s="721"/>
      <c r="G8" s="721"/>
      <c r="H8" s="721"/>
      <c r="I8" s="1012"/>
      <c r="J8" s="1012"/>
      <c r="L8" s="723" t="s">
        <v>0</v>
      </c>
      <c r="P8" s="757"/>
      <c r="Q8" s="757"/>
      <c r="R8" s="757"/>
      <c r="S8" s="715"/>
      <c r="T8" s="715"/>
    </row>
    <row r="9" spans="1:107">
      <c r="C9" s="724" t="s">
        <v>263</v>
      </c>
      <c r="D9" s="725"/>
      <c r="E9" s="725"/>
      <c r="F9" s="825">
        <f>MROUND(F33,1)</f>
        <v>252</v>
      </c>
      <c r="G9" s="825">
        <f>MROUND(G33,1)</f>
        <v>378</v>
      </c>
      <c r="H9" s="826">
        <f>MROUND(H33,1)</f>
        <v>513</v>
      </c>
      <c r="I9" s="1012"/>
      <c r="J9" s="1013"/>
      <c r="L9" s="715" t="s">
        <v>115</v>
      </c>
      <c r="N9" s="727">
        <f>+Model!G4</f>
        <v>9940</v>
      </c>
      <c r="O9" s="727">
        <f>+Model!L4</f>
        <v>10828</v>
      </c>
      <c r="P9" s="727">
        <f>+Model!V4</f>
        <v>12131</v>
      </c>
      <c r="Q9" s="727">
        <f>+Model!AA4</f>
        <v>12858.86</v>
      </c>
      <c r="R9" s="727">
        <f>+Model!AF4</f>
        <v>13758.980200000002</v>
      </c>
      <c r="S9" s="727">
        <f>+Model!AK4</f>
        <v>14997.288418000004</v>
      </c>
      <c r="T9" s="727">
        <f>+Model!AP4</f>
        <v>15747.152838900005</v>
      </c>
    </row>
    <row r="10" spans="1:107">
      <c r="C10" s="715" t="s">
        <v>196</v>
      </c>
      <c r="F10" s="827">
        <f>+G10</f>
        <v>349.72</v>
      </c>
      <c r="G10" s="828">
        <v>349.72</v>
      </c>
      <c r="H10" s="827">
        <f>+G10</f>
        <v>349.72</v>
      </c>
      <c r="L10" s="715" t="s">
        <v>298</v>
      </c>
      <c r="N10" s="727">
        <f>+Model!G20</f>
        <v>10674</v>
      </c>
      <c r="O10" s="727">
        <f>+Model!L20</f>
        <v>10928</v>
      </c>
      <c r="P10" s="727">
        <f>+Model!V20</f>
        <v>11470</v>
      </c>
      <c r="Q10" s="727">
        <f>+Model!AA20</f>
        <v>11756.75</v>
      </c>
      <c r="R10" s="727">
        <f>+Model!AF20</f>
        <v>12462.155000000001</v>
      </c>
      <c r="S10" s="727">
        <f>+Model!AK20</f>
        <v>13209.884300000002</v>
      </c>
      <c r="T10" s="727">
        <f>+Model!AP20</f>
        <v>14002.477358000002</v>
      </c>
    </row>
    <row r="11" spans="1:107" s="729" customFormat="1">
      <c r="A11" s="715"/>
      <c r="C11" s="729" t="s">
        <v>264</v>
      </c>
      <c r="F11" s="730">
        <f>+F9/F10-1</f>
        <v>-0.27942353883106485</v>
      </c>
      <c r="G11" s="730">
        <f>+G9/G10-1</f>
        <v>8.0864691753402607E-2</v>
      </c>
      <c r="H11" s="730">
        <f>+H9/H10-1</f>
        <v>0.46688779595104646</v>
      </c>
      <c r="K11" s="715"/>
      <c r="L11" s="715" t="s">
        <v>244</v>
      </c>
      <c r="N11" s="727">
        <f>+Model!G36</f>
        <v>4819</v>
      </c>
      <c r="O11" s="727">
        <f>+Model!L36</f>
        <v>4825</v>
      </c>
      <c r="P11" s="727">
        <f>+Model!V36</f>
        <v>4687</v>
      </c>
      <c r="Q11" s="727">
        <f>+Model!AA36</f>
        <v>4569.8249999999998</v>
      </c>
      <c r="R11" s="727">
        <f>+Model!AF36</f>
        <v>4752.6180000000004</v>
      </c>
      <c r="S11" s="727">
        <f>+Model!AK36</f>
        <v>4942.7227200000007</v>
      </c>
      <c r="T11" s="727">
        <f>+Model!AP36</f>
        <v>5140.4316288000009</v>
      </c>
    </row>
    <row r="12" spans="1:107">
      <c r="L12" s="830" t="s">
        <v>339</v>
      </c>
      <c r="M12" s="729"/>
      <c r="N12" s="727"/>
      <c r="O12" s="727">
        <f>Model!L52</f>
        <v>0</v>
      </c>
      <c r="P12" s="727">
        <f>Model!V52</f>
        <v>0</v>
      </c>
      <c r="Q12" s="727">
        <f>Model!AA52</f>
        <v>2500</v>
      </c>
      <c r="R12" s="727">
        <f>Model!AF52</f>
        <v>5300</v>
      </c>
      <c r="S12" s="727">
        <f>Model!AK52</f>
        <v>5618</v>
      </c>
      <c r="T12" s="727">
        <f>Model!AP52</f>
        <v>5955.08</v>
      </c>
    </row>
    <row r="13" spans="1:107" s="729" customFormat="1">
      <c r="A13" s="715"/>
      <c r="C13" s="733" t="s">
        <v>266</v>
      </c>
      <c r="D13" s="734"/>
      <c r="E13" s="734"/>
      <c r="F13" s="735">
        <f>+F$9/(F$22/F34)</f>
        <v>15.970943779690659</v>
      </c>
      <c r="G13" s="735">
        <f>+G$9/(G$22/G34)</f>
        <v>19.97755994104589</v>
      </c>
      <c r="H13" s="736">
        <f>+H$9/(H$22/H34)</f>
        <v>21.006737309188903</v>
      </c>
      <c r="I13" s="715"/>
      <c r="J13" s="715"/>
      <c r="K13" s="715"/>
      <c r="L13" s="715" t="s">
        <v>299</v>
      </c>
      <c r="N13" s="727">
        <f>+Model!G68</f>
        <v>-1907</v>
      </c>
      <c r="O13" s="727">
        <f>+Model!L68</f>
        <v>-2073</v>
      </c>
      <c r="P13" s="727">
        <f>+Model!V68</f>
        <v>-2284</v>
      </c>
      <c r="Q13" s="727">
        <f>+Model!AA68</f>
        <v>-2425.9933375314858</v>
      </c>
      <c r="R13" s="727">
        <f>+Model!AF68</f>
        <v>-2425.9933375314858</v>
      </c>
      <c r="S13" s="727">
        <f>+Model!AK68</f>
        <v>-2425.9933375314858</v>
      </c>
      <c r="T13" s="727">
        <f>+Model!AP68</f>
        <v>-2425.9933375314858</v>
      </c>
    </row>
    <row r="14" spans="1:107" s="729" customFormat="1">
      <c r="A14" s="715"/>
      <c r="C14" s="838" t="s">
        <v>313</v>
      </c>
      <c r="D14" s="774"/>
      <c r="E14" s="774"/>
      <c r="F14" s="836">
        <f>F9/((F$22-($R$25*(1-F$27)))/F34)</f>
        <v>18.533758299475544</v>
      </c>
      <c r="G14" s="836">
        <f>G9/((G$22-($R$25*(1-G$27)))/G34)</f>
        <v>22.581473483571667</v>
      </c>
      <c r="H14" s="837">
        <f>H9/((H$22-($R$25*(1-H$27)))/H34)</f>
        <v>23.067695023111916</v>
      </c>
      <c r="I14" s="715"/>
      <c r="J14" s="715"/>
      <c r="K14" s="715"/>
      <c r="L14" s="731" t="s">
        <v>265</v>
      </c>
      <c r="M14" s="731"/>
      <c r="N14" s="732">
        <f t="shared" ref="N14:T14" si="0">SUM(N9:N13)</f>
        <v>23526</v>
      </c>
      <c r="O14" s="732">
        <f t="shared" si="0"/>
        <v>24508</v>
      </c>
      <c r="P14" s="732">
        <f t="shared" si="0"/>
        <v>26004</v>
      </c>
      <c r="Q14" s="732">
        <f t="shared" si="0"/>
        <v>29259.441662468515</v>
      </c>
      <c r="R14" s="732">
        <f t="shared" si="0"/>
        <v>33847.75986246852</v>
      </c>
      <c r="S14" s="732">
        <f t="shared" si="0"/>
        <v>36341.90210046852</v>
      </c>
      <c r="T14" s="732">
        <f t="shared" si="0"/>
        <v>38419.148488168517</v>
      </c>
    </row>
    <row r="15" spans="1:107">
      <c r="B15" s="729"/>
      <c r="C15" s="738" t="s">
        <v>267</v>
      </c>
      <c r="D15" s="739"/>
      <c r="E15" s="739"/>
      <c r="F15" s="740">
        <f>(F25+F31)/$R$30</f>
        <v>11.001626720943751</v>
      </c>
      <c r="G15" s="740">
        <f>(G25+G31)/$R$30</f>
        <v>15.444177986265286</v>
      </c>
      <c r="H15" s="741">
        <f>(H25+H31)/$R$30</f>
        <v>20.184557251171007</v>
      </c>
      <c r="I15" s="729"/>
      <c r="J15" s="729"/>
      <c r="N15" s="727"/>
      <c r="O15" s="817"/>
      <c r="P15" s="817"/>
      <c r="Q15" s="817"/>
      <c r="R15" s="817"/>
      <c r="S15" s="817"/>
      <c r="T15" s="817"/>
    </row>
    <row r="16" spans="1:107">
      <c r="B16" s="729"/>
      <c r="C16" s="743" t="s">
        <v>269</v>
      </c>
      <c r="D16" s="744"/>
      <c r="E16" s="744"/>
      <c r="F16" s="745">
        <f>(($R$53+((F20+F21+F19)*(1-F27)))/$R$37)/F9</f>
        <v>6.074695671430097E-2</v>
      </c>
      <c r="G16" s="746">
        <f>R53/(G9*G34)</f>
        <v>4.7190492875084047E-2</v>
      </c>
      <c r="H16" s="747">
        <f>(($R$53+((H20+H21+H19)*(1-H27)))/$R$37)/H9</f>
        <v>4.3401772773183529E-2</v>
      </c>
      <c r="L16" s="731" t="s">
        <v>268</v>
      </c>
      <c r="N16" s="742">
        <f t="shared" ref="N16:T16" si="1">+N14-N23</f>
        <v>20606</v>
      </c>
      <c r="O16" s="742">
        <f t="shared" si="1"/>
        <v>21573</v>
      </c>
      <c r="P16" s="742">
        <f t="shared" si="1"/>
        <v>23101</v>
      </c>
      <c r="Q16" s="742">
        <f t="shared" si="1"/>
        <v>25993.548512468515</v>
      </c>
      <c r="R16" s="742">
        <f t="shared" si="1"/>
        <v>30025.85935196852</v>
      </c>
      <c r="S16" s="742">
        <f t="shared" si="1"/>
        <v>32186.159193023519</v>
      </c>
      <c r="T16" s="742">
        <f t="shared" si="1"/>
        <v>34020.612944617264</v>
      </c>
    </row>
    <row r="17" spans="1:27">
      <c r="F17" s="728"/>
      <c r="H17" s="728"/>
      <c r="N17" s="737"/>
      <c r="O17" s="737"/>
      <c r="P17" s="737"/>
      <c r="Q17" s="737"/>
      <c r="R17" s="737"/>
      <c r="S17" s="737"/>
      <c r="T17" s="737"/>
      <c r="X17" s="870"/>
    </row>
    <row r="18" spans="1:27">
      <c r="A18"/>
      <c r="C18" s="731" t="s">
        <v>307</v>
      </c>
      <c r="D18" s="731"/>
      <c r="E18" s="731"/>
      <c r="F18" s="742">
        <f>+G18</f>
        <v>3281.0999109524996</v>
      </c>
      <c r="G18" s="742">
        <f>+$R$36</f>
        <v>3281.0999109524996</v>
      </c>
      <c r="H18" s="742">
        <f>+G18</f>
        <v>3281.0999109524996</v>
      </c>
      <c r="L18" s="715" t="s">
        <v>115</v>
      </c>
      <c r="N18" s="727">
        <f>+Model!G102</f>
        <v>1205</v>
      </c>
      <c r="O18" s="727">
        <f>+Model!L102</f>
        <v>1236</v>
      </c>
      <c r="P18" s="727">
        <f>+Model!V102</f>
        <v>1289</v>
      </c>
      <c r="Q18" s="727">
        <f>+Model!AA102</f>
        <v>1318.0331500000002</v>
      </c>
      <c r="R18" s="727">
        <f>+Model!AF102</f>
        <v>1410.2954705000002</v>
      </c>
      <c r="S18" s="727">
        <f>+Model!AK102</f>
        <v>1537.2220628450002</v>
      </c>
      <c r="T18" s="727">
        <f>+Model!AP102</f>
        <v>1614.0831659872504</v>
      </c>
      <c r="V18" s="870"/>
    </row>
    <row r="19" spans="1:27" s="731" customFormat="1">
      <c r="A19" s="715"/>
      <c r="B19" s="715"/>
      <c r="C19" s="748" t="s">
        <v>314</v>
      </c>
      <c r="D19"/>
      <c r="E19"/>
      <c r="F19" s="818">
        <f>((-1%*$R$14)*(1-F$27))</f>
        <v>-272.47446689287153</v>
      </c>
      <c r="G19" s="819">
        <v>0</v>
      </c>
      <c r="H19" s="818">
        <f>((2%*$R$14)*(1-H$27))</f>
        <v>544.94893378574307</v>
      </c>
      <c r="I19"/>
      <c r="J19"/>
      <c r="K19" s="729"/>
      <c r="L19" s="715" t="s">
        <v>298</v>
      </c>
      <c r="M19" s="715"/>
      <c r="N19" s="727">
        <f>+Model!G115</f>
        <v>1410</v>
      </c>
      <c r="O19" s="727">
        <f>+Model!L115</f>
        <v>1445</v>
      </c>
      <c r="P19" s="727">
        <f>+Model!V115</f>
        <v>1442</v>
      </c>
      <c r="Q19" s="727">
        <f>+Model!AA115</f>
        <v>1528.3775000000001</v>
      </c>
      <c r="R19" s="727">
        <f>+Model!AF115</f>
        <v>1620.0801500000002</v>
      </c>
      <c r="S19" s="727">
        <f>+Model!AK115</f>
        <v>1717.2849590000003</v>
      </c>
      <c r="T19" s="727">
        <f>+Model!AP115</f>
        <v>1820.3220565400004</v>
      </c>
    </row>
    <row r="20" spans="1:27">
      <c r="C20" s="748" t="s">
        <v>316</v>
      </c>
      <c r="D20"/>
      <c r="E20"/>
      <c r="F20" s="818">
        <f>((-1%*$R$14)*(1-F$27))</f>
        <v>-272.47446689287153</v>
      </c>
      <c r="G20" s="819">
        <v>0</v>
      </c>
      <c r="H20" s="818">
        <f>((1.5%*$R$14)*(1-H$27))</f>
        <v>408.7117003393073</v>
      </c>
      <c r="K20" s="729"/>
      <c r="L20" s="715" t="s">
        <v>244</v>
      </c>
      <c r="N20" s="727">
        <f>+Model!G128</f>
        <v>514</v>
      </c>
      <c r="O20" s="727">
        <f>+Model!L128</f>
        <v>512</v>
      </c>
      <c r="P20" s="727">
        <f>+Model!V128</f>
        <v>449</v>
      </c>
      <c r="Q20" s="727">
        <f>+Model!AA128</f>
        <v>456.98250000000002</v>
      </c>
      <c r="R20" s="727">
        <f>+Model!AF128</f>
        <v>499.02489000000003</v>
      </c>
      <c r="S20" s="727">
        <f>+Model!AK128</f>
        <v>518.98588560000007</v>
      </c>
      <c r="T20" s="727">
        <f>+Model!AP128</f>
        <v>539.74532102400008</v>
      </c>
      <c r="U20" s="869"/>
    </row>
    <row r="21" spans="1:27">
      <c r="C21" s="748" t="s">
        <v>403</v>
      </c>
      <c r="D21"/>
      <c r="E21"/>
      <c r="F21" s="818">
        <f>-((R34+R36)*(-$G$27+F27))</f>
        <v>0</v>
      </c>
      <c r="G21" s="820">
        <v>0</v>
      </c>
      <c r="H21" s="818">
        <f>-((R34+R36)*(-$G$27+H27))</f>
        <v>0</v>
      </c>
      <c r="L21" s="830" t="s">
        <v>339</v>
      </c>
      <c r="N21" s="727"/>
      <c r="O21" s="727">
        <f>Model!L141+Model!L143+Model!L144</f>
        <v>0</v>
      </c>
      <c r="P21" s="727">
        <f>Model!V141+Model!V143+Model!V144</f>
        <v>0</v>
      </c>
      <c r="Q21" s="727">
        <f>Model!AA141+Model!AA143+Model!AA144</f>
        <v>232.5</v>
      </c>
      <c r="R21" s="727">
        <f>Model!AF141+Model!AF143+Model!AF144</f>
        <v>562.5</v>
      </c>
      <c r="S21" s="727">
        <f>Model!AK141+Model!AK143+Model!AK144</f>
        <v>652.25</v>
      </c>
      <c r="T21" s="727">
        <f>Model!AP141+Model!AP143+Model!AP144</f>
        <v>694.38499999999999</v>
      </c>
    </row>
    <row r="22" spans="1:27" s="731" customFormat="1">
      <c r="A22" s="715"/>
      <c r="C22" s="749" t="s">
        <v>308</v>
      </c>
      <c r="D22"/>
      <c r="E22"/>
      <c r="F22" s="821">
        <f>+SUM(F18:F21)</f>
        <v>2736.1509771667565</v>
      </c>
      <c r="G22" s="821">
        <f>+SUM(G18:G21)</f>
        <v>3281.0999109524996</v>
      </c>
      <c r="H22" s="821">
        <f>+SUM(H18:H21)</f>
        <v>4234.76054507755</v>
      </c>
      <c r="I22" s="715"/>
      <c r="J22" s="715"/>
      <c r="K22" s="715"/>
      <c r="L22" s="715" t="s">
        <v>299</v>
      </c>
      <c r="M22" s="715"/>
      <c r="N22" s="727">
        <f>+Model!G154</f>
        <v>-209</v>
      </c>
      <c r="O22" s="727">
        <f>+Model!L154</f>
        <v>-258</v>
      </c>
      <c r="P22" s="727">
        <f>+Model!V154</f>
        <v>-277</v>
      </c>
      <c r="Q22" s="727">
        <f>+Model!AA154</f>
        <v>-270</v>
      </c>
      <c r="R22" s="727">
        <f>+Model!AF154</f>
        <v>-270</v>
      </c>
      <c r="S22" s="727">
        <f>+Model!AK154</f>
        <v>-270</v>
      </c>
      <c r="T22" s="727">
        <f>+Model!AP154</f>
        <v>-270</v>
      </c>
    </row>
    <row r="23" spans="1:27">
      <c r="B23" s="731"/>
      <c r="C23" s="731"/>
      <c r="D23" s="731"/>
      <c r="E23" s="731"/>
      <c r="F23" s="731"/>
      <c r="G23" s="731"/>
      <c r="H23" s="731"/>
      <c r="L23" s="731" t="s">
        <v>310</v>
      </c>
      <c r="N23" s="732">
        <f t="shared" ref="N23:T23" si="2">SUM(N18:N22)</f>
        <v>2920</v>
      </c>
      <c r="O23" s="732">
        <f t="shared" si="2"/>
        <v>2935</v>
      </c>
      <c r="P23" s="732">
        <f t="shared" si="2"/>
        <v>2903</v>
      </c>
      <c r="Q23" s="732">
        <f t="shared" si="2"/>
        <v>3265.8931500000003</v>
      </c>
      <c r="R23" s="732">
        <f t="shared" si="2"/>
        <v>3821.9005105000006</v>
      </c>
      <c r="S23" s="732">
        <f t="shared" si="2"/>
        <v>4155.742907445001</v>
      </c>
      <c r="T23" s="732">
        <f t="shared" si="2"/>
        <v>4398.5355435512511</v>
      </c>
    </row>
    <row r="24" spans="1:27">
      <c r="A24" s="729"/>
      <c r="B24" s="731"/>
      <c r="C24" s="715" t="s">
        <v>270</v>
      </c>
      <c r="F24" s="750">
        <v>16</v>
      </c>
      <c r="G24" s="750">
        <v>20</v>
      </c>
      <c r="H24" s="750">
        <v>21</v>
      </c>
      <c r="N24" s="727"/>
      <c r="O24" s="863"/>
      <c r="P24" s="863"/>
      <c r="Q24" s="863"/>
      <c r="R24" s="863"/>
      <c r="S24" s="863"/>
      <c r="T24" s="863"/>
    </row>
    <row r="25" spans="1:27">
      <c r="B25" s="731"/>
      <c r="C25" s="752" t="s">
        <v>309</v>
      </c>
      <c r="D25" s="753"/>
      <c r="E25" s="753"/>
      <c r="F25" s="822">
        <f>+F24*F22</f>
        <v>43778.415634668105</v>
      </c>
      <c r="G25" s="822">
        <f>+G24*G22</f>
        <v>65621.998219049987</v>
      </c>
      <c r="H25" s="823">
        <f>+H24*H22</f>
        <v>88929.971446628551</v>
      </c>
      <c r="L25" s="715" t="s">
        <v>300</v>
      </c>
      <c r="N25" s="727">
        <f>+Model!G191</f>
        <v>348</v>
      </c>
      <c r="O25" s="727">
        <f>+Model!L191</f>
        <v>316</v>
      </c>
      <c r="P25" s="727">
        <f>+Model!V191</f>
        <v>638</v>
      </c>
      <c r="Q25" s="727">
        <f>+Model!AA191</f>
        <v>510</v>
      </c>
      <c r="R25" s="727">
        <f>+Model!AF191</f>
        <v>470</v>
      </c>
      <c r="S25" s="727">
        <f>+Model!AK191</f>
        <v>190</v>
      </c>
      <c r="T25" s="727">
        <f>+Model!AP191</f>
        <v>210</v>
      </c>
    </row>
    <row r="26" spans="1:27">
      <c r="A26" s="729"/>
      <c r="L26" s="715" t="s">
        <v>302</v>
      </c>
      <c r="N26" s="727">
        <f>+Model!G153-N22</f>
        <v>-192</v>
      </c>
      <c r="O26" s="727">
        <f>+Model!L153-O22</f>
        <v>-58</v>
      </c>
      <c r="P26" s="727">
        <f>+Model!V153-P22</f>
        <v>-265</v>
      </c>
      <c r="Q26" s="727">
        <f>+Model!AA153-Q22</f>
        <v>-300</v>
      </c>
      <c r="R26" s="727">
        <f>+Model!AF153-R22</f>
        <v>-275</v>
      </c>
      <c r="S26" s="727">
        <f>+Model!AK153-S22</f>
        <v>-250</v>
      </c>
      <c r="T26" s="727">
        <f>+Model!AP153-T22</f>
        <v>-250</v>
      </c>
    </row>
    <row r="27" spans="1:27">
      <c r="A27" s="729"/>
      <c r="C27" s="748" t="s">
        <v>122</v>
      </c>
      <c r="D27" s="748"/>
      <c r="E27" s="748"/>
      <c r="F27" s="1094">
        <f>+G27</f>
        <v>0.19500000000000006</v>
      </c>
      <c r="G27" s="1094">
        <f>+R34/(R34+R36)</f>
        <v>0.19500000000000006</v>
      </c>
      <c r="H27" s="1094">
        <f>+G27</f>
        <v>0.19500000000000006</v>
      </c>
      <c r="L27" s="731" t="s">
        <v>6</v>
      </c>
      <c r="M27" s="731"/>
      <c r="N27" s="742">
        <f t="shared" ref="N27:T27" si="3">+N16-N25-N26</f>
        <v>20450</v>
      </c>
      <c r="O27" s="742">
        <f t="shared" si="3"/>
        <v>21315</v>
      </c>
      <c r="P27" s="742">
        <f t="shared" si="3"/>
        <v>22728</v>
      </c>
      <c r="Q27" s="742">
        <f t="shared" si="3"/>
        <v>25783.548512468515</v>
      </c>
      <c r="R27" s="742">
        <f t="shared" si="3"/>
        <v>29830.85935196852</v>
      </c>
      <c r="S27" s="742">
        <f t="shared" si="3"/>
        <v>32246.159193023519</v>
      </c>
      <c r="T27" s="742">
        <f t="shared" si="3"/>
        <v>34060.612944617264</v>
      </c>
    </row>
    <row r="28" spans="1:27">
      <c r="B28" s="731"/>
      <c r="C28" s="748"/>
      <c r="D28" s="748"/>
      <c r="E28" s="748"/>
      <c r="F28" s="758"/>
      <c r="G28" s="759"/>
      <c r="H28" s="758"/>
      <c r="I28" s="729"/>
      <c r="J28" s="729"/>
      <c r="N28" s="751"/>
      <c r="O28" s="835"/>
      <c r="P28" s="817"/>
      <c r="Q28" s="817"/>
      <c r="R28" s="817"/>
      <c r="S28" s="817"/>
      <c r="T28" s="817"/>
    </row>
    <row r="29" spans="1:27">
      <c r="C29" s="715" t="s">
        <v>272</v>
      </c>
      <c r="F29" s="754">
        <f>+G29</f>
        <v>13699</v>
      </c>
      <c r="G29" s="727">
        <f>R62</f>
        <v>13699</v>
      </c>
      <c r="H29" s="754">
        <f>+G29</f>
        <v>13699</v>
      </c>
      <c r="L29" s="731" t="s">
        <v>160</v>
      </c>
      <c r="M29" s="731"/>
      <c r="N29" s="742">
        <f t="shared" ref="N29:T29" si="4">+N14-N27</f>
        <v>3076</v>
      </c>
      <c r="O29" s="742">
        <f t="shared" si="4"/>
        <v>3193</v>
      </c>
      <c r="P29" s="742">
        <f t="shared" si="4"/>
        <v>3276</v>
      </c>
      <c r="Q29" s="742">
        <f t="shared" si="4"/>
        <v>3475.8931499999999</v>
      </c>
      <c r="R29" s="742">
        <f t="shared" si="4"/>
        <v>4016.9005104999997</v>
      </c>
      <c r="S29" s="742">
        <f t="shared" si="4"/>
        <v>4095.742907445001</v>
      </c>
      <c r="T29" s="742">
        <f t="shared" si="4"/>
        <v>4358.5355435512538</v>
      </c>
      <c r="V29" s="1077"/>
      <c r="W29" s="1077"/>
      <c r="X29" s="1077"/>
      <c r="Y29" s="1077"/>
      <c r="Z29" s="1077"/>
      <c r="AA29" s="1077"/>
    </row>
    <row r="30" spans="1:27">
      <c r="C30" s="715" t="s">
        <v>273</v>
      </c>
      <c r="F30" s="754">
        <f>+G30</f>
        <v>-3383.5115941293257</v>
      </c>
      <c r="G30" s="727">
        <f>-R60</f>
        <v>-3383.5115941293257</v>
      </c>
      <c r="H30" s="754">
        <f>+G30</f>
        <v>-3383.5115941293257</v>
      </c>
      <c r="I30" s="483"/>
      <c r="J30" s="483"/>
      <c r="L30" s="749" t="s">
        <v>129</v>
      </c>
      <c r="M30" s="749"/>
      <c r="N30" s="732">
        <f>+Model!G194</f>
        <v>3543</v>
      </c>
      <c r="O30" s="732">
        <f>+Model!L194</f>
        <v>3649</v>
      </c>
      <c r="P30" s="732">
        <f>+Model!V194</f>
        <v>3751</v>
      </c>
      <c r="Q30" s="732">
        <f>+Model!AA194</f>
        <v>4168.8931499999999</v>
      </c>
      <c r="R30" s="732">
        <f>+Model!AF194</f>
        <v>4916.9005105000006</v>
      </c>
      <c r="S30" s="732">
        <f>+Model!AK194</f>
        <v>5023.742907445001</v>
      </c>
      <c r="T30" s="732">
        <f>+Model!AP194</f>
        <v>5315.5355435512511</v>
      </c>
      <c r="V30" s="1077"/>
      <c r="W30" s="1077"/>
      <c r="X30" s="1077"/>
      <c r="Y30" s="1077"/>
      <c r="Z30" s="1077"/>
    </row>
    <row r="31" spans="1:27" s="729" customFormat="1">
      <c r="A31" s="715"/>
      <c r="B31" s="715"/>
      <c r="C31" s="731" t="s">
        <v>275</v>
      </c>
      <c r="D31" s="715"/>
      <c r="E31" s="715"/>
      <c r="F31" s="742">
        <f>+SUM(F29:F30)</f>
        <v>10315.488405870674</v>
      </c>
      <c r="G31" s="742">
        <f>+SUM(G29:G30)</f>
        <v>10315.488405870674</v>
      </c>
      <c r="H31" s="742">
        <f>+SUM(H29:H30)</f>
        <v>10315.488405870674</v>
      </c>
      <c r="I31" s="483"/>
      <c r="J31" s="483"/>
      <c r="K31" s="715"/>
      <c r="L31" s="715"/>
      <c r="M31" s="715"/>
      <c r="N31" s="714"/>
      <c r="O31" s="864"/>
      <c r="P31" s="864"/>
      <c r="Q31" s="1096"/>
      <c r="R31" s="1096"/>
      <c r="S31" s="864"/>
      <c r="T31" s="864"/>
    </row>
    <row r="32" spans="1:27">
      <c r="A32" s="731"/>
      <c r="G32" s="727"/>
      <c r="I32" s="483"/>
      <c r="J32" s="483"/>
      <c r="L32" s="715" t="s">
        <v>274</v>
      </c>
      <c r="N32" s="755">
        <f>-(+Model!G201+Model!G205)</f>
        <v>286</v>
      </c>
      <c r="O32" s="755">
        <f>-(+Model!L201+Model!L205)</f>
        <v>270</v>
      </c>
      <c r="P32" s="755">
        <f>-(+Model!V201+Model!V205)</f>
        <v>236</v>
      </c>
      <c r="Q32" s="755">
        <f>-(+Model!AA201+Model!AA205)</f>
        <v>483</v>
      </c>
      <c r="R32" s="755">
        <f>-(+Model!AF201+Model!AF205)</f>
        <v>471</v>
      </c>
      <c r="S32" s="755">
        <f>-(+Model!AK201+Model!AK205)</f>
        <v>440</v>
      </c>
      <c r="T32" s="755">
        <f>-(+Model!AP201+Model!AP205)</f>
        <v>404</v>
      </c>
    </row>
    <row r="33" spans="1:26 16384:16384">
      <c r="A33" s="731"/>
      <c r="C33" s="752" t="s">
        <v>271</v>
      </c>
      <c r="D33" s="753"/>
      <c r="E33" s="753"/>
      <c r="F33" s="822">
        <f>+F25/F34</f>
        <v>252.45846805417131</v>
      </c>
      <c r="G33" s="822">
        <f>+G25/G34</f>
        <v>378.4245935094018</v>
      </c>
      <c r="H33" s="823">
        <f>+H25/H34</f>
        <v>512.83546994647304</v>
      </c>
      <c r="I33" s="756"/>
      <c r="J33" s="756"/>
      <c r="L33" s="715" t="s">
        <v>371</v>
      </c>
      <c r="N33" s="755"/>
      <c r="O33" s="755"/>
      <c r="P33" s="755">
        <f>Model!V206</f>
        <v>-44</v>
      </c>
      <c r="Q33" s="755">
        <f>Model!AA206</f>
        <v>485</v>
      </c>
      <c r="R33" s="755">
        <f>Model!AF206</f>
        <v>530</v>
      </c>
      <c r="S33" s="755">
        <f>Model!AK206</f>
        <v>610</v>
      </c>
      <c r="T33" s="755">
        <f>Model!AP206</f>
        <v>610</v>
      </c>
      <c r="V33" s="757"/>
    </row>
    <row r="34" spans="1:26 16384:16384">
      <c r="C34" s="748" t="s">
        <v>277</v>
      </c>
      <c r="D34" s="748"/>
      <c r="E34" s="748"/>
      <c r="F34" s="761">
        <f>+G34</f>
        <v>173.40838662331717</v>
      </c>
      <c r="G34" s="762">
        <f>+$R$37</f>
        <v>173.40838662331717</v>
      </c>
      <c r="H34" s="761">
        <f>+G34</f>
        <v>173.40838662331717</v>
      </c>
      <c r="I34" s="763"/>
      <c r="J34" s="763"/>
      <c r="L34" s="715" t="s">
        <v>276</v>
      </c>
      <c r="N34" s="755">
        <f>+Model!G209</f>
        <v>800</v>
      </c>
      <c r="O34" s="755">
        <f>+Model!L209</f>
        <v>723</v>
      </c>
      <c r="P34" s="727">
        <f>+Model!V209</f>
        <v>1001</v>
      </c>
      <c r="Q34" s="727">
        <f>+Model!AA209</f>
        <v>678.18916424999998</v>
      </c>
      <c r="R34" s="727">
        <f>+Model!AF209</f>
        <v>794.80059954750016</v>
      </c>
      <c r="S34" s="727">
        <f>+Model!AK209</f>
        <v>831.81986695177523</v>
      </c>
      <c r="T34" s="727">
        <f>+Model!AP209</f>
        <v>890.08443099249394</v>
      </c>
    </row>
    <row r="35" spans="1:26 16384:16384">
      <c r="B35" s="729"/>
      <c r="H35" s="756"/>
      <c r="I35" s="756"/>
      <c r="J35" s="756"/>
      <c r="V35" s="1077"/>
      <c r="W35" s="1077"/>
      <c r="X35" s="1077"/>
      <c r="Y35" s="1077"/>
      <c r="Z35" s="1077"/>
    </row>
    <row r="36" spans="1:26 16384:16384">
      <c r="B36" s="716" t="s">
        <v>278</v>
      </c>
      <c r="C36" s="717"/>
      <c r="D36" s="717"/>
      <c r="E36" s="719">
        <v>2016</v>
      </c>
      <c r="F36" s="720">
        <v>2017</v>
      </c>
      <c r="G36" s="720">
        <v>2018</v>
      </c>
      <c r="H36" s="720">
        <v>2019</v>
      </c>
      <c r="I36" s="720">
        <v>2020</v>
      </c>
      <c r="J36" s="720">
        <v>2021</v>
      </c>
      <c r="L36" s="731" t="s">
        <v>135</v>
      </c>
      <c r="N36" s="760">
        <f>+N29-N32-N34</f>
        <v>1990</v>
      </c>
      <c r="O36" s="760">
        <f>+O29-O32-O34</f>
        <v>2200</v>
      </c>
      <c r="P36" s="760">
        <f>+P29-P32-P34+P33</f>
        <v>1995</v>
      </c>
      <c r="Q36" s="760">
        <f t="shared" ref="Q36:T36" si="5">+Q29-Q32-Q34+Q33</f>
        <v>2799.7039857499999</v>
      </c>
      <c r="R36" s="760">
        <f t="shared" si="5"/>
        <v>3281.0999109524996</v>
      </c>
      <c r="S36" s="760">
        <f t="shared" si="5"/>
        <v>3433.9230404932259</v>
      </c>
      <c r="T36" s="760">
        <f t="shared" si="5"/>
        <v>3674.4511125587596</v>
      </c>
      <c r="V36" s="1077"/>
      <c r="W36" s="1077"/>
      <c r="X36" s="1077"/>
      <c r="Y36" s="1077"/>
      <c r="Z36" s="1077"/>
      <c r="XFD36" s="1077"/>
    </row>
    <row r="37" spans="1:26 16384:16384">
      <c r="B37" s="729"/>
      <c r="C37" s="715" t="s">
        <v>115</v>
      </c>
      <c r="D37"/>
      <c r="E37" s="759">
        <f t="shared" ref="E37:J39" si="6">+O9/N9-1</f>
        <v>8.9336016096579485E-2</v>
      </c>
      <c r="F37" s="759">
        <f t="shared" si="6"/>
        <v>0.12033616549685999</v>
      </c>
      <c r="G37" s="759">
        <f t="shared" si="6"/>
        <v>6.0000000000000053E-2</v>
      </c>
      <c r="H37" s="759">
        <f t="shared" si="6"/>
        <v>7.0000000000000062E-2</v>
      </c>
      <c r="I37" s="759">
        <f t="shared" si="6"/>
        <v>9.000000000000008E-2</v>
      </c>
      <c r="J37" s="759">
        <f t="shared" si="6"/>
        <v>5.0000000000000044E-2</v>
      </c>
      <c r="L37" s="715" t="s">
        <v>279</v>
      </c>
      <c r="N37" s="755">
        <f>+Model!G233</f>
        <v>191.6</v>
      </c>
      <c r="O37" s="755">
        <f>+Model!L233</f>
        <v>180.5</v>
      </c>
      <c r="P37" s="727">
        <f>+Model!V233</f>
        <v>175.60000000000002</v>
      </c>
      <c r="Q37" s="727">
        <f>+Model!AA233</f>
        <v>176.04912347544891</v>
      </c>
      <c r="R37" s="727">
        <f>+Model!AF233</f>
        <v>173.40838662331717</v>
      </c>
      <c r="S37" s="727">
        <f>+Model!AK233</f>
        <v>169.94021889085082</v>
      </c>
      <c r="T37" s="727">
        <f>+Model!AP233</f>
        <v>165.69171341857955</v>
      </c>
    </row>
    <row r="38" spans="1:26 16384:16384">
      <c r="C38" s="715" t="s">
        <v>298</v>
      </c>
      <c r="D38"/>
      <c r="E38" s="759">
        <f t="shared" si="6"/>
        <v>2.3796140153644396E-2</v>
      </c>
      <c r="F38" s="759">
        <f t="shared" si="6"/>
        <v>4.9597364568082059E-2</v>
      </c>
      <c r="G38" s="759">
        <f t="shared" si="6"/>
        <v>2.4999999999999911E-2</v>
      </c>
      <c r="H38" s="759">
        <f t="shared" si="6"/>
        <v>6.0000000000000053E-2</v>
      </c>
      <c r="I38" s="759">
        <f t="shared" si="6"/>
        <v>6.0000000000000053E-2</v>
      </c>
      <c r="J38" s="759">
        <f t="shared" si="6"/>
        <v>6.0000000000000053E-2</v>
      </c>
      <c r="L38" s="731" t="s">
        <v>280</v>
      </c>
      <c r="M38" s="731"/>
      <c r="N38" s="764">
        <f t="shared" ref="N38:S38" si="7">+N36/N37</f>
        <v>10.386221294363256</v>
      </c>
      <c r="O38" s="764">
        <f t="shared" si="7"/>
        <v>12.18836565096953</v>
      </c>
      <c r="P38" s="764">
        <f t="shared" si="7"/>
        <v>11.361047835990886</v>
      </c>
      <c r="Q38" s="764">
        <f t="shared" si="7"/>
        <v>15.90297032146505</v>
      </c>
      <c r="R38" s="764">
        <f t="shared" si="7"/>
        <v>18.921229675470091</v>
      </c>
      <c r="S38" s="764">
        <f t="shared" si="7"/>
        <v>20.206653038965225</v>
      </c>
      <c r="T38" s="764">
        <f>+T36/T37</f>
        <v>22.176432585232302</v>
      </c>
      <c r="V38" s="870"/>
      <c r="W38" s="870"/>
      <c r="X38" s="870"/>
      <c r="Y38" s="870"/>
    </row>
    <row r="39" spans="1:26 16384:16384">
      <c r="B39" s="729"/>
      <c r="C39" s="715" t="s">
        <v>244</v>
      </c>
      <c r="D39"/>
      <c r="E39" s="759">
        <f t="shared" si="6"/>
        <v>1.2450715916165755E-3</v>
      </c>
      <c r="F39" s="759">
        <f t="shared" si="6"/>
        <v>-2.8601036269430002E-2</v>
      </c>
      <c r="G39" s="759">
        <f t="shared" si="6"/>
        <v>-2.5000000000000022E-2</v>
      </c>
      <c r="H39" s="759">
        <f t="shared" si="6"/>
        <v>4.0000000000000036E-2</v>
      </c>
      <c r="I39" s="759">
        <f t="shared" si="6"/>
        <v>4.0000000000000036E-2</v>
      </c>
      <c r="J39" s="759">
        <f t="shared" si="6"/>
        <v>4.0000000000000036E-2</v>
      </c>
      <c r="N39" s="759"/>
      <c r="O39" s="831"/>
      <c r="P39" s="831"/>
      <c r="Q39" s="831"/>
      <c r="R39" s="831"/>
      <c r="S39" s="831"/>
      <c r="T39" s="831"/>
      <c r="U39" s="763"/>
      <c r="V39" s="1079"/>
      <c r="W39" s="1079"/>
      <c r="X39" s="1079"/>
      <c r="Y39" s="1079"/>
      <c r="Z39" s="1079"/>
    </row>
    <row r="40" spans="1:26 16384:16384">
      <c r="B40" s="729"/>
      <c r="C40" s="830" t="s">
        <v>339</v>
      </c>
      <c r="D40"/>
      <c r="E40" s="1006" t="s">
        <v>194</v>
      </c>
      <c r="F40" s="1006" t="s">
        <v>194</v>
      </c>
      <c r="G40" s="1006" t="s">
        <v>194</v>
      </c>
      <c r="H40" s="759">
        <f t="shared" ref="H40" si="8">+R12/Q12-1</f>
        <v>1.1200000000000001</v>
      </c>
      <c r="I40" s="759">
        <f t="shared" ref="I40" si="9">+S12/R12-1</f>
        <v>6.0000000000000053E-2</v>
      </c>
      <c r="J40" s="759">
        <f t="shared" ref="J40" si="10">+T12/S12-1</f>
        <v>6.0000000000000053E-2</v>
      </c>
      <c r="K40" s="729"/>
      <c r="L40" s="723" t="s">
        <v>281</v>
      </c>
      <c r="N40" s="757"/>
      <c r="O40" s="757"/>
      <c r="P40" s="757"/>
      <c r="Q40" s="757"/>
      <c r="R40" s="757"/>
      <c r="S40" s="757"/>
      <c r="T40" s="757"/>
      <c r="U40" s="866"/>
    </row>
    <row r="41" spans="1:26 16384:16384">
      <c r="C41" s="731" t="s">
        <v>282</v>
      </c>
      <c r="D41"/>
      <c r="E41" s="765">
        <f t="shared" ref="E41:J41" si="11">+O14/N14-1</f>
        <v>4.174105245260562E-2</v>
      </c>
      <c r="F41" s="765">
        <f t="shared" si="11"/>
        <v>6.1041292639138156E-2</v>
      </c>
      <c r="G41" s="765">
        <f t="shared" si="11"/>
        <v>0.12519003470498835</v>
      </c>
      <c r="H41" s="765">
        <f t="shared" si="11"/>
        <v>0.15681496089125657</v>
      </c>
      <c r="I41" s="765">
        <f t="shared" si="11"/>
        <v>7.368706963575411E-2</v>
      </c>
      <c r="J41" s="765">
        <f t="shared" si="11"/>
        <v>5.7158438816916401E-2</v>
      </c>
      <c r="L41" s="731" t="s">
        <v>283</v>
      </c>
      <c r="M41" s="731"/>
      <c r="N41" s="742">
        <f>+Model!G250</f>
        <v>2162</v>
      </c>
      <c r="O41" s="742">
        <f>+Model!L250</f>
        <v>2813</v>
      </c>
      <c r="P41" s="742">
        <f>+Model!V250</f>
        <v>2613</v>
      </c>
      <c r="Q41" s="742">
        <f>+Model!AA250</f>
        <v>3583.5498268042611</v>
      </c>
      <c r="R41" s="742">
        <f>+Model!AF250</f>
        <v>4293.2598942355835</v>
      </c>
      <c r="S41" s="742">
        <f>+Model!AK250</f>
        <v>4446.2686023863262</v>
      </c>
      <c r="T41" s="742">
        <f>+Model!AP250</f>
        <v>4609.5942366330291</v>
      </c>
      <c r="U41" s="866"/>
    </row>
    <row r="42" spans="1:26 16384:16384">
      <c r="D42"/>
      <c r="E42" s="483"/>
      <c r="F42" s="483"/>
      <c r="G42" s="483"/>
      <c r="H42" s="483"/>
      <c r="I42" s="483"/>
      <c r="J42" s="483"/>
      <c r="P42" s="715"/>
      <c r="Q42" s="715"/>
      <c r="R42" s="715"/>
      <c r="S42" s="715"/>
      <c r="T42" s="715"/>
      <c r="U42" s="865"/>
    </row>
    <row r="43" spans="1:26 16384:16384">
      <c r="C43" s="715" t="s">
        <v>115</v>
      </c>
      <c r="D43"/>
      <c r="E43" s="766">
        <f t="shared" ref="E43:J45" si="12">+O18/O9</f>
        <v>0.11414850387883266</v>
      </c>
      <c r="F43" s="766">
        <f t="shared" si="12"/>
        <v>0.10625669771659385</v>
      </c>
      <c r="G43" s="766">
        <f t="shared" si="12"/>
        <v>0.10250000000000001</v>
      </c>
      <c r="H43" s="766">
        <f t="shared" si="12"/>
        <v>0.10249999999999999</v>
      </c>
      <c r="I43" s="766">
        <f t="shared" si="12"/>
        <v>0.10249999999999999</v>
      </c>
      <c r="J43" s="766">
        <f t="shared" si="12"/>
        <v>0.10249999999999999</v>
      </c>
      <c r="L43" s="715" t="s">
        <v>131</v>
      </c>
      <c r="N43" s="727">
        <f>+Model!G251</f>
        <v>-471</v>
      </c>
      <c r="O43" s="727">
        <f>+Model!L251</f>
        <v>-920</v>
      </c>
      <c r="P43" s="727">
        <f>+Model!V251</f>
        <v>-928</v>
      </c>
      <c r="Q43" s="727">
        <f>+Model!AA251</f>
        <v>-1082</v>
      </c>
      <c r="R43" s="727">
        <f>+Model!AF251</f>
        <v>-1200</v>
      </c>
      <c r="S43" s="727">
        <f>+Model!AK251</f>
        <v>-1200</v>
      </c>
      <c r="T43" s="727">
        <f>+Model!AP251</f>
        <v>-1200</v>
      </c>
      <c r="U43" s="763"/>
    </row>
    <row r="44" spans="1:26 16384:16384" s="729" customFormat="1">
      <c r="A44" s="731"/>
      <c r="B44" s="715"/>
      <c r="C44" s="715" t="s">
        <v>298</v>
      </c>
      <c r="D44"/>
      <c r="E44" s="766">
        <f t="shared" si="12"/>
        <v>0.13222913616398244</v>
      </c>
      <c r="F44" s="766">
        <f t="shared" si="12"/>
        <v>0.12571926765475153</v>
      </c>
      <c r="G44" s="766">
        <f t="shared" si="12"/>
        <v>0.13</v>
      </c>
      <c r="H44" s="766">
        <f t="shared" si="12"/>
        <v>0.13</v>
      </c>
      <c r="I44" s="766">
        <f t="shared" si="12"/>
        <v>0.13</v>
      </c>
      <c r="J44" s="766">
        <f t="shared" si="12"/>
        <v>0.13</v>
      </c>
      <c r="K44" s="715"/>
      <c r="L44" s="715" t="s">
        <v>184</v>
      </c>
      <c r="M44" s="715"/>
      <c r="N44" s="727">
        <f t="shared" ref="N44:S44" si="13">+N45-N43</f>
        <v>40</v>
      </c>
      <c r="O44" s="727">
        <f t="shared" si="13"/>
        <v>115</v>
      </c>
      <c r="P44" s="727">
        <f t="shared" si="13"/>
        <v>39</v>
      </c>
      <c r="Q44" s="727">
        <f t="shared" si="13"/>
        <v>-9200</v>
      </c>
      <c r="R44" s="727">
        <f t="shared" si="13"/>
        <v>0</v>
      </c>
      <c r="S44" s="727">
        <f t="shared" si="13"/>
        <v>0</v>
      </c>
      <c r="T44" s="727">
        <f>+T45-T43</f>
        <v>0</v>
      </c>
      <c r="U44" s="868"/>
    </row>
    <row r="45" spans="1:26 16384:16384">
      <c r="B45" s="731"/>
      <c r="C45" s="715" t="s">
        <v>244</v>
      </c>
      <c r="D45"/>
      <c r="E45" s="766">
        <f t="shared" si="12"/>
        <v>0.1061139896373057</v>
      </c>
      <c r="F45" s="766">
        <f t="shared" si="12"/>
        <v>9.5796885001066784E-2</v>
      </c>
      <c r="G45" s="766">
        <f t="shared" si="12"/>
        <v>0.1</v>
      </c>
      <c r="H45" s="766">
        <f t="shared" si="12"/>
        <v>0.105</v>
      </c>
      <c r="I45" s="766">
        <f t="shared" si="12"/>
        <v>0.105</v>
      </c>
      <c r="J45" s="766">
        <f t="shared" si="12"/>
        <v>0.105</v>
      </c>
      <c r="K45" s="729"/>
      <c r="L45" s="731" t="s">
        <v>284</v>
      </c>
      <c r="M45" s="729"/>
      <c r="N45" s="742">
        <f>+Model!G258</f>
        <v>-431</v>
      </c>
      <c r="O45" s="742">
        <f>+Model!L258</f>
        <v>-805</v>
      </c>
      <c r="P45" s="742">
        <f>+Model!V258</f>
        <v>-889</v>
      </c>
      <c r="Q45" s="742">
        <f>+Model!AA258</f>
        <v>-10282</v>
      </c>
      <c r="R45" s="742">
        <f>+Model!AF258</f>
        <v>-1200</v>
      </c>
      <c r="S45" s="742">
        <f>+Model!AK258</f>
        <v>-1200</v>
      </c>
      <c r="T45" s="742">
        <f>+Model!AP258</f>
        <v>-1200</v>
      </c>
      <c r="U45" s="868"/>
    </row>
    <row r="46" spans="1:26 16384:16384">
      <c r="B46" s="731"/>
      <c r="C46" s="830" t="s">
        <v>339</v>
      </c>
      <c r="D46"/>
      <c r="E46" s="1006" t="s">
        <v>194</v>
      </c>
      <c r="F46" s="1006" t="s">
        <v>194</v>
      </c>
      <c r="G46" s="766">
        <f t="shared" ref="G46" si="14">+Q21/Q12</f>
        <v>9.2999999999999999E-2</v>
      </c>
      <c r="H46" s="766">
        <f t="shared" ref="H46" si="15">+R21/R12</f>
        <v>0.10613207547169812</v>
      </c>
      <c r="I46" s="766">
        <f t="shared" ref="I46" si="16">+S21/S12</f>
        <v>0.1161000355998576</v>
      </c>
      <c r="J46" s="766">
        <f t="shared" ref="J46" si="17">+T21/T12</f>
        <v>0.11660380716967698</v>
      </c>
      <c r="P46" s="715"/>
      <c r="Q46" s="715"/>
      <c r="R46" s="715"/>
      <c r="S46" s="715"/>
      <c r="T46" s="715"/>
      <c r="U46" s="868"/>
    </row>
    <row r="47" spans="1:26 16384:16384">
      <c r="B47" s="731"/>
      <c r="C47" s="731" t="s">
        <v>285</v>
      </c>
      <c r="D47"/>
      <c r="E47" s="767">
        <f t="shared" ref="E47:J47" si="18">+O23/O14</f>
        <v>0.11975681410151787</v>
      </c>
      <c r="F47" s="767">
        <f t="shared" si="18"/>
        <v>0.11163667128134133</v>
      </c>
      <c r="G47" s="767">
        <f t="shared" si="18"/>
        <v>0.11161843714158107</v>
      </c>
      <c r="H47" s="767">
        <f t="shared" si="18"/>
        <v>0.11291442996609788</v>
      </c>
      <c r="I47" s="767">
        <f t="shared" si="18"/>
        <v>0.11435127682520022</v>
      </c>
      <c r="J47" s="767">
        <f t="shared" si="18"/>
        <v>0.11448810597418146</v>
      </c>
      <c r="L47" s="768" t="s">
        <v>178</v>
      </c>
      <c r="M47" s="713"/>
      <c r="N47" s="755">
        <f>+Model!G259</f>
        <v>-3182</v>
      </c>
      <c r="O47" s="755">
        <f>+Model!L259</f>
        <v>-1547</v>
      </c>
      <c r="P47" s="755">
        <f>+Model!V259</f>
        <v>-393</v>
      </c>
      <c r="Q47" s="755">
        <f>+Model!AA259</f>
        <v>24.087220568812409</v>
      </c>
      <c r="R47" s="755">
        <f>+Model!AF259</f>
        <v>-1121.3217245577648</v>
      </c>
      <c r="S47" s="755">
        <f>+Model!AK259</f>
        <v>-1529.8664532973087</v>
      </c>
      <c r="T47" s="755">
        <f>+Model!AP259</f>
        <v>-1990.3495925207699</v>
      </c>
      <c r="U47" s="868"/>
    </row>
    <row r="48" spans="1:26 16384:16384">
      <c r="B48" s="731"/>
      <c r="C48" s="731"/>
      <c r="D48"/>
      <c r="K48" s="483"/>
      <c r="L48" s="713" t="s">
        <v>30</v>
      </c>
      <c r="M48" s="713"/>
      <c r="N48" s="755">
        <f>+Model!G263</f>
        <v>-603</v>
      </c>
      <c r="O48" s="755">
        <f>+Model!L263</f>
        <v>-640</v>
      </c>
      <c r="P48" s="755">
        <f>+Model!V263</f>
        <v>-689</v>
      </c>
      <c r="Q48" s="755">
        <f>+Model!AA263</f>
        <v>-757.04420579197517</v>
      </c>
      <c r="R48" s="755">
        <f>+Model!AF263</f>
        <v>-815.01941712959069</v>
      </c>
      <c r="S48" s="755">
        <f>+Model!AK263</f>
        <v>-866.69511634333924</v>
      </c>
      <c r="T48" s="755">
        <f>+Model!AP263</f>
        <v>-911.30442380218767</v>
      </c>
      <c r="U48" s="867"/>
    </row>
    <row r="49" spans="2:21">
      <c r="B49"/>
      <c r="C49" s="731" t="s">
        <v>235</v>
      </c>
      <c r="D49"/>
      <c r="E49" s="767">
        <f t="shared" ref="E49:J49" si="19">+O29/O14</f>
        <v>0.13028398890158316</v>
      </c>
      <c r="F49" s="767">
        <f t="shared" si="19"/>
        <v>0.12598061836640517</v>
      </c>
      <c r="G49" s="767">
        <f t="shared" si="19"/>
        <v>0.1187956075887318</v>
      </c>
      <c r="H49" s="767">
        <f t="shared" si="19"/>
        <v>0.1186755202359512</v>
      </c>
      <c r="I49" s="767">
        <f t="shared" si="19"/>
        <v>0.11270029004321705</v>
      </c>
      <c r="J49" s="767">
        <f t="shared" si="19"/>
        <v>0.11344695848460826</v>
      </c>
      <c r="K49" s="483"/>
      <c r="L49" s="713" t="s">
        <v>286</v>
      </c>
      <c r="M49" s="713"/>
      <c r="N49" s="755">
        <f>+Model!G260+Model!G261</f>
        <v>600</v>
      </c>
      <c r="O49" s="755">
        <f>+Model!L260+Model!L261</f>
        <v>428</v>
      </c>
      <c r="P49" s="755">
        <f>+Model!V260+Model!V261</f>
        <v>8245</v>
      </c>
      <c r="Q49" s="755">
        <f>+Model!AA260+Model!AA261</f>
        <v>0</v>
      </c>
      <c r="R49" s="755">
        <f>+Model!AF260+Model!AF261</f>
        <v>-700</v>
      </c>
      <c r="S49" s="755">
        <f>+Model!AK260+Model!AK261</f>
        <v>-1200</v>
      </c>
      <c r="T49" s="755">
        <f>+Model!AP260+Model!AP261</f>
        <v>-900</v>
      </c>
      <c r="U49" s="763"/>
    </row>
    <row r="50" spans="2:21">
      <c r="C50" s="731" t="s">
        <v>287</v>
      </c>
      <c r="D50"/>
      <c r="E50" s="767">
        <f t="shared" ref="E50:J50" si="20">+O30/O14</f>
        <v>0.14889015831565203</v>
      </c>
      <c r="F50" s="767">
        <f t="shared" si="20"/>
        <v>0.14424703891708968</v>
      </c>
      <c r="G50" s="767">
        <f t="shared" si="20"/>
        <v>0.14248027006432923</v>
      </c>
      <c r="H50" s="767">
        <f t="shared" si="20"/>
        <v>0.14526516763527436</v>
      </c>
      <c r="I50" s="767">
        <f t="shared" si="20"/>
        <v>0.13823555227122344</v>
      </c>
      <c r="J50" s="767">
        <f t="shared" si="20"/>
        <v>0.13835641217264907</v>
      </c>
      <c r="K50" s="483"/>
      <c r="L50" s="713" t="s">
        <v>184</v>
      </c>
      <c r="M50" s="713"/>
      <c r="N50" s="755"/>
      <c r="O50" s="755"/>
      <c r="P50" s="755">
        <f>+P51-P47-P48-P49</f>
        <v>-203</v>
      </c>
      <c r="Q50" s="755">
        <f>+Q51-Q47-Q48-Q49</f>
        <v>-867</v>
      </c>
      <c r="R50" s="755">
        <f>+R51-R47-R48-R49</f>
        <v>0</v>
      </c>
      <c r="S50" s="755">
        <f>+S51-S47-S48-S49</f>
        <v>0</v>
      </c>
      <c r="T50" s="755">
        <f>+T51-T47-T48-T49</f>
        <v>0</v>
      </c>
    </row>
    <row r="51" spans="2:21">
      <c r="K51" s="483"/>
      <c r="L51" s="749" t="s">
        <v>288</v>
      </c>
      <c r="M51" s="713"/>
      <c r="N51" s="732">
        <f>+Model!G265</f>
        <v>-3275</v>
      </c>
      <c r="O51" s="732">
        <f>+Model!L265</f>
        <v>-1786</v>
      </c>
      <c r="P51" s="732">
        <f>+Model!V265</f>
        <v>6960</v>
      </c>
      <c r="Q51" s="732">
        <f>+Model!AA265</f>
        <v>-1599.9569852231627</v>
      </c>
      <c r="R51" s="732">
        <f>+Model!AF265</f>
        <v>-2636.3411416873555</v>
      </c>
      <c r="S51" s="732">
        <f>+Model!AK265</f>
        <v>-3596.5615696406476</v>
      </c>
      <c r="T51" s="732">
        <f>+Model!AP265</f>
        <v>-3801.6540163229574</v>
      </c>
    </row>
    <row r="52" spans="2:21">
      <c r="B52" s="716" t="s">
        <v>320</v>
      </c>
      <c r="C52" s="717"/>
      <c r="D52" s="717"/>
      <c r="E52" s="719">
        <v>2016</v>
      </c>
      <c r="F52" s="720">
        <v>2017</v>
      </c>
      <c r="G52" s="720">
        <v>2018</v>
      </c>
      <c r="H52" s="720">
        <v>2019</v>
      </c>
      <c r="I52" s="720">
        <v>2020</v>
      </c>
      <c r="J52" s="720">
        <v>2021</v>
      </c>
      <c r="K52" s="483"/>
      <c r="P52" s="715"/>
      <c r="Q52" s="715"/>
      <c r="R52" s="715"/>
      <c r="S52" s="715"/>
      <c r="T52" s="715"/>
    </row>
    <row r="53" spans="2:21">
      <c r="C53" s="713" t="s">
        <v>289</v>
      </c>
      <c r="D53" s="713"/>
      <c r="E53" s="773">
        <f t="shared" ref="E53:J53" si="21">$G$10/O38</f>
        <v>28.692936363636363</v>
      </c>
      <c r="F53" s="773">
        <f t="shared" si="21"/>
        <v>30.782371929824571</v>
      </c>
      <c r="G53" s="773">
        <f t="shared" si="21"/>
        <v>21.990860382098877</v>
      </c>
      <c r="H53" s="773">
        <f t="shared" si="21"/>
        <v>18.482942493604678</v>
      </c>
      <c r="I53" s="773">
        <f t="shared" si="21"/>
        <v>17.307171025583614</v>
      </c>
      <c r="J53" s="773">
        <f t="shared" si="21"/>
        <v>15.769894398294028</v>
      </c>
      <c r="K53" s="483"/>
      <c r="L53" s="769" t="s">
        <v>37</v>
      </c>
      <c r="M53" s="770"/>
      <c r="N53" s="771">
        <f t="shared" ref="N53:S53" si="22">+N41+N43</f>
        <v>1691</v>
      </c>
      <c r="O53" s="771">
        <f t="shared" si="22"/>
        <v>1893</v>
      </c>
      <c r="P53" s="771">
        <f t="shared" si="22"/>
        <v>1685</v>
      </c>
      <c r="Q53" s="771">
        <f t="shared" si="22"/>
        <v>2501.5498268042611</v>
      </c>
      <c r="R53" s="771">
        <f t="shared" si="22"/>
        <v>3093.2598942355835</v>
      </c>
      <c r="S53" s="771">
        <f t="shared" si="22"/>
        <v>3246.2686023863262</v>
      </c>
      <c r="T53" s="772">
        <f>+T41+T43</f>
        <v>3409.5942366330291</v>
      </c>
    </row>
    <row r="54" spans="2:21">
      <c r="C54" s="713" t="s">
        <v>291</v>
      </c>
      <c r="D54" s="713"/>
      <c r="E54" s="773">
        <f t="shared" ref="E54:J54" si="23">($G$10+(O62+-O60)/O37)/(O30/O37)</f>
        <v>18.536985475472733</v>
      </c>
      <c r="F54" s="773">
        <f t="shared" si="23"/>
        <v>17.2180303918955</v>
      </c>
      <c r="G54" s="773">
        <f t="shared" si="23"/>
        <v>17.520311505285978</v>
      </c>
      <c r="H54" s="773">
        <f t="shared" si="23"/>
        <v>14.431829406400016</v>
      </c>
      <c r="I54" s="773">
        <f t="shared" si="23"/>
        <v>13.714331324863407</v>
      </c>
      <c r="J54" s="773">
        <f t="shared" si="23"/>
        <v>12.586417045170023</v>
      </c>
      <c r="K54" s="483"/>
      <c r="L54" s="774" t="s">
        <v>290</v>
      </c>
      <c r="M54" s="774"/>
      <c r="N54" s="775">
        <f t="shared" ref="N54:S54" si="24">+N53/N36</f>
        <v>0.84974874371859299</v>
      </c>
      <c r="O54" s="775">
        <f t="shared" si="24"/>
        <v>0.86045454545454547</v>
      </c>
      <c r="P54" s="775">
        <f t="shared" si="24"/>
        <v>0.84461152882205515</v>
      </c>
      <c r="Q54" s="775">
        <f t="shared" si="24"/>
        <v>0.89350511323222348</v>
      </c>
      <c r="R54" s="775">
        <f t="shared" si="24"/>
        <v>0.94275090005949058</v>
      </c>
      <c r="S54" s="775">
        <f t="shared" si="24"/>
        <v>0.94535275371810712</v>
      </c>
      <c r="T54" s="775">
        <f>+T53/T36</f>
        <v>0.92791933602804333</v>
      </c>
      <c r="U54" s="715"/>
    </row>
    <row r="55" spans="2:21">
      <c r="C55" s="713" t="s">
        <v>293</v>
      </c>
      <c r="D55" s="713"/>
      <c r="E55" s="766">
        <f t="shared" ref="E55:J55" si="25">(O53/O37)/$G$10</f>
        <v>2.9988375346101971E-2</v>
      </c>
      <c r="F55" s="766">
        <f t="shared" si="25"/>
        <v>2.743815618716906E-2</v>
      </c>
      <c r="G55" s="766">
        <f t="shared" si="25"/>
        <v>4.063074830667196E-2</v>
      </c>
      <c r="H55" s="766">
        <f>(R53/R37)/$G$10</f>
        <v>5.100653753511887E-2</v>
      </c>
      <c r="I55" s="766">
        <f t="shared" si="25"/>
        <v>5.4622026460631731E-2</v>
      </c>
      <c r="J55" s="766">
        <f t="shared" si="25"/>
        <v>5.8841188951044884E-2</v>
      </c>
      <c r="L55" s="729" t="s">
        <v>292</v>
      </c>
      <c r="N55" s="776">
        <f t="shared" ref="N55:S55" si="26">+N53/N37</f>
        <v>8.8256784968684769</v>
      </c>
      <c r="O55" s="776">
        <f t="shared" si="26"/>
        <v>10.487534626038782</v>
      </c>
      <c r="P55" s="776">
        <f t="shared" si="26"/>
        <v>9.5956719817767642</v>
      </c>
      <c r="Q55" s="776">
        <f t="shared" si="26"/>
        <v>14.209385297809318</v>
      </c>
      <c r="R55" s="776">
        <f t="shared" si="26"/>
        <v>17.838006306781772</v>
      </c>
      <c r="S55" s="776">
        <f t="shared" si="26"/>
        <v>19.10241509381213</v>
      </c>
      <c r="T55" s="776">
        <f>+T53/T37</f>
        <v>20.577940599959419</v>
      </c>
      <c r="U55" s="727"/>
    </row>
    <row r="56" spans="2:21">
      <c r="O56" s="832"/>
      <c r="P56" s="832"/>
      <c r="Q56" s="832"/>
      <c r="R56" s="832"/>
      <c r="S56" s="832"/>
    </row>
    <row r="57" spans="2:21">
      <c r="L57" s="830" t="s">
        <v>312</v>
      </c>
      <c r="N57" s="757">
        <f>(N47+N48)/N53</f>
        <v>-2.2383205204021288</v>
      </c>
      <c r="O57" s="757">
        <f t="shared" ref="O57:T57" si="27">-(O47+O48)/O53</f>
        <v>1.1553090332805072</v>
      </c>
      <c r="P57" s="757">
        <f>-(P47+P48)/P53</f>
        <v>0.64213649851632049</v>
      </c>
      <c r="Q57" s="757">
        <f t="shared" si="27"/>
        <v>0.29300115367260859</v>
      </c>
      <c r="R57" s="757">
        <f t="shared" si="27"/>
        <v>0.6259872134558776</v>
      </c>
      <c r="S57" s="757">
        <f t="shared" si="27"/>
        <v>0.73825116254364775</v>
      </c>
      <c r="T57" s="757">
        <f t="shared" si="27"/>
        <v>0.85102619694369785</v>
      </c>
      <c r="U57" s="727"/>
    </row>
    <row r="58" spans="2:21">
      <c r="O58" s="832"/>
      <c r="P58" s="832"/>
      <c r="Q58" s="832"/>
      <c r="R58" s="832"/>
      <c r="S58" s="832"/>
      <c r="U58" s="754"/>
    </row>
    <row r="59" spans="2:21">
      <c r="L59" s="723" t="s">
        <v>1</v>
      </c>
      <c r="P59" s="715"/>
      <c r="Q59" s="715"/>
      <c r="R59" s="715"/>
      <c r="S59" s="715"/>
      <c r="T59" s="715"/>
      <c r="U59" s="754"/>
    </row>
    <row r="60" spans="2:21">
      <c r="L60" s="715" t="s">
        <v>273</v>
      </c>
      <c r="N60" s="727">
        <f>+Model!G272</f>
        <v>2319</v>
      </c>
      <c r="O60" s="727">
        <f>+Model!L272</f>
        <v>2541</v>
      </c>
      <c r="P60" s="727">
        <f>+Model!V272</f>
        <v>11225</v>
      </c>
      <c r="Q60" s="727">
        <f>+Model!AA272</f>
        <v>2926.5928415810977</v>
      </c>
      <c r="R60" s="727">
        <f>+Model!AF272</f>
        <v>3383.5115941293257</v>
      </c>
      <c r="S60" s="727">
        <f>+Model!AK272</f>
        <v>3033.2186268750042</v>
      </c>
      <c r="T60" s="727">
        <f>+Model!AP272</f>
        <v>2641.158847185076</v>
      </c>
      <c r="U60" s="778"/>
    </row>
    <row r="61" spans="2:21">
      <c r="O61" s="722"/>
      <c r="U61" s="778"/>
    </row>
    <row r="62" spans="2:21">
      <c r="L62" s="715" t="s">
        <v>294</v>
      </c>
      <c r="N62" s="727">
        <f>+Model!G294</f>
        <v>6386</v>
      </c>
      <c r="O62" s="727">
        <f>+Model!L294</f>
        <v>7058</v>
      </c>
      <c r="P62" s="727">
        <f>+Model!V294</f>
        <v>14399</v>
      </c>
      <c r="Q62" s="727">
        <f>+Model!AA294</f>
        <v>14399</v>
      </c>
      <c r="R62" s="727">
        <f>+Model!AF294</f>
        <v>13699</v>
      </c>
      <c r="S62" s="727">
        <f>+Model!AK294</f>
        <v>12499</v>
      </c>
      <c r="T62" s="727">
        <f>+Model!AP294</f>
        <v>11599</v>
      </c>
    </row>
    <row r="63" spans="2:21">
      <c r="L63" s="726" t="s">
        <v>275</v>
      </c>
      <c r="N63" s="754">
        <f t="shared" ref="N63:S63" si="28">+N62-N60</f>
        <v>4067</v>
      </c>
      <c r="O63" s="754">
        <f t="shared" si="28"/>
        <v>4517</v>
      </c>
      <c r="P63" s="754">
        <f t="shared" si="28"/>
        <v>3174</v>
      </c>
      <c r="Q63" s="754">
        <f t="shared" si="28"/>
        <v>11472.407158418902</v>
      </c>
      <c r="R63" s="754">
        <f t="shared" si="28"/>
        <v>10315.488405870674</v>
      </c>
      <c r="S63" s="754">
        <f t="shared" si="28"/>
        <v>9465.7813731249953</v>
      </c>
      <c r="T63" s="754">
        <f>+T62-T60</f>
        <v>8957.8411528149245</v>
      </c>
      <c r="U63" s="757"/>
    </row>
    <row r="64" spans="2:21">
      <c r="Q64" s="754"/>
      <c r="R64" s="754"/>
      <c r="S64" s="754"/>
      <c r="T64" s="754"/>
    </row>
    <row r="65" spans="11:21">
      <c r="L65" s="715" t="s">
        <v>301</v>
      </c>
      <c r="N65" s="778">
        <f t="shared" ref="N65:T65" si="29">(N62-N60)/N30</f>
        <v>1.147897262207169</v>
      </c>
      <c r="O65" s="778">
        <f t="shared" si="29"/>
        <v>1.2378733899698549</v>
      </c>
      <c r="P65" s="778">
        <f t="shared" si="29"/>
        <v>0.84617435350573178</v>
      </c>
      <c r="Q65" s="778">
        <f t="shared" si="29"/>
        <v>2.7519072198861472</v>
      </c>
      <c r="R65" s="778">
        <f t="shared" si="29"/>
        <v>2.0979656561775113</v>
      </c>
      <c r="S65" s="778">
        <f t="shared" si="29"/>
        <v>1.8842089548605399</v>
      </c>
      <c r="T65" s="778">
        <f t="shared" si="29"/>
        <v>1.6852189359701448</v>
      </c>
    </row>
    <row r="66" spans="11:21">
      <c r="L66" s="726" t="s">
        <v>295</v>
      </c>
      <c r="N66" s="778">
        <f t="shared" ref="N66:T66" si="30">(N62)/N30</f>
        <v>1.8024273214789726</v>
      </c>
      <c r="O66" s="778">
        <f t="shared" si="30"/>
        <v>1.9342285557687038</v>
      </c>
      <c r="P66" s="778">
        <f t="shared" si="30"/>
        <v>3.838709677419355</v>
      </c>
      <c r="Q66" s="778">
        <f t="shared" si="30"/>
        <v>3.4539143801274927</v>
      </c>
      <c r="R66" s="778">
        <f t="shared" si="30"/>
        <v>2.7861047769313001</v>
      </c>
      <c r="S66" s="778">
        <f t="shared" si="30"/>
        <v>2.4879855976461185</v>
      </c>
      <c r="T66" s="778">
        <f t="shared" si="30"/>
        <v>2.1820943355503997</v>
      </c>
      <c r="U66" s="715"/>
    </row>
    <row r="67" spans="11:21">
      <c r="K67" s="777"/>
    </row>
    <row r="68" spans="11:21">
      <c r="U68" s="862"/>
    </row>
    <row r="69" spans="11:21">
      <c r="Q69" s="754"/>
      <c r="R69" s="754"/>
      <c r="S69" s="754"/>
      <c r="T69" s="754"/>
      <c r="U69" s="728"/>
    </row>
    <row r="70" spans="11:21">
      <c r="O70" s="870"/>
      <c r="P70" s="870"/>
      <c r="Q70" s="870"/>
      <c r="R70" s="870"/>
      <c r="S70" s="870"/>
      <c r="T70" s="870"/>
      <c r="U70" s="757"/>
    </row>
    <row r="71" spans="11:21">
      <c r="O71" s="870"/>
      <c r="P71" s="870"/>
      <c r="Q71" s="870"/>
      <c r="R71" s="870"/>
      <c r="S71" s="870"/>
      <c r="T71" s="870"/>
    </row>
    <row r="73" spans="11:21">
      <c r="N73" s="779"/>
      <c r="O73" s="862"/>
      <c r="P73" s="862"/>
      <c r="Q73" s="862"/>
      <c r="R73" s="862"/>
      <c r="S73" s="862"/>
      <c r="T73" s="862"/>
    </row>
    <row r="74" spans="11:21">
      <c r="N74" s="728"/>
      <c r="O74" s="728"/>
      <c r="P74" s="728"/>
      <c r="Q74" s="728"/>
      <c r="R74" s="728"/>
      <c r="S74" s="728"/>
      <c r="T74" s="728"/>
    </row>
    <row r="75" spans="11:21">
      <c r="N75" s="757"/>
      <c r="O75" s="757"/>
      <c r="P75" s="757"/>
      <c r="Q75" s="757"/>
      <c r="R75" s="757"/>
      <c r="S75" s="757"/>
      <c r="T75" s="757"/>
    </row>
    <row r="76" spans="11:21">
      <c r="R76" s="766"/>
    </row>
    <row r="90" spans="14:15">
      <c r="N90" s="727"/>
      <c r="O90" s="727"/>
    </row>
    <row r="91" spans="14:15">
      <c r="N91" s="727"/>
      <c r="O91" s="727"/>
    </row>
    <row r="95" spans="14:15">
      <c r="N95" s="727"/>
      <c r="O95" s="727"/>
    </row>
    <row r="103" spans="14:15">
      <c r="N103" s="727"/>
      <c r="O103" s="727"/>
    </row>
  </sheetData>
  <pageMargins left="0.25" right="0.25" top="0.75" bottom="0.75" header="0.3" footer="0.3"/>
  <pageSetup scale="61"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8"/>
  </sheetPr>
  <dimension ref="A1:ID431"/>
  <sheetViews>
    <sheetView showGridLines="0" zoomScaleNormal="100" workbookViewId="0">
      <pane xSplit="1" ySplit="1" topLeftCell="B2" activePane="bottomRight" state="frozen"/>
      <selection pane="topRight" activeCell="B1" sqref="B1"/>
      <selection pane="bottomLeft" activeCell="A2" sqref="A2"/>
      <selection pane="bottomRight" activeCell="W1" sqref="W1"/>
    </sheetView>
  </sheetViews>
  <sheetFormatPr defaultRowHeight="12.75" outlineLevelRow="1" outlineLevelCol="1"/>
  <cols>
    <col min="1" max="1" width="26.85546875" style="466" customWidth="1"/>
    <col min="2" max="2" width="10" style="467" customWidth="1"/>
    <col min="3" max="3" width="10" style="466" hidden="1" customWidth="1" outlineLevel="1"/>
    <col min="4" max="5" width="10" style="468" hidden="1" customWidth="1" outlineLevel="1"/>
    <col min="6" max="6" width="10" style="466" hidden="1" customWidth="1" outlineLevel="1"/>
    <col min="7" max="7" width="10" style="467" customWidth="1" collapsed="1"/>
    <col min="8" max="11" width="10" style="466" hidden="1" customWidth="1" outlineLevel="1"/>
    <col min="12" max="12" width="10" style="467" customWidth="1" collapsed="1"/>
    <col min="13" max="16" width="10" style="466" hidden="1" customWidth="1" outlineLevel="1"/>
    <col min="17" max="17" width="10" style="467" customWidth="1" collapsed="1"/>
    <col min="18" max="21" width="10" style="466" hidden="1" customWidth="1" outlineLevel="1"/>
    <col min="22" max="22" width="10" style="467" customWidth="1" collapsed="1"/>
    <col min="23" max="26" width="10" style="466" customWidth="1" outlineLevel="1"/>
    <col min="27" max="27" width="10" style="467" customWidth="1"/>
    <col min="28" max="31" width="10" style="466" hidden="1" customWidth="1" outlineLevel="1"/>
    <col min="32" max="32" width="10" style="467" customWidth="1" collapsed="1"/>
    <col min="33" max="36" width="10" style="466" hidden="1" customWidth="1" outlineLevel="1"/>
    <col min="37" max="37" width="10" style="467" customWidth="1" collapsed="1"/>
    <col min="38" max="41" width="10" style="466" hidden="1" customWidth="1" outlineLevel="1"/>
    <col min="42" max="42" width="10" style="467" customWidth="1" collapsed="1"/>
    <col min="43" max="43" width="1.7109375" style="469" customWidth="1"/>
    <col min="44" max="44" width="1.7109375" style="470" customWidth="1"/>
    <col min="45" max="46" width="2" style="471" customWidth="1"/>
    <col min="47" max="47" width="9.140625" style="471"/>
    <col min="48" max="48" width="9.7109375" style="471" bestFit="1" customWidth="1"/>
    <col min="49" max="49" width="9.140625" style="471"/>
    <col min="50" max="50" width="9.140625" style="471" customWidth="1"/>
    <col min="51" max="54" width="9.140625" style="471"/>
    <col min="55" max="55" width="1.7109375" style="470" customWidth="1"/>
    <col min="56" max="58" width="9.140625" style="30"/>
    <col min="59" max="59" width="54.85546875" bestFit="1" customWidth="1"/>
    <col min="60" max="60" width="12.42578125" bestFit="1" customWidth="1"/>
    <col min="61" max="61" width="38.140625" bestFit="1" customWidth="1"/>
    <col min="62" max="62" width="11.28515625" bestFit="1" customWidth="1"/>
    <col min="65" max="16384" width="9.140625" style="30"/>
  </cols>
  <sheetData>
    <row r="1" spans="1:64" s="465" customFormat="1" ht="22.5">
      <c r="A1" s="630" t="s">
        <v>96</v>
      </c>
      <c r="B1" s="2" t="s">
        <v>236</v>
      </c>
      <c r="C1" s="3" t="s">
        <v>198</v>
      </c>
      <c r="D1" s="3" t="s">
        <v>199</v>
      </c>
      <c r="E1" s="3" t="s">
        <v>200</v>
      </c>
      <c r="F1" s="3" t="s">
        <v>201</v>
      </c>
      <c r="G1" s="2" t="s">
        <v>237</v>
      </c>
      <c r="H1" s="3" t="s">
        <v>198</v>
      </c>
      <c r="I1" s="3" t="s">
        <v>199</v>
      </c>
      <c r="J1" s="3" t="s">
        <v>200</v>
      </c>
      <c r="K1" s="3" t="s">
        <v>201</v>
      </c>
      <c r="L1" s="1020">
        <v>2016</v>
      </c>
      <c r="M1" s="3" t="s">
        <v>198</v>
      </c>
      <c r="N1" s="3" t="s">
        <v>305</v>
      </c>
      <c r="O1" s="3" t="s">
        <v>200</v>
      </c>
      <c r="P1" s="3" t="s">
        <v>201</v>
      </c>
      <c r="Q1" s="1020">
        <f>+L1+1</f>
        <v>2017</v>
      </c>
      <c r="R1" s="3" t="s">
        <v>198</v>
      </c>
      <c r="S1" s="3" t="s">
        <v>199</v>
      </c>
      <c r="T1" s="3" t="s">
        <v>200</v>
      </c>
      <c r="U1" s="3" t="s">
        <v>201</v>
      </c>
      <c r="V1" s="1036" t="s">
        <v>370</v>
      </c>
      <c r="W1" s="3" t="s">
        <v>404</v>
      </c>
      <c r="X1" s="3" t="s">
        <v>305</v>
      </c>
      <c r="Y1" s="3" t="s">
        <v>405</v>
      </c>
      <c r="Z1" s="3" t="s">
        <v>406</v>
      </c>
      <c r="AA1" s="2" t="s">
        <v>296</v>
      </c>
      <c r="AB1" s="3"/>
      <c r="AC1" s="3"/>
      <c r="AD1" s="3"/>
      <c r="AE1" s="3"/>
      <c r="AF1" s="2" t="s">
        <v>297</v>
      </c>
      <c r="AG1" s="3"/>
      <c r="AH1" s="3"/>
      <c r="AI1" s="3"/>
      <c r="AJ1" s="3"/>
      <c r="AK1" s="2" t="s">
        <v>303</v>
      </c>
      <c r="AL1" s="3"/>
      <c r="AM1" s="3"/>
      <c r="AN1" s="3"/>
      <c r="AO1" s="3"/>
      <c r="AP1" s="2" t="s">
        <v>304</v>
      </c>
      <c r="AQ1" s="463"/>
      <c r="AR1" s="464"/>
      <c r="AS1" s="464"/>
      <c r="AT1" s="463"/>
      <c r="AU1" s="463"/>
      <c r="AV1" s="463"/>
      <c r="AW1" s="463"/>
      <c r="AX1" s="463"/>
      <c r="AY1" s="463"/>
      <c r="AZ1" s="463"/>
      <c r="BA1" s="463"/>
      <c r="BB1" s="463"/>
      <c r="BC1" s="463"/>
      <c r="BG1"/>
      <c r="BH1"/>
      <c r="BI1"/>
      <c r="BJ1"/>
      <c r="BK1"/>
      <c r="BL1"/>
    </row>
    <row r="2" spans="1:64" s="10" customFormat="1" ht="12" customHeight="1">
      <c r="A2" s="4" t="s">
        <v>202</v>
      </c>
      <c r="B2" s="5"/>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8"/>
      <c r="AR2" s="6"/>
      <c r="AS2" s="78"/>
      <c r="AT2" s="78"/>
      <c r="AU2" s="78"/>
      <c r="AV2" s="78"/>
      <c r="AW2" s="78"/>
      <c r="AX2" s="78"/>
      <c r="AY2" s="9"/>
      <c r="AZ2" s="9"/>
      <c r="BA2" s="9"/>
      <c r="BB2" s="9"/>
      <c r="BC2" s="6"/>
      <c r="BG2"/>
      <c r="BH2"/>
      <c r="BI2"/>
      <c r="BJ2"/>
      <c r="BK2"/>
      <c r="BL2"/>
    </row>
    <row r="3" spans="1:64" s="10" customFormat="1" ht="12" customHeight="1">
      <c r="A3" s="11" t="s">
        <v>203</v>
      </c>
      <c r="B3" s="12"/>
      <c r="C3" s="13"/>
      <c r="D3" s="13"/>
      <c r="E3" s="13"/>
      <c r="F3" s="13"/>
      <c r="G3" s="12"/>
      <c r="H3" s="13"/>
      <c r="I3" s="13"/>
      <c r="J3" s="13"/>
      <c r="K3" s="13"/>
      <c r="L3" s="12"/>
      <c r="M3" s="13"/>
      <c r="N3" s="13"/>
      <c r="O3" s="13"/>
      <c r="P3" s="13"/>
      <c r="Q3" s="12"/>
      <c r="R3" s="13"/>
      <c r="S3" s="13"/>
      <c r="T3" s="13"/>
      <c r="U3" s="13"/>
      <c r="V3" s="12"/>
      <c r="W3" s="13"/>
      <c r="X3" s="13"/>
      <c r="Y3" s="13"/>
      <c r="Z3" s="13"/>
      <c r="AA3" s="12"/>
      <c r="AB3" s="13"/>
      <c r="AC3" s="13"/>
      <c r="AD3" s="13"/>
      <c r="AE3" s="13"/>
      <c r="AF3" s="12"/>
      <c r="AG3" s="13"/>
      <c r="AH3" s="13"/>
      <c r="AI3" s="13"/>
      <c r="AJ3" s="13"/>
      <c r="AK3" s="12"/>
      <c r="AL3" s="13"/>
      <c r="AM3" s="13"/>
      <c r="AN3" s="13"/>
      <c r="AO3" s="13"/>
      <c r="AP3" s="12"/>
      <c r="AQ3" s="8"/>
      <c r="AR3" s="6"/>
      <c r="AS3" s="619"/>
      <c r="AT3" s="619"/>
      <c r="AU3" s="619"/>
      <c r="AV3" s="619"/>
      <c r="AW3" s="619"/>
      <c r="AX3" s="619"/>
      <c r="AY3" s="619"/>
      <c r="AZ3" s="619"/>
      <c r="BA3" s="619"/>
      <c r="BB3" s="619"/>
      <c r="BC3" s="6"/>
      <c r="BG3"/>
      <c r="BH3"/>
      <c r="BI3"/>
      <c r="BJ3"/>
      <c r="BK3"/>
      <c r="BL3"/>
    </row>
    <row r="4" spans="1:64" s="21" customFormat="1">
      <c r="A4" s="14" t="s">
        <v>115</v>
      </c>
      <c r="B4" s="15">
        <v>9910</v>
      </c>
      <c r="C4" s="14">
        <v>2498</v>
      </c>
      <c r="D4" s="14">
        <v>2498</v>
      </c>
      <c r="E4" s="14">
        <v>2544</v>
      </c>
      <c r="F4" s="14">
        <f>+G4-SUM(C4:E4)</f>
        <v>2400</v>
      </c>
      <c r="G4" s="15">
        <v>9940</v>
      </c>
      <c r="H4" s="16">
        <v>2574</v>
      </c>
      <c r="I4" s="16">
        <v>2600</v>
      </c>
      <c r="J4" s="16">
        <v>2782</v>
      </c>
      <c r="K4" s="16">
        <f>+L4-SUM(H4:J4)</f>
        <v>2872</v>
      </c>
      <c r="L4" s="15">
        <v>10828</v>
      </c>
      <c r="M4" s="16">
        <v>2898</v>
      </c>
      <c r="N4" s="16">
        <v>2970</v>
      </c>
      <c r="O4" s="16">
        <v>3082</v>
      </c>
      <c r="P4" s="16">
        <v>3005</v>
      </c>
      <c r="Q4" s="1022">
        <f>+SUM(M4:P4)</f>
        <v>11955</v>
      </c>
      <c r="R4" s="16">
        <v>2984</v>
      </c>
      <c r="S4" s="16">
        <v>3003</v>
      </c>
      <c r="T4" s="16">
        <v>3125</v>
      </c>
      <c r="U4" s="16">
        <v>3019</v>
      </c>
      <c r="V4" s="1022">
        <f>+SUM(R4:U4)</f>
        <v>12131</v>
      </c>
      <c r="W4" s="16">
        <f>+(1+W5)*R4</f>
        <v>3163.04</v>
      </c>
      <c r="X4" s="16">
        <f t="shared" ref="X4:Z4" si="0">+(1+X5)*S4</f>
        <v>3183.1800000000003</v>
      </c>
      <c r="Y4" s="16">
        <f t="shared" si="0"/>
        <v>3312.5</v>
      </c>
      <c r="Z4" s="16">
        <f t="shared" si="0"/>
        <v>3200.1400000000003</v>
      </c>
      <c r="AA4" s="15">
        <f>+SUM(W4:Z4)</f>
        <v>12858.86</v>
      </c>
      <c r="AB4" s="16"/>
      <c r="AC4" s="16"/>
      <c r="AD4" s="16"/>
      <c r="AE4" s="16"/>
      <c r="AF4" s="15">
        <f>AA4*(1+AF5)</f>
        <v>13758.980200000002</v>
      </c>
      <c r="AG4" s="16"/>
      <c r="AH4" s="16"/>
      <c r="AI4" s="16"/>
      <c r="AJ4" s="16"/>
      <c r="AK4" s="15">
        <f>AF4*(1+AK5)</f>
        <v>14997.288418000004</v>
      </c>
      <c r="AL4" s="16"/>
      <c r="AM4" s="16"/>
      <c r="AN4" s="16"/>
      <c r="AO4" s="16"/>
      <c r="AP4" s="15">
        <f>AK4*(1+AP5)</f>
        <v>15747.152838900005</v>
      </c>
      <c r="AQ4" s="17"/>
      <c r="AR4" s="18"/>
      <c r="AS4" s="664" t="s">
        <v>386</v>
      </c>
      <c r="AT4" s="304"/>
      <c r="AU4" s="304"/>
      <c r="AV4" s="304"/>
      <c r="AW4" s="872"/>
      <c r="AX4" s="872" t="s">
        <v>322</v>
      </c>
      <c r="AY4" s="871"/>
      <c r="AZ4" s="871"/>
      <c r="BA4" s="871"/>
      <c r="BB4" s="871"/>
      <c r="BC4" s="19"/>
      <c r="BD4" s="20"/>
      <c r="BG4"/>
      <c r="BH4"/>
      <c r="BI4"/>
      <c r="BJ4"/>
      <c r="BK4"/>
      <c r="BL4"/>
    </row>
    <row r="5" spans="1:64" ht="12.75" customHeight="1">
      <c r="A5" s="22" t="s">
        <v>204</v>
      </c>
      <c r="B5" s="23"/>
      <c r="C5" s="24"/>
      <c r="D5" s="24"/>
      <c r="E5" s="24"/>
      <c r="F5" s="24"/>
      <c r="G5" s="23">
        <f t="shared" ref="G5:O5" si="1">G4/B4-1</f>
        <v>3.0272452068618172E-3</v>
      </c>
      <c r="H5" s="24">
        <f t="shared" si="1"/>
        <v>3.04243394715773E-2</v>
      </c>
      <c r="I5" s="24">
        <f t="shared" si="1"/>
        <v>4.083266613290637E-2</v>
      </c>
      <c r="J5" s="24">
        <f t="shared" si="1"/>
        <v>9.3553459119496862E-2</v>
      </c>
      <c r="K5" s="24">
        <f t="shared" si="1"/>
        <v>0.19666666666666677</v>
      </c>
      <c r="L5" s="23">
        <f t="shared" si="1"/>
        <v>8.9336016096579485E-2</v>
      </c>
      <c r="M5" s="24">
        <f t="shared" si="1"/>
        <v>0.12587412587412583</v>
      </c>
      <c r="N5" s="789">
        <f t="shared" si="1"/>
        <v>0.14230769230769225</v>
      </c>
      <c r="O5" s="24">
        <f t="shared" si="1"/>
        <v>0.10783608914450027</v>
      </c>
      <c r="P5" s="24">
        <f t="shared" ref="P5" si="2">P4/K4-1</f>
        <v>4.6309192200557181E-2</v>
      </c>
      <c r="Q5" s="23">
        <f t="shared" ref="Q5" si="3">Q4/L4-1</f>
        <v>0.10408200960472858</v>
      </c>
      <c r="R5" s="24"/>
      <c r="S5" s="789"/>
      <c r="T5" s="24"/>
      <c r="U5" s="24"/>
      <c r="V5" s="23"/>
      <c r="W5" s="26">
        <v>0.06</v>
      </c>
      <c r="X5" s="26">
        <v>0.06</v>
      </c>
      <c r="Y5" s="26">
        <v>0.06</v>
      </c>
      <c r="Z5" s="26">
        <v>0.06</v>
      </c>
      <c r="AA5" s="23">
        <f>AA4/V4-1</f>
        <v>6.0000000000000053E-2</v>
      </c>
      <c r="AB5" s="26"/>
      <c r="AC5" s="26"/>
      <c r="AD5" s="26"/>
      <c r="AE5" s="26"/>
      <c r="AF5" s="27">
        <v>7.0000000000000007E-2</v>
      </c>
      <c r="AG5" s="26"/>
      <c r="AH5" s="26"/>
      <c r="AI5" s="26"/>
      <c r="AJ5" s="26"/>
      <c r="AK5" s="27">
        <v>0.09</v>
      </c>
      <c r="AL5" s="26"/>
      <c r="AM5" s="26"/>
      <c r="AN5" s="26"/>
      <c r="AO5" s="26"/>
      <c r="AP5" s="27">
        <v>0.05</v>
      </c>
      <c r="AQ5" s="28"/>
      <c r="AR5" s="7"/>
      <c r="AS5" s="304"/>
      <c r="AT5" s="304"/>
      <c r="AU5" s="664"/>
      <c r="AV5" s="871"/>
      <c r="AW5" s="626"/>
      <c r="AX5" s="626" t="s">
        <v>337</v>
      </c>
      <c r="AY5" s="871"/>
      <c r="AZ5" s="871"/>
      <c r="BA5" s="871"/>
      <c r="BB5" s="871"/>
      <c r="BC5" s="19"/>
      <c r="BD5" s="20"/>
      <c r="BE5" s="29"/>
      <c r="BF5" s="29"/>
    </row>
    <row r="6" spans="1:64" ht="12.75" customHeight="1">
      <c r="A6" s="22" t="s">
        <v>205</v>
      </c>
      <c r="B6" s="23">
        <f t="shared" ref="B6:N6" si="4">B4/B$69</f>
        <v>0.41327828516618709</v>
      </c>
      <c r="C6" s="24">
        <f t="shared" si="4"/>
        <v>0.41933859325163675</v>
      </c>
      <c r="D6" s="24">
        <f t="shared" si="4"/>
        <v>0.42367706919945725</v>
      </c>
      <c r="E6" s="24">
        <f t="shared" si="4"/>
        <v>0.42548921224284997</v>
      </c>
      <c r="F6" s="24">
        <f t="shared" si="4"/>
        <v>0.42149631190727083</v>
      </c>
      <c r="G6" s="23">
        <f t="shared" si="4"/>
        <v>0.42251126413329931</v>
      </c>
      <c r="H6" s="24">
        <f t="shared" si="4"/>
        <v>0.43216924110141036</v>
      </c>
      <c r="I6" s="24">
        <f t="shared" si="4"/>
        <v>0.43333333333333335</v>
      </c>
      <c r="J6" s="24">
        <f t="shared" si="4"/>
        <v>0.4519902518277823</v>
      </c>
      <c r="K6" s="24">
        <f t="shared" si="4"/>
        <v>0.44896045021103642</v>
      </c>
      <c r="L6" s="23">
        <f t="shared" si="4"/>
        <v>0.44181491757793373</v>
      </c>
      <c r="M6" s="24">
        <f t="shared" si="4"/>
        <v>0.46242221158449021</v>
      </c>
      <c r="N6" s="24">
        <f t="shared" si="4"/>
        <v>0.46588235294117647</v>
      </c>
      <c r="O6" s="24">
        <f t="shared" ref="O6:Q6" si="5">O4/O$69</f>
        <v>0.47219243143863948</v>
      </c>
      <c r="P6" s="24">
        <f t="shared" si="5"/>
        <v>0.45296955079891466</v>
      </c>
      <c r="Q6" s="23">
        <f t="shared" si="5"/>
        <v>0.46331821881176605</v>
      </c>
      <c r="R6" s="24"/>
      <c r="S6" s="24"/>
      <c r="T6" s="24"/>
      <c r="U6" s="24"/>
      <c r="V6" s="23"/>
      <c r="W6" s="789">
        <f t="shared" ref="W6:AA6" si="6">W4/W$69</f>
        <v>0.47958571403059252</v>
      </c>
      <c r="X6" s="789">
        <f t="shared" si="6"/>
        <v>0.47908848350365452</v>
      </c>
      <c r="Y6" s="789">
        <f t="shared" si="6"/>
        <v>0.41354708959548303</v>
      </c>
      <c r="Z6" s="789">
        <f t="shared" si="6"/>
        <v>0.39952460287454061</v>
      </c>
      <c r="AA6" s="23">
        <f t="shared" si="6"/>
        <v>0.43947728560023192</v>
      </c>
      <c r="AB6" s="26"/>
      <c r="AC6" s="26"/>
      <c r="AD6" s="26"/>
      <c r="AE6" s="26"/>
      <c r="AF6" s="23">
        <f>AF4/AF$69</f>
        <v>0.40649603565807613</v>
      </c>
      <c r="AG6" s="26"/>
      <c r="AH6" s="26"/>
      <c r="AI6" s="26"/>
      <c r="AJ6" s="26"/>
      <c r="AK6" s="23">
        <f>AK4/AK$69</f>
        <v>0.41267208239512204</v>
      </c>
      <c r="AL6" s="26"/>
      <c r="AM6" s="26"/>
      <c r="AN6" s="26"/>
      <c r="AO6" s="26"/>
      <c r="AP6" s="23">
        <f>AP4/AP$69</f>
        <v>0.40987771615369001</v>
      </c>
      <c r="AQ6" s="28"/>
      <c r="AR6" s="7"/>
      <c r="AS6" s="304"/>
      <c r="AT6" s="304"/>
      <c r="AU6" s="901"/>
      <c r="AV6" s="873"/>
      <c r="AW6" s="666"/>
      <c r="AX6" s="666" t="s">
        <v>338</v>
      </c>
      <c r="AY6" s="871"/>
      <c r="AZ6" s="871"/>
      <c r="BA6" s="871"/>
      <c r="BB6" s="871"/>
      <c r="BC6" s="19"/>
      <c r="BD6" s="20"/>
      <c r="BE6" s="29"/>
      <c r="BF6" s="29"/>
    </row>
    <row r="7" spans="1:64" s="37" customFormat="1" ht="11.25" customHeight="1" outlineLevel="1">
      <c r="A7" s="31" t="s">
        <v>206</v>
      </c>
      <c r="B7" s="32">
        <v>7970</v>
      </c>
      <c r="C7" s="640">
        <v>1958</v>
      </c>
      <c r="D7" s="640">
        <v>2029</v>
      </c>
      <c r="E7" s="640">
        <v>2058</v>
      </c>
      <c r="F7" s="640">
        <f>+G7-SUM(C7:E7)</f>
        <v>1931</v>
      </c>
      <c r="G7" s="32">
        <v>7976</v>
      </c>
      <c r="H7" s="640">
        <v>2091</v>
      </c>
      <c r="I7" s="640">
        <v>2123</v>
      </c>
      <c r="J7" s="640">
        <v>2266</v>
      </c>
      <c r="K7" s="640">
        <f>+L7-SUM(H7:J7)</f>
        <v>2388</v>
      </c>
      <c r="L7" s="32">
        <v>8868</v>
      </c>
      <c r="M7" s="225">
        <v>2382</v>
      </c>
      <c r="N7" s="225">
        <v>2429</v>
      </c>
      <c r="O7" s="225">
        <v>2558</v>
      </c>
      <c r="P7" s="225">
        <f>9841-O7-N7-M7</f>
        <v>2472</v>
      </c>
      <c r="Q7" s="1021">
        <f>+SUM(M7:P7)</f>
        <v>9841</v>
      </c>
      <c r="R7" s="225"/>
      <c r="S7" s="225"/>
      <c r="T7" s="225"/>
      <c r="U7" s="225"/>
      <c r="V7" s="1021"/>
      <c r="W7" s="33"/>
      <c r="X7" s="33"/>
      <c r="Y7" s="33"/>
      <c r="Z7" s="33"/>
      <c r="AA7" s="32"/>
      <c r="AB7" s="33"/>
      <c r="AC7" s="33"/>
      <c r="AD7" s="33"/>
      <c r="AE7" s="33"/>
      <c r="AF7" s="32"/>
      <c r="AG7" s="33"/>
      <c r="AH7" s="33"/>
      <c r="AI7" s="33"/>
      <c r="AJ7" s="33"/>
      <c r="AK7" s="32"/>
      <c r="AL7" s="33"/>
      <c r="AM7" s="33"/>
      <c r="AN7" s="33"/>
      <c r="AO7" s="33"/>
      <c r="AP7" s="32"/>
      <c r="AQ7" s="34"/>
      <c r="AR7" s="35"/>
      <c r="AS7" s="664"/>
      <c r="AT7" s="664"/>
      <c r="AU7" s="901"/>
      <c r="AV7" s="626"/>
      <c r="AW7" s="626"/>
      <c r="AX7" s="871"/>
      <c r="AY7" s="871"/>
      <c r="AZ7" s="871"/>
      <c r="BA7" s="871"/>
      <c r="BB7" s="871"/>
      <c r="BC7" s="19"/>
      <c r="BD7" s="20"/>
      <c r="BE7" s="36"/>
      <c r="BF7" s="36"/>
      <c r="BG7"/>
      <c r="BH7"/>
      <c r="BI7"/>
      <c r="BJ7"/>
      <c r="BK7"/>
      <c r="BL7"/>
    </row>
    <row r="8" spans="1:64" s="44" customFormat="1" ht="11.25" customHeight="1" outlineLevel="1">
      <c r="A8" s="38" t="s">
        <v>207</v>
      </c>
      <c r="B8" s="39">
        <f>B7/B4</f>
        <v>0.80423814328960641</v>
      </c>
      <c r="C8" s="40">
        <f t="shared" ref="C8:N8" si="7">C7/C4</f>
        <v>0.78382706164931948</v>
      </c>
      <c r="D8" s="659">
        <f t="shared" si="7"/>
        <v>0.81224979983987189</v>
      </c>
      <c r="E8" s="659">
        <f t="shared" si="7"/>
        <v>0.80896226415094341</v>
      </c>
      <c r="F8" s="40">
        <f t="shared" si="7"/>
        <v>0.80458333333333332</v>
      </c>
      <c r="G8" s="39">
        <f t="shared" si="7"/>
        <v>0.80241448692152917</v>
      </c>
      <c r="H8" s="40">
        <f t="shared" si="7"/>
        <v>0.81235431235431232</v>
      </c>
      <c r="I8" s="659">
        <f t="shared" si="7"/>
        <v>0.81653846153846155</v>
      </c>
      <c r="J8" s="659">
        <f t="shared" si="7"/>
        <v>0.8145219266714594</v>
      </c>
      <c r="K8" s="40">
        <f t="shared" si="7"/>
        <v>0.83147632311977715</v>
      </c>
      <c r="L8" s="39">
        <f t="shared" si="7"/>
        <v>0.81898780938308091</v>
      </c>
      <c r="M8" s="40">
        <f t="shared" si="7"/>
        <v>0.82194616977225676</v>
      </c>
      <c r="N8" s="40">
        <f t="shared" si="7"/>
        <v>0.81784511784511782</v>
      </c>
      <c r="O8" s="659">
        <f t="shared" ref="O8:Q8" si="8">O7/O4</f>
        <v>0.82998053212199874</v>
      </c>
      <c r="P8" s="180">
        <f t="shared" si="8"/>
        <v>0.82262895174708817</v>
      </c>
      <c r="Q8" s="39">
        <f t="shared" si="8"/>
        <v>0.82317022166457554</v>
      </c>
      <c r="R8" s="40"/>
      <c r="S8" s="40"/>
      <c r="T8" s="659"/>
      <c r="U8" s="180"/>
      <c r="V8" s="39"/>
      <c r="W8" s="40"/>
      <c r="X8" s="40"/>
      <c r="Y8" s="40"/>
      <c r="Z8" s="40"/>
      <c r="AA8" s="39"/>
      <c r="AB8" s="40"/>
      <c r="AC8" s="40"/>
      <c r="AD8" s="40"/>
      <c r="AE8" s="40"/>
      <c r="AF8" s="39"/>
      <c r="AG8" s="40"/>
      <c r="AH8" s="40"/>
      <c r="AI8" s="40"/>
      <c r="AJ8" s="40"/>
      <c r="AK8" s="39"/>
      <c r="AL8" s="40"/>
      <c r="AM8" s="40"/>
      <c r="AN8" s="40"/>
      <c r="AO8" s="40"/>
      <c r="AP8" s="39"/>
      <c r="AQ8" s="41"/>
      <c r="AR8" s="42"/>
      <c r="AS8" s="872"/>
      <c r="AT8" s="872"/>
      <c r="AU8" s="901"/>
      <c r="AV8" s="1087"/>
      <c r="AW8" s="1088" t="s">
        <v>400</v>
      </c>
      <c r="AX8" s="1088" t="s">
        <v>395</v>
      </c>
      <c r="AY8" s="1089" t="s">
        <v>396</v>
      </c>
      <c r="AZ8" s="1089" t="s">
        <v>397</v>
      </c>
      <c r="BA8" s="1089" t="s">
        <v>398</v>
      </c>
      <c r="BB8" s="871"/>
      <c r="BC8" s="19"/>
      <c r="BD8" s="20"/>
      <c r="BE8" s="43"/>
      <c r="BF8" s="43"/>
      <c r="BG8"/>
      <c r="BH8"/>
      <c r="BI8"/>
      <c r="BJ8"/>
      <c r="BK8"/>
      <c r="BL8"/>
    </row>
    <row r="9" spans="1:64" s="37" customFormat="1" ht="11.25" customHeight="1" outlineLevel="1">
      <c r="A9" s="31" t="s">
        <v>208</v>
      </c>
      <c r="B9" s="32">
        <v>1940</v>
      </c>
      <c r="C9" s="640">
        <v>540</v>
      </c>
      <c r="D9" s="640">
        <v>469</v>
      </c>
      <c r="E9" s="640">
        <v>486</v>
      </c>
      <c r="F9" s="640">
        <f>+G9-SUM(C9:E9)</f>
        <v>469</v>
      </c>
      <c r="G9" s="32">
        <v>1964</v>
      </c>
      <c r="H9" s="640">
        <v>483</v>
      </c>
      <c r="I9" s="640">
        <v>477</v>
      </c>
      <c r="J9" s="640">
        <v>516</v>
      </c>
      <c r="K9" s="640">
        <f>+L9-SUM(H9:J9)</f>
        <v>484</v>
      </c>
      <c r="L9" s="32">
        <v>1960</v>
      </c>
      <c r="M9" s="225">
        <v>516</v>
      </c>
      <c r="N9" s="225">
        <v>541</v>
      </c>
      <c r="O9" s="225">
        <v>524</v>
      </c>
      <c r="P9" s="225">
        <f>2114-O9-N9-M9</f>
        <v>533</v>
      </c>
      <c r="Q9" s="1021">
        <f>+SUM(M9:P9)</f>
        <v>2114</v>
      </c>
      <c r="R9" s="225"/>
      <c r="S9" s="225"/>
      <c r="T9" s="225"/>
      <c r="U9" s="225"/>
      <c r="V9" s="1021"/>
      <c r="W9" s="33"/>
      <c r="X9" s="33"/>
      <c r="Y9" s="33"/>
      <c r="Z9" s="33"/>
      <c r="AA9" s="32"/>
      <c r="AB9" s="33"/>
      <c r="AC9" s="33"/>
      <c r="AD9" s="33"/>
      <c r="AE9" s="33"/>
      <c r="AF9" s="32"/>
      <c r="AG9" s="33"/>
      <c r="AH9" s="33"/>
      <c r="AI9" s="33"/>
      <c r="AJ9" s="33"/>
      <c r="AK9" s="32"/>
      <c r="AL9" s="33"/>
      <c r="AM9" s="33"/>
      <c r="AN9" s="33"/>
      <c r="AO9" s="33"/>
      <c r="AP9" s="32"/>
      <c r="AQ9" s="34"/>
      <c r="AR9" s="35"/>
      <c r="AS9" s="304"/>
      <c r="AT9" s="304"/>
      <c r="AU9" s="901"/>
      <c r="AV9" s="1090" t="s">
        <v>394</v>
      </c>
      <c r="AW9" s="1091">
        <v>1290.307</v>
      </c>
      <c r="AX9" s="1091">
        <v>2003.58</v>
      </c>
      <c r="AY9" s="1091">
        <v>2314.1959999999999</v>
      </c>
      <c r="AZ9" s="1091">
        <v>3008.8890000000001</v>
      </c>
      <c r="BA9" s="1091">
        <v>3055.8879999999999</v>
      </c>
      <c r="BB9" s="626"/>
      <c r="BC9" s="45"/>
      <c r="BD9" s="36"/>
      <c r="BE9" s="36"/>
      <c r="BF9" s="36"/>
      <c r="BG9"/>
      <c r="BH9"/>
      <c r="BI9"/>
      <c r="BJ9"/>
      <c r="BK9"/>
      <c r="BL9"/>
    </row>
    <row r="10" spans="1:64" s="44" customFormat="1" ht="11.25" customHeight="1" outlineLevel="1">
      <c r="A10" s="38" t="s">
        <v>207</v>
      </c>
      <c r="B10" s="39">
        <f>B9/B4</f>
        <v>0.19576185671039353</v>
      </c>
      <c r="C10" s="40">
        <f t="shared" ref="C10:N10" si="9">C9/C4</f>
        <v>0.21617293835068055</v>
      </c>
      <c r="D10" s="40">
        <f t="shared" si="9"/>
        <v>0.18775020016012811</v>
      </c>
      <c r="E10" s="40">
        <f t="shared" si="9"/>
        <v>0.19103773584905662</v>
      </c>
      <c r="F10" s="40">
        <f t="shared" si="9"/>
        <v>0.19541666666666666</v>
      </c>
      <c r="G10" s="39">
        <f t="shared" si="9"/>
        <v>0.19758551307847083</v>
      </c>
      <c r="H10" s="40">
        <f t="shared" si="9"/>
        <v>0.18764568764568765</v>
      </c>
      <c r="I10" s="40">
        <f t="shared" si="9"/>
        <v>0.18346153846153845</v>
      </c>
      <c r="J10" s="40">
        <f t="shared" si="9"/>
        <v>0.1854780733285406</v>
      </c>
      <c r="K10" s="40">
        <f t="shared" si="9"/>
        <v>0.16852367688022285</v>
      </c>
      <c r="L10" s="39">
        <f t="shared" si="9"/>
        <v>0.18101219061691909</v>
      </c>
      <c r="M10" s="40">
        <f t="shared" si="9"/>
        <v>0.17805383022774326</v>
      </c>
      <c r="N10" s="40">
        <f t="shared" si="9"/>
        <v>0.18215488215488215</v>
      </c>
      <c r="O10" s="40">
        <f t="shared" ref="O10:Q10" si="10">O9/O4</f>
        <v>0.17001946787800129</v>
      </c>
      <c r="P10" s="40">
        <f t="shared" si="10"/>
        <v>0.17737104825291181</v>
      </c>
      <c r="Q10" s="39">
        <f t="shared" si="10"/>
        <v>0.17682977833542451</v>
      </c>
      <c r="R10" s="40"/>
      <c r="S10" s="40"/>
      <c r="T10" s="40"/>
      <c r="U10" s="40"/>
      <c r="V10" s="39"/>
      <c r="W10" s="40"/>
      <c r="X10" s="40"/>
      <c r="Y10" s="40"/>
      <c r="Z10" s="40"/>
      <c r="AA10" s="39"/>
      <c r="AB10" s="40"/>
      <c r="AC10" s="40"/>
      <c r="AD10" s="40"/>
      <c r="AE10" s="40"/>
      <c r="AF10" s="39"/>
      <c r="AG10" s="40"/>
      <c r="AH10" s="40"/>
      <c r="AI10" s="40"/>
      <c r="AJ10" s="40"/>
      <c r="AK10" s="39"/>
      <c r="AL10" s="40"/>
      <c r="AM10" s="40"/>
      <c r="AN10" s="40"/>
      <c r="AO10" s="40"/>
      <c r="AP10" s="39"/>
      <c r="AQ10" s="41"/>
      <c r="AR10" s="42"/>
      <c r="AS10" s="664"/>
      <c r="AT10" s="664"/>
      <c r="AU10" s="901"/>
      <c r="AV10" s="1090" t="s">
        <v>399</v>
      </c>
      <c r="AW10" s="1091"/>
      <c r="AX10" s="1091">
        <f>AX9-AW9</f>
        <v>713.27299999999991</v>
      </c>
      <c r="AY10" s="1091">
        <f>AY9-AX9</f>
        <v>310.61599999999999</v>
      </c>
      <c r="AZ10" s="1091">
        <f>AZ9-AY9</f>
        <v>694.69300000000021</v>
      </c>
      <c r="BA10" s="1091">
        <f>BA9-AZ9</f>
        <v>46.998999999999796</v>
      </c>
      <c r="BB10" s="666"/>
      <c r="BC10" s="46"/>
      <c r="BD10" s="43"/>
      <c r="BE10" s="43"/>
      <c r="BF10" s="43"/>
      <c r="BG10"/>
      <c r="BH10"/>
      <c r="BI10"/>
      <c r="BJ10"/>
      <c r="BK10"/>
      <c r="BL10"/>
    </row>
    <row r="11" spans="1:64" s="72" customFormat="1" ht="11.25" customHeight="1">
      <c r="A11" s="66" t="s">
        <v>306</v>
      </c>
      <c r="B11" s="67"/>
      <c r="C11" s="66"/>
      <c r="D11" s="66"/>
      <c r="E11" s="66"/>
      <c r="F11" s="633"/>
      <c r="G11" s="67">
        <v>18014</v>
      </c>
      <c r="H11" s="66"/>
      <c r="I11" s="66"/>
      <c r="J11" s="66"/>
      <c r="K11" s="68"/>
      <c r="L11" s="67">
        <v>27310</v>
      </c>
      <c r="M11" s="66"/>
      <c r="N11" s="66"/>
      <c r="O11" s="66"/>
      <c r="P11" s="68"/>
      <c r="Q11" s="1030">
        <v>25022</v>
      </c>
      <c r="R11" s="66"/>
      <c r="S11" s="66"/>
      <c r="T11" s="66"/>
      <c r="U11" s="68"/>
      <c r="V11" s="1030"/>
      <c r="W11" s="66"/>
      <c r="X11" s="66"/>
      <c r="Y11" s="66"/>
      <c r="Z11" s="68"/>
      <c r="AA11" s="67"/>
      <c r="AB11" s="66"/>
      <c r="AC11" s="66"/>
      <c r="AD11" s="66"/>
      <c r="AE11" s="68"/>
      <c r="AF11" s="67"/>
      <c r="AG11" s="66"/>
      <c r="AH11" s="66"/>
      <c r="AI11" s="66"/>
      <c r="AJ11" s="68"/>
      <c r="AK11" s="67"/>
      <c r="AL11" s="66"/>
      <c r="AM11" s="66"/>
      <c r="AN11" s="66"/>
      <c r="AO11" s="68"/>
      <c r="AP11" s="67"/>
      <c r="AQ11" s="69"/>
      <c r="AR11" s="70"/>
      <c r="AS11" s="304"/>
      <c r="AT11" s="304"/>
      <c r="AU11" s="304"/>
      <c r="AV11" s="304"/>
      <c r="AW11" s="304"/>
      <c r="AX11" s="304"/>
      <c r="AY11" s="304"/>
      <c r="AZ11" s="304"/>
      <c r="BA11" s="304"/>
      <c r="BB11" s="304"/>
      <c r="BC11" s="71"/>
      <c r="BD11" s="33"/>
      <c r="BE11" s="33"/>
      <c r="BF11" s="33"/>
      <c r="BG11"/>
      <c r="BH11"/>
      <c r="BI11"/>
      <c r="BJ11"/>
      <c r="BK11"/>
      <c r="BL11"/>
    </row>
    <row r="12" spans="1:64" s="81" customFormat="1" ht="11.25" customHeight="1">
      <c r="A12" s="22" t="s">
        <v>204</v>
      </c>
      <c r="B12" s="25"/>
      <c r="C12" s="73"/>
      <c r="D12" s="73"/>
      <c r="E12" s="73"/>
      <c r="F12" s="73"/>
      <c r="G12" s="25"/>
      <c r="H12" s="26"/>
      <c r="I12" s="26"/>
      <c r="J12" s="26"/>
      <c r="K12" s="76"/>
      <c r="L12" s="27"/>
      <c r="M12" s="26"/>
      <c r="N12" s="26"/>
      <c r="O12" s="26"/>
      <c r="P12" s="76"/>
      <c r="Q12" s="1031"/>
      <c r="R12" s="26"/>
      <c r="S12" s="26"/>
      <c r="T12" s="26"/>
      <c r="U12" s="76"/>
      <c r="V12" s="1031"/>
      <c r="W12" s="26"/>
      <c r="X12" s="26"/>
      <c r="Y12" s="26"/>
      <c r="Z12" s="76"/>
      <c r="AA12" s="27"/>
      <c r="AB12" s="26"/>
      <c r="AC12" s="26"/>
      <c r="AD12" s="26"/>
      <c r="AE12" s="76"/>
      <c r="AF12" s="27"/>
      <c r="AG12" s="26"/>
      <c r="AH12" s="26"/>
      <c r="AI12" s="26"/>
      <c r="AJ12" s="76"/>
      <c r="AK12" s="27"/>
      <c r="AL12" s="26"/>
      <c r="AM12" s="26"/>
      <c r="AN12" s="26"/>
      <c r="AO12" s="76"/>
      <c r="AP12" s="27"/>
      <c r="AQ12" s="77"/>
      <c r="AR12" s="6"/>
      <c r="AS12" s="619"/>
      <c r="AT12" s="619"/>
      <c r="AU12" s="619"/>
      <c r="AV12" s="1093" t="s">
        <v>402</v>
      </c>
      <c r="AW12" s="304">
        <f>V4-AW9</f>
        <v>10840.692999999999</v>
      </c>
      <c r="AX12" s="304">
        <f>AW12*1.05</f>
        <v>11382.727649999999</v>
      </c>
      <c r="AY12" s="304">
        <f>AX12*1.05</f>
        <v>11951.8640325</v>
      </c>
      <c r="AZ12" s="304">
        <f>AY12*1.05</f>
        <v>12549.457234125</v>
      </c>
      <c r="BA12" s="304">
        <f>AZ12*1.05</f>
        <v>13176.930095831251</v>
      </c>
      <c r="BB12" s="619"/>
      <c r="BC12" s="79"/>
      <c r="BD12" s="80"/>
      <c r="BE12" s="80"/>
      <c r="BF12" s="80"/>
      <c r="BG12"/>
      <c r="BH12"/>
      <c r="BI12"/>
      <c r="BJ12"/>
      <c r="BK12"/>
      <c r="BL12"/>
    </row>
    <row r="13" spans="1:64" s="72" customFormat="1" ht="11.25" customHeight="1">
      <c r="A13" s="82" t="s">
        <v>209</v>
      </c>
      <c r="B13" s="648"/>
      <c r="C13" s="653"/>
      <c r="D13" s="658"/>
      <c r="E13" s="640"/>
      <c r="F13" s="640"/>
      <c r="G13" s="32"/>
      <c r="H13" s="33"/>
      <c r="I13" s="33"/>
      <c r="J13" s="33"/>
      <c r="K13" s="83"/>
      <c r="L13" s="32">
        <v>9419</v>
      </c>
      <c r="M13" s="33"/>
      <c r="N13" s="33"/>
      <c r="O13" s="33"/>
      <c r="P13" s="83"/>
      <c r="Q13" s="1021">
        <v>9335</v>
      </c>
      <c r="R13" s="33"/>
      <c r="S13" s="33"/>
      <c r="T13" s="33"/>
      <c r="U13" s="83"/>
      <c r="V13" s="1021"/>
      <c r="W13" s="33"/>
      <c r="X13" s="33"/>
      <c r="Y13" s="33"/>
      <c r="Z13" s="83"/>
      <c r="AA13" s="32"/>
      <c r="AB13" s="33"/>
      <c r="AC13" s="33"/>
      <c r="AD13" s="33"/>
      <c r="AE13" s="83"/>
      <c r="AF13" s="32"/>
      <c r="AG13" s="33"/>
      <c r="AH13" s="33"/>
      <c r="AI13" s="33"/>
      <c r="AJ13" s="83"/>
      <c r="AK13" s="32"/>
      <c r="AL13" s="33"/>
      <c r="AM13" s="33"/>
      <c r="AN13" s="33"/>
      <c r="AO13" s="83"/>
      <c r="AP13" s="32"/>
      <c r="AQ13" s="69"/>
      <c r="AR13" s="71"/>
      <c r="AS13" s="871"/>
      <c r="AT13" s="871"/>
      <c r="AU13" s="874"/>
      <c r="AV13" s="1090" t="s">
        <v>399</v>
      </c>
      <c r="AW13" s="304"/>
      <c r="AX13" s="304">
        <f>AX12-AW12</f>
        <v>542.0346499999996</v>
      </c>
      <c r="AY13" s="304">
        <f>AY12-AX12</f>
        <v>569.13638250000076</v>
      </c>
      <c r="AZ13" s="304">
        <f>AZ12-AY12</f>
        <v>597.5932016250008</v>
      </c>
      <c r="BA13" s="304">
        <f>BA12-AZ12</f>
        <v>627.47286170625011</v>
      </c>
      <c r="BB13" s="304"/>
      <c r="BC13" s="71"/>
      <c r="BD13" s="33"/>
      <c r="BE13" s="33"/>
      <c r="BF13" s="33"/>
      <c r="BG13"/>
      <c r="BH13"/>
      <c r="BI13"/>
      <c r="BJ13"/>
      <c r="BK13"/>
      <c r="BL13"/>
    </row>
    <row r="14" spans="1:64" s="81" customFormat="1" ht="11.25" customHeight="1">
      <c r="A14" s="84" t="s">
        <v>210</v>
      </c>
      <c r="B14" s="801"/>
      <c r="C14" s="802"/>
      <c r="D14" s="802"/>
      <c r="E14" s="802"/>
      <c r="F14" s="802"/>
      <c r="G14" s="25"/>
      <c r="H14" s="26"/>
      <c r="I14" s="26"/>
      <c r="J14" s="26"/>
      <c r="K14" s="76"/>
      <c r="L14" s="25">
        <f>L13/L11</f>
        <v>0.34489198095935553</v>
      </c>
      <c r="M14" s="26"/>
      <c r="N14" s="26"/>
      <c r="O14" s="26"/>
      <c r="P14" s="76"/>
      <c r="Q14" s="1032">
        <f>Q13/Q11</f>
        <v>0.37307169690672209</v>
      </c>
      <c r="R14" s="26"/>
      <c r="S14" s="26"/>
      <c r="T14" s="26"/>
      <c r="U14" s="76"/>
      <c r="V14" s="1032"/>
      <c r="W14" s="26"/>
      <c r="X14" s="26"/>
      <c r="Y14" s="26"/>
      <c r="Z14" s="76"/>
      <c r="AA14" s="27"/>
      <c r="AB14" s="26"/>
      <c r="AC14" s="26"/>
      <c r="AD14" s="26"/>
      <c r="AE14" s="76"/>
      <c r="AF14" s="27"/>
      <c r="AG14" s="26"/>
      <c r="AH14" s="26"/>
      <c r="AI14" s="26"/>
      <c r="AJ14" s="76"/>
      <c r="AK14" s="27"/>
      <c r="AL14" s="26"/>
      <c r="AM14" s="26"/>
      <c r="AN14" s="26"/>
      <c r="AO14" s="76"/>
      <c r="AP14" s="27"/>
      <c r="AQ14" s="77"/>
      <c r="AR14" s="6"/>
      <c r="AS14" s="871"/>
      <c r="AT14" s="871"/>
      <c r="AU14" s="871"/>
      <c r="AV14" s="619"/>
      <c r="AW14" s="619"/>
      <c r="AX14" s="875"/>
      <c r="AY14" s="619"/>
      <c r="AZ14" s="619"/>
      <c r="BA14" s="619"/>
      <c r="BB14" s="876"/>
      <c r="BC14" s="79"/>
      <c r="BD14" s="80"/>
      <c r="BE14" s="80"/>
      <c r="BF14" s="80"/>
      <c r="BG14"/>
      <c r="BH14"/>
      <c r="BI14"/>
      <c r="BJ14"/>
      <c r="BK14"/>
      <c r="BL14"/>
    </row>
    <row r="15" spans="1:64" s="72" customFormat="1" ht="11.25" customHeight="1">
      <c r="A15" s="82" t="s">
        <v>211</v>
      </c>
      <c r="B15" s="803"/>
      <c r="C15" s="641"/>
      <c r="D15" s="641"/>
      <c r="E15" s="641"/>
      <c r="F15" s="641"/>
      <c r="G15" s="85"/>
      <c r="H15" s="87"/>
      <c r="I15" s="87"/>
      <c r="J15" s="87"/>
      <c r="K15" s="90"/>
      <c r="L15" s="780">
        <v>17891</v>
      </c>
      <c r="M15" s="87"/>
      <c r="N15" s="87"/>
      <c r="O15" s="87"/>
      <c r="P15" s="90"/>
      <c r="Q15" s="1033">
        <v>15687</v>
      </c>
      <c r="R15" s="87"/>
      <c r="S15" s="87"/>
      <c r="T15" s="87"/>
      <c r="U15" s="90"/>
      <c r="V15" s="1033"/>
      <c r="W15" s="87"/>
      <c r="X15" s="87"/>
      <c r="Y15" s="87"/>
      <c r="Z15" s="90"/>
      <c r="AA15" s="89"/>
      <c r="AB15" s="87"/>
      <c r="AC15" s="87"/>
      <c r="AD15" s="87"/>
      <c r="AE15" s="90"/>
      <c r="AF15" s="89"/>
      <c r="AG15" s="87"/>
      <c r="AH15" s="87"/>
      <c r="AI15" s="87"/>
      <c r="AJ15" s="90"/>
      <c r="AK15" s="89"/>
      <c r="AL15" s="87"/>
      <c r="AM15" s="87"/>
      <c r="AN15" s="87"/>
      <c r="AO15" s="90"/>
      <c r="AP15" s="89"/>
      <c r="AQ15" s="34"/>
      <c r="AR15" s="70"/>
      <c r="AS15" s="871"/>
      <c r="AT15" s="871"/>
      <c r="AU15" s="871"/>
      <c r="AV15" s="1092" t="s">
        <v>401</v>
      </c>
      <c r="AW15" s="304"/>
      <c r="AX15" s="304">
        <f>AX10+AX13</f>
        <v>1255.3076499999995</v>
      </c>
      <c r="AY15" s="304">
        <f>AY10+AY13</f>
        <v>879.75238250000075</v>
      </c>
      <c r="AZ15" s="304">
        <f>AZ10+AZ13</f>
        <v>1292.286201625001</v>
      </c>
      <c r="BA15" s="304">
        <f>BA10+BA13</f>
        <v>674.47186170624991</v>
      </c>
      <c r="BB15" s="304"/>
      <c r="BC15" s="71"/>
      <c r="BD15" s="33"/>
      <c r="BE15" s="33"/>
      <c r="BF15" s="33"/>
      <c r="BG15"/>
      <c r="BH15"/>
      <c r="BI15"/>
      <c r="BJ15"/>
      <c r="BK15"/>
      <c r="BL15"/>
    </row>
    <row r="16" spans="1:64" s="81" customFormat="1" ht="11.25" customHeight="1">
      <c r="A16" s="84" t="s">
        <v>210</v>
      </c>
      <c r="B16" s="801"/>
      <c r="C16" s="802"/>
      <c r="D16" s="802"/>
      <c r="E16" s="802"/>
      <c r="F16" s="802"/>
      <c r="G16" s="25"/>
      <c r="H16" s="26"/>
      <c r="I16" s="26"/>
      <c r="J16" s="26"/>
      <c r="K16" s="76"/>
      <c r="L16" s="25">
        <f>L15/L11</f>
        <v>0.65510801904064442</v>
      </c>
      <c r="M16" s="26"/>
      <c r="N16" s="26"/>
      <c r="O16" s="26"/>
      <c r="P16" s="76"/>
      <c r="Q16" s="25">
        <f>Q15/Q11</f>
        <v>0.62692830309327796</v>
      </c>
      <c r="R16" s="26"/>
      <c r="S16" s="26"/>
      <c r="T16" s="26"/>
      <c r="U16" s="76"/>
      <c r="V16" s="25"/>
      <c r="W16" s="26"/>
      <c r="X16" s="26"/>
      <c r="Y16" s="26"/>
      <c r="Z16" s="76"/>
      <c r="AA16" s="27"/>
      <c r="AB16" s="26"/>
      <c r="AC16" s="26"/>
      <c r="AD16" s="26"/>
      <c r="AE16" s="76"/>
      <c r="AF16" s="27"/>
      <c r="AG16" s="26"/>
      <c r="AH16" s="26"/>
      <c r="AI16" s="26"/>
      <c r="AJ16" s="76"/>
      <c r="AK16" s="27"/>
      <c r="AL16" s="26"/>
      <c r="AM16" s="26"/>
      <c r="AN16" s="26"/>
      <c r="AO16" s="76"/>
      <c r="AP16" s="27"/>
      <c r="AQ16" s="77"/>
      <c r="AR16" s="6"/>
      <c r="AS16" s="871"/>
      <c r="AT16" s="871"/>
      <c r="AU16" s="871"/>
      <c r="AV16" s="622"/>
      <c r="AW16" s="619"/>
      <c r="AX16" s="876"/>
      <c r="AY16" s="304"/>
      <c r="AZ16" s="304"/>
      <c r="BA16" s="304"/>
      <c r="BB16" s="619"/>
      <c r="BC16" s="79"/>
      <c r="BD16" s="80"/>
      <c r="BE16" s="80"/>
      <c r="BF16" s="80"/>
      <c r="BG16"/>
      <c r="BH16"/>
      <c r="BI16"/>
      <c r="BJ16"/>
      <c r="BK16"/>
      <c r="BL16"/>
    </row>
    <row r="17" spans="1:64" s="81" customFormat="1" ht="11.25" customHeight="1">
      <c r="A17" s="91" t="s">
        <v>212</v>
      </c>
      <c r="B17" s="631"/>
      <c r="C17" s="646"/>
      <c r="D17" s="646"/>
      <c r="E17" s="646"/>
      <c r="F17" s="646"/>
      <c r="G17" s="92"/>
      <c r="H17" s="93"/>
      <c r="I17" s="93"/>
      <c r="J17" s="93"/>
      <c r="K17" s="93"/>
      <c r="L17" s="92">
        <f>L11-(G11-L4)</f>
        <v>20124</v>
      </c>
      <c r="M17" s="95"/>
      <c r="N17" s="95"/>
      <c r="O17" s="93"/>
      <c r="P17" s="93"/>
      <c r="Q17" s="92">
        <f>Q11-(L11-Q4)</f>
        <v>9667</v>
      </c>
      <c r="R17" s="95"/>
      <c r="S17" s="95"/>
      <c r="T17" s="93"/>
      <c r="U17" s="93"/>
      <c r="V17" s="92"/>
      <c r="W17" s="95"/>
      <c r="X17" s="95"/>
      <c r="Y17" s="95"/>
      <c r="Z17" s="96"/>
      <c r="AA17" s="97"/>
      <c r="AB17" s="95"/>
      <c r="AC17" s="95"/>
      <c r="AD17" s="95"/>
      <c r="AE17" s="96"/>
      <c r="AF17" s="97"/>
      <c r="AG17" s="95"/>
      <c r="AH17" s="95"/>
      <c r="AI17" s="95"/>
      <c r="AJ17" s="96"/>
      <c r="AK17" s="97"/>
      <c r="AL17" s="95"/>
      <c r="AM17" s="95"/>
      <c r="AN17" s="95"/>
      <c r="AO17" s="96"/>
      <c r="AP17" s="97"/>
      <c r="AQ17" s="98"/>
      <c r="AR17" s="6"/>
      <c r="AS17" s="619"/>
      <c r="AT17" s="619"/>
      <c r="AU17" s="619"/>
      <c r="AV17" s="619"/>
      <c r="AW17" s="619"/>
      <c r="AX17" s="619"/>
      <c r="AY17" s="619"/>
      <c r="AZ17" s="619"/>
      <c r="BA17" s="619"/>
      <c r="BB17" s="619"/>
      <c r="BC17" s="79"/>
      <c r="BD17" s="80"/>
      <c r="BE17" s="80"/>
      <c r="BF17" s="80"/>
      <c r="BG17"/>
      <c r="BH17"/>
      <c r="BI17"/>
      <c r="BJ17"/>
      <c r="BK17"/>
      <c r="BL17"/>
    </row>
    <row r="18" spans="1:64" s="602" customFormat="1" ht="11.25" customHeight="1">
      <c r="A18" s="591" t="s">
        <v>213</v>
      </c>
      <c r="B18" s="804"/>
      <c r="C18" s="805"/>
      <c r="D18" s="805"/>
      <c r="E18" s="805"/>
      <c r="F18" s="805"/>
      <c r="G18" s="593"/>
      <c r="H18" s="595"/>
      <c r="I18" s="595"/>
      <c r="J18" s="595"/>
      <c r="K18" s="596"/>
      <c r="L18" s="593">
        <f>L17/L4</f>
        <v>1.8585149612116734</v>
      </c>
      <c r="M18" s="595"/>
      <c r="N18" s="595"/>
      <c r="O18" s="595"/>
      <c r="P18" s="596"/>
      <c r="Q18" s="593">
        <f>Q17/Q4</f>
        <v>0.80861564199079883</v>
      </c>
      <c r="R18" s="595"/>
      <c r="S18" s="595"/>
      <c r="T18" s="595"/>
      <c r="U18" s="596"/>
      <c r="V18" s="593"/>
      <c r="W18" s="595"/>
      <c r="X18" s="595"/>
      <c r="Y18" s="595"/>
      <c r="Z18" s="596"/>
      <c r="AA18" s="592"/>
      <c r="AB18" s="595"/>
      <c r="AC18" s="595"/>
      <c r="AD18" s="595"/>
      <c r="AE18" s="596"/>
      <c r="AF18" s="592"/>
      <c r="AG18" s="595"/>
      <c r="AH18" s="595"/>
      <c r="AI18" s="595"/>
      <c r="AJ18" s="596"/>
      <c r="AK18" s="592"/>
      <c r="AL18" s="595"/>
      <c r="AM18" s="595"/>
      <c r="AN18" s="595"/>
      <c r="AO18" s="596"/>
      <c r="AP18" s="592"/>
      <c r="AQ18" s="598"/>
      <c r="AR18" s="599"/>
      <c r="AS18" s="877"/>
      <c r="AT18" s="877"/>
      <c r="AU18" s="877"/>
      <c r="AV18" s="877"/>
      <c r="AW18" s="877"/>
      <c r="AX18" s="878"/>
      <c r="AY18" s="877"/>
      <c r="AZ18" s="877"/>
      <c r="BA18" s="877"/>
      <c r="BB18" s="877"/>
      <c r="BC18" s="600"/>
      <c r="BD18" s="601"/>
      <c r="BE18" s="601"/>
      <c r="BF18" s="601"/>
      <c r="BG18"/>
      <c r="BH18"/>
      <c r="BI18"/>
      <c r="BJ18"/>
      <c r="BK18"/>
      <c r="BL18"/>
    </row>
    <row r="19" spans="1:64" s="602" customFormat="1" ht="11.25" customHeight="1">
      <c r="A19" s="591" t="s">
        <v>39</v>
      </c>
      <c r="B19" s="804"/>
      <c r="C19" s="805"/>
      <c r="D19" s="805"/>
      <c r="E19" s="805"/>
      <c r="F19" s="805"/>
      <c r="G19" s="593">
        <f>G11/G$4</f>
        <v>1.8122736418511067</v>
      </c>
      <c r="H19" s="595"/>
      <c r="I19" s="595"/>
      <c r="J19" s="595"/>
      <c r="K19" s="595"/>
      <c r="L19" s="593">
        <f>L11/L$4</f>
        <v>2.5221647580347248</v>
      </c>
      <c r="M19" s="595"/>
      <c r="N19" s="595"/>
      <c r="O19" s="595"/>
      <c r="P19" s="595"/>
      <c r="Q19" s="593">
        <f>Q11/Q$4</f>
        <v>2.0930154746967795</v>
      </c>
      <c r="R19" s="595"/>
      <c r="S19" s="595"/>
      <c r="T19" s="595"/>
      <c r="U19" s="595"/>
      <c r="V19" s="593"/>
      <c r="W19" s="595"/>
      <c r="X19" s="595"/>
      <c r="Y19" s="595"/>
      <c r="Z19" s="595"/>
      <c r="AA19" s="592"/>
      <c r="AB19" s="595"/>
      <c r="AC19" s="595"/>
      <c r="AD19" s="595"/>
      <c r="AE19" s="595"/>
      <c r="AF19" s="592"/>
      <c r="AG19" s="595"/>
      <c r="AH19" s="595"/>
      <c r="AI19" s="595"/>
      <c r="AJ19" s="595"/>
      <c r="AK19" s="592"/>
      <c r="AL19" s="595"/>
      <c r="AM19" s="595"/>
      <c r="AN19" s="595"/>
      <c r="AO19" s="595"/>
      <c r="AP19" s="592"/>
      <c r="AQ19" s="598"/>
      <c r="AR19" s="599"/>
      <c r="AS19" s="877"/>
      <c r="AT19" s="877"/>
      <c r="AU19" s="877"/>
      <c r="AV19" s="877"/>
      <c r="AW19" s="879"/>
      <c r="AX19" s="880"/>
      <c r="AY19" s="879"/>
      <c r="AZ19" s="879"/>
      <c r="BA19" s="879"/>
      <c r="BB19" s="879"/>
      <c r="BC19" s="600"/>
      <c r="BD19" s="601"/>
      <c r="BE19" s="601"/>
      <c r="BF19" s="601"/>
      <c r="BG19"/>
      <c r="BH19"/>
      <c r="BI19"/>
      <c r="BJ19"/>
      <c r="BK19"/>
      <c r="BL19"/>
    </row>
    <row r="20" spans="1:64" s="21" customFormat="1" ht="11.25" customHeight="1" collapsed="1">
      <c r="A20" s="14" t="s">
        <v>238</v>
      </c>
      <c r="B20" s="15">
        <v>11001</v>
      </c>
      <c r="C20" s="104">
        <v>2711</v>
      </c>
      <c r="D20" s="104">
        <v>2628</v>
      </c>
      <c r="E20" s="14">
        <v>2723</v>
      </c>
      <c r="F20" s="16">
        <f>+G20-SUM(C20:E20)</f>
        <v>2612</v>
      </c>
      <c r="G20" s="15">
        <v>10674</v>
      </c>
      <c r="H20" s="16">
        <v>2693</v>
      </c>
      <c r="I20" s="16">
        <v>2690</v>
      </c>
      <c r="J20" s="16">
        <v>2698</v>
      </c>
      <c r="K20" s="16">
        <f>+L20-SUM(H20:J20)</f>
        <v>2847</v>
      </c>
      <c r="L20" s="15">
        <v>10928</v>
      </c>
      <c r="M20" s="16">
        <v>2739</v>
      </c>
      <c r="N20" s="16">
        <v>2781</v>
      </c>
      <c r="O20" s="16">
        <v>2837</v>
      </c>
      <c r="P20" s="16">
        <v>3025</v>
      </c>
      <c r="Q20" s="1022">
        <f>+SUM(M20:P20)</f>
        <v>11382</v>
      </c>
      <c r="R20" s="16">
        <v>2800</v>
      </c>
      <c r="S20" s="16">
        <v>2859</v>
      </c>
      <c r="T20" s="16">
        <v>2836</v>
      </c>
      <c r="U20" s="16">
        <v>2975</v>
      </c>
      <c r="V20" s="1022">
        <f>+SUM(R20:U20)</f>
        <v>11470</v>
      </c>
      <c r="W20" s="16">
        <f>+(1+W21)*R20</f>
        <v>2869.9999999999995</v>
      </c>
      <c r="X20" s="16">
        <f t="shared" ref="X20" si="11">+(1+X21)*S20</f>
        <v>2930.4749999999999</v>
      </c>
      <c r="Y20" s="16">
        <f t="shared" ref="Y20" si="12">+(1+Y21)*T20</f>
        <v>2906.8999999999996</v>
      </c>
      <c r="Z20" s="16">
        <f t="shared" ref="Z20" si="13">+(1+Z21)*U20</f>
        <v>3049.3749999999995</v>
      </c>
      <c r="AA20" s="15">
        <f>+SUM(W20:Z20)</f>
        <v>11756.75</v>
      </c>
      <c r="AB20" s="16"/>
      <c r="AC20" s="16"/>
      <c r="AD20" s="16"/>
      <c r="AE20" s="16"/>
      <c r="AF20" s="15">
        <f>AA20*(1+AF21)</f>
        <v>12462.155000000001</v>
      </c>
      <c r="AG20" s="16"/>
      <c r="AH20" s="16"/>
      <c r="AI20" s="16"/>
      <c r="AJ20" s="16"/>
      <c r="AK20" s="15">
        <f>AF20*(1+AK21)</f>
        <v>13209.884300000002</v>
      </c>
      <c r="AL20" s="16"/>
      <c r="AM20" s="16"/>
      <c r="AN20" s="16"/>
      <c r="AO20" s="16"/>
      <c r="AP20" s="15">
        <f>AK20*(1+AP21)</f>
        <v>14002.477358000002</v>
      </c>
      <c r="AQ20" s="17"/>
      <c r="AR20" s="18"/>
      <c r="AS20" s="664" t="s">
        <v>387</v>
      </c>
      <c r="AT20" s="619"/>
      <c r="AU20" s="304"/>
      <c r="AV20" s="304"/>
      <c r="AW20" s="872"/>
      <c r="AX20" s="872" t="s">
        <v>322</v>
      </c>
      <c r="AY20" s="879"/>
      <c r="AZ20" s="879"/>
      <c r="BA20" s="879"/>
      <c r="BB20" s="879"/>
      <c r="BC20" s="18"/>
      <c r="BG20"/>
      <c r="BH20"/>
      <c r="BI20"/>
      <c r="BJ20"/>
      <c r="BK20"/>
      <c r="BL20"/>
    </row>
    <row r="21" spans="1:64" s="81" customFormat="1" ht="11.25" customHeight="1">
      <c r="A21" s="22" t="s">
        <v>204</v>
      </c>
      <c r="B21" s="25"/>
      <c r="C21" s="73"/>
      <c r="D21" s="73"/>
      <c r="E21" s="73"/>
      <c r="F21" s="73"/>
      <c r="G21" s="25">
        <f t="shared" ref="G21:O21" si="14">G20/B20-1</f>
        <v>-2.9724570493591451E-2</v>
      </c>
      <c r="H21" s="73">
        <f t="shared" si="14"/>
        <v>-6.6396163777203698E-3</v>
      </c>
      <c r="I21" s="73">
        <f t="shared" si="14"/>
        <v>2.3592085235920823E-2</v>
      </c>
      <c r="J21" s="73">
        <f t="shared" si="14"/>
        <v>-9.1810503121556586E-3</v>
      </c>
      <c r="K21" s="73">
        <f t="shared" si="14"/>
        <v>8.9969372128636982E-2</v>
      </c>
      <c r="L21" s="25">
        <f t="shared" si="14"/>
        <v>2.3796140153644396E-2</v>
      </c>
      <c r="M21" s="73">
        <f t="shared" si="14"/>
        <v>1.7081321945785266E-2</v>
      </c>
      <c r="N21" s="789">
        <f t="shared" si="14"/>
        <v>3.3828996282527779E-2</v>
      </c>
      <c r="O21" s="73">
        <f t="shared" si="14"/>
        <v>5.1519644180874735E-2</v>
      </c>
      <c r="P21" s="73">
        <f t="shared" ref="P21" si="15">P20/K20-1</f>
        <v>6.252195293291174E-2</v>
      </c>
      <c r="Q21" s="25">
        <f t="shared" ref="Q21" si="16">Q20/L20-1</f>
        <v>4.1544655929721896E-2</v>
      </c>
      <c r="R21" s="73"/>
      <c r="S21" s="789"/>
      <c r="T21" s="73"/>
      <c r="U21" s="73"/>
      <c r="V21" s="25"/>
      <c r="W21" s="26">
        <v>2.5000000000000001E-2</v>
      </c>
      <c r="X21" s="26">
        <v>2.5000000000000001E-2</v>
      </c>
      <c r="Y21" s="26">
        <v>2.5000000000000001E-2</v>
      </c>
      <c r="Z21" s="26">
        <v>2.5000000000000001E-2</v>
      </c>
      <c r="AA21" s="23">
        <f>AA20/V20-1</f>
        <v>2.4999999999999911E-2</v>
      </c>
      <c r="AB21" s="26"/>
      <c r="AC21" s="26"/>
      <c r="AD21" s="26"/>
      <c r="AE21" s="26"/>
      <c r="AF21" s="27">
        <v>0.06</v>
      </c>
      <c r="AG21" s="26"/>
      <c r="AH21" s="26"/>
      <c r="AI21" s="26"/>
      <c r="AJ21" s="26"/>
      <c r="AK21" s="27">
        <v>0.06</v>
      </c>
      <c r="AL21" s="26"/>
      <c r="AM21" s="26"/>
      <c r="AN21" s="26"/>
      <c r="AO21" s="26"/>
      <c r="AP21" s="27">
        <v>0.06</v>
      </c>
      <c r="AQ21" s="77"/>
      <c r="AR21" s="6"/>
      <c r="AS21" s="304"/>
      <c r="AT21" s="619"/>
      <c r="AU21" s="619"/>
      <c r="AV21" s="619"/>
      <c r="AW21" s="626"/>
      <c r="AX21" s="626" t="s">
        <v>335</v>
      </c>
      <c r="AY21" s="879"/>
      <c r="AZ21" s="879"/>
      <c r="BA21" s="879"/>
      <c r="BB21" s="879"/>
      <c r="BC21" s="79"/>
      <c r="BG21"/>
      <c r="BH21"/>
      <c r="BI21"/>
      <c r="BJ21"/>
      <c r="BK21"/>
      <c r="BL21"/>
    </row>
    <row r="22" spans="1:64" ht="12.75" customHeight="1">
      <c r="A22" s="22" t="s">
        <v>205</v>
      </c>
      <c r="B22" s="23">
        <f t="shared" ref="B22:N22" si="17">B20/B$69</f>
        <v>0.45877642937570373</v>
      </c>
      <c r="C22" s="24">
        <f t="shared" si="17"/>
        <v>0.45509484639919423</v>
      </c>
      <c r="D22" s="24">
        <f t="shared" si="17"/>
        <v>0.44572591587516963</v>
      </c>
      <c r="E22" s="24">
        <f t="shared" si="17"/>
        <v>0.45542732898478006</v>
      </c>
      <c r="F22" s="24">
        <f t="shared" si="17"/>
        <v>0.4587284861257464</v>
      </c>
      <c r="G22" s="23">
        <f t="shared" si="17"/>
        <v>0.45371078806426934</v>
      </c>
      <c r="H22" s="24">
        <f t="shared" si="17"/>
        <v>0.45214909335124243</v>
      </c>
      <c r="I22" s="24">
        <f t="shared" si="17"/>
        <v>0.44833333333333331</v>
      </c>
      <c r="J22" s="24">
        <f t="shared" si="17"/>
        <v>0.43834281072298942</v>
      </c>
      <c r="K22" s="24">
        <f t="shared" si="17"/>
        <v>0.4450523682976395</v>
      </c>
      <c r="L22" s="23">
        <f t="shared" si="17"/>
        <v>0.44589521788803654</v>
      </c>
      <c r="M22" s="24">
        <f t="shared" si="17"/>
        <v>0.43705122067975105</v>
      </c>
      <c r="N22" s="24">
        <f t="shared" si="17"/>
        <v>0.43623529411764705</v>
      </c>
      <c r="O22" s="24">
        <f t="shared" ref="O22:Q22" si="18">O20/O$69</f>
        <v>0.43465604412440634</v>
      </c>
      <c r="P22" s="24">
        <f t="shared" si="18"/>
        <v>0.45598432318359966</v>
      </c>
      <c r="Q22" s="23">
        <f t="shared" si="18"/>
        <v>0.44111149866294619</v>
      </c>
      <c r="R22" s="24"/>
      <c r="S22" s="24"/>
      <c r="T22" s="24"/>
      <c r="U22" s="24"/>
      <c r="V22" s="23"/>
      <c r="W22" s="789">
        <f t="shared" ref="W22:AA22" si="19">W20/W$69</f>
        <v>0.43515447141604291</v>
      </c>
      <c r="X22" s="789">
        <f t="shared" si="19"/>
        <v>0.44105480170627226</v>
      </c>
      <c r="Y22" s="789">
        <f t="shared" si="19"/>
        <v>0.36291019916833495</v>
      </c>
      <c r="Z22" s="789">
        <f t="shared" si="19"/>
        <v>0.38070219924458054</v>
      </c>
      <c r="AA22" s="23">
        <f t="shared" si="19"/>
        <v>0.40181046978352097</v>
      </c>
      <c r="AB22" s="26"/>
      <c r="AC22" s="26"/>
      <c r="AD22" s="26"/>
      <c r="AE22" s="26"/>
      <c r="AF22" s="23">
        <f>AF20/AF$69</f>
        <v>0.36818256365079088</v>
      </c>
      <c r="AG22" s="26"/>
      <c r="AH22" s="26"/>
      <c r="AI22" s="26"/>
      <c r="AJ22" s="26"/>
      <c r="AK22" s="23">
        <f>AK20/AK$69</f>
        <v>0.36348907284711712</v>
      </c>
      <c r="AL22" s="26"/>
      <c r="AM22" s="26"/>
      <c r="AN22" s="26"/>
      <c r="AO22" s="26"/>
      <c r="AP22" s="23">
        <f>AP20/AP$69</f>
        <v>0.36446610372721239</v>
      </c>
      <c r="AQ22" s="28"/>
      <c r="AR22" s="7"/>
      <c r="AS22" s="619"/>
      <c r="AT22" s="619"/>
      <c r="AU22" s="626"/>
      <c r="AV22" s="664"/>
      <c r="AW22" s="666"/>
      <c r="AX22" s="666" t="s">
        <v>336</v>
      </c>
      <c r="AY22" s="664"/>
      <c r="AZ22" s="664"/>
      <c r="BA22" s="664"/>
      <c r="BB22" s="664"/>
      <c r="BC22" s="105"/>
      <c r="BD22" s="29"/>
      <c r="BE22" s="29"/>
      <c r="BF22" s="29"/>
    </row>
    <row r="23" spans="1:64" s="37" customFormat="1" ht="11.25" hidden="1" customHeight="1" outlineLevel="1">
      <c r="A23" s="31" t="s">
        <v>206</v>
      </c>
      <c r="B23" s="32">
        <v>6505</v>
      </c>
      <c r="C23" s="640">
        <v>1611</v>
      </c>
      <c r="D23" s="640">
        <v>1579</v>
      </c>
      <c r="E23" s="640">
        <v>1673</v>
      </c>
      <c r="F23" s="640">
        <f>+G23-SUM(C23:E23)</f>
        <v>1585</v>
      </c>
      <c r="G23" s="32">
        <v>6448</v>
      </c>
      <c r="H23" s="640">
        <v>1538</v>
      </c>
      <c r="I23" s="640">
        <v>1575</v>
      </c>
      <c r="J23" s="640">
        <v>1604</v>
      </c>
      <c r="K23" s="640">
        <f>+L23-SUM(H23:J23)</f>
        <v>1754</v>
      </c>
      <c r="L23" s="32">
        <v>6471</v>
      </c>
      <c r="M23" s="225">
        <v>1651</v>
      </c>
      <c r="N23" s="225">
        <v>1677</v>
      </c>
      <c r="O23" s="225">
        <v>1731</v>
      </c>
      <c r="P23" s="225">
        <f>6907-O23-N23-M23</f>
        <v>1848</v>
      </c>
      <c r="Q23" s="1021">
        <f>+SUM(M23:P23)</f>
        <v>6907</v>
      </c>
      <c r="R23" s="225"/>
      <c r="S23" s="225"/>
      <c r="T23" s="225"/>
      <c r="U23" s="225"/>
      <c r="V23" s="1021"/>
      <c r="W23" s="33"/>
      <c r="X23" s="33"/>
      <c r="Y23" s="33"/>
      <c r="Z23" s="33"/>
      <c r="AA23" s="32"/>
      <c r="AB23" s="33"/>
      <c r="AC23" s="33"/>
      <c r="AD23" s="33"/>
      <c r="AE23" s="33"/>
      <c r="AF23" s="32"/>
      <c r="AG23" s="33"/>
      <c r="AH23" s="33"/>
      <c r="AI23" s="33"/>
      <c r="AJ23" s="33"/>
      <c r="AK23" s="32"/>
      <c r="AL23" s="33"/>
      <c r="AM23" s="33"/>
      <c r="AN23" s="33"/>
      <c r="AO23" s="33"/>
      <c r="AP23" s="32"/>
      <c r="AQ23" s="34"/>
      <c r="AR23" s="35"/>
      <c r="AS23" s="881"/>
      <c r="AT23" s="304"/>
      <c r="AU23" s="626"/>
      <c r="AV23" s="626"/>
      <c r="AW23" s="626"/>
      <c r="AX23" s="626"/>
      <c r="AY23" s="626"/>
      <c r="AZ23" s="626"/>
      <c r="BA23" s="626"/>
      <c r="BB23" s="626"/>
      <c r="BC23" s="45"/>
      <c r="BD23" s="36"/>
      <c r="BE23" s="36"/>
      <c r="BF23" s="36"/>
      <c r="BG23"/>
      <c r="BH23"/>
      <c r="BI23"/>
      <c r="BJ23"/>
      <c r="BK23"/>
      <c r="BL23"/>
    </row>
    <row r="24" spans="1:64" s="44" customFormat="1" ht="11.25" hidden="1" customHeight="1" outlineLevel="1">
      <c r="A24" s="106" t="s">
        <v>207</v>
      </c>
      <c r="B24" s="39">
        <f>B23/B20</f>
        <v>0.59130988091991632</v>
      </c>
      <c r="C24" s="40">
        <f t="shared" ref="C24:N24" si="20">C23/C20</f>
        <v>0.59424566580597571</v>
      </c>
      <c r="D24" s="659">
        <f t="shared" si="20"/>
        <v>0.60083713850837139</v>
      </c>
      <c r="E24" s="659">
        <f t="shared" si="20"/>
        <v>0.61439588688946012</v>
      </c>
      <c r="F24" s="40">
        <f t="shared" si="20"/>
        <v>0.60681470137825422</v>
      </c>
      <c r="G24" s="39">
        <f t="shared" si="20"/>
        <v>0.60408469177440505</v>
      </c>
      <c r="H24" s="40">
        <f t="shared" si="20"/>
        <v>0.57111028592647606</v>
      </c>
      <c r="I24" s="659">
        <f t="shared" si="20"/>
        <v>0.58550185873605953</v>
      </c>
      <c r="J24" s="659">
        <f t="shared" si="20"/>
        <v>0.59451445515196444</v>
      </c>
      <c r="K24" s="40">
        <f t="shared" si="20"/>
        <v>0.61608710923779419</v>
      </c>
      <c r="L24" s="39">
        <f t="shared" si="20"/>
        <v>0.59214860907759881</v>
      </c>
      <c r="M24" s="40">
        <f t="shared" si="20"/>
        <v>0.60277473530485581</v>
      </c>
      <c r="N24" s="40">
        <f t="shared" si="20"/>
        <v>0.6030204962243797</v>
      </c>
      <c r="O24" s="659">
        <f t="shared" ref="O24:Q24" si="21">O23/O20</f>
        <v>0.6101515685583363</v>
      </c>
      <c r="P24" s="40">
        <f t="shared" si="21"/>
        <v>0.61090909090909096</v>
      </c>
      <c r="Q24" s="39">
        <f t="shared" si="21"/>
        <v>0.6068353540678264</v>
      </c>
      <c r="R24" s="40"/>
      <c r="S24" s="40"/>
      <c r="T24" s="659"/>
      <c r="U24" s="40"/>
      <c r="V24" s="39"/>
      <c r="W24" s="40"/>
      <c r="X24" s="40"/>
      <c r="Y24" s="40"/>
      <c r="Z24" s="40"/>
      <c r="AA24" s="39"/>
      <c r="AB24" s="40"/>
      <c r="AC24" s="40"/>
      <c r="AD24" s="40"/>
      <c r="AE24" s="40"/>
      <c r="AF24" s="39"/>
      <c r="AG24" s="40"/>
      <c r="AH24" s="40"/>
      <c r="AI24" s="40"/>
      <c r="AJ24" s="40"/>
      <c r="AK24" s="39"/>
      <c r="AL24" s="40"/>
      <c r="AM24" s="40"/>
      <c r="AN24" s="40"/>
      <c r="AO24" s="40"/>
      <c r="AP24" s="39"/>
      <c r="AQ24" s="41"/>
      <c r="AR24" s="42"/>
      <c r="AS24" s="619"/>
      <c r="AT24" s="619"/>
      <c r="AU24" s="626"/>
      <c r="AV24" s="666"/>
      <c r="AW24" s="666"/>
      <c r="AX24" s="666"/>
      <c r="AY24" s="666"/>
      <c r="AZ24" s="666"/>
      <c r="BA24" s="666"/>
      <c r="BB24" s="666"/>
      <c r="BC24" s="46"/>
      <c r="BD24" s="43"/>
      <c r="BE24" s="43"/>
      <c r="BF24" s="43"/>
      <c r="BG24"/>
      <c r="BH24"/>
      <c r="BI24"/>
      <c r="BJ24"/>
      <c r="BK24"/>
      <c r="BL24"/>
    </row>
    <row r="25" spans="1:64" s="37" customFormat="1" ht="11.25" hidden="1" customHeight="1" outlineLevel="1">
      <c r="A25" s="31" t="s">
        <v>208</v>
      </c>
      <c r="B25" s="32">
        <v>4496</v>
      </c>
      <c r="C25" s="640">
        <v>1100</v>
      </c>
      <c r="D25" s="640">
        <v>1049</v>
      </c>
      <c r="E25" s="640">
        <v>1050</v>
      </c>
      <c r="F25" s="640">
        <f>+G25-SUM(C25:E25)</f>
        <v>1027</v>
      </c>
      <c r="G25" s="32">
        <v>4226</v>
      </c>
      <c r="H25" s="640">
        <v>1155</v>
      </c>
      <c r="I25" s="640">
        <v>1115</v>
      </c>
      <c r="J25" s="640">
        <v>1094</v>
      </c>
      <c r="K25" s="640">
        <f>+L25-SUM(H25:J25)</f>
        <v>1093</v>
      </c>
      <c r="L25" s="32">
        <v>4457</v>
      </c>
      <c r="M25" s="225">
        <v>1088</v>
      </c>
      <c r="N25" s="225">
        <v>1104</v>
      </c>
      <c r="O25" s="225">
        <v>1106</v>
      </c>
      <c r="P25" s="225">
        <f>4475-O25-N25-M25</f>
        <v>1177</v>
      </c>
      <c r="Q25" s="1021">
        <f>+SUM(M25:P25)</f>
        <v>4475</v>
      </c>
      <c r="R25" s="225"/>
      <c r="S25" s="225"/>
      <c r="T25" s="225"/>
      <c r="U25" s="225"/>
      <c r="V25" s="1021"/>
      <c r="W25" s="33"/>
      <c r="X25" s="33"/>
      <c r="Y25" s="33"/>
      <c r="Z25" s="33"/>
      <c r="AA25" s="32"/>
      <c r="AB25" s="33"/>
      <c r="AC25" s="33"/>
      <c r="AD25" s="33"/>
      <c r="AE25" s="33"/>
      <c r="AF25" s="32"/>
      <c r="AG25" s="33"/>
      <c r="AH25" s="33"/>
      <c r="AI25" s="33"/>
      <c r="AJ25" s="33"/>
      <c r="AK25" s="32"/>
      <c r="AL25" s="33"/>
      <c r="AM25" s="33"/>
      <c r="AN25" s="33"/>
      <c r="AO25" s="33"/>
      <c r="AP25" s="32"/>
      <c r="AQ25" s="34"/>
      <c r="AR25" s="35"/>
      <c r="AS25" s="871"/>
      <c r="AT25" s="871"/>
      <c r="AU25" s="626"/>
      <c r="AV25" s="626"/>
      <c r="AW25" s="626"/>
      <c r="AX25" s="626"/>
      <c r="AY25" s="626"/>
      <c r="AZ25" s="626"/>
      <c r="BA25" s="626"/>
      <c r="BB25" s="626"/>
      <c r="BC25" s="45"/>
      <c r="BD25" s="36"/>
      <c r="BE25" s="36"/>
      <c r="BF25" s="36"/>
      <c r="BG25"/>
      <c r="BH25"/>
      <c r="BI25"/>
      <c r="BJ25"/>
      <c r="BK25"/>
      <c r="BL25"/>
    </row>
    <row r="26" spans="1:64" s="44" customFormat="1" ht="11.25" hidden="1" customHeight="1" outlineLevel="1">
      <c r="A26" s="106" t="s">
        <v>207</v>
      </c>
      <c r="B26" s="39">
        <f>B25/B20</f>
        <v>0.40869011908008362</v>
      </c>
      <c r="C26" s="40">
        <f t="shared" ref="C26:N26" si="22">C25/C20</f>
        <v>0.40575433419402435</v>
      </c>
      <c r="D26" s="40">
        <f t="shared" si="22"/>
        <v>0.39916286149162861</v>
      </c>
      <c r="E26" s="40">
        <f t="shared" si="22"/>
        <v>0.38560411311053983</v>
      </c>
      <c r="F26" s="40">
        <f t="shared" si="22"/>
        <v>0.39318529862174578</v>
      </c>
      <c r="G26" s="39">
        <f t="shared" si="22"/>
        <v>0.3959153082255949</v>
      </c>
      <c r="H26" s="40">
        <f t="shared" si="22"/>
        <v>0.42888971407352394</v>
      </c>
      <c r="I26" s="40">
        <f t="shared" si="22"/>
        <v>0.41449814126394052</v>
      </c>
      <c r="J26" s="40">
        <f t="shared" si="22"/>
        <v>0.40548554484803556</v>
      </c>
      <c r="K26" s="40">
        <f t="shared" si="22"/>
        <v>0.38391289076220581</v>
      </c>
      <c r="L26" s="39">
        <f t="shared" si="22"/>
        <v>0.40785139092240119</v>
      </c>
      <c r="M26" s="40">
        <f t="shared" si="22"/>
        <v>0.39722526469514419</v>
      </c>
      <c r="N26" s="40">
        <f t="shared" si="22"/>
        <v>0.3969795037756203</v>
      </c>
      <c r="O26" s="40">
        <f t="shared" ref="O26:Q26" si="23">O25/O20</f>
        <v>0.38984843144166376</v>
      </c>
      <c r="P26" s="40">
        <f t="shared" si="23"/>
        <v>0.3890909090909091</v>
      </c>
      <c r="Q26" s="39">
        <f t="shared" si="23"/>
        <v>0.3931646459321736</v>
      </c>
      <c r="R26" s="40"/>
      <c r="S26" s="40"/>
      <c r="T26" s="40"/>
      <c r="U26" s="40"/>
      <c r="V26" s="39"/>
      <c r="W26" s="40"/>
      <c r="X26" s="40"/>
      <c r="Y26" s="40"/>
      <c r="Z26" s="40"/>
      <c r="AA26" s="39"/>
      <c r="AB26" s="40"/>
      <c r="AC26" s="40"/>
      <c r="AD26" s="40"/>
      <c r="AE26" s="40"/>
      <c r="AF26" s="39"/>
      <c r="AG26" s="40"/>
      <c r="AH26" s="40"/>
      <c r="AI26" s="40"/>
      <c r="AJ26" s="40"/>
      <c r="AK26" s="39"/>
      <c r="AL26" s="40"/>
      <c r="AM26" s="40"/>
      <c r="AN26" s="40"/>
      <c r="AO26" s="40"/>
      <c r="AP26" s="39"/>
      <c r="AQ26" s="41"/>
      <c r="AR26" s="42"/>
      <c r="AS26" s="871"/>
      <c r="AT26" s="871"/>
      <c r="AU26" s="666"/>
      <c r="AV26" s="666"/>
      <c r="AW26" s="666"/>
      <c r="AX26" s="666"/>
      <c r="AY26" s="666"/>
      <c r="AZ26" s="666"/>
      <c r="BA26" s="666"/>
      <c r="BB26" s="666"/>
      <c r="BC26" s="46"/>
      <c r="BD26" s="43"/>
      <c r="BE26" s="43"/>
      <c r="BF26" s="43"/>
      <c r="BG26"/>
      <c r="BH26"/>
      <c r="BI26"/>
      <c r="BJ26"/>
      <c r="BK26"/>
      <c r="BL26"/>
    </row>
    <row r="27" spans="1:64" s="72" customFormat="1" ht="11.25" customHeight="1" collapsed="1">
      <c r="A27" s="66" t="s">
        <v>306</v>
      </c>
      <c r="B27" s="67"/>
      <c r="C27" s="66"/>
      <c r="D27" s="66"/>
      <c r="E27" s="66"/>
      <c r="F27" s="633"/>
      <c r="G27" s="67">
        <v>13254</v>
      </c>
      <c r="H27" s="66"/>
      <c r="I27" s="66"/>
      <c r="J27" s="66"/>
      <c r="K27" s="68"/>
      <c r="L27" s="67">
        <v>13715</v>
      </c>
      <c r="M27" s="66"/>
      <c r="N27" s="66"/>
      <c r="O27" s="66"/>
      <c r="P27" s="68"/>
      <c r="Q27" s="1030">
        <v>14031</v>
      </c>
      <c r="R27" s="66"/>
      <c r="S27" s="66"/>
      <c r="T27" s="66"/>
      <c r="U27" s="68"/>
      <c r="V27" s="1030"/>
      <c r="W27" s="66"/>
      <c r="X27" s="66"/>
      <c r="Y27" s="66"/>
      <c r="Z27" s="68"/>
      <c r="AA27" s="67"/>
      <c r="AB27" s="66"/>
      <c r="AC27" s="66"/>
      <c r="AD27" s="66"/>
      <c r="AE27" s="68"/>
      <c r="AF27" s="67"/>
      <c r="AG27" s="66"/>
      <c r="AH27" s="66"/>
      <c r="AI27" s="66"/>
      <c r="AJ27" s="68"/>
      <c r="AK27" s="67"/>
      <c r="AL27" s="66"/>
      <c r="AM27" s="66"/>
      <c r="AN27" s="66"/>
      <c r="AO27" s="68"/>
      <c r="AP27" s="67"/>
      <c r="AQ27" s="69"/>
      <c r="AR27" s="70"/>
      <c r="AS27" s="304"/>
      <c r="AT27" s="304"/>
      <c r="AU27" s="304"/>
      <c r="AV27" s="304"/>
      <c r="AW27" s="882"/>
      <c r="AX27" s="304"/>
      <c r="AY27" s="304"/>
      <c r="AZ27" s="304"/>
      <c r="BA27" s="304"/>
      <c r="BB27" s="304"/>
      <c r="BC27" s="71"/>
      <c r="BD27" s="33"/>
      <c r="BE27" s="33"/>
      <c r="BF27" s="33"/>
      <c r="BG27"/>
      <c r="BH27"/>
      <c r="BI27"/>
      <c r="BJ27"/>
      <c r="BK27"/>
      <c r="BL27"/>
    </row>
    <row r="28" spans="1:64" s="81" customFormat="1" ht="11.25" customHeight="1">
      <c r="A28" s="22" t="s">
        <v>204</v>
      </c>
      <c r="B28" s="25"/>
      <c r="C28" s="73"/>
      <c r="D28" s="73"/>
      <c r="E28" s="73"/>
      <c r="F28" s="73"/>
      <c r="G28" s="25"/>
      <c r="H28" s="26"/>
      <c r="I28" s="26"/>
      <c r="J28" s="26"/>
      <c r="K28" s="76"/>
      <c r="L28" s="27"/>
      <c r="M28" s="26"/>
      <c r="N28" s="26"/>
      <c r="O28" s="26"/>
      <c r="P28" s="76"/>
      <c r="Q28" s="1031"/>
      <c r="R28" s="26"/>
      <c r="S28" s="26"/>
      <c r="T28" s="26"/>
      <c r="U28" s="76"/>
      <c r="V28" s="1031"/>
      <c r="W28" s="26"/>
      <c r="X28" s="26"/>
      <c r="Y28" s="26"/>
      <c r="Z28" s="76"/>
      <c r="AA28" s="27"/>
      <c r="AB28" s="26"/>
      <c r="AC28" s="26"/>
      <c r="AD28" s="26"/>
      <c r="AE28" s="76"/>
      <c r="AF28" s="27"/>
      <c r="AG28" s="26"/>
      <c r="AH28" s="26"/>
      <c r="AI28" s="26"/>
      <c r="AJ28" s="76"/>
      <c r="AK28" s="27"/>
      <c r="AL28" s="26"/>
      <c r="AM28" s="26"/>
      <c r="AN28" s="26"/>
      <c r="AO28" s="76"/>
      <c r="AP28" s="27"/>
      <c r="AQ28" s="77"/>
      <c r="AR28" s="6"/>
      <c r="AS28" s="619"/>
      <c r="AT28" s="619"/>
      <c r="AU28" s="619"/>
      <c r="AV28" s="619"/>
      <c r="AW28" s="619"/>
      <c r="AX28" s="619"/>
      <c r="AY28" s="619"/>
      <c r="AZ28" s="619"/>
      <c r="BA28" s="619"/>
      <c r="BB28" s="619"/>
      <c r="BC28" s="79"/>
      <c r="BD28" s="80"/>
      <c r="BE28" s="80"/>
      <c r="BF28" s="80"/>
      <c r="BG28"/>
      <c r="BH28"/>
      <c r="BI28"/>
      <c r="BJ28"/>
      <c r="BK28"/>
      <c r="BL28"/>
    </row>
    <row r="29" spans="1:64" s="72" customFormat="1" ht="11.25" customHeight="1">
      <c r="A29" s="82" t="s">
        <v>209</v>
      </c>
      <c r="B29" s="85"/>
      <c r="C29" s="653"/>
      <c r="D29" s="658"/>
      <c r="E29" s="640"/>
      <c r="F29" s="640"/>
      <c r="G29" s="32"/>
      <c r="H29" s="33"/>
      <c r="I29" s="33"/>
      <c r="J29" s="33"/>
      <c r="K29" s="83"/>
      <c r="L29" s="32">
        <v>9301</v>
      </c>
      <c r="M29" s="87"/>
      <c r="N29" s="87"/>
      <c r="O29" s="33"/>
      <c r="P29" s="83"/>
      <c r="Q29" s="1021">
        <v>10241</v>
      </c>
      <c r="R29" s="87"/>
      <c r="S29" s="87"/>
      <c r="T29" s="33"/>
      <c r="U29" s="83"/>
      <c r="V29" s="1021"/>
      <c r="W29" s="87"/>
      <c r="X29" s="87"/>
      <c r="Y29" s="87"/>
      <c r="Z29" s="90"/>
      <c r="AA29" s="89"/>
      <c r="AB29" s="87"/>
      <c r="AC29" s="87"/>
      <c r="AD29" s="87"/>
      <c r="AE29" s="90"/>
      <c r="AF29" s="89"/>
      <c r="AG29" s="87"/>
      <c r="AH29" s="87"/>
      <c r="AI29" s="87"/>
      <c r="AJ29" s="90"/>
      <c r="AK29" s="89"/>
      <c r="AL29" s="87"/>
      <c r="AM29" s="87"/>
      <c r="AN29" s="87"/>
      <c r="AO29" s="90"/>
      <c r="AP29" s="89"/>
      <c r="AQ29" s="34"/>
      <c r="AR29" s="70"/>
      <c r="AS29" s="304"/>
      <c r="AT29" s="304"/>
      <c r="AU29" s="304"/>
      <c r="AV29" s="304"/>
      <c r="AW29" s="304"/>
      <c r="AX29" s="882"/>
      <c r="AY29" s="304"/>
      <c r="AZ29" s="304"/>
      <c r="BA29" s="304"/>
      <c r="BB29" s="304"/>
      <c r="BC29" s="71"/>
      <c r="BD29" s="33"/>
      <c r="BE29" s="33"/>
      <c r="BF29" s="33"/>
      <c r="BG29"/>
      <c r="BH29"/>
      <c r="BI29"/>
      <c r="BJ29"/>
      <c r="BK29"/>
      <c r="BL29"/>
    </row>
    <row r="30" spans="1:64" s="81" customFormat="1" ht="11.25" customHeight="1">
      <c r="A30" s="84" t="s">
        <v>210</v>
      </c>
      <c r="B30" s="25"/>
      <c r="C30" s="73"/>
      <c r="D30" s="73"/>
      <c r="E30" s="73"/>
      <c r="F30" s="73"/>
      <c r="G30" s="25"/>
      <c r="H30" s="26"/>
      <c r="I30" s="26"/>
      <c r="J30" s="26"/>
      <c r="K30" s="76"/>
      <c r="L30" s="25">
        <f>L29/L27</f>
        <v>0.67816259569814075</v>
      </c>
      <c r="M30" s="26"/>
      <c r="N30" s="26"/>
      <c r="O30" s="26"/>
      <c r="P30" s="76"/>
      <c r="Q30" s="1032">
        <f>Q29/Q27</f>
        <v>0.72988382866509871</v>
      </c>
      <c r="R30" s="26"/>
      <c r="S30" s="26"/>
      <c r="T30" s="26"/>
      <c r="U30" s="76"/>
      <c r="V30" s="1032"/>
      <c r="W30" s="26"/>
      <c r="X30" s="26"/>
      <c r="Y30" s="26"/>
      <c r="Z30" s="76"/>
      <c r="AA30" s="27"/>
      <c r="AB30" s="26"/>
      <c r="AC30" s="26"/>
      <c r="AD30" s="26"/>
      <c r="AE30" s="76"/>
      <c r="AF30" s="27"/>
      <c r="AG30" s="26"/>
      <c r="AH30" s="26"/>
      <c r="AI30" s="26"/>
      <c r="AJ30" s="76"/>
      <c r="AK30" s="27"/>
      <c r="AL30" s="26"/>
      <c r="AM30" s="26"/>
      <c r="AN30" s="26"/>
      <c r="AO30" s="76"/>
      <c r="AP30" s="27"/>
      <c r="AQ30" s="77"/>
      <c r="AR30" s="6"/>
      <c r="AS30" s="619"/>
      <c r="AT30" s="619"/>
      <c r="AU30" s="619"/>
      <c r="AV30" s="619"/>
      <c r="AW30" s="304"/>
      <c r="AX30" s="876"/>
      <c r="AY30" s="882"/>
      <c r="AZ30" s="882"/>
      <c r="BA30" s="882"/>
      <c r="BB30" s="619"/>
      <c r="BC30" s="79"/>
      <c r="BD30" s="80"/>
      <c r="BE30" s="80"/>
      <c r="BF30" s="80"/>
      <c r="BG30"/>
      <c r="BH30"/>
      <c r="BI30"/>
      <c r="BJ30"/>
      <c r="BK30"/>
      <c r="BL30"/>
    </row>
    <row r="31" spans="1:64" s="72" customFormat="1" ht="11.25" customHeight="1">
      <c r="A31" s="82" t="s">
        <v>211</v>
      </c>
      <c r="B31" s="85"/>
      <c r="C31" s="86"/>
      <c r="D31" s="86"/>
      <c r="E31" s="86"/>
      <c r="F31" s="86"/>
      <c r="G31" s="85"/>
      <c r="H31" s="87"/>
      <c r="I31" s="87"/>
      <c r="J31" s="87"/>
      <c r="K31" s="90"/>
      <c r="L31" s="780">
        <v>4414</v>
      </c>
      <c r="M31" s="87"/>
      <c r="N31" s="87"/>
      <c r="O31" s="87"/>
      <c r="P31" s="90"/>
      <c r="Q31" s="1033">
        <v>3790</v>
      </c>
      <c r="R31" s="87"/>
      <c r="S31" s="87"/>
      <c r="T31" s="87"/>
      <c r="U31" s="90"/>
      <c r="V31" s="1033"/>
      <c r="W31" s="87"/>
      <c r="X31" s="87"/>
      <c r="Y31" s="87"/>
      <c r="Z31" s="90"/>
      <c r="AA31" s="89"/>
      <c r="AB31" s="87"/>
      <c r="AC31" s="87"/>
      <c r="AD31" s="87"/>
      <c r="AE31" s="90"/>
      <c r="AF31" s="89"/>
      <c r="AG31" s="87"/>
      <c r="AH31" s="87"/>
      <c r="AI31" s="87"/>
      <c r="AJ31" s="90"/>
      <c r="AK31" s="89"/>
      <c r="AL31" s="87"/>
      <c r="AM31" s="87"/>
      <c r="AN31" s="87"/>
      <c r="AO31" s="90"/>
      <c r="AP31" s="89"/>
      <c r="AQ31" s="34"/>
      <c r="AR31" s="70"/>
      <c r="AS31" s="304"/>
      <c r="AT31" s="304"/>
      <c r="AU31" s="304"/>
      <c r="AV31" s="304"/>
      <c r="AW31" s="304"/>
      <c r="AX31" s="883"/>
      <c r="AY31" s="304"/>
      <c r="AZ31" s="304"/>
      <c r="BA31" s="304"/>
      <c r="BB31" s="304"/>
      <c r="BC31" s="71"/>
      <c r="BD31" s="33"/>
      <c r="BE31" s="33"/>
      <c r="BF31" s="33"/>
      <c r="BG31"/>
      <c r="BH31"/>
      <c r="BI31"/>
      <c r="BJ31"/>
      <c r="BK31"/>
      <c r="BL31"/>
    </row>
    <row r="32" spans="1:64" s="81" customFormat="1" ht="11.25" customHeight="1">
      <c r="A32" s="84" t="s">
        <v>210</v>
      </c>
      <c r="B32" s="25"/>
      <c r="C32" s="73"/>
      <c r="D32" s="73"/>
      <c r="E32" s="73"/>
      <c r="F32" s="73"/>
      <c r="G32" s="25"/>
      <c r="H32" s="26"/>
      <c r="I32" s="26"/>
      <c r="J32" s="26"/>
      <c r="K32" s="76"/>
      <c r="L32" s="25">
        <f>L31/L27</f>
        <v>0.32183740430185925</v>
      </c>
      <c r="M32" s="26"/>
      <c r="N32" s="26"/>
      <c r="O32" s="26"/>
      <c r="P32" s="76"/>
      <c r="Q32" s="25">
        <f>Q31/Q27</f>
        <v>0.27011617133490129</v>
      </c>
      <c r="R32" s="26"/>
      <c r="S32" s="26"/>
      <c r="T32" s="26"/>
      <c r="U32" s="76"/>
      <c r="V32" s="25"/>
      <c r="W32" s="26"/>
      <c r="X32" s="26"/>
      <c r="Y32" s="26"/>
      <c r="Z32" s="76"/>
      <c r="AA32" s="27"/>
      <c r="AB32" s="26"/>
      <c r="AC32" s="26"/>
      <c r="AD32" s="26"/>
      <c r="AE32" s="76"/>
      <c r="AF32" s="27"/>
      <c r="AG32" s="26"/>
      <c r="AH32" s="26"/>
      <c r="AI32" s="26"/>
      <c r="AJ32" s="76"/>
      <c r="AK32" s="27"/>
      <c r="AL32" s="26"/>
      <c r="AM32" s="26"/>
      <c r="AN32" s="26"/>
      <c r="AO32" s="76"/>
      <c r="AP32" s="27"/>
      <c r="AQ32" s="77"/>
      <c r="AR32" s="6"/>
      <c r="AS32" s="619"/>
      <c r="AT32" s="619"/>
      <c r="AU32" s="622"/>
      <c r="AV32" s="619"/>
      <c r="AW32" s="619"/>
      <c r="AX32" s="619"/>
      <c r="AY32" s="619"/>
      <c r="AZ32" s="619"/>
      <c r="BA32" s="619"/>
      <c r="BB32" s="619"/>
      <c r="BC32" s="79"/>
      <c r="BD32" s="80"/>
      <c r="BE32" s="80"/>
      <c r="BF32" s="80"/>
      <c r="BG32"/>
      <c r="BH32"/>
      <c r="BI32"/>
      <c r="BJ32"/>
      <c r="BK32"/>
      <c r="BL32"/>
    </row>
    <row r="33" spans="1:64" s="81" customFormat="1" ht="11.25" customHeight="1">
      <c r="A33" s="91" t="s">
        <v>212</v>
      </c>
      <c r="B33" s="92"/>
      <c r="C33" s="93"/>
      <c r="D33" s="93"/>
      <c r="E33" s="93"/>
      <c r="F33" s="93"/>
      <c r="G33" s="92"/>
      <c r="H33" s="93"/>
      <c r="I33" s="93"/>
      <c r="J33" s="93"/>
      <c r="K33" s="93"/>
      <c r="L33" s="92">
        <f>L27-(G27-L20)</f>
        <v>11389</v>
      </c>
      <c r="M33" s="95"/>
      <c r="N33" s="95"/>
      <c r="O33" s="93"/>
      <c r="P33" s="93"/>
      <c r="Q33" s="92">
        <f>Q27-(L27-Q20)</f>
        <v>11698</v>
      </c>
      <c r="R33" s="95"/>
      <c r="S33" s="95"/>
      <c r="T33" s="93"/>
      <c r="U33" s="93"/>
      <c r="V33" s="92"/>
      <c r="W33" s="95"/>
      <c r="X33" s="95"/>
      <c r="Y33" s="95"/>
      <c r="Z33" s="96"/>
      <c r="AA33" s="97"/>
      <c r="AB33" s="95"/>
      <c r="AC33" s="95"/>
      <c r="AD33" s="95"/>
      <c r="AE33" s="96"/>
      <c r="AF33" s="97"/>
      <c r="AG33" s="95"/>
      <c r="AH33" s="95"/>
      <c r="AI33" s="95"/>
      <c r="AJ33" s="96"/>
      <c r="AK33" s="97"/>
      <c r="AL33" s="95"/>
      <c r="AM33" s="95"/>
      <c r="AN33" s="95"/>
      <c r="AO33" s="96"/>
      <c r="AP33" s="97"/>
      <c r="AQ33" s="98"/>
      <c r="AR33" s="6"/>
      <c r="AS33" s="619"/>
      <c r="AT33" s="619"/>
      <c r="AU33" s="619"/>
      <c r="AV33" s="619"/>
      <c r="AW33" s="619"/>
      <c r="AX33" s="619"/>
      <c r="AY33" s="619"/>
      <c r="AZ33" s="619"/>
      <c r="BA33" s="619"/>
      <c r="BB33" s="619"/>
      <c r="BC33" s="79"/>
      <c r="BD33" s="80"/>
      <c r="BE33" s="80"/>
      <c r="BF33" s="80"/>
      <c r="BG33"/>
      <c r="BH33"/>
      <c r="BI33"/>
      <c r="BJ33"/>
      <c r="BK33"/>
      <c r="BL33"/>
    </row>
    <row r="34" spans="1:64" s="602" customFormat="1" ht="11.25" customHeight="1">
      <c r="A34" s="591" t="s">
        <v>213</v>
      </c>
      <c r="B34" s="593"/>
      <c r="C34" s="594"/>
      <c r="D34" s="594"/>
      <c r="E34" s="594"/>
      <c r="F34" s="594"/>
      <c r="G34" s="593"/>
      <c r="H34" s="595"/>
      <c r="I34" s="595"/>
      <c r="J34" s="595"/>
      <c r="K34" s="596"/>
      <c r="L34" s="593">
        <f>L33/L20</f>
        <v>1.0421852122986823</v>
      </c>
      <c r="M34" s="595"/>
      <c r="N34" s="595"/>
      <c r="O34" s="595"/>
      <c r="P34" s="596"/>
      <c r="Q34" s="593">
        <f>Q33/Q20</f>
        <v>1.0277631347742049</v>
      </c>
      <c r="R34" s="595"/>
      <c r="S34" s="595"/>
      <c r="T34" s="595"/>
      <c r="U34" s="596"/>
      <c r="V34" s="593"/>
      <c r="W34" s="595"/>
      <c r="X34" s="595"/>
      <c r="Y34" s="595"/>
      <c r="Z34" s="596"/>
      <c r="AA34" s="592"/>
      <c r="AB34" s="595"/>
      <c r="AC34" s="595"/>
      <c r="AD34" s="595"/>
      <c r="AE34" s="596"/>
      <c r="AF34" s="592"/>
      <c r="AG34" s="595"/>
      <c r="AH34" s="595"/>
      <c r="AI34" s="595"/>
      <c r="AJ34" s="596"/>
      <c r="AK34" s="592"/>
      <c r="AL34" s="595"/>
      <c r="AM34" s="595"/>
      <c r="AN34" s="595"/>
      <c r="AO34" s="596"/>
      <c r="AP34" s="592"/>
      <c r="AQ34" s="598"/>
      <c r="AR34" s="599"/>
      <c r="AS34" s="877"/>
      <c r="AT34" s="877"/>
      <c r="AU34" s="877"/>
      <c r="AV34" s="877"/>
      <c r="AW34" s="877"/>
      <c r="AX34" s="877"/>
      <c r="AY34" s="877"/>
      <c r="AZ34" s="877"/>
      <c r="BA34" s="877"/>
      <c r="BB34" s="877"/>
      <c r="BC34" s="600"/>
      <c r="BD34" s="601"/>
      <c r="BE34" s="601"/>
      <c r="BF34" s="601"/>
      <c r="BG34"/>
      <c r="BH34"/>
      <c r="BI34"/>
      <c r="BJ34"/>
      <c r="BK34"/>
      <c r="BL34"/>
    </row>
    <row r="35" spans="1:64" s="602" customFormat="1" ht="11.25" customHeight="1">
      <c r="A35" s="591" t="s">
        <v>39</v>
      </c>
      <c r="B35" s="593"/>
      <c r="C35" s="594"/>
      <c r="D35" s="594"/>
      <c r="E35" s="594"/>
      <c r="F35" s="594"/>
      <c r="G35" s="593">
        <f>G27/G$4</f>
        <v>1.333400402414487</v>
      </c>
      <c r="H35" s="595"/>
      <c r="I35" s="595"/>
      <c r="J35" s="595"/>
      <c r="K35" s="595"/>
      <c r="L35" s="593">
        <f>L27/L$4</f>
        <v>1.2666235685260436</v>
      </c>
      <c r="M35" s="595"/>
      <c r="N35" s="595"/>
      <c r="O35" s="595"/>
      <c r="P35" s="595"/>
      <c r="Q35" s="593">
        <f>Q27/Q$4</f>
        <v>1.1736511919698871</v>
      </c>
      <c r="R35" s="595"/>
      <c r="S35" s="595"/>
      <c r="T35" s="595"/>
      <c r="U35" s="595"/>
      <c r="V35" s="593"/>
      <c r="W35" s="595"/>
      <c r="X35" s="595"/>
      <c r="Y35" s="595"/>
      <c r="Z35" s="595"/>
      <c r="AA35" s="592"/>
      <c r="AB35" s="595"/>
      <c r="AC35" s="595"/>
      <c r="AD35" s="595"/>
      <c r="AE35" s="595"/>
      <c r="AF35" s="592"/>
      <c r="AG35" s="595"/>
      <c r="AH35" s="595"/>
      <c r="AI35" s="595"/>
      <c r="AJ35" s="595"/>
      <c r="AK35" s="592"/>
      <c r="AL35" s="595"/>
      <c r="AM35" s="595"/>
      <c r="AN35" s="595"/>
      <c r="AO35" s="595"/>
      <c r="AP35" s="592"/>
      <c r="AQ35" s="598"/>
      <c r="AR35" s="599"/>
      <c r="AS35" s="877"/>
      <c r="AT35" s="877"/>
      <c r="AU35" s="877"/>
      <c r="AV35" s="877"/>
      <c r="AW35" s="877"/>
      <c r="AX35" s="877"/>
      <c r="AY35" s="877"/>
      <c r="AZ35" s="877"/>
      <c r="BA35" s="877"/>
      <c r="BB35" s="877"/>
      <c r="BC35" s="600"/>
      <c r="BD35" s="601"/>
      <c r="BE35" s="601"/>
      <c r="BF35" s="601"/>
      <c r="BG35"/>
      <c r="BH35"/>
      <c r="BI35"/>
      <c r="BJ35"/>
      <c r="BK35"/>
      <c r="BL35"/>
    </row>
    <row r="36" spans="1:64" s="21" customFormat="1">
      <c r="A36" s="14" t="s">
        <v>244</v>
      </c>
      <c r="B36" s="15">
        <v>4902</v>
      </c>
      <c r="C36" s="14">
        <v>1267</v>
      </c>
      <c r="D36" s="14">
        <v>1238</v>
      </c>
      <c r="E36" s="14">
        <v>1193</v>
      </c>
      <c r="F36" s="16">
        <f>+G36-SUM(C36:E36)</f>
        <v>1121</v>
      </c>
      <c r="G36" s="15">
        <v>4819</v>
      </c>
      <c r="H36" s="16">
        <v>1214</v>
      </c>
      <c r="I36" s="16">
        <v>1213</v>
      </c>
      <c r="J36" s="16">
        <v>1190</v>
      </c>
      <c r="K36" s="16">
        <f>+L36-SUM(H36:J36)</f>
        <v>1208</v>
      </c>
      <c r="L36" s="15">
        <v>4825</v>
      </c>
      <c r="M36" s="16">
        <v>1194</v>
      </c>
      <c r="N36" s="16">
        <v>1175</v>
      </c>
      <c r="O36" s="16">
        <v>1183</v>
      </c>
      <c r="P36" s="16">
        <v>1198</v>
      </c>
      <c r="Q36" s="1022">
        <f>+SUM(M36:P36)</f>
        <v>4750</v>
      </c>
      <c r="R36" s="16">
        <v>1190</v>
      </c>
      <c r="S36" s="16">
        <v>1162</v>
      </c>
      <c r="T36" s="16">
        <v>1183</v>
      </c>
      <c r="U36" s="16">
        <v>1152</v>
      </c>
      <c r="V36" s="1022">
        <f>+SUM(R36:U36)</f>
        <v>4687</v>
      </c>
      <c r="W36" s="16">
        <f>+(1+W37)*R36</f>
        <v>1160.25</v>
      </c>
      <c r="X36" s="16">
        <f t="shared" ref="X36" si="24">+(1+X37)*S36</f>
        <v>1132.95</v>
      </c>
      <c r="Y36" s="16">
        <f t="shared" ref="Y36" si="25">+(1+Y37)*T36</f>
        <v>1153.425</v>
      </c>
      <c r="Z36" s="16">
        <f t="shared" ref="Z36" si="26">+(1+Z37)*U36</f>
        <v>1123.2</v>
      </c>
      <c r="AA36" s="15">
        <f>+SUM(W36:Z36)</f>
        <v>4569.8249999999998</v>
      </c>
      <c r="AB36" s="16"/>
      <c r="AC36" s="16"/>
      <c r="AD36" s="16"/>
      <c r="AE36" s="16"/>
      <c r="AF36" s="15">
        <f>AA36*(1+AF37)</f>
        <v>4752.6180000000004</v>
      </c>
      <c r="AG36" s="16"/>
      <c r="AH36" s="16"/>
      <c r="AI36" s="16"/>
      <c r="AJ36" s="16"/>
      <c r="AK36" s="15">
        <f>AF36*(1+AK37)</f>
        <v>4942.7227200000007</v>
      </c>
      <c r="AL36" s="16"/>
      <c r="AM36" s="16"/>
      <c r="AN36" s="16"/>
      <c r="AO36" s="16"/>
      <c r="AP36" s="15">
        <f>AK36*(1+AP37)</f>
        <v>5140.4316288000009</v>
      </c>
      <c r="AQ36" s="17"/>
      <c r="AR36" s="18"/>
      <c r="AS36" s="664" t="s">
        <v>388</v>
      </c>
      <c r="AT36" s="304"/>
      <c r="AU36" s="304"/>
      <c r="AV36" s="304"/>
      <c r="AW36" s="664"/>
      <c r="AX36" s="664" t="s">
        <v>332</v>
      </c>
      <c r="AY36" s="304"/>
      <c r="AZ36" s="304"/>
      <c r="BA36" s="304"/>
      <c r="BB36" s="304"/>
      <c r="BC36" s="18"/>
      <c r="BG36"/>
      <c r="BH36"/>
      <c r="BI36"/>
      <c r="BJ36"/>
      <c r="BK36"/>
      <c r="BL36"/>
    </row>
    <row r="37" spans="1:64" ht="12.75" customHeight="1">
      <c r="A37" s="22" t="s">
        <v>204</v>
      </c>
      <c r="B37" s="25"/>
      <c r="C37" s="24"/>
      <c r="D37" s="24"/>
      <c r="E37" s="24"/>
      <c r="F37" s="24"/>
      <c r="G37" s="25">
        <f t="shared" ref="G37:O37" si="27">G36/B36-1</f>
        <v>-1.6931864545083664E-2</v>
      </c>
      <c r="H37" s="24">
        <f t="shared" si="27"/>
        <v>-4.1831097079715884E-2</v>
      </c>
      <c r="I37" s="24">
        <f t="shared" si="27"/>
        <v>-2.0193861066235885E-2</v>
      </c>
      <c r="J37" s="24">
        <f t="shared" si="27"/>
        <v>-2.5146689019278634E-3</v>
      </c>
      <c r="K37" s="24">
        <f t="shared" si="27"/>
        <v>7.7609277430865209E-2</v>
      </c>
      <c r="L37" s="25">
        <f t="shared" si="27"/>
        <v>1.2450715916165755E-3</v>
      </c>
      <c r="M37" s="24">
        <f t="shared" si="27"/>
        <v>-1.6474464579901205E-2</v>
      </c>
      <c r="N37" s="789">
        <f t="shared" si="27"/>
        <v>-3.1327287716405583E-2</v>
      </c>
      <c r="O37" s="24">
        <f t="shared" si="27"/>
        <v>-5.8823529411764497E-3</v>
      </c>
      <c r="P37" s="24">
        <f t="shared" ref="P37" si="28">P36/K36-1</f>
        <v>-8.2781456953642252E-3</v>
      </c>
      <c r="Q37" s="25">
        <f t="shared" ref="Q37" si="29">Q36/L36-1</f>
        <v>-1.5544041450777257E-2</v>
      </c>
      <c r="R37" s="24"/>
      <c r="S37" s="789"/>
      <c r="T37" s="24"/>
      <c r="U37" s="24"/>
      <c r="V37" s="25"/>
      <c r="W37" s="26">
        <v>-2.5000000000000001E-2</v>
      </c>
      <c r="X37" s="26">
        <v>-2.5000000000000001E-2</v>
      </c>
      <c r="Y37" s="26">
        <v>-2.5000000000000001E-2</v>
      </c>
      <c r="Z37" s="26">
        <v>-2.5000000000000001E-2</v>
      </c>
      <c r="AA37" s="23">
        <f>AA36/V36-1</f>
        <v>-2.5000000000000022E-2</v>
      </c>
      <c r="AB37" s="26"/>
      <c r="AC37" s="26"/>
      <c r="AD37" s="26"/>
      <c r="AE37" s="26"/>
      <c r="AF37" s="27">
        <v>0.04</v>
      </c>
      <c r="AG37" s="26"/>
      <c r="AH37" s="26"/>
      <c r="AI37" s="26"/>
      <c r="AJ37" s="26"/>
      <c r="AK37" s="27">
        <v>0.04</v>
      </c>
      <c r="AL37" s="26"/>
      <c r="AM37" s="26"/>
      <c r="AN37" s="26"/>
      <c r="AO37" s="26"/>
      <c r="AP37" s="27">
        <v>0.04</v>
      </c>
      <c r="AQ37" s="28"/>
      <c r="AR37" s="7"/>
      <c r="AS37" s="304"/>
      <c r="AT37" s="304"/>
      <c r="AU37" s="304"/>
      <c r="AV37" s="664"/>
      <c r="AW37" s="664"/>
      <c r="AX37" s="664"/>
      <c r="AY37" s="664"/>
      <c r="AZ37" s="664"/>
      <c r="BA37" s="664"/>
      <c r="BB37" s="664"/>
      <c r="BC37" s="105"/>
      <c r="BD37" s="29"/>
      <c r="BE37" s="29"/>
      <c r="BF37" s="29"/>
    </row>
    <row r="38" spans="1:64" ht="12.75" customHeight="1">
      <c r="A38" s="22" t="s">
        <v>205</v>
      </c>
      <c r="B38" s="23">
        <f t="shared" ref="B38:N38" si="30">B36/B$69</f>
        <v>0.20442887526585762</v>
      </c>
      <c r="C38" s="24">
        <f t="shared" si="30"/>
        <v>0.21269095182138661</v>
      </c>
      <c r="D38" s="24">
        <f t="shared" si="30"/>
        <v>0.20997286295793757</v>
      </c>
      <c r="E38" s="24">
        <f t="shared" si="30"/>
        <v>0.19953169426325473</v>
      </c>
      <c r="F38" s="24">
        <f t="shared" si="30"/>
        <v>0.19687390235335442</v>
      </c>
      <c r="G38" s="23">
        <f t="shared" si="30"/>
        <v>0.20483720139420217</v>
      </c>
      <c r="H38" s="24">
        <f t="shared" si="30"/>
        <v>0.20382807253190061</v>
      </c>
      <c r="I38" s="647">
        <f t="shared" si="30"/>
        <v>0.20216666666666666</v>
      </c>
      <c r="J38" s="24">
        <f t="shared" si="30"/>
        <v>0.19333874898456541</v>
      </c>
      <c r="K38" s="24">
        <f t="shared" si="30"/>
        <v>0.18883851805533844</v>
      </c>
      <c r="L38" s="23">
        <f t="shared" si="30"/>
        <v>0.19687448996246124</v>
      </c>
      <c r="M38" s="24">
        <f t="shared" si="30"/>
        <v>0.19052178075634274</v>
      </c>
      <c r="N38" s="24">
        <f t="shared" si="30"/>
        <v>0.18431372549019609</v>
      </c>
      <c r="O38" s="24">
        <f t="shared" ref="O38:Q38" si="31">O36/O$69</f>
        <v>0.18124712731729739</v>
      </c>
      <c r="P38" s="24">
        <f t="shared" si="31"/>
        <v>0.18058486584262889</v>
      </c>
      <c r="Q38" s="23">
        <f t="shared" si="31"/>
        <v>0.18408712165252103</v>
      </c>
      <c r="R38" s="24"/>
      <c r="S38" s="24"/>
      <c r="T38" s="24"/>
      <c r="U38" s="24"/>
      <c r="V38" s="23"/>
      <c r="W38" s="789">
        <f t="shared" ref="W38:AA38" si="32">W36/W$69</f>
        <v>0.17591915521270518</v>
      </c>
      <c r="X38" s="789">
        <f t="shared" si="32"/>
        <v>0.17051605544941389</v>
      </c>
      <c r="Y38" s="789">
        <f t="shared" si="32"/>
        <v>0.14399865715220228</v>
      </c>
      <c r="Z38" s="789">
        <f t="shared" si="32"/>
        <v>0.14022700067768409</v>
      </c>
      <c r="AA38" s="23">
        <f t="shared" si="32"/>
        <v>0.15618291875547907</v>
      </c>
      <c r="AB38" s="26"/>
      <c r="AC38" s="26"/>
      <c r="AD38" s="26"/>
      <c r="AE38" s="26"/>
      <c r="AF38" s="23">
        <f>AF36/AF$69</f>
        <v>0.14041159649297369</v>
      </c>
      <c r="AG38" s="26"/>
      <c r="AH38" s="26"/>
      <c r="AI38" s="26"/>
      <c r="AJ38" s="26"/>
      <c r="AK38" s="23">
        <f>AK36/AK$69</f>
        <v>0.13600616462879853</v>
      </c>
      <c r="AL38" s="26"/>
      <c r="AM38" s="26"/>
      <c r="AN38" s="26"/>
      <c r="AO38" s="26"/>
      <c r="AP38" s="23">
        <f>AP36/AP$69</f>
        <v>0.1337986871412061</v>
      </c>
      <c r="AQ38" s="28"/>
      <c r="AR38" s="7"/>
      <c r="AS38" s="304"/>
      <c r="AT38" s="304"/>
      <c r="AU38" s="901"/>
      <c r="AV38" s="664"/>
      <c r="AW38" s="664"/>
      <c r="AX38" s="664"/>
      <c r="AY38" s="664"/>
      <c r="AZ38" s="664"/>
      <c r="BA38" s="664"/>
      <c r="BB38" s="664"/>
      <c r="BC38" s="105"/>
      <c r="BD38" s="29"/>
      <c r="BE38" s="29"/>
      <c r="BF38" s="29"/>
    </row>
    <row r="39" spans="1:64" s="37" customFormat="1" ht="11.25" hidden="1" customHeight="1" outlineLevel="1">
      <c r="A39" s="31" t="s">
        <v>206</v>
      </c>
      <c r="B39" s="32">
        <v>329</v>
      </c>
      <c r="C39" s="640">
        <v>94</v>
      </c>
      <c r="D39" s="640">
        <v>93</v>
      </c>
      <c r="E39" s="640">
        <v>95</v>
      </c>
      <c r="F39" s="640">
        <f>+G39-SUM(C39:E39)</f>
        <v>76</v>
      </c>
      <c r="G39" s="32">
        <v>358</v>
      </c>
      <c r="H39" s="640">
        <v>80</v>
      </c>
      <c r="I39" s="640">
        <v>83</v>
      </c>
      <c r="J39" s="640">
        <v>76</v>
      </c>
      <c r="K39" s="640">
        <f>+L39-SUM(H39:J39)</f>
        <v>81</v>
      </c>
      <c r="L39" s="32">
        <v>320</v>
      </c>
      <c r="M39" s="225">
        <v>81</v>
      </c>
      <c r="N39" s="225">
        <v>92</v>
      </c>
      <c r="O39" s="225">
        <v>109</v>
      </c>
      <c r="P39" s="225">
        <f>392-O39-N39-M39</f>
        <v>110</v>
      </c>
      <c r="Q39" s="1021">
        <f>+SUM(M39:P39)</f>
        <v>392</v>
      </c>
      <c r="R39" s="225"/>
      <c r="S39" s="225"/>
      <c r="T39" s="225"/>
      <c r="U39" s="225"/>
      <c r="V39" s="1021"/>
      <c r="W39" s="33"/>
      <c r="X39" s="33"/>
      <c r="Y39" s="33"/>
      <c r="Z39" s="33"/>
      <c r="AA39" s="32"/>
      <c r="AB39" s="33"/>
      <c r="AC39" s="33"/>
      <c r="AD39" s="33"/>
      <c r="AE39" s="33"/>
      <c r="AF39" s="32"/>
      <c r="AG39" s="33"/>
      <c r="AH39" s="33"/>
      <c r="AI39" s="33"/>
      <c r="AJ39" s="33"/>
      <c r="AK39" s="32"/>
      <c r="AL39" s="33"/>
      <c r="AM39" s="33"/>
      <c r="AN39" s="33"/>
      <c r="AO39" s="33"/>
      <c r="AP39" s="32"/>
      <c r="AQ39" s="34"/>
      <c r="AR39" s="35"/>
      <c r="AS39" s="304"/>
      <c r="AT39" s="304"/>
      <c r="AU39" s="664"/>
      <c r="AV39" s="626"/>
      <c r="AW39" s="626"/>
      <c r="AX39" s="626"/>
      <c r="AY39" s="626"/>
      <c r="AZ39" s="626"/>
      <c r="BA39" s="626"/>
      <c r="BB39" s="626"/>
      <c r="BC39" s="45"/>
      <c r="BD39" s="36"/>
      <c r="BE39" s="36"/>
      <c r="BF39" s="36"/>
      <c r="BG39"/>
      <c r="BH39"/>
      <c r="BI39"/>
      <c r="BJ39"/>
      <c r="BK39"/>
      <c r="BL39"/>
    </row>
    <row r="40" spans="1:64" s="44" customFormat="1" ht="11.25" hidden="1" customHeight="1" outlineLevel="1">
      <c r="A40" s="106" t="s">
        <v>207</v>
      </c>
      <c r="B40" s="39">
        <f>B39/B36</f>
        <v>6.7115463076295387E-2</v>
      </c>
      <c r="C40" s="40">
        <f t="shared" ref="C40:N40" si="33">C39/C36</f>
        <v>7.4191002367797951E-2</v>
      </c>
      <c r="D40" s="659">
        <f t="shared" si="33"/>
        <v>7.5121163166397414E-2</v>
      </c>
      <c r="E40" s="659">
        <f t="shared" si="33"/>
        <v>7.9631181894383909E-2</v>
      </c>
      <c r="F40" s="40">
        <f t="shared" si="33"/>
        <v>6.7796610169491525E-2</v>
      </c>
      <c r="G40" s="39">
        <f t="shared" si="33"/>
        <v>7.4289271633118908E-2</v>
      </c>
      <c r="H40" s="40">
        <f t="shared" si="33"/>
        <v>6.589785831960461E-2</v>
      </c>
      <c r="I40" s="659">
        <f t="shared" si="33"/>
        <v>6.8425391591096452E-2</v>
      </c>
      <c r="J40" s="659">
        <f t="shared" si="33"/>
        <v>6.386554621848739E-2</v>
      </c>
      <c r="K40" s="40">
        <f t="shared" si="33"/>
        <v>6.7052980132450327E-2</v>
      </c>
      <c r="L40" s="39">
        <f t="shared" si="33"/>
        <v>6.6321243523316059E-2</v>
      </c>
      <c r="M40" s="40">
        <f t="shared" si="33"/>
        <v>6.78391959798995E-2</v>
      </c>
      <c r="N40" s="40">
        <f t="shared" si="33"/>
        <v>7.8297872340425526E-2</v>
      </c>
      <c r="O40" s="659">
        <f t="shared" ref="O40:Q40" si="34">O39/O36</f>
        <v>9.2138630600169066E-2</v>
      </c>
      <c r="P40" s="40">
        <f t="shared" si="34"/>
        <v>9.1819699499165269E-2</v>
      </c>
      <c r="Q40" s="39">
        <f t="shared" si="34"/>
        <v>8.2526315789473684E-2</v>
      </c>
      <c r="R40" s="40"/>
      <c r="S40" s="40"/>
      <c r="T40" s="659"/>
      <c r="U40" s="40"/>
      <c r="V40" s="39"/>
      <c r="W40" s="40"/>
      <c r="X40" s="40"/>
      <c r="Y40" s="40"/>
      <c r="Z40" s="40"/>
      <c r="AA40" s="39"/>
      <c r="AB40" s="40"/>
      <c r="AC40" s="40"/>
      <c r="AD40" s="40"/>
      <c r="AE40" s="40"/>
      <c r="AF40" s="39"/>
      <c r="AG40" s="40"/>
      <c r="AH40" s="40"/>
      <c r="AI40" s="40"/>
      <c r="AJ40" s="40"/>
      <c r="AK40" s="39"/>
      <c r="AL40" s="40"/>
      <c r="AM40" s="40"/>
      <c r="AN40" s="40"/>
      <c r="AO40" s="40"/>
      <c r="AP40" s="39"/>
      <c r="AQ40" s="41"/>
      <c r="AR40" s="42"/>
      <c r="AS40" s="304"/>
      <c r="AT40" s="664"/>
      <c r="AU40" s="626"/>
      <c r="AV40" s="666"/>
      <c r="AW40" s="666"/>
      <c r="AX40" s="666"/>
      <c r="AY40" s="666"/>
      <c r="AZ40" s="666"/>
      <c r="BA40" s="666"/>
      <c r="BB40" s="666"/>
      <c r="BC40" s="46"/>
      <c r="BD40" s="43"/>
      <c r="BE40" s="43"/>
      <c r="BF40" s="43"/>
      <c r="BG40"/>
      <c r="BH40"/>
      <c r="BI40"/>
      <c r="BJ40"/>
      <c r="BK40"/>
      <c r="BL40"/>
    </row>
    <row r="41" spans="1:64" s="37" customFormat="1" ht="11.25" hidden="1" customHeight="1" outlineLevel="1">
      <c r="A41" s="31" t="s">
        <v>208</v>
      </c>
      <c r="B41" s="32">
        <v>4573</v>
      </c>
      <c r="C41" s="640">
        <v>1173</v>
      </c>
      <c r="D41" s="640">
        <v>1145</v>
      </c>
      <c r="E41" s="640">
        <v>1098</v>
      </c>
      <c r="F41" s="640">
        <f>+G41-SUM(C41:E41)</f>
        <v>1045</v>
      </c>
      <c r="G41" s="32">
        <v>4461</v>
      </c>
      <c r="H41" s="640">
        <v>1134</v>
      </c>
      <c r="I41" s="640">
        <v>1130</v>
      </c>
      <c r="J41" s="640">
        <v>1114</v>
      </c>
      <c r="K41" s="640">
        <f>+L41-SUM(H41:J41)</f>
        <v>1127</v>
      </c>
      <c r="L41" s="32">
        <v>4505</v>
      </c>
      <c r="M41" s="225">
        <v>1113</v>
      </c>
      <c r="N41" s="225">
        <v>1083</v>
      </c>
      <c r="O41" s="225">
        <v>1074</v>
      </c>
      <c r="P41" s="225">
        <f>4358-O41-N41-M41</f>
        <v>1088</v>
      </c>
      <c r="Q41" s="1021">
        <f>+SUM(M41:P41)</f>
        <v>4358</v>
      </c>
      <c r="R41" s="225"/>
      <c r="S41" s="225"/>
      <c r="T41" s="225"/>
      <c r="U41" s="225"/>
      <c r="V41" s="1021"/>
      <c r="W41" s="33"/>
      <c r="X41" s="33"/>
      <c r="Y41" s="33"/>
      <c r="Z41" s="33"/>
      <c r="AA41" s="32"/>
      <c r="AB41" s="33"/>
      <c r="AC41" s="33"/>
      <c r="AD41" s="33"/>
      <c r="AE41" s="33"/>
      <c r="AF41" s="32"/>
      <c r="AG41" s="33"/>
      <c r="AH41" s="33"/>
      <c r="AI41" s="33"/>
      <c r="AJ41" s="33"/>
      <c r="AK41" s="32"/>
      <c r="AL41" s="33"/>
      <c r="AM41" s="33"/>
      <c r="AN41" s="33"/>
      <c r="AO41" s="33"/>
      <c r="AP41" s="32"/>
      <c r="AQ41" s="34"/>
      <c r="AR41" s="35"/>
      <c r="AS41" s="664"/>
      <c r="AT41" s="664"/>
      <c r="AU41" s="666"/>
      <c r="AV41" s="626"/>
      <c r="AW41" s="626"/>
      <c r="AX41" s="626"/>
      <c r="AY41" s="626"/>
      <c r="AZ41" s="626"/>
      <c r="BA41" s="626"/>
      <c r="BB41" s="626"/>
      <c r="BC41" s="45"/>
      <c r="BD41" s="36"/>
      <c r="BE41" s="36"/>
      <c r="BF41" s="36"/>
      <c r="BG41"/>
      <c r="BH41"/>
      <c r="BI41"/>
      <c r="BJ41"/>
      <c r="BK41"/>
      <c r="BL41"/>
    </row>
    <row r="42" spans="1:64" s="44" customFormat="1" ht="11.25" hidden="1" customHeight="1" outlineLevel="1">
      <c r="A42" s="106" t="s">
        <v>207</v>
      </c>
      <c r="B42" s="39">
        <f>B41/B36</f>
        <v>0.93288453692370465</v>
      </c>
      <c r="C42" s="40">
        <f t="shared" ref="C42:N42" si="35">C41/C36</f>
        <v>0.92580899763220204</v>
      </c>
      <c r="D42" s="40">
        <f t="shared" si="35"/>
        <v>0.92487883683360261</v>
      </c>
      <c r="E42" s="40">
        <f t="shared" si="35"/>
        <v>0.9203688181056161</v>
      </c>
      <c r="F42" s="40">
        <f t="shared" si="35"/>
        <v>0.93220338983050843</v>
      </c>
      <c r="G42" s="39">
        <f t="shared" si="35"/>
        <v>0.92571072836688106</v>
      </c>
      <c r="H42" s="40">
        <f t="shared" si="35"/>
        <v>0.9341021416803954</v>
      </c>
      <c r="I42" s="40">
        <f t="shared" si="35"/>
        <v>0.93157460840890349</v>
      </c>
      <c r="J42" s="40">
        <f t="shared" si="35"/>
        <v>0.93613445378151261</v>
      </c>
      <c r="K42" s="40">
        <f t="shared" si="35"/>
        <v>0.93294701986754969</v>
      </c>
      <c r="L42" s="39">
        <f t="shared" si="35"/>
        <v>0.93367875647668397</v>
      </c>
      <c r="M42" s="40">
        <f t="shared" si="35"/>
        <v>0.93216080402010049</v>
      </c>
      <c r="N42" s="40">
        <f t="shared" si="35"/>
        <v>0.92170212765957449</v>
      </c>
      <c r="O42" s="40">
        <f t="shared" ref="O42:Q42" si="36">O41/O36</f>
        <v>0.90786136939983098</v>
      </c>
      <c r="P42" s="40">
        <f t="shared" si="36"/>
        <v>0.90818030050083476</v>
      </c>
      <c r="Q42" s="39">
        <f t="shared" si="36"/>
        <v>0.91747368421052633</v>
      </c>
      <c r="R42" s="40"/>
      <c r="S42" s="40"/>
      <c r="T42" s="40"/>
      <c r="U42" s="40"/>
      <c r="V42" s="39"/>
      <c r="W42" s="40"/>
      <c r="X42" s="40"/>
      <c r="Y42" s="40"/>
      <c r="Z42" s="40"/>
      <c r="AA42" s="39"/>
      <c r="AB42" s="40"/>
      <c r="AC42" s="40"/>
      <c r="AD42" s="40"/>
      <c r="AE42" s="40"/>
      <c r="AF42" s="39"/>
      <c r="AG42" s="40"/>
      <c r="AH42" s="40"/>
      <c r="AI42" s="40"/>
      <c r="AJ42" s="40"/>
      <c r="AK42" s="39"/>
      <c r="AL42" s="40"/>
      <c r="AM42" s="40"/>
      <c r="AN42" s="40"/>
      <c r="AO42" s="40"/>
      <c r="AP42" s="39"/>
      <c r="AQ42" s="41"/>
      <c r="AR42" s="42"/>
      <c r="AS42" s="666"/>
      <c r="AT42" s="666"/>
      <c r="AU42" s="626"/>
      <c r="AV42" s="666"/>
      <c r="AW42" s="666"/>
      <c r="AX42" s="666"/>
      <c r="AY42" s="666"/>
      <c r="AZ42" s="666"/>
      <c r="BA42" s="666"/>
      <c r="BB42" s="666"/>
      <c r="BC42" s="46"/>
      <c r="BD42" s="43"/>
      <c r="BE42" s="43"/>
      <c r="BF42" s="43"/>
      <c r="BG42"/>
      <c r="BH42"/>
      <c r="BI42"/>
      <c r="BJ42"/>
      <c r="BK42"/>
      <c r="BL42"/>
    </row>
    <row r="43" spans="1:64" s="72" customFormat="1" ht="11.25" customHeight="1" collapsed="1">
      <c r="A43" s="66" t="s">
        <v>306</v>
      </c>
      <c r="B43" s="67"/>
      <c r="C43" s="66"/>
      <c r="D43" s="66"/>
      <c r="E43" s="66"/>
      <c r="F43" s="633"/>
      <c r="G43" s="67">
        <v>4655</v>
      </c>
      <c r="H43" s="66"/>
      <c r="I43" s="66"/>
      <c r="J43" s="66"/>
      <c r="K43" s="68"/>
      <c r="L43" s="67">
        <v>4314</v>
      </c>
      <c r="M43" s="66"/>
      <c r="N43" s="66"/>
      <c r="O43" s="66"/>
      <c r="P43" s="68"/>
      <c r="Q43" s="67">
        <v>3825</v>
      </c>
      <c r="R43" s="66"/>
      <c r="S43" s="66"/>
      <c r="T43" s="66"/>
      <c r="U43" s="68"/>
      <c r="V43" s="67"/>
      <c r="W43" s="66"/>
      <c r="X43" s="66"/>
      <c r="Y43" s="66"/>
      <c r="Z43" s="68"/>
      <c r="AA43" s="67"/>
      <c r="AB43" s="66"/>
      <c r="AC43" s="66"/>
      <c r="AD43" s="66"/>
      <c r="AE43" s="68"/>
      <c r="AF43" s="67"/>
      <c r="AG43" s="66"/>
      <c r="AH43" s="66"/>
      <c r="AI43" s="66"/>
      <c r="AJ43" s="68"/>
      <c r="AK43" s="67"/>
      <c r="AL43" s="66"/>
      <c r="AM43" s="66"/>
      <c r="AN43" s="66"/>
      <c r="AO43" s="68"/>
      <c r="AP43" s="67"/>
      <c r="AQ43" s="69"/>
      <c r="AR43" s="70"/>
      <c r="AS43" s="666"/>
      <c r="AT43" s="666"/>
      <c r="AU43" s="666"/>
      <c r="AV43" s="304"/>
      <c r="AW43" s="304"/>
      <c r="AX43" s="304"/>
      <c r="AY43" s="304"/>
      <c r="AZ43" s="304"/>
      <c r="BA43" s="304"/>
      <c r="BB43" s="304"/>
      <c r="BC43" s="71"/>
      <c r="BD43" s="33"/>
      <c r="BE43" s="33"/>
      <c r="BF43" s="33"/>
      <c r="BG43"/>
      <c r="BH43"/>
      <c r="BI43"/>
      <c r="BJ43"/>
      <c r="BK43"/>
      <c r="BL43"/>
    </row>
    <row r="44" spans="1:64" s="81" customFormat="1" ht="11.25" customHeight="1">
      <c r="A44" s="22" t="s">
        <v>204</v>
      </c>
      <c r="B44" s="801"/>
      <c r="C44" s="802"/>
      <c r="D44" s="802"/>
      <c r="E44" s="802"/>
      <c r="F44" s="802"/>
      <c r="G44" s="25"/>
      <c r="H44" s="26"/>
      <c r="I44" s="26"/>
      <c r="J44" s="26"/>
      <c r="K44" s="76"/>
      <c r="L44" s="27"/>
      <c r="M44" s="26"/>
      <c r="N44" s="26"/>
      <c r="O44" s="26"/>
      <c r="P44" s="76"/>
      <c r="Q44" s="27"/>
      <c r="R44" s="26"/>
      <c r="S44" s="26"/>
      <c r="T44" s="26"/>
      <c r="U44" s="76"/>
      <c r="V44" s="27"/>
      <c r="W44" s="26"/>
      <c r="X44" s="26"/>
      <c r="Y44" s="26"/>
      <c r="Z44" s="76"/>
      <c r="AA44" s="27"/>
      <c r="AB44" s="26"/>
      <c r="AC44" s="26"/>
      <c r="AD44" s="26"/>
      <c r="AE44" s="76"/>
      <c r="AF44" s="27"/>
      <c r="AG44" s="26"/>
      <c r="AH44" s="26"/>
      <c r="AI44" s="26"/>
      <c r="AJ44" s="76"/>
      <c r="AK44" s="27"/>
      <c r="AL44" s="26"/>
      <c r="AM44" s="26"/>
      <c r="AN44" s="26"/>
      <c r="AO44" s="76"/>
      <c r="AP44" s="27"/>
      <c r="AQ44" s="77"/>
      <c r="AR44" s="6"/>
      <c r="AS44" s="304"/>
      <c r="AT44" s="304"/>
      <c r="AU44" s="304"/>
      <c r="AV44" s="619"/>
      <c r="AW44" s="619"/>
      <c r="AX44" s="619"/>
      <c r="AY44" s="619"/>
      <c r="AZ44" s="619"/>
      <c r="BA44" s="619"/>
      <c r="BB44" s="619"/>
      <c r="BC44" s="79"/>
      <c r="BD44" s="80"/>
      <c r="BE44" s="80"/>
      <c r="BF44" s="80"/>
      <c r="BG44"/>
      <c r="BH44"/>
      <c r="BI44"/>
      <c r="BJ44"/>
      <c r="BK44"/>
      <c r="BL44"/>
    </row>
    <row r="45" spans="1:64" s="72" customFormat="1" ht="11.25" customHeight="1">
      <c r="A45" s="82" t="s">
        <v>209</v>
      </c>
      <c r="B45" s="803"/>
      <c r="C45" s="653"/>
      <c r="D45" s="658"/>
      <c r="E45" s="640"/>
      <c r="F45" s="640"/>
      <c r="G45" s="32"/>
      <c r="H45" s="33"/>
      <c r="I45" s="33"/>
      <c r="J45" s="33"/>
      <c r="K45" s="83"/>
      <c r="L45" s="32">
        <v>3446</v>
      </c>
      <c r="M45" s="34"/>
      <c r="N45" s="87"/>
      <c r="O45" s="33"/>
      <c r="P45" s="83"/>
      <c r="Q45" s="1021">
        <v>2797</v>
      </c>
      <c r="R45" s="34"/>
      <c r="S45" s="87"/>
      <c r="T45" s="33"/>
      <c r="U45" s="83"/>
      <c r="V45" s="1021"/>
      <c r="W45" s="87"/>
      <c r="X45" s="87"/>
      <c r="Y45" s="87"/>
      <c r="Z45" s="90"/>
      <c r="AA45" s="89"/>
      <c r="AB45" s="87"/>
      <c r="AC45" s="87"/>
      <c r="AD45" s="87"/>
      <c r="AE45" s="90"/>
      <c r="AF45" s="89"/>
      <c r="AG45" s="87"/>
      <c r="AH45" s="87"/>
      <c r="AI45" s="87"/>
      <c r="AJ45" s="90"/>
      <c r="AK45" s="89"/>
      <c r="AL45" s="87"/>
      <c r="AM45" s="87"/>
      <c r="AN45" s="87"/>
      <c r="AO45" s="90"/>
      <c r="AP45" s="89"/>
      <c r="AQ45" s="34"/>
      <c r="AR45" s="70"/>
      <c r="AS45" s="304"/>
      <c r="AT45" s="304"/>
      <c r="AU45" s="304"/>
      <c r="AV45" s="304"/>
      <c r="AW45" s="304"/>
      <c r="AX45" s="304"/>
      <c r="AY45" s="304"/>
      <c r="AZ45" s="304"/>
      <c r="BA45" s="304"/>
      <c r="BB45" s="304"/>
      <c r="BC45" s="71"/>
      <c r="BD45" s="33"/>
      <c r="BE45" s="33"/>
      <c r="BF45" s="33"/>
      <c r="BG45"/>
      <c r="BH45"/>
      <c r="BI45"/>
      <c r="BJ45"/>
      <c r="BK45"/>
      <c r="BL45"/>
    </row>
    <row r="46" spans="1:64" s="81" customFormat="1" ht="11.25" customHeight="1">
      <c r="A46" s="84" t="s">
        <v>210</v>
      </c>
      <c r="B46" s="801"/>
      <c r="C46" s="802"/>
      <c r="D46" s="802"/>
      <c r="E46" s="802"/>
      <c r="F46" s="802"/>
      <c r="G46" s="25"/>
      <c r="H46" s="26"/>
      <c r="I46" s="26"/>
      <c r="J46" s="26"/>
      <c r="K46" s="76"/>
      <c r="L46" s="25">
        <f>L45/L43</f>
        <v>0.79879462216040797</v>
      </c>
      <c r="M46" s="28"/>
      <c r="N46" s="26"/>
      <c r="O46" s="26"/>
      <c r="P46" s="76"/>
      <c r="Q46" s="1032">
        <f>Q45/Q43</f>
        <v>0.73124183006535948</v>
      </c>
      <c r="R46" s="28"/>
      <c r="S46" s="26"/>
      <c r="T46" s="26"/>
      <c r="U46" s="76"/>
      <c r="V46" s="1032"/>
      <c r="W46" s="28"/>
      <c r="X46" s="26"/>
      <c r="Y46" s="26"/>
      <c r="Z46" s="76"/>
      <c r="AA46" s="27"/>
      <c r="AB46" s="28"/>
      <c r="AC46" s="26"/>
      <c r="AD46" s="26"/>
      <c r="AE46" s="76"/>
      <c r="AF46" s="27"/>
      <c r="AG46" s="28"/>
      <c r="AH46" s="26"/>
      <c r="AI46" s="26"/>
      <c r="AJ46" s="76"/>
      <c r="AK46" s="27"/>
      <c r="AL46" s="28"/>
      <c r="AM46" s="26"/>
      <c r="AN46" s="26"/>
      <c r="AO46" s="76"/>
      <c r="AP46" s="27"/>
      <c r="AQ46" s="77"/>
      <c r="AR46" s="6"/>
      <c r="AS46" s="619"/>
      <c r="AT46" s="619"/>
      <c r="AU46" s="619"/>
      <c r="AV46" s="619"/>
      <c r="AW46" s="619"/>
      <c r="AX46" s="619"/>
      <c r="AY46" s="619"/>
      <c r="AZ46" s="619"/>
      <c r="BA46" s="619"/>
      <c r="BB46" s="619"/>
      <c r="BC46" s="79"/>
      <c r="BD46" s="80"/>
      <c r="BE46" s="80"/>
      <c r="BF46" s="80"/>
      <c r="BG46"/>
      <c r="BH46"/>
      <c r="BI46"/>
      <c r="BJ46"/>
      <c r="BK46"/>
      <c r="BL46"/>
    </row>
    <row r="47" spans="1:64" s="72" customFormat="1" ht="11.25" customHeight="1">
      <c r="A47" s="82" t="s">
        <v>211</v>
      </c>
      <c r="B47" s="803"/>
      <c r="C47" s="641"/>
      <c r="D47" s="641"/>
      <c r="E47" s="641"/>
      <c r="F47" s="641"/>
      <c r="G47" s="85"/>
      <c r="H47" s="87"/>
      <c r="I47" s="87"/>
      <c r="J47" s="87"/>
      <c r="K47" s="90"/>
      <c r="L47" s="780">
        <v>868</v>
      </c>
      <c r="M47" s="34"/>
      <c r="N47" s="87"/>
      <c r="O47" s="87"/>
      <c r="P47" s="90"/>
      <c r="Q47" s="1033">
        <v>1028</v>
      </c>
      <c r="R47" s="34"/>
      <c r="S47" s="87"/>
      <c r="T47" s="87"/>
      <c r="U47" s="90"/>
      <c r="V47" s="1033"/>
      <c r="W47" s="34"/>
      <c r="X47" s="87"/>
      <c r="Y47" s="87"/>
      <c r="Z47" s="90"/>
      <c r="AA47" s="89"/>
      <c r="AB47" s="34"/>
      <c r="AC47" s="87"/>
      <c r="AD47" s="87"/>
      <c r="AE47" s="90"/>
      <c r="AF47" s="89"/>
      <c r="AG47" s="34"/>
      <c r="AH47" s="87"/>
      <c r="AI47" s="87"/>
      <c r="AJ47" s="90"/>
      <c r="AK47" s="89"/>
      <c r="AL47" s="34"/>
      <c r="AM47" s="87"/>
      <c r="AN47" s="87"/>
      <c r="AO47" s="90"/>
      <c r="AP47" s="89"/>
      <c r="AQ47" s="34"/>
      <c r="AR47" s="70"/>
      <c r="AS47" s="304"/>
      <c r="AT47" s="304"/>
      <c r="AU47" s="304"/>
      <c r="AV47" s="884"/>
      <c r="AW47" s="884"/>
      <c r="AX47" s="884"/>
      <c r="AY47" s="304"/>
      <c r="AZ47" s="304"/>
      <c r="BA47" s="304"/>
      <c r="BB47" s="304"/>
      <c r="BC47" s="71"/>
      <c r="BD47" s="33"/>
      <c r="BE47" s="33"/>
      <c r="BF47" s="33"/>
      <c r="BG47"/>
      <c r="BH47"/>
      <c r="BI47"/>
      <c r="BJ47"/>
      <c r="BK47"/>
      <c r="BL47"/>
    </row>
    <row r="48" spans="1:64" s="81" customFormat="1" ht="11.25" customHeight="1">
      <c r="A48" s="84" t="s">
        <v>210</v>
      </c>
      <c r="B48" s="801"/>
      <c r="C48" s="802"/>
      <c r="D48" s="802"/>
      <c r="E48" s="802"/>
      <c r="F48" s="802"/>
      <c r="G48" s="25"/>
      <c r="H48" s="26"/>
      <c r="I48" s="26"/>
      <c r="J48" s="26"/>
      <c r="K48" s="76"/>
      <c r="L48" s="25">
        <f>L47/L43</f>
        <v>0.20120537783959203</v>
      </c>
      <c r="M48" s="28"/>
      <c r="N48" s="26"/>
      <c r="O48" s="26"/>
      <c r="P48" s="76"/>
      <c r="Q48" s="25">
        <f>Q47/Q43</f>
        <v>0.26875816993464052</v>
      </c>
      <c r="R48" s="28"/>
      <c r="S48" s="26"/>
      <c r="T48" s="26"/>
      <c r="U48" s="76"/>
      <c r="V48" s="25"/>
      <c r="W48" s="28"/>
      <c r="X48" s="26"/>
      <c r="Y48" s="26"/>
      <c r="Z48" s="76"/>
      <c r="AA48" s="27"/>
      <c r="AB48" s="28"/>
      <c r="AC48" s="26"/>
      <c r="AD48" s="26"/>
      <c r="AE48" s="76"/>
      <c r="AF48" s="27"/>
      <c r="AG48" s="28"/>
      <c r="AH48" s="26"/>
      <c r="AI48" s="26"/>
      <c r="AJ48" s="76"/>
      <c r="AK48" s="27"/>
      <c r="AL48" s="28"/>
      <c r="AM48" s="26"/>
      <c r="AN48" s="26"/>
      <c r="AO48" s="76"/>
      <c r="AP48" s="27"/>
      <c r="AQ48" s="77"/>
      <c r="AR48" s="6"/>
      <c r="AS48" s="664"/>
      <c r="AT48" s="664"/>
      <c r="AU48" s="619"/>
      <c r="AV48" s="619"/>
      <c r="AW48" s="619"/>
      <c r="AX48" s="619"/>
      <c r="AY48" s="619"/>
      <c r="AZ48" s="619"/>
      <c r="BA48" s="619"/>
      <c r="BB48" s="619"/>
      <c r="BC48" s="79"/>
      <c r="BD48" s="80"/>
      <c r="BE48" s="80"/>
      <c r="BF48" s="80"/>
      <c r="BG48"/>
      <c r="BH48"/>
      <c r="BI48"/>
      <c r="BJ48"/>
      <c r="BK48"/>
      <c r="BL48"/>
    </row>
    <row r="49" spans="1:64" s="81" customFormat="1" ht="11.25" customHeight="1">
      <c r="A49" s="91" t="s">
        <v>212</v>
      </c>
      <c r="B49" s="631"/>
      <c r="C49" s="646"/>
      <c r="D49" s="646"/>
      <c r="E49" s="646"/>
      <c r="F49" s="646"/>
      <c r="G49" s="92"/>
      <c r="H49" s="93"/>
      <c r="I49" s="93"/>
      <c r="J49" s="93"/>
      <c r="K49" s="93"/>
      <c r="L49" s="92">
        <f>L43-(G43-L36)</f>
        <v>4484</v>
      </c>
      <c r="M49" s="94"/>
      <c r="N49" s="95"/>
      <c r="O49" s="93"/>
      <c r="P49" s="93"/>
      <c r="Q49" s="92">
        <f>Q43-(L43-Q36)</f>
        <v>4261</v>
      </c>
      <c r="R49" s="94"/>
      <c r="S49" s="95"/>
      <c r="T49" s="93"/>
      <c r="U49" s="93"/>
      <c r="V49" s="92"/>
      <c r="W49" s="94"/>
      <c r="X49" s="95"/>
      <c r="Y49" s="95"/>
      <c r="Z49" s="96"/>
      <c r="AA49" s="97"/>
      <c r="AB49" s="94"/>
      <c r="AC49" s="95"/>
      <c r="AD49" s="95"/>
      <c r="AE49" s="96"/>
      <c r="AF49" s="97"/>
      <c r="AG49" s="94"/>
      <c r="AH49" s="95"/>
      <c r="AI49" s="95"/>
      <c r="AJ49" s="96"/>
      <c r="AK49" s="97"/>
      <c r="AL49" s="94"/>
      <c r="AM49" s="95"/>
      <c r="AN49" s="95"/>
      <c r="AO49" s="96"/>
      <c r="AP49" s="97"/>
      <c r="AQ49" s="98"/>
      <c r="AR49" s="6"/>
      <c r="AS49" s="664"/>
      <c r="AT49" s="664"/>
      <c r="AU49" s="619"/>
      <c r="AV49" s="619"/>
      <c r="AW49" s="619"/>
      <c r="AX49" s="619"/>
      <c r="AY49" s="619"/>
      <c r="AZ49" s="619"/>
      <c r="BA49" s="619"/>
      <c r="BB49" s="619"/>
      <c r="BC49" s="79"/>
      <c r="BD49" s="80"/>
      <c r="BE49" s="80"/>
      <c r="BF49" s="80"/>
      <c r="BG49"/>
      <c r="BH49"/>
      <c r="BI49"/>
      <c r="BJ49"/>
      <c r="BK49"/>
      <c r="BL49"/>
    </row>
    <row r="50" spans="1:64" s="602" customFormat="1" ht="11.25" customHeight="1">
      <c r="A50" s="591" t="s">
        <v>213</v>
      </c>
      <c r="B50" s="804"/>
      <c r="C50" s="805"/>
      <c r="D50" s="805"/>
      <c r="E50" s="805"/>
      <c r="F50" s="805"/>
      <c r="G50" s="593"/>
      <c r="H50" s="595"/>
      <c r="I50" s="595"/>
      <c r="J50" s="595"/>
      <c r="K50" s="596"/>
      <c r="L50" s="593">
        <f>L49/L36</f>
        <v>0.92932642487046635</v>
      </c>
      <c r="M50" s="597"/>
      <c r="N50" s="595"/>
      <c r="O50" s="595"/>
      <c r="P50" s="596"/>
      <c r="Q50" s="593">
        <f>Q49/Q36</f>
        <v>0.89705263157894732</v>
      </c>
      <c r="R50" s="597"/>
      <c r="S50" s="595"/>
      <c r="T50" s="595"/>
      <c r="U50" s="596"/>
      <c r="V50" s="593"/>
      <c r="W50" s="597"/>
      <c r="X50" s="595"/>
      <c r="Y50" s="595"/>
      <c r="Z50" s="596"/>
      <c r="AA50" s="592"/>
      <c r="AB50" s="597"/>
      <c r="AC50" s="595"/>
      <c r="AD50" s="595"/>
      <c r="AE50" s="596"/>
      <c r="AF50" s="592"/>
      <c r="AG50" s="597"/>
      <c r="AH50" s="595"/>
      <c r="AI50" s="595"/>
      <c r="AJ50" s="596"/>
      <c r="AK50" s="592"/>
      <c r="AL50" s="597"/>
      <c r="AM50" s="595"/>
      <c r="AN50" s="595"/>
      <c r="AO50" s="596"/>
      <c r="AP50" s="592"/>
      <c r="AQ50" s="598"/>
      <c r="AR50" s="599"/>
      <c r="AS50" s="877"/>
      <c r="AT50" s="877"/>
      <c r="AU50" s="877"/>
      <c r="AV50" s="877"/>
      <c r="AW50" s="877"/>
      <c r="AX50" s="877"/>
      <c r="AY50" s="877"/>
      <c r="AZ50" s="877"/>
      <c r="BA50" s="877"/>
      <c r="BB50" s="877"/>
      <c r="BC50" s="600"/>
      <c r="BD50" s="601"/>
      <c r="BE50" s="601"/>
      <c r="BF50" s="601"/>
      <c r="BG50"/>
      <c r="BH50"/>
      <c r="BI50"/>
      <c r="BJ50"/>
      <c r="BK50"/>
      <c r="BL50"/>
    </row>
    <row r="51" spans="1:64" s="602" customFormat="1" ht="11.25" customHeight="1">
      <c r="A51" s="591" t="s">
        <v>39</v>
      </c>
      <c r="B51" s="804"/>
      <c r="C51" s="805"/>
      <c r="D51" s="805"/>
      <c r="E51" s="805"/>
      <c r="F51" s="805"/>
      <c r="G51" s="593">
        <f>G43/G$4</f>
        <v>0.46830985915492956</v>
      </c>
      <c r="H51" s="595"/>
      <c r="I51" s="595"/>
      <c r="J51" s="595"/>
      <c r="K51" s="595"/>
      <c r="L51" s="593">
        <f>L43/L$4</f>
        <v>0.39841152567417804</v>
      </c>
      <c r="M51" s="595"/>
      <c r="N51" s="595"/>
      <c r="O51" s="595"/>
      <c r="P51" s="595"/>
      <c r="Q51" s="593">
        <f>Q43/Q$4</f>
        <v>0.31994981179422838</v>
      </c>
      <c r="R51" s="595"/>
      <c r="S51" s="595"/>
      <c r="T51" s="595"/>
      <c r="U51" s="595"/>
      <c r="V51" s="593"/>
      <c r="W51" s="595"/>
      <c r="X51" s="595"/>
      <c r="Y51" s="595"/>
      <c r="Z51" s="595"/>
      <c r="AA51" s="592"/>
      <c r="AB51" s="595"/>
      <c r="AC51" s="595"/>
      <c r="AD51" s="595"/>
      <c r="AE51" s="595"/>
      <c r="AF51" s="592"/>
      <c r="AG51" s="595"/>
      <c r="AH51" s="595"/>
      <c r="AI51" s="595"/>
      <c r="AJ51" s="595"/>
      <c r="AK51" s="592"/>
      <c r="AL51" s="595"/>
      <c r="AM51" s="595"/>
      <c r="AN51" s="595"/>
      <c r="AO51" s="595"/>
      <c r="AP51" s="592"/>
      <c r="AQ51" s="598"/>
      <c r="AR51" s="599"/>
      <c r="AS51" s="877"/>
      <c r="AT51" s="877"/>
      <c r="AU51" s="877"/>
      <c r="AV51" s="877"/>
      <c r="AW51" s="1082"/>
      <c r="AX51" s="1082"/>
      <c r="AY51" s="1082"/>
      <c r="AZ51" s="1082"/>
      <c r="BA51" s="1082"/>
      <c r="BB51" s="877"/>
      <c r="BC51" s="600"/>
      <c r="BD51" s="601"/>
      <c r="BE51" s="601"/>
      <c r="BF51" s="601"/>
      <c r="BG51"/>
      <c r="BH51"/>
      <c r="BI51"/>
      <c r="BJ51"/>
      <c r="BK51"/>
      <c r="BL51"/>
    </row>
    <row r="52" spans="1:64" s="21" customFormat="1">
      <c r="A52" s="14" t="s">
        <v>339</v>
      </c>
      <c r="B52" s="15"/>
      <c r="C52" s="14"/>
      <c r="D52" s="14"/>
      <c r="E52" s="14"/>
      <c r="F52" s="16"/>
      <c r="G52" s="15"/>
      <c r="H52" s="16"/>
      <c r="I52" s="16"/>
      <c r="J52" s="16"/>
      <c r="K52" s="16"/>
      <c r="L52" s="15"/>
      <c r="M52" s="16"/>
      <c r="N52" s="16"/>
      <c r="O52" s="16"/>
      <c r="P52" s="16"/>
      <c r="Q52" s="15"/>
      <c r="R52" s="16"/>
      <c r="S52" s="16"/>
      <c r="T52" s="16"/>
      <c r="U52" s="16"/>
      <c r="V52" s="15"/>
      <c r="W52" s="16"/>
      <c r="X52" s="16"/>
      <c r="Y52" s="16">
        <f>0.5*AA52</f>
        <v>1250</v>
      </c>
      <c r="Z52" s="16">
        <f>0.5*AA52</f>
        <v>1250</v>
      </c>
      <c r="AA52" s="1003">
        <v>2500</v>
      </c>
      <c r="AB52" s="16"/>
      <c r="AC52" s="16"/>
      <c r="AD52" s="16"/>
      <c r="AE52" s="16"/>
      <c r="AF52" s="15">
        <f>AA52*2*(1+AF53)</f>
        <v>5300</v>
      </c>
      <c r="AG52" s="16"/>
      <c r="AH52" s="16"/>
      <c r="AI52" s="16"/>
      <c r="AJ52" s="16"/>
      <c r="AK52" s="15">
        <f>AF52*(1+AK53)</f>
        <v>5618</v>
      </c>
      <c r="AL52" s="16"/>
      <c r="AM52" s="16"/>
      <c r="AN52" s="16"/>
      <c r="AO52" s="16"/>
      <c r="AP52" s="15">
        <f>AK52*(1+AP53)</f>
        <v>5955.08</v>
      </c>
      <c r="AQ52" s="17"/>
      <c r="AR52" s="18"/>
      <c r="AS52" s="664"/>
      <c r="AT52" s="304"/>
      <c r="AU52" s="304"/>
      <c r="AV52" s="909"/>
      <c r="AW52" s="909"/>
      <c r="AX52" s="988"/>
      <c r="AY52" s="988"/>
      <c r="AZ52" s="988"/>
      <c r="BA52" s="988"/>
      <c r="BB52" s="304"/>
      <c r="BC52" s="18"/>
      <c r="BG52"/>
      <c r="BH52"/>
      <c r="BI52"/>
      <c r="BJ52"/>
      <c r="BK52"/>
      <c r="BL52"/>
    </row>
    <row r="53" spans="1:64" ht="12.75" customHeight="1">
      <c r="A53" s="22" t="s">
        <v>204</v>
      </c>
      <c r="B53" s="25"/>
      <c r="C53" s="24"/>
      <c r="D53" s="24"/>
      <c r="E53" s="24"/>
      <c r="F53" s="24"/>
      <c r="G53" s="25"/>
      <c r="H53" s="24"/>
      <c r="I53" s="24"/>
      <c r="J53" s="24"/>
      <c r="K53" s="24"/>
      <c r="L53" s="25"/>
      <c r="M53" s="24"/>
      <c r="N53" s="789"/>
      <c r="O53" s="24"/>
      <c r="P53" s="24"/>
      <c r="Q53" s="25"/>
      <c r="R53" s="24"/>
      <c r="S53" s="789"/>
      <c r="T53" s="24"/>
      <c r="U53" s="24"/>
      <c r="V53" s="25"/>
      <c r="W53" s="26"/>
      <c r="X53" s="26"/>
      <c r="Y53" s="26"/>
      <c r="Z53" s="26"/>
      <c r="AA53" s="23"/>
      <c r="AB53" s="26"/>
      <c r="AC53" s="26"/>
      <c r="AD53" s="26"/>
      <c r="AE53" s="26"/>
      <c r="AF53" s="27">
        <v>0.06</v>
      </c>
      <c r="AG53" s="26"/>
      <c r="AH53" s="26"/>
      <c r="AI53" s="26"/>
      <c r="AJ53" s="26"/>
      <c r="AK53" s="27">
        <v>0.06</v>
      </c>
      <c r="AL53" s="26"/>
      <c r="AM53" s="26"/>
      <c r="AN53" s="26"/>
      <c r="AO53" s="26"/>
      <c r="AP53" s="27">
        <v>0.06</v>
      </c>
      <c r="AQ53" s="28"/>
      <c r="AR53" s="7"/>
      <c r="AS53" s="304"/>
      <c r="AT53" s="304"/>
      <c r="AU53" s="304"/>
      <c r="AV53" s="909"/>
      <c r="AW53" s="1083"/>
      <c r="AX53" s="1083"/>
      <c r="AY53" s="1083"/>
      <c r="AZ53" s="1083"/>
      <c r="BA53" s="1083"/>
      <c r="BB53" s="664"/>
      <c r="BC53" s="105"/>
      <c r="BD53" s="29"/>
      <c r="BE53" s="29"/>
      <c r="BF53" s="29"/>
    </row>
    <row r="54" spans="1:64" ht="12.75" customHeight="1">
      <c r="A54" s="22" t="s">
        <v>205</v>
      </c>
      <c r="B54" s="23"/>
      <c r="C54" s="24"/>
      <c r="D54" s="24"/>
      <c r="E54" s="24"/>
      <c r="F54" s="24"/>
      <c r="G54" s="23"/>
      <c r="H54" s="24"/>
      <c r="I54" s="647"/>
      <c r="J54" s="24"/>
      <c r="K54" s="24"/>
      <c r="L54" s="23"/>
      <c r="M54" s="24"/>
      <c r="N54" s="24"/>
      <c r="O54" s="24"/>
      <c r="P54" s="24"/>
      <c r="Q54" s="23"/>
      <c r="R54" s="24"/>
      <c r="S54" s="24"/>
      <c r="T54" s="24"/>
      <c r="U54" s="24"/>
      <c r="V54" s="23"/>
      <c r="W54" s="789"/>
      <c r="X54" s="789"/>
      <c r="Y54" s="789"/>
      <c r="Z54" s="789"/>
      <c r="AA54" s="23"/>
      <c r="AB54" s="26"/>
      <c r="AC54" s="26"/>
      <c r="AD54" s="26"/>
      <c r="AE54" s="26"/>
      <c r="AF54" s="23"/>
      <c r="AG54" s="26"/>
      <c r="AH54" s="26"/>
      <c r="AI54" s="26"/>
      <c r="AJ54" s="26"/>
      <c r="AK54" s="23"/>
      <c r="AL54" s="26"/>
      <c r="AM54" s="26"/>
      <c r="AN54" s="26"/>
      <c r="AO54" s="26"/>
      <c r="AP54" s="23"/>
      <c r="AQ54" s="28"/>
      <c r="AR54" s="7"/>
      <c r="AS54" s="304"/>
      <c r="AT54" s="304"/>
      <c r="AU54" s="664"/>
      <c r="AV54" s="909"/>
      <c r="AW54" s="1084"/>
      <c r="AX54" s="1084"/>
      <c r="AY54" s="1084"/>
      <c r="AZ54" s="1084"/>
      <c r="BA54" s="1084"/>
      <c r="BB54" s="664"/>
      <c r="BC54" s="105"/>
      <c r="BD54" s="29"/>
      <c r="BE54" s="29"/>
      <c r="BF54" s="29"/>
    </row>
    <row r="55" spans="1:64" s="37" customFormat="1" ht="11.25" hidden="1" customHeight="1" outlineLevel="1">
      <c r="A55" s="31" t="s">
        <v>206</v>
      </c>
      <c r="B55" s="32"/>
      <c r="C55" s="640"/>
      <c r="D55" s="640"/>
      <c r="E55" s="640"/>
      <c r="F55" s="640"/>
      <c r="G55" s="32"/>
      <c r="H55" s="640"/>
      <c r="I55" s="640"/>
      <c r="J55" s="640"/>
      <c r="K55" s="640"/>
      <c r="L55" s="32"/>
      <c r="M55" s="225"/>
      <c r="N55" s="225"/>
      <c r="O55" s="225"/>
      <c r="P55" s="640"/>
      <c r="Q55" s="32"/>
      <c r="R55" s="225"/>
      <c r="S55" s="225"/>
      <c r="T55" s="225"/>
      <c r="U55" s="640"/>
      <c r="V55" s="32"/>
      <c r="W55" s="33"/>
      <c r="X55" s="33"/>
      <c r="Y55" s="33"/>
      <c r="Z55" s="33"/>
      <c r="AA55" s="32"/>
      <c r="AB55" s="33"/>
      <c r="AC55" s="33"/>
      <c r="AD55" s="33"/>
      <c r="AE55" s="33"/>
      <c r="AF55" s="32"/>
      <c r="AG55" s="33"/>
      <c r="AH55" s="33"/>
      <c r="AI55" s="33"/>
      <c r="AJ55" s="33"/>
      <c r="AK55" s="32"/>
      <c r="AL55" s="33"/>
      <c r="AM55" s="33"/>
      <c r="AN55" s="33"/>
      <c r="AO55" s="33"/>
      <c r="AP55" s="32"/>
      <c r="AQ55" s="34"/>
      <c r="AR55" s="35"/>
      <c r="AS55" s="304"/>
      <c r="AT55" s="304"/>
      <c r="AU55" s="664"/>
      <c r="AV55" s="626"/>
      <c r="AW55" s="626"/>
      <c r="AX55" s="626"/>
      <c r="AY55" s="626"/>
      <c r="AZ55" s="626"/>
      <c r="BA55" s="626"/>
      <c r="BB55" s="626"/>
      <c r="BC55" s="45"/>
      <c r="BD55" s="36"/>
      <c r="BE55" s="36"/>
      <c r="BF55" s="36"/>
      <c r="BG55"/>
      <c r="BH55"/>
      <c r="BI55"/>
      <c r="BJ55"/>
      <c r="BK55"/>
      <c r="BL55"/>
    </row>
    <row r="56" spans="1:64" s="44" customFormat="1" ht="11.25" hidden="1" customHeight="1" outlineLevel="1">
      <c r="A56" s="106" t="s">
        <v>207</v>
      </c>
      <c r="B56" s="39"/>
      <c r="C56" s="40"/>
      <c r="D56" s="659"/>
      <c r="E56" s="659"/>
      <c r="F56" s="40"/>
      <c r="G56" s="39"/>
      <c r="H56" s="40"/>
      <c r="I56" s="659"/>
      <c r="J56" s="659"/>
      <c r="K56" s="40"/>
      <c r="L56" s="39"/>
      <c r="M56" s="40"/>
      <c r="N56" s="40"/>
      <c r="O56" s="659"/>
      <c r="P56" s="40"/>
      <c r="Q56" s="39"/>
      <c r="R56" s="40"/>
      <c r="S56" s="40"/>
      <c r="T56" s="659"/>
      <c r="U56" s="40"/>
      <c r="V56" s="39"/>
      <c r="W56" s="40"/>
      <c r="X56" s="40"/>
      <c r="Y56" s="40"/>
      <c r="Z56" s="40"/>
      <c r="AA56" s="39"/>
      <c r="AB56" s="40"/>
      <c r="AC56" s="40"/>
      <c r="AD56" s="40"/>
      <c r="AE56" s="40"/>
      <c r="AF56" s="39"/>
      <c r="AG56" s="40"/>
      <c r="AH56" s="40"/>
      <c r="AI56" s="40"/>
      <c r="AJ56" s="40"/>
      <c r="AK56" s="39"/>
      <c r="AL56" s="40"/>
      <c r="AM56" s="40"/>
      <c r="AN56" s="40"/>
      <c r="AO56" s="40"/>
      <c r="AP56" s="39"/>
      <c r="AQ56" s="41"/>
      <c r="AR56" s="42"/>
      <c r="AS56" s="304"/>
      <c r="AT56" s="664"/>
      <c r="AU56" s="626"/>
      <c r="AV56" s="666"/>
      <c r="AW56" s="666"/>
      <c r="AX56" s="666"/>
      <c r="AY56" s="666"/>
      <c r="AZ56" s="666"/>
      <c r="BA56" s="666"/>
      <c r="BB56" s="666"/>
      <c r="BC56" s="46"/>
      <c r="BD56" s="43"/>
      <c r="BE56" s="43"/>
      <c r="BF56" s="43"/>
      <c r="BG56"/>
      <c r="BH56"/>
      <c r="BI56"/>
      <c r="BJ56"/>
      <c r="BK56"/>
      <c r="BL56"/>
    </row>
    <row r="57" spans="1:64" s="37" customFormat="1" ht="11.25" hidden="1" customHeight="1" outlineLevel="1">
      <c r="A57" s="31" t="s">
        <v>208</v>
      </c>
      <c r="B57" s="32"/>
      <c r="C57" s="640"/>
      <c r="D57" s="640"/>
      <c r="E57" s="640"/>
      <c r="F57" s="640"/>
      <c r="G57" s="32"/>
      <c r="H57" s="640"/>
      <c r="I57" s="640"/>
      <c r="J57" s="640"/>
      <c r="K57" s="640"/>
      <c r="L57" s="32"/>
      <c r="M57" s="225"/>
      <c r="N57" s="225"/>
      <c r="O57" s="225"/>
      <c r="P57" s="640"/>
      <c r="Q57" s="32"/>
      <c r="R57" s="225"/>
      <c r="S57" s="225"/>
      <c r="T57" s="225"/>
      <c r="U57" s="640"/>
      <c r="V57" s="32"/>
      <c r="W57" s="33"/>
      <c r="X57" s="33"/>
      <c r="Y57" s="33"/>
      <c r="Z57" s="33"/>
      <c r="AA57" s="32"/>
      <c r="AB57" s="33"/>
      <c r="AC57" s="33"/>
      <c r="AD57" s="33"/>
      <c r="AE57" s="33"/>
      <c r="AF57" s="32"/>
      <c r="AG57" s="33"/>
      <c r="AH57" s="33"/>
      <c r="AI57" s="33"/>
      <c r="AJ57" s="33"/>
      <c r="AK57" s="32"/>
      <c r="AL57" s="33"/>
      <c r="AM57" s="33"/>
      <c r="AN57" s="33"/>
      <c r="AO57" s="33"/>
      <c r="AP57" s="32"/>
      <c r="AQ57" s="34"/>
      <c r="AR57" s="35"/>
      <c r="AS57" s="664"/>
      <c r="AT57" s="664"/>
      <c r="AU57" s="666"/>
      <c r="AV57" s="626"/>
      <c r="AW57" s="626"/>
      <c r="AX57" s="626"/>
      <c r="AY57" s="626"/>
      <c r="AZ57" s="626"/>
      <c r="BA57" s="626"/>
      <c r="BB57" s="626"/>
      <c r="BC57" s="45"/>
      <c r="BD57" s="36"/>
      <c r="BE57" s="36"/>
      <c r="BF57" s="36"/>
      <c r="BG57"/>
      <c r="BH57"/>
      <c r="BI57"/>
      <c r="BJ57"/>
      <c r="BK57"/>
      <c r="BL57"/>
    </row>
    <row r="58" spans="1:64" s="44" customFormat="1" ht="11.25" hidden="1" customHeight="1" outlineLevel="1">
      <c r="A58" s="106" t="s">
        <v>207</v>
      </c>
      <c r="B58" s="39"/>
      <c r="C58" s="40"/>
      <c r="D58" s="40"/>
      <c r="E58" s="40"/>
      <c r="F58" s="40"/>
      <c r="G58" s="39"/>
      <c r="H58" s="40"/>
      <c r="I58" s="40"/>
      <c r="J58" s="40"/>
      <c r="K58" s="40"/>
      <c r="L58" s="39"/>
      <c r="M58" s="40"/>
      <c r="N58" s="40"/>
      <c r="O58" s="40"/>
      <c r="P58" s="40"/>
      <c r="Q58" s="39"/>
      <c r="R58" s="40"/>
      <c r="S58" s="40"/>
      <c r="T58" s="40"/>
      <c r="U58" s="40"/>
      <c r="V58" s="39"/>
      <c r="W58" s="40"/>
      <c r="X58" s="40"/>
      <c r="Y58" s="40"/>
      <c r="Z58" s="40"/>
      <c r="AA58" s="39"/>
      <c r="AB58" s="40"/>
      <c r="AC58" s="40"/>
      <c r="AD58" s="40"/>
      <c r="AE58" s="40"/>
      <c r="AF58" s="39"/>
      <c r="AG58" s="40"/>
      <c r="AH58" s="40"/>
      <c r="AI58" s="40"/>
      <c r="AJ58" s="40"/>
      <c r="AK58" s="39"/>
      <c r="AL58" s="40"/>
      <c r="AM58" s="40"/>
      <c r="AN58" s="40"/>
      <c r="AO58" s="40"/>
      <c r="AP58" s="39"/>
      <c r="AQ58" s="41"/>
      <c r="AR58" s="42"/>
      <c r="AS58" s="666"/>
      <c r="AT58" s="666"/>
      <c r="AU58" s="626"/>
      <c r="AV58" s="666"/>
      <c r="AW58" s="666"/>
      <c r="AX58" s="666"/>
      <c r="AY58" s="666"/>
      <c r="AZ58" s="666"/>
      <c r="BA58" s="666"/>
      <c r="BB58" s="666"/>
      <c r="BC58" s="46"/>
      <c r="BD58" s="43"/>
      <c r="BE58" s="43"/>
      <c r="BF58" s="43"/>
      <c r="BG58"/>
      <c r="BH58"/>
      <c r="BI58"/>
      <c r="BJ58"/>
      <c r="BK58"/>
      <c r="BL58"/>
    </row>
    <row r="59" spans="1:64" s="72" customFormat="1" ht="11.25" customHeight="1" collapsed="1">
      <c r="A59" s="66" t="s">
        <v>306</v>
      </c>
      <c r="B59" s="67"/>
      <c r="C59" s="66"/>
      <c r="D59" s="66"/>
      <c r="E59" s="66"/>
      <c r="F59" s="633"/>
      <c r="G59" s="67"/>
      <c r="H59" s="66"/>
      <c r="I59" s="66"/>
      <c r="J59" s="66"/>
      <c r="K59" s="68"/>
      <c r="L59" s="67"/>
      <c r="M59" s="66"/>
      <c r="N59" s="66"/>
      <c r="O59" s="66"/>
      <c r="P59" s="68"/>
      <c r="Q59" s="67"/>
      <c r="R59" s="66"/>
      <c r="S59" s="66"/>
      <c r="T59" s="66"/>
      <c r="U59" s="68"/>
      <c r="V59" s="67"/>
      <c r="W59" s="66"/>
      <c r="X59" s="66"/>
      <c r="Y59" s="66"/>
      <c r="Z59" s="68"/>
      <c r="AA59" s="67"/>
      <c r="AB59" s="66"/>
      <c r="AC59" s="66"/>
      <c r="AD59" s="66"/>
      <c r="AE59" s="68"/>
      <c r="AF59" s="67"/>
      <c r="AG59" s="66"/>
      <c r="AH59" s="66"/>
      <c r="AI59" s="66"/>
      <c r="AJ59" s="68"/>
      <c r="AK59" s="67"/>
      <c r="AL59" s="66"/>
      <c r="AM59" s="66"/>
      <c r="AN59" s="66"/>
      <c r="AO59" s="68"/>
      <c r="AP59" s="67"/>
      <c r="AQ59" s="69"/>
      <c r="AR59" s="70"/>
      <c r="AS59" s="666"/>
      <c r="AT59" s="666"/>
      <c r="AU59" s="666"/>
      <c r="AV59" s="304"/>
      <c r="AW59" s="304"/>
      <c r="AX59" s="304"/>
      <c r="AY59" s="304"/>
      <c r="AZ59" s="304"/>
      <c r="BA59" s="304"/>
      <c r="BB59" s="304"/>
      <c r="BC59" s="71"/>
      <c r="BD59" s="33"/>
      <c r="BE59" s="33"/>
      <c r="BF59" s="33"/>
      <c r="BG59"/>
      <c r="BH59"/>
      <c r="BI59"/>
      <c r="BJ59"/>
      <c r="BK59"/>
      <c r="BL59"/>
    </row>
    <row r="60" spans="1:64" s="81" customFormat="1" ht="11.25" customHeight="1">
      <c r="A60" s="22" t="s">
        <v>204</v>
      </c>
      <c r="B60" s="801"/>
      <c r="C60" s="802"/>
      <c r="D60" s="802"/>
      <c r="E60" s="802"/>
      <c r="F60" s="802"/>
      <c r="G60" s="25"/>
      <c r="H60" s="26"/>
      <c r="I60" s="26"/>
      <c r="J60" s="26"/>
      <c r="K60" s="76"/>
      <c r="L60" s="27"/>
      <c r="M60" s="26"/>
      <c r="N60" s="26"/>
      <c r="O60" s="26"/>
      <c r="P60" s="76"/>
      <c r="Q60" s="27"/>
      <c r="R60" s="26"/>
      <c r="S60" s="26"/>
      <c r="T60" s="26"/>
      <c r="U60" s="76"/>
      <c r="V60" s="27"/>
      <c r="W60" s="26"/>
      <c r="X60" s="26"/>
      <c r="Y60" s="26"/>
      <c r="Z60" s="76"/>
      <c r="AA60" s="27"/>
      <c r="AB60" s="26"/>
      <c r="AC60" s="26"/>
      <c r="AD60" s="26"/>
      <c r="AE60" s="76"/>
      <c r="AF60" s="27"/>
      <c r="AG60" s="26"/>
      <c r="AH60" s="26"/>
      <c r="AI60" s="26"/>
      <c r="AJ60" s="76"/>
      <c r="AK60" s="27"/>
      <c r="AL60" s="26"/>
      <c r="AM60" s="26"/>
      <c r="AN60" s="26"/>
      <c r="AO60" s="76"/>
      <c r="AP60" s="27"/>
      <c r="AQ60" s="77"/>
      <c r="AR60" s="6"/>
      <c r="AS60" s="304"/>
      <c r="AT60" s="304"/>
      <c r="AU60" s="304"/>
      <c r="AV60" s="619"/>
      <c r="AW60" s="619"/>
      <c r="AX60" s="619"/>
      <c r="AY60" s="619"/>
      <c r="AZ60" s="619"/>
      <c r="BA60" s="619"/>
      <c r="BB60" s="619"/>
      <c r="BC60" s="79"/>
      <c r="BD60" s="80"/>
      <c r="BE60" s="80"/>
      <c r="BF60" s="80"/>
      <c r="BG60"/>
      <c r="BH60"/>
      <c r="BI60"/>
      <c r="BJ60"/>
      <c r="BK60"/>
      <c r="BL60"/>
    </row>
    <row r="61" spans="1:64" s="72" customFormat="1" ht="11.25" customHeight="1">
      <c r="A61" s="82" t="s">
        <v>209</v>
      </c>
      <c r="B61" s="803"/>
      <c r="C61" s="653"/>
      <c r="D61" s="658"/>
      <c r="E61" s="640"/>
      <c r="F61" s="640"/>
      <c r="G61" s="32"/>
      <c r="H61" s="33"/>
      <c r="I61" s="33"/>
      <c r="J61" s="33"/>
      <c r="K61" s="83"/>
      <c r="L61" s="32"/>
      <c r="M61" s="34"/>
      <c r="N61" s="87"/>
      <c r="O61" s="33"/>
      <c r="P61" s="83"/>
      <c r="Q61" s="32"/>
      <c r="R61" s="34"/>
      <c r="S61" s="87"/>
      <c r="T61" s="33"/>
      <c r="U61" s="83"/>
      <c r="V61" s="32"/>
      <c r="W61" s="87"/>
      <c r="X61" s="87"/>
      <c r="Y61" s="87"/>
      <c r="Z61" s="90"/>
      <c r="AA61" s="89"/>
      <c r="AB61" s="87"/>
      <c r="AC61" s="87"/>
      <c r="AD61" s="87"/>
      <c r="AE61" s="90"/>
      <c r="AF61" s="89"/>
      <c r="AG61" s="87"/>
      <c r="AH61" s="87"/>
      <c r="AI61" s="87"/>
      <c r="AJ61" s="90"/>
      <c r="AK61" s="89"/>
      <c r="AL61" s="87"/>
      <c r="AM61" s="87"/>
      <c r="AN61" s="87"/>
      <c r="AO61" s="90"/>
      <c r="AP61" s="89"/>
      <c r="AQ61" s="34"/>
      <c r="AR61" s="70"/>
      <c r="AS61" s="304"/>
      <c r="AT61" s="304"/>
      <c r="AU61" s="304"/>
      <c r="AV61" s="304"/>
      <c r="AW61" s="304"/>
      <c r="AX61" s="304"/>
      <c r="AY61" s="304"/>
      <c r="AZ61" s="304"/>
      <c r="BA61" s="304"/>
      <c r="BB61" s="304"/>
      <c r="BC61" s="71"/>
      <c r="BD61" s="33"/>
      <c r="BE61" s="33"/>
      <c r="BF61" s="33"/>
      <c r="BG61"/>
      <c r="BH61"/>
      <c r="BI61"/>
      <c r="BJ61"/>
      <c r="BK61"/>
      <c r="BL61"/>
    </row>
    <row r="62" spans="1:64" s="81" customFormat="1" ht="11.25" customHeight="1">
      <c r="A62" s="84" t="s">
        <v>210</v>
      </c>
      <c r="B62" s="801"/>
      <c r="C62" s="802"/>
      <c r="D62" s="802"/>
      <c r="E62" s="802"/>
      <c r="F62" s="802"/>
      <c r="G62" s="25"/>
      <c r="H62" s="26"/>
      <c r="I62" s="26"/>
      <c r="J62" s="26"/>
      <c r="K62" s="76"/>
      <c r="L62" s="25"/>
      <c r="M62" s="28"/>
      <c r="N62" s="26"/>
      <c r="O62" s="26"/>
      <c r="P62" s="76"/>
      <c r="Q62" s="25"/>
      <c r="R62" s="28"/>
      <c r="S62" s="26"/>
      <c r="T62" s="26"/>
      <c r="U62" s="76"/>
      <c r="V62" s="25"/>
      <c r="W62" s="28"/>
      <c r="X62" s="26"/>
      <c r="Y62" s="26"/>
      <c r="Z62" s="76"/>
      <c r="AA62" s="27"/>
      <c r="AB62" s="28"/>
      <c r="AC62" s="26"/>
      <c r="AD62" s="26"/>
      <c r="AE62" s="76"/>
      <c r="AF62" s="27"/>
      <c r="AG62" s="28"/>
      <c r="AH62" s="26"/>
      <c r="AI62" s="26"/>
      <c r="AJ62" s="76"/>
      <c r="AK62" s="27"/>
      <c r="AL62" s="28"/>
      <c r="AM62" s="26"/>
      <c r="AN62" s="26"/>
      <c r="AO62" s="76"/>
      <c r="AP62" s="27"/>
      <c r="AQ62" s="77"/>
      <c r="AR62" s="6"/>
      <c r="AS62" s="619"/>
      <c r="AT62" s="619"/>
      <c r="AU62" s="619"/>
      <c r="AV62" s="619"/>
      <c r="AW62" s="619"/>
      <c r="AX62" s="619"/>
      <c r="AY62" s="619"/>
      <c r="AZ62" s="619"/>
      <c r="BA62" s="619"/>
      <c r="BB62" s="619"/>
      <c r="BC62" s="79"/>
      <c r="BD62" s="80"/>
      <c r="BE62" s="80"/>
      <c r="BF62" s="80"/>
      <c r="BG62"/>
      <c r="BH62"/>
      <c r="BI62"/>
      <c r="BJ62"/>
      <c r="BK62"/>
      <c r="BL62"/>
    </row>
    <row r="63" spans="1:64" s="72" customFormat="1" ht="11.25" customHeight="1">
      <c r="A63" s="82" t="s">
        <v>211</v>
      </c>
      <c r="B63" s="803"/>
      <c r="C63" s="641"/>
      <c r="D63" s="641"/>
      <c r="E63" s="641"/>
      <c r="F63" s="641"/>
      <c r="G63" s="85"/>
      <c r="H63" s="87"/>
      <c r="I63" s="87"/>
      <c r="J63" s="87"/>
      <c r="K63" s="90"/>
      <c r="L63" s="780"/>
      <c r="M63" s="34"/>
      <c r="N63" s="87"/>
      <c r="O63" s="87"/>
      <c r="P63" s="90"/>
      <c r="Q63" s="780"/>
      <c r="R63" s="34"/>
      <c r="S63" s="87"/>
      <c r="T63" s="87"/>
      <c r="U63" s="90"/>
      <c r="V63" s="780"/>
      <c r="W63" s="34"/>
      <c r="X63" s="87"/>
      <c r="Y63" s="87"/>
      <c r="Z63" s="90"/>
      <c r="AA63" s="89"/>
      <c r="AB63" s="34"/>
      <c r="AC63" s="87"/>
      <c r="AD63" s="87"/>
      <c r="AE63" s="90"/>
      <c r="AF63" s="89"/>
      <c r="AG63" s="34"/>
      <c r="AH63" s="87"/>
      <c r="AI63" s="87"/>
      <c r="AJ63" s="90"/>
      <c r="AK63" s="89"/>
      <c r="AL63" s="34"/>
      <c r="AM63" s="87"/>
      <c r="AN63" s="87"/>
      <c r="AO63" s="90"/>
      <c r="AP63" s="89"/>
      <c r="AQ63" s="34"/>
      <c r="AR63" s="70"/>
      <c r="AS63" s="304"/>
      <c r="AT63" s="304"/>
      <c r="AU63" s="304"/>
      <c r="AV63" s="884"/>
      <c r="AW63" s="884"/>
      <c r="AX63" s="884"/>
      <c r="AY63" s="304"/>
      <c r="AZ63" s="304"/>
      <c r="BA63" s="304"/>
      <c r="BB63" s="304"/>
      <c r="BC63" s="71"/>
      <c r="BD63" s="33"/>
      <c r="BE63" s="33"/>
      <c r="BF63" s="33"/>
      <c r="BG63"/>
      <c r="BH63"/>
      <c r="BI63"/>
      <c r="BJ63"/>
      <c r="BK63"/>
      <c r="BL63"/>
    </row>
    <row r="64" spans="1:64" s="81" customFormat="1" ht="11.25" customHeight="1">
      <c r="A64" s="84" t="s">
        <v>210</v>
      </c>
      <c r="B64" s="801"/>
      <c r="C64" s="802"/>
      <c r="D64" s="802"/>
      <c r="E64" s="802"/>
      <c r="F64" s="802"/>
      <c r="G64" s="25"/>
      <c r="H64" s="26"/>
      <c r="I64" s="26"/>
      <c r="J64" s="26"/>
      <c r="K64" s="76"/>
      <c r="L64" s="25"/>
      <c r="M64" s="28"/>
      <c r="N64" s="26"/>
      <c r="O64" s="26"/>
      <c r="P64" s="76"/>
      <c r="Q64" s="25"/>
      <c r="R64" s="28"/>
      <c r="S64" s="26"/>
      <c r="T64" s="26"/>
      <c r="U64" s="76"/>
      <c r="V64" s="25"/>
      <c r="W64" s="28"/>
      <c r="X64" s="26"/>
      <c r="Y64" s="26"/>
      <c r="Z64" s="76"/>
      <c r="AA64" s="27"/>
      <c r="AB64" s="28"/>
      <c r="AC64" s="26"/>
      <c r="AD64" s="26"/>
      <c r="AE64" s="76"/>
      <c r="AF64" s="27"/>
      <c r="AG64" s="28"/>
      <c r="AH64" s="26"/>
      <c r="AI64" s="26"/>
      <c r="AJ64" s="76"/>
      <c r="AK64" s="27"/>
      <c r="AL64" s="28"/>
      <c r="AM64" s="26"/>
      <c r="AN64" s="26"/>
      <c r="AO64" s="76"/>
      <c r="AP64" s="27"/>
      <c r="AQ64" s="77"/>
      <c r="AR64" s="6"/>
      <c r="AS64" s="664"/>
      <c r="AT64" s="664"/>
      <c r="AU64" s="619"/>
      <c r="AV64" s="619"/>
      <c r="AW64" s="619"/>
      <c r="AX64" s="619"/>
      <c r="AY64" s="619"/>
      <c r="AZ64" s="619"/>
      <c r="BA64" s="619"/>
      <c r="BB64" s="619"/>
      <c r="BC64" s="79"/>
      <c r="BD64" s="80"/>
      <c r="BE64" s="80"/>
      <c r="BF64" s="80"/>
      <c r="BG64"/>
      <c r="BH64"/>
      <c r="BI64"/>
      <c r="BJ64"/>
      <c r="BK64"/>
      <c r="BL64"/>
    </row>
    <row r="65" spans="1:238" s="81" customFormat="1" ht="11.25" customHeight="1">
      <c r="A65" s="91" t="s">
        <v>212</v>
      </c>
      <c r="B65" s="631"/>
      <c r="C65" s="646"/>
      <c r="D65" s="646"/>
      <c r="E65" s="646"/>
      <c r="F65" s="646"/>
      <c r="G65" s="92"/>
      <c r="H65" s="93"/>
      <c r="I65" s="93"/>
      <c r="J65" s="93"/>
      <c r="K65" s="93"/>
      <c r="L65" s="92"/>
      <c r="M65" s="94"/>
      <c r="N65" s="95"/>
      <c r="O65" s="93"/>
      <c r="P65" s="93"/>
      <c r="Q65" s="92"/>
      <c r="R65" s="94"/>
      <c r="S65" s="95"/>
      <c r="T65" s="93"/>
      <c r="U65" s="93"/>
      <c r="V65" s="92"/>
      <c r="W65" s="94"/>
      <c r="X65" s="95"/>
      <c r="Y65" s="95"/>
      <c r="Z65" s="96"/>
      <c r="AA65" s="97"/>
      <c r="AB65" s="94"/>
      <c r="AC65" s="95"/>
      <c r="AD65" s="95"/>
      <c r="AE65" s="96"/>
      <c r="AF65" s="97"/>
      <c r="AG65" s="94"/>
      <c r="AH65" s="95"/>
      <c r="AI65" s="95"/>
      <c r="AJ65" s="96"/>
      <c r="AK65" s="97"/>
      <c r="AL65" s="94"/>
      <c r="AM65" s="95"/>
      <c r="AN65" s="95"/>
      <c r="AO65" s="96"/>
      <c r="AP65" s="97"/>
      <c r="AQ65" s="98"/>
      <c r="AR65" s="6"/>
      <c r="AS65" s="664"/>
      <c r="AT65" s="664"/>
      <c r="AU65" s="619"/>
      <c r="AV65" s="619"/>
      <c r="AW65" s="619"/>
      <c r="AX65" s="619"/>
      <c r="AY65" s="619"/>
      <c r="AZ65" s="619"/>
      <c r="BA65" s="619"/>
      <c r="BB65" s="619"/>
      <c r="BC65" s="79"/>
      <c r="BD65" s="80"/>
      <c r="BE65" s="80"/>
      <c r="BF65" s="80"/>
      <c r="BG65"/>
      <c r="BH65"/>
      <c r="BI65"/>
      <c r="BJ65"/>
      <c r="BK65"/>
      <c r="BL65"/>
    </row>
    <row r="66" spans="1:238" s="602" customFormat="1" ht="11.25" customHeight="1">
      <c r="A66" s="591" t="s">
        <v>213</v>
      </c>
      <c r="B66" s="804"/>
      <c r="C66" s="805"/>
      <c r="D66" s="805"/>
      <c r="E66" s="805"/>
      <c r="F66" s="805"/>
      <c r="G66" s="593"/>
      <c r="H66" s="595"/>
      <c r="I66" s="595"/>
      <c r="J66" s="595"/>
      <c r="K66" s="596"/>
      <c r="L66" s="593"/>
      <c r="M66" s="597"/>
      <c r="N66" s="595"/>
      <c r="O66" s="595"/>
      <c r="P66" s="596"/>
      <c r="Q66" s="593"/>
      <c r="R66" s="597"/>
      <c r="S66" s="595"/>
      <c r="T66" s="595"/>
      <c r="U66" s="596"/>
      <c r="V66" s="593"/>
      <c r="W66" s="597"/>
      <c r="X66" s="595"/>
      <c r="Y66" s="595"/>
      <c r="Z66" s="596"/>
      <c r="AA66" s="592"/>
      <c r="AB66" s="597"/>
      <c r="AC66" s="595"/>
      <c r="AD66" s="595"/>
      <c r="AE66" s="596"/>
      <c r="AF66" s="592"/>
      <c r="AG66" s="597"/>
      <c r="AH66" s="595"/>
      <c r="AI66" s="595"/>
      <c r="AJ66" s="596"/>
      <c r="AK66" s="592"/>
      <c r="AL66" s="597"/>
      <c r="AM66" s="595"/>
      <c r="AN66" s="595"/>
      <c r="AO66" s="596"/>
      <c r="AP66" s="592"/>
      <c r="AQ66" s="598"/>
      <c r="AR66" s="599"/>
      <c r="AS66" s="877"/>
      <c r="AT66" s="877"/>
      <c r="AU66" s="877"/>
      <c r="AV66" s="877"/>
      <c r="AW66" s="877"/>
      <c r="AX66" s="877"/>
      <c r="AY66" s="877"/>
      <c r="AZ66" s="877"/>
      <c r="BA66" s="877"/>
      <c r="BB66" s="877"/>
      <c r="BC66" s="600"/>
      <c r="BD66" s="601"/>
      <c r="BE66" s="601"/>
      <c r="BF66" s="601"/>
      <c r="BG66"/>
      <c r="BH66"/>
      <c r="BI66"/>
      <c r="BJ66"/>
      <c r="BK66"/>
      <c r="BL66"/>
    </row>
    <row r="67" spans="1:238" s="602" customFormat="1" ht="11.25" customHeight="1">
      <c r="A67" s="591" t="s">
        <v>39</v>
      </c>
      <c r="B67" s="804"/>
      <c r="C67" s="805"/>
      <c r="D67" s="805"/>
      <c r="E67" s="805"/>
      <c r="F67" s="805"/>
      <c r="G67" s="593"/>
      <c r="H67" s="595"/>
      <c r="I67" s="595"/>
      <c r="J67" s="595"/>
      <c r="K67" s="595"/>
      <c r="L67" s="593"/>
      <c r="M67" s="595"/>
      <c r="N67" s="595"/>
      <c r="O67" s="595"/>
      <c r="P67" s="595"/>
      <c r="Q67" s="593"/>
      <c r="R67" s="595"/>
      <c r="S67" s="595"/>
      <c r="T67" s="595"/>
      <c r="U67" s="595"/>
      <c r="V67" s="593"/>
      <c r="W67" s="595"/>
      <c r="X67" s="595"/>
      <c r="Y67" s="595"/>
      <c r="Z67" s="595"/>
      <c r="AA67" s="592"/>
      <c r="AB67" s="595"/>
      <c r="AC67" s="595"/>
      <c r="AD67" s="595"/>
      <c r="AE67" s="595"/>
      <c r="AF67" s="592"/>
      <c r="AG67" s="595"/>
      <c r="AH67" s="595"/>
      <c r="AI67" s="595"/>
      <c r="AJ67" s="595"/>
      <c r="AK67" s="592"/>
      <c r="AL67" s="595"/>
      <c r="AM67" s="595"/>
      <c r="AN67" s="595"/>
      <c r="AO67" s="595"/>
      <c r="AP67" s="592"/>
      <c r="AQ67" s="598"/>
      <c r="AR67" s="599"/>
      <c r="AS67" s="877"/>
      <c r="AT67" s="877"/>
      <c r="AU67" s="877"/>
      <c r="AV67" s="877"/>
      <c r="AW67" s="877"/>
      <c r="AX67" s="877"/>
      <c r="AY67" s="877"/>
      <c r="AZ67" s="877"/>
      <c r="BA67" s="877"/>
      <c r="BB67" s="877"/>
      <c r="BC67" s="600"/>
      <c r="BD67" s="601"/>
      <c r="BE67" s="601"/>
      <c r="BF67" s="601"/>
      <c r="BG67"/>
      <c r="BH67"/>
      <c r="BI67"/>
      <c r="BJ67"/>
      <c r="BK67"/>
      <c r="BL67"/>
    </row>
    <row r="68" spans="1:238" s="37" customFormat="1" ht="11.25" customHeight="1">
      <c r="A68" s="31" t="s">
        <v>116</v>
      </c>
      <c r="B68" s="32">
        <v>-1834</v>
      </c>
      <c r="C68" s="640">
        <v>-519</v>
      </c>
      <c r="D68" s="640">
        <v>-468</v>
      </c>
      <c r="E68" s="640">
        <v>-481</v>
      </c>
      <c r="F68" s="640">
        <f>+G68-SUM(C68:E68)</f>
        <v>-439</v>
      </c>
      <c r="G68" s="32">
        <v>-1907</v>
      </c>
      <c r="H68" s="640">
        <v>-525</v>
      </c>
      <c r="I68" s="640">
        <v>-503</v>
      </c>
      <c r="J68" s="640">
        <v>-515</v>
      </c>
      <c r="K68" s="640">
        <f>+L68-SUM(H68:J68)</f>
        <v>-530</v>
      </c>
      <c r="L68" s="32">
        <v>-2073</v>
      </c>
      <c r="M68" s="33">
        <v>-564</v>
      </c>
      <c r="N68" s="296">
        <f>-6926+6375</f>
        <v>-551</v>
      </c>
      <c r="O68" s="640">
        <v>-575</v>
      </c>
      <c r="P68" s="640">
        <v>-594</v>
      </c>
      <c r="Q68" s="1021">
        <f>+SUM(M68:P68)</f>
        <v>-2284</v>
      </c>
      <c r="R68" s="33">
        <v>-564</v>
      </c>
      <c r="S68" s="296">
        <v>-551</v>
      </c>
      <c r="T68" s="640">
        <v>-575</v>
      </c>
      <c r="U68" s="640">
        <v>-594</v>
      </c>
      <c r="V68" s="1021">
        <f>+SUM(R68:U68)</f>
        <v>-2284</v>
      </c>
      <c r="W68" s="782">
        <f>(U68/(U36+U20+U4))*(W4+W20+W36)</f>
        <v>-597.93090680100738</v>
      </c>
      <c r="X68" s="782">
        <f t="shared" ref="X68:Z68" si="37">(W68/(W36+W20+W4))*(X4+X20+X36)</f>
        <v>-602.36263224181357</v>
      </c>
      <c r="Y68" s="782">
        <f t="shared" si="37"/>
        <v>-612.85447103274555</v>
      </c>
      <c r="Z68" s="782">
        <f t="shared" si="37"/>
        <v>-612.84532745591923</v>
      </c>
      <c r="AA68" s="780">
        <f>+SUM(W68:Z68)</f>
        <v>-2425.9933375314858</v>
      </c>
      <c r="AB68" s="782"/>
      <c r="AC68" s="782"/>
      <c r="AD68" s="782"/>
      <c r="AE68" s="782"/>
      <c r="AF68" s="781">
        <f>+AA68</f>
        <v>-2425.9933375314858</v>
      </c>
      <c r="AG68" s="782"/>
      <c r="AH68" s="782"/>
      <c r="AI68" s="782"/>
      <c r="AJ68" s="782"/>
      <c r="AK68" s="781">
        <f>+AF68</f>
        <v>-2425.9933375314858</v>
      </c>
      <c r="AL68" s="782"/>
      <c r="AM68" s="782"/>
      <c r="AN68" s="782"/>
      <c r="AO68" s="782"/>
      <c r="AP68" s="781">
        <f>+AK68</f>
        <v>-2425.9933375314858</v>
      </c>
      <c r="AQ68" s="34"/>
      <c r="AR68" s="35"/>
      <c r="AS68" s="304"/>
      <c r="AT68" s="304"/>
      <c r="AU68" s="664"/>
      <c r="AV68" s="626"/>
      <c r="AW68" s="626"/>
      <c r="AX68" s="626"/>
      <c r="AY68" s="626"/>
      <c r="AZ68" s="626"/>
      <c r="BA68" s="626"/>
      <c r="BB68" s="626"/>
      <c r="BC68" s="45"/>
      <c r="BD68" s="36"/>
      <c r="BE68" s="36"/>
      <c r="BF68" s="36"/>
      <c r="BG68"/>
      <c r="BH68"/>
      <c r="BI68"/>
      <c r="BJ68"/>
      <c r="BK68"/>
      <c r="BL68"/>
    </row>
    <row r="69" spans="1:238" s="531" customFormat="1">
      <c r="A69" s="14" t="s">
        <v>117</v>
      </c>
      <c r="B69" s="15">
        <f>B4+B20+B36+B52+B68</f>
        <v>23979</v>
      </c>
      <c r="C69" s="16">
        <f t="shared" ref="C69:AA69" si="38">C4+C20+C36+C52+C68</f>
        <v>5957</v>
      </c>
      <c r="D69" s="14">
        <f t="shared" si="38"/>
        <v>5896</v>
      </c>
      <c r="E69" s="14">
        <f t="shared" si="38"/>
        <v>5979</v>
      </c>
      <c r="F69" s="14">
        <f t="shared" si="38"/>
        <v>5694</v>
      </c>
      <c r="G69" s="15">
        <f t="shared" si="38"/>
        <v>23526</v>
      </c>
      <c r="H69" s="563">
        <f t="shared" si="38"/>
        <v>5956</v>
      </c>
      <c r="I69" s="16">
        <f t="shared" si="38"/>
        <v>6000</v>
      </c>
      <c r="J69" s="16">
        <f t="shared" si="38"/>
        <v>6155</v>
      </c>
      <c r="K69" s="16">
        <f t="shared" si="38"/>
        <v>6397</v>
      </c>
      <c r="L69" s="563">
        <f t="shared" si="38"/>
        <v>24508</v>
      </c>
      <c r="M69" s="563">
        <f t="shared" si="38"/>
        <v>6267</v>
      </c>
      <c r="N69" s="16">
        <f t="shared" si="38"/>
        <v>6375</v>
      </c>
      <c r="O69" s="16">
        <f t="shared" si="38"/>
        <v>6527</v>
      </c>
      <c r="P69" s="16">
        <f t="shared" ref="P69:T69" si="39">P4+P20+P36+P52+P68</f>
        <v>6634</v>
      </c>
      <c r="Q69" s="563">
        <f t="shared" si="39"/>
        <v>25803</v>
      </c>
      <c r="R69" s="563">
        <f t="shared" si="39"/>
        <v>6410</v>
      </c>
      <c r="S69" s="16">
        <f t="shared" si="39"/>
        <v>6473</v>
      </c>
      <c r="T69" s="16">
        <f t="shared" si="39"/>
        <v>6569</v>
      </c>
      <c r="U69" s="16">
        <f t="shared" ref="U69:V69" si="40">U4+U20+U36+U52+U68</f>
        <v>6552</v>
      </c>
      <c r="V69" s="563">
        <f t="shared" si="40"/>
        <v>26004</v>
      </c>
      <c r="W69" s="563">
        <f t="shared" si="38"/>
        <v>6595.359093198992</v>
      </c>
      <c r="X69" s="16">
        <f t="shared" si="38"/>
        <v>6644.2423677581864</v>
      </c>
      <c r="Y69" s="16">
        <f t="shared" si="38"/>
        <v>8009.9705289672547</v>
      </c>
      <c r="Z69" s="16">
        <f t="shared" si="38"/>
        <v>8009.8696725440805</v>
      </c>
      <c r="AA69" s="15">
        <f t="shared" si="38"/>
        <v>29259.441662468515</v>
      </c>
      <c r="AB69" s="563"/>
      <c r="AC69" s="16"/>
      <c r="AD69" s="16"/>
      <c r="AE69" s="16"/>
      <c r="AF69" s="15">
        <f>AF4+AF20+AF36+AF52+AF68</f>
        <v>33847.75986246852</v>
      </c>
      <c r="AG69" s="563"/>
      <c r="AH69" s="16"/>
      <c r="AI69" s="16"/>
      <c r="AJ69" s="16"/>
      <c r="AK69" s="15">
        <f>AK4+AK20+AK36+AK52+AK68</f>
        <v>36341.90210046852</v>
      </c>
      <c r="AL69" s="563"/>
      <c r="AM69" s="16"/>
      <c r="AN69" s="16"/>
      <c r="AO69" s="16"/>
      <c r="AP69" s="15">
        <f>AP4+AP20+AP36+AP52+AP68</f>
        <v>38419.148488168517</v>
      </c>
      <c r="AQ69" s="107"/>
      <c r="AR69" s="108"/>
      <c r="AS69" s="664" t="s">
        <v>372</v>
      </c>
      <c r="AT69" s="871"/>
      <c r="AU69" s="871"/>
      <c r="AV69" s="871"/>
      <c r="AW69" s="1069"/>
      <c r="AX69" s="1070" t="s">
        <v>393</v>
      </c>
      <c r="AY69" s="1081">
        <f>(AA69-AA52)/1000</f>
        <v>26.759441662468515</v>
      </c>
      <c r="AZ69" s="871"/>
      <c r="BA69" s="871"/>
      <c r="BB69" s="871"/>
      <c r="BC69" s="108"/>
      <c r="BD69" s="109"/>
      <c r="BE69" s="109"/>
      <c r="BF69" s="109"/>
      <c r="BG69"/>
      <c r="BH69"/>
      <c r="BI69"/>
      <c r="BJ69"/>
      <c r="BK69"/>
      <c r="BL69"/>
      <c r="BM69" s="110"/>
      <c r="BN69" s="110"/>
      <c r="BO69" s="110"/>
      <c r="BP69" s="110"/>
      <c r="BQ69" s="110"/>
      <c r="BR69" s="110"/>
      <c r="BS69" s="110"/>
      <c r="BT69" s="110"/>
      <c r="BU69" s="110"/>
      <c r="BV69" s="110"/>
      <c r="BW69" s="110"/>
      <c r="BX69" s="110"/>
      <c r="BY69" s="110"/>
      <c r="BZ69" s="110"/>
      <c r="CA69" s="110"/>
      <c r="CB69" s="110"/>
      <c r="CC69" s="110"/>
      <c r="CD69" s="110"/>
      <c r="CE69" s="110"/>
      <c r="CF69" s="110"/>
      <c r="CG69" s="110"/>
      <c r="CH69" s="110"/>
      <c r="CI69" s="110"/>
      <c r="CJ69" s="110"/>
      <c r="CK69" s="110"/>
      <c r="CL69" s="110"/>
      <c r="CM69" s="110"/>
      <c r="CN69" s="110"/>
      <c r="CO69" s="110"/>
      <c r="CP69" s="110"/>
      <c r="CQ69" s="110"/>
      <c r="CR69" s="110"/>
      <c r="CS69" s="110"/>
      <c r="CT69" s="110"/>
      <c r="CU69" s="110"/>
      <c r="CV69" s="110"/>
      <c r="CW69" s="110"/>
      <c r="CX69" s="110"/>
      <c r="CY69" s="110"/>
      <c r="CZ69" s="110"/>
      <c r="DA69" s="110"/>
      <c r="DB69" s="110"/>
      <c r="DC69" s="110"/>
      <c r="DD69" s="110"/>
      <c r="DE69" s="110"/>
      <c r="DF69" s="110"/>
      <c r="DG69" s="110"/>
      <c r="DH69" s="110"/>
      <c r="DI69" s="110"/>
      <c r="DJ69" s="110"/>
      <c r="DK69" s="110"/>
      <c r="DL69" s="110"/>
      <c r="DM69" s="110"/>
      <c r="DN69" s="110"/>
      <c r="DO69" s="110"/>
      <c r="DP69" s="110"/>
      <c r="DQ69" s="110"/>
      <c r="DR69" s="110"/>
      <c r="DS69" s="110"/>
      <c r="DT69" s="110"/>
      <c r="DU69" s="110"/>
      <c r="DV69" s="110"/>
      <c r="DW69" s="110"/>
      <c r="DX69" s="110"/>
      <c r="DY69" s="110"/>
      <c r="DZ69" s="110"/>
      <c r="EA69" s="110"/>
      <c r="EB69" s="110"/>
      <c r="EC69" s="110"/>
      <c r="ED69" s="110"/>
      <c r="EE69" s="110"/>
      <c r="EF69" s="110"/>
      <c r="EG69" s="110"/>
      <c r="EH69" s="110"/>
      <c r="EI69" s="110"/>
      <c r="EJ69" s="110"/>
      <c r="EK69" s="110"/>
      <c r="EL69" s="110"/>
      <c r="EM69" s="110"/>
      <c r="EN69" s="110"/>
      <c r="EO69" s="110"/>
      <c r="EP69" s="110"/>
      <c r="EQ69" s="110"/>
      <c r="ER69" s="110"/>
      <c r="ES69" s="110"/>
      <c r="ET69" s="110"/>
      <c r="EU69" s="110"/>
      <c r="EV69" s="110"/>
      <c r="EW69" s="110"/>
      <c r="EX69" s="110"/>
      <c r="EY69" s="110"/>
      <c r="EZ69" s="110"/>
      <c r="FA69" s="110"/>
      <c r="FB69" s="110"/>
      <c r="FC69" s="110"/>
      <c r="FD69" s="110"/>
      <c r="FE69" s="110"/>
      <c r="FF69" s="110"/>
      <c r="FG69" s="110"/>
      <c r="FH69" s="110"/>
      <c r="FI69" s="110"/>
      <c r="FJ69" s="110"/>
      <c r="FK69" s="110"/>
      <c r="FL69" s="110"/>
      <c r="FM69" s="110"/>
      <c r="FN69" s="110"/>
      <c r="FO69" s="110"/>
      <c r="FP69" s="110"/>
      <c r="FQ69" s="110"/>
      <c r="FR69" s="110"/>
      <c r="FS69" s="110"/>
      <c r="FT69" s="110"/>
      <c r="FU69" s="110"/>
      <c r="FV69" s="110"/>
      <c r="FW69" s="110"/>
      <c r="FX69" s="110"/>
      <c r="FY69" s="110"/>
      <c r="FZ69" s="110"/>
      <c r="GA69" s="110"/>
      <c r="GB69" s="110"/>
      <c r="GC69" s="110"/>
      <c r="GD69" s="110"/>
      <c r="GE69" s="110"/>
      <c r="GF69" s="110"/>
      <c r="GG69" s="110"/>
      <c r="GH69" s="110"/>
      <c r="GI69" s="110"/>
      <c r="GJ69" s="110"/>
      <c r="GK69" s="110"/>
      <c r="GL69" s="110"/>
      <c r="GM69" s="110"/>
      <c r="GN69" s="110"/>
      <c r="GO69" s="110"/>
      <c r="GP69" s="110"/>
      <c r="GQ69" s="110"/>
      <c r="GR69" s="110"/>
      <c r="GS69" s="110"/>
      <c r="GT69" s="110"/>
      <c r="GU69" s="110"/>
      <c r="GV69" s="110"/>
      <c r="GW69" s="110"/>
      <c r="GX69" s="110"/>
      <c r="GY69" s="110"/>
      <c r="GZ69" s="110"/>
      <c r="HA69" s="110"/>
      <c r="HB69" s="110"/>
      <c r="HC69" s="110"/>
      <c r="HD69" s="110"/>
      <c r="HE69" s="110"/>
      <c r="HF69" s="110"/>
      <c r="HG69" s="110"/>
      <c r="HH69" s="110"/>
      <c r="HI69" s="110"/>
      <c r="HJ69" s="110"/>
      <c r="HK69" s="110"/>
      <c r="HL69" s="110"/>
      <c r="HM69" s="110"/>
      <c r="HN69" s="110"/>
      <c r="HO69" s="110"/>
      <c r="HP69" s="110"/>
      <c r="HQ69" s="110"/>
      <c r="HR69" s="110"/>
      <c r="HS69" s="110"/>
      <c r="HT69" s="110"/>
      <c r="HU69" s="110"/>
      <c r="HV69" s="110"/>
      <c r="HW69" s="110"/>
      <c r="HX69" s="110"/>
      <c r="HY69" s="110"/>
      <c r="HZ69" s="110"/>
      <c r="IA69" s="110"/>
      <c r="IB69" s="110"/>
      <c r="IC69" s="110"/>
      <c r="ID69" s="110"/>
    </row>
    <row r="70" spans="1:238" ht="12.75" customHeight="1">
      <c r="A70" s="22" t="s">
        <v>204</v>
      </c>
      <c r="B70" s="23"/>
      <c r="C70" s="24"/>
      <c r="D70" s="24"/>
      <c r="E70" s="24"/>
      <c r="F70" s="24"/>
      <c r="G70" s="23">
        <f t="shared" ref="G70:O70" si="41">G69/B69-1</f>
        <v>-1.8891530088827713E-2</v>
      </c>
      <c r="H70" s="24">
        <f t="shared" si="41"/>
        <v>-1.6786973308713371E-4</v>
      </c>
      <c r="I70" s="24">
        <f t="shared" si="41"/>
        <v>1.7639077340569909E-2</v>
      </c>
      <c r="J70" s="24">
        <f t="shared" si="41"/>
        <v>2.9436360595417321E-2</v>
      </c>
      <c r="K70" s="24">
        <f t="shared" si="41"/>
        <v>0.12346329469617134</v>
      </c>
      <c r="L70" s="23">
        <f t="shared" si="41"/>
        <v>4.174105245260562E-2</v>
      </c>
      <c r="M70" s="24">
        <f t="shared" si="41"/>
        <v>5.2216252518468842E-2</v>
      </c>
      <c r="N70" s="24">
        <f t="shared" si="41"/>
        <v>6.25E-2</v>
      </c>
      <c r="O70" s="24">
        <f t="shared" si="41"/>
        <v>6.0438667749797004E-2</v>
      </c>
      <c r="P70" s="24">
        <f t="shared" ref="P70" si="42">P69/K69-1</f>
        <v>3.704861653900271E-2</v>
      </c>
      <c r="Q70" s="23">
        <f t="shared" ref="Q70" si="43">Q69/L69-1</f>
        <v>5.2839889015831476E-2</v>
      </c>
      <c r="R70" s="24"/>
      <c r="S70" s="24"/>
      <c r="T70" s="24"/>
      <c r="U70" s="24"/>
      <c r="V70" s="23"/>
      <c r="W70" s="238">
        <f>W69/R69-1</f>
        <v>2.891717522605175E-2</v>
      </c>
      <c r="X70" s="24">
        <f>X69/S69-1</f>
        <v>2.6454869111414592E-2</v>
      </c>
      <c r="Y70" s="24">
        <f>Y69/T69-1</f>
        <v>0.21935919150057148</v>
      </c>
      <c r="Z70" s="24">
        <f>Z69/U69-1</f>
        <v>0.22250758127962156</v>
      </c>
      <c r="AA70" s="23">
        <f>AA69/V69-1</f>
        <v>0.12519003470498835</v>
      </c>
      <c r="AB70" s="238"/>
      <c r="AC70" s="24"/>
      <c r="AD70" s="24"/>
      <c r="AE70" s="24"/>
      <c r="AF70" s="23">
        <f>AF69/AA69-1</f>
        <v>0.15681496089125657</v>
      </c>
      <c r="AG70" s="238"/>
      <c r="AH70" s="24"/>
      <c r="AI70" s="24"/>
      <c r="AJ70" s="24"/>
      <c r="AK70" s="23">
        <f>AK69/AF69-1</f>
        <v>7.368706963575411E-2</v>
      </c>
      <c r="AL70" s="238"/>
      <c r="AM70" s="24"/>
      <c r="AN70" s="24"/>
      <c r="AO70" s="24"/>
      <c r="AP70" s="23">
        <f>AP69/AK69-1</f>
        <v>5.7158438816916401E-2</v>
      </c>
      <c r="AQ70" s="28"/>
      <c r="AR70" s="7"/>
      <c r="AS70" s="304"/>
      <c r="AT70" s="664"/>
      <c r="AU70" s="664"/>
      <c r="AV70" s="664"/>
      <c r="AW70" s="664"/>
      <c r="AX70" s="664"/>
      <c r="AY70" s="664"/>
      <c r="AZ70" s="664"/>
      <c r="BA70" s="664"/>
      <c r="BB70" s="664"/>
      <c r="BC70" s="105"/>
      <c r="BD70" s="29"/>
      <c r="BE70" s="29"/>
      <c r="BF70" s="29"/>
    </row>
    <row r="71" spans="1:238" s="120" customFormat="1" ht="11.25" hidden="1" customHeight="1" outlineLevel="1">
      <c r="A71" s="113" t="s">
        <v>206</v>
      </c>
      <c r="B71" s="114">
        <f>B7+B23+B39</f>
        <v>14804</v>
      </c>
      <c r="C71" s="115">
        <f>C7+C23+C39</f>
        <v>3663</v>
      </c>
      <c r="D71" s="115">
        <f t="shared" ref="D71:L71" si="44">D7+D23+D39</f>
        <v>3701</v>
      </c>
      <c r="E71" s="115">
        <f t="shared" si="44"/>
        <v>3826</v>
      </c>
      <c r="F71" s="115">
        <f t="shared" si="44"/>
        <v>3592</v>
      </c>
      <c r="G71" s="114">
        <f t="shared" si="44"/>
        <v>14782</v>
      </c>
      <c r="H71" s="17">
        <f t="shared" si="44"/>
        <v>3709</v>
      </c>
      <c r="I71" s="115">
        <f t="shared" si="44"/>
        <v>3781</v>
      </c>
      <c r="J71" s="115">
        <f t="shared" si="44"/>
        <v>3946</v>
      </c>
      <c r="K71" s="115">
        <f t="shared" si="44"/>
        <v>4223</v>
      </c>
      <c r="L71" s="17">
        <f t="shared" si="44"/>
        <v>15659</v>
      </c>
      <c r="M71" s="17">
        <f>M7+M23+M39</f>
        <v>4114</v>
      </c>
      <c r="N71" s="115">
        <f>N7+N23+N39</f>
        <v>4198</v>
      </c>
      <c r="O71" s="115">
        <f t="shared" ref="O71:Q71" si="45">O7+O23+O39</f>
        <v>4398</v>
      </c>
      <c r="P71" s="115">
        <f t="shared" si="45"/>
        <v>4430</v>
      </c>
      <c r="Q71" s="17">
        <f t="shared" si="45"/>
        <v>17140</v>
      </c>
      <c r="R71" s="17"/>
      <c r="S71" s="115"/>
      <c r="T71" s="115"/>
      <c r="U71" s="115"/>
      <c r="V71" s="17"/>
      <c r="W71" s="17"/>
      <c r="X71" s="115"/>
      <c r="Y71" s="115"/>
      <c r="Z71" s="115"/>
      <c r="AA71" s="114"/>
      <c r="AB71" s="17"/>
      <c r="AC71" s="115"/>
      <c r="AD71" s="115"/>
      <c r="AE71" s="115"/>
      <c r="AF71" s="114"/>
      <c r="AG71" s="17"/>
      <c r="AH71" s="115"/>
      <c r="AI71" s="115"/>
      <c r="AJ71" s="115"/>
      <c r="AK71" s="114"/>
      <c r="AL71" s="17"/>
      <c r="AM71" s="115"/>
      <c r="AN71" s="115"/>
      <c r="AO71" s="115"/>
      <c r="AP71" s="114"/>
      <c r="AQ71" s="116"/>
      <c r="AR71" s="117"/>
      <c r="AS71" s="668"/>
      <c r="AT71" s="668"/>
      <c r="AU71" s="668"/>
      <c r="AV71" s="668"/>
      <c r="AW71" s="668"/>
      <c r="AX71" s="668"/>
      <c r="AY71" s="668"/>
      <c r="AZ71" s="668"/>
      <c r="BA71" s="668"/>
      <c r="BB71" s="668"/>
      <c r="BC71" s="118"/>
      <c r="BD71" s="119"/>
      <c r="BE71" s="119"/>
      <c r="BF71" s="119"/>
      <c r="BG71"/>
      <c r="BH71"/>
      <c r="BI71"/>
      <c r="BJ71"/>
      <c r="BK71"/>
      <c r="BL71"/>
    </row>
    <row r="72" spans="1:238" s="44" customFormat="1" ht="11.25" hidden="1" customHeight="1" outlineLevel="1">
      <c r="A72" s="106" t="s">
        <v>205</v>
      </c>
      <c r="B72" s="39">
        <f>B71/B69</f>
        <v>0.61737353517661286</v>
      </c>
      <c r="C72" s="40">
        <f t="shared" ref="C72:L72" si="46">C71/C69</f>
        <v>0.6149068322981367</v>
      </c>
      <c r="D72" s="40">
        <f t="shared" si="46"/>
        <v>0.62771370420624151</v>
      </c>
      <c r="E72" s="180">
        <f t="shared" si="46"/>
        <v>0.63990633885265091</v>
      </c>
      <c r="F72" s="40">
        <f t="shared" si="46"/>
        <v>0.6308394801545486</v>
      </c>
      <c r="G72" s="39">
        <f t="shared" si="46"/>
        <v>0.62832610728555638</v>
      </c>
      <c r="H72" s="168">
        <f t="shared" si="46"/>
        <v>0.62273337810611151</v>
      </c>
      <c r="I72" s="40">
        <f t="shared" si="46"/>
        <v>0.63016666666666665</v>
      </c>
      <c r="J72" s="40">
        <f t="shared" si="46"/>
        <v>0.64110479285134037</v>
      </c>
      <c r="K72" s="40">
        <f t="shared" si="46"/>
        <v>0.66015319681100515</v>
      </c>
      <c r="L72" s="168">
        <f t="shared" si="46"/>
        <v>0.63893422555900115</v>
      </c>
      <c r="M72" s="168">
        <f>M71/M69</f>
        <v>0.65645444391255781</v>
      </c>
      <c r="N72" s="40">
        <f>N71/N69</f>
        <v>0.65850980392156866</v>
      </c>
      <c r="O72" s="40">
        <f t="shared" ref="O72:Q72" si="47">O71/O69</f>
        <v>0.67381645472652063</v>
      </c>
      <c r="P72" s="40">
        <f t="shared" si="47"/>
        <v>0.66777208320771786</v>
      </c>
      <c r="Q72" s="168">
        <f t="shared" si="47"/>
        <v>0.66426384528930749</v>
      </c>
      <c r="R72" s="168"/>
      <c r="S72" s="40"/>
      <c r="T72" s="40"/>
      <c r="U72" s="40"/>
      <c r="V72" s="168"/>
      <c r="W72" s="168"/>
      <c r="X72" s="40"/>
      <c r="Y72" s="40"/>
      <c r="Z72" s="40"/>
      <c r="AA72" s="39"/>
      <c r="AB72" s="168"/>
      <c r="AC72" s="40"/>
      <c r="AD72" s="40"/>
      <c r="AE72" s="40"/>
      <c r="AF72" s="39"/>
      <c r="AG72" s="168"/>
      <c r="AH72" s="40"/>
      <c r="AI72" s="40"/>
      <c r="AJ72" s="40"/>
      <c r="AK72" s="39"/>
      <c r="AL72" s="168"/>
      <c r="AM72" s="40"/>
      <c r="AN72" s="40"/>
      <c r="AO72" s="40"/>
      <c r="AP72" s="39"/>
      <c r="AQ72" s="41"/>
      <c r="AR72" s="42"/>
      <c r="AS72" s="666"/>
      <c r="AT72" s="666"/>
      <c r="AU72" s="666"/>
      <c r="AV72" s="1068"/>
      <c r="AW72" s="666"/>
      <c r="AX72" s="666"/>
      <c r="AY72" s="666"/>
      <c r="AZ72" s="666"/>
      <c r="BA72" s="666"/>
      <c r="BB72" s="666"/>
      <c r="BC72" s="46"/>
      <c r="BD72" s="43"/>
      <c r="BE72" s="43"/>
      <c r="BF72" s="43"/>
      <c r="BG72"/>
      <c r="BH72"/>
      <c r="BI72"/>
      <c r="BJ72"/>
      <c r="BK72"/>
      <c r="BL72"/>
    </row>
    <row r="73" spans="1:238" s="120" customFormat="1" ht="11.25" hidden="1" customHeight="1" outlineLevel="1">
      <c r="A73" s="113" t="s">
        <v>208</v>
      </c>
      <c r="B73" s="114">
        <f>B9+B25+B41</f>
        <v>11009</v>
      </c>
      <c r="C73" s="115">
        <f t="shared" ref="C73:L73" si="48">C9+C25+C41</f>
        <v>2813</v>
      </c>
      <c r="D73" s="115">
        <f>D9+D25+D41</f>
        <v>2663</v>
      </c>
      <c r="E73" s="115">
        <f t="shared" si="48"/>
        <v>2634</v>
      </c>
      <c r="F73" s="115">
        <f t="shared" si="48"/>
        <v>2541</v>
      </c>
      <c r="G73" s="114">
        <f t="shared" si="48"/>
        <v>10651</v>
      </c>
      <c r="H73" s="17">
        <f t="shared" si="48"/>
        <v>2772</v>
      </c>
      <c r="I73" s="115">
        <f t="shared" si="48"/>
        <v>2722</v>
      </c>
      <c r="J73" s="115">
        <f t="shared" si="48"/>
        <v>2724</v>
      </c>
      <c r="K73" s="115">
        <f t="shared" si="48"/>
        <v>2704</v>
      </c>
      <c r="L73" s="17">
        <f t="shared" si="48"/>
        <v>10922</v>
      </c>
      <c r="M73" s="17">
        <f>M9+M25+M41</f>
        <v>2717</v>
      </c>
      <c r="N73" s="115">
        <f>N9+N25+N41</f>
        <v>2728</v>
      </c>
      <c r="O73" s="115">
        <f t="shared" ref="O73:Q73" si="49">O9+O25+O41</f>
        <v>2704</v>
      </c>
      <c r="P73" s="115">
        <f t="shared" si="49"/>
        <v>2798</v>
      </c>
      <c r="Q73" s="17">
        <f t="shared" si="49"/>
        <v>10947</v>
      </c>
      <c r="R73" s="17"/>
      <c r="S73" s="115"/>
      <c r="T73" s="115"/>
      <c r="U73" s="115"/>
      <c r="V73" s="17"/>
      <c r="W73" s="17"/>
      <c r="X73" s="115"/>
      <c r="Y73" s="115"/>
      <c r="Z73" s="115"/>
      <c r="AA73" s="114"/>
      <c r="AB73" s="17"/>
      <c r="AC73" s="115"/>
      <c r="AD73" s="115"/>
      <c r="AE73" s="115"/>
      <c r="AF73" s="114"/>
      <c r="AG73" s="17"/>
      <c r="AH73" s="115"/>
      <c r="AI73" s="115"/>
      <c r="AJ73" s="115"/>
      <c r="AK73" s="114"/>
      <c r="AL73" s="17"/>
      <c r="AM73" s="115"/>
      <c r="AN73" s="115"/>
      <c r="AO73" s="115"/>
      <c r="AP73" s="114"/>
      <c r="AQ73" s="116"/>
      <c r="AR73" s="117"/>
      <c r="AS73" s="626"/>
      <c r="AT73" s="626"/>
      <c r="AU73" s="626"/>
      <c r="AV73" s="626"/>
      <c r="AW73" s="626"/>
      <c r="AX73" s="626"/>
      <c r="AY73" s="626"/>
      <c r="AZ73" s="626"/>
      <c r="BA73" s="626"/>
      <c r="BB73" s="626"/>
      <c r="BC73" s="118"/>
      <c r="BD73" s="119"/>
      <c r="BE73" s="119"/>
      <c r="BF73" s="119"/>
      <c r="BG73"/>
      <c r="BH73"/>
      <c r="BI73"/>
      <c r="BJ73"/>
      <c r="BK73"/>
      <c r="BL73"/>
    </row>
    <row r="74" spans="1:238" s="44" customFormat="1" ht="11.25" hidden="1" customHeight="1" outlineLevel="1">
      <c r="A74" s="121" t="s">
        <v>205</v>
      </c>
      <c r="B74" s="122">
        <f>B73/B69</f>
        <v>0.45911005463113558</v>
      </c>
      <c r="C74" s="123">
        <f t="shared" ref="C74:L74" si="50">C73/C69</f>
        <v>0.47221755917408093</v>
      </c>
      <c r="D74" s="123">
        <f t="shared" si="50"/>
        <v>0.45166214382632291</v>
      </c>
      <c r="E74" s="123">
        <f t="shared" si="50"/>
        <v>0.44054189663823384</v>
      </c>
      <c r="F74" s="123">
        <f t="shared" si="50"/>
        <v>0.44625922023182296</v>
      </c>
      <c r="G74" s="122">
        <f t="shared" si="50"/>
        <v>0.45273314630621442</v>
      </c>
      <c r="H74" s="564">
        <f t="shared" si="50"/>
        <v>0.46541302887844188</v>
      </c>
      <c r="I74" s="123">
        <f t="shared" si="50"/>
        <v>0.45366666666666666</v>
      </c>
      <c r="J74" s="123">
        <f t="shared" si="50"/>
        <v>0.44256701868399673</v>
      </c>
      <c r="K74" s="123">
        <f t="shared" si="50"/>
        <v>0.42269813975300924</v>
      </c>
      <c r="L74" s="564">
        <f t="shared" si="50"/>
        <v>0.44565039986943039</v>
      </c>
      <c r="M74" s="564">
        <f>M73/M69</f>
        <v>0.43354076910802619</v>
      </c>
      <c r="N74" s="123">
        <f>N73/N69</f>
        <v>0.42792156862745095</v>
      </c>
      <c r="O74" s="123">
        <f t="shared" ref="O74:Q74" si="51">O73/O69</f>
        <v>0.41427914815382261</v>
      </c>
      <c r="P74" s="123">
        <f t="shared" si="51"/>
        <v>0.42176665661742541</v>
      </c>
      <c r="Q74" s="564">
        <f t="shared" si="51"/>
        <v>0.42425299383792581</v>
      </c>
      <c r="R74" s="564"/>
      <c r="S74" s="123"/>
      <c r="T74" s="123"/>
      <c r="U74" s="123"/>
      <c r="V74" s="564"/>
      <c r="W74" s="564"/>
      <c r="X74" s="123"/>
      <c r="Y74" s="123"/>
      <c r="Z74" s="123"/>
      <c r="AA74" s="122"/>
      <c r="AB74" s="564"/>
      <c r="AC74" s="123"/>
      <c r="AD74" s="123"/>
      <c r="AE74" s="123"/>
      <c r="AF74" s="122"/>
      <c r="AG74" s="564"/>
      <c r="AH74" s="123"/>
      <c r="AI74" s="123"/>
      <c r="AJ74" s="123"/>
      <c r="AK74" s="122"/>
      <c r="AL74" s="564"/>
      <c r="AM74" s="123"/>
      <c r="AN74" s="123"/>
      <c r="AO74" s="123"/>
      <c r="AP74" s="122"/>
      <c r="AQ74" s="41"/>
      <c r="AR74" s="42"/>
      <c r="AS74" s="666"/>
      <c r="AT74" s="666"/>
      <c r="AU74" s="666"/>
      <c r="AV74" s="666"/>
      <c r="AW74" s="666"/>
      <c r="AX74" s="666"/>
      <c r="AY74" s="666"/>
      <c r="AZ74" s="666"/>
      <c r="BA74" s="666"/>
      <c r="BB74" s="666"/>
      <c r="BC74" s="46"/>
      <c r="BD74" s="43"/>
      <c r="BE74" s="43"/>
      <c r="BF74" s="43"/>
      <c r="BG74"/>
      <c r="BH74"/>
      <c r="BI74"/>
      <c r="BJ74"/>
      <c r="BK74"/>
      <c r="BL74"/>
    </row>
    <row r="75" spans="1:238" s="120" customFormat="1" ht="11.25" hidden="1" customHeight="1" outlineLevel="1">
      <c r="A75" s="113" t="s">
        <v>214</v>
      </c>
      <c r="B75" s="114">
        <f>SUM(B77:B78)</f>
        <v>12197</v>
      </c>
      <c r="C75" s="115"/>
      <c r="D75" s="115"/>
      <c r="E75" s="115"/>
      <c r="F75" s="115"/>
      <c r="G75" s="114">
        <f>SUM(G77:G78)</f>
        <v>12199</v>
      </c>
      <c r="H75" s="17"/>
      <c r="I75" s="115"/>
      <c r="J75" s="115"/>
      <c r="K75" s="115"/>
      <c r="L75" s="114">
        <f>SUM(L77:L78)</f>
        <v>13469</v>
      </c>
      <c r="M75" s="17"/>
      <c r="N75" s="115"/>
      <c r="O75" s="115"/>
      <c r="P75" s="115"/>
      <c r="Q75" s="114">
        <f>SUM(Q77:Q78)</f>
        <v>14168</v>
      </c>
      <c r="R75" s="17"/>
      <c r="S75" s="115"/>
      <c r="T75" s="115"/>
      <c r="U75" s="115"/>
      <c r="V75" s="114"/>
      <c r="W75" s="17"/>
      <c r="X75" s="115"/>
      <c r="Y75" s="115"/>
      <c r="Z75" s="115"/>
      <c r="AA75" s="114"/>
      <c r="AB75" s="17"/>
      <c r="AC75" s="115"/>
      <c r="AD75" s="115"/>
      <c r="AE75" s="115"/>
      <c r="AF75" s="114"/>
      <c r="AG75" s="17"/>
      <c r="AH75" s="115"/>
      <c r="AI75" s="115"/>
      <c r="AJ75" s="115"/>
      <c r="AK75" s="114"/>
      <c r="AL75" s="17"/>
      <c r="AM75" s="115"/>
      <c r="AN75" s="115"/>
      <c r="AO75" s="115"/>
      <c r="AP75" s="114"/>
      <c r="AQ75" s="116"/>
      <c r="AR75" s="117"/>
      <c r="AS75" s="626"/>
      <c r="AT75" s="626"/>
      <c r="AU75" s="626"/>
      <c r="AV75" s="626"/>
      <c r="AW75" s="626"/>
      <c r="AX75" s="626"/>
      <c r="AY75" s="626"/>
      <c r="AZ75" s="626"/>
      <c r="BA75" s="626"/>
      <c r="BB75" s="626"/>
      <c r="BC75" s="118"/>
      <c r="BD75" s="119"/>
      <c r="BE75" s="119"/>
      <c r="BF75" s="119"/>
      <c r="BG75"/>
      <c r="BH75"/>
      <c r="BI75"/>
      <c r="BJ75"/>
      <c r="BK75"/>
      <c r="BL75"/>
    </row>
    <row r="76" spans="1:238" s="44" customFormat="1" ht="11.25" hidden="1" customHeight="1" outlineLevel="1">
      <c r="A76" s="124" t="s">
        <v>205</v>
      </c>
      <c r="B76" s="39">
        <f>B75/B69</f>
        <v>0.50865340506276324</v>
      </c>
      <c r="C76" s="40"/>
      <c r="D76" s="40"/>
      <c r="E76" s="40"/>
      <c r="F76" s="40"/>
      <c r="G76" s="810">
        <f>G75/G69</f>
        <v>0.51853268723964974</v>
      </c>
      <c r="H76" s="168"/>
      <c r="I76" s="40"/>
      <c r="J76" s="40"/>
      <c r="K76" s="40"/>
      <c r="L76" s="39">
        <f>L75/L69</f>
        <v>0.54957564876774934</v>
      </c>
      <c r="M76" s="168"/>
      <c r="N76" s="40"/>
      <c r="O76" s="40"/>
      <c r="P76" s="40"/>
      <c r="Q76" s="39">
        <f>Q75/Q69</f>
        <v>0.54908343991008801</v>
      </c>
      <c r="R76" s="168"/>
      <c r="S76" s="40"/>
      <c r="T76" s="40"/>
      <c r="U76" s="40"/>
      <c r="V76" s="39"/>
      <c r="W76" s="168"/>
      <c r="X76" s="40"/>
      <c r="Y76" s="40"/>
      <c r="Z76" s="40"/>
      <c r="AA76" s="39"/>
      <c r="AB76" s="168"/>
      <c r="AC76" s="40"/>
      <c r="AD76" s="40"/>
      <c r="AE76" s="40"/>
      <c r="AF76" s="39"/>
      <c r="AG76" s="168"/>
      <c r="AH76" s="40"/>
      <c r="AI76" s="40"/>
      <c r="AJ76" s="40"/>
      <c r="AK76" s="39"/>
      <c r="AL76" s="168"/>
      <c r="AM76" s="40"/>
      <c r="AN76" s="40"/>
      <c r="AO76" s="40"/>
      <c r="AP76" s="39"/>
      <c r="AQ76" s="41"/>
      <c r="AR76" s="42"/>
      <c r="AS76" s="666"/>
      <c r="AT76" s="666"/>
      <c r="AU76" s="666"/>
      <c r="AV76" s="666"/>
      <c r="AW76" s="666"/>
      <c r="AX76" s="666"/>
      <c r="AY76" s="666"/>
      <c r="AZ76" s="666"/>
      <c r="BA76" s="666"/>
      <c r="BB76" s="666"/>
      <c r="BC76" s="46"/>
      <c r="BD76" s="43"/>
      <c r="BE76" s="43"/>
      <c r="BF76" s="43"/>
      <c r="BG76"/>
      <c r="BH76"/>
      <c r="BI76"/>
      <c r="BJ76"/>
      <c r="BK76"/>
      <c r="BL76"/>
    </row>
    <row r="77" spans="1:238" s="37" customFormat="1" ht="11.25" hidden="1" customHeight="1" outlineLevel="1">
      <c r="A77" s="125" t="s">
        <v>215</v>
      </c>
      <c r="B77" s="648">
        <v>11691</v>
      </c>
      <c r="C77" s="33"/>
      <c r="D77" s="33"/>
      <c r="E77" s="33"/>
      <c r="F77" s="33"/>
      <c r="G77" s="648">
        <v>11558</v>
      </c>
      <c r="H77" s="69"/>
      <c r="I77" s="33"/>
      <c r="J77" s="33"/>
      <c r="K77" s="33"/>
      <c r="L77" s="648">
        <v>12665</v>
      </c>
      <c r="M77" s="69"/>
      <c r="N77" s="33"/>
      <c r="O77" s="33"/>
      <c r="P77" s="33"/>
      <c r="Q77" s="1021">
        <v>13441</v>
      </c>
      <c r="R77" s="69"/>
      <c r="S77" s="33"/>
      <c r="T77" s="33"/>
      <c r="U77" s="33"/>
      <c r="V77" s="1021"/>
      <c r="W77" s="69"/>
      <c r="X77" s="33"/>
      <c r="Y77" s="33"/>
      <c r="Z77" s="33"/>
      <c r="AA77" s="32"/>
      <c r="AB77" s="69"/>
      <c r="AC77" s="33"/>
      <c r="AD77" s="33"/>
      <c r="AE77" s="33"/>
      <c r="AF77" s="32"/>
      <c r="AG77" s="69"/>
      <c r="AH77" s="33"/>
      <c r="AI77" s="33"/>
      <c r="AJ77" s="33"/>
      <c r="AK77" s="32"/>
      <c r="AL77" s="69"/>
      <c r="AM77" s="33"/>
      <c r="AN77" s="33"/>
      <c r="AO77" s="33"/>
      <c r="AP77" s="32"/>
      <c r="AQ77" s="34"/>
      <c r="AR77" s="35"/>
      <c r="AS77" s="626"/>
      <c r="AT77" s="626"/>
      <c r="AU77" s="885"/>
      <c r="AV77" s="885"/>
      <c r="AW77" s="885"/>
      <c r="AX77" s="885"/>
      <c r="AY77" s="885"/>
      <c r="AZ77" s="885"/>
      <c r="BA77" s="885"/>
      <c r="BB77" s="885"/>
      <c r="BC77" s="45"/>
      <c r="BD77" s="36"/>
      <c r="BE77" s="36"/>
      <c r="BF77" s="36"/>
      <c r="BG77"/>
      <c r="BH77"/>
      <c r="BI77"/>
      <c r="BJ77"/>
      <c r="BK77"/>
      <c r="BL77"/>
    </row>
    <row r="78" spans="1:238" s="37" customFormat="1" ht="11.25" hidden="1" customHeight="1" outlineLevel="1">
      <c r="A78" s="125" t="s">
        <v>184</v>
      </c>
      <c r="B78" s="648">
        <v>506</v>
      </c>
      <c r="C78" s="33"/>
      <c r="D78" s="33"/>
      <c r="E78" s="33"/>
      <c r="F78" s="33"/>
      <c r="G78" s="648">
        <v>641</v>
      </c>
      <c r="H78" s="69"/>
      <c r="I78" s="33"/>
      <c r="J78" s="33"/>
      <c r="K78" s="33"/>
      <c r="L78" s="648">
        <f>698+106</f>
        <v>804</v>
      </c>
      <c r="M78" s="69"/>
      <c r="N78" s="33"/>
      <c r="O78" s="33"/>
      <c r="P78" s="33"/>
      <c r="Q78" s="1021">
        <f>641+86</f>
        <v>727</v>
      </c>
      <c r="R78" s="69"/>
      <c r="S78" s="33"/>
      <c r="T78" s="33"/>
      <c r="U78" s="33"/>
      <c r="V78" s="1021"/>
      <c r="W78" s="69"/>
      <c r="X78" s="33"/>
      <c r="Y78" s="33"/>
      <c r="Z78" s="33"/>
      <c r="AA78" s="32"/>
      <c r="AB78" s="69"/>
      <c r="AC78" s="33"/>
      <c r="AD78" s="33"/>
      <c r="AE78" s="33"/>
      <c r="AF78" s="32"/>
      <c r="AG78" s="69"/>
      <c r="AH78" s="33"/>
      <c r="AI78" s="33"/>
      <c r="AJ78" s="33"/>
      <c r="AK78" s="32"/>
      <c r="AL78" s="69"/>
      <c r="AM78" s="33"/>
      <c r="AN78" s="33"/>
      <c r="AO78" s="33"/>
      <c r="AP78" s="32"/>
      <c r="AQ78" s="34"/>
      <c r="AR78" s="35"/>
      <c r="AS78" s="626"/>
      <c r="AT78" s="626"/>
      <c r="AU78" s="885"/>
      <c r="AV78" s="885"/>
      <c r="AW78" s="885"/>
      <c r="AX78" s="626"/>
      <c r="AY78" s="626"/>
      <c r="AZ78" s="626"/>
      <c r="BA78" s="626"/>
      <c r="BB78" s="626"/>
      <c r="BC78" s="45"/>
      <c r="BD78" s="36"/>
      <c r="BE78" s="36"/>
      <c r="BF78" s="36"/>
      <c r="BG78"/>
      <c r="BH78"/>
      <c r="BI78"/>
      <c r="BJ78"/>
      <c r="BK78"/>
      <c r="BL78"/>
    </row>
    <row r="79" spans="1:238" s="120" customFormat="1" ht="11.25" hidden="1" customHeight="1" outlineLevel="1">
      <c r="A79" s="113" t="s">
        <v>216</v>
      </c>
      <c r="B79" s="114">
        <f>SUM(B81:B82)</f>
        <v>11782</v>
      </c>
      <c r="C79" s="115"/>
      <c r="D79" s="115"/>
      <c r="E79" s="115"/>
      <c r="F79" s="115"/>
      <c r="G79" s="114">
        <f>SUM(G81:G82)</f>
        <v>11327</v>
      </c>
      <c r="H79" s="17"/>
      <c r="I79" s="115"/>
      <c r="J79" s="115"/>
      <c r="K79" s="115"/>
      <c r="L79" s="114">
        <f>SUM(L81:L82)</f>
        <v>11039</v>
      </c>
      <c r="M79" s="17"/>
      <c r="N79" s="115"/>
      <c r="O79" s="115"/>
      <c r="P79" s="115"/>
      <c r="Q79" s="114">
        <f>SUM(Q81:Q82)</f>
        <v>11635</v>
      </c>
      <c r="R79" s="17"/>
      <c r="S79" s="115"/>
      <c r="T79" s="115"/>
      <c r="U79" s="115"/>
      <c r="V79" s="114"/>
      <c r="W79" s="17"/>
      <c r="X79" s="115"/>
      <c r="Y79" s="115"/>
      <c r="Z79" s="115"/>
      <c r="AA79" s="114"/>
      <c r="AB79" s="17"/>
      <c r="AC79" s="115"/>
      <c r="AD79" s="115"/>
      <c r="AE79" s="115"/>
      <c r="AF79" s="114"/>
      <c r="AG79" s="17"/>
      <c r="AH79" s="115"/>
      <c r="AI79" s="115"/>
      <c r="AJ79" s="115"/>
      <c r="AK79" s="114"/>
      <c r="AL79" s="17"/>
      <c r="AM79" s="115"/>
      <c r="AN79" s="115"/>
      <c r="AO79" s="115"/>
      <c r="AP79" s="114"/>
      <c r="AQ79" s="116"/>
      <c r="AR79" s="117"/>
      <c r="AS79" s="626"/>
      <c r="AT79" s="626"/>
      <c r="AU79" s="626"/>
      <c r="AV79" s="626"/>
      <c r="AW79" s="626"/>
      <c r="AX79" s="626"/>
      <c r="AY79" s="626"/>
      <c r="AZ79" s="626"/>
      <c r="BA79" s="626"/>
      <c r="BB79" s="626"/>
      <c r="BC79" s="118"/>
      <c r="BD79" s="119"/>
      <c r="BE79" s="119"/>
      <c r="BF79" s="119"/>
      <c r="BG79"/>
      <c r="BH79"/>
      <c r="BI79"/>
      <c r="BJ79"/>
      <c r="BK79"/>
      <c r="BL79"/>
    </row>
    <row r="80" spans="1:238" s="44" customFormat="1" ht="11.25" hidden="1" customHeight="1" outlineLevel="1">
      <c r="A80" s="124" t="s">
        <v>205</v>
      </c>
      <c r="B80" s="39">
        <f>B79/B69</f>
        <v>0.49134659493723676</v>
      </c>
      <c r="C80" s="40"/>
      <c r="D80" s="40"/>
      <c r="E80" s="40"/>
      <c r="F80" s="40"/>
      <c r="G80" s="39">
        <f>G79/G69</f>
        <v>0.48146731276035026</v>
      </c>
      <c r="H80" s="168"/>
      <c r="I80" s="40"/>
      <c r="J80" s="40"/>
      <c r="K80" s="40"/>
      <c r="L80" s="39">
        <f>L79/L69</f>
        <v>0.45042435123225072</v>
      </c>
      <c r="M80" s="168"/>
      <c r="N80" s="40"/>
      <c r="O80" s="40"/>
      <c r="P80" s="40"/>
      <c r="Q80" s="39">
        <f>Q79/Q69</f>
        <v>0.45091656008991204</v>
      </c>
      <c r="R80" s="168"/>
      <c r="S80" s="40"/>
      <c r="T80" s="40"/>
      <c r="U80" s="40"/>
      <c r="V80" s="39"/>
      <c r="W80" s="168"/>
      <c r="X80" s="40"/>
      <c r="Y80" s="40"/>
      <c r="Z80" s="40"/>
      <c r="AA80" s="39"/>
      <c r="AB80" s="168"/>
      <c r="AC80" s="40"/>
      <c r="AD80" s="40"/>
      <c r="AE80" s="40"/>
      <c r="AF80" s="39"/>
      <c r="AG80" s="168"/>
      <c r="AH80" s="40"/>
      <c r="AI80" s="40"/>
      <c r="AJ80" s="40"/>
      <c r="AK80" s="39"/>
      <c r="AL80" s="168"/>
      <c r="AM80" s="40"/>
      <c r="AN80" s="40"/>
      <c r="AO80" s="40"/>
      <c r="AP80" s="39"/>
      <c r="AQ80" s="41"/>
      <c r="AR80" s="42"/>
      <c r="AS80" s="666"/>
      <c r="AT80" s="666"/>
      <c r="AU80" s="666"/>
      <c r="AV80" s="666"/>
      <c r="AW80" s="666"/>
      <c r="AX80" s="666"/>
      <c r="AY80" s="666"/>
      <c r="AZ80" s="666"/>
      <c r="BA80" s="666"/>
      <c r="BB80" s="666"/>
      <c r="BC80" s="46"/>
      <c r="BD80" s="43"/>
      <c r="BE80" s="43"/>
      <c r="BF80" s="43"/>
      <c r="BG80"/>
      <c r="BH80"/>
      <c r="BI80"/>
      <c r="BJ80"/>
      <c r="BK80"/>
      <c r="BL80"/>
    </row>
    <row r="81" spans="1:64" s="37" customFormat="1" ht="11.25" hidden="1" customHeight="1" outlineLevel="1">
      <c r="A81" s="125" t="s">
        <v>215</v>
      </c>
      <c r="B81" s="648">
        <v>8394</v>
      </c>
      <c r="C81" s="33"/>
      <c r="D81" s="33"/>
      <c r="E81" s="33"/>
      <c r="F81" s="33"/>
      <c r="G81" s="648">
        <v>7900</v>
      </c>
      <c r="H81" s="69"/>
      <c r="I81" s="33"/>
      <c r="J81" s="33"/>
      <c r="K81" s="33"/>
      <c r="L81" s="648">
        <v>7908</v>
      </c>
      <c r="M81" s="69"/>
      <c r="N81" s="33"/>
      <c r="O81" s="33"/>
      <c r="P81" s="33"/>
      <c r="Q81" s="1021">
        <v>8396</v>
      </c>
      <c r="R81" s="69"/>
      <c r="S81" s="33"/>
      <c r="T81" s="33"/>
      <c r="U81" s="33"/>
      <c r="V81" s="1021"/>
      <c r="W81" s="69"/>
      <c r="X81" s="33"/>
      <c r="Y81" s="33"/>
      <c r="Z81" s="33"/>
      <c r="AA81" s="32"/>
      <c r="AB81" s="69"/>
      <c r="AC81" s="33"/>
      <c r="AD81" s="33"/>
      <c r="AE81" s="33"/>
      <c r="AF81" s="32"/>
      <c r="AG81" s="69"/>
      <c r="AH81" s="33"/>
      <c r="AI81" s="33"/>
      <c r="AJ81" s="33"/>
      <c r="AK81" s="32"/>
      <c r="AL81" s="69"/>
      <c r="AM81" s="33"/>
      <c r="AN81" s="33"/>
      <c r="AO81" s="33"/>
      <c r="AP81" s="32"/>
      <c r="AQ81" s="34"/>
      <c r="AR81" s="35"/>
      <c r="AS81" s="626"/>
      <c r="AT81" s="626"/>
      <c r="AU81" s="626"/>
      <c r="AV81" s="626"/>
      <c r="AW81" s="626"/>
      <c r="AX81" s="626"/>
      <c r="AY81" s="626"/>
      <c r="AZ81" s="626"/>
      <c r="BA81" s="626"/>
      <c r="BB81" s="626"/>
      <c r="BC81" s="45"/>
      <c r="BD81" s="36"/>
      <c r="BE81" s="36"/>
      <c r="BF81" s="36"/>
      <c r="BG81"/>
      <c r="BH81"/>
      <c r="BI81"/>
      <c r="BJ81"/>
      <c r="BK81"/>
      <c r="BL81"/>
    </row>
    <row r="82" spans="1:64" s="37" customFormat="1" ht="11.25" hidden="1" customHeight="1" outlineLevel="1">
      <c r="A82" s="791" t="s">
        <v>184</v>
      </c>
      <c r="B82" s="792">
        <v>3388</v>
      </c>
      <c r="C82" s="793"/>
      <c r="D82" s="793"/>
      <c r="E82" s="793"/>
      <c r="F82" s="793"/>
      <c r="G82" s="792">
        <v>3427</v>
      </c>
      <c r="H82" s="794"/>
      <c r="I82" s="793"/>
      <c r="J82" s="793"/>
      <c r="K82" s="793"/>
      <c r="L82" s="794">
        <f>2507+624</f>
        <v>3131</v>
      </c>
      <c r="M82" s="794"/>
      <c r="N82" s="793"/>
      <c r="O82" s="793"/>
      <c r="P82" s="793"/>
      <c r="Q82" s="1034">
        <f>2661+578</f>
        <v>3239</v>
      </c>
      <c r="R82" s="794"/>
      <c r="S82" s="793"/>
      <c r="T82" s="793"/>
      <c r="U82" s="793"/>
      <c r="V82" s="1034"/>
      <c r="W82" s="794"/>
      <c r="X82" s="793"/>
      <c r="Y82" s="793"/>
      <c r="Z82" s="793"/>
      <c r="AA82" s="792"/>
      <c r="AB82" s="794"/>
      <c r="AC82" s="793"/>
      <c r="AD82" s="793"/>
      <c r="AE82" s="793"/>
      <c r="AF82" s="792"/>
      <c r="AG82" s="794"/>
      <c r="AH82" s="793"/>
      <c r="AI82" s="793"/>
      <c r="AJ82" s="793"/>
      <c r="AK82" s="792"/>
      <c r="AL82" s="794"/>
      <c r="AM82" s="793"/>
      <c r="AN82" s="793"/>
      <c r="AO82" s="793"/>
      <c r="AP82" s="792"/>
      <c r="AQ82" s="34"/>
      <c r="AR82" s="35"/>
      <c r="AS82" s="626"/>
      <c r="AT82" s="626"/>
      <c r="AU82" s="626"/>
      <c r="AV82" s="626"/>
      <c r="AW82" s="626"/>
      <c r="AX82" s="626"/>
      <c r="AY82" s="626"/>
      <c r="AZ82" s="626"/>
      <c r="BA82" s="626"/>
      <c r="BB82" s="626"/>
      <c r="BC82" s="45"/>
      <c r="BD82" s="36"/>
      <c r="BE82" s="36"/>
      <c r="BF82" s="36"/>
      <c r="BG82"/>
      <c r="BH82"/>
      <c r="BI82"/>
      <c r="BJ82"/>
      <c r="BK82"/>
      <c r="BL82"/>
    </row>
    <row r="83" spans="1:64" s="37" customFormat="1" ht="11.25" customHeight="1" collapsed="1">
      <c r="A83" s="126" t="s">
        <v>217</v>
      </c>
      <c r="B83" s="648">
        <v>3045</v>
      </c>
      <c r="C83" s="33"/>
      <c r="D83" s="33"/>
      <c r="E83" s="33"/>
      <c r="F83" s="33"/>
      <c r="G83" s="648">
        <v>3339</v>
      </c>
      <c r="H83" s="69"/>
      <c r="I83" s="33"/>
      <c r="J83" s="33"/>
      <c r="K83" s="33"/>
      <c r="L83" s="648">
        <v>3205</v>
      </c>
      <c r="M83" s="33"/>
      <c r="N83" s="33"/>
      <c r="O83" s="33"/>
      <c r="P83" s="33"/>
      <c r="Q83" s="1021">
        <v>3302</v>
      </c>
      <c r="R83" s="33"/>
      <c r="S83" s="33"/>
      <c r="T83" s="33"/>
      <c r="U83" s="33"/>
      <c r="V83" s="1021"/>
      <c r="W83" s="69"/>
      <c r="X83" s="33"/>
      <c r="Y83" s="33"/>
      <c r="Z83" s="33"/>
      <c r="AA83" s="89"/>
      <c r="AB83" s="69"/>
      <c r="AC83" s="33"/>
      <c r="AD83" s="33"/>
      <c r="AE83" s="33"/>
      <c r="AF83" s="89"/>
      <c r="AG83" s="69"/>
      <c r="AH83" s="33"/>
      <c r="AI83" s="33"/>
      <c r="AJ83" s="33"/>
      <c r="AK83" s="89"/>
      <c r="AL83" s="69"/>
      <c r="AM83" s="33"/>
      <c r="AN83" s="33"/>
      <c r="AO83" s="33"/>
      <c r="AP83" s="89"/>
      <c r="AQ83" s="34"/>
      <c r="AR83" s="35"/>
      <c r="AS83" s="626"/>
      <c r="AT83" s="626"/>
      <c r="AU83" s="626"/>
      <c r="AV83" s="626"/>
      <c r="AW83" s="626"/>
      <c r="AX83" s="626"/>
      <c r="AY83" s="626"/>
      <c r="AZ83" s="626"/>
      <c r="BA83" s="626"/>
      <c r="BB83" s="626"/>
      <c r="BC83" s="45"/>
      <c r="BD83" s="36"/>
      <c r="BE83" s="36"/>
      <c r="BF83" s="36"/>
      <c r="BG83"/>
      <c r="BH83"/>
      <c r="BI83"/>
      <c r="BJ83"/>
      <c r="BK83"/>
      <c r="BL83"/>
    </row>
    <row r="84" spans="1:64" s="44" customFormat="1" ht="11.25" customHeight="1">
      <c r="A84" s="124" t="s">
        <v>205</v>
      </c>
      <c r="B84" s="39">
        <f>B83/B69</f>
        <v>0.12698611284874264</v>
      </c>
      <c r="C84" s="48"/>
      <c r="D84" s="40"/>
      <c r="E84" s="40"/>
      <c r="F84" s="40"/>
      <c r="G84" s="39">
        <f>G83/G69</f>
        <v>0.14192807957153789</v>
      </c>
      <c r="H84" s="48"/>
      <c r="I84" s="48"/>
      <c r="J84" s="48"/>
      <c r="K84" s="48"/>
      <c r="L84" s="39">
        <f>L83/L69</f>
        <v>0.13077362493879549</v>
      </c>
      <c r="M84" s="48"/>
      <c r="N84" s="48"/>
      <c r="O84" s="48"/>
      <c r="P84" s="48"/>
      <c r="Q84" s="39">
        <f>Q83/Q69</f>
        <v>0.12796961593613146</v>
      </c>
      <c r="R84" s="48"/>
      <c r="S84" s="48"/>
      <c r="T84" s="48"/>
      <c r="U84" s="48"/>
      <c r="V84" s="39"/>
      <c r="W84" s="41"/>
      <c r="X84" s="48"/>
      <c r="Y84" s="48"/>
      <c r="Z84" s="48"/>
      <c r="AA84" s="47"/>
      <c r="AB84" s="41"/>
      <c r="AC84" s="48"/>
      <c r="AD84" s="48"/>
      <c r="AE84" s="48"/>
      <c r="AF84" s="47"/>
      <c r="AG84" s="41"/>
      <c r="AH84" s="48"/>
      <c r="AI84" s="48"/>
      <c r="AJ84" s="48"/>
      <c r="AK84" s="47"/>
      <c r="AL84" s="41"/>
      <c r="AM84" s="48"/>
      <c r="AN84" s="48"/>
      <c r="AO84" s="48"/>
      <c r="AP84" s="47"/>
      <c r="AQ84" s="41"/>
      <c r="AR84" s="42"/>
      <c r="AS84" s="666"/>
      <c r="AT84" s="666"/>
      <c r="AU84" s="666"/>
      <c r="AV84" s="666"/>
      <c r="AW84" s="666"/>
      <c r="AX84" s="666"/>
      <c r="AY84" s="666"/>
      <c r="AZ84" s="666"/>
      <c r="BA84" s="666"/>
      <c r="BB84" s="666"/>
      <c r="BC84" s="46"/>
      <c r="BD84" s="43"/>
      <c r="BE84" s="43"/>
      <c r="BF84" s="43"/>
      <c r="BG84"/>
      <c r="BH84"/>
      <c r="BI84"/>
      <c r="BJ84"/>
      <c r="BK84"/>
      <c r="BL84"/>
    </row>
    <row r="85" spans="1:64" s="130" customFormat="1" ht="11.25" customHeight="1">
      <c r="A85" s="587" t="s">
        <v>218</v>
      </c>
      <c r="B85" s="806"/>
      <c r="C85" s="633"/>
      <c r="D85" s="633"/>
      <c r="E85" s="633"/>
      <c r="F85" s="633"/>
      <c r="G85" s="67">
        <f>SUM(G11,G27,G43)</f>
        <v>35923</v>
      </c>
      <c r="H85" s="66"/>
      <c r="I85" s="66"/>
      <c r="J85" s="66"/>
      <c r="K85" s="68"/>
      <c r="L85" s="67">
        <f>SUM(L11,L27,L43)</f>
        <v>45339</v>
      </c>
      <c r="M85" s="587"/>
      <c r="N85" s="587"/>
      <c r="O85" s="66"/>
      <c r="P85" s="68"/>
      <c r="Q85" s="67">
        <f>SUM(Q11,Q27,Q43)</f>
        <v>42878</v>
      </c>
      <c r="R85" s="587"/>
      <c r="S85" s="587"/>
      <c r="T85" s="66"/>
      <c r="U85" s="68"/>
      <c r="V85" s="67"/>
      <c r="W85" s="590"/>
      <c r="X85" s="587"/>
      <c r="Y85" s="587"/>
      <c r="Z85" s="589"/>
      <c r="AA85" s="588"/>
      <c r="AB85" s="590"/>
      <c r="AC85" s="587"/>
      <c r="AD85" s="587"/>
      <c r="AE85" s="589"/>
      <c r="AF85" s="588"/>
      <c r="AG85" s="590"/>
      <c r="AH85" s="587"/>
      <c r="AI85" s="587"/>
      <c r="AJ85" s="589"/>
      <c r="AK85" s="588"/>
      <c r="AL85" s="590"/>
      <c r="AM85" s="587"/>
      <c r="AN85" s="587"/>
      <c r="AO85" s="589"/>
      <c r="AP85" s="588"/>
      <c r="AQ85" s="127"/>
      <c r="AR85" s="128"/>
      <c r="AS85" s="667"/>
      <c r="AT85" s="667"/>
      <c r="AU85" s="667"/>
      <c r="AV85" s="667"/>
      <c r="AW85" s="667"/>
      <c r="AX85" s="667"/>
      <c r="AY85" s="667"/>
      <c r="AZ85" s="667"/>
      <c r="BA85" s="667"/>
      <c r="BB85" s="667"/>
      <c r="BC85" s="129"/>
      <c r="BD85" s="59"/>
      <c r="BE85" s="59"/>
      <c r="BF85" s="59"/>
      <c r="BG85"/>
      <c r="BH85"/>
      <c r="BI85"/>
      <c r="BJ85"/>
      <c r="BK85"/>
      <c r="BL85"/>
    </row>
    <row r="86" spans="1:64" s="81" customFormat="1" ht="11.25" customHeight="1">
      <c r="A86" s="22" t="s">
        <v>204</v>
      </c>
      <c r="B86" s="801"/>
      <c r="C86" s="802"/>
      <c r="D86" s="802"/>
      <c r="E86" s="802"/>
      <c r="F86" s="802"/>
      <c r="G86" s="25"/>
      <c r="H86" s="26"/>
      <c r="I86" s="26"/>
      <c r="J86" s="26"/>
      <c r="K86" s="76"/>
      <c r="L86" s="25">
        <f>L85/G85-1</f>
        <v>0.26211619296829336</v>
      </c>
      <c r="M86" s="26"/>
      <c r="N86" s="26"/>
      <c r="O86" s="26"/>
      <c r="P86" s="76"/>
      <c r="Q86" s="25">
        <f>Q85/L85-1</f>
        <v>-5.4279979708418802E-2</v>
      </c>
      <c r="R86" s="26"/>
      <c r="S86" s="26"/>
      <c r="T86" s="26"/>
      <c r="U86" s="76"/>
      <c r="V86" s="25"/>
      <c r="W86" s="28"/>
      <c r="X86" s="26"/>
      <c r="Y86" s="26"/>
      <c r="Z86" s="76"/>
      <c r="AA86" s="27"/>
      <c r="AB86" s="28"/>
      <c r="AC86" s="26"/>
      <c r="AD86" s="26"/>
      <c r="AE86" s="76"/>
      <c r="AF86" s="27"/>
      <c r="AG86" s="28"/>
      <c r="AH86" s="26"/>
      <c r="AI86" s="26"/>
      <c r="AJ86" s="76"/>
      <c r="AK86" s="27"/>
      <c r="AL86" s="28"/>
      <c r="AM86" s="26"/>
      <c r="AN86" s="26"/>
      <c r="AO86" s="76"/>
      <c r="AP86" s="27"/>
      <c r="AQ86" s="77"/>
      <c r="AR86" s="6"/>
      <c r="AS86" s="619"/>
      <c r="AT86" s="619"/>
      <c r="AU86" s="619"/>
      <c r="AV86" s="619"/>
      <c r="AW86" s="619"/>
      <c r="AX86" s="619"/>
      <c r="AY86" s="619"/>
      <c r="AZ86" s="619"/>
      <c r="BA86" s="619"/>
      <c r="BB86" s="619"/>
      <c r="BC86" s="79"/>
      <c r="BD86" s="80"/>
      <c r="BE86" s="80"/>
      <c r="BF86" s="80"/>
      <c r="BG86"/>
      <c r="BH86"/>
      <c r="BI86"/>
      <c r="BJ86"/>
      <c r="BK86"/>
      <c r="BL86"/>
    </row>
    <row r="87" spans="1:64" s="72" customFormat="1" ht="11.25" hidden="1" customHeight="1" outlineLevel="1">
      <c r="A87" s="82" t="s">
        <v>209</v>
      </c>
      <c r="B87" s="803"/>
      <c r="C87" s="641"/>
      <c r="D87" s="641"/>
      <c r="E87" s="641"/>
      <c r="F87" s="641"/>
      <c r="G87" s="85">
        <f>F87</f>
        <v>0</v>
      </c>
      <c r="H87" s="87"/>
      <c r="I87" s="87"/>
      <c r="J87" s="87"/>
      <c r="K87" s="90"/>
      <c r="L87" s="780">
        <f>SUM(L13,L29,L45)</f>
        <v>22166</v>
      </c>
      <c r="M87" s="87"/>
      <c r="N87" s="87"/>
      <c r="O87" s="87"/>
      <c r="P87" s="90"/>
      <c r="Q87" s="780">
        <f>SUM(Q13,Q29,Q45)</f>
        <v>22373</v>
      </c>
      <c r="R87" s="87"/>
      <c r="S87" s="87"/>
      <c r="T87" s="87"/>
      <c r="U87" s="90"/>
      <c r="V87" s="780"/>
      <c r="W87" s="34"/>
      <c r="X87" s="87"/>
      <c r="Y87" s="87"/>
      <c r="Z87" s="90"/>
      <c r="AA87" s="89"/>
      <c r="AB87" s="34"/>
      <c r="AC87" s="87"/>
      <c r="AD87" s="87"/>
      <c r="AE87" s="90"/>
      <c r="AF87" s="89"/>
      <c r="AG87" s="34"/>
      <c r="AH87" s="87"/>
      <c r="AI87" s="87"/>
      <c r="AJ87" s="90"/>
      <c r="AK87" s="89"/>
      <c r="AL87" s="34"/>
      <c r="AM87" s="87"/>
      <c r="AN87" s="87"/>
      <c r="AO87" s="90"/>
      <c r="AP87" s="89"/>
      <c r="AQ87" s="34"/>
      <c r="AR87" s="70"/>
      <c r="AS87" s="619"/>
      <c r="AT87" s="619"/>
      <c r="AU87" s="304"/>
      <c r="AV87" s="304"/>
      <c r="AW87" s="304"/>
      <c r="AX87" s="304"/>
      <c r="AY87" s="304"/>
      <c r="AZ87" s="304"/>
      <c r="BA87" s="304"/>
      <c r="BB87" s="304"/>
      <c r="BC87" s="71"/>
      <c r="BD87" s="33"/>
      <c r="BE87" s="33"/>
      <c r="BF87" s="33"/>
      <c r="BG87"/>
      <c r="BH87"/>
      <c r="BI87"/>
      <c r="BJ87"/>
      <c r="BK87"/>
      <c r="BL87"/>
    </row>
    <row r="88" spans="1:64" s="81" customFormat="1" ht="11.25" hidden="1" customHeight="1" outlineLevel="1">
      <c r="A88" s="84" t="s">
        <v>219</v>
      </c>
      <c r="B88" s="801"/>
      <c r="C88" s="802"/>
      <c r="D88" s="802"/>
      <c r="E88" s="802"/>
      <c r="F88" s="802"/>
      <c r="G88" s="25">
        <f>G87/G85</f>
        <v>0</v>
      </c>
      <c r="H88" s="26"/>
      <c r="I88" s="26"/>
      <c r="J88" s="26"/>
      <c r="K88" s="76"/>
      <c r="L88" s="25">
        <f>L87/L85</f>
        <v>0.48889477050662783</v>
      </c>
      <c r="M88" s="26"/>
      <c r="N88" s="26"/>
      <c r="O88" s="26"/>
      <c r="P88" s="76"/>
      <c r="Q88" s="25">
        <f>Q87/Q85</f>
        <v>0.52178273240356365</v>
      </c>
      <c r="R88" s="26"/>
      <c r="S88" s="26"/>
      <c r="T88" s="26"/>
      <c r="U88" s="76"/>
      <c r="V88" s="25"/>
      <c r="W88" s="28"/>
      <c r="X88" s="26"/>
      <c r="Y88" s="26"/>
      <c r="Z88" s="76"/>
      <c r="AA88" s="27"/>
      <c r="AB88" s="28"/>
      <c r="AC88" s="26"/>
      <c r="AD88" s="26"/>
      <c r="AE88" s="76"/>
      <c r="AF88" s="27"/>
      <c r="AG88" s="28"/>
      <c r="AH88" s="26"/>
      <c r="AI88" s="26"/>
      <c r="AJ88" s="76"/>
      <c r="AK88" s="27"/>
      <c r="AL88" s="28"/>
      <c r="AM88" s="26"/>
      <c r="AN88" s="26"/>
      <c r="AO88" s="76"/>
      <c r="AP88" s="27"/>
      <c r="AQ88" s="77"/>
      <c r="AR88" s="6"/>
      <c r="AS88" s="619"/>
      <c r="AT88" s="619"/>
      <c r="AU88" s="619"/>
      <c r="AV88" s="619"/>
      <c r="AW88" s="619"/>
      <c r="AX88" s="619"/>
      <c r="AY88" s="619"/>
      <c r="AZ88" s="619"/>
      <c r="BA88" s="619"/>
      <c r="BB88" s="619"/>
      <c r="BC88" s="79"/>
      <c r="BD88" s="80"/>
      <c r="BE88" s="80"/>
      <c r="BF88" s="80"/>
      <c r="BG88"/>
      <c r="BH88"/>
      <c r="BI88"/>
      <c r="BJ88"/>
      <c r="BK88"/>
      <c r="BL88"/>
    </row>
    <row r="89" spans="1:64" s="72" customFormat="1" ht="11.25" hidden="1" customHeight="1" outlineLevel="1">
      <c r="A89" s="82" t="s">
        <v>211</v>
      </c>
      <c r="B89" s="803"/>
      <c r="C89" s="641"/>
      <c r="D89" s="641"/>
      <c r="E89" s="641"/>
      <c r="F89" s="641"/>
      <c r="G89" s="85">
        <f>G85-G87</f>
        <v>35923</v>
      </c>
      <c r="H89" s="87"/>
      <c r="I89" s="87"/>
      <c r="J89" s="87"/>
      <c r="K89" s="90"/>
      <c r="L89" s="85">
        <f>L85-L87</f>
        <v>23173</v>
      </c>
      <c r="M89" s="87"/>
      <c r="N89" s="87"/>
      <c r="O89" s="87"/>
      <c r="P89" s="90"/>
      <c r="Q89" s="85">
        <f>Q85-Q87</f>
        <v>20505</v>
      </c>
      <c r="R89" s="87"/>
      <c r="S89" s="87"/>
      <c r="T89" s="87"/>
      <c r="U89" s="90"/>
      <c r="V89" s="85"/>
      <c r="W89" s="34"/>
      <c r="X89" s="87"/>
      <c r="Y89" s="87"/>
      <c r="Z89" s="90"/>
      <c r="AA89" s="89"/>
      <c r="AB89" s="34"/>
      <c r="AC89" s="87"/>
      <c r="AD89" s="87"/>
      <c r="AE89" s="90"/>
      <c r="AF89" s="89"/>
      <c r="AG89" s="34"/>
      <c r="AH89" s="87"/>
      <c r="AI89" s="87"/>
      <c r="AJ89" s="90"/>
      <c r="AK89" s="89"/>
      <c r="AL89" s="34"/>
      <c r="AM89" s="87"/>
      <c r="AN89" s="87"/>
      <c r="AO89" s="90"/>
      <c r="AP89" s="89"/>
      <c r="AQ89" s="34"/>
      <c r="AR89" s="70"/>
      <c r="AS89" s="304"/>
      <c r="AT89" s="304"/>
      <c r="AU89" s="304"/>
      <c r="AV89" s="304"/>
      <c r="AW89" s="304"/>
      <c r="AX89" s="304"/>
      <c r="AY89" s="304"/>
      <c r="AZ89" s="304"/>
      <c r="BA89" s="304"/>
      <c r="BB89" s="304"/>
      <c r="BC89" s="71"/>
      <c r="BD89" s="33"/>
      <c r="BE89" s="33"/>
      <c r="BF89" s="33"/>
      <c r="BG89"/>
      <c r="BH89"/>
      <c r="BI89"/>
      <c r="BJ89"/>
      <c r="BK89"/>
      <c r="BL89"/>
    </row>
    <row r="90" spans="1:64" s="81" customFormat="1" ht="11.25" hidden="1" customHeight="1" outlineLevel="1">
      <c r="A90" s="131" t="s">
        <v>219</v>
      </c>
      <c r="B90" s="807"/>
      <c r="C90" s="808"/>
      <c r="D90" s="808"/>
      <c r="E90" s="808"/>
      <c r="F90" s="808"/>
      <c r="G90" s="132">
        <f>G89/G85</f>
        <v>1</v>
      </c>
      <c r="H90" s="133"/>
      <c r="I90" s="133"/>
      <c r="J90" s="133"/>
      <c r="K90" s="135"/>
      <c r="L90" s="132">
        <f>L89/L85</f>
        <v>0.51110522949337212</v>
      </c>
      <c r="M90" s="133"/>
      <c r="N90" s="133"/>
      <c r="O90" s="133"/>
      <c r="P90" s="135"/>
      <c r="Q90" s="132">
        <f>Q89/Q85</f>
        <v>0.4782172675964364</v>
      </c>
      <c r="R90" s="133"/>
      <c r="S90" s="133"/>
      <c r="T90" s="133"/>
      <c r="U90" s="135"/>
      <c r="V90" s="132"/>
      <c r="W90" s="565"/>
      <c r="X90" s="133"/>
      <c r="Y90" s="133"/>
      <c r="Z90" s="135"/>
      <c r="AA90" s="134"/>
      <c r="AB90" s="565"/>
      <c r="AC90" s="133"/>
      <c r="AD90" s="133"/>
      <c r="AE90" s="135"/>
      <c r="AF90" s="134"/>
      <c r="AG90" s="565"/>
      <c r="AH90" s="133"/>
      <c r="AI90" s="133"/>
      <c r="AJ90" s="135"/>
      <c r="AK90" s="134"/>
      <c r="AL90" s="565"/>
      <c r="AM90" s="133"/>
      <c r="AN90" s="133"/>
      <c r="AO90" s="135"/>
      <c r="AP90" s="134"/>
      <c r="AQ90" s="77"/>
      <c r="AR90" s="6"/>
      <c r="AS90" s="619"/>
      <c r="AT90" s="619"/>
      <c r="AU90" s="619"/>
      <c r="AV90" s="619"/>
      <c r="AW90" s="619"/>
      <c r="AX90" s="619"/>
      <c r="AY90" s="619"/>
      <c r="AZ90" s="619"/>
      <c r="BA90" s="619"/>
      <c r="BB90" s="619"/>
      <c r="BC90" s="79"/>
      <c r="BD90" s="80"/>
      <c r="BE90" s="80"/>
      <c r="BF90" s="80"/>
      <c r="BG90"/>
      <c r="BH90"/>
      <c r="BI90"/>
      <c r="BJ90"/>
      <c r="BK90"/>
      <c r="BL90"/>
    </row>
    <row r="91" spans="1:64" s="72" customFormat="1" ht="11.25" hidden="1" customHeight="1" outlineLevel="1">
      <c r="A91" s="82" t="s">
        <v>220</v>
      </c>
      <c r="B91" s="803"/>
      <c r="C91" s="654"/>
      <c r="D91" s="641"/>
      <c r="E91" s="641"/>
      <c r="F91" s="641"/>
      <c r="G91" s="85">
        <f>G85-G93</f>
        <v>30175.32</v>
      </c>
      <c r="H91" s="87"/>
      <c r="I91" s="87"/>
      <c r="J91" s="87"/>
      <c r="K91" s="90"/>
      <c r="L91" s="85"/>
      <c r="M91" s="87"/>
      <c r="N91" s="87"/>
      <c r="O91" s="87"/>
      <c r="P91" s="90"/>
      <c r="Q91" s="85"/>
      <c r="R91" s="87"/>
      <c r="S91" s="87"/>
      <c r="T91" s="87"/>
      <c r="U91" s="90"/>
      <c r="V91" s="85"/>
      <c r="W91" s="34"/>
      <c r="X91" s="87"/>
      <c r="Y91" s="87"/>
      <c r="Z91" s="90"/>
      <c r="AA91" s="89"/>
      <c r="AB91" s="34"/>
      <c r="AC91" s="87"/>
      <c r="AD91" s="87"/>
      <c r="AE91" s="90"/>
      <c r="AF91" s="89"/>
      <c r="AG91" s="34"/>
      <c r="AH91" s="87"/>
      <c r="AI91" s="87"/>
      <c r="AJ91" s="90"/>
      <c r="AK91" s="89"/>
      <c r="AL91" s="34"/>
      <c r="AM91" s="87"/>
      <c r="AN91" s="87"/>
      <c r="AO91" s="90"/>
      <c r="AP91" s="89"/>
      <c r="AQ91" s="34"/>
      <c r="AR91" s="70"/>
      <c r="AS91" s="304"/>
      <c r="AT91" s="304"/>
      <c r="AU91" s="304"/>
      <c r="AV91" s="304"/>
      <c r="AW91" s="304"/>
      <c r="AX91" s="304"/>
      <c r="AY91" s="304"/>
      <c r="AZ91" s="304"/>
      <c r="BA91" s="304"/>
      <c r="BB91" s="304"/>
      <c r="BC91" s="71"/>
      <c r="BD91" s="33"/>
      <c r="BE91" s="33"/>
      <c r="BF91" s="33"/>
      <c r="BG91"/>
      <c r="BH91"/>
      <c r="BI91"/>
      <c r="BJ91"/>
      <c r="BK91"/>
      <c r="BL91"/>
    </row>
    <row r="92" spans="1:64" s="81" customFormat="1" ht="11.25" hidden="1" customHeight="1" outlineLevel="1">
      <c r="A92" s="84" t="s">
        <v>219</v>
      </c>
      <c r="B92" s="801"/>
      <c r="C92" s="809"/>
      <c r="D92" s="802"/>
      <c r="E92" s="802"/>
      <c r="F92" s="802"/>
      <c r="G92" s="25">
        <f>G91/G85</f>
        <v>0.84</v>
      </c>
      <c r="H92" s="26"/>
      <c r="I92" s="26"/>
      <c r="J92" s="26"/>
      <c r="K92" s="76"/>
      <c r="L92" s="25"/>
      <c r="M92" s="26"/>
      <c r="N92" s="26"/>
      <c r="O92" s="26"/>
      <c r="P92" s="76"/>
      <c r="Q92" s="25"/>
      <c r="R92" s="26"/>
      <c r="S92" s="26"/>
      <c r="T92" s="26"/>
      <c r="U92" s="76"/>
      <c r="V92" s="25"/>
      <c r="W92" s="28"/>
      <c r="X92" s="26"/>
      <c r="Y92" s="26"/>
      <c r="Z92" s="76"/>
      <c r="AA92" s="27"/>
      <c r="AB92" s="28"/>
      <c r="AC92" s="26"/>
      <c r="AD92" s="26"/>
      <c r="AE92" s="76"/>
      <c r="AF92" s="27"/>
      <c r="AG92" s="28"/>
      <c r="AH92" s="26"/>
      <c r="AI92" s="26"/>
      <c r="AJ92" s="76"/>
      <c r="AK92" s="27"/>
      <c r="AL92" s="28"/>
      <c r="AM92" s="26"/>
      <c r="AN92" s="26"/>
      <c r="AO92" s="76"/>
      <c r="AP92" s="27"/>
      <c r="AQ92" s="77"/>
      <c r="AR92" s="6"/>
      <c r="AS92" s="619"/>
      <c r="AT92" s="619"/>
      <c r="AU92" s="619"/>
      <c r="AV92" s="619"/>
      <c r="AW92" s="619"/>
      <c r="AX92" s="619"/>
      <c r="AY92" s="619"/>
      <c r="AZ92" s="619"/>
      <c r="BA92" s="619"/>
      <c r="BB92" s="619"/>
      <c r="BC92" s="79"/>
      <c r="BD92" s="80"/>
      <c r="BE92" s="80"/>
      <c r="BF92" s="80"/>
      <c r="BG92"/>
      <c r="BH92"/>
      <c r="BI92"/>
      <c r="BJ92"/>
      <c r="BK92"/>
      <c r="BL92"/>
    </row>
    <row r="93" spans="1:64" s="72" customFormat="1" ht="11.25" hidden="1" customHeight="1" outlineLevel="1">
      <c r="A93" s="82" t="s">
        <v>221</v>
      </c>
      <c r="B93" s="803"/>
      <c r="C93" s="654"/>
      <c r="D93" s="641"/>
      <c r="E93" s="641"/>
      <c r="F93" s="641"/>
      <c r="G93" s="85">
        <f>G94*G85</f>
        <v>5747.68</v>
      </c>
      <c r="H93" s="87"/>
      <c r="I93" s="87"/>
      <c r="J93" s="87"/>
      <c r="K93" s="90"/>
      <c r="L93" s="85"/>
      <c r="M93" s="87"/>
      <c r="N93" s="87"/>
      <c r="O93" s="87"/>
      <c r="P93" s="90"/>
      <c r="Q93" s="85"/>
      <c r="R93" s="87"/>
      <c r="S93" s="87"/>
      <c r="T93" s="87"/>
      <c r="U93" s="90"/>
      <c r="V93" s="85"/>
      <c r="W93" s="34"/>
      <c r="X93" s="87"/>
      <c r="Y93" s="87"/>
      <c r="Z93" s="90"/>
      <c r="AA93" s="89"/>
      <c r="AB93" s="34"/>
      <c r="AC93" s="87"/>
      <c r="AD93" s="87"/>
      <c r="AE93" s="90"/>
      <c r="AF93" s="89"/>
      <c r="AG93" s="34"/>
      <c r="AH93" s="87"/>
      <c r="AI93" s="87"/>
      <c r="AJ93" s="90"/>
      <c r="AK93" s="89"/>
      <c r="AL93" s="34"/>
      <c r="AM93" s="87"/>
      <c r="AN93" s="87"/>
      <c r="AO93" s="90"/>
      <c r="AP93" s="89"/>
      <c r="AQ93" s="34"/>
      <c r="AR93" s="70"/>
      <c r="AS93" s="304"/>
      <c r="AT93" s="304"/>
      <c r="AU93" s="304"/>
      <c r="AV93" s="304"/>
      <c r="AW93" s="304"/>
      <c r="AX93" s="304"/>
      <c r="AY93" s="304"/>
      <c r="AZ93" s="304"/>
      <c r="BA93" s="304"/>
      <c r="BB93" s="304"/>
      <c r="BC93" s="71"/>
      <c r="BD93" s="33"/>
      <c r="BE93" s="33"/>
      <c r="BF93" s="33"/>
      <c r="BG93"/>
      <c r="BH93"/>
      <c r="BI93"/>
      <c r="BJ93"/>
      <c r="BK93"/>
      <c r="BL93"/>
    </row>
    <row r="94" spans="1:64" s="81" customFormat="1" ht="11.25" hidden="1" customHeight="1" outlineLevel="1">
      <c r="A94" s="84" t="s">
        <v>219</v>
      </c>
      <c r="B94" s="642"/>
      <c r="C94" s="809"/>
      <c r="D94" s="802"/>
      <c r="E94" s="802"/>
      <c r="F94" s="802"/>
      <c r="G94" s="642">
        <v>0.16</v>
      </c>
      <c r="H94" s="26"/>
      <c r="I94" s="26"/>
      <c r="J94" s="26"/>
      <c r="K94" s="76"/>
      <c r="L94" s="642"/>
      <c r="M94" s="26"/>
      <c r="N94" s="26"/>
      <c r="O94" s="26"/>
      <c r="P94" s="76"/>
      <c r="Q94" s="642"/>
      <c r="R94" s="26"/>
      <c r="S94" s="26"/>
      <c r="T94" s="26"/>
      <c r="U94" s="76"/>
      <c r="V94" s="642"/>
      <c r="W94" s="28"/>
      <c r="X94" s="26"/>
      <c r="Y94" s="26"/>
      <c r="Z94" s="76"/>
      <c r="AA94" s="27"/>
      <c r="AB94" s="28"/>
      <c r="AC94" s="26"/>
      <c r="AD94" s="26"/>
      <c r="AE94" s="76"/>
      <c r="AF94" s="27"/>
      <c r="AG94" s="28"/>
      <c r="AH94" s="26"/>
      <c r="AI94" s="26"/>
      <c r="AJ94" s="76"/>
      <c r="AK94" s="27"/>
      <c r="AL94" s="28"/>
      <c r="AM94" s="26"/>
      <c r="AN94" s="26"/>
      <c r="AO94" s="76"/>
      <c r="AP94" s="27"/>
      <c r="AQ94" s="77"/>
      <c r="AR94" s="6"/>
      <c r="AS94" s="619"/>
      <c r="AT94" s="619"/>
      <c r="AU94" s="619"/>
      <c r="AV94" s="619"/>
      <c r="AW94" s="619"/>
      <c r="AX94" s="619"/>
      <c r="AY94" s="619"/>
      <c r="AZ94" s="619"/>
      <c r="BA94" s="619"/>
      <c r="BB94" s="619"/>
      <c r="BC94" s="79"/>
      <c r="BD94" s="80"/>
      <c r="BE94" s="80"/>
      <c r="BF94" s="80"/>
      <c r="BG94"/>
      <c r="BH94"/>
      <c r="BI94"/>
      <c r="BJ94"/>
      <c r="BK94"/>
      <c r="BL94"/>
    </row>
    <row r="95" spans="1:64" s="81" customFormat="1" ht="11.25" customHeight="1" collapsed="1">
      <c r="A95" s="91" t="s">
        <v>212</v>
      </c>
      <c r="B95" s="92"/>
      <c r="C95" s="93"/>
      <c r="D95" s="93"/>
      <c r="E95" s="93"/>
      <c r="F95" s="93"/>
      <c r="G95" s="92">
        <f>G85-(B85-G69)</f>
        <v>59449</v>
      </c>
      <c r="H95" s="100"/>
      <c r="I95" s="100"/>
      <c r="J95" s="100"/>
      <c r="K95" s="103"/>
      <c r="L95" s="92">
        <f>L85-(G85-L69)</f>
        <v>33924</v>
      </c>
      <c r="M95" s="100"/>
      <c r="N95" s="100"/>
      <c r="O95" s="100"/>
      <c r="P95" s="103"/>
      <c r="Q95" s="92">
        <f>Q85-(L85-Q69)</f>
        <v>23342</v>
      </c>
      <c r="R95" s="100"/>
      <c r="S95" s="100"/>
      <c r="T95" s="100"/>
      <c r="U95" s="103"/>
      <c r="V95" s="92"/>
      <c r="W95" s="102"/>
      <c r="X95" s="100"/>
      <c r="Y95" s="100"/>
      <c r="Z95" s="103"/>
      <c r="AA95" s="101"/>
      <c r="AB95" s="102"/>
      <c r="AC95" s="100"/>
      <c r="AD95" s="100"/>
      <c r="AE95" s="103"/>
      <c r="AF95" s="101"/>
      <c r="AG95" s="102"/>
      <c r="AH95" s="100"/>
      <c r="AI95" s="100"/>
      <c r="AJ95" s="103"/>
      <c r="AK95" s="101"/>
      <c r="AL95" s="102"/>
      <c r="AM95" s="100"/>
      <c r="AN95" s="100"/>
      <c r="AO95" s="103"/>
      <c r="AP95" s="101"/>
      <c r="AQ95" s="98"/>
      <c r="AR95" s="6"/>
      <c r="AS95" s="619"/>
      <c r="AT95" s="619"/>
      <c r="AU95" s="619"/>
      <c r="AV95" s="619"/>
      <c r="AW95" s="619"/>
      <c r="AX95" s="619"/>
      <c r="AY95" s="619"/>
      <c r="AZ95" s="619"/>
      <c r="BA95" s="619"/>
      <c r="BB95" s="619"/>
      <c r="BC95" s="79"/>
      <c r="BD95" s="80"/>
      <c r="BE95" s="80"/>
      <c r="BF95" s="80"/>
      <c r="BG95"/>
      <c r="BH95"/>
      <c r="BI95"/>
      <c r="BJ95"/>
      <c r="BK95"/>
      <c r="BL95"/>
    </row>
    <row r="96" spans="1:64" s="602" customFormat="1" ht="11.25" customHeight="1">
      <c r="A96" s="591" t="s">
        <v>213</v>
      </c>
      <c r="B96" s="593"/>
      <c r="C96" s="594"/>
      <c r="D96" s="594"/>
      <c r="E96" s="594"/>
      <c r="F96" s="594"/>
      <c r="G96" s="593">
        <f>G95/G69</f>
        <v>2.526948907591601</v>
      </c>
      <c r="H96" s="595"/>
      <c r="I96" s="595"/>
      <c r="J96" s="595"/>
      <c r="K96" s="596"/>
      <c r="L96" s="593">
        <f>L95/L69</f>
        <v>1.3842010771992819</v>
      </c>
      <c r="M96" s="595"/>
      <c r="N96" s="595"/>
      <c r="O96" s="595"/>
      <c r="P96" s="596"/>
      <c r="Q96" s="593">
        <f>Q95/Q69</f>
        <v>0.90462349339224124</v>
      </c>
      <c r="R96" s="595"/>
      <c r="S96" s="595"/>
      <c r="T96" s="595"/>
      <c r="U96" s="596"/>
      <c r="V96" s="593"/>
      <c r="W96" s="597"/>
      <c r="X96" s="595"/>
      <c r="Y96" s="595"/>
      <c r="Z96" s="596"/>
      <c r="AA96" s="592"/>
      <c r="AB96" s="597"/>
      <c r="AC96" s="595"/>
      <c r="AD96" s="595"/>
      <c r="AE96" s="596"/>
      <c r="AF96" s="592"/>
      <c r="AG96" s="597"/>
      <c r="AH96" s="595"/>
      <c r="AI96" s="595"/>
      <c r="AJ96" s="596"/>
      <c r="AK96" s="592"/>
      <c r="AL96" s="597"/>
      <c r="AM96" s="595"/>
      <c r="AN96" s="595"/>
      <c r="AO96" s="596"/>
      <c r="AP96" s="592"/>
      <c r="AQ96" s="598"/>
      <c r="AR96" s="599"/>
      <c r="AS96" s="877"/>
      <c r="AT96" s="877"/>
      <c r="AU96" s="877"/>
      <c r="AV96" s="877"/>
      <c r="AW96" s="877"/>
      <c r="AX96" s="877"/>
      <c r="AY96" s="877"/>
      <c r="AZ96" s="877"/>
      <c r="BA96" s="877"/>
      <c r="BB96" s="877"/>
      <c r="BC96" s="600"/>
      <c r="BD96" s="601"/>
      <c r="BE96" s="601"/>
      <c r="BF96" s="601"/>
      <c r="BG96"/>
      <c r="BH96"/>
      <c r="BI96"/>
      <c r="BJ96"/>
      <c r="BK96"/>
      <c r="BL96"/>
    </row>
    <row r="97" spans="1:65" s="602" customFormat="1" ht="11.25" customHeight="1">
      <c r="A97" s="591" t="s">
        <v>39</v>
      </c>
      <c r="B97" s="593"/>
      <c r="C97" s="594"/>
      <c r="D97" s="594"/>
      <c r="E97" s="594"/>
      <c r="F97" s="594"/>
      <c r="G97" s="593">
        <f>G85/G$69</f>
        <v>1.5269489075916007</v>
      </c>
      <c r="H97" s="595"/>
      <c r="I97" s="595"/>
      <c r="J97" s="595"/>
      <c r="K97" s="595"/>
      <c r="L97" s="593">
        <f>L85/L$69</f>
        <v>1.8499673575975191</v>
      </c>
      <c r="M97" s="595"/>
      <c r="N97" s="595"/>
      <c r="O97" s="595"/>
      <c r="P97" s="595"/>
      <c r="Q97" s="593">
        <f>Q85/Q$69</f>
        <v>1.6617447583614309</v>
      </c>
      <c r="R97" s="595"/>
      <c r="S97" s="595"/>
      <c r="T97" s="595"/>
      <c r="U97" s="595"/>
      <c r="V97" s="593"/>
      <c r="W97" s="595"/>
      <c r="X97" s="595"/>
      <c r="Y97" s="595"/>
      <c r="Z97" s="595"/>
      <c r="AA97" s="592"/>
      <c r="AB97" s="595"/>
      <c r="AC97" s="595"/>
      <c r="AD97" s="595"/>
      <c r="AE97" s="595"/>
      <c r="AF97" s="592"/>
      <c r="AG97" s="595"/>
      <c r="AH97" s="595"/>
      <c r="AI97" s="595"/>
      <c r="AJ97" s="595"/>
      <c r="AK97" s="592"/>
      <c r="AL97" s="595"/>
      <c r="AM97" s="595"/>
      <c r="AN97" s="595"/>
      <c r="AO97" s="595"/>
      <c r="AP97" s="592"/>
      <c r="AQ97" s="598"/>
      <c r="AR97" s="599"/>
      <c r="AS97" s="877"/>
      <c r="AT97" s="877"/>
      <c r="AU97" s="877"/>
      <c r="AV97" s="877"/>
      <c r="AW97" s="877"/>
      <c r="AX97" s="877"/>
      <c r="AY97" s="877"/>
      <c r="AZ97" s="877"/>
      <c r="BA97" s="877"/>
      <c r="BB97" s="877"/>
      <c r="BC97" s="600"/>
      <c r="BD97" s="601"/>
      <c r="BE97" s="601"/>
      <c r="BF97" s="601"/>
      <c r="BG97"/>
      <c r="BH97"/>
      <c r="BI97"/>
      <c r="BJ97"/>
      <c r="BK97"/>
      <c r="BL97"/>
    </row>
    <row r="98" spans="1:65" s="10" customFormat="1" ht="12" customHeight="1">
      <c r="A98" s="11" t="s">
        <v>222</v>
      </c>
      <c r="B98" s="829"/>
      <c r="C98" s="13"/>
      <c r="D98" s="13"/>
      <c r="E98" s="13"/>
      <c r="F98" s="136"/>
      <c r="G98" s="829"/>
      <c r="H98" s="13"/>
      <c r="I98" s="13"/>
      <c r="J98" s="13"/>
      <c r="K98" s="13"/>
      <c r="L98" s="829"/>
      <c r="M98" s="13"/>
      <c r="N98" s="13"/>
      <c r="O98" s="13"/>
      <c r="P98" s="13"/>
      <c r="Q98" s="829"/>
      <c r="R98" s="13"/>
      <c r="S98" s="13"/>
      <c r="T98" s="13"/>
      <c r="U98" s="13"/>
      <c r="V98" s="829"/>
      <c r="W98" s="13"/>
      <c r="X98" s="13"/>
      <c r="Y98" s="13"/>
      <c r="Z98" s="13"/>
      <c r="AA98" s="829"/>
      <c r="AB98" s="13"/>
      <c r="AC98" s="13"/>
      <c r="AD98" s="13"/>
      <c r="AE98" s="13"/>
      <c r="AF98" s="829"/>
      <c r="AG98" s="13"/>
      <c r="AH98" s="13"/>
      <c r="AI98" s="13"/>
      <c r="AJ98" s="13"/>
      <c r="AK98" s="829"/>
      <c r="AL98" s="13"/>
      <c r="AM98" s="13"/>
      <c r="AN98" s="13"/>
      <c r="AO98" s="13"/>
      <c r="AP98" s="829"/>
      <c r="AQ98" s="8"/>
      <c r="AR98" s="6"/>
      <c r="AS98" s="619"/>
      <c r="AT98" s="619"/>
      <c r="AU98" s="619"/>
      <c r="AV98" s="619"/>
      <c r="AW98" s="619"/>
      <c r="AX98" s="619"/>
      <c r="AY98" s="619"/>
      <c r="AZ98" s="619"/>
      <c r="BA98" s="619"/>
      <c r="BB98" s="619"/>
      <c r="BC98" s="6"/>
      <c r="BG98"/>
      <c r="BH98"/>
      <c r="BI98"/>
      <c r="BJ98"/>
      <c r="BK98"/>
      <c r="BL98"/>
    </row>
    <row r="99" spans="1:65" s="146" customFormat="1" ht="11.25" customHeight="1">
      <c r="A99" s="137" t="s">
        <v>223</v>
      </c>
      <c r="B99" s="138">
        <f t="shared" ref="B99:N99" si="52">B102/B4</f>
        <v>0.12966700302724521</v>
      </c>
      <c r="C99" s="139">
        <f t="shared" si="52"/>
        <v>0.12489991993594876</v>
      </c>
      <c r="D99" s="139">
        <f t="shared" si="52"/>
        <v>0.12770216172938351</v>
      </c>
      <c r="E99" s="139">
        <f t="shared" si="52"/>
        <v>0.11713836477987422</v>
      </c>
      <c r="F99" s="139">
        <f t="shared" si="52"/>
        <v>0.115</v>
      </c>
      <c r="G99" s="138">
        <f t="shared" si="52"/>
        <v>0.12122736418511067</v>
      </c>
      <c r="H99" s="139">
        <f t="shared" si="52"/>
        <v>0.1111111111111111</v>
      </c>
      <c r="I99" s="139">
        <f t="shared" si="52"/>
        <v>0.12</v>
      </c>
      <c r="J99" s="139">
        <f t="shared" si="52"/>
        <v>0.11179007907979871</v>
      </c>
      <c r="K99" s="139">
        <f t="shared" si="52"/>
        <v>0.11385793871866295</v>
      </c>
      <c r="L99" s="138">
        <f t="shared" si="52"/>
        <v>0.11414850387883266</v>
      </c>
      <c r="M99" s="139">
        <f t="shared" si="52"/>
        <v>0.10766045548654245</v>
      </c>
      <c r="N99" s="139">
        <f t="shared" si="52"/>
        <v>0.10606060606060606</v>
      </c>
      <c r="O99" s="139">
        <f t="shared" ref="O99:S99" si="53">O102/O4</f>
        <v>0.10837118754055808</v>
      </c>
      <c r="P99" s="139">
        <f t="shared" si="53"/>
        <v>9.9168053244592352E-2</v>
      </c>
      <c r="Q99" s="138">
        <f t="shared" si="53"/>
        <v>0.10531158511083229</v>
      </c>
      <c r="R99" s="139">
        <f t="shared" si="53"/>
        <v>0.10824396782841823</v>
      </c>
      <c r="S99" s="139">
        <f t="shared" si="53"/>
        <v>0.10656010656010656</v>
      </c>
      <c r="T99" s="139">
        <f t="shared" ref="T99:V99" si="54">T102/T4</f>
        <v>0.11008</v>
      </c>
      <c r="U99" s="139">
        <f t="shared" si="54"/>
        <v>0.10003312355084465</v>
      </c>
      <c r="V99" s="138">
        <f t="shared" si="54"/>
        <v>0.10625669771659385</v>
      </c>
      <c r="W99" s="140">
        <v>0.10249999999999999</v>
      </c>
      <c r="X99" s="140">
        <v>0.10249999999999999</v>
      </c>
      <c r="Y99" s="140">
        <v>0.10249999999999999</v>
      </c>
      <c r="Z99" s="143">
        <v>0.10249999999999999</v>
      </c>
      <c r="AA99" s="138">
        <f>AA102/AA4</f>
        <v>0.10250000000000001</v>
      </c>
      <c r="AB99" s="140"/>
      <c r="AC99" s="140"/>
      <c r="AD99" s="140"/>
      <c r="AE99" s="143"/>
      <c r="AF99" s="142">
        <v>0.10249999999999999</v>
      </c>
      <c r="AG99" s="140"/>
      <c r="AH99" s="140"/>
      <c r="AI99" s="140"/>
      <c r="AJ99" s="143"/>
      <c r="AK99" s="142">
        <v>0.10249999999999999</v>
      </c>
      <c r="AL99" s="140"/>
      <c r="AM99" s="140"/>
      <c r="AN99" s="140"/>
      <c r="AO99" s="143"/>
      <c r="AP99" s="142">
        <v>0.10249999999999999</v>
      </c>
      <c r="AQ99" s="144"/>
      <c r="AR99" s="145"/>
      <c r="AS99" s="664" t="s">
        <v>389</v>
      </c>
      <c r="AT99" s="619"/>
      <c r="AU99" s="619"/>
      <c r="AV99" s="619"/>
      <c r="AW99" s="619" t="s">
        <v>323</v>
      </c>
      <c r="AX99" s="619"/>
      <c r="AY99" s="619"/>
      <c r="AZ99" s="619"/>
      <c r="BA99" s="619"/>
      <c r="BB99" s="619"/>
      <c r="BC99" s="145"/>
      <c r="BG99"/>
      <c r="BH99"/>
      <c r="BI99"/>
      <c r="BJ99"/>
      <c r="BK99"/>
      <c r="BL99"/>
    </row>
    <row r="100" spans="1:65" s="586" customFormat="1" ht="11.25" customHeight="1">
      <c r="A100" s="578" t="s">
        <v>224</v>
      </c>
      <c r="B100" s="580"/>
      <c r="C100" s="579"/>
      <c r="D100" s="579"/>
      <c r="E100" s="579"/>
      <c r="F100" s="579"/>
      <c r="G100" s="580">
        <f t="shared" ref="G100:O100" si="55">(G99-B99)*100</f>
        <v>-0.84396388421345425</v>
      </c>
      <c r="H100" s="579">
        <f t="shared" si="55"/>
        <v>-1.3788808824837657</v>
      </c>
      <c r="I100" s="579">
        <f t="shared" si="55"/>
        <v>-0.7702161729383511</v>
      </c>
      <c r="J100" s="579">
        <f t="shared" si="55"/>
        <v>-0.53482857000755057</v>
      </c>
      <c r="K100" s="579">
        <f t="shared" si="55"/>
        <v>-0.11420612813370506</v>
      </c>
      <c r="L100" s="580">
        <f t="shared" si="55"/>
        <v>-0.70788603062780098</v>
      </c>
      <c r="M100" s="579">
        <f t="shared" si="55"/>
        <v>-0.34506556245686576</v>
      </c>
      <c r="N100" s="579">
        <f t="shared" si="55"/>
        <v>-1.3939393939393931</v>
      </c>
      <c r="O100" s="579">
        <f t="shared" si="55"/>
        <v>-0.34188915392406316</v>
      </c>
      <c r="P100" s="579">
        <f t="shared" ref="P100" si="56">(P99-K99)*100</f>
        <v>-1.4689885474070601</v>
      </c>
      <c r="Q100" s="580">
        <f t="shared" ref="Q100" si="57">(Q99-L99)*100</f>
        <v>-0.88369187680003702</v>
      </c>
      <c r="R100" s="579"/>
      <c r="S100" s="579"/>
      <c r="T100" s="579"/>
      <c r="U100" s="579"/>
      <c r="V100" s="580"/>
      <c r="W100" s="914">
        <f>(W99-R99)*100</f>
        <v>-0.57439678284182394</v>
      </c>
      <c r="X100" s="914">
        <f t="shared" ref="X100:AA100" si="58">(X99-S99)*100</f>
        <v>-0.40601065601065661</v>
      </c>
      <c r="Y100" s="914">
        <f t="shared" si="58"/>
        <v>-0.75800000000000034</v>
      </c>
      <c r="Z100" s="915">
        <f t="shared" si="58"/>
        <v>0.24668764491553447</v>
      </c>
      <c r="AA100" s="580">
        <f t="shared" si="58"/>
        <v>-0.37566977165938431</v>
      </c>
      <c r="AB100" s="581"/>
      <c r="AC100" s="581"/>
      <c r="AD100" s="581"/>
      <c r="AE100" s="582"/>
      <c r="AF100" s="580">
        <f>(AF99-AA99)*100</f>
        <v>-1.3877787807814457E-15</v>
      </c>
      <c r="AG100" s="581"/>
      <c r="AH100" s="581"/>
      <c r="AI100" s="581"/>
      <c r="AJ100" s="582"/>
      <c r="AK100" s="580">
        <f>(AK99-AF99)*100</f>
        <v>0</v>
      </c>
      <c r="AL100" s="581"/>
      <c r="AM100" s="581"/>
      <c r="AN100" s="581"/>
      <c r="AO100" s="582"/>
      <c r="AP100" s="580">
        <f>(AP99-AK99)*100</f>
        <v>0</v>
      </c>
      <c r="AQ100" s="583"/>
      <c r="AR100" s="584"/>
      <c r="AS100" s="304"/>
      <c r="AT100" s="629"/>
      <c r="AU100" s="629"/>
      <c r="AV100" s="629"/>
      <c r="AW100" s="629"/>
      <c r="AX100" s="629"/>
      <c r="AY100" s="629"/>
      <c r="AZ100" s="629"/>
      <c r="BA100" s="629"/>
      <c r="BB100" s="629"/>
      <c r="BC100" s="585"/>
      <c r="BG100"/>
      <c r="BH100"/>
      <c r="BI100"/>
      <c r="BJ100"/>
      <c r="BK100"/>
      <c r="BL100"/>
    </row>
    <row r="101" spans="1:65" s="161" customFormat="1" ht="11.25" customHeight="1">
      <c r="A101" s="152" t="s">
        <v>225</v>
      </c>
      <c r="B101" s="154"/>
      <c r="C101" s="153"/>
      <c r="D101" s="153"/>
      <c r="E101" s="153"/>
      <c r="F101" s="153"/>
      <c r="G101" s="154">
        <f t="shared" ref="G101:O101" si="59">IFERROR((G102-B102)/(G4-B4),0)</f>
        <v>-2.6666666666666665</v>
      </c>
      <c r="H101" s="153">
        <f t="shared" si="59"/>
        <v>-0.34210526315789475</v>
      </c>
      <c r="I101" s="153">
        <f t="shared" si="59"/>
        <v>-6.8627450980392163E-2</v>
      </c>
      <c r="J101" s="153">
        <f t="shared" si="59"/>
        <v>5.4621848739495799E-2</v>
      </c>
      <c r="K101" s="153">
        <f t="shared" si="59"/>
        <v>0.10805084745762712</v>
      </c>
      <c r="L101" s="154">
        <f t="shared" si="59"/>
        <v>3.4909909909909907E-2</v>
      </c>
      <c r="M101" s="153">
        <f t="shared" si="59"/>
        <v>8.0246913580246909E-2</v>
      </c>
      <c r="N101" s="153">
        <f t="shared" si="59"/>
        <v>8.1081081081081086E-3</v>
      </c>
      <c r="O101" s="153">
        <f t="shared" si="59"/>
        <v>7.6666666666666661E-2</v>
      </c>
      <c r="P101" s="153">
        <f t="shared" ref="P101" si="60">IFERROR((P102-K102)/(P4-K4),0)</f>
        <v>-0.21804511278195488</v>
      </c>
      <c r="Q101" s="154">
        <f t="shared" ref="Q101" si="61">IFERROR((Q102-L102)/(Q4-L4),0)</f>
        <v>2.0408163265306121E-2</v>
      </c>
      <c r="R101" s="153"/>
      <c r="S101" s="153"/>
      <c r="T101" s="153"/>
      <c r="U101" s="153"/>
      <c r="V101" s="154"/>
      <c r="W101" s="916">
        <f>IFERROR((W102-R102)/(W4-R4),0)</f>
        <v>6.7672028596960235E-3</v>
      </c>
      <c r="X101" s="916">
        <f t="shared" ref="X101:AA101" si="62">IFERROR((X102-S102)/(X4-S4),0)</f>
        <v>3.4831557331557406E-2</v>
      </c>
      <c r="Y101" s="916">
        <f t="shared" si="62"/>
        <v>-2.3833333333333335E-2</v>
      </c>
      <c r="Z101" s="917">
        <f t="shared" si="62"/>
        <v>0.14361460748592242</v>
      </c>
      <c r="AA101" s="154">
        <f t="shared" si="62"/>
        <v>3.9888371390102741E-2</v>
      </c>
      <c r="AB101" s="155"/>
      <c r="AC101" s="155"/>
      <c r="AD101" s="155"/>
      <c r="AE101" s="156"/>
      <c r="AF101" s="154">
        <f>IFERROR((AF102-AA102)/(AF4-AA4),0)</f>
        <v>0.10249999999999986</v>
      </c>
      <c r="AG101" s="155"/>
      <c r="AH101" s="155"/>
      <c r="AI101" s="155"/>
      <c r="AJ101" s="156"/>
      <c r="AK101" s="154">
        <f>IFERROR((AK102-AF102)/(AK4-AF4),0)</f>
        <v>0.10249999999999986</v>
      </c>
      <c r="AL101" s="155"/>
      <c r="AM101" s="155"/>
      <c r="AN101" s="155"/>
      <c r="AO101" s="156"/>
      <c r="AP101" s="154">
        <f>IFERROR((AP102-AK102)/(AP4-AK4),0)</f>
        <v>0.10250000000000004</v>
      </c>
      <c r="AQ101" s="157"/>
      <c r="AR101" s="158"/>
      <c r="AS101" s="619"/>
      <c r="AT101" s="159"/>
      <c r="AU101" s="664"/>
      <c r="AV101" s="912">
        <v>2016</v>
      </c>
      <c r="AW101" s="664"/>
      <c r="AX101" s="912">
        <v>2016</v>
      </c>
      <c r="AY101" s="664"/>
      <c r="AZ101" s="912">
        <v>2016</v>
      </c>
      <c r="BA101" s="159"/>
      <c r="BB101" s="159"/>
      <c r="BC101" s="160"/>
      <c r="BG101"/>
      <c r="BH101"/>
      <c r="BI101"/>
      <c r="BJ101"/>
      <c r="BK101"/>
      <c r="BL101"/>
    </row>
    <row r="102" spans="1:65" s="146" customFormat="1" ht="11.25" customHeight="1">
      <c r="A102" s="162" t="s">
        <v>226</v>
      </c>
      <c r="B102" s="165">
        <v>1285</v>
      </c>
      <c r="C102" s="164">
        <v>312</v>
      </c>
      <c r="D102" s="164">
        <v>319</v>
      </c>
      <c r="E102" s="164">
        <v>298</v>
      </c>
      <c r="F102" s="164">
        <v>276</v>
      </c>
      <c r="G102" s="165">
        <v>1205</v>
      </c>
      <c r="H102" s="166">
        <v>286</v>
      </c>
      <c r="I102" s="166">
        <v>312</v>
      </c>
      <c r="J102" s="166">
        <v>311</v>
      </c>
      <c r="K102" s="167">
        <v>327</v>
      </c>
      <c r="L102" s="165">
        <v>1236</v>
      </c>
      <c r="M102" s="166">
        <v>312</v>
      </c>
      <c r="N102" s="166">
        <v>315</v>
      </c>
      <c r="O102" s="166">
        <v>334</v>
      </c>
      <c r="P102" s="167">
        <v>298</v>
      </c>
      <c r="Q102" s="165">
        <f>+SUM(M102:P102)</f>
        <v>1259</v>
      </c>
      <c r="R102" s="166">
        <v>323</v>
      </c>
      <c r="S102" s="166">
        <v>320</v>
      </c>
      <c r="T102" s="166">
        <v>344</v>
      </c>
      <c r="U102" s="167">
        <v>302</v>
      </c>
      <c r="V102" s="165">
        <f>+SUM(R102:U102)</f>
        <v>1289</v>
      </c>
      <c r="W102" s="166">
        <f t="shared" ref="W102:Z102" si="63">+W99*W4</f>
        <v>324.21159999999998</v>
      </c>
      <c r="X102" s="166">
        <f t="shared" si="63"/>
        <v>326.27595000000002</v>
      </c>
      <c r="Y102" s="166">
        <f t="shared" si="63"/>
        <v>339.53125</v>
      </c>
      <c r="Z102" s="167">
        <f t="shared" si="63"/>
        <v>328.01435000000004</v>
      </c>
      <c r="AA102" s="165">
        <f>+SUM(W102:Z102)</f>
        <v>1318.0331500000002</v>
      </c>
      <c r="AB102" s="166"/>
      <c r="AC102" s="166"/>
      <c r="AD102" s="166"/>
      <c r="AE102" s="167"/>
      <c r="AF102" s="165">
        <f>AF4*AF99</f>
        <v>1410.2954705000002</v>
      </c>
      <c r="AG102" s="166"/>
      <c r="AH102" s="166"/>
      <c r="AI102" s="166"/>
      <c r="AJ102" s="167"/>
      <c r="AK102" s="165">
        <f>AK4*AK99</f>
        <v>1537.2220628450002</v>
      </c>
      <c r="AL102" s="166"/>
      <c r="AM102" s="166"/>
      <c r="AN102" s="166"/>
      <c r="AO102" s="167"/>
      <c r="AP102" s="165">
        <f>AP4*AP99</f>
        <v>1614.0831659872504</v>
      </c>
      <c r="AQ102" s="144"/>
      <c r="AR102" s="145"/>
      <c r="AS102" s="619"/>
      <c r="AT102" s="619"/>
      <c r="AU102" s="908" t="s">
        <v>324</v>
      </c>
      <c r="AV102" s="910">
        <v>0.39</v>
      </c>
      <c r="AW102" s="908" t="s">
        <v>326</v>
      </c>
      <c r="AX102" s="910">
        <v>0.49</v>
      </c>
      <c r="AY102" s="908" t="s">
        <v>330</v>
      </c>
      <c r="AZ102" s="910">
        <v>0.79</v>
      </c>
      <c r="BA102" s="619"/>
      <c r="BB102" s="619"/>
      <c r="BC102" s="145"/>
      <c r="BG102"/>
      <c r="BH102"/>
      <c r="BI102"/>
      <c r="BJ102"/>
      <c r="BK102"/>
      <c r="BL102"/>
    </row>
    <row r="103" spans="1:65" ht="11.25" customHeight="1">
      <c r="A103" s="22" t="s">
        <v>204</v>
      </c>
      <c r="B103" s="23"/>
      <c r="C103" s="24"/>
      <c r="D103" s="24"/>
      <c r="E103" s="24"/>
      <c r="F103" s="24"/>
      <c r="G103" s="23">
        <f t="shared" ref="G103:O103" si="64">G102/B102-1</f>
        <v>-6.2256809338521402E-2</v>
      </c>
      <c r="H103" s="24">
        <f t="shared" si="64"/>
        <v>-8.333333333333337E-2</v>
      </c>
      <c r="I103" s="24">
        <f t="shared" si="64"/>
        <v>-2.1943573667711602E-2</v>
      </c>
      <c r="J103" s="24">
        <f t="shared" si="64"/>
        <v>4.3624161073825496E-2</v>
      </c>
      <c r="K103" s="24">
        <f t="shared" si="64"/>
        <v>0.18478260869565211</v>
      </c>
      <c r="L103" s="23">
        <f t="shared" si="64"/>
        <v>2.5726141078838083E-2</v>
      </c>
      <c r="M103" s="24">
        <f t="shared" si="64"/>
        <v>9.0909090909090828E-2</v>
      </c>
      <c r="N103" s="24">
        <f t="shared" si="64"/>
        <v>9.6153846153845812E-3</v>
      </c>
      <c r="O103" s="24">
        <f t="shared" si="64"/>
        <v>7.3954983922829509E-2</v>
      </c>
      <c r="P103" s="24">
        <f t="shared" ref="P103" si="65">P102/K102-1</f>
        <v>-8.8685015290519864E-2</v>
      </c>
      <c r="Q103" s="23">
        <f t="shared" ref="Q103" si="66">Q102/L102-1</f>
        <v>1.8608414239482229E-2</v>
      </c>
      <c r="R103" s="24"/>
      <c r="S103" s="24"/>
      <c r="T103" s="24"/>
      <c r="U103" s="24"/>
      <c r="V103" s="23"/>
      <c r="W103" s="789">
        <f>W102/R102-1</f>
        <v>3.7510835913312501E-3</v>
      </c>
      <c r="X103" s="789">
        <f t="shared" ref="X103:AA103" si="67">X102/S102-1</f>
        <v>1.9612343749999983E-2</v>
      </c>
      <c r="Y103" s="789">
        <f t="shared" si="67"/>
        <v>-1.2990552325581439E-2</v>
      </c>
      <c r="Z103" s="789">
        <f t="shared" si="67"/>
        <v>8.6140231788079502E-2</v>
      </c>
      <c r="AA103" s="23">
        <f t="shared" si="67"/>
        <v>2.2523778122575777E-2</v>
      </c>
      <c r="AB103" s="24"/>
      <c r="AC103" s="24"/>
      <c r="AD103" s="24"/>
      <c r="AE103" s="24"/>
      <c r="AF103" s="23">
        <f>AF102/AA102-1</f>
        <v>7.0000000000000062E-2</v>
      </c>
      <c r="AG103" s="24"/>
      <c r="AH103" s="24"/>
      <c r="AI103" s="24"/>
      <c r="AJ103" s="24"/>
      <c r="AK103" s="23">
        <f>AK102/AF102-1</f>
        <v>9.000000000000008E-2</v>
      </c>
      <c r="AL103" s="24"/>
      <c r="AM103" s="24"/>
      <c r="AN103" s="24"/>
      <c r="AO103" s="24"/>
      <c r="AP103" s="23">
        <f>AP102/AK102-1</f>
        <v>5.0000000000000044E-2</v>
      </c>
      <c r="AQ103" s="28"/>
      <c r="AR103" s="7"/>
      <c r="AS103" s="619"/>
      <c r="AT103" s="619"/>
      <c r="AU103" s="909" t="s">
        <v>325</v>
      </c>
      <c r="AV103" s="911">
        <v>0.61</v>
      </c>
      <c r="AW103" s="909" t="s">
        <v>327</v>
      </c>
      <c r="AX103" s="910">
        <v>0.37</v>
      </c>
      <c r="AY103" s="909" t="s">
        <v>329</v>
      </c>
      <c r="AZ103" s="911">
        <v>0.21</v>
      </c>
      <c r="BA103" s="664"/>
      <c r="BB103" s="664"/>
      <c r="BC103" s="105"/>
      <c r="BD103" s="29"/>
      <c r="BE103" s="29"/>
      <c r="BF103" s="29"/>
    </row>
    <row r="104" spans="1:65" s="146" customFormat="1" ht="11.25" customHeight="1">
      <c r="A104" s="162" t="s">
        <v>227</v>
      </c>
      <c r="B104" s="165">
        <f t="shared" ref="B104:N104" si="68">B4-B102</f>
        <v>8625</v>
      </c>
      <c r="C104" s="164">
        <f t="shared" si="68"/>
        <v>2186</v>
      </c>
      <c r="D104" s="164">
        <f t="shared" si="68"/>
        <v>2179</v>
      </c>
      <c r="E104" s="164">
        <f t="shared" si="68"/>
        <v>2246</v>
      </c>
      <c r="F104" s="163">
        <f t="shared" si="68"/>
        <v>2124</v>
      </c>
      <c r="G104" s="165">
        <f t="shared" si="68"/>
        <v>8735</v>
      </c>
      <c r="H104" s="164">
        <f t="shared" si="68"/>
        <v>2288</v>
      </c>
      <c r="I104" s="164">
        <f t="shared" si="68"/>
        <v>2288</v>
      </c>
      <c r="J104" s="164">
        <f t="shared" si="68"/>
        <v>2471</v>
      </c>
      <c r="K104" s="163">
        <f t="shared" si="68"/>
        <v>2545</v>
      </c>
      <c r="L104" s="165">
        <f t="shared" si="68"/>
        <v>9592</v>
      </c>
      <c r="M104" s="164">
        <f t="shared" si="68"/>
        <v>2586</v>
      </c>
      <c r="N104" s="164">
        <f t="shared" si="68"/>
        <v>2655</v>
      </c>
      <c r="O104" s="164">
        <f t="shared" ref="O104:S104" si="69">O4-O102</f>
        <v>2748</v>
      </c>
      <c r="P104" s="163">
        <f t="shared" si="69"/>
        <v>2707</v>
      </c>
      <c r="Q104" s="165">
        <f t="shared" si="69"/>
        <v>10696</v>
      </c>
      <c r="R104" s="164">
        <f t="shared" si="69"/>
        <v>2661</v>
      </c>
      <c r="S104" s="164">
        <f t="shared" si="69"/>
        <v>2683</v>
      </c>
      <c r="T104" s="164">
        <f t="shared" ref="T104:V104" si="70">T4-T102</f>
        <v>2781</v>
      </c>
      <c r="U104" s="163">
        <f t="shared" si="70"/>
        <v>2717</v>
      </c>
      <c r="V104" s="165">
        <f t="shared" si="70"/>
        <v>10842</v>
      </c>
      <c r="W104" s="166">
        <f t="shared" ref="W104:AA104" si="71">W4-W102</f>
        <v>2838.8283999999999</v>
      </c>
      <c r="X104" s="166">
        <f t="shared" si="71"/>
        <v>2856.9040500000001</v>
      </c>
      <c r="Y104" s="166">
        <f t="shared" si="71"/>
        <v>2972.96875</v>
      </c>
      <c r="Z104" s="167">
        <f t="shared" si="71"/>
        <v>2872.1256500000004</v>
      </c>
      <c r="AA104" s="165">
        <f t="shared" si="71"/>
        <v>11540.826850000001</v>
      </c>
      <c r="AB104" s="166"/>
      <c r="AC104" s="166"/>
      <c r="AD104" s="166"/>
      <c r="AE104" s="167"/>
      <c r="AF104" s="165">
        <f>AF4-AF102</f>
        <v>12348.684729500001</v>
      </c>
      <c r="AG104" s="166"/>
      <c r="AH104" s="166"/>
      <c r="AI104" s="166"/>
      <c r="AJ104" s="167"/>
      <c r="AK104" s="165">
        <f>AK4-AK102</f>
        <v>13460.066355155004</v>
      </c>
      <c r="AL104" s="166"/>
      <c r="AM104" s="166"/>
      <c r="AN104" s="166"/>
      <c r="AO104" s="167"/>
      <c r="AP104" s="165">
        <f>AP4-AP102</f>
        <v>14133.069672912754</v>
      </c>
      <c r="AQ104" s="144"/>
      <c r="AR104" s="145"/>
      <c r="AS104" s="619"/>
      <c r="AT104" s="664"/>
      <c r="AU104" s="882"/>
      <c r="AV104" s="886"/>
      <c r="AW104" s="913" t="s">
        <v>328</v>
      </c>
      <c r="AX104" s="910">
        <v>0.14000000000000001</v>
      </c>
      <c r="AY104" s="882"/>
      <c r="AZ104" s="882"/>
      <c r="BA104" s="619"/>
      <c r="BB104" s="619"/>
      <c r="BC104" s="145"/>
      <c r="BG104"/>
      <c r="BH104"/>
      <c r="BI104"/>
      <c r="BJ104"/>
      <c r="BK104"/>
      <c r="BL104"/>
    </row>
    <row r="105" spans="1:65" ht="11.25" customHeight="1">
      <c r="A105" s="22" t="s">
        <v>204</v>
      </c>
      <c r="B105" s="23"/>
      <c r="C105" s="24"/>
      <c r="D105" s="24"/>
      <c r="E105" s="24"/>
      <c r="F105" s="24"/>
      <c r="G105" s="23">
        <f t="shared" ref="G105:O105" si="72">G104/B104-1</f>
        <v>1.2753623188405783E-2</v>
      </c>
      <c r="H105" s="24">
        <f t="shared" si="72"/>
        <v>4.6660567246111562E-2</v>
      </c>
      <c r="I105" s="24">
        <f t="shared" si="72"/>
        <v>5.0022946305644744E-2</v>
      </c>
      <c r="J105" s="24">
        <f t="shared" si="72"/>
        <v>0.10017809439002678</v>
      </c>
      <c r="K105" s="24">
        <f t="shared" si="72"/>
        <v>0.19821092278719399</v>
      </c>
      <c r="L105" s="23">
        <f t="shared" si="72"/>
        <v>9.8111047510017091E-2</v>
      </c>
      <c r="M105" s="24">
        <f t="shared" si="72"/>
        <v>0.13024475524475521</v>
      </c>
      <c r="N105" s="24">
        <f t="shared" si="72"/>
        <v>0.16040209790209792</v>
      </c>
      <c r="O105" s="24">
        <f t="shared" si="72"/>
        <v>0.11210036422501002</v>
      </c>
      <c r="P105" s="24">
        <f t="shared" ref="P105" si="73">P104/K104-1</f>
        <v>6.3654223968565793E-2</v>
      </c>
      <c r="Q105" s="23">
        <f t="shared" ref="Q105" si="74">Q104/L104-1</f>
        <v>0.11509591326105095</v>
      </c>
      <c r="R105" s="24"/>
      <c r="S105" s="24"/>
      <c r="T105" s="24"/>
      <c r="U105" s="24"/>
      <c r="V105" s="23"/>
      <c r="W105" s="789">
        <f>W104/R104-1</f>
        <v>6.6827658774896603E-2</v>
      </c>
      <c r="X105" s="789">
        <f t="shared" ref="X105:AA105" si="75">X104/S104-1</f>
        <v>6.4817014535967221E-2</v>
      </c>
      <c r="Y105" s="789">
        <f t="shared" si="75"/>
        <v>6.9028676734987471E-2</v>
      </c>
      <c r="Z105" s="789">
        <f t="shared" si="75"/>
        <v>5.7094460802355584E-2</v>
      </c>
      <c r="AA105" s="23">
        <f t="shared" si="75"/>
        <v>6.4455529422615898E-2</v>
      </c>
      <c r="AB105" s="24"/>
      <c r="AC105" s="24"/>
      <c r="AD105" s="24"/>
      <c r="AE105" s="24"/>
      <c r="AF105" s="23">
        <f>AF104/AA104-1</f>
        <v>6.999999999999984E-2</v>
      </c>
      <c r="AG105" s="24"/>
      <c r="AH105" s="24"/>
      <c r="AI105" s="24"/>
      <c r="AJ105" s="24"/>
      <c r="AK105" s="23">
        <f>AK104/AF104-1</f>
        <v>9.0000000000000302E-2</v>
      </c>
      <c r="AL105" s="24"/>
      <c r="AM105" s="24"/>
      <c r="AN105" s="24"/>
      <c r="AO105" s="24"/>
      <c r="AP105" s="23">
        <f>AP104/AK104-1</f>
        <v>5.0000000000000044E-2</v>
      </c>
      <c r="AQ105" s="28"/>
      <c r="AR105" s="7"/>
      <c r="AS105" s="664"/>
      <c r="AT105" s="664"/>
      <c r="AU105" s="909"/>
      <c r="AV105" s="911"/>
      <c r="AW105" s="909"/>
      <c r="AX105" s="910"/>
      <c r="AY105" s="909"/>
      <c r="AZ105" s="911"/>
      <c r="BA105" s="664"/>
      <c r="BB105" s="664"/>
      <c r="BC105" s="105"/>
      <c r="BD105" s="29"/>
      <c r="BE105" s="29"/>
      <c r="BF105" s="29"/>
    </row>
    <row r="106" spans="1:65" s="351" customFormat="1" hidden="1" outlineLevel="1">
      <c r="A106" s="603" t="s">
        <v>84</v>
      </c>
      <c r="B106" s="604">
        <f t="shared" ref="B106:N106" si="76">B108/B4</f>
        <v>9.3440968718466202E-2</v>
      </c>
      <c r="C106" s="605">
        <f t="shared" si="76"/>
        <v>8.0464371497197762E-2</v>
      </c>
      <c r="D106" s="605">
        <f t="shared" si="76"/>
        <v>8.4067253803042433E-2</v>
      </c>
      <c r="E106" s="605">
        <f t="shared" si="76"/>
        <v>9.276729559748427E-2</v>
      </c>
      <c r="F106" s="605">
        <f t="shared" si="76"/>
        <v>8.5833333333333331E-2</v>
      </c>
      <c r="G106" s="604">
        <f t="shared" si="76"/>
        <v>8.5814889336016095E-2</v>
      </c>
      <c r="H106" s="605">
        <f t="shared" si="76"/>
        <v>8.8189588189588192E-2</v>
      </c>
      <c r="I106" s="605">
        <f t="shared" si="76"/>
        <v>8.807692307692308E-2</v>
      </c>
      <c r="J106" s="605">
        <f t="shared" si="76"/>
        <v>8.4471603163191952E-2</v>
      </c>
      <c r="K106" s="605">
        <f t="shared" si="76"/>
        <v>9.8189415041782732E-2</v>
      </c>
      <c r="L106" s="604">
        <f t="shared" si="76"/>
        <v>8.9859623199113406E-2</v>
      </c>
      <c r="M106" s="605">
        <f t="shared" si="76"/>
        <v>8.9026915113871632E-2</v>
      </c>
      <c r="N106" s="605">
        <f t="shared" si="76"/>
        <v>8.5521885521885527E-2</v>
      </c>
      <c r="O106" s="605">
        <f t="shared" ref="O106:Q106" si="77">O108/O4</f>
        <v>7.9169370538611297E-2</v>
      </c>
      <c r="P106" s="605">
        <f t="shared" si="77"/>
        <v>8.5524126455906818E-2</v>
      </c>
      <c r="Q106" s="604">
        <f t="shared" si="77"/>
        <v>8.4734420744458389E-2</v>
      </c>
      <c r="R106" s="605"/>
      <c r="S106" s="605"/>
      <c r="T106" s="605"/>
      <c r="U106" s="605"/>
      <c r="V106" s="604"/>
      <c r="W106" s="918">
        <f t="shared" ref="W106:AA106" si="78">W108/W4</f>
        <v>0.10249999999999999</v>
      </c>
      <c r="X106" s="918">
        <f t="shared" si="78"/>
        <v>0.10249999999999999</v>
      </c>
      <c r="Y106" s="918">
        <f t="shared" si="78"/>
        <v>0.10249999999999999</v>
      </c>
      <c r="Z106" s="919">
        <f t="shared" si="78"/>
        <v>0.10249999999999999</v>
      </c>
      <c r="AA106" s="604">
        <f t="shared" si="78"/>
        <v>0.10250000000000001</v>
      </c>
      <c r="AB106" s="606"/>
      <c r="AC106" s="606"/>
      <c r="AD106" s="606"/>
      <c r="AE106" s="607"/>
      <c r="AF106" s="604"/>
      <c r="AG106" s="606"/>
      <c r="AH106" s="606"/>
      <c r="AI106" s="606"/>
      <c r="AJ106" s="607"/>
      <c r="AK106" s="604"/>
      <c r="AL106" s="606"/>
      <c r="AM106" s="606"/>
      <c r="AN106" s="606"/>
      <c r="AO106" s="607"/>
      <c r="AP106" s="604"/>
      <c r="AQ106" s="41"/>
      <c r="AR106" s="608"/>
      <c r="AS106" s="882"/>
      <c r="AT106" s="882"/>
      <c r="AU106" s="882"/>
      <c r="AV106" s="886"/>
      <c r="AW106" s="913"/>
      <c r="AX106" s="910"/>
      <c r="AY106" s="882"/>
      <c r="AZ106" s="882"/>
      <c r="BA106" s="882"/>
      <c r="BB106" s="882"/>
      <c r="BC106" s="350"/>
      <c r="BD106" s="40"/>
      <c r="BE106" s="40"/>
      <c r="BF106" s="40"/>
      <c r="BG106"/>
      <c r="BH106"/>
      <c r="BI106"/>
      <c r="BJ106"/>
      <c r="BK106"/>
      <c r="BL106"/>
      <c r="BM106" s="40"/>
    </row>
    <row r="107" spans="1:65" s="81" customFormat="1" hidden="1" outlineLevel="1">
      <c r="A107" s="147" t="s">
        <v>224</v>
      </c>
      <c r="B107" s="149"/>
      <c r="C107" s="148"/>
      <c r="D107" s="148"/>
      <c r="E107" s="148"/>
      <c r="F107" s="148"/>
      <c r="G107" s="149"/>
      <c r="H107" s="150"/>
      <c r="I107" s="150"/>
      <c r="J107" s="150"/>
      <c r="K107" s="151"/>
      <c r="L107" s="149"/>
      <c r="M107" s="150"/>
      <c r="N107" s="150"/>
      <c r="O107" s="150"/>
      <c r="P107" s="151"/>
      <c r="Q107" s="149"/>
      <c r="R107" s="150"/>
      <c r="S107" s="150"/>
      <c r="T107" s="150"/>
      <c r="U107" s="151"/>
      <c r="V107" s="149"/>
      <c r="W107" s="920"/>
      <c r="X107" s="920"/>
      <c r="Y107" s="920"/>
      <c r="Z107" s="921"/>
      <c r="AA107" s="149"/>
      <c r="AB107" s="150"/>
      <c r="AC107" s="150"/>
      <c r="AD107" s="150"/>
      <c r="AE107" s="151"/>
      <c r="AF107" s="149"/>
      <c r="AG107" s="150"/>
      <c r="AH107" s="150"/>
      <c r="AI107" s="150"/>
      <c r="AJ107" s="151"/>
      <c r="AK107" s="149"/>
      <c r="AL107" s="150"/>
      <c r="AM107" s="150"/>
      <c r="AN107" s="150"/>
      <c r="AO107" s="151"/>
      <c r="AP107" s="149"/>
      <c r="AQ107" s="98"/>
      <c r="AR107" s="6"/>
      <c r="AS107" s="619"/>
      <c r="AT107" s="619"/>
      <c r="AU107" s="619"/>
      <c r="AV107" s="619"/>
      <c r="AW107" s="619"/>
      <c r="AX107" s="619"/>
      <c r="AY107" s="619"/>
      <c r="AZ107" s="619"/>
      <c r="BA107" s="619"/>
      <c r="BB107" s="619"/>
      <c r="BC107" s="79"/>
      <c r="BD107" s="80"/>
      <c r="BE107" s="80"/>
      <c r="BF107" s="80"/>
      <c r="BG107"/>
      <c r="BH107"/>
      <c r="BI107"/>
      <c r="BJ107"/>
      <c r="BK107"/>
      <c r="BL107"/>
      <c r="BM107" s="80"/>
    </row>
    <row r="108" spans="1:65" s="484" customFormat="1" hidden="1" outlineLevel="1">
      <c r="A108" s="609" t="s">
        <v>85</v>
      </c>
      <c r="B108" s="112">
        <f>B102-B110</f>
        <v>926</v>
      </c>
      <c r="C108" s="489">
        <f>C102-C110</f>
        <v>201</v>
      </c>
      <c r="D108" s="489">
        <f>D102-D110</f>
        <v>210</v>
      </c>
      <c r="E108" s="489">
        <f>E102-E110</f>
        <v>236</v>
      </c>
      <c r="F108" s="489">
        <f>F102-F110</f>
        <v>206</v>
      </c>
      <c r="G108" s="112">
        <f>SUM(C108:F108)</f>
        <v>853</v>
      </c>
      <c r="H108" s="489">
        <f>H102-H110</f>
        <v>227</v>
      </c>
      <c r="I108" s="489">
        <f>I102-I110</f>
        <v>229</v>
      </c>
      <c r="J108" s="489">
        <f>J102-J110</f>
        <v>235</v>
      </c>
      <c r="K108" s="489">
        <f>K102-K110</f>
        <v>282</v>
      </c>
      <c r="L108" s="112">
        <f>SUM(H108:K108)</f>
        <v>973</v>
      </c>
      <c r="M108" s="489">
        <f>M102-M110</f>
        <v>258</v>
      </c>
      <c r="N108" s="489">
        <f>N102-N110</f>
        <v>254</v>
      </c>
      <c r="O108" s="489">
        <f>O102-O110</f>
        <v>244</v>
      </c>
      <c r="P108" s="489">
        <f>P102-P110</f>
        <v>257</v>
      </c>
      <c r="Q108" s="112">
        <f>SUM(M108:P108)</f>
        <v>1013</v>
      </c>
      <c r="R108" s="489"/>
      <c r="S108" s="489"/>
      <c r="T108" s="489"/>
      <c r="U108" s="489"/>
      <c r="V108" s="112"/>
      <c r="W108" s="795">
        <f t="shared" ref="W108:Z108" si="79">W102-W110</f>
        <v>324.21159999999998</v>
      </c>
      <c r="X108" s="795">
        <f t="shared" si="79"/>
        <v>326.27595000000002</v>
      </c>
      <c r="Y108" s="795">
        <f t="shared" si="79"/>
        <v>339.53125</v>
      </c>
      <c r="Z108" s="922">
        <f t="shared" si="79"/>
        <v>328.01435000000004</v>
      </c>
      <c r="AA108" s="112">
        <f>SUM(W108:Z108)</f>
        <v>1318.0331500000002</v>
      </c>
      <c r="AB108" s="52"/>
      <c r="AC108" s="52"/>
      <c r="AD108" s="52"/>
      <c r="AE108" s="610"/>
      <c r="AF108" s="112"/>
      <c r="AG108" s="52"/>
      <c r="AH108" s="52"/>
      <c r="AI108" s="52"/>
      <c r="AJ108" s="610"/>
      <c r="AK108" s="112"/>
      <c r="AL108" s="52"/>
      <c r="AM108" s="52"/>
      <c r="AN108" s="52"/>
      <c r="AO108" s="610"/>
      <c r="AP108" s="112"/>
      <c r="AQ108" s="53"/>
      <c r="AR108" s="412"/>
      <c r="AS108" s="621"/>
      <c r="AT108" s="621"/>
      <c r="AU108" s="621"/>
      <c r="AV108" s="887"/>
      <c r="AW108" s="621"/>
      <c r="AX108" s="621"/>
      <c r="AY108" s="621"/>
      <c r="AZ108" s="621"/>
      <c r="BA108" s="621"/>
      <c r="BB108" s="621"/>
      <c r="BC108" s="409"/>
      <c r="BD108" s="50"/>
      <c r="BE108" s="50"/>
      <c r="BF108" s="50"/>
      <c r="BG108"/>
      <c r="BH108"/>
      <c r="BI108"/>
      <c r="BJ108"/>
      <c r="BK108"/>
      <c r="BL108"/>
      <c r="BM108" s="50"/>
    </row>
    <row r="109" spans="1:65" s="81" customFormat="1" hidden="1" outlineLevel="1">
      <c r="A109" s="22" t="s">
        <v>204</v>
      </c>
      <c r="B109" s="25"/>
      <c r="C109" s="73"/>
      <c r="D109" s="73"/>
      <c r="E109" s="73"/>
      <c r="F109" s="73"/>
      <c r="G109" s="25"/>
      <c r="H109" s="26"/>
      <c r="I109" s="26"/>
      <c r="J109" s="26"/>
      <c r="K109" s="76"/>
      <c r="L109" s="25"/>
      <c r="M109" s="26"/>
      <c r="N109" s="26"/>
      <c r="O109" s="26"/>
      <c r="P109" s="76"/>
      <c r="Q109" s="25"/>
      <c r="R109" s="26"/>
      <c r="S109" s="26"/>
      <c r="T109" s="26"/>
      <c r="U109" s="76"/>
      <c r="V109" s="25"/>
      <c r="W109" s="789"/>
      <c r="X109" s="789"/>
      <c r="Y109" s="789"/>
      <c r="Z109" s="790"/>
      <c r="AA109" s="25"/>
      <c r="AB109" s="26"/>
      <c r="AC109" s="26"/>
      <c r="AD109" s="26"/>
      <c r="AE109" s="76"/>
      <c r="AF109" s="25"/>
      <c r="AG109" s="26"/>
      <c r="AH109" s="26"/>
      <c r="AI109" s="26"/>
      <c r="AJ109" s="76"/>
      <c r="AK109" s="25"/>
      <c r="AL109" s="26"/>
      <c r="AM109" s="26"/>
      <c r="AN109" s="26"/>
      <c r="AO109" s="76"/>
      <c r="AP109" s="25"/>
      <c r="AQ109" s="77"/>
      <c r="AR109" s="6"/>
      <c r="AS109" s="888"/>
      <c r="AT109" s="619"/>
      <c r="AU109" s="619"/>
      <c r="AV109" s="619"/>
      <c r="AW109" s="619"/>
      <c r="AX109" s="619"/>
      <c r="AY109" s="619"/>
      <c r="AZ109" s="619"/>
      <c r="BA109" s="619"/>
      <c r="BB109" s="619"/>
      <c r="BC109" s="79"/>
      <c r="BD109" s="80"/>
      <c r="BE109" s="80"/>
      <c r="BF109" s="80"/>
      <c r="BG109"/>
      <c r="BH109"/>
      <c r="BI109"/>
      <c r="BJ109"/>
      <c r="BK109"/>
      <c r="BL109"/>
      <c r="BM109" s="80"/>
    </row>
    <row r="110" spans="1:65" s="484" customFormat="1" hidden="1" outlineLevel="1">
      <c r="A110" s="111" t="s">
        <v>189</v>
      </c>
      <c r="B110" s="112">
        <v>359</v>
      </c>
      <c r="C110" s="638">
        <v>111</v>
      </c>
      <c r="D110" s="638">
        <v>109</v>
      </c>
      <c r="E110" s="638">
        <v>62</v>
      </c>
      <c r="F110" s="640">
        <f>+G110-SUM(C110:E110)</f>
        <v>70</v>
      </c>
      <c r="G110" s="112">
        <v>352</v>
      </c>
      <c r="H110" s="638">
        <v>59</v>
      </c>
      <c r="I110" s="638">
        <v>83</v>
      </c>
      <c r="J110" s="638">
        <v>76</v>
      </c>
      <c r="K110" s="640">
        <f>+L110-SUM(H110:J110)</f>
        <v>45</v>
      </c>
      <c r="L110" s="112">
        <v>263</v>
      </c>
      <c r="M110" s="800">
        <v>54</v>
      </c>
      <c r="N110" s="800">
        <v>61</v>
      </c>
      <c r="O110" s="904">
        <v>90</v>
      </c>
      <c r="P110" s="225">
        <f>246-O110-N110-M110</f>
        <v>41</v>
      </c>
      <c r="Q110" s="1023">
        <f>+SUM(M110:P110)</f>
        <v>246</v>
      </c>
      <c r="R110" s="800"/>
      <c r="S110" s="800"/>
      <c r="T110" s="904"/>
      <c r="U110" s="225"/>
      <c r="V110" s="1023"/>
      <c r="W110" s="925">
        <v>0</v>
      </c>
      <c r="X110" s="925">
        <v>0</v>
      </c>
      <c r="Y110" s="925">
        <v>0</v>
      </c>
      <c r="Z110" s="926">
        <v>0</v>
      </c>
      <c r="AA110" s="112">
        <f>+SUM(W110:Z110)</f>
        <v>0</v>
      </c>
      <c r="AB110" s="52"/>
      <c r="AC110" s="52"/>
      <c r="AD110" s="52"/>
      <c r="AE110" s="610"/>
      <c r="AF110" s="112"/>
      <c r="AG110" s="52"/>
      <c r="AH110" s="52"/>
      <c r="AI110" s="52"/>
      <c r="AJ110" s="610"/>
      <c r="AK110" s="112"/>
      <c r="AL110" s="52"/>
      <c r="AM110" s="52"/>
      <c r="AN110" s="52"/>
      <c r="AO110" s="610"/>
      <c r="AP110" s="112"/>
      <c r="AQ110" s="53"/>
      <c r="AR110" s="412"/>
      <c r="AS110" s="621"/>
      <c r="AT110" s="621"/>
      <c r="AU110" s="621"/>
      <c r="AV110" s="887"/>
      <c r="AW110" s="621"/>
      <c r="AX110" s="621"/>
      <c r="AY110" s="621"/>
      <c r="AZ110" s="621"/>
      <c r="BA110" s="621"/>
      <c r="BB110" s="621"/>
      <c r="BC110" s="409"/>
      <c r="BD110" s="50"/>
      <c r="BE110" s="50"/>
      <c r="BF110" s="50"/>
      <c r="BG110"/>
      <c r="BH110"/>
      <c r="BI110"/>
      <c r="BJ110"/>
      <c r="BK110"/>
      <c r="BL110"/>
      <c r="BM110" s="50"/>
    </row>
    <row r="111" spans="1:65" s="351" customFormat="1" hidden="1" outlineLevel="1">
      <c r="A111" s="611" t="s">
        <v>190</v>
      </c>
      <c r="B111" s="577">
        <f t="shared" ref="B111:N111" si="80">B110/B102</f>
        <v>0.27937743190661479</v>
      </c>
      <c r="C111" s="576">
        <f t="shared" si="80"/>
        <v>0.35576923076923078</v>
      </c>
      <c r="D111" s="576">
        <f t="shared" si="80"/>
        <v>0.34169278996865204</v>
      </c>
      <c r="E111" s="576">
        <f t="shared" si="80"/>
        <v>0.20805369127516779</v>
      </c>
      <c r="F111" s="576">
        <f t="shared" si="80"/>
        <v>0.25362318840579712</v>
      </c>
      <c r="G111" s="577">
        <f t="shared" si="80"/>
        <v>0.29211618257261412</v>
      </c>
      <c r="H111" s="576">
        <f t="shared" si="80"/>
        <v>0.2062937062937063</v>
      </c>
      <c r="I111" s="576">
        <f t="shared" si="80"/>
        <v>0.26602564102564102</v>
      </c>
      <c r="J111" s="576">
        <f t="shared" si="80"/>
        <v>0.24437299035369775</v>
      </c>
      <c r="K111" s="576">
        <f t="shared" si="80"/>
        <v>0.13761467889908258</v>
      </c>
      <c r="L111" s="577">
        <f t="shared" si="80"/>
        <v>0.2127831715210356</v>
      </c>
      <c r="M111" s="576">
        <f t="shared" si="80"/>
        <v>0.17307692307692307</v>
      </c>
      <c r="N111" s="576">
        <f t="shared" si="80"/>
        <v>0.19365079365079366</v>
      </c>
      <c r="O111" s="576">
        <f t="shared" ref="O111:Q111" si="81">O110/O102</f>
        <v>0.26946107784431139</v>
      </c>
      <c r="P111" s="576">
        <f t="shared" si="81"/>
        <v>0.13758389261744966</v>
      </c>
      <c r="Q111" s="577">
        <f t="shared" si="81"/>
        <v>0.1953931691818904</v>
      </c>
      <c r="R111" s="576"/>
      <c r="S111" s="576"/>
      <c r="T111" s="576"/>
      <c r="U111" s="576"/>
      <c r="V111" s="577"/>
      <c r="W111" s="923">
        <f t="shared" ref="W111:AA111" si="82">W110/W102</f>
        <v>0</v>
      </c>
      <c r="X111" s="923">
        <f t="shared" si="82"/>
        <v>0</v>
      </c>
      <c r="Y111" s="923">
        <f t="shared" si="82"/>
        <v>0</v>
      </c>
      <c r="Z111" s="924">
        <f t="shared" si="82"/>
        <v>0</v>
      </c>
      <c r="AA111" s="577">
        <f t="shared" si="82"/>
        <v>0</v>
      </c>
      <c r="AB111" s="48"/>
      <c r="AC111" s="48"/>
      <c r="AD111" s="48"/>
      <c r="AE111" s="612"/>
      <c r="AF111" s="577"/>
      <c r="AG111" s="48"/>
      <c r="AH111" s="48"/>
      <c r="AI111" s="48"/>
      <c r="AJ111" s="612"/>
      <c r="AK111" s="577"/>
      <c r="AL111" s="48"/>
      <c r="AM111" s="48"/>
      <c r="AN111" s="48"/>
      <c r="AO111" s="612"/>
      <c r="AP111" s="577"/>
      <c r="AQ111" s="41"/>
      <c r="AR111" s="608"/>
      <c r="AS111" s="882"/>
      <c r="AT111" s="882"/>
      <c r="AU111" s="882"/>
      <c r="AV111" s="886"/>
      <c r="AW111" s="882"/>
      <c r="AX111" s="882"/>
      <c r="AY111" s="882"/>
      <c r="AZ111" s="882"/>
      <c r="BA111" s="882"/>
      <c r="BB111" s="882"/>
      <c r="BC111" s="350"/>
      <c r="BD111" s="40"/>
      <c r="BE111" s="40"/>
      <c r="BF111" s="40"/>
      <c r="BG111"/>
      <c r="BH111"/>
      <c r="BI111"/>
      <c r="BJ111"/>
      <c r="BK111"/>
      <c r="BL111"/>
      <c r="BM111" s="40"/>
    </row>
    <row r="112" spans="1:65" s="146" customFormat="1" ht="11.25" customHeight="1" collapsed="1">
      <c r="A112" s="137" t="s">
        <v>239</v>
      </c>
      <c r="B112" s="138">
        <f t="shared" ref="B112:N112" si="83">B115/B20</f>
        <v>0.14153258794655033</v>
      </c>
      <c r="C112" s="139">
        <f t="shared" si="83"/>
        <v>0.12689044632976762</v>
      </c>
      <c r="D112" s="139">
        <f t="shared" si="83"/>
        <v>0.13242009132420091</v>
      </c>
      <c r="E112" s="139">
        <f t="shared" si="83"/>
        <v>0.13037091443261109</v>
      </c>
      <c r="F112" s="139">
        <f t="shared" si="83"/>
        <v>0.1389739663093415</v>
      </c>
      <c r="G112" s="138">
        <f t="shared" si="83"/>
        <v>0.13209668353007306</v>
      </c>
      <c r="H112" s="139">
        <f t="shared" si="83"/>
        <v>0.13108057927961381</v>
      </c>
      <c r="I112" s="139">
        <f t="shared" si="83"/>
        <v>0.13048327137546467</v>
      </c>
      <c r="J112" s="139">
        <f t="shared" si="83"/>
        <v>0.13009636767976279</v>
      </c>
      <c r="K112" s="139">
        <f t="shared" si="83"/>
        <v>0.13698630136986301</v>
      </c>
      <c r="L112" s="138">
        <f t="shared" si="83"/>
        <v>0.13222913616398244</v>
      </c>
      <c r="M112" s="139">
        <f t="shared" si="83"/>
        <v>0.12887915297553851</v>
      </c>
      <c r="N112" s="139">
        <f t="shared" si="83"/>
        <v>0.13448399856166846</v>
      </c>
      <c r="O112" s="139">
        <f t="shared" ref="O112:S112" si="84">O115/O20</f>
        <v>0.12795206203736342</v>
      </c>
      <c r="P112" s="139">
        <f t="shared" si="84"/>
        <v>0.12</v>
      </c>
      <c r="Q112" s="138">
        <f t="shared" si="84"/>
        <v>0.12765770514848004</v>
      </c>
      <c r="R112" s="139">
        <f t="shared" si="84"/>
        <v>0.12821428571428573</v>
      </c>
      <c r="S112" s="139">
        <f t="shared" si="84"/>
        <v>0.13431269674711438</v>
      </c>
      <c r="T112" s="139">
        <f t="shared" ref="T112:V112" si="85">T115/T20</f>
        <v>0.12658674188998589</v>
      </c>
      <c r="U112" s="139">
        <f t="shared" si="85"/>
        <v>0.11428571428571428</v>
      </c>
      <c r="V112" s="138">
        <f t="shared" si="85"/>
        <v>0.12571926765475153</v>
      </c>
      <c r="W112" s="140">
        <v>0.13</v>
      </c>
      <c r="X112" s="140">
        <v>0.13</v>
      </c>
      <c r="Y112" s="140">
        <v>0.13</v>
      </c>
      <c r="Z112" s="143">
        <v>0.13</v>
      </c>
      <c r="AA112" s="138">
        <f>AA115/AA20</f>
        <v>0.13</v>
      </c>
      <c r="AB112" s="140"/>
      <c r="AC112" s="140"/>
      <c r="AD112" s="140"/>
      <c r="AE112" s="143"/>
      <c r="AF112" s="142">
        <f>+AA112</f>
        <v>0.13</v>
      </c>
      <c r="AG112" s="140"/>
      <c r="AH112" s="140"/>
      <c r="AI112" s="140"/>
      <c r="AJ112" s="143"/>
      <c r="AK112" s="142">
        <f>+AF112</f>
        <v>0.13</v>
      </c>
      <c r="AL112" s="140"/>
      <c r="AM112" s="140"/>
      <c r="AN112" s="140"/>
      <c r="AO112" s="143"/>
      <c r="AP112" s="142">
        <f>+AK112</f>
        <v>0.13</v>
      </c>
      <c r="AQ112" s="144"/>
      <c r="AR112" s="145"/>
      <c r="AS112" s="664" t="s">
        <v>390</v>
      </c>
      <c r="AT112" s="619"/>
      <c r="AU112" s="619"/>
      <c r="AV112" s="619"/>
      <c r="AW112" s="619"/>
      <c r="AX112" s="619"/>
      <c r="AY112" s="619"/>
      <c r="AZ112" s="619"/>
      <c r="BA112" s="619"/>
      <c r="BB112" s="619"/>
      <c r="BC112" s="145"/>
      <c r="BG112"/>
      <c r="BH112"/>
      <c r="BI112"/>
      <c r="BJ112"/>
      <c r="BK112"/>
      <c r="BL112"/>
    </row>
    <row r="113" spans="1:65" s="586" customFormat="1" ht="11.25" customHeight="1">
      <c r="A113" s="578" t="s">
        <v>224</v>
      </c>
      <c r="B113" s="580"/>
      <c r="C113" s="579"/>
      <c r="D113" s="579"/>
      <c r="E113" s="579"/>
      <c r="F113" s="579"/>
      <c r="G113" s="580">
        <f t="shared" ref="G113:O113" si="86">(G112-B112)*100</f>
        <v>-0.94359044164772643</v>
      </c>
      <c r="H113" s="579">
        <f t="shared" si="86"/>
        <v>0.4190132949846187</v>
      </c>
      <c r="I113" s="579">
        <f t="shared" si="86"/>
        <v>-0.19368199487362348</v>
      </c>
      <c r="J113" s="579">
        <f t="shared" si="86"/>
        <v>-2.745467528482981E-2</v>
      </c>
      <c r="K113" s="579">
        <f t="shared" si="86"/>
        <v>-0.19876649394784951</v>
      </c>
      <c r="L113" s="580">
        <f t="shared" si="86"/>
        <v>1.3245263390937456E-2</v>
      </c>
      <c r="M113" s="579">
        <f t="shared" si="86"/>
        <v>-0.2201426304075299</v>
      </c>
      <c r="N113" s="579">
        <f t="shared" si="86"/>
        <v>0.40007271862037841</v>
      </c>
      <c r="O113" s="579">
        <f t="shared" si="86"/>
        <v>-0.21443056423993689</v>
      </c>
      <c r="P113" s="579">
        <f t="shared" ref="P113" si="87">(P112-K112)*100</f>
        <v>-1.6986301369863011</v>
      </c>
      <c r="Q113" s="580">
        <f t="shared" ref="Q113" si="88">(Q112-L112)*100</f>
        <v>-0.45714310155023918</v>
      </c>
      <c r="R113" s="579"/>
      <c r="S113" s="579"/>
      <c r="T113" s="579"/>
      <c r="U113" s="579"/>
      <c r="V113" s="580"/>
      <c r="W113" s="914">
        <f>(W112-R112)*100</f>
        <v>0.17857142857142794</v>
      </c>
      <c r="X113" s="914">
        <f t="shared" ref="X113" si="89">(X112-N112)*100</f>
        <v>-0.44839985616684508</v>
      </c>
      <c r="Y113" s="914">
        <f t="shared" ref="Y113" si="90">(Y112-O112)*100</f>
        <v>0.20479379626365812</v>
      </c>
      <c r="Z113" s="915">
        <f>(Z112-P112)*100</f>
        <v>1.0000000000000009</v>
      </c>
      <c r="AA113" s="580">
        <f>(AA112-V112)*100</f>
        <v>0.4280732345248478</v>
      </c>
      <c r="AB113" s="581"/>
      <c r="AC113" s="581"/>
      <c r="AD113" s="581"/>
      <c r="AE113" s="582"/>
      <c r="AF113" s="580">
        <f>(AF112-AA112)*100</f>
        <v>0</v>
      </c>
      <c r="AG113" s="581"/>
      <c r="AH113" s="581"/>
      <c r="AI113" s="581"/>
      <c r="AJ113" s="582"/>
      <c r="AK113" s="580">
        <f>(AK112-AF112)*100</f>
        <v>0</v>
      </c>
      <c r="AL113" s="581"/>
      <c r="AM113" s="581"/>
      <c r="AN113" s="581"/>
      <c r="AO113" s="582"/>
      <c r="AP113" s="580">
        <f>(AP112-AK112)*100</f>
        <v>0</v>
      </c>
      <c r="AQ113" s="583"/>
      <c r="AR113" s="584"/>
      <c r="AS113" s="304"/>
      <c r="AT113" s="629"/>
      <c r="AU113" s="619"/>
      <c r="AV113" s="619"/>
      <c r="AW113" s="619"/>
      <c r="AX113" s="619"/>
      <c r="AY113" s="619"/>
      <c r="AZ113" s="619"/>
      <c r="BA113" s="629"/>
      <c r="BB113" s="629"/>
      <c r="BC113" s="585"/>
      <c r="BG113"/>
      <c r="BH113"/>
      <c r="BI113"/>
      <c r="BJ113"/>
      <c r="BK113"/>
      <c r="BL113"/>
    </row>
    <row r="114" spans="1:65" s="161" customFormat="1" ht="11.25" customHeight="1">
      <c r="A114" s="152" t="s">
        <v>225</v>
      </c>
      <c r="B114" s="154"/>
      <c r="C114" s="153"/>
      <c r="D114" s="153"/>
      <c r="E114" s="153"/>
      <c r="F114" s="153"/>
      <c r="G114" s="154">
        <f t="shared" ref="G114:O114" si="91">IFERROR((G115-B115)/(G20-B20),0)</f>
        <v>0.44954128440366975</v>
      </c>
      <c r="H114" s="153">
        <f t="shared" si="91"/>
        <v>-0.5</v>
      </c>
      <c r="I114" s="153">
        <f t="shared" si="91"/>
        <v>4.8387096774193547E-2</v>
      </c>
      <c r="J114" s="153">
        <f t="shared" si="91"/>
        <v>0.16</v>
      </c>
      <c r="K114" s="153">
        <f t="shared" si="91"/>
        <v>0.1148936170212766</v>
      </c>
      <c r="L114" s="154">
        <f t="shared" si="91"/>
        <v>0.13779527559055119</v>
      </c>
      <c r="M114" s="153">
        <f t="shared" si="91"/>
        <v>0</v>
      </c>
      <c r="N114" s="153">
        <f t="shared" si="91"/>
        <v>0.25274725274725274</v>
      </c>
      <c r="O114" s="153">
        <f t="shared" si="91"/>
        <v>8.6330935251798566E-2</v>
      </c>
      <c r="P114" s="153">
        <f t="shared" ref="P114" si="92">IFERROR((P115-K115)/(P20-K20),0)</f>
        <v>-0.15168539325842698</v>
      </c>
      <c r="Q114" s="154">
        <f t="shared" ref="Q114" si="93">IFERROR((Q115-L115)/(Q20-L20),0)</f>
        <v>1.7621145374449341E-2</v>
      </c>
      <c r="R114" s="153"/>
      <c r="S114" s="153"/>
      <c r="T114" s="153"/>
      <c r="U114" s="153"/>
      <c r="V114" s="154"/>
      <c r="W114" s="916">
        <f>IFERROR((W115-R115)/(W20-R20),0)</f>
        <v>0.20142857142857226</v>
      </c>
      <c r="X114" s="916">
        <f t="shared" ref="X114:AA114" si="94">IFERROR((X115-S115)/(X20-S20),0)</f>
        <v>-4.2507869884575153E-2</v>
      </c>
      <c r="Y114" s="916">
        <f t="shared" si="94"/>
        <v>0.2665303244005654</v>
      </c>
      <c r="Z114" s="917">
        <f t="shared" si="94"/>
        <v>0.75857142857143234</v>
      </c>
      <c r="AA114" s="154">
        <f t="shared" si="94"/>
        <v>0.30122929380993918</v>
      </c>
      <c r="AB114" s="155"/>
      <c r="AC114" s="155"/>
      <c r="AD114" s="155"/>
      <c r="AE114" s="156"/>
      <c r="AF114" s="154">
        <f>IFERROR((AF115-AA115)/(AF20-AA20),0)</f>
        <v>0.13000000000000012</v>
      </c>
      <c r="AG114" s="155"/>
      <c r="AH114" s="155"/>
      <c r="AI114" s="155"/>
      <c r="AJ114" s="156"/>
      <c r="AK114" s="154">
        <f>IFERROR((AK115-AF115)/(AK20-AF20),0)</f>
        <v>0.12999999999999995</v>
      </c>
      <c r="AL114" s="155"/>
      <c r="AM114" s="155"/>
      <c r="AN114" s="155"/>
      <c r="AO114" s="156"/>
      <c r="AP114" s="154">
        <f>IFERROR((AP115-AK115)/(AP20-AK20),0)</f>
        <v>0.13000000000000006</v>
      </c>
      <c r="AQ114" s="157"/>
      <c r="AR114" s="158"/>
      <c r="AS114" s="619"/>
      <c r="AT114" s="619"/>
      <c r="AU114" s="664"/>
      <c r="AV114" s="912">
        <v>2016</v>
      </c>
      <c r="AW114" s="664"/>
      <c r="AX114" s="912">
        <v>2016</v>
      </c>
      <c r="AY114" s="664"/>
      <c r="AZ114" s="912">
        <v>2016</v>
      </c>
      <c r="BA114" s="159"/>
      <c r="BB114" s="159"/>
      <c r="BC114" s="160"/>
      <c r="BG114"/>
      <c r="BH114"/>
      <c r="BI114"/>
      <c r="BJ114"/>
      <c r="BK114"/>
      <c r="BL114"/>
    </row>
    <row r="115" spans="1:65" s="146" customFormat="1" ht="11.25" customHeight="1">
      <c r="A115" s="162" t="s">
        <v>240</v>
      </c>
      <c r="B115" s="165">
        <v>1557</v>
      </c>
      <c r="C115" s="164">
        <v>344</v>
      </c>
      <c r="D115" s="164">
        <v>348</v>
      </c>
      <c r="E115" s="164">
        <v>355</v>
      </c>
      <c r="F115" s="164">
        <v>363</v>
      </c>
      <c r="G115" s="165">
        <v>1410</v>
      </c>
      <c r="H115" s="166">
        <v>353</v>
      </c>
      <c r="I115" s="166">
        <v>351</v>
      </c>
      <c r="J115" s="166">
        <v>351</v>
      </c>
      <c r="K115" s="167">
        <v>390</v>
      </c>
      <c r="L115" s="165">
        <v>1445</v>
      </c>
      <c r="M115" s="166">
        <v>353</v>
      </c>
      <c r="N115" s="166">
        <v>374</v>
      </c>
      <c r="O115" s="166">
        <v>363</v>
      </c>
      <c r="P115" s="167">
        <v>363</v>
      </c>
      <c r="Q115" s="165">
        <f>+SUM(M115:P115)</f>
        <v>1453</v>
      </c>
      <c r="R115" s="166">
        <v>359</v>
      </c>
      <c r="S115" s="166">
        <v>384</v>
      </c>
      <c r="T115" s="166">
        <v>359</v>
      </c>
      <c r="U115" s="167">
        <v>340</v>
      </c>
      <c r="V115" s="165">
        <f>+SUM(R115:U115)</f>
        <v>1442</v>
      </c>
      <c r="W115" s="166">
        <f t="shared" ref="W115:Z115" si="95">+W112*W20</f>
        <v>373.09999999999997</v>
      </c>
      <c r="X115" s="166">
        <f t="shared" si="95"/>
        <v>380.96174999999999</v>
      </c>
      <c r="Y115" s="166">
        <f t="shared" si="95"/>
        <v>377.89699999999999</v>
      </c>
      <c r="Z115" s="167">
        <f t="shared" si="95"/>
        <v>396.41874999999993</v>
      </c>
      <c r="AA115" s="165">
        <f>+SUM(W115:Z115)</f>
        <v>1528.3775000000001</v>
      </c>
      <c r="AB115" s="166"/>
      <c r="AC115" s="166"/>
      <c r="AD115" s="166"/>
      <c r="AE115" s="167"/>
      <c r="AF115" s="165">
        <f>AF20*AF112</f>
        <v>1620.0801500000002</v>
      </c>
      <c r="AG115" s="166"/>
      <c r="AH115" s="166"/>
      <c r="AI115" s="166"/>
      <c r="AJ115" s="167"/>
      <c r="AK115" s="165">
        <f>AK20*AK112</f>
        <v>1717.2849590000003</v>
      </c>
      <c r="AL115" s="166"/>
      <c r="AM115" s="166"/>
      <c r="AN115" s="166"/>
      <c r="AO115" s="167"/>
      <c r="AP115" s="165">
        <f>AP20*AP112</f>
        <v>1820.3220565400004</v>
      </c>
      <c r="AQ115" s="144"/>
      <c r="AR115" s="145"/>
      <c r="AS115" s="619"/>
      <c r="AT115" s="619"/>
      <c r="AU115" s="908" t="s">
        <v>324</v>
      </c>
      <c r="AV115" s="910">
        <v>0.44</v>
      </c>
      <c r="AW115" s="908" t="s">
        <v>326</v>
      </c>
      <c r="AX115" s="910">
        <v>0.51</v>
      </c>
      <c r="AY115" s="908" t="s">
        <v>330</v>
      </c>
      <c r="AZ115" s="910">
        <v>0.67</v>
      </c>
      <c r="BA115" s="619"/>
      <c r="BB115" s="619"/>
      <c r="BC115" s="145"/>
      <c r="BG115"/>
      <c r="BH115"/>
      <c r="BI115"/>
      <c r="BJ115"/>
      <c r="BK115"/>
      <c r="BL115"/>
    </row>
    <row r="116" spans="1:65" ht="11.25" customHeight="1">
      <c r="A116" s="22" t="s">
        <v>204</v>
      </c>
      <c r="B116" s="23"/>
      <c r="C116" s="24"/>
      <c r="D116" s="24"/>
      <c r="E116" s="24"/>
      <c r="F116" s="24"/>
      <c r="G116" s="23">
        <f t="shared" ref="G116:O116" si="96">G115/B115-1</f>
        <v>-9.4412331406551031E-2</v>
      </c>
      <c r="H116" s="24">
        <f t="shared" si="96"/>
        <v>2.6162790697674465E-2</v>
      </c>
      <c r="I116" s="24">
        <f t="shared" si="96"/>
        <v>8.6206896551723755E-3</v>
      </c>
      <c r="J116" s="24">
        <f t="shared" si="96"/>
        <v>-1.1267605633802802E-2</v>
      </c>
      <c r="K116" s="24">
        <f t="shared" si="96"/>
        <v>7.4380165289256173E-2</v>
      </c>
      <c r="L116" s="23">
        <f t="shared" si="96"/>
        <v>2.4822695035461084E-2</v>
      </c>
      <c r="M116" s="24">
        <f t="shared" si="96"/>
        <v>0</v>
      </c>
      <c r="N116" s="24">
        <f t="shared" si="96"/>
        <v>6.5527065527065442E-2</v>
      </c>
      <c r="O116" s="24">
        <f t="shared" si="96"/>
        <v>3.4188034188034289E-2</v>
      </c>
      <c r="P116" s="24">
        <f t="shared" ref="P116" si="97">P115/K115-1</f>
        <v>-6.9230769230769207E-2</v>
      </c>
      <c r="Q116" s="23">
        <f t="shared" ref="Q116" si="98">Q115/L115-1</f>
        <v>5.5363321799308807E-3</v>
      </c>
      <c r="R116" s="24"/>
      <c r="S116" s="24"/>
      <c r="T116" s="24"/>
      <c r="U116" s="24"/>
      <c r="V116" s="23"/>
      <c r="W116" s="789">
        <f>W115/R115-1</f>
        <v>3.9275766016712899E-2</v>
      </c>
      <c r="X116" s="789">
        <f t="shared" ref="X116:AA116" si="99">X115/S115-1</f>
        <v>-7.912109374999976E-3</v>
      </c>
      <c r="Y116" s="789">
        <f t="shared" si="99"/>
        <v>5.2637883008356479E-2</v>
      </c>
      <c r="Z116" s="789">
        <f t="shared" si="99"/>
        <v>0.16593749999999985</v>
      </c>
      <c r="AA116" s="23">
        <f t="shared" si="99"/>
        <v>5.9901178918169151E-2</v>
      </c>
      <c r="AB116" s="24"/>
      <c r="AC116" s="24"/>
      <c r="AD116" s="24"/>
      <c r="AE116" s="24"/>
      <c r="AF116" s="23">
        <f>AF115/AA115-1</f>
        <v>6.0000000000000053E-2</v>
      </c>
      <c r="AG116" s="24"/>
      <c r="AH116" s="24"/>
      <c r="AI116" s="24"/>
      <c r="AJ116" s="24"/>
      <c r="AK116" s="23">
        <f>AK115/AF115-1</f>
        <v>6.0000000000000053E-2</v>
      </c>
      <c r="AL116" s="24"/>
      <c r="AM116" s="24"/>
      <c r="AN116" s="24"/>
      <c r="AO116" s="24"/>
      <c r="AP116" s="23">
        <f>AP115/AK115-1</f>
        <v>6.0000000000000053E-2</v>
      </c>
      <c r="AQ116" s="28"/>
      <c r="AR116" s="7"/>
      <c r="AS116" s="619"/>
      <c r="AT116" s="619"/>
      <c r="AU116" s="909" t="s">
        <v>325</v>
      </c>
      <c r="AV116" s="911">
        <v>0.52</v>
      </c>
      <c r="AW116" s="909" t="s">
        <v>327</v>
      </c>
      <c r="AX116" s="910">
        <v>0.25</v>
      </c>
      <c r="AY116" s="909" t="s">
        <v>329</v>
      </c>
      <c r="AZ116" s="911">
        <v>0.33</v>
      </c>
      <c r="BA116" s="664"/>
      <c r="BB116" s="664"/>
      <c r="BC116" s="105"/>
      <c r="BD116" s="29"/>
      <c r="BE116" s="29"/>
      <c r="BF116" s="29"/>
    </row>
    <row r="117" spans="1:65" s="146" customFormat="1" ht="11.25" customHeight="1">
      <c r="A117" s="162" t="s">
        <v>241</v>
      </c>
      <c r="B117" s="165">
        <f t="shared" ref="B117:N117" si="100">B20-B115</f>
        <v>9444</v>
      </c>
      <c r="C117" s="164">
        <f t="shared" si="100"/>
        <v>2367</v>
      </c>
      <c r="D117" s="164">
        <f t="shared" si="100"/>
        <v>2280</v>
      </c>
      <c r="E117" s="164">
        <f t="shared" si="100"/>
        <v>2368</v>
      </c>
      <c r="F117" s="163">
        <f t="shared" si="100"/>
        <v>2249</v>
      </c>
      <c r="G117" s="165">
        <f t="shared" si="100"/>
        <v>9264</v>
      </c>
      <c r="H117" s="164">
        <f t="shared" si="100"/>
        <v>2340</v>
      </c>
      <c r="I117" s="164">
        <f t="shared" si="100"/>
        <v>2339</v>
      </c>
      <c r="J117" s="164">
        <f t="shared" si="100"/>
        <v>2347</v>
      </c>
      <c r="K117" s="163">
        <f t="shared" si="100"/>
        <v>2457</v>
      </c>
      <c r="L117" s="165">
        <f t="shared" si="100"/>
        <v>9483</v>
      </c>
      <c r="M117" s="164">
        <f t="shared" si="100"/>
        <v>2386</v>
      </c>
      <c r="N117" s="164">
        <f t="shared" si="100"/>
        <v>2407</v>
      </c>
      <c r="O117" s="164">
        <f t="shared" ref="O117:S117" si="101">O20-O115</f>
        <v>2474</v>
      </c>
      <c r="P117" s="163">
        <f t="shared" si="101"/>
        <v>2662</v>
      </c>
      <c r="Q117" s="165">
        <f t="shared" si="101"/>
        <v>9929</v>
      </c>
      <c r="R117" s="164">
        <f t="shared" si="101"/>
        <v>2441</v>
      </c>
      <c r="S117" s="164">
        <f t="shared" si="101"/>
        <v>2475</v>
      </c>
      <c r="T117" s="164">
        <f t="shared" ref="T117:V117" si="102">T20-T115</f>
        <v>2477</v>
      </c>
      <c r="U117" s="163">
        <f t="shared" si="102"/>
        <v>2635</v>
      </c>
      <c r="V117" s="165">
        <f t="shared" si="102"/>
        <v>10028</v>
      </c>
      <c r="W117" s="166">
        <f t="shared" ref="W117:AA117" si="103">W20-W115</f>
        <v>2496.8999999999996</v>
      </c>
      <c r="X117" s="166">
        <f t="shared" si="103"/>
        <v>2549.51325</v>
      </c>
      <c r="Y117" s="166">
        <f t="shared" si="103"/>
        <v>2529.0029999999997</v>
      </c>
      <c r="Z117" s="167">
        <f t="shared" si="103"/>
        <v>2652.9562499999997</v>
      </c>
      <c r="AA117" s="165">
        <f t="shared" si="103"/>
        <v>10228.372499999999</v>
      </c>
      <c r="AB117" s="166"/>
      <c r="AC117" s="166"/>
      <c r="AD117" s="166"/>
      <c r="AE117" s="167"/>
      <c r="AF117" s="165">
        <f>AF20-AF115</f>
        <v>10842.074850000001</v>
      </c>
      <c r="AG117" s="166"/>
      <c r="AH117" s="166"/>
      <c r="AI117" s="166"/>
      <c r="AJ117" s="167"/>
      <c r="AK117" s="165">
        <f>AK20-AK115</f>
        <v>11492.599341000001</v>
      </c>
      <c r="AL117" s="166"/>
      <c r="AM117" s="166"/>
      <c r="AN117" s="166"/>
      <c r="AO117" s="167"/>
      <c r="AP117" s="165">
        <f>AP20-AP115</f>
        <v>12182.155301460001</v>
      </c>
      <c r="AQ117" s="144"/>
      <c r="AR117" s="145"/>
      <c r="AS117" s="619"/>
      <c r="AT117" s="619"/>
      <c r="AU117" s="913" t="s">
        <v>331</v>
      </c>
      <c r="AV117" s="911">
        <v>0.04</v>
      </c>
      <c r="AW117" s="913" t="s">
        <v>328</v>
      </c>
      <c r="AX117" s="910">
        <v>0.24</v>
      </c>
      <c r="AY117" s="882"/>
      <c r="AZ117" s="882"/>
      <c r="BA117" s="619"/>
      <c r="BB117" s="619"/>
      <c r="BC117" s="145"/>
      <c r="BG117"/>
      <c r="BH117"/>
      <c r="BI117"/>
      <c r="BJ117"/>
      <c r="BK117"/>
      <c r="BL117"/>
    </row>
    <row r="118" spans="1:65" ht="11.25" customHeight="1">
      <c r="A118" s="22" t="s">
        <v>204</v>
      </c>
      <c r="B118" s="23"/>
      <c r="C118" s="24"/>
      <c r="D118" s="24"/>
      <c r="E118" s="24"/>
      <c r="F118" s="24"/>
      <c r="G118" s="23">
        <f t="shared" ref="G118:O118" si="104">G117/B117-1</f>
        <v>-1.9059720457433316E-2</v>
      </c>
      <c r="H118" s="24">
        <f t="shared" si="104"/>
        <v>-1.1406844106463865E-2</v>
      </c>
      <c r="I118" s="24">
        <f t="shared" si="104"/>
        <v>2.5877192982456165E-2</v>
      </c>
      <c r="J118" s="24">
        <f t="shared" si="104"/>
        <v>-8.8682432432432012E-3</v>
      </c>
      <c r="K118" s="24">
        <f t="shared" si="104"/>
        <v>9.2485549132947931E-2</v>
      </c>
      <c r="L118" s="23">
        <f t="shared" si="104"/>
        <v>2.3639896373057079E-2</v>
      </c>
      <c r="M118" s="24">
        <f t="shared" si="104"/>
        <v>1.9658119658119588E-2</v>
      </c>
      <c r="N118" s="24">
        <f t="shared" si="104"/>
        <v>2.9072253099615253E-2</v>
      </c>
      <c r="O118" s="24">
        <f t="shared" si="104"/>
        <v>5.4111631870472854E-2</v>
      </c>
      <c r="P118" s="24">
        <f t="shared" ref="P118" si="105">P117/K117-1</f>
        <v>8.3435083435083435E-2</v>
      </c>
      <c r="Q118" s="23">
        <f t="shared" ref="Q118" si="106">Q117/L117-1</f>
        <v>4.7031530106506292E-2</v>
      </c>
      <c r="R118" s="24"/>
      <c r="S118" s="24"/>
      <c r="T118" s="24"/>
      <c r="U118" s="24"/>
      <c r="V118" s="23"/>
      <c r="W118" s="789">
        <f>W117/R117-1</f>
        <v>2.290045063498547E-2</v>
      </c>
      <c r="X118" s="789">
        <f t="shared" ref="X118:AA118" si="107">X117/S117-1</f>
        <v>3.0106363636363653E-2</v>
      </c>
      <c r="Y118" s="789">
        <f t="shared" si="107"/>
        <v>2.0994348001614815E-2</v>
      </c>
      <c r="Z118" s="789">
        <f t="shared" si="107"/>
        <v>6.8145161290320555E-3</v>
      </c>
      <c r="AA118" s="23">
        <f t="shared" si="107"/>
        <v>1.9981302353410335E-2</v>
      </c>
      <c r="AB118" s="24"/>
      <c r="AC118" s="24"/>
      <c r="AD118" s="24"/>
      <c r="AE118" s="24"/>
      <c r="AF118" s="23">
        <f>AF117/AA117-1</f>
        <v>6.0000000000000053E-2</v>
      </c>
      <c r="AG118" s="24"/>
      <c r="AH118" s="24"/>
      <c r="AI118" s="24"/>
      <c r="AJ118" s="24"/>
      <c r="AK118" s="23">
        <f>AK117/AF117-1</f>
        <v>6.0000000000000053E-2</v>
      </c>
      <c r="AL118" s="24"/>
      <c r="AM118" s="24"/>
      <c r="AN118" s="24"/>
      <c r="AO118" s="24"/>
      <c r="AP118" s="23">
        <f>AP117/AK117-1</f>
        <v>6.0000000000000053E-2</v>
      </c>
      <c r="AQ118" s="28"/>
      <c r="AR118" s="7"/>
      <c r="AS118" s="619"/>
      <c r="AT118" s="664"/>
      <c r="AU118" s="619"/>
      <c r="AV118" s="664"/>
      <c r="AW118" s="664"/>
      <c r="AX118" s="664"/>
      <c r="AY118" s="664"/>
      <c r="AZ118" s="664"/>
      <c r="BA118" s="664"/>
      <c r="BB118" s="664"/>
      <c r="BC118" s="105"/>
      <c r="BD118" s="29"/>
      <c r="BE118" s="29"/>
      <c r="BF118" s="29"/>
    </row>
    <row r="119" spans="1:65" s="351" customFormat="1" hidden="1" outlineLevel="1">
      <c r="A119" s="603" t="s">
        <v>242</v>
      </c>
      <c r="B119" s="604">
        <f t="shared" ref="B119:N119" si="108">B121/B20</f>
        <v>0.1147168439232797</v>
      </c>
      <c r="C119" s="605">
        <f t="shared" si="108"/>
        <v>0.10623386204352638</v>
      </c>
      <c r="D119" s="605">
        <f t="shared" si="108"/>
        <v>0.11605783866057838</v>
      </c>
      <c r="E119" s="605">
        <f t="shared" si="108"/>
        <v>0.11715020198310687</v>
      </c>
      <c r="F119" s="605">
        <f t="shared" si="108"/>
        <v>0.12595712098009187</v>
      </c>
      <c r="G119" s="604">
        <f t="shared" si="108"/>
        <v>0.11626381862469552</v>
      </c>
      <c r="H119" s="605">
        <f t="shared" si="108"/>
        <v>0.11065725956182695</v>
      </c>
      <c r="I119" s="605">
        <f t="shared" si="108"/>
        <v>0.1137546468401487</v>
      </c>
      <c r="J119" s="605">
        <f t="shared" si="108"/>
        <v>0.1167531504818384</v>
      </c>
      <c r="K119" s="605">
        <f t="shared" si="108"/>
        <v>0.11766772040744644</v>
      </c>
      <c r="L119" s="604">
        <f t="shared" si="108"/>
        <v>0.1147510980966325</v>
      </c>
      <c r="M119" s="605">
        <f t="shared" si="108"/>
        <v>0.1113545089448704</v>
      </c>
      <c r="N119" s="605">
        <f t="shared" si="108"/>
        <v>0.12585400934915497</v>
      </c>
      <c r="O119" s="605">
        <f t="shared" ref="O119:Q119" si="109">O121/O20</f>
        <v>0.12513218188227002</v>
      </c>
      <c r="P119" s="605">
        <f t="shared" si="109"/>
        <v>0.12033057851239669</v>
      </c>
      <c r="Q119" s="604">
        <f t="shared" si="109"/>
        <v>0.12071692145492884</v>
      </c>
      <c r="R119" s="605"/>
      <c r="S119" s="605"/>
      <c r="T119" s="605"/>
      <c r="U119" s="605"/>
      <c r="V119" s="604"/>
      <c r="W119" s="918">
        <f t="shared" ref="W119:AA119" si="110">W121/W20</f>
        <v>0.13</v>
      </c>
      <c r="X119" s="918">
        <f t="shared" si="110"/>
        <v>0.13</v>
      </c>
      <c r="Y119" s="918">
        <f t="shared" si="110"/>
        <v>0.13</v>
      </c>
      <c r="Z119" s="919">
        <f t="shared" si="110"/>
        <v>0.13</v>
      </c>
      <c r="AA119" s="604">
        <f t="shared" si="110"/>
        <v>0.13</v>
      </c>
      <c r="AB119" s="606"/>
      <c r="AC119" s="606"/>
      <c r="AD119" s="606"/>
      <c r="AE119" s="607"/>
      <c r="AF119" s="604"/>
      <c r="AG119" s="606"/>
      <c r="AH119" s="606"/>
      <c r="AI119" s="606"/>
      <c r="AJ119" s="607"/>
      <c r="AK119" s="604"/>
      <c r="AL119" s="606"/>
      <c r="AM119" s="606"/>
      <c r="AN119" s="606"/>
      <c r="AO119" s="607"/>
      <c r="AP119" s="604"/>
      <c r="AQ119" s="41"/>
      <c r="AR119" s="608"/>
      <c r="AS119" s="882"/>
      <c r="AT119" s="882"/>
      <c r="AU119" s="882"/>
      <c r="AV119" s="886"/>
      <c r="AW119" s="882"/>
      <c r="AX119" s="882"/>
      <c r="AY119" s="882"/>
      <c r="AZ119" s="882"/>
      <c r="BA119" s="882"/>
      <c r="BB119" s="882"/>
      <c r="BC119" s="350"/>
      <c r="BD119" s="40"/>
      <c r="BE119" s="40"/>
      <c r="BF119" s="40"/>
      <c r="BG119"/>
      <c r="BH119"/>
      <c r="BI119"/>
      <c r="BJ119"/>
      <c r="BK119"/>
      <c r="BL119"/>
      <c r="BM119" s="40"/>
    </row>
    <row r="120" spans="1:65" s="81" customFormat="1" hidden="1" outlineLevel="1">
      <c r="A120" s="147" t="s">
        <v>224</v>
      </c>
      <c r="B120" s="149"/>
      <c r="C120" s="148"/>
      <c r="D120" s="148"/>
      <c r="E120" s="148"/>
      <c r="F120" s="148"/>
      <c r="G120" s="149"/>
      <c r="H120" s="150"/>
      <c r="I120" s="150"/>
      <c r="J120" s="150"/>
      <c r="K120" s="151"/>
      <c r="L120" s="149"/>
      <c r="M120" s="150"/>
      <c r="N120" s="150"/>
      <c r="O120" s="150"/>
      <c r="P120" s="151"/>
      <c r="Q120" s="149"/>
      <c r="R120" s="150"/>
      <c r="S120" s="150"/>
      <c r="T120" s="150"/>
      <c r="U120" s="151"/>
      <c r="V120" s="149"/>
      <c r="W120" s="920"/>
      <c r="X120" s="920"/>
      <c r="Y120" s="920"/>
      <c r="Z120" s="921"/>
      <c r="AA120" s="149"/>
      <c r="AB120" s="150"/>
      <c r="AC120" s="150"/>
      <c r="AD120" s="150"/>
      <c r="AE120" s="151"/>
      <c r="AF120" s="149"/>
      <c r="AG120" s="150"/>
      <c r="AH120" s="150"/>
      <c r="AI120" s="150"/>
      <c r="AJ120" s="151"/>
      <c r="AK120" s="149"/>
      <c r="AL120" s="150"/>
      <c r="AM120" s="150"/>
      <c r="AN120" s="150"/>
      <c r="AO120" s="151"/>
      <c r="AP120" s="149"/>
      <c r="AQ120" s="98"/>
      <c r="AR120" s="6"/>
      <c r="AS120" s="619"/>
      <c r="AT120" s="619"/>
      <c r="AU120" s="619"/>
      <c r="AV120" s="619"/>
      <c r="AW120" s="619"/>
      <c r="AX120" s="619"/>
      <c r="AY120" s="619"/>
      <c r="AZ120" s="619"/>
      <c r="BA120" s="619"/>
      <c r="BB120" s="619"/>
      <c r="BC120" s="79"/>
      <c r="BD120" s="80"/>
      <c r="BE120" s="80"/>
      <c r="BF120" s="80"/>
      <c r="BG120"/>
      <c r="BH120"/>
      <c r="BI120"/>
      <c r="BJ120"/>
      <c r="BK120"/>
      <c r="BL120"/>
      <c r="BM120" s="80"/>
    </row>
    <row r="121" spans="1:65" s="484" customFormat="1" hidden="1" outlineLevel="1">
      <c r="A121" s="609" t="s">
        <v>243</v>
      </c>
      <c r="B121" s="112">
        <f>B115-B123</f>
        <v>1262</v>
      </c>
      <c r="C121" s="489">
        <f>C115-C123</f>
        <v>288</v>
      </c>
      <c r="D121" s="489">
        <f>D115-D123</f>
        <v>305</v>
      </c>
      <c r="E121" s="489">
        <f>E115-E123</f>
        <v>319</v>
      </c>
      <c r="F121" s="489">
        <f>F115-F123</f>
        <v>329</v>
      </c>
      <c r="G121" s="112">
        <f>SUM(C121:F121)</f>
        <v>1241</v>
      </c>
      <c r="H121" s="489">
        <f>H115-H123</f>
        <v>298</v>
      </c>
      <c r="I121" s="489">
        <f>I115-I123</f>
        <v>306</v>
      </c>
      <c r="J121" s="489">
        <f>J115-J123</f>
        <v>315</v>
      </c>
      <c r="K121" s="489">
        <f>K115-K123</f>
        <v>335</v>
      </c>
      <c r="L121" s="112">
        <f>SUM(H121:K121)</f>
        <v>1254</v>
      </c>
      <c r="M121" s="489">
        <f>M115-M123</f>
        <v>305</v>
      </c>
      <c r="N121" s="489">
        <f>N115-N123</f>
        <v>350</v>
      </c>
      <c r="O121" s="489">
        <f>O115-O123</f>
        <v>355</v>
      </c>
      <c r="P121" s="489">
        <f>P115-P123</f>
        <v>364</v>
      </c>
      <c r="Q121" s="112">
        <f>SUM(M121:P121)</f>
        <v>1374</v>
      </c>
      <c r="R121" s="489"/>
      <c r="S121" s="489"/>
      <c r="T121" s="489"/>
      <c r="U121" s="489"/>
      <c r="V121" s="112"/>
      <c r="W121" s="795">
        <f t="shared" ref="W121:Z121" si="111">W115-W123</f>
        <v>373.09999999999997</v>
      </c>
      <c r="X121" s="795">
        <f t="shared" si="111"/>
        <v>380.96174999999999</v>
      </c>
      <c r="Y121" s="795">
        <f t="shared" si="111"/>
        <v>377.89699999999999</v>
      </c>
      <c r="Z121" s="922">
        <f t="shared" si="111"/>
        <v>396.41874999999993</v>
      </c>
      <c r="AA121" s="112">
        <f>SUM(W121:Z121)</f>
        <v>1528.3775000000001</v>
      </c>
      <c r="AB121" s="52"/>
      <c r="AC121" s="52"/>
      <c r="AD121" s="52"/>
      <c r="AE121" s="610"/>
      <c r="AF121" s="112"/>
      <c r="AG121" s="52"/>
      <c r="AH121" s="52"/>
      <c r="AI121" s="52"/>
      <c r="AJ121" s="610"/>
      <c r="AK121" s="112"/>
      <c r="AL121" s="52"/>
      <c r="AM121" s="52"/>
      <c r="AN121" s="52"/>
      <c r="AO121" s="610"/>
      <c r="AP121" s="112"/>
      <c r="AQ121" s="53"/>
      <c r="AR121" s="412"/>
      <c r="AS121" s="621"/>
      <c r="AT121" s="621"/>
      <c r="AU121" s="621"/>
      <c r="AV121" s="887"/>
      <c r="AW121" s="621"/>
      <c r="AX121" s="621"/>
      <c r="AY121" s="621"/>
      <c r="AZ121" s="621"/>
      <c r="BA121" s="621"/>
      <c r="BB121" s="621"/>
      <c r="BC121" s="409"/>
      <c r="BD121" s="50"/>
      <c r="BE121" s="50"/>
      <c r="BF121" s="50"/>
      <c r="BG121"/>
      <c r="BH121"/>
      <c r="BI121"/>
      <c r="BJ121"/>
      <c r="BK121"/>
      <c r="BL121"/>
      <c r="BM121" s="50"/>
    </row>
    <row r="122" spans="1:65" s="81" customFormat="1" hidden="1" outlineLevel="1">
      <c r="A122" s="22" t="s">
        <v>204</v>
      </c>
      <c r="B122" s="25"/>
      <c r="C122" s="73"/>
      <c r="D122" s="617"/>
      <c r="E122" s="73"/>
      <c r="F122" s="73"/>
      <c r="G122" s="25"/>
      <c r="H122" s="26"/>
      <c r="I122" s="26"/>
      <c r="J122" s="26"/>
      <c r="K122" s="76"/>
      <c r="L122" s="25"/>
      <c r="M122" s="26"/>
      <c r="N122" s="26"/>
      <c r="O122" s="26"/>
      <c r="P122" s="76"/>
      <c r="Q122" s="25"/>
      <c r="R122" s="26"/>
      <c r="S122" s="26"/>
      <c r="T122" s="26"/>
      <c r="U122" s="76"/>
      <c r="V122" s="25"/>
      <c r="W122" s="789"/>
      <c r="X122" s="789"/>
      <c r="Y122" s="789"/>
      <c r="Z122" s="790"/>
      <c r="AA122" s="25"/>
      <c r="AB122" s="26"/>
      <c r="AC122" s="26"/>
      <c r="AD122" s="26"/>
      <c r="AE122" s="76"/>
      <c r="AF122" s="25"/>
      <c r="AG122" s="26"/>
      <c r="AH122" s="26"/>
      <c r="AI122" s="26"/>
      <c r="AJ122" s="76"/>
      <c r="AK122" s="25"/>
      <c r="AL122" s="26"/>
      <c r="AM122" s="26"/>
      <c r="AN122" s="26"/>
      <c r="AO122" s="76"/>
      <c r="AP122" s="25"/>
      <c r="AQ122" s="77"/>
      <c r="AR122" s="6"/>
      <c r="AS122" s="888"/>
      <c r="AT122" s="619"/>
      <c r="AU122" s="619"/>
      <c r="AV122" s="619"/>
      <c r="AW122" s="619"/>
      <c r="AX122" s="619"/>
      <c r="AY122" s="619"/>
      <c r="AZ122" s="619"/>
      <c r="BA122" s="619"/>
      <c r="BB122" s="619"/>
      <c r="BC122" s="79"/>
      <c r="BD122" s="80"/>
      <c r="BE122" s="80"/>
      <c r="BF122" s="80"/>
      <c r="BG122"/>
      <c r="BH122"/>
      <c r="BI122"/>
      <c r="BJ122"/>
      <c r="BK122"/>
      <c r="BL122"/>
      <c r="BM122" s="80"/>
    </row>
    <row r="123" spans="1:65" s="484" customFormat="1" hidden="1" outlineLevel="1">
      <c r="A123" s="111" t="s">
        <v>189</v>
      </c>
      <c r="B123" s="112">
        <v>295</v>
      </c>
      <c r="C123" s="638">
        <v>56</v>
      </c>
      <c r="D123" s="638">
        <v>43</v>
      </c>
      <c r="E123" s="638">
        <v>36</v>
      </c>
      <c r="F123" s="640">
        <f>+G123-SUM(C123:E123)</f>
        <v>34</v>
      </c>
      <c r="G123" s="112">
        <v>169</v>
      </c>
      <c r="H123" s="638">
        <v>55</v>
      </c>
      <c r="I123" s="638">
        <v>45</v>
      </c>
      <c r="J123" s="638">
        <v>36</v>
      </c>
      <c r="K123" s="640">
        <f>+L123-SUM(H123:J123)</f>
        <v>55</v>
      </c>
      <c r="L123" s="112">
        <v>191</v>
      </c>
      <c r="M123" s="905">
        <v>48</v>
      </c>
      <c r="N123" s="905">
        <v>24</v>
      </c>
      <c r="O123" s="904">
        <v>8</v>
      </c>
      <c r="P123" s="225">
        <f>79-O123-N123-M123</f>
        <v>-1</v>
      </c>
      <c r="Q123" s="1023">
        <f>+SUM(M123:P123)</f>
        <v>79</v>
      </c>
      <c r="R123" s="905"/>
      <c r="S123" s="905"/>
      <c r="T123" s="904"/>
      <c r="U123" s="225"/>
      <c r="V123" s="1023"/>
      <c r="W123" s="925">
        <v>0</v>
      </c>
      <c r="X123" s="925">
        <v>0</v>
      </c>
      <c r="Y123" s="925">
        <v>0</v>
      </c>
      <c r="Z123" s="926">
        <v>0</v>
      </c>
      <c r="AA123" s="112">
        <f>+SUM(W123:Z123)</f>
        <v>0</v>
      </c>
      <c r="AB123" s="52"/>
      <c r="AC123" s="52"/>
      <c r="AD123" s="52"/>
      <c r="AE123" s="610"/>
      <c r="AF123" s="112"/>
      <c r="AG123" s="52"/>
      <c r="AH123" s="52"/>
      <c r="AI123" s="52"/>
      <c r="AJ123" s="610"/>
      <c r="AK123" s="112"/>
      <c r="AL123" s="52"/>
      <c r="AM123" s="52"/>
      <c r="AN123" s="52"/>
      <c r="AO123" s="610"/>
      <c r="AP123" s="112"/>
      <c r="AQ123" s="53"/>
      <c r="AR123" s="412"/>
      <c r="AS123" s="621"/>
      <c r="AT123" s="621"/>
      <c r="AU123" s="621"/>
      <c r="AV123" s="887"/>
      <c r="AW123" s="621"/>
      <c r="AX123" s="621"/>
      <c r="AY123" s="621"/>
      <c r="AZ123" s="621"/>
      <c r="BA123" s="621"/>
      <c r="BB123" s="621"/>
      <c r="BC123" s="409"/>
      <c r="BD123" s="50"/>
      <c r="BE123" s="50"/>
      <c r="BF123" s="50"/>
      <c r="BG123"/>
      <c r="BH123"/>
      <c r="BI123"/>
      <c r="BJ123"/>
      <c r="BK123"/>
      <c r="BL123"/>
      <c r="BM123" s="50"/>
    </row>
    <row r="124" spans="1:65" s="351" customFormat="1" hidden="1" outlineLevel="1">
      <c r="A124" s="611" t="s">
        <v>190</v>
      </c>
      <c r="B124" s="577">
        <f t="shared" ref="B124:H124" si="112">B123/B115</f>
        <v>0.18946692357096981</v>
      </c>
      <c r="C124" s="576">
        <f t="shared" si="112"/>
        <v>0.16279069767441862</v>
      </c>
      <c r="D124" s="576">
        <f t="shared" si="112"/>
        <v>0.1235632183908046</v>
      </c>
      <c r="E124" s="576">
        <f t="shared" si="112"/>
        <v>0.10140845070422536</v>
      </c>
      <c r="F124" s="576">
        <f t="shared" si="112"/>
        <v>9.366391184573003E-2</v>
      </c>
      <c r="G124" s="577">
        <f t="shared" si="112"/>
        <v>0.1198581560283688</v>
      </c>
      <c r="H124" s="576">
        <f t="shared" si="112"/>
        <v>0.15580736543909349</v>
      </c>
      <c r="I124" s="576">
        <f t="shared" ref="I124:N124" si="113">I123/I115</f>
        <v>0.12820512820512819</v>
      </c>
      <c r="J124" s="576">
        <f t="shared" si="113"/>
        <v>0.10256410256410256</v>
      </c>
      <c r="K124" s="576">
        <f t="shared" si="113"/>
        <v>0.14102564102564102</v>
      </c>
      <c r="L124" s="577">
        <f t="shared" si="113"/>
        <v>0.13217993079584775</v>
      </c>
      <c r="M124" s="576">
        <f t="shared" si="113"/>
        <v>0.1359773371104816</v>
      </c>
      <c r="N124" s="576">
        <f t="shared" si="113"/>
        <v>6.4171122994652413E-2</v>
      </c>
      <c r="O124" s="576">
        <f t="shared" ref="O124:Q124" si="114">O123/O115</f>
        <v>2.2038567493112948E-2</v>
      </c>
      <c r="P124" s="576">
        <f t="shared" si="114"/>
        <v>-2.7548209366391185E-3</v>
      </c>
      <c r="Q124" s="577">
        <f t="shared" si="114"/>
        <v>5.4370268410185822E-2</v>
      </c>
      <c r="R124" s="576"/>
      <c r="S124" s="576"/>
      <c r="T124" s="576"/>
      <c r="U124" s="576"/>
      <c r="V124" s="577"/>
      <c r="W124" s="923">
        <f t="shared" ref="W124:AA124" si="115">W123/W115</f>
        <v>0</v>
      </c>
      <c r="X124" s="923">
        <f t="shared" si="115"/>
        <v>0</v>
      </c>
      <c r="Y124" s="923">
        <f t="shared" si="115"/>
        <v>0</v>
      </c>
      <c r="Z124" s="924">
        <f t="shared" si="115"/>
        <v>0</v>
      </c>
      <c r="AA124" s="577">
        <f t="shared" si="115"/>
        <v>0</v>
      </c>
      <c r="AB124" s="48"/>
      <c r="AC124" s="48"/>
      <c r="AD124" s="48"/>
      <c r="AE124" s="612"/>
      <c r="AF124" s="577"/>
      <c r="AG124" s="48"/>
      <c r="AH124" s="48"/>
      <c r="AI124" s="48"/>
      <c r="AJ124" s="612"/>
      <c r="AK124" s="577"/>
      <c r="AL124" s="48"/>
      <c r="AM124" s="48"/>
      <c r="AN124" s="48"/>
      <c r="AO124" s="612"/>
      <c r="AP124" s="577"/>
      <c r="AQ124" s="41"/>
      <c r="AR124" s="608"/>
      <c r="AS124" s="882"/>
      <c r="AT124" s="882"/>
      <c r="AU124" s="882"/>
      <c r="AV124" s="886"/>
      <c r="AW124" s="882"/>
      <c r="AX124" s="882"/>
      <c r="AY124" s="882"/>
      <c r="AZ124" s="882"/>
      <c r="BA124" s="882"/>
      <c r="BB124" s="882"/>
      <c r="BC124" s="350"/>
      <c r="BD124" s="40"/>
      <c r="BE124" s="40"/>
      <c r="BF124" s="40"/>
      <c r="BG124"/>
      <c r="BH124"/>
      <c r="BI124"/>
      <c r="BJ124"/>
      <c r="BK124"/>
      <c r="BL124"/>
      <c r="BM124" s="40"/>
    </row>
    <row r="125" spans="1:65" s="146" customFormat="1" collapsed="1">
      <c r="A125" s="137" t="s">
        <v>245</v>
      </c>
      <c r="B125" s="138">
        <f t="shared" ref="B125:N125" si="116">B128/B36</f>
        <v>9.4043247654018766E-2</v>
      </c>
      <c r="C125" s="139">
        <f t="shared" si="116"/>
        <v>0.10497237569060773</v>
      </c>
      <c r="D125" s="139">
        <f t="shared" si="116"/>
        <v>0.10339256865912763</v>
      </c>
      <c r="E125" s="139">
        <f t="shared" si="116"/>
        <v>0.10729253981559095</v>
      </c>
      <c r="F125" s="139">
        <f t="shared" si="116"/>
        <v>0.11150758251561106</v>
      </c>
      <c r="G125" s="138">
        <f t="shared" si="116"/>
        <v>0.10666113301514837</v>
      </c>
      <c r="H125" s="139">
        <f t="shared" si="116"/>
        <v>0.10378912685337727</v>
      </c>
      <c r="I125" s="139">
        <f t="shared" si="116"/>
        <v>0.1079967023907667</v>
      </c>
      <c r="J125" s="139">
        <f t="shared" si="116"/>
        <v>0.1092436974789916</v>
      </c>
      <c r="K125" s="139">
        <f t="shared" si="116"/>
        <v>0.10347682119205298</v>
      </c>
      <c r="L125" s="138">
        <f t="shared" si="116"/>
        <v>0.1061139896373057</v>
      </c>
      <c r="M125" s="139">
        <f t="shared" si="116"/>
        <v>0.10971524288107203</v>
      </c>
      <c r="N125" s="139">
        <f t="shared" si="116"/>
        <v>0.11404255319148936</v>
      </c>
      <c r="O125" s="139">
        <f t="shared" ref="O125:S125" si="117">O128/O36</f>
        <v>0.11242603550295859</v>
      </c>
      <c r="P125" s="139">
        <f t="shared" si="117"/>
        <v>0.10517529215358931</v>
      </c>
      <c r="Q125" s="138">
        <f t="shared" si="117"/>
        <v>0.11031578947368421</v>
      </c>
      <c r="R125" s="139">
        <f t="shared" si="117"/>
        <v>0.10840336134453782</v>
      </c>
      <c r="S125" s="139">
        <f t="shared" si="117"/>
        <v>0.10757314974182444</v>
      </c>
      <c r="T125" s="139">
        <f t="shared" ref="T125:V125" si="118">T128/T36</f>
        <v>0.10481825866441251</v>
      </c>
      <c r="U125" s="139">
        <f t="shared" si="118"/>
        <v>6.1631944444444448E-2</v>
      </c>
      <c r="V125" s="138">
        <f t="shared" si="118"/>
        <v>9.5796885001066784E-2</v>
      </c>
      <c r="W125" s="140">
        <v>0.1</v>
      </c>
      <c r="X125" s="140">
        <v>0.1</v>
      </c>
      <c r="Y125" s="140">
        <v>0.1</v>
      </c>
      <c r="Z125" s="143">
        <v>0.1</v>
      </c>
      <c r="AA125" s="138">
        <f>AA128/AA36</f>
        <v>0.1</v>
      </c>
      <c r="AB125" s="140"/>
      <c r="AC125" s="140"/>
      <c r="AD125" s="140"/>
      <c r="AE125" s="143"/>
      <c r="AF125" s="142">
        <v>0.105</v>
      </c>
      <c r="AG125" s="140"/>
      <c r="AH125" s="140"/>
      <c r="AI125" s="140"/>
      <c r="AJ125" s="143"/>
      <c r="AK125" s="142">
        <v>0.105</v>
      </c>
      <c r="AL125" s="140"/>
      <c r="AM125" s="140"/>
      <c r="AN125" s="140"/>
      <c r="AO125" s="143"/>
      <c r="AP125" s="142">
        <v>0.105</v>
      </c>
      <c r="AQ125" s="144"/>
      <c r="AR125" s="145"/>
      <c r="AS125" s="664" t="s">
        <v>391</v>
      </c>
      <c r="AT125" s="619"/>
      <c r="AU125" s="619"/>
      <c r="AV125" s="619"/>
      <c r="AW125" s="619" t="s">
        <v>333</v>
      </c>
      <c r="AX125" s="619"/>
      <c r="AY125" s="619"/>
      <c r="AZ125" s="619"/>
      <c r="BA125" s="619"/>
      <c r="BB125" s="619"/>
      <c r="BC125" s="145"/>
      <c r="BG125"/>
      <c r="BH125"/>
      <c r="BI125"/>
      <c r="BJ125"/>
      <c r="BK125"/>
      <c r="BL125"/>
    </row>
    <row r="126" spans="1:65" s="586" customFormat="1" ht="11.25" customHeight="1">
      <c r="A126" s="578" t="s">
        <v>224</v>
      </c>
      <c r="B126" s="580"/>
      <c r="C126" s="579"/>
      <c r="D126" s="579"/>
      <c r="E126" s="579"/>
      <c r="F126" s="579"/>
      <c r="G126" s="580">
        <f t="shared" ref="G126:O126" si="119">(G125-B125)*100</f>
        <v>1.2617885361129608</v>
      </c>
      <c r="H126" s="579">
        <f t="shared" si="119"/>
        <v>-0.11832488372304634</v>
      </c>
      <c r="I126" s="579">
        <f t="shared" si="119"/>
        <v>0.46041337316390651</v>
      </c>
      <c r="J126" s="579">
        <f t="shared" si="119"/>
        <v>0.19511576634006489</v>
      </c>
      <c r="K126" s="579">
        <f t="shared" si="119"/>
        <v>-0.80307613235580799</v>
      </c>
      <c r="L126" s="580">
        <f t="shared" si="119"/>
        <v>-5.4714337784267375E-2</v>
      </c>
      <c r="M126" s="579">
        <f t="shared" si="119"/>
        <v>0.59261160276947589</v>
      </c>
      <c r="N126" s="579">
        <f t="shared" si="119"/>
        <v>0.60458508007226608</v>
      </c>
      <c r="O126" s="579">
        <f t="shared" si="119"/>
        <v>0.31823380239669879</v>
      </c>
      <c r="P126" s="579">
        <f t="shared" ref="P126" si="120">(P125-K125)*100</f>
        <v>0.16984709615363303</v>
      </c>
      <c r="Q126" s="580">
        <f t="shared" ref="Q126" si="121">(Q125-L125)*100</f>
        <v>0.42017998363785142</v>
      </c>
      <c r="R126" s="579"/>
      <c r="S126" s="579"/>
      <c r="T126" s="579"/>
      <c r="U126" s="579"/>
      <c r="V126" s="580"/>
      <c r="W126" s="914">
        <f>(W125-R125)*100</f>
        <v>-0.8403361344537813</v>
      </c>
      <c r="X126" s="914">
        <f t="shared" ref="X126:AA126" si="122">(X125-S125)*100</f>
        <v>-0.75731497418244365</v>
      </c>
      <c r="Y126" s="914">
        <f t="shared" si="122"/>
        <v>-0.48182586644125031</v>
      </c>
      <c r="Z126" s="915">
        <f t="shared" si="122"/>
        <v>3.8368055555555558</v>
      </c>
      <c r="AA126" s="580">
        <f t="shared" si="122"/>
        <v>0.42031149989332217</v>
      </c>
      <c r="AB126" s="581"/>
      <c r="AC126" s="581"/>
      <c r="AD126" s="581"/>
      <c r="AE126" s="582"/>
      <c r="AF126" s="580">
        <f>(AF125-AA125)*100</f>
        <v>0.49999999999999906</v>
      </c>
      <c r="AG126" s="581"/>
      <c r="AH126" s="581"/>
      <c r="AI126" s="581"/>
      <c r="AJ126" s="582"/>
      <c r="AK126" s="580">
        <f>(AK125-AF125)*100</f>
        <v>0</v>
      </c>
      <c r="AL126" s="581"/>
      <c r="AM126" s="581"/>
      <c r="AN126" s="581"/>
      <c r="AO126" s="582"/>
      <c r="AP126" s="580">
        <f>(AP125-AK125)*100</f>
        <v>0</v>
      </c>
      <c r="AQ126" s="583"/>
      <c r="AR126" s="584"/>
      <c r="AS126" s="304"/>
      <c r="AT126" s="629"/>
      <c r="AU126" s="629"/>
      <c r="AV126" s="629"/>
      <c r="AW126" s="629"/>
      <c r="AX126" s="629"/>
      <c r="AY126" s="629"/>
      <c r="AZ126" s="629"/>
      <c r="BA126" s="629"/>
      <c r="BB126" s="629"/>
      <c r="BC126" s="585"/>
      <c r="BG126"/>
      <c r="BH126"/>
      <c r="BI126"/>
      <c r="BJ126"/>
      <c r="BK126"/>
      <c r="BL126"/>
    </row>
    <row r="127" spans="1:65" s="161" customFormat="1" ht="11.25" customHeight="1">
      <c r="A127" s="152" t="s">
        <v>225</v>
      </c>
      <c r="B127" s="154"/>
      <c r="C127" s="153"/>
      <c r="D127" s="153"/>
      <c r="E127" s="153"/>
      <c r="F127" s="153"/>
      <c r="G127" s="154">
        <f t="shared" ref="G127:O127" si="123">IFERROR((G128-B128)/(G36-B36),0)</f>
        <v>-0.63855421686746983</v>
      </c>
      <c r="H127" s="153">
        <f t="shared" si="123"/>
        <v>0.13207547169811321</v>
      </c>
      <c r="I127" s="153">
        <f t="shared" si="123"/>
        <v>-0.12</v>
      </c>
      <c r="J127" s="153">
        <f t="shared" si="123"/>
        <v>-0.66666666666666663</v>
      </c>
      <c r="K127" s="153">
        <f t="shared" si="123"/>
        <v>0</v>
      </c>
      <c r="L127" s="154">
        <f t="shared" si="123"/>
        <v>-0.33333333333333331</v>
      </c>
      <c r="M127" s="153">
        <f t="shared" si="123"/>
        <v>-0.25</v>
      </c>
      <c r="N127" s="824">
        <f t="shared" si="123"/>
        <v>-7.8947368421052627E-2</v>
      </c>
      <c r="O127" s="153">
        <f t="shared" si="123"/>
        <v>-0.42857142857142855</v>
      </c>
      <c r="P127" s="153">
        <f t="shared" ref="P127" si="124">IFERROR((P128-K128)/(P36-K36),0)</f>
        <v>-0.1</v>
      </c>
      <c r="Q127" s="154">
        <f t="shared" ref="Q127" si="125">IFERROR((Q128-L128)/(Q36-L36),0)</f>
        <v>-0.16</v>
      </c>
      <c r="R127" s="153"/>
      <c r="S127" s="824"/>
      <c r="T127" s="153"/>
      <c r="U127" s="153"/>
      <c r="V127" s="154"/>
      <c r="W127" s="916">
        <f>IFERROR((W128-R128)/(W36-R36),0)</f>
        <v>0.43613445378151239</v>
      </c>
      <c r="X127" s="916">
        <f t="shared" ref="X127:AA127" si="126">IFERROR((X128-S128)/(X36-S36),0)</f>
        <v>0.40292598967297771</v>
      </c>
      <c r="Y127" s="916">
        <f t="shared" si="126"/>
        <v>0.29273034657649993</v>
      </c>
      <c r="Z127" s="917">
        <f t="shared" si="126"/>
        <v>-1.4347222222222247</v>
      </c>
      <c r="AA127" s="154">
        <f t="shared" si="126"/>
        <v>-6.8124599957328807E-2</v>
      </c>
      <c r="AB127" s="986"/>
      <c r="AC127" s="916"/>
      <c r="AD127" s="916"/>
      <c r="AE127" s="917"/>
      <c r="AF127" s="154">
        <f>IFERROR((AF128-AA128)/(AF36-AA36),0)</f>
        <v>0.22999999999999934</v>
      </c>
      <c r="AG127" s="986"/>
      <c r="AH127" s="916"/>
      <c r="AI127" s="916"/>
      <c r="AJ127" s="917"/>
      <c r="AK127" s="154">
        <f>IFERROR((AK128-AF128)/(AK36-AF36),0)</f>
        <v>0.10500000000000009</v>
      </c>
      <c r="AL127" s="986"/>
      <c r="AM127" s="916"/>
      <c r="AN127" s="916"/>
      <c r="AO127" s="917"/>
      <c r="AP127" s="154">
        <f>IFERROR((AP128-AK128)/(AP36-AK36),0)</f>
        <v>0.10499999999999989</v>
      </c>
      <c r="AQ127" s="157"/>
      <c r="AR127" s="158"/>
      <c r="AS127" s="619"/>
      <c r="AT127" s="619"/>
      <c r="AU127" s="664"/>
      <c r="AV127" s="912">
        <v>2016</v>
      </c>
      <c r="AW127" s="664"/>
      <c r="AX127" s="912">
        <v>2016</v>
      </c>
      <c r="AY127" s="664"/>
      <c r="AZ127" s="912">
        <v>2016</v>
      </c>
      <c r="BA127" s="159"/>
      <c r="BB127" s="159"/>
      <c r="BC127" s="160"/>
      <c r="BG127"/>
      <c r="BH127"/>
      <c r="BI127"/>
      <c r="BJ127"/>
      <c r="BK127"/>
      <c r="BL127"/>
    </row>
    <row r="128" spans="1:65" s="146" customFormat="1">
      <c r="A128" s="162" t="s">
        <v>246</v>
      </c>
      <c r="B128" s="165">
        <v>461</v>
      </c>
      <c r="C128" s="164">
        <v>133</v>
      </c>
      <c r="D128" s="164">
        <v>128</v>
      </c>
      <c r="E128" s="164">
        <v>128</v>
      </c>
      <c r="F128" s="164">
        <v>125</v>
      </c>
      <c r="G128" s="165">
        <v>514</v>
      </c>
      <c r="H128" s="166">
        <v>126</v>
      </c>
      <c r="I128" s="166">
        <v>131</v>
      </c>
      <c r="J128" s="166">
        <v>130</v>
      </c>
      <c r="K128" s="167">
        <v>125</v>
      </c>
      <c r="L128" s="165">
        <v>512</v>
      </c>
      <c r="M128" s="166">
        <v>131</v>
      </c>
      <c r="N128" s="166">
        <v>134</v>
      </c>
      <c r="O128" s="166">
        <v>133</v>
      </c>
      <c r="P128" s="167">
        <v>126</v>
      </c>
      <c r="Q128" s="165">
        <f>+SUM(M128:P128)</f>
        <v>524</v>
      </c>
      <c r="R128" s="166">
        <v>129</v>
      </c>
      <c r="S128" s="166">
        <v>125</v>
      </c>
      <c r="T128" s="166">
        <v>124</v>
      </c>
      <c r="U128" s="167">
        <v>71</v>
      </c>
      <c r="V128" s="165">
        <f>+SUM(R128:U128)</f>
        <v>449</v>
      </c>
      <c r="W128" s="166">
        <f t="shared" ref="W128:Z128" si="127">+W125*W36</f>
        <v>116.02500000000001</v>
      </c>
      <c r="X128" s="166">
        <f t="shared" si="127"/>
        <v>113.29500000000002</v>
      </c>
      <c r="Y128" s="166">
        <f t="shared" si="127"/>
        <v>115.3425</v>
      </c>
      <c r="Z128" s="167">
        <f t="shared" si="127"/>
        <v>112.32000000000001</v>
      </c>
      <c r="AA128" s="165">
        <f>+SUM(W128:Z128)</f>
        <v>456.98250000000002</v>
      </c>
      <c r="AB128" s="166"/>
      <c r="AC128" s="166"/>
      <c r="AD128" s="166"/>
      <c r="AE128" s="167"/>
      <c r="AF128" s="165">
        <f>AF36*AF125</f>
        <v>499.02489000000003</v>
      </c>
      <c r="AG128" s="166"/>
      <c r="AH128" s="166"/>
      <c r="AI128" s="166"/>
      <c r="AJ128" s="167"/>
      <c r="AK128" s="165">
        <f>AK36*AK125</f>
        <v>518.98588560000007</v>
      </c>
      <c r="AL128" s="166"/>
      <c r="AM128" s="166"/>
      <c r="AN128" s="166"/>
      <c r="AO128" s="167"/>
      <c r="AP128" s="165">
        <f>AP36*AP125</f>
        <v>539.74532102400008</v>
      </c>
      <c r="AQ128" s="144"/>
      <c r="AR128" s="145"/>
      <c r="AS128" s="619"/>
      <c r="AT128" s="619"/>
      <c r="AU128" s="908" t="s">
        <v>324</v>
      </c>
      <c r="AV128" s="910">
        <v>0.4</v>
      </c>
      <c r="AW128" s="908" t="s">
        <v>334</v>
      </c>
      <c r="AX128" s="910">
        <v>0.33</v>
      </c>
      <c r="AY128" s="908" t="s">
        <v>330</v>
      </c>
      <c r="AZ128" s="910">
        <v>0.92</v>
      </c>
      <c r="BA128" s="619"/>
      <c r="BB128" s="619"/>
      <c r="BC128" s="145"/>
      <c r="BG128"/>
      <c r="BH128"/>
      <c r="BI128"/>
      <c r="BJ128"/>
      <c r="BK128"/>
      <c r="BL128"/>
    </row>
    <row r="129" spans="1:65" s="81" customFormat="1">
      <c r="A129" s="22" t="s">
        <v>204</v>
      </c>
      <c r="B129" s="25"/>
      <c r="C129" s="73"/>
      <c r="D129" s="73"/>
      <c r="E129" s="73"/>
      <c r="F129" s="73"/>
      <c r="G129" s="25">
        <f t="shared" ref="G129:O129" si="128">G128/B128-1</f>
        <v>0.11496746203904551</v>
      </c>
      <c r="H129" s="73">
        <f t="shared" si="128"/>
        <v>-5.2631578947368474E-2</v>
      </c>
      <c r="I129" s="73">
        <f t="shared" si="128"/>
        <v>2.34375E-2</v>
      </c>
      <c r="J129" s="73">
        <f t="shared" si="128"/>
        <v>1.5625E-2</v>
      </c>
      <c r="K129" s="73">
        <f t="shared" si="128"/>
        <v>0</v>
      </c>
      <c r="L129" s="25">
        <f t="shared" si="128"/>
        <v>-3.8910505836575737E-3</v>
      </c>
      <c r="M129" s="73">
        <f t="shared" si="128"/>
        <v>3.9682539682539764E-2</v>
      </c>
      <c r="N129" s="73">
        <f t="shared" si="128"/>
        <v>2.2900763358778553E-2</v>
      </c>
      <c r="O129" s="73">
        <f t="shared" si="128"/>
        <v>2.3076923076922995E-2</v>
      </c>
      <c r="P129" s="73">
        <f t="shared" ref="P129" si="129">P128/K128-1</f>
        <v>8.0000000000000071E-3</v>
      </c>
      <c r="Q129" s="25">
        <f t="shared" ref="Q129" si="130">Q128/L128-1</f>
        <v>2.34375E-2</v>
      </c>
      <c r="R129" s="73"/>
      <c r="S129" s="73"/>
      <c r="T129" s="73"/>
      <c r="U129" s="73"/>
      <c r="V129" s="25"/>
      <c r="W129" s="789">
        <f>W128/R128-1</f>
        <v>-0.10058139534883714</v>
      </c>
      <c r="X129" s="789">
        <f t="shared" ref="X129:AA129" si="131">X128/S128-1</f>
        <v>-9.3639999999999834E-2</v>
      </c>
      <c r="Y129" s="789">
        <f t="shared" si="131"/>
        <v>-6.9818548387096779E-2</v>
      </c>
      <c r="Z129" s="790">
        <f t="shared" si="131"/>
        <v>0.58197183098591565</v>
      </c>
      <c r="AA129" s="25">
        <f t="shared" si="131"/>
        <v>1.7778396436525679E-2</v>
      </c>
      <c r="AB129" s="26"/>
      <c r="AC129" s="26"/>
      <c r="AD129" s="26"/>
      <c r="AE129" s="76"/>
      <c r="AF129" s="25">
        <f>AF128/AA128-1</f>
        <v>9.2000000000000082E-2</v>
      </c>
      <c r="AG129" s="26"/>
      <c r="AH129" s="26"/>
      <c r="AI129" s="26"/>
      <c r="AJ129" s="76"/>
      <c r="AK129" s="25">
        <f>AK128/AF128-1</f>
        <v>4.0000000000000036E-2</v>
      </c>
      <c r="AL129" s="26"/>
      <c r="AM129" s="26"/>
      <c r="AN129" s="26"/>
      <c r="AO129" s="76"/>
      <c r="AP129" s="25">
        <f>AP128/AK128-1</f>
        <v>4.0000000000000036E-2</v>
      </c>
      <c r="AQ129" s="77"/>
      <c r="AR129" s="6"/>
      <c r="AS129" s="619"/>
      <c r="AT129" s="619"/>
      <c r="AU129" s="909" t="s">
        <v>325</v>
      </c>
      <c r="AV129" s="911">
        <v>0.46</v>
      </c>
      <c r="AW129" s="913" t="s">
        <v>328</v>
      </c>
      <c r="AX129" s="910">
        <v>0.67</v>
      </c>
      <c r="AY129" s="909" t="s">
        <v>329</v>
      </c>
      <c r="AZ129" s="911">
        <v>0.08</v>
      </c>
      <c r="BA129" s="619"/>
      <c r="BB129" s="619"/>
      <c r="BC129" s="79"/>
      <c r="BG129"/>
      <c r="BH129"/>
      <c r="BI129"/>
      <c r="BJ129"/>
      <c r="BK129"/>
      <c r="BL129"/>
    </row>
    <row r="130" spans="1:65" s="146" customFormat="1">
      <c r="A130" s="162" t="s">
        <v>247</v>
      </c>
      <c r="B130" s="165">
        <f t="shared" ref="B130:N130" si="132">B36-B128</f>
        <v>4441</v>
      </c>
      <c r="C130" s="164">
        <f t="shared" si="132"/>
        <v>1134</v>
      </c>
      <c r="D130" s="164">
        <f t="shared" si="132"/>
        <v>1110</v>
      </c>
      <c r="E130" s="164">
        <f t="shared" si="132"/>
        <v>1065</v>
      </c>
      <c r="F130" s="163">
        <f t="shared" si="132"/>
        <v>996</v>
      </c>
      <c r="G130" s="165">
        <f t="shared" si="132"/>
        <v>4305</v>
      </c>
      <c r="H130" s="164">
        <f t="shared" si="132"/>
        <v>1088</v>
      </c>
      <c r="I130" s="164">
        <f t="shared" si="132"/>
        <v>1082</v>
      </c>
      <c r="J130" s="164">
        <f t="shared" si="132"/>
        <v>1060</v>
      </c>
      <c r="K130" s="163">
        <f t="shared" si="132"/>
        <v>1083</v>
      </c>
      <c r="L130" s="165">
        <f t="shared" si="132"/>
        <v>4313</v>
      </c>
      <c r="M130" s="164">
        <f t="shared" si="132"/>
        <v>1063</v>
      </c>
      <c r="N130" s="164">
        <f t="shared" si="132"/>
        <v>1041</v>
      </c>
      <c r="O130" s="164">
        <f t="shared" ref="O130:S130" si="133">O36-O128</f>
        <v>1050</v>
      </c>
      <c r="P130" s="163">
        <f t="shared" si="133"/>
        <v>1072</v>
      </c>
      <c r="Q130" s="165">
        <f t="shared" si="133"/>
        <v>4226</v>
      </c>
      <c r="R130" s="164">
        <f t="shared" si="133"/>
        <v>1061</v>
      </c>
      <c r="S130" s="164">
        <f t="shared" si="133"/>
        <v>1037</v>
      </c>
      <c r="T130" s="164">
        <f t="shared" ref="T130:V130" si="134">T36-T128</f>
        <v>1059</v>
      </c>
      <c r="U130" s="163">
        <f t="shared" si="134"/>
        <v>1081</v>
      </c>
      <c r="V130" s="165">
        <f t="shared" si="134"/>
        <v>4238</v>
      </c>
      <c r="W130" s="166">
        <f t="shared" ref="W130:AA130" si="135">W36-W128</f>
        <v>1044.2249999999999</v>
      </c>
      <c r="X130" s="166">
        <f t="shared" si="135"/>
        <v>1019.655</v>
      </c>
      <c r="Y130" s="166">
        <f t="shared" si="135"/>
        <v>1038.0825</v>
      </c>
      <c r="Z130" s="167">
        <f t="shared" si="135"/>
        <v>1010.88</v>
      </c>
      <c r="AA130" s="165">
        <f t="shared" si="135"/>
        <v>4112.8424999999997</v>
      </c>
      <c r="AB130" s="166"/>
      <c r="AC130" s="166"/>
      <c r="AD130" s="166"/>
      <c r="AE130" s="167"/>
      <c r="AF130" s="165">
        <f>AF36-AF128</f>
        <v>4253.5931100000007</v>
      </c>
      <c r="AG130" s="166"/>
      <c r="AH130" s="166"/>
      <c r="AI130" s="166"/>
      <c r="AJ130" s="167"/>
      <c r="AK130" s="165">
        <f>AK36-AK128</f>
        <v>4423.7368344000006</v>
      </c>
      <c r="AL130" s="166"/>
      <c r="AM130" s="166"/>
      <c r="AN130" s="166"/>
      <c r="AO130" s="167"/>
      <c r="AP130" s="165">
        <f>AP36-AP128</f>
        <v>4600.6863077760008</v>
      </c>
      <c r="AQ130" s="144"/>
      <c r="AR130" s="145"/>
      <c r="AS130" s="619"/>
      <c r="AT130" s="619"/>
      <c r="AU130" s="909"/>
      <c r="AV130" s="911"/>
      <c r="AW130" s="913"/>
      <c r="AX130" s="910"/>
      <c r="AY130" s="909"/>
      <c r="AZ130" s="911"/>
      <c r="BA130" s="619"/>
      <c r="BB130" s="619"/>
      <c r="BC130" s="145"/>
      <c r="BG130"/>
      <c r="BH130"/>
      <c r="BI130"/>
      <c r="BJ130"/>
      <c r="BK130"/>
      <c r="BL130"/>
    </row>
    <row r="131" spans="1:65" ht="11.25" customHeight="1">
      <c r="A131" s="22" t="s">
        <v>204</v>
      </c>
      <c r="B131" s="23"/>
      <c r="C131" s="24"/>
      <c r="D131" s="24"/>
      <c r="E131" s="24"/>
      <c r="F131" s="24"/>
      <c r="G131" s="23">
        <f t="shared" ref="G131:O131" si="136">G130/B130-1</f>
        <v>-3.0623733393379871E-2</v>
      </c>
      <c r="H131" s="24">
        <f t="shared" si="136"/>
        <v>-4.0564373897707284E-2</v>
      </c>
      <c r="I131" s="24">
        <f t="shared" si="136"/>
        <v>-2.522522522522519E-2</v>
      </c>
      <c r="J131" s="24">
        <f t="shared" si="136"/>
        <v>-4.6948356807511304E-3</v>
      </c>
      <c r="K131" s="24">
        <f t="shared" si="136"/>
        <v>8.7349397590361422E-2</v>
      </c>
      <c r="L131" s="23">
        <f t="shared" si="136"/>
        <v>1.8583042973285835E-3</v>
      </c>
      <c r="M131" s="24">
        <f t="shared" si="136"/>
        <v>-2.2977941176470562E-2</v>
      </c>
      <c r="N131" s="24">
        <f t="shared" si="136"/>
        <v>-3.7892791127541625E-2</v>
      </c>
      <c r="O131" s="24">
        <f t="shared" si="136"/>
        <v>-9.4339622641509413E-3</v>
      </c>
      <c r="P131" s="24">
        <f t="shared" ref="P131" si="137">P130/K130-1</f>
        <v>-1.0156971375807955E-2</v>
      </c>
      <c r="Q131" s="23">
        <f t="shared" ref="Q131" si="138">Q130/L130-1</f>
        <v>-2.0171574310224871E-2</v>
      </c>
      <c r="R131" s="24"/>
      <c r="S131" s="24"/>
      <c r="T131" s="24"/>
      <c r="U131" s="24"/>
      <c r="V131" s="23"/>
      <c r="W131" s="789">
        <f>W130/R130-1</f>
        <v>-1.5810556079170701E-2</v>
      </c>
      <c r="X131" s="789">
        <f t="shared" ref="X131:AA131" si="139">X130/S130-1</f>
        <v>-1.6726133076181315E-2</v>
      </c>
      <c r="Y131" s="789">
        <f t="shared" si="139"/>
        <v>-1.9752124645892377E-2</v>
      </c>
      <c r="Z131" s="789">
        <f t="shared" si="139"/>
        <v>-6.4865864939870455E-2</v>
      </c>
      <c r="AA131" s="23">
        <f t="shared" si="139"/>
        <v>-2.953220858895711E-2</v>
      </c>
      <c r="AB131" s="24"/>
      <c r="AC131" s="24"/>
      <c r="AD131" s="24"/>
      <c r="AE131" s="24"/>
      <c r="AF131" s="23">
        <f>AF130/AA130-1</f>
        <v>3.4222222222222376E-2</v>
      </c>
      <c r="AG131" s="24"/>
      <c r="AH131" s="24"/>
      <c r="AI131" s="24"/>
      <c r="AJ131" s="24"/>
      <c r="AK131" s="23">
        <f>AK130/AF130-1</f>
        <v>4.0000000000000036E-2</v>
      </c>
      <c r="AL131" s="24"/>
      <c r="AM131" s="24"/>
      <c r="AN131" s="24"/>
      <c r="AO131" s="24"/>
      <c r="AP131" s="23">
        <f>AP130/AK130-1</f>
        <v>4.0000000000000036E-2</v>
      </c>
      <c r="AQ131" s="28"/>
      <c r="AR131" s="7"/>
      <c r="AS131" s="619"/>
      <c r="AT131" s="664"/>
      <c r="AU131" s="909"/>
      <c r="AV131" s="911"/>
      <c r="AW131" s="913"/>
      <c r="AX131" s="910"/>
      <c r="AY131" s="909"/>
      <c r="AZ131" s="911"/>
      <c r="BA131" s="664"/>
      <c r="BB131" s="664"/>
      <c r="BC131" s="105"/>
      <c r="BD131" s="29"/>
      <c r="BE131" s="29"/>
      <c r="BF131" s="29"/>
    </row>
    <row r="132" spans="1:65" s="351" customFormat="1" hidden="1" outlineLevel="1">
      <c r="A132" s="603" t="s">
        <v>86</v>
      </c>
      <c r="B132" s="604">
        <f t="shared" ref="B132:N132" si="140">B134/B36</f>
        <v>8.7515299877600983E-2</v>
      </c>
      <c r="C132" s="605">
        <f t="shared" si="140"/>
        <v>8.6819258089976328E-2</v>
      </c>
      <c r="D132" s="605">
        <f t="shared" si="140"/>
        <v>9.0468497576736667E-2</v>
      </c>
      <c r="E132" s="605">
        <f t="shared" si="140"/>
        <v>9.388097233864208E-2</v>
      </c>
      <c r="F132" s="605">
        <f t="shared" si="140"/>
        <v>9.991079393398751E-2</v>
      </c>
      <c r="G132" s="604">
        <f t="shared" si="140"/>
        <v>9.2550321643494499E-2</v>
      </c>
      <c r="H132" s="605">
        <f t="shared" si="140"/>
        <v>8.6490939044481061E-2</v>
      </c>
      <c r="I132" s="605">
        <f t="shared" si="140"/>
        <v>9.4806265457543282E-2</v>
      </c>
      <c r="J132" s="605">
        <f t="shared" si="140"/>
        <v>9.5798319327731099E-2</v>
      </c>
      <c r="K132" s="605">
        <f t="shared" si="140"/>
        <v>9.0231788079470202E-2</v>
      </c>
      <c r="L132" s="604">
        <f t="shared" si="140"/>
        <v>9.1813471502590671E-2</v>
      </c>
      <c r="M132" s="605">
        <f t="shared" si="140"/>
        <v>9.4639865996649919E-2</v>
      </c>
      <c r="N132" s="605">
        <f t="shared" si="140"/>
        <v>0.10127659574468086</v>
      </c>
      <c r="O132" s="605">
        <f t="shared" ref="O132:Q132" si="141">O134/O36</f>
        <v>0.10566356720202874</v>
      </c>
      <c r="P132" s="605">
        <f t="shared" si="141"/>
        <v>9.6828046744574292E-2</v>
      </c>
      <c r="Q132" s="604">
        <f t="shared" si="141"/>
        <v>9.9578947368421059E-2</v>
      </c>
      <c r="R132" s="605"/>
      <c r="S132" s="605"/>
      <c r="T132" s="605"/>
      <c r="U132" s="605"/>
      <c r="V132" s="604"/>
      <c r="W132" s="918">
        <f t="shared" ref="W132:AA132" si="142">W134/W36</f>
        <v>0.1</v>
      </c>
      <c r="X132" s="918">
        <f t="shared" si="142"/>
        <v>0.1</v>
      </c>
      <c r="Y132" s="918">
        <f t="shared" si="142"/>
        <v>0.1</v>
      </c>
      <c r="Z132" s="919">
        <f t="shared" si="142"/>
        <v>0.1</v>
      </c>
      <c r="AA132" s="604">
        <f t="shared" si="142"/>
        <v>0.1</v>
      </c>
      <c r="AB132" s="606"/>
      <c r="AC132" s="606"/>
      <c r="AD132" s="606"/>
      <c r="AE132" s="607"/>
      <c r="AF132" s="604"/>
      <c r="AG132" s="606"/>
      <c r="AH132" s="606"/>
      <c r="AI132" s="606"/>
      <c r="AJ132" s="607"/>
      <c r="AK132" s="604"/>
      <c r="AL132" s="606"/>
      <c r="AM132" s="606"/>
      <c r="AN132" s="606"/>
      <c r="AO132" s="607"/>
      <c r="AP132" s="604"/>
      <c r="AQ132" s="41"/>
      <c r="AR132" s="608"/>
      <c r="AS132" s="882"/>
      <c r="AT132" s="882"/>
      <c r="AU132" s="913" t="s">
        <v>331</v>
      </c>
      <c r="AV132" s="911">
        <v>0.14000000000000001</v>
      </c>
      <c r="AW132" s="913"/>
      <c r="AX132" s="910"/>
      <c r="AY132" s="882"/>
      <c r="AZ132" s="882"/>
      <c r="BA132" s="882"/>
      <c r="BB132" s="882"/>
      <c r="BC132" s="350"/>
      <c r="BD132" s="40"/>
      <c r="BE132" s="40"/>
      <c r="BF132" s="40"/>
      <c r="BG132"/>
      <c r="BH132"/>
      <c r="BI132"/>
      <c r="BJ132"/>
      <c r="BK132"/>
      <c r="BL132"/>
      <c r="BM132" s="40"/>
    </row>
    <row r="133" spans="1:65" s="81" customFormat="1" hidden="1" outlineLevel="1">
      <c r="A133" s="147" t="s">
        <v>224</v>
      </c>
      <c r="B133" s="149"/>
      <c r="C133" s="148"/>
      <c r="D133" s="148"/>
      <c r="E133" s="148"/>
      <c r="F133" s="148"/>
      <c r="G133" s="149"/>
      <c r="H133" s="150"/>
      <c r="I133" s="150"/>
      <c r="J133" s="150"/>
      <c r="K133" s="151"/>
      <c r="L133" s="149"/>
      <c r="M133" s="150"/>
      <c r="N133" s="150"/>
      <c r="O133" s="150"/>
      <c r="P133" s="151"/>
      <c r="Q133" s="149"/>
      <c r="R133" s="150"/>
      <c r="S133" s="150"/>
      <c r="T133" s="150"/>
      <c r="U133" s="151"/>
      <c r="V133" s="149"/>
      <c r="W133" s="920"/>
      <c r="X133" s="920"/>
      <c r="Y133" s="920"/>
      <c r="Z133" s="921"/>
      <c r="AA133" s="149"/>
      <c r="AB133" s="150"/>
      <c r="AC133" s="150"/>
      <c r="AD133" s="150"/>
      <c r="AE133" s="151"/>
      <c r="AF133" s="149"/>
      <c r="AG133" s="150"/>
      <c r="AH133" s="150"/>
      <c r="AI133" s="150"/>
      <c r="AJ133" s="151"/>
      <c r="AK133" s="149"/>
      <c r="AL133" s="150"/>
      <c r="AM133" s="150"/>
      <c r="AN133" s="150"/>
      <c r="AO133" s="151"/>
      <c r="AP133" s="149"/>
      <c r="AQ133" s="98"/>
      <c r="AR133" s="6"/>
      <c r="AS133" s="619"/>
      <c r="AT133" s="619"/>
      <c r="AU133" s="619"/>
      <c r="AV133" s="619"/>
      <c r="AW133" s="619"/>
      <c r="AX133" s="619"/>
      <c r="AY133" s="619"/>
      <c r="AZ133" s="619"/>
      <c r="BA133" s="619"/>
      <c r="BB133" s="619"/>
      <c r="BC133" s="79"/>
      <c r="BD133" s="80"/>
      <c r="BE133" s="80"/>
      <c r="BF133" s="80"/>
      <c r="BG133"/>
      <c r="BH133"/>
      <c r="BI133"/>
      <c r="BJ133"/>
      <c r="BK133"/>
      <c r="BL133"/>
      <c r="BM133" s="80"/>
    </row>
    <row r="134" spans="1:65" s="484" customFormat="1" hidden="1" outlineLevel="1">
      <c r="A134" s="609" t="s">
        <v>87</v>
      </c>
      <c r="B134" s="112">
        <f>+B128-B136</f>
        <v>429</v>
      </c>
      <c r="C134" s="489">
        <f>C128-C136</f>
        <v>110</v>
      </c>
      <c r="D134" s="489">
        <f>D128-D136</f>
        <v>112</v>
      </c>
      <c r="E134" s="489">
        <f>E128-E136</f>
        <v>112</v>
      </c>
      <c r="F134" s="489">
        <f>F128-F136</f>
        <v>112</v>
      </c>
      <c r="G134" s="112">
        <f>SUM(C134:F134)</f>
        <v>446</v>
      </c>
      <c r="H134" s="489">
        <f>H128-H136</f>
        <v>105</v>
      </c>
      <c r="I134" s="489">
        <f>I128-I136</f>
        <v>115</v>
      </c>
      <c r="J134" s="489">
        <f>J128-J136</f>
        <v>114</v>
      </c>
      <c r="K134" s="489">
        <f>K128-K136</f>
        <v>109</v>
      </c>
      <c r="L134" s="112">
        <f>SUM(H134:K134)</f>
        <v>443</v>
      </c>
      <c r="M134" s="489">
        <f>M128-M136</f>
        <v>113</v>
      </c>
      <c r="N134" s="489">
        <f>N128-N136</f>
        <v>119</v>
      </c>
      <c r="O134" s="489">
        <f>O128-O136</f>
        <v>125</v>
      </c>
      <c r="P134" s="489">
        <f>P128-P136</f>
        <v>116</v>
      </c>
      <c r="Q134" s="112">
        <f>SUM(M134:P134)</f>
        <v>473</v>
      </c>
      <c r="R134" s="489"/>
      <c r="S134" s="489"/>
      <c r="T134" s="489"/>
      <c r="U134" s="489"/>
      <c r="V134" s="112"/>
      <c r="W134" s="795">
        <f t="shared" ref="W134:Z134" si="143">W128-W136</f>
        <v>116.02500000000001</v>
      </c>
      <c r="X134" s="795">
        <f t="shared" si="143"/>
        <v>113.29500000000002</v>
      </c>
      <c r="Y134" s="795">
        <f t="shared" si="143"/>
        <v>115.3425</v>
      </c>
      <c r="Z134" s="922">
        <f t="shared" si="143"/>
        <v>112.32000000000001</v>
      </c>
      <c r="AA134" s="112">
        <f>SUM(W134:Z134)</f>
        <v>456.98250000000002</v>
      </c>
      <c r="AB134" s="52"/>
      <c r="AC134" s="52"/>
      <c r="AD134" s="52"/>
      <c r="AE134" s="610"/>
      <c r="AF134" s="112"/>
      <c r="AG134" s="52"/>
      <c r="AH134" s="52"/>
      <c r="AI134" s="52"/>
      <c r="AJ134" s="610"/>
      <c r="AK134" s="112"/>
      <c r="AL134" s="52"/>
      <c r="AM134" s="52"/>
      <c r="AN134" s="52"/>
      <c r="AO134" s="610"/>
      <c r="AP134" s="112"/>
      <c r="AQ134" s="53"/>
      <c r="AR134" s="412"/>
      <c r="AS134" s="621"/>
      <c r="AT134" s="621"/>
      <c r="AU134" s="621"/>
      <c r="AV134" s="887"/>
      <c r="AW134" s="621"/>
      <c r="AX134" s="621"/>
      <c r="AY134" s="621"/>
      <c r="AZ134" s="621"/>
      <c r="BA134" s="621"/>
      <c r="BB134" s="621"/>
      <c r="BC134" s="409"/>
      <c r="BD134" s="50"/>
      <c r="BE134" s="50"/>
      <c r="BF134" s="50"/>
      <c r="BG134"/>
      <c r="BH134"/>
      <c r="BI134"/>
      <c r="BJ134"/>
      <c r="BK134"/>
      <c r="BL134"/>
      <c r="BM134" s="50"/>
    </row>
    <row r="135" spans="1:65" s="81" customFormat="1" hidden="1" outlineLevel="1">
      <c r="A135" s="22" t="s">
        <v>204</v>
      </c>
      <c r="B135" s="25"/>
      <c r="C135" s="73"/>
      <c r="D135" s="73"/>
      <c r="E135" s="73"/>
      <c r="F135" s="73"/>
      <c r="G135" s="25"/>
      <c r="H135" s="26"/>
      <c r="I135" s="26"/>
      <c r="J135" s="26"/>
      <c r="K135" s="76"/>
      <c r="L135" s="25"/>
      <c r="M135" s="26"/>
      <c r="N135" s="26"/>
      <c r="O135" s="26"/>
      <c r="P135" s="76"/>
      <c r="Q135" s="25"/>
      <c r="R135" s="26"/>
      <c r="S135" s="26"/>
      <c r="T135" s="26"/>
      <c r="U135" s="76"/>
      <c r="V135" s="25"/>
      <c r="W135" s="789"/>
      <c r="X135" s="789"/>
      <c r="Y135" s="789"/>
      <c r="Z135" s="790"/>
      <c r="AA135" s="25"/>
      <c r="AB135" s="26"/>
      <c r="AC135" s="26"/>
      <c r="AD135" s="26"/>
      <c r="AE135" s="76"/>
      <c r="AF135" s="25"/>
      <c r="AG135" s="26"/>
      <c r="AH135" s="26"/>
      <c r="AI135" s="26"/>
      <c r="AJ135" s="76"/>
      <c r="AK135" s="25"/>
      <c r="AL135" s="26"/>
      <c r="AM135" s="26"/>
      <c r="AN135" s="26"/>
      <c r="AO135" s="76"/>
      <c r="AP135" s="25"/>
      <c r="AQ135" s="77"/>
      <c r="AR135" s="6"/>
      <c r="AS135" s="888"/>
      <c r="AT135" s="619"/>
      <c r="AU135" s="619"/>
      <c r="AV135" s="619"/>
      <c r="AW135" s="619"/>
      <c r="AX135" s="619"/>
      <c r="AY135" s="619"/>
      <c r="AZ135" s="619"/>
      <c r="BA135" s="619"/>
      <c r="BB135" s="619"/>
      <c r="BC135" s="79"/>
      <c r="BD135" s="80"/>
      <c r="BE135" s="80"/>
      <c r="BF135" s="80"/>
      <c r="BG135"/>
      <c r="BH135"/>
      <c r="BI135"/>
      <c r="BJ135"/>
      <c r="BK135"/>
      <c r="BL135"/>
      <c r="BM135" s="80"/>
    </row>
    <row r="136" spans="1:65" s="484" customFormat="1" hidden="1" outlineLevel="1">
      <c r="A136" s="111" t="s">
        <v>189</v>
      </c>
      <c r="B136" s="112">
        <v>32</v>
      </c>
      <c r="C136" s="638">
        <v>23</v>
      </c>
      <c r="D136" s="638">
        <v>16</v>
      </c>
      <c r="E136" s="638">
        <v>16</v>
      </c>
      <c r="F136" s="640">
        <f>+G136-SUM(C136:E136)</f>
        <v>13</v>
      </c>
      <c r="G136" s="112">
        <v>68</v>
      </c>
      <c r="H136" s="638">
        <v>21</v>
      </c>
      <c r="I136" s="638">
        <v>16</v>
      </c>
      <c r="J136" s="638">
        <v>16</v>
      </c>
      <c r="K136" s="640">
        <f>+L136-SUM(H136:J136)</f>
        <v>16</v>
      </c>
      <c r="L136" s="112">
        <v>69</v>
      </c>
      <c r="M136" s="905">
        <v>18</v>
      </c>
      <c r="N136" s="905">
        <v>15</v>
      </c>
      <c r="O136" s="904">
        <v>8</v>
      </c>
      <c r="P136" s="225">
        <f>51-O136-N136-M136</f>
        <v>10</v>
      </c>
      <c r="Q136" s="1023">
        <f>+SUM(M136:P136)</f>
        <v>51</v>
      </c>
      <c r="R136" s="905"/>
      <c r="S136" s="905"/>
      <c r="T136" s="904"/>
      <c r="U136" s="225"/>
      <c r="V136" s="1023"/>
      <c r="W136" s="925">
        <v>0</v>
      </c>
      <c r="X136" s="925">
        <v>0</v>
      </c>
      <c r="Y136" s="925">
        <v>0</v>
      </c>
      <c r="Z136" s="926">
        <v>0</v>
      </c>
      <c r="AA136" s="112">
        <f>+SUM(W136:Z136)</f>
        <v>0</v>
      </c>
      <c r="AB136" s="52"/>
      <c r="AC136" s="52"/>
      <c r="AD136" s="52"/>
      <c r="AE136" s="610"/>
      <c r="AF136" s="112"/>
      <c r="AG136" s="52"/>
      <c r="AH136" s="52"/>
      <c r="AI136" s="52"/>
      <c r="AJ136" s="610"/>
      <c r="AK136" s="112"/>
      <c r="AL136" s="52"/>
      <c r="AM136" s="52"/>
      <c r="AN136" s="52"/>
      <c r="AO136" s="610"/>
      <c r="AP136" s="112"/>
      <c r="AQ136" s="53"/>
      <c r="AR136" s="412"/>
      <c r="AS136" s="621"/>
      <c r="AT136" s="621"/>
      <c r="AU136" s="621"/>
      <c r="AV136" s="887"/>
      <c r="AW136" s="621"/>
      <c r="AX136" s="621"/>
      <c r="AY136" s="621"/>
      <c r="AZ136" s="621"/>
      <c r="BA136" s="621"/>
      <c r="BB136" s="621"/>
      <c r="BC136" s="409"/>
      <c r="BD136" s="50"/>
      <c r="BE136" s="50"/>
      <c r="BF136" s="50"/>
      <c r="BG136"/>
      <c r="BH136"/>
      <c r="BI136"/>
      <c r="BJ136"/>
      <c r="BK136"/>
      <c r="BL136"/>
      <c r="BM136" s="50"/>
    </row>
    <row r="137" spans="1:65" s="351" customFormat="1" hidden="1" outlineLevel="1">
      <c r="A137" s="611" t="s">
        <v>190</v>
      </c>
      <c r="B137" s="577">
        <f t="shared" ref="B137:N137" si="144">B136/B128</f>
        <v>6.9414316702819959E-2</v>
      </c>
      <c r="C137" s="576">
        <f t="shared" si="144"/>
        <v>0.17293233082706766</v>
      </c>
      <c r="D137" s="576">
        <f t="shared" si="144"/>
        <v>0.125</v>
      </c>
      <c r="E137" s="576">
        <f t="shared" si="144"/>
        <v>0.125</v>
      </c>
      <c r="F137" s="576">
        <f t="shared" si="144"/>
        <v>0.104</v>
      </c>
      <c r="G137" s="577">
        <f t="shared" si="144"/>
        <v>0.13229571984435798</v>
      </c>
      <c r="H137" s="576">
        <f t="shared" si="144"/>
        <v>0.16666666666666666</v>
      </c>
      <c r="I137" s="576">
        <f t="shared" si="144"/>
        <v>0.12213740458015267</v>
      </c>
      <c r="J137" s="576">
        <f t="shared" si="144"/>
        <v>0.12307692307692308</v>
      </c>
      <c r="K137" s="576">
        <f t="shared" si="144"/>
        <v>0.128</v>
      </c>
      <c r="L137" s="577">
        <f t="shared" si="144"/>
        <v>0.134765625</v>
      </c>
      <c r="M137" s="576">
        <f t="shared" si="144"/>
        <v>0.13740458015267176</v>
      </c>
      <c r="N137" s="576">
        <f t="shared" si="144"/>
        <v>0.11194029850746269</v>
      </c>
      <c r="O137" s="576">
        <f t="shared" ref="O137:Q137" si="145">O136/O128</f>
        <v>6.0150375939849621E-2</v>
      </c>
      <c r="P137" s="576">
        <f t="shared" si="145"/>
        <v>7.9365079365079361E-2</v>
      </c>
      <c r="Q137" s="577">
        <f t="shared" si="145"/>
        <v>9.7328244274809156E-2</v>
      </c>
      <c r="R137" s="576"/>
      <c r="S137" s="576"/>
      <c r="T137" s="576"/>
      <c r="U137" s="576"/>
      <c r="V137" s="577"/>
      <c r="W137" s="923">
        <f t="shared" ref="W137:AA137" si="146">W136/W128</f>
        <v>0</v>
      </c>
      <c r="X137" s="923">
        <f t="shared" si="146"/>
        <v>0</v>
      </c>
      <c r="Y137" s="923">
        <f t="shared" si="146"/>
        <v>0</v>
      </c>
      <c r="Z137" s="924">
        <f t="shared" si="146"/>
        <v>0</v>
      </c>
      <c r="AA137" s="577">
        <f t="shared" si="146"/>
        <v>0</v>
      </c>
      <c r="AB137" s="48"/>
      <c r="AC137" s="48"/>
      <c r="AD137" s="48"/>
      <c r="AE137" s="612"/>
      <c r="AF137" s="577"/>
      <c r="AG137" s="48"/>
      <c r="AH137" s="48"/>
      <c r="AI137" s="48"/>
      <c r="AJ137" s="612"/>
      <c r="AK137" s="577"/>
      <c r="AL137" s="48"/>
      <c r="AM137" s="48"/>
      <c r="AN137" s="48"/>
      <c r="AO137" s="612"/>
      <c r="AP137" s="577"/>
      <c r="AQ137" s="41"/>
      <c r="AR137" s="608"/>
      <c r="AS137" s="882"/>
      <c r="AT137" s="882"/>
      <c r="AU137" s="882"/>
      <c r="AV137" s="886"/>
      <c r="AW137" s="882"/>
      <c r="AX137" s="882"/>
      <c r="AY137" s="882"/>
      <c r="AZ137" s="882"/>
      <c r="BA137" s="882"/>
      <c r="BB137" s="882"/>
      <c r="BC137" s="350"/>
      <c r="BD137" s="40"/>
      <c r="BE137" s="40"/>
      <c r="BF137" s="40"/>
      <c r="BG137"/>
      <c r="BH137"/>
      <c r="BI137"/>
      <c r="BJ137"/>
      <c r="BK137"/>
      <c r="BL137"/>
      <c r="BM137" s="40"/>
    </row>
    <row r="138" spans="1:65" s="146" customFormat="1" collapsed="1">
      <c r="A138" s="137" t="s">
        <v>357</v>
      </c>
      <c r="B138" s="138"/>
      <c r="C138" s="139"/>
      <c r="D138" s="139"/>
      <c r="E138" s="139"/>
      <c r="F138" s="139"/>
      <c r="G138" s="138"/>
      <c r="H138" s="139"/>
      <c r="I138" s="139"/>
      <c r="J138" s="139"/>
      <c r="K138" s="139"/>
      <c r="L138" s="138"/>
      <c r="M138" s="139"/>
      <c r="N138" s="139"/>
      <c r="O138" s="139"/>
      <c r="P138" s="139"/>
      <c r="Q138" s="138"/>
      <c r="R138" s="139"/>
      <c r="S138" s="139"/>
      <c r="T138" s="139"/>
      <c r="U138" s="139"/>
      <c r="V138" s="138"/>
      <c r="W138" s="140"/>
      <c r="X138" s="140"/>
      <c r="Y138" s="140">
        <v>0.125</v>
      </c>
      <c r="Z138" s="143">
        <v>0.125</v>
      </c>
      <c r="AA138" s="138">
        <f>AA141/AA52</f>
        <v>0.125</v>
      </c>
      <c r="AB138" s="140"/>
      <c r="AC138" s="140"/>
      <c r="AD138" s="140"/>
      <c r="AE138" s="143"/>
      <c r="AF138" s="142">
        <v>0.125</v>
      </c>
      <c r="AG138" s="140"/>
      <c r="AH138" s="140"/>
      <c r="AI138" s="140"/>
      <c r="AJ138" s="143"/>
      <c r="AK138" s="142">
        <v>0.125</v>
      </c>
      <c r="AL138" s="140"/>
      <c r="AM138" s="140"/>
      <c r="AN138" s="140"/>
      <c r="AO138" s="143"/>
      <c r="AP138" s="142">
        <v>0.125</v>
      </c>
      <c r="AQ138" s="144"/>
      <c r="AR138" s="145"/>
      <c r="AS138" s="664" t="s">
        <v>346</v>
      </c>
      <c r="AT138" s="619"/>
      <c r="AU138" s="619"/>
      <c r="AV138" s="619"/>
      <c r="AW138" s="619"/>
      <c r="AX138" s="619"/>
      <c r="AY138" s="619"/>
      <c r="AZ138" s="619"/>
      <c r="BA138" s="619"/>
      <c r="BB138" s="619"/>
      <c r="BC138" s="145"/>
      <c r="BG138"/>
      <c r="BH138"/>
      <c r="BI138"/>
      <c r="BJ138"/>
      <c r="BK138"/>
      <c r="BL138"/>
    </row>
    <row r="139" spans="1:65" s="586" customFormat="1" ht="11.25" customHeight="1">
      <c r="A139" s="578" t="s">
        <v>224</v>
      </c>
      <c r="B139" s="580"/>
      <c r="C139" s="579"/>
      <c r="D139" s="579"/>
      <c r="E139" s="579"/>
      <c r="F139" s="579"/>
      <c r="G139" s="580"/>
      <c r="H139" s="579"/>
      <c r="I139" s="579"/>
      <c r="J139" s="579"/>
      <c r="K139" s="579"/>
      <c r="L139" s="580"/>
      <c r="M139" s="579"/>
      <c r="N139" s="579"/>
      <c r="O139" s="579"/>
      <c r="P139" s="579"/>
      <c r="Q139" s="580"/>
      <c r="R139" s="579"/>
      <c r="S139" s="579"/>
      <c r="T139" s="579"/>
      <c r="U139" s="579"/>
      <c r="V139" s="580"/>
      <c r="W139" s="914"/>
      <c r="X139" s="914"/>
      <c r="Y139" s="914"/>
      <c r="Z139" s="915"/>
      <c r="AA139" s="580"/>
      <c r="AB139" s="581"/>
      <c r="AC139" s="581"/>
      <c r="AD139" s="581"/>
      <c r="AE139" s="582"/>
      <c r="AF139" s="580"/>
      <c r="AG139" s="581"/>
      <c r="AH139" s="581"/>
      <c r="AI139" s="581"/>
      <c r="AJ139" s="582"/>
      <c r="AK139" s="580"/>
      <c r="AL139" s="581"/>
      <c r="AM139" s="581"/>
      <c r="AN139" s="581"/>
      <c r="AO139" s="582"/>
      <c r="AP139" s="580"/>
      <c r="AQ139" s="583"/>
      <c r="AR139" s="584"/>
      <c r="AS139" s="304"/>
      <c r="AT139" s="629"/>
      <c r="AU139" s="629"/>
      <c r="AV139" s="629"/>
      <c r="AW139" s="629"/>
      <c r="AX139" s="629"/>
      <c r="AY139" s="629"/>
      <c r="AZ139" s="629"/>
      <c r="BA139" s="629"/>
      <c r="BB139" s="629"/>
      <c r="BC139" s="585"/>
      <c r="BG139"/>
      <c r="BH139"/>
      <c r="BI139"/>
      <c r="BJ139"/>
      <c r="BK139"/>
      <c r="BL139"/>
    </row>
    <row r="140" spans="1:65" s="161" customFormat="1" ht="11.25" customHeight="1">
      <c r="A140" s="152" t="s">
        <v>225</v>
      </c>
      <c r="B140" s="154"/>
      <c r="C140" s="153"/>
      <c r="D140" s="153"/>
      <c r="E140" s="153"/>
      <c r="F140" s="153"/>
      <c r="G140" s="154"/>
      <c r="H140" s="153"/>
      <c r="I140" s="153"/>
      <c r="J140" s="153"/>
      <c r="K140" s="153"/>
      <c r="L140" s="154"/>
      <c r="M140" s="153"/>
      <c r="N140" s="824"/>
      <c r="O140" s="153"/>
      <c r="P140" s="153"/>
      <c r="Q140" s="154"/>
      <c r="R140" s="153"/>
      <c r="S140" s="824"/>
      <c r="T140" s="153"/>
      <c r="U140" s="153"/>
      <c r="V140" s="154"/>
      <c r="W140" s="916"/>
      <c r="X140" s="916"/>
      <c r="Y140" s="916"/>
      <c r="Z140" s="917"/>
      <c r="AA140" s="154"/>
      <c r="AB140" s="986"/>
      <c r="AC140" s="916"/>
      <c r="AD140" s="916"/>
      <c r="AE140" s="917"/>
      <c r="AF140" s="154"/>
      <c r="AG140" s="986"/>
      <c r="AH140" s="916"/>
      <c r="AI140" s="916"/>
      <c r="AJ140" s="917"/>
      <c r="AK140" s="154"/>
      <c r="AL140" s="986"/>
      <c r="AM140" s="916"/>
      <c r="AN140" s="916"/>
      <c r="AO140" s="917"/>
      <c r="AP140" s="154"/>
      <c r="AQ140" s="157"/>
      <c r="AR140" s="158"/>
      <c r="AS140" s="619"/>
      <c r="AT140" s="619"/>
      <c r="AU140" s="629"/>
      <c r="AV140" s="629"/>
      <c r="AW140" s="988"/>
      <c r="AX140" s="988"/>
      <c r="AY140" s="988"/>
      <c r="AZ140" s="988"/>
      <c r="BA140" s="159"/>
      <c r="BB140" s="159"/>
      <c r="BC140" s="160"/>
      <c r="BG140"/>
      <c r="BH140"/>
      <c r="BI140"/>
      <c r="BJ140"/>
      <c r="BK140"/>
      <c r="BL140"/>
    </row>
    <row r="141" spans="1:65" s="146" customFormat="1">
      <c r="A141" s="162" t="s">
        <v>340</v>
      </c>
      <c r="B141" s="165"/>
      <c r="C141" s="164"/>
      <c r="D141" s="164"/>
      <c r="E141" s="164"/>
      <c r="F141" s="164"/>
      <c r="G141" s="165"/>
      <c r="H141" s="166"/>
      <c r="I141" s="166"/>
      <c r="J141" s="166"/>
      <c r="K141" s="167"/>
      <c r="L141" s="165"/>
      <c r="M141" s="166"/>
      <c r="N141" s="166"/>
      <c r="O141" s="166"/>
      <c r="P141" s="167"/>
      <c r="Q141" s="165"/>
      <c r="R141" s="166"/>
      <c r="S141" s="166"/>
      <c r="T141" s="166"/>
      <c r="U141" s="167"/>
      <c r="V141" s="165"/>
      <c r="W141" s="166"/>
      <c r="X141" s="166"/>
      <c r="Y141" s="166">
        <f>+Y138*Y52</f>
        <v>156.25</v>
      </c>
      <c r="Z141" s="167">
        <f>+Z138*Z52</f>
        <v>156.25</v>
      </c>
      <c r="AA141" s="165">
        <f>+SUM(W141:Z141)</f>
        <v>312.5</v>
      </c>
      <c r="AB141" s="166"/>
      <c r="AC141" s="166"/>
      <c r="AD141" s="166"/>
      <c r="AE141" s="167"/>
      <c r="AF141" s="165">
        <f>+AF138*AF52</f>
        <v>662.5</v>
      </c>
      <c r="AG141" s="166"/>
      <c r="AH141" s="166"/>
      <c r="AI141" s="166"/>
      <c r="AJ141" s="167"/>
      <c r="AK141" s="165">
        <f>+AK138*AK52</f>
        <v>702.25</v>
      </c>
      <c r="AL141" s="166"/>
      <c r="AM141" s="166"/>
      <c r="AN141" s="166"/>
      <c r="AO141" s="167"/>
      <c r="AP141" s="165">
        <f>+AP138*AP52</f>
        <v>744.38499999999999</v>
      </c>
      <c r="AQ141" s="144"/>
      <c r="AR141" s="145"/>
      <c r="AS141" s="619"/>
      <c r="AT141" s="619"/>
      <c r="AU141" s="908"/>
      <c r="AV141" s="908"/>
      <c r="AW141" s="990"/>
      <c r="AX141" s="990"/>
      <c r="AY141" s="990"/>
      <c r="AZ141" s="990"/>
      <c r="BA141" s="619"/>
      <c r="BB141" s="619"/>
      <c r="BC141" s="145"/>
      <c r="BG141"/>
      <c r="BH141"/>
      <c r="BI141"/>
      <c r="BJ141"/>
      <c r="BK141"/>
      <c r="BL141"/>
    </row>
    <row r="142" spans="1:65" s="81" customFormat="1">
      <c r="A142" s="22" t="s">
        <v>204</v>
      </c>
      <c r="B142" s="25"/>
      <c r="C142" s="73"/>
      <c r="D142" s="73"/>
      <c r="E142" s="73"/>
      <c r="F142" s="73"/>
      <c r="G142" s="25"/>
      <c r="H142" s="73"/>
      <c r="I142" s="73"/>
      <c r="J142" s="73"/>
      <c r="K142" s="73"/>
      <c r="L142" s="25"/>
      <c r="M142" s="73"/>
      <c r="N142" s="73"/>
      <c r="O142" s="73"/>
      <c r="P142" s="73"/>
      <c r="Q142" s="25"/>
      <c r="R142" s="73"/>
      <c r="S142" s="73"/>
      <c r="T142" s="73"/>
      <c r="U142" s="73"/>
      <c r="V142" s="25"/>
      <c r="W142" s="789"/>
      <c r="X142" s="789"/>
      <c r="Y142" s="789"/>
      <c r="Z142" s="790"/>
      <c r="AA142" s="25"/>
      <c r="AB142" s="26"/>
      <c r="AC142" s="26"/>
      <c r="AD142" s="26"/>
      <c r="AE142" s="76"/>
      <c r="AF142" s="25"/>
      <c r="AG142" s="26"/>
      <c r="AH142" s="26"/>
      <c r="AI142" s="26"/>
      <c r="AJ142" s="76"/>
      <c r="AK142" s="25"/>
      <c r="AL142" s="26"/>
      <c r="AM142" s="26"/>
      <c r="AN142" s="26"/>
      <c r="AO142" s="76"/>
      <c r="AP142" s="25"/>
      <c r="AQ142" s="77"/>
      <c r="AR142" s="6"/>
      <c r="AS142" s="619"/>
      <c r="AT142" s="619"/>
      <c r="AU142" s="619"/>
      <c r="AV142" s="908"/>
      <c r="AW142" s="990"/>
      <c r="AX142" s="990"/>
      <c r="AY142" s="990"/>
      <c r="AZ142" s="990"/>
      <c r="BA142" s="619"/>
      <c r="BB142" s="619"/>
      <c r="BC142" s="79"/>
      <c r="BG142"/>
      <c r="BH142"/>
      <c r="BI142"/>
      <c r="BJ142"/>
      <c r="BK142"/>
      <c r="BL142"/>
    </row>
    <row r="143" spans="1:65" s="1038" customFormat="1">
      <c r="A143" s="1110" t="s">
        <v>344</v>
      </c>
      <c r="B143" s="1111"/>
      <c r="C143" s="1112"/>
      <c r="D143" s="1112"/>
      <c r="E143" s="1112"/>
      <c r="F143" s="1112"/>
      <c r="G143" s="1111"/>
      <c r="H143" s="1113"/>
      <c r="I143" s="1113"/>
      <c r="J143" s="1113"/>
      <c r="K143" s="1114"/>
      <c r="L143" s="1111"/>
      <c r="M143" s="1113"/>
      <c r="N143" s="1113"/>
      <c r="O143" s="1113"/>
      <c r="P143" s="1114"/>
      <c r="Q143" s="1111"/>
      <c r="R143" s="1113"/>
      <c r="S143" s="1113"/>
      <c r="T143" s="1113"/>
      <c r="U143" s="1114"/>
      <c r="V143" s="1111"/>
      <c r="W143" s="1113"/>
      <c r="X143" s="1113"/>
      <c r="Y143" s="1115">
        <v>10</v>
      </c>
      <c r="Z143" s="1116">
        <v>10</v>
      </c>
      <c r="AA143" s="1111">
        <f>+SUM(W143:Z143)</f>
        <v>20</v>
      </c>
      <c r="AB143" s="1113"/>
      <c r="AC143" s="1113"/>
      <c r="AD143" s="1113"/>
      <c r="AE143" s="1114"/>
      <c r="AF143" s="1117">
        <v>100</v>
      </c>
      <c r="AG143" s="1113"/>
      <c r="AH143" s="1113"/>
      <c r="AI143" s="1113"/>
      <c r="AJ143" s="1114"/>
      <c r="AK143" s="1111">
        <v>150</v>
      </c>
      <c r="AL143" s="1113"/>
      <c r="AM143" s="1113"/>
      <c r="AN143" s="1113"/>
      <c r="AO143" s="1114"/>
      <c r="AP143" s="1111">
        <v>150</v>
      </c>
      <c r="AQ143" s="991"/>
      <c r="AR143" s="6"/>
      <c r="AS143" s="619"/>
      <c r="AT143" s="619"/>
      <c r="AU143" s="619"/>
      <c r="AV143" s="913"/>
      <c r="AW143" s="988"/>
      <c r="AX143" s="988"/>
      <c r="AY143" s="988"/>
      <c r="AZ143" s="988"/>
      <c r="BA143" s="619"/>
      <c r="BB143" s="619"/>
      <c r="BC143" s="1118"/>
      <c r="BG143"/>
      <c r="BH143"/>
      <c r="BI143"/>
      <c r="BJ143"/>
      <c r="BK143"/>
      <c r="BL143"/>
    </row>
    <row r="144" spans="1:65" s="1038" customFormat="1">
      <c r="A144" s="1110" t="s">
        <v>345</v>
      </c>
      <c r="B144" s="1111"/>
      <c r="C144" s="1112"/>
      <c r="D144" s="1112"/>
      <c r="E144" s="1112"/>
      <c r="F144" s="1112"/>
      <c r="G144" s="1111"/>
      <c r="H144" s="1113"/>
      <c r="I144" s="1113"/>
      <c r="J144" s="1113"/>
      <c r="K144" s="1114"/>
      <c r="L144" s="1111"/>
      <c r="M144" s="1113"/>
      <c r="N144" s="1113"/>
      <c r="O144" s="1113"/>
      <c r="P144" s="1114"/>
      <c r="Q144" s="1111"/>
      <c r="R144" s="1113"/>
      <c r="S144" s="1113"/>
      <c r="T144" s="1113"/>
      <c r="U144" s="1114"/>
      <c r="V144" s="1111"/>
      <c r="W144" s="1113"/>
      <c r="X144" s="1113"/>
      <c r="Y144" s="1115">
        <f>-200/4</f>
        <v>-50</v>
      </c>
      <c r="Z144" s="1116">
        <f>-200/4</f>
        <v>-50</v>
      </c>
      <c r="AA144" s="1111">
        <f>+SUM(W144:Z144)</f>
        <v>-100</v>
      </c>
      <c r="AB144" s="1113"/>
      <c r="AC144" s="1113"/>
      <c r="AD144" s="1113"/>
      <c r="AE144" s="1114"/>
      <c r="AF144" s="1111">
        <f>+Y144*4</f>
        <v>-200</v>
      </c>
      <c r="AG144" s="1113"/>
      <c r="AH144" s="1113"/>
      <c r="AI144" s="1113"/>
      <c r="AJ144" s="1114"/>
      <c r="AK144" s="1111">
        <f>+AF144</f>
        <v>-200</v>
      </c>
      <c r="AL144" s="1113"/>
      <c r="AM144" s="1113"/>
      <c r="AN144" s="1113"/>
      <c r="AO144" s="1114"/>
      <c r="AP144" s="1111">
        <f>+AK144</f>
        <v>-200</v>
      </c>
      <c r="AQ144" s="991"/>
      <c r="AR144" s="6"/>
      <c r="AS144" s="619"/>
      <c r="AT144" s="619"/>
      <c r="AU144" s="913"/>
      <c r="AV144" s="913"/>
      <c r="AW144" s="987"/>
      <c r="AX144" s="987"/>
      <c r="AY144" s="987"/>
      <c r="AZ144" s="987"/>
      <c r="BA144" s="619"/>
      <c r="BB144" s="619"/>
      <c r="BC144" s="1118"/>
      <c r="BG144"/>
      <c r="BH144"/>
      <c r="BI144"/>
      <c r="BJ144"/>
      <c r="BK144"/>
      <c r="BL144"/>
    </row>
    <row r="145" spans="1:238" s="1038" customFormat="1">
      <c r="A145" s="1110" t="s">
        <v>341</v>
      </c>
      <c r="B145" s="1111"/>
      <c r="C145" s="1112"/>
      <c r="D145" s="1112"/>
      <c r="E145" s="1112"/>
      <c r="F145" s="905"/>
      <c r="G145" s="1111"/>
      <c r="H145" s="1112"/>
      <c r="I145" s="1112"/>
      <c r="J145" s="1112"/>
      <c r="K145" s="905"/>
      <c r="L145" s="1111"/>
      <c r="M145" s="1112"/>
      <c r="N145" s="1112"/>
      <c r="O145" s="1112"/>
      <c r="P145" s="905"/>
      <c r="Q145" s="1111"/>
      <c r="R145" s="1112"/>
      <c r="S145" s="1112"/>
      <c r="T145" s="1112"/>
      <c r="U145" s="905"/>
      <c r="V145" s="1111"/>
      <c r="W145" s="1113"/>
      <c r="X145" s="1113"/>
      <c r="Y145" s="1113">
        <f>Y52-Y141-Y143-Y144</f>
        <v>1133.75</v>
      </c>
      <c r="Z145" s="1114">
        <f t="shared" ref="Z145:AA145" si="147">Z52-Z141-Z143-Z144</f>
        <v>1133.75</v>
      </c>
      <c r="AA145" s="1111">
        <f t="shared" si="147"/>
        <v>2267.5</v>
      </c>
      <c r="AB145" s="1113"/>
      <c r="AC145" s="1113"/>
      <c r="AD145" s="1113"/>
      <c r="AE145" s="1114"/>
      <c r="AF145" s="1111">
        <f>AF52-AF141-AF143-AF144</f>
        <v>4737.5</v>
      </c>
      <c r="AG145" s="1113"/>
      <c r="AH145" s="1113"/>
      <c r="AI145" s="1113"/>
      <c r="AJ145" s="1114"/>
      <c r="AK145" s="1111">
        <f>AK52-AK141-AK143-AK144</f>
        <v>4965.75</v>
      </c>
      <c r="AL145" s="1113"/>
      <c r="AM145" s="1113"/>
      <c r="AN145" s="1113"/>
      <c r="AO145" s="1114"/>
      <c r="AP145" s="1111">
        <f>AP52-AP141-AP143-AP144</f>
        <v>5260.6949999999997</v>
      </c>
      <c r="AQ145" s="1119"/>
      <c r="AR145" s="1118"/>
      <c r="AS145" s="619"/>
      <c r="AT145" s="619"/>
      <c r="AU145" s="913"/>
      <c r="AV145" s="913"/>
      <c r="AW145" s="989"/>
      <c r="AX145" s="989"/>
      <c r="AY145" s="989"/>
      <c r="AZ145" s="989"/>
      <c r="BA145" s="988"/>
      <c r="BB145" s="988"/>
      <c r="BC145" s="1118"/>
      <c r="BG145"/>
      <c r="BH145"/>
      <c r="BI145"/>
      <c r="BJ145"/>
      <c r="BK145"/>
      <c r="BL145"/>
    </row>
    <row r="146" spans="1:238" ht="11.25" customHeight="1">
      <c r="A146" s="22" t="s">
        <v>204</v>
      </c>
      <c r="B146" s="23"/>
      <c r="C146" s="24"/>
      <c r="D146" s="24"/>
      <c r="E146" s="24"/>
      <c r="F146" s="24"/>
      <c r="G146" s="23"/>
      <c r="H146" s="24"/>
      <c r="I146" s="24"/>
      <c r="J146" s="24"/>
      <c r="K146" s="24"/>
      <c r="L146" s="23"/>
      <c r="M146" s="24"/>
      <c r="N146" s="24"/>
      <c r="O146" s="24"/>
      <c r="P146" s="24"/>
      <c r="Q146" s="23"/>
      <c r="R146" s="24"/>
      <c r="S146" s="24"/>
      <c r="T146" s="24"/>
      <c r="U146" s="24"/>
      <c r="V146" s="23"/>
      <c r="W146" s="789"/>
      <c r="X146" s="789"/>
      <c r="Y146" s="789"/>
      <c r="Z146" s="789"/>
      <c r="AA146" s="23"/>
      <c r="AB146" s="24"/>
      <c r="AC146" s="24"/>
      <c r="AD146" s="24"/>
      <c r="AE146" s="24"/>
      <c r="AF146" s="23"/>
      <c r="AG146" s="24"/>
      <c r="AH146" s="24"/>
      <c r="AI146" s="24"/>
      <c r="AJ146" s="24"/>
      <c r="AK146" s="23"/>
      <c r="AL146" s="24"/>
      <c r="AM146" s="24"/>
      <c r="AN146" s="24"/>
      <c r="AO146" s="24"/>
      <c r="AP146" s="23"/>
      <c r="AQ146" s="28"/>
      <c r="AR146" s="7"/>
      <c r="AS146" s="619"/>
      <c r="AT146" s="664"/>
      <c r="AU146" s="913"/>
      <c r="AV146" s="913"/>
      <c r="AW146" s="989"/>
      <c r="AX146" s="989"/>
      <c r="AY146" s="989"/>
      <c r="AZ146" s="989"/>
      <c r="BA146" s="987"/>
      <c r="BB146" s="987"/>
      <c r="BC146" s="105"/>
      <c r="BD146" s="29"/>
      <c r="BE146" s="29"/>
      <c r="BF146" s="29"/>
    </row>
    <row r="147" spans="1:238" s="351" customFormat="1" hidden="1" outlineLevel="1">
      <c r="A147" s="603" t="s">
        <v>342</v>
      </c>
      <c r="B147" s="604"/>
      <c r="C147" s="605"/>
      <c r="D147" s="605"/>
      <c r="E147" s="605"/>
      <c r="F147" s="605"/>
      <c r="G147" s="604"/>
      <c r="H147" s="605"/>
      <c r="I147" s="605"/>
      <c r="J147" s="605"/>
      <c r="K147" s="605"/>
      <c r="L147" s="604"/>
      <c r="M147" s="605"/>
      <c r="N147" s="605"/>
      <c r="O147" s="605"/>
      <c r="P147" s="605"/>
      <c r="Q147" s="604"/>
      <c r="R147" s="605"/>
      <c r="S147" s="605"/>
      <c r="T147" s="605"/>
      <c r="U147" s="605"/>
      <c r="V147" s="604"/>
      <c r="W147" s="918"/>
      <c r="X147" s="918"/>
      <c r="Y147" s="918">
        <f>Y149/Y52</f>
        <v>0.125</v>
      </c>
      <c r="Z147" s="919">
        <f>Z149/Z52</f>
        <v>0.125</v>
      </c>
      <c r="AA147" s="604">
        <f>AA149/AA52</f>
        <v>0.125</v>
      </c>
      <c r="AB147" s="606"/>
      <c r="AC147" s="606"/>
      <c r="AD147" s="606"/>
      <c r="AE147" s="607"/>
      <c r="AF147" s="604"/>
      <c r="AG147" s="606"/>
      <c r="AH147" s="606"/>
      <c r="AI147" s="606"/>
      <c r="AJ147" s="607"/>
      <c r="AK147" s="604"/>
      <c r="AL147" s="606"/>
      <c r="AM147" s="606"/>
      <c r="AN147" s="606"/>
      <c r="AO147" s="607"/>
      <c r="AP147" s="604"/>
      <c r="AQ147" s="41"/>
      <c r="AR147" s="608"/>
      <c r="AS147" s="882"/>
      <c r="AT147" s="882"/>
      <c r="AU147" s="913"/>
      <c r="AV147" s="910"/>
      <c r="AW147" s="913"/>
      <c r="AX147" s="989"/>
      <c r="AY147" s="989"/>
      <c r="AZ147" s="989"/>
      <c r="BA147" s="989"/>
      <c r="BB147" s="989"/>
      <c r="BC147" s="350"/>
      <c r="BD147" s="40"/>
      <c r="BE147" s="40"/>
      <c r="BF147" s="40"/>
      <c r="BG147"/>
      <c r="BH147"/>
      <c r="BI147"/>
      <c r="BJ147"/>
      <c r="BK147"/>
      <c r="BL147"/>
      <c r="BM147" s="40"/>
    </row>
    <row r="148" spans="1:238" s="81" customFormat="1" hidden="1" outlineLevel="1">
      <c r="A148" s="147" t="s">
        <v>224</v>
      </c>
      <c r="B148" s="149"/>
      <c r="C148" s="148"/>
      <c r="D148" s="148"/>
      <c r="E148" s="148"/>
      <c r="F148" s="148"/>
      <c r="G148" s="149"/>
      <c r="H148" s="150"/>
      <c r="I148" s="150"/>
      <c r="J148" s="150"/>
      <c r="K148" s="151"/>
      <c r="L148" s="149"/>
      <c r="M148" s="150"/>
      <c r="N148" s="150"/>
      <c r="O148" s="150"/>
      <c r="P148" s="151"/>
      <c r="Q148" s="149"/>
      <c r="R148" s="150"/>
      <c r="S148" s="150"/>
      <c r="T148" s="150"/>
      <c r="U148" s="151"/>
      <c r="V148" s="149"/>
      <c r="W148" s="920"/>
      <c r="X148" s="920"/>
      <c r="Y148" s="920"/>
      <c r="Z148" s="921"/>
      <c r="AA148" s="149"/>
      <c r="AB148" s="150"/>
      <c r="AC148" s="150"/>
      <c r="AD148" s="150"/>
      <c r="AE148" s="151"/>
      <c r="AF148" s="149"/>
      <c r="AG148" s="150"/>
      <c r="AH148" s="150"/>
      <c r="AI148" s="150"/>
      <c r="AJ148" s="151"/>
      <c r="AK148" s="149"/>
      <c r="AL148" s="150"/>
      <c r="AM148" s="150"/>
      <c r="AN148" s="150"/>
      <c r="AO148" s="151"/>
      <c r="AP148" s="149"/>
      <c r="AQ148" s="98"/>
      <c r="AR148" s="6"/>
      <c r="AS148" s="619"/>
      <c r="AT148" s="619"/>
      <c r="AU148" s="619"/>
      <c r="AV148" s="619"/>
      <c r="AW148" s="619"/>
      <c r="AX148" s="619"/>
      <c r="AY148" s="619"/>
      <c r="AZ148" s="619"/>
      <c r="BA148" s="619"/>
      <c r="BB148" s="619"/>
      <c r="BC148" s="79"/>
      <c r="BD148" s="80"/>
      <c r="BE148" s="80"/>
      <c r="BF148" s="80"/>
      <c r="BG148"/>
      <c r="BH148"/>
      <c r="BI148"/>
      <c r="BJ148"/>
      <c r="BK148"/>
      <c r="BL148"/>
      <c r="BM148" s="80"/>
    </row>
    <row r="149" spans="1:238" s="484" customFormat="1" hidden="1" outlineLevel="1">
      <c r="A149" s="609" t="s">
        <v>343</v>
      </c>
      <c r="B149" s="112"/>
      <c r="C149" s="489"/>
      <c r="D149" s="489"/>
      <c r="E149" s="489"/>
      <c r="F149" s="489"/>
      <c r="G149" s="112"/>
      <c r="H149" s="489"/>
      <c r="I149" s="489"/>
      <c r="J149" s="489"/>
      <c r="K149" s="489"/>
      <c r="L149" s="112"/>
      <c r="M149" s="489"/>
      <c r="N149" s="489"/>
      <c r="O149" s="489"/>
      <c r="P149" s="489"/>
      <c r="Q149" s="112"/>
      <c r="R149" s="489"/>
      <c r="S149" s="489"/>
      <c r="T149" s="489"/>
      <c r="U149" s="489"/>
      <c r="V149" s="112"/>
      <c r="W149" s="795"/>
      <c r="X149" s="795"/>
      <c r="Y149" s="795">
        <f>Y141-Y151</f>
        <v>156.25</v>
      </c>
      <c r="Z149" s="922">
        <f>Z141-Z151</f>
        <v>156.25</v>
      </c>
      <c r="AA149" s="112">
        <f>SUM(W149:Z149)</f>
        <v>312.5</v>
      </c>
      <c r="AB149" s="52"/>
      <c r="AC149" s="52"/>
      <c r="AD149" s="52"/>
      <c r="AE149" s="610"/>
      <c r="AF149" s="112"/>
      <c r="AG149" s="52"/>
      <c r="AH149" s="52"/>
      <c r="AI149" s="52"/>
      <c r="AJ149" s="610"/>
      <c r="AK149" s="112"/>
      <c r="AL149" s="52"/>
      <c r="AM149" s="52"/>
      <c r="AN149" s="52"/>
      <c r="AO149" s="610"/>
      <c r="AP149" s="112"/>
      <c r="AQ149" s="53"/>
      <c r="AR149" s="412"/>
      <c r="AS149" s="621"/>
      <c r="AT149" s="621"/>
      <c r="AU149" s="621"/>
      <c r="AV149" s="887"/>
      <c r="AW149" s="621"/>
      <c r="AX149" s="621"/>
      <c r="AY149" s="621"/>
      <c r="AZ149" s="621"/>
      <c r="BA149" s="621"/>
      <c r="BB149" s="621"/>
      <c r="BC149" s="409"/>
      <c r="BD149" s="50"/>
      <c r="BE149" s="50"/>
      <c r="BF149" s="50"/>
      <c r="BG149"/>
      <c r="BH149"/>
      <c r="BI149"/>
      <c r="BJ149"/>
      <c r="BK149"/>
      <c r="BL149"/>
      <c r="BM149" s="50"/>
    </row>
    <row r="150" spans="1:238" s="81" customFormat="1" hidden="1" outlineLevel="1">
      <c r="A150" s="22" t="s">
        <v>204</v>
      </c>
      <c r="B150" s="25"/>
      <c r="C150" s="73"/>
      <c r="D150" s="73"/>
      <c r="E150" s="73"/>
      <c r="F150" s="73"/>
      <c r="G150" s="25"/>
      <c r="H150" s="26"/>
      <c r="I150" s="26"/>
      <c r="J150" s="26"/>
      <c r="K150" s="76"/>
      <c r="L150" s="25"/>
      <c r="M150" s="26"/>
      <c r="N150" s="26"/>
      <c r="O150" s="26"/>
      <c r="P150" s="76"/>
      <c r="Q150" s="25"/>
      <c r="R150" s="26"/>
      <c r="S150" s="26"/>
      <c r="T150" s="26"/>
      <c r="U150" s="76"/>
      <c r="V150" s="25"/>
      <c r="W150" s="789"/>
      <c r="X150" s="789"/>
      <c r="Y150" s="789"/>
      <c r="Z150" s="790"/>
      <c r="AA150" s="25"/>
      <c r="AB150" s="26"/>
      <c r="AC150" s="26"/>
      <c r="AD150" s="26"/>
      <c r="AE150" s="76"/>
      <c r="AF150" s="25"/>
      <c r="AG150" s="26"/>
      <c r="AH150" s="26"/>
      <c r="AI150" s="26"/>
      <c r="AJ150" s="76"/>
      <c r="AK150" s="25"/>
      <c r="AL150" s="26"/>
      <c r="AM150" s="26"/>
      <c r="AN150" s="26"/>
      <c r="AO150" s="76"/>
      <c r="AP150" s="25"/>
      <c r="AQ150" s="77"/>
      <c r="AR150" s="6"/>
      <c r="AS150" s="888"/>
      <c r="AT150" s="619"/>
      <c r="AU150" s="619"/>
      <c r="AV150" s="619"/>
      <c r="AW150" s="619"/>
      <c r="AX150" s="619"/>
      <c r="AY150" s="619"/>
      <c r="AZ150" s="619"/>
      <c r="BA150" s="619"/>
      <c r="BB150" s="619"/>
      <c r="BC150" s="79"/>
      <c r="BD150" s="80"/>
      <c r="BE150" s="80"/>
      <c r="BF150" s="80"/>
      <c r="BG150"/>
      <c r="BH150"/>
      <c r="BI150"/>
      <c r="BJ150"/>
      <c r="BK150"/>
      <c r="BL150"/>
      <c r="BM150" s="80"/>
    </row>
    <row r="151" spans="1:238" s="484" customFormat="1" hidden="1" outlineLevel="1">
      <c r="A151" s="111" t="s">
        <v>189</v>
      </c>
      <c r="B151" s="112"/>
      <c r="C151" s="638"/>
      <c r="D151" s="638"/>
      <c r="E151" s="638"/>
      <c r="F151" s="640"/>
      <c r="G151" s="112"/>
      <c r="H151" s="638"/>
      <c r="I151" s="638"/>
      <c r="J151" s="638"/>
      <c r="K151" s="640"/>
      <c r="L151" s="112"/>
      <c r="M151" s="905"/>
      <c r="N151" s="905"/>
      <c r="O151" s="904"/>
      <c r="P151" s="640"/>
      <c r="Q151" s="112"/>
      <c r="R151" s="905"/>
      <c r="S151" s="905"/>
      <c r="T151" s="904"/>
      <c r="U151" s="640"/>
      <c r="V151" s="112"/>
      <c r="W151" s="795"/>
      <c r="X151" s="795"/>
      <c r="Y151" s="795">
        <v>0</v>
      </c>
      <c r="Z151" s="922">
        <v>0</v>
      </c>
      <c r="AA151" s="112">
        <f>+SUM(W151:Z151)</f>
        <v>0</v>
      </c>
      <c r="AB151" s="52"/>
      <c r="AC151" s="52"/>
      <c r="AD151" s="52"/>
      <c r="AE151" s="610"/>
      <c r="AF151" s="112"/>
      <c r="AG151" s="52"/>
      <c r="AH151" s="52"/>
      <c r="AI151" s="52"/>
      <c r="AJ151" s="610"/>
      <c r="AK151" s="112"/>
      <c r="AL151" s="52"/>
      <c r="AM151" s="52"/>
      <c r="AN151" s="52"/>
      <c r="AO151" s="610"/>
      <c r="AP151" s="112"/>
      <c r="AQ151" s="53"/>
      <c r="AR151" s="412"/>
      <c r="AS151" s="621"/>
      <c r="AT151" s="621"/>
      <c r="AU151" s="621"/>
      <c r="AV151" s="887"/>
      <c r="AW151" s="621"/>
      <c r="AX151" s="621"/>
      <c r="AY151" s="621"/>
      <c r="AZ151" s="621"/>
      <c r="BA151" s="621"/>
      <c r="BB151" s="621"/>
      <c r="BC151" s="409"/>
      <c r="BD151" s="50"/>
      <c r="BE151" s="50"/>
      <c r="BF151" s="50"/>
      <c r="BG151"/>
      <c r="BH151"/>
      <c r="BI151"/>
      <c r="BJ151"/>
      <c r="BK151"/>
      <c r="BL151"/>
      <c r="BM151" s="50"/>
    </row>
    <row r="152" spans="1:238" s="351" customFormat="1" hidden="1" outlineLevel="1">
      <c r="A152" s="611" t="s">
        <v>190</v>
      </c>
      <c r="B152" s="577"/>
      <c r="C152" s="576"/>
      <c r="D152" s="576"/>
      <c r="E152" s="576"/>
      <c r="F152" s="576"/>
      <c r="G152" s="577"/>
      <c r="H152" s="576"/>
      <c r="I152" s="576"/>
      <c r="J152" s="576"/>
      <c r="K152" s="576"/>
      <c r="L152" s="577"/>
      <c r="M152" s="576"/>
      <c r="N152" s="576"/>
      <c r="O152" s="576"/>
      <c r="P152" s="576"/>
      <c r="Q152" s="577"/>
      <c r="R152" s="576"/>
      <c r="S152" s="576"/>
      <c r="T152" s="576"/>
      <c r="U152" s="576"/>
      <c r="V152" s="577"/>
      <c r="W152" s="923"/>
      <c r="X152" s="923"/>
      <c r="Y152" s="923">
        <f>Y151/(Y141+Y143)</f>
        <v>0</v>
      </c>
      <c r="Z152" s="924">
        <f>Z151/(Z141+Z143)</f>
        <v>0</v>
      </c>
      <c r="AA152" s="577">
        <f>AA151/(AA141+AA143)</f>
        <v>0</v>
      </c>
      <c r="AB152" s="48"/>
      <c r="AC152" s="48"/>
      <c r="AD152" s="48"/>
      <c r="AE152" s="612"/>
      <c r="AF152" s="577"/>
      <c r="AG152" s="48"/>
      <c r="AH152" s="48"/>
      <c r="AI152" s="48"/>
      <c r="AJ152" s="612"/>
      <c r="AK152" s="577"/>
      <c r="AL152" s="48"/>
      <c r="AM152" s="48"/>
      <c r="AN152" s="48"/>
      <c r="AO152" s="612"/>
      <c r="AP152" s="577"/>
      <c r="AQ152" s="41"/>
      <c r="AR152" s="608"/>
      <c r="AS152" s="882"/>
      <c r="AT152" s="882"/>
      <c r="AU152" s="882"/>
      <c r="AV152" s="886"/>
      <c r="AW152" s="882"/>
      <c r="AX152" s="882"/>
      <c r="AY152" s="882"/>
      <c r="AZ152" s="882"/>
      <c r="BA152" s="882"/>
      <c r="BB152" s="882"/>
      <c r="BC152" s="350"/>
      <c r="BD152" s="40"/>
      <c r="BE152" s="40"/>
      <c r="BF152" s="40"/>
      <c r="BG152"/>
      <c r="BH152"/>
      <c r="BI152"/>
      <c r="BJ152"/>
      <c r="BK152"/>
      <c r="BL152"/>
      <c r="BM152" s="40"/>
    </row>
    <row r="153" spans="1:238" s="531" customFormat="1" collapsed="1">
      <c r="A153" s="14" t="s">
        <v>162</v>
      </c>
      <c r="B153" s="15">
        <f>SUM(B154:B156)</f>
        <v>-376</v>
      </c>
      <c r="C153" s="16">
        <f>SUM(C154,C155:C156)</f>
        <v>-92</v>
      </c>
      <c r="D153" s="14">
        <f>SUM(D154,D155:D156)</f>
        <v>-63</v>
      </c>
      <c r="E153" s="14">
        <f>SUM(E154,E155:E156)</f>
        <v>-84</v>
      </c>
      <c r="F153" s="14">
        <f t="shared" ref="F153:K153" si="148">SUM(F154:F156)</f>
        <v>-162</v>
      </c>
      <c r="G153" s="15">
        <f>SUM(G154:G156)</f>
        <v>-401</v>
      </c>
      <c r="H153" s="563">
        <f t="shared" si="148"/>
        <v>-100</v>
      </c>
      <c r="I153" s="16">
        <f t="shared" si="148"/>
        <v>-66</v>
      </c>
      <c r="J153" s="16">
        <f t="shared" si="148"/>
        <v>-57</v>
      </c>
      <c r="K153" s="16">
        <f t="shared" si="148"/>
        <v>-93</v>
      </c>
      <c r="L153" s="563">
        <f t="shared" ref="L153:Z153" si="149">SUM(L154:L156)</f>
        <v>-316</v>
      </c>
      <c r="M153" s="563">
        <f t="shared" si="149"/>
        <v>-100</v>
      </c>
      <c r="N153" s="16">
        <f t="shared" si="149"/>
        <v>-105</v>
      </c>
      <c r="O153" s="16">
        <f t="shared" ref="O153" si="150">SUM(O154:O156)</f>
        <v>-157</v>
      </c>
      <c r="P153" s="16">
        <f t="shared" ref="P153" si="151">SUM(P154:P156)</f>
        <v>-169</v>
      </c>
      <c r="Q153" s="563">
        <f t="shared" ref="Q153:U153" si="152">SUM(Q154:Q156)</f>
        <v>-531</v>
      </c>
      <c r="R153" s="563">
        <f t="shared" si="152"/>
        <v>-103</v>
      </c>
      <c r="S153" s="16">
        <f t="shared" si="152"/>
        <v>-110</v>
      </c>
      <c r="T153" s="16">
        <f t="shared" si="152"/>
        <v>-160</v>
      </c>
      <c r="U153" s="16">
        <f t="shared" si="152"/>
        <v>-169</v>
      </c>
      <c r="V153" s="563">
        <f t="shared" ref="V153" si="153">SUM(V154:V156)</f>
        <v>-542</v>
      </c>
      <c r="W153" s="563">
        <f t="shared" si="149"/>
        <v>-130</v>
      </c>
      <c r="X153" s="16">
        <f t="shared" si="149"/>
        <v>-130</v>
      </c>
      <c r="Y153" s="16">
        <f t="shared" si="149"/>
        <v>-155</v>
      </c>
      <c r="Z153" s="16">
        <f t="shared" si="149"/>
        <v>-155</v>
      </c>
      <c r="AA153" s="15">
        <f>SUM(AA154:AA156)</f>
        <v>-570</v>
      </c>
      <c r="AB153" s="563"/>
      <c r="AC153" s="16"/>
      <c r="AD153" s="16"/>
      <c r="AE153" s="16"/>
      <c r="AF153" s="15">
        <f>SUM(AF154:AF156)</f>
        <v>-545</v>
      </c>
      <c r="AG153" s="563"/>
      <c r="AH153" s="16"/>
      <c r="AI153" s="16"/>
      <c r="AJ153" s="16"/>
      <c r="AK153" s="15">
        <f>SUM(AK154:AK156)</f>
        <v>-520</v>
      </c>
      <c r="AL153" s="563"/>
      <c r="AM153" s="16"/>
      <c r="AN153" s="16"/>
      <c r="AO153" s="16"/>
      <c r="AP153" s="15">
        <f>SUM(AP154:AP156)</f>
        <v>-520</v>
      </c>
      <c r="AQ153" s="107"/>
      <c r="AR153" s="108"/>
      <c r="AS153" s="304"/>
      <c r="AT153" s="871"/>
      <c r="AU153" s="871"/>
      <c r="AV153" s="871"/>
      <c r="AW153" s="871"/>
      <c r="AX153" s="871"/>
      <c r="AY153" s="871"/>
      <c r="AZ153" s="871"/>
      <c r="BA153" s="871"/>
      <c r="BB153" s="871"/>
      <c r="BC153" s="108"/>
      <c r="BD153" s="109"/>
      <c r="BE153" s="109"/>
      <c r="BF153" s="109"/>
      <c r="BG153"/>
      <c r="BH153"/>
      <c r="BI153"/>
      <c r="BJ153"/>
      <c r="BK153"/>
      <c r="BL153"/>
      <c r="BM153" s="110"/>
      <c r="BN153" s="110"/>
      <c r="BO153" s="110"/>
      <c r="BP153" s="110"/>
      <c r="BQ153" s="110"/>
      <c r="BR153" s="110"/>
      <c r="BS153" s="110"/>
      <c r="BT153" s="110"/>
      <c r="BU153" s="110"/>
      <c r="BV153" s="110"/>
      <c r="BW153" s="110"/>
      <c r="BX153" s="110"/>
      <c r="BY153" s="110"/>
      <c r="BZ153" s="110"/>
      <c r="CA153" s="110"/>
      <c r="CB153" s="110"/>
      <c r="CC153" s="110"/>
      <c r="CD153" s="110"/>
      <c r="CE153" s="110"/>
      <c r="CF153" s="110"/>
      <c r="CG153" s="110"/>
      <c r="CH153" s="110"/>
      <c r="CI153" s="110"/>
      <c r="CJ153" s="110"/>
      <c r="CK153" s="110"/>
      <c r="CL153" s="110"/>
      <c r="CM153" s="110"/>
      <c r="CN153" s="110"/>
      <c r="CO153" s="110"/>
      <c r="CP153" s="110"/>
      <c r="CQ153" s="110"/>
      <c r="CR153" s="110"/>
      <c r="CS153" s="110"/>
      <c r="CT153" s="110"/>
      <c r="CU153" s="110"/>
      <c r="CV153" s="110"/>
      <c r="CW153" s="110"/>
      <c r="CX153" s="110"/>
      <c r="CY153" s="110"/>
      <c r="CZ153" s="110"/>
      <c r="DA153" s="110"/>
      <c r="DB153" s="110"/>
      <c r="DC153" s="110"/>
      <c r="DD153" s="110"/>
      <c r="DE153" s="110"/>
      <c r="DF153" s="110"/>
      <c r="DG153" s="110"/>
      <c r="DH153" s="110"/>
      <c r="DI153" s="110"/>
      <c r="DJ153" s="110"/>
      <c r="DK153" s="110"/>
      <c r="DL153" s="110"/>
      <c r="DM153" s="110"/>
      <c r="DN153" s="110"/>
      <c r="DO153" s="110"/>
      <c r="DP153" s="110"/>
      <c r="DQ153" s="110"/>
      <c r="DR153" s="110"/>
      <c r="DS153" s="110"/>
      <c r="DT153" s="110"/>
      <c r="DU153" s="110"/>
      <c r="DV153" s="110"/>
      <c r="DW153" s="110"/>
      <c r="DX153" s="110"/>
      <c r="DY153" s="110"/>
      <c r="DZ153" s="110"/>
      <c r="EA153" s="110"/>
      <c r="EB153" s="110"/>
      <c r="EC153" s="110"/>
      <c r="ED153" s="110"/>
      <c r="EE153" s="110"/>
      <c r="EF153" s="110"/>
      <c r="EG153" s="110"/>
      <c r="EH153" s="110"/>
      <c r="EI153" s="110"/>
      <c r="EJ153" s="110"/>
      <c r="EK153" s="110"/>
      <c r="EL153" s="110"/>
      <c r="EM153" s="110"/>
      <c r="EN153" s="110"/>
      <c r="EO153" s="110"/>
      <c r="EP153" s="110"/>
      <c r="EQ153" s="110"/>
      <c r="ER153" s="110"/>
      <c r="ES153" s="110"/>
      <c r="ET153" s="110"/>
      <c r="EU153" s="110"/>
      <c r="EV153" s="110"/>
      <c r="EW153" s="110"/>
      <c r="EX153" s="110"/>
      <c r="EY153" s="110"/>
      <c r="EZ153" s="110"/>
      <c r="FA153" s="110"/>
      <c r="FB153" s="110"/>
      <c r="FC153" s="110"/>
      <c r="FD153" s="110"/>
      <c r="FE153" s="110"/>
      <c r="FF153" s="110"/>
      <c r="FG153" s="110"/>
      <c r="FH153" s="110"/>
      <c r="FI153" s="110"/>
      <c r="FJ153" s="110"/>
      <c r="FK153" s="110"/>
      <c r="FL153" s="110"/>
      <c r="FM153" s="110"/>
      <c r="FN153" s="110"/>
      <c r="FO153" s="110"/>
      <c r="FP153" s="110"/>
      <c r="FQ153" s="110"/>
      <c r="FR153" s="110"/>
      <c r="FS153" s="110"/>
      <c r="FT153" s="110"/>
      <c r="FU153" s="110"/>
      <c r="FV153" s="110"/>
      <c r="FW153" s="110"/>
      <c r="FX153" s="110"/>
      <c r="FY153" s="110"/>
      <c r="FZ153" s="110"/>
      <c r="GA153" s="110"/>
      <c r="GB153" s="110"/>
      <c r="GC153" s="110"/>
      <c r="GD153" s="110"/>
      <c r="GE153" s="110"/>
      <c r="GF153" s="110"/>
      <c r="GG153" s="110"/>
      <c r="GH153" s="110"/>
      <c r="GI153" s="110"/>
      <c r="GJ153" s="110"/>
      <c r="GK153" s="110"/>
      <c r="GL153" s="110"/>
      <c r="GM153" s="110"/>
      <c r="GN153" s="110"/>
      <c r="GO153" s="110"/>
      <c r="GP153" s="110"/>
      <c r="GQ153" s="110"/>
      <c r="GR153" s="110"/>
      <c r="GS153" s="110"/>
      <c r="GT153" s="110"/>
      <c r="GU153" s="110"/>
      <c r="GV153" s="110"/>
      <c r="GW153" s="110"/>
      <c r="GX153" s="110"/>
      <c r="GY153" s="110"/>
      <c r="GZ153" s="110"/>
      <c r="HA153" s="110"/>
      <c r="HB153" s="110"/>
      <c r="HC153" s="110"/>
      <c r="HD153" s="110"/>
      <c r="HE153" s="110"/>
      <c r="HF153" s="110"/>
      <c r="HG153" s="110"/>
      <c r="HH153" s="110"/>
      <c r="HI153" s="110"/>
      <c r="HJ153" s="110"/>
      <c r="HK153" s="110"/>
      <c r="HL153" s="110"/>
      <c r="HM153" s="110"/>
      <c r="HN153" s="110"/>
      <c r="HO153" s="110"/>
      <c r="HP153" s="110"/>
      <c r="HQ153" s="110"/>
      <c r="HR153" s="110"/>
      <c r="HS153" s="110"/>
      <c r="HT153" s="110"/>
      <c r="HU153" s="110"/>
      <c r="HV153" s="110"/>
      <c r="HW153" s="110"/>
      <c r="HX153" s="110"/>
      <c r="HY153" s="110"/>
      <c r="HZ153" s="110"/>
      <c r="IA153" s="110"/>
      <c r="IB153" s="110"/>
      <c r="IC153" s="110"/>
      <c r="ID153" s="110"/>
    </row>
    <row r="154" spans="1:238" s="37" customFormat="1" collapsed="1">
      <c r="A154" s="169" t="s">
        <v>116</v>
      </c>
      <c r="B154" s="172">
        <v>-204</v>
      </c>
      <c r="C154" s="171">
        <v>-54</v>
      </c>
      <c r="D154" s="171">
        <v>-53</v>
      </c>
      <c r="E154" s="171">
        <v>-55</v>
      </c>
      <c r="F154" s="170">
        <v>-47</v>
      </c>
      <c r="G154" s="172">
        <v>-209</v>
      </c>
      <c r="H154" s="618">
        <v>-64</v>
      </c>
      <c r="I154" s="618">
        <v>-63</v>
      </c>
      <c r="J154" s="618">
        <v>-61</v>
      </c>
      <c r="K154" s="618">
        <v>-70</v>
      </c>
      <c r="L154" s="623">
        <v>-258</v>
      </c>
      <c r="M154" s="618">
        <v>-70</v>
      </c>
      <c r="N154" s="618">
        <v>-70</v>
      </c>
      <c r="O154" s="618">
        <v>-71</v>
      </c>
      <c r="P154" s="618">
        <v>-66</v>
      </c>
      <c r="Q154" s="623">
        <f>+SUM(M154:P154)</f>
        <v>-277</v>
      </c>
      <c r="R154" s="618">
        <v>-70</v>
      </c>
      <c r="S154" s="618">
        <v>-70</v>
      </c>
      <c r="T154" s="618">
        <v>-71</v>
      </c>
      <c r="U154" s="618">
        <v>-66</v>
      </c>
      <c r="V154" s="623">
        <f>+SUM(R154:U154)</f>
        <v>-277</v>
      </c>
      <c r="W154" s="618">
        <f>AA154/4</f>
        <v>-67.5</v>
      </c>
      <c r="X154" s="618">
        <f>(AA154-W154)/3</f>
        <v>-67.5</v>
      </c>
      <c r="Y154" s="618">
        <f>(AA154-W154-X154)/2</f>
        <v>-67.5</v>
      </c>
      <c r="Z154" s="618">
        <f>AA154-W154-X154-Y154</f>
        <v>-67.5</v>
      </c>
      <c r="AA154" s="174">
        <v>-270</v>
      </c>
      <c r="AB154" s="175"/>
      <c r="AC154" s="175"/>
      <c r="AD154" s="175"/>
      <c r="AE154" s="175"/>
      <c r="AF154" s="174">
        <v>-270</v>
      </c>
      <c r="AG154" s="175"/>
      <c r="AH154" s="175"/>
      <c r="AI154" s="175"/>
      <c r="AJ154" s="175"/>
      <c r="AK154" s="174">
        <v>-270</v>
      </c>
      <c r="AL154" s="175"/>
      <c r="AM154" s="175"/>
      <c r="AN154" s="175"/>
      <c r="AO154" s="175"/>
      <c r="AP154" s="174">
        <v>-270</v>
      </c>
      <c r="AQ154" s="176"/>
      <c r="AR154" s="45"/>
      <c r="AS154" s="626"/>
      <c r="AT154" s="626"/>
      <c r="AU154" s="626"/>
      <c r="AV154" s="626"/>
      <c r="AW154" s="626"/>
      <c r="AX154" s="626"/>
      <c r="AY154" s="626"/>
      <c r="AZ154" s="626"/>
      <c r="BA154" s="626"/>
      <c r="BB154" s="626"/>
      <c r="BC154" s="45"/>
      <c r="BD154" s="36"/>
      <c r="BE154" s="396"/>
      <c r="BF154" s="396"/>
      <c r="BG154"/>
      <c r="BH154"/>
      <c r="BI154"/>
      <c r="BJ154"/>
      <c r="BK154"/>
      <c r="BL154"/>
    </row>
    <row r="155" spans="1:238" s="37" customFormat="1">
      <c r="A155" s="169" t="s">
        <v>118</v>
      </c>
      <c r="B155" s="172">
        <v>-169</v>
      </c>
      <c r="C155" s="171">
        <v>-38</v>
      </c>
      <c r="D155" s="170">
        <v>-9</v>
      </c>
      <c r="E155" s="170">
        <v>-29</v>
      </c>
      <c r="F155" s="170">
        <v>-114</v>
      </c>
      <c r="G155" s="172">
        <f>SUM(C155:F155)</f>
        <v>-190</v>
      </c>
      <c r="H155" s="618">
        <v>-33</v>
      </c>
      <c r="I155" s="618">
        <v>-3</v>
      </c>
      <c r="J155" s="618">
        <v>5</v>
      </c>
      <c r="K155" s="618">
        <v>-22</v>
      </c>
      <c r="L155" s="623">
        <v>-53</v>
      </c>
      <c r="M155" s="618">
        <v>-29</v>
      </c>
      <c r="N155" s="618">
        <v>-34</v>
      </c>
      <c r="O155" s="618">
        <v>-86</v>
      </c>
      <c r="P155" s="618">
        <v>-103</v>
      </c>
      <c r="Q155" s="623">
        <f>+SUM(M155:P155)</f>
        <v>-252</v>
      </c>
      <c r="R155" s="618">
        <v>-33</v>
      </c>
      <c r="S155" s="618">
        <v>-40</v>
      </c>
      <c r="T155" s="618">
        <v>-89</v>
      </c>
      <c r="U155" s="618">
        <v>-103</v>
      </c>
      <c r="V155" s="623">
        <f>+SUM(R155:U155)</f>
        <v>-265</v>
      </c>
      <c r="W155" s="618">
        <f>AA155/4</f>
        <v>-62.5</v>
      </c>
      <c r="X155" s="618">
        <f>(AA155-W155)/3</f>
        <v>-62.5</v>
      </c>
      <c r="Y155" s="618">
        <f>(AA155-W155-X155)/2</f>
        <v>-62.5</v>
      </c>
      <c r="Z155" s="618">
        <f>AA155-W155-X155-Y155</f>
        <v>-62.5</v>
      </c>
      <c r="AA155" s="174">
        <v>-250</v>
      </c>
      <c r="AB155" s="175"/>
      <c r="AC155" s="175"/>
      <c r="AD155" s="175"/>
      <c r="AE155" s="175"/>
      <c r="AF155" s="174">
        <f>+AA155</f>
        <v>-250</v>
      </c>
      <c r="AG155" s="175"/>
      <c r="AH155" s="175"/>
      <c r="AI155" s="175"/>
      <c r="AJ155" s="175"/>
      <c r="AK155" s="174">
        <f>+AF155</f>
        <v>-250</v>
      </c>
      <c r="AL155" s="175"/>
      <c r="AM155" s="175"/>
      <c r="AN155" s="175"/>
      <c r="AO155" s="175"/>
      <c r="AP155" s="174">
        <f>+AK155</f>
        <v>-250</v>
      </c>
      <c r="AQ155" s="177"/>
      <c r="AR155" s="35"/>
      <c r="AS155" s="664" t="s">
        <v>382</v>
      </c>
      <c r="AT155" s="626"/>
      <c r="AU155" s="626"/>
      <c r="AV155" s="626"/>
      <c r="AW155" s="626"/>
      <c r="AX155" s="626"/>
      <c r="AY155" s="626"/>
      <c r="AZ155" s="626"/>
      <c r="BA155" s="626"/>
      <c r="BB155" s="626"/>
      <c r="BC155" s="45"/>
      <c r="BD155" s="36"/>
      <c r="BE155" s="36"/>
      <c r="BF155" s="36"/>
      <c r="BG155"/>
      <c r="BH155"/>
      <c r="BI155"/>
      <c r="BJ155"/>
      <c r="BK155"/>
      <c r="BL155"/>
    </row>
    <row r="156" spans="1:238" s="37" customFormat="1">
      <c r="A156" s="169" t="s">
        <v>184</v>
      </c>
      <c r="B156" s="172">
        <v>-3</v>
      </c>
      <c r="C156" s="540">
        <v>0</v>
      </c>
      <c r="D156" s="170">
        <v>-1</v>
      </c>
      <c r="E156" s="170">
        <v>0</v>
      </c>
      <c r="F156" s="170">
        <v>-1</v>
      </c>
      <c r="G156" s="172">
        <f>SUM(C156:F156)</f>
        <v>-2</v>
      </c>
      <c r="H156" s="618">
        <v>-3</v>
      </c>
      <c r="I156" s="618">
        <v>0</v>
      </c>
      <c r="J156" s="618">
        <v>-1</v>
      </c>
      <c r="K156" s="618">
        <v>-1</v>
      </c>
      <c r="L156" s="623">
        <v>-5</v>
      </c>
      <c r="M156" s="618">
        <v>-1</v>
      </c>
      <c r="N156" s="618">
        <v>-1</v>
      </c>
      <c r="O156" s="618">
        <v>0</v>
      </c>
      <c r="P156" s="618">
        <v>0</v>
      </c>
      <c r="Q156" s="623">
        <f>+SUM(M156:P156)</f>
        <v>-2</v>
      </c>
      <c r="R156" s="618">
        <v>0</v>
      </c>
      <c r="S156" s="618">
        <v>0</v>
      </c>
      <c r="T156" s="618">
        <v>0</v>
      </c>
      <c r="U156" s="618">
        <v>0</v>
      </c>
      <c r="V156" s="623">
        <f>+SUM(R156:U156)</f>
        <v>0</v>
      </c>
      <c r="W156" s="175">
        <v>0</v>
      </c>
      <c r="X156" s="175">
        <v>0</v>
      </c>
      <c r="Y156" s="175">
        <v>-25</v>
      </c>
      <c r="Z156" s="175">
        <v>-25</v>
      </c>
      <c r="AA156" s="623">
        <f>SUM(W156:Z156)</f>
        <v>-50</v>
      </c>
      <c r="AB156" s="175"/>
      <c r="AC156" s="175"/>
      <c r="AD156" s="175"/>
      <c r="AE156" s="175"/>
      <c r="AF156" s="174">
        <v>-25</v>
      </c>
      <c r="AG156" s="175"/>
      <c r="AH156" s="175"/>
      <c r="AI156" s="175"/>
      <c r="AJ156" s="175"/>
      <c r="AK156" s="174">
        <v>0</v>
      </c>
      <c r="AL156" s="175"/>
      <c r="AM156" s="175"/>
      <c r="AN156" s="175"/>
      <c r="AO156" s="175"/>
      <c r="AP156" s="174">
        <v>0</v>
      </c>
      <c r="AQ156" s="177"/>
      <c r="AR156" s="35"/>
      <c r="AS156" s="664" t="s">
        <v>361</v>
      </c>
      <c r="AT156" s="626"/>
      <c r="AU156" s="626"/>
      <c r="AV156" s="626"/>
      <c r="AW156" s="626"/>
      <c r="AX156" s="626"/>
      <c r="AY156" s="626"/>
      <c r="AZ156" s="626"/>
      <c r="BA156" s="626"/>
      <c r="BB156" s="626"/>
      <c r="BC156" s="45"/>
      <c r="BD156" s="36"/>
      <c r="BE156" s="36"/>
      <c r="BF156" s="36"/>
      <c r="BG156"/>
      <c r="BH156"/>
      <c r="BI156"/>
      <c r="BJ156"/>
      <c r="BK156"/>
      <c r="BL156"/>
    </row>
    <row r="157" spans="1:238" s="146" customFormat="1">
      <c r="A157" s="137" t="s">
        <v>123</v>
      </c>
      <c r="B157" s="138">
        <f t="shared" ref="B157:AA157" si="154">B160/B69</f>
        <v>0.12923808332290754</v>
      </c>
      <c r="C157" s="139">
        <f t="shared" si="154"/>
        <v>0.12338425381903642</v>
      </c>
      <c r="D157" s="139">
        <f t="shared" si="154"/>
        <v>0.12584803256445048</v>
      </c>
      <c r="E157" s="139">
        <f t="shared" si="154"/>
        <v>0.12142498745609634</v>
      </c>
      <c r="F157" s="139">
        <f t="shared" si="154"/>
        <v>0.12592202318229714</v>
      </c>
      <c r="G157" s="138">
        <f t="shared" si="154"/>
        <v>0.12411799710958089</v>
      </c>
      <c r="H157" s="139">
        <f t="shared" si="154"/>
        <v>0.117696440564137</v>
      </c>
      <c r="I157" s="139">
        <f t="shared" si="154"/>
        <v>0.12183333333333334</v>
      </c>
      <c r="J157" s="139">
        <f t="shared" si="154"/>
        <v>0.11876523151909017</v>
      </c>
      <c r="K157" s="141">
        <f t="shared" si="154"/>
        <v>0.12068156948569642</v>
      </c>
      <c r="L157" s="138">
        <f t="shared" si="154"/>
        <v>0.11975681410151787</v>
      </c>
      <c r="M157" s="139">
        <f t="shared" si="154"/>
        <v>0.11584490186692198</v>
      </c>
      <c r="N157" s="139">
        <f t="shared" si="154"/>
        <v>0.11811764705882354</v>
      </c>
      <c r="O157" s="139">
        <f t="shared" si="154"/>
        <v>0.11628619580205302</v>
      </c>
      <c r="P157" s="141">
        <f t="shared" ref="P157:T157" si="155">P160/P69</f>
        <v>0.10868254446789267</v>
      </c>
      <c r="Q157" s="138">
        <f t="shared" si="155"/>
        <v>0.11467658799364415</v>
      </c>
      <c r="R157" s="139">
        <f t="shared" si="155"/>
        <v>0.115600624024961</v>
      </c>
      <c r="S157" s="139">
        <f t="shared" si="155"/>
        <v>0.1172562953808126</v>
      </c>
      <c r="T157" s="139">
        <f t="shared" si="155"/>
        <v>0.11508601004719135</v>
      </c>
      <c r="U157" s="141">
        <f t="shared" ref="U157:V157" si="156">U160/U69</f>
        <v>9.8748473748473745E-2</v>
      </c>
      <c r="V157" s="138">
        <f t="shared" si="156"/>
        <v>0.11163667128134133</v>
      </c>
      <c r="W157" s="927">
        <f t="shared" si="154"/>
        <v>0.11308506321802742</v>
      </c>
      <c r="X157" s="139">
        <f t="shared" si="154"/>
        <v>0.11333612747996104</v>
      </c>
      <c r="Y157" s="139">
        <f t="shared" si="154"/>
        <v>0.11005293300544222</v>
      </c>
      <c r="Z157" s="141">
        <f t="shared" si="154"/>
        <v>0.11055149911306211</v>
      </c>
      <c r="AA157" s="1071">
        <f t="shared" si="154"/>
        <v>0.11161843714158107</v>
      </c>
      <c r="AB157" s="139"/>
      <c r="AC157" s="139"/>
      <c r="AD157" s="139"/>
      <c r="AE157" s="141"/>
      <c r="AF157" s="138">
        <f>AF160/AF69</f>
        <v>0.11291442996609788</v>
      </c>
      <c r="AG157" s="139"/>
      <c r="AH157" s="139"/>
      <c r="AI157" s="139"/>
      <c r="AJ157" s="141"/>
      <c r="AK157" s="138">
        <f>AK160/AK69</f>
        <v>0.11435127682520022</v>
      </c>
      <c r="AL157" s="139"/>
      <c r="AM157" s="139"/>
      <c r="AN157" s="139"/>
      <c r="AO157" s="141"/>
      <c r="AP157" s="138">
        <f>AP160/AP69</f>
        <v>0.11448810597418146</v>
      </c>
      <c r="AQ157" s="144"/>
      <c r="AR157" s="145"/>
      <c r="AS157" s="664" t="s">
        <v>373</v>
      </c>
      <c r="AT157" s="619"/>
      <c r="AU157" s="619"/>
      <c r="AV157" s="619"/>
      <c r="AW157" s="619"/>
      <c r="AX157" s="1026"/>
      <c r="AY157" s="619"/>
      <c r="AZ157" s="619"/>
      <c r="BA157" s="619"/>
      <c r="BB157" s="619"/>
      <c r="BC157" s="145"/>
      <c r="BG157"/>
      <c r="BH157"/>
      <c r="BI157"/>
      <c r="BJ157"/>
      <c r="BK157"/>
      <c r="BL157"/>
    </row>
    <row r="158" spans="1:238" s="81" customFormat="1" ht="11.25" customHeight="1">
      <c r="A158" s="147" t="s">
        <v>224</v>
      </c>
      <c r="B158" s="149"/>
      <c r="C158" s="148"/>
      <c r="D158" s="148"/>
      <c r="E158" s="148"/>
      <c r="F158" s="148"/>
      <c r="G158" s="149">
        <f t="shared" ref="G158:O158" si="157">(G157-B157)*100</f>
        <v>-0.51200862133266445</v>
      </c>
      <c r="H158" s="148">
        <f t="shared" si="157"/>
        <v>-0.56878132548994209</v>
      </c>
      <c r="I158" s="148">
        <f t="shared" si="157"/>
        <v>-0.40146992311171498</v>
      </c>
      <c r="J158" s="148">
        <f t="shared" si="157"/>
        <v>-0.26597559370061669</v>
      </c>
      <c r="K158" s="148">
        <f t="shared" si="157"/>
        <v>-0.52404536966007276</v>
      </c>
      <c r="L158" s="149">
        <f t="shared" si="157"/>
        <v>-0.43611830080630271</v>
      </c>
      <c r="M158" s="148">
        <f t="shared" si="157"/>
        <v>-0.18515386972150216</v>
      </c>
      <c r="N158" s="148">
        <f t="shared" si="157"/>
        <v>-0.37156862745097996</v>
      </c>
      <c r="O158" s="148">
        <f t="shared" si="157"/>
        <v>-0.24790357170371563</v>
      </c>
      <c r="P158" s="148">
        <f t="shared" ref="P158" si="158">(P157-K157)*100</f>
        <v>-1.1999025017803742</v>
      </c>
      <c r="Q158" s="149">
        <f t="shared" ref="Q158" si="159">(Q157-L157)*100</f>
        <v>-0.50802261078737176</v>
      </c>
      <c r="R158" s="148"/>
      <c r="S158" s="148"/>
      <c r="T158" s="148"/>
      <c r="U158" s="148"/>
      <c r="V158" s="149"/>
      <c r="W158" s="928">
        <f>(W157-R157)*100</f>
        <v>-0.25155608069335894</v>
      </c>
      <c r="X158" s="148">
        <f t="shared" ref="X158:AA158" si="160">(X157-S157)*100</f>
        <v>-0.39201679008515622</v>
      </c>
      <c r="Y158" s="148">
        <f t="shared" si="160"/>
        <v>-0.50330770417491288</v>
      </c>
      <c r="Z158" s="929">
        <f t="shared" si="160"/>
        <v>1.1803025364588369</v>
      </c>
      <c r="AA158" s="149">
        <f t="shared" si="160"/>
        <v>-1.8234139760264778E-3</v>
      </c>
      <c r="AB158" s="150"/>
      <c r="AC158" s="150"/>
      <c r="AD158" s="150"/>
      <c r="AE158" s="151"/>
      <c r="AF158" s="149">
        <f>(AF157-AA157)*100</f>
        <v>0.12959928245168117</v>
      </c>
      <c r="AG158" s="150"/>
      <c r="AH158" s="150"/>
      <c r="AI158" s="150"/>
      <c r="AJ158" s="151"/>
      <c r="AK158" s="149">
        <f>(AK157-AF157)*100</f>
        <v>0.14368468591023364</v>
      </c>
      <c r="AL158" s="150"/>
      <c r="AM158" s="150"/>
      <c r="AN158" s="150"/>
      <c r="AO158" s="151"/>
      <c r="AP158" s="149">
        <f>(AP157-AK157)*100</f>
        <v>1.3682914898124898E-2</v>
      </c>
      <c r="AQ158" s="98"/>
      <c r="AR158" s="6"/>
      <c r="AS158" s="304"/>
      <c r="AT158" s="619"/>
      <c r="AU158" s="619"/>
      <c r="AV158" s="619"/>
      <c r="AW158" s="619"/>
      <c r="AX158" s="619"/>
      <c r="AY158" s="619"/>
      <c r="AZ158" s="619"/>
      <c r="BA158" s="619"/>
      <c r="BB158" s="619"/>
      <c r="BC158" s="79"/>
      <c r="BG158"/>
      <c r="BH158"/>
      <c r="BI158"/>
      <c r="BJ158"/>
      <c r="BK158"/>
      <c r="BL158"/>
    </row>
    <row r="159" spans="1:238" s="161" customFormat="1" ht="11.25" customHeight="1">
      <c r="A159" s="152" t="s">
        <v>225</v>
      </c>
      <c r="B159" s="154"/>
      <c r="C159" s="153"/>
      <c r="D159" s="153"/>
      <c r="E159" s="153"/>
      <c r="F159" s="153"/>
      <c r="G159" s="154">
        <f t="shared" ref="G159:O159" si="161">(G160-B160)/(G69-B69)</f>
        <v>0.39514348785871967</v>
      </c>
      <c r="H159" s="153">
        <f t="shared" si="161"/>
        <v>34</v>
      </c>
      <c r="I159" s="153">
        <f t="shared" si="161"/>
        <v>-0.10576923076923077</v>
      </c>
      <c r="J159" s="153">
        <f t="shared" si="161"/>
        <v>2.8409090909090908E-2</v>
      </c>
      <c r="K159" s="153">
        <f t="shared" si="161"/>
        <v>7.8236130867709822E-2</v>
      </c>
      <c r="L159" s="154">
        <f t="shared" si="161"/>
        <v>1.5274949083503055E-2</v>
      </c>
      <c r="M159" s="153">
        <f t="shared" si="161"/>
        <v>8.0385852090032156E-2</v>
      </c>
      <c r="N159" s="153">
        <f t="shared" si="161"/>
        <v>5.8666666666666666E-2</v>
      </c>
      <c r="O159" s="153">
        <f t="shared" si="161"/>
        <v>7.5268817204301078E-2</v>
      </c>
      <c r="P159" s="153">
        <f t="shared" ref="P159" si="162">(P160-K160)/(P69-K69)</f>
        <v>-0.21518987341772153</v>
      </c>
      <c r="Q159" s="154">
        <f t="shared" ref="Q159" si="163">(Q160-L160)/(Q69-L69)</f>
        <v>1.8532818532818532E-2</v>
      </c>
      <c r="R159" s="153"/>
      <c r="S159" s="153"/>
      <c r="T159" s="153"/>
      <c r="U159" s="153"/>
      <c r="V159" s="154"/>
      <c r="W159" s="930">
        <f>(W160-R160)/(W69-R69)</f>
        <v>2.6093135850679041E-2</v>
      </c>
      <c r="X159" s="153">
        <f t="shared" ref="X159:AA159" si="164">(X160-S160)/(X69-S69)</f>
        <v>-3.4847100505095353E-2</v>
      </c>
      <c r="Y159" s="153">
        <f t="shared" si="164"/>
        <v>8.7108478262883537E-2</v>
      </c>
      <c r="Z159" s="931">
        <f t="shared" si="164"/>
        <v>0.1635969966943589</v>
      </c>
      <c r="AA159" s="154">
        <f t="shared" si="164"/>
        <v>0.11147278545450209</v>
      </c>
      <c r="AB159" s="155"/>
      <c r="AC159" s="155"/>
      <c r="AD159" s="155"/>
      <c r="AE159" s="156"/>
      <c r="AF159" s="154">
        <f>(AF160-AA160)/(AF69-AA69)</f>
        <v>0.12117890178148491</v>
      </c>
      <c r="AG159" s="155"/>
      <c r="AH159" s="155"/>
      <c r="AI159" s="155"/>
      <c r="AJ159" s="156"/>
      <c r="AK159" s="154">
        <f>(AK160-AF160)/(AK69-AF69)</f>
        <v>0.13385058472555342</v>
      </c>
      <c r="AL159" s="155"/>
      <c r="AM159" s="155"/>
      <c r="AN159" s="155"/>
      <c r="AO159" s="156"/>
      <c r="AP159" s="154">
        <f>(AP160-AK160)/(AP69-AK69)</f>
        <v>0.11688196332601587</v>
      </c>
      <c r="AQ159" s="157"/>
      <c r="AR159" s="158"/>
      <c r="AS159" s="159"/>
      <c r="AT159" s="159"/>
      <c r="AU159" s="159"/>
      <c r="AV159" s="159"/>
      <c r="AW159" s="159"/>
      <c r="AX159" s="159"/>
      <c r="AY159" s="159"/>
      <c r="AZ159" s="159"/>
      <c r="BA159" s="159"/>
      <c r="BB159" s="159"/>
      <c r="BC159" s="160"/>
      <c r="BG159"/>
      <c r="BH159"/>
      <c r="BI159"/>
      <c r="BJ159"/>
      <c r="BK159"/>
      <c r="BL159"/>
    </row>
    <row r="160" spans="1:238" s="146" customFormat="1">
      <c r="A160" s="178" t="s">
        <v>124</v>
      </c>
      <c r="B160" s="165">
        <f t="shared" ref="B160:X160" si="165">B102+B115+B128+B141+B143+B144+B154</f>
        <v>3099</v>
      </c>
      <c r="C160" s="164">
        <f t="shared" si="165"/>
        <v>735</v>
      </c>
      <c r="D160" s="164">
        <f t="shared" si="165"/>
        <v>742</v>
      </c>
      <c r="E160" s="164">
        <f t="shared" si="165"/>
        <v>726</v>
      </c>
      <c r="F160" s="164">
        <f t="shared" si="165"/>
        <v>717</v>
      </c>
      <c r="G160" s="165">
        <f t="shared" si="165"/>
        <v>2920</v>
      </c>
      <c r="H160" s="166">
        <f t="shared" si="165"/>
        <v>701</v>
      </c>
      <c r="I160" s="166">
        <f t="shared" si="165"/>
        <v>731</v>
      </c>
      <c r="J160" s="166">
        <f t="shared" si="165"/>
        <v>731</v>
      </c>
      <c r="K160" s="167">
        <f t="shared" si="165"/>
        <v>772</v>
      </c>
      <c r="L160" s="165">
        <f t="shared" si="165"/>
        <v>2935</v>
      </c>
      <c r="M160" s="166">
        <f t="shared" si="165"/>
        <v>726</v>
      </c>
      <c r="N160" s="166">
        <f t="shared" si="165"/>
        <v>753</v>
      </c>
      <c r="O160" s="166">
        <f t="shared" si="165"/>
        <v>759</v>
      </c>
      <c r="P160" s="167">
        <f t="shared" ref="P160:T160" si="166">P102+P115+P128+P141+P143+P144+P154</f>
        <v>721</v>
      </c>
      <c r="Q160" s="165">
        <f t="shared" si="166"/>
        <v>2959</v>
      </c>
      <c r="R160" s="166">
        <f t="shared" si="166"/>
        <v>741</v>
      </c>
      <c r="S160" s="166">
        <f t="shared" si="166"/>
        <v>759</v>
      </c>
      <c r="T160" s="166">
        <f t="shared" si="166"/>
        <v>756</v>
      </c>
      <c r="U160" s="167">
        <f t="shared" ref="U160" si="167">U102+U115+U128+U141+U143+U144+U154</f>
        <v>647</v>
      </c>
      <c r="V160" s="99">
        <f>V102+V115+V128+V141+V143+V144+V154</f>
        <v>2903</v>
      </c>
      <c r="W160" s="932">
        <f t="shared" si="165"/>
        <v>745.83659999999998</v>
      </c>
      <c r="X160" s="166">
        <f t="shared" si="165"/>
        <v>753.03269999999998</v>
      </c>
      <c r="Y160" s="166">
        <f>Y102+Y115+Y128+Y141+Y143+Y144+Y154</f>
        <v>881.52074999999991</v>
      </c>
      <c r="Z160" s="167">
        <f>Z102+Z115+Z128+Z141+Z143+Z144+Z154</f>
        <v>885.50310000000002</v>
      </c>
      <c r="AA160" s="165">
        <f>AA102+AA115+AA128+AA141+AA143+AA144+AA154</f>
        <v>3265.8931500000003</v>
      </c>
      <c r="AB160" s="166"/>
      <c r="AC160" s="166"/>
      <c r="AD160" s="166"/>
      <c r="AE160" s="167"/>
      <c r="AF160" s="165">
        <f>AF102+AF115+AF128+AF141+AF143+AF144+AF154</f>
        <v>3821.9005105000006</v>
      </c>
      <c r="AG160" s="166"/>
      <c r="AH160" s="166"/>
      <c r="AI160" s="166"/>
      <c r="AJ160" s="167"/>
      <c r="AK160" s="165">
        <f>AK102+AK115+AK128+AK141+AK143+AK144+AK154</f>
        <v>4155.742907445001</v>
      </c>
      <c r="AL160" s="166"/>
      <c r="AM160" s="166"/>
      <c r="AN160" s="166"/>
      <c r="AO160" s="167"/>
      <c r="AP160" s="165">
        <f>AP102+AP115+AP128+AP141+AP143+AP144+AP154</f>
        <v>4398.5355435512511</v>
      </c>
      <c r="AQ160" s="144"/>
      <c r="AR160" s="145"/>
      <c r="AS160" s="619"/>
      <c r="AT160" s="619"/>
      <c r="AU160" s="619"/>
      <c r="AV160" s="619"/>
      <c r="AW160" s="619"/>
      <c r="AX160" s="619"/>
      <c r="AY160" s="619"/>
      <c r="AZ160" s="619"/>
      <c r="BA160" s="619"/>
      <c r="BB160" s="619"/>
      <c r="BC160" s="145"/>
      <c r="BG160"/>
      <c r="BH160"/>
      <c r="BI160"/>
      <c r="BJ160"/>
      <c r="BK160"/>
      <c r="BL160"/>
    </row>
    <row r="161" spans="1:64" s="81" customFormat="1">
      <c r="A161" s="22" t="s">
        <v>204</v>
      </c>
      <c r="B161" s="25"/>
      <c r="C161" s="73"/>
      <c r="D161" s="73"/>
      <c r="E161" s="73"/>
      <c r="F161" s="73"/>
      <c r="G161" s="25">
        <f t="shared" ref="G161:O161" si="168">G160/B160-1</f>
        <v>-5.7760567925137174E-2</v>
      </c>
      <c r="H161" s="73">
        <f t="shared" si="168"/>
        <v>-4.6258503401360507E-2</v>
      </c>
      <c r="I161" s="73">
        <f t="shared" si="168"/>
        <v>-1.4824797843665749E-2</v>
      </c>
      <c r="J161" s="73">
        <f t="shared" si="168"/>
        <v>6.8870523415978102E-3</v>
      </c>
      <c r="K161" s="73">
        <f t="shared" si="168"/>
        <v>7.670850767085069E-2</v>
      </c>
      <c r="L161" s="25">
        <f t="shared" si="168"/>
        <v>5.1369863013699391E-3</v>
      </c>
      <c r="M161" s="73">
        <f t="shared" si="168"/>
        <v>3.5663338088445018E-2</v>
      </c>
      <c r="N161" s="73">
        <f t="shared" si="168"/>
        <v>3.0095759233926156E-2</v>
      </c>
      <c r="O161" s="73">
        <f t="shared" si="168"/>
        <v>3.8303693570451491E-2</v>
      </c>
      <c r="P161" s="73">
        <f t="shared" ref="P161" si="169">P160/K160-1</f>
        <v>-6.6062176165803121E-2</v>
      </c>
      <c r="Q161" s="25">
        <f t="shared" ref="Q161" si="170">Q160/L160-1</f>
        <v>8.1771720613288412E-3</v>
      </c>
      <c r="R161" s="73"/>
      <c r="S161" s="73"/>
      <c r="T161" s="73"/>
      <c r="U161" s="73"/>
      <c r="V161" s="25"/>
      <c r="W161" s="933">
        <f>W160/R160-1</f>
        <v>6.5271255060728173E-3</v>
      </c>
      <c r="X161" s="73">
        <f t="shared" ref="X161:AA161" si="171">X160/S160-1</f>
        <v>-7.8620553359683987E-3</v>
      </c>
      <c r="Y161" s="73">
        <f t="shared" si="171"/>
        <v>0.166032738095238</v>
      </c>
      <c r="Z161" s="75">
        <f t="shared" si="171"/>
        <v>0.36862921174652241</v>
      </c>
      <c r="AA161" s="25">
        <f t="shared" si="171"/>
        <v>0.12500625215294536</v>
      </c>
      <c r="AB161" s="26"/>
      <c r="AC161" s="26"/>
      <c r="AD161" s="26"/>
      <c r="AE161" s="76"/>
      <c r="AF161" s="25">
        <f>AF160/AA160-1</f>
        <v>0.17024664768962205</v>
      </c>
      <c r="AG161" s="26"/>
      <c r="AH161" s="26"/>
      <c r="AI161" s="26"/>
      <c r="AJ161" s="76"/>
      <c r="AK161" s="25">
        <f>AK160/AF160-1</f>
        <v>8.7349839700909815E-2</v>
      </c>
      <c r="AL161" s="26"/>
      <c r="AM161" s="26"/>
      <c r="AN161" s="26"/>
      <c r="AO161" s="76"/>
      <c r="AP161" s="25">
        <f>AP160/AK160-1</f>
        <v>5.8423401426322075E-2</v>
      </c>
      <c r="AQ161" s="77"/>
      <c r="AR161" s="6"/>
      <c r="AS161" s="619"/>
      <c r="AT161" s="619"/>
      <c r="AU161" s="619"/>
      <c r="AV161" s="619"/>
      <c r="AW161" s="619"/>
      <c r="AX161" s="619"/>
      <c r="AY161" s="619"/>
      <c r="AZ161" s="619"/>
      <c r="BA161" s="619"/>
      <c r="BB161" s="619"/>
      <c r="BC161" s="79"/>
      <c r="BG161"/>
      <c r="BH161"/>
      <c r="BI161"/>
      <c r="BJ161"/>
      <c r="BK161"/>
      <c r="BL161"/>
    </row>
    <row r="162" spans="1:64" s="146" customFormat="1">
      <c r="A162" s="178" t="s">
        <v>230</v>
      </c>
      <c r="B162" s="165">
        <f t="shared" ref="B162:N162" si="172">SUM(B165:B166)</f>
        <v>664</v>
      </c>
      <c r="C162" s="164">
        <f t="shared" si="172"/>
        <v>187</v>
      </c>
      <c r="D162" s="164">
        <f t="shared" si="172"/>
        <v>162</v>
      </c>
      <c r="E162" s="164">
        <f t="shared" si="172"/>
        <v>112</v>
      </c>
      <c r="F162" s="164">
        <f t="shared" si="172"/>
        <v>119</v>
      </c>
      <c r="G162" s="165">
        <f t="shared" si="172"/>
        <v>580</v>
      </c>
      <c r="H162" s="164">
        <f t="shared" si="172"/>
        <v>129</v>
      </c>
      <c r="I162" s="164">
        <f t="shared" si="172"/>
        <v>137</v>
      </c>
      <c r="J162" s="164">
        <f t="shared" si="172"/>
        <v>121</v>
      </c>
      <c r="K162" s="164">
        <f t="shared" si="172"/>
        <v>107</v>
      </c>
      <c r="L162" s="165">
        <f t="shared" si="172"/>
        <v>494</v>
      </c>
      <c r="M162" s="164">
        <f t="shared" si="172"/>
        <v>115</v>
      </c>
      <c r="N162" s="164">
        <f t="shared" si="172"/>
        <v>98</v>
      </c>
      <c r="O162" s="164">
        <f t="shared" ref="O162" si="173">SUM(O165:O166)</f>
        <v>102</v>
      </c>
      <c r="P162" s="164">
        <f t="shared" ref="P162:Q162" si="174">SUM(P165:P166)</f>
        <v>48</v>
      </c>
      <c r="Q162" s="165">
        <f t="shared" si="174"/>
        <v>363</v>
      </c>
      <c r="R162" s="164"/>
      <c r="S162" s="164"/>
      <c r="T162" s="164"/>
      <c r="U162" s="164"/>
      <c r="V162" s="165"/>
      <c r="W162" s="934">
        <f t="shared" ref="W162:Z162" si="175">+W164*W160</f>
        <v>130.52140499999999</v>
      </c>
      <c r="X162" s="163">
        <f t="shared" si="175"/>
        <v>131.7807225</v>
      </c>
      <c r="Y162" s="163">
        <f t="shared" si="175"/>
        <v>154.26613124999997</v>
      </c>
      <c r="Z162" s="935">
        <f t="shared" si="175"/>
        <v>154.9630425</v>
      </c>
      <c r="AA162" s="165">
        <f>AA164*AA160</f>
        <v>571.53130125000007</v>
      </c>
      <c r="AB162" s="166"/>
      <c r="AC162" s="166"/>
      <c r="AD162" s="166"/>
      <c r="AE162" s="167"/>
      <c r="AF162" s="165">
        <f>AF164*AF160</f>
        <v>668.83258933750005</v>
      </c>
      <c r="AG162" s="166"/>
      <c r="AH162" s="166"/>
      <c r="AI162" s="166"/>
      <c r="AJ162" s="167"/>
      <c r="AK162" s="165">
        <f>AK164*AK160</f>
        <v>727.25500880287518</v>
      </c>
      <c r="AL162" s="166"/>
      <c r="AM162" s="166"/>
      <c r="AN162" s="166"/>
      <c r="AO162" s="167"/>
      <c r="AP162" s="165">
        <f>AP164*AP160</f>
        <v>769.74372012146887</v>
      </c>
      <c r="AQ162" s="144"/>
      <c r="AR162" s="145"/>
      <c r="AS162" s="619"/>
      <c r="AT162" s="619"/>
      <c r="AU162" s="619"/>
      <c r="AV162" s="619"/>
      <c r="AW162" s="619"/>
      <c r="AX162" s="619"/>
      <c r="AY162" s="619"/>
      <c r="AZ162" s="619"/>
      <c r="BA162" s="619"/>
      <c r="BB162" s="619"/>
      <c r="BC162" s="145"/>
      <c r="BG162"/>
      <c r="BH162"/>
      <c r="BI162"/>
      <c r="BJ162"/>
      <c r="BK162"/>
      <c r="BL162"/>
    </row>
    <row r="163" spans="1:64" s="504" customFormat="1">
      <c r="A163" s="497" t="s">
        <v>231</v>
      </c>
      <c r="B163" s="182">
        <f t="shared" ref="B163:AA163" si="176">B162/B69</f>
        <v>2.7690896200842405E-2</v>
      </c>
      <c r="C163" s="183">
        <f t="shared" si="176"/>
        <v>3.1391640087292262E-2</v>
      </c>
      <c r="D163" s="181">
        <f t="shared" si="176"/>
        <v>2.7476255088195387E-2</v>
      </c>
      <c r="E163" s="181">
        <f t="shared" si="176"/>
        <v>1.8732229469811006E-2</v>
      </c>
      <c r="F163" s="181">
        <f t="shared" si="176"/>
        <v>2.0899192132068846E-2</v>
      </c>
      <c r="G163" s="182">
        <f t="shared" si="176"/>
        <v>2.4653574768341409E-2</v>
      </c>
      <c r="H163" s="183">
        <f t="shared" si="176"/>
        <v>2.1658831430490261E-2</v>
      </c>
      <c r="I163" s="181">
        <f t="shared" si="176"/>
        <v>2.2833333333333334E-2</v>
      </c>
      <c r="J163" s="181">
        <f t="shared" si="176"/>
        <v>1.9658813972380177E-2</v>
      </c>
      <c r="K163" s="181">
        <f t="shared" si="176"/>
        <v>1.6726590589338751E-2</v>
      </c>
      <c r="L163" s="182">
        <f t="shared" si="176"/>
        <v>2.015668353190795E-2</v>
      </c>
      <c r="M163" s="183">
        <f t="shared" si="176"/>
        <v>1.8350087761289293E-2</v>
      </c>
      <c r="N163" s="181">
        <f t="shared" si="176"/>
        <v>1.5372549019607842E-2</v>
      </c>
      <c r="O163" s="181">
        <f t="shared" si="176"/>
        <v>1.5627393902252183E-2</v>
      </c>
      <c r="P163" s="181">
        <f t="shared" ref="P163:Q163" si="177">P162/P69</f>
        <v>7.2354537232438947E-3</v>
      </c>
      <c r="Q163" s="182">
        <f t="shared" si="177"/>
        <v>1.4068131612603186E-2</v>
      </c>
      <c r="R163" s="183"/>
      <c r="S163" s="181"/>
      <c r="T163" s="181"/>
      <c r="U163" s="181"/>
      <c r="V163" s="182"/>
      <c r="W163" s="936">
        <f t="shared" si="176"/>
        <v>1.9789886063154797E-2</v>
      </c>
      <c r="X163" s="180">
        <f t="shared" si="176"/>
        <v>1.9833822308993183E-2</v>
      </c>
      <c r="Y163" s="180">
        <f t="shared" si="176"/>
        <v>1.9259263275952388E-2</v>
      </c>
      <c r="Z163" s="937">
        <f t="shared" si="176"/>
        <v>1.934651234478587E-2</v>
      </c>
      <c r="AA163" s="182">
        <f t="shared" si="176"/>
        <v>1.953322649977669E-2</v>
      </c>
      <c r="AB163" s="500"/>
      <c r="AC163" s="500"/>
      <c r="AD163" s="500"/>
      <c r="AE163" s="501"/>
      <c r="AF163" s="182">
        <f>AF162/AF69</f>
        <v>1.9760025244067128E-2</v>
      </c>
      <c r="AG163" s="500"/>
      <c r="AH163" s="500"/>
      <c r="AI163" s="500"/>
      <c r="AJ163" s="501"/>
      <c r="AK163" s="182">
        <f>AK162/AK69</f>
        <v>2.0011473444410038E-2</v>
      </c>
      <c r="AL163" s="500"/>
      <c r="AM163" s="500"/>
      <c r="AN163" s="500"/>
      <c r="AO163" s="501"/>
      <c r="AP163" s="182">
        <f>AP162/AP69</f>
        <v>2.0035418545481756E-2</v>
      </c>
      <c r="AQ163" s="502"/>
      <c r="AR163" s="503"/>
      <c r="AS163" s="882"/>
      <c r="AT163" s="882"/>
      <c r="AU163" s="882"/>
      <c r="AV163" s="882"/>
      <c r="AW163" s="882"/>
      <c r="AX163" s="882"/>
      <c r="AY163" s="882"/>
      <c r="AZ163" s="882"/>
      <c r="BA163" s="882"/>
      <c r="BB163" s="882"/>
      <c r="BC163" s="503"/>
      <c r="BG163"/>
      <c r="BH163"/>
      <c r="BI163"/>
      <c r="BJ163"/>
      <c r="BK163"/>
      <c r="BL163"/>
    </row>
    <row r="164" spans="1:64" s="351" customFormat="1">
      <c r="A164" s="497" t="s">
        <v>232</v>
      </c>
      <c r="B164" s="182">
        <f t="shared" ref="B164:N164" si="178">B162/B160</f>
        <v>0.21426266537592772</v>
      </c>
      <c r="C164" s="184">
        <f t="shared" si="178"/>
        <v>0.25442176870748301</v>
      </c>
      <c r="D164" s="184">
        <f t="shared" si="178"/>
        <v>0.21832884097035041</v>
      </c>
      <c r="E164" s="184">
        <f t="shared" si="178"/>
        <v>0.15426997245179064</v>
      </c>
      <c r="F164" s="184">
        <f t="shared" si="178"/>
        <v>0.16596931659693165</v>
      </c>
      <c r="G164" s="182">
        <f t="shared" si="178"/>
        <v>0.19863013698630136</v>
      </c>
      <c r="H164" s="184">
        <f t="shared" si="178"/>
        <v>0.18402282453637661</v>
      </c>
      <c r="I164" s="184">
        <f t="shared" si="178"/>
        <v>0.18741450068399454</v>
      </c>
      <c r="J164" s="184">
        <f t="shared" si="178"/>
        <v>0.16552667578659372</v>
      </c>
      <c r="K164" s="184">
        <f t="shared" si="178"/>
        <v>0.13860103626943004</v>
      </c>
      <c r="L164" s="182">
        <f t="shared" si="178"/>
        <v>0.16831345826235095</v>
      </c>
      <c r="M164" s="184">
        <f t="shared" si="178"/>
        <v>0.1584022038567493</v>
      </c>
      <c r="N164" s="840">
        <f t="shared" si="178"/>
        <v>0.13014608233731739</v>
      </c>
      <c r="O164" s="184">
        <f t="shared" ref="O164:Q164" si="179">O162/O160</f>
        <v>0.13438735177865613</v>
      </c>
      <c r="P164" s="184">
        <f t="shared" si="179"/>
        <v>6.6574202496532592E-2</v>
      </c>
      <c r="Q164" s="182">
        <f t="shared" si="179"/>
        <v>0.12267657992565056</v>
      </c>
      <c r="R164" s="184"/>
      <c r="S164" s="840"/>
      <c r="T164" s="184"/>
      <c r="U164" s="184"/>
      <c r="V164" s="182"/>
      <c r="W164" s="938">
        <v>0.17499999999999999</v>
      </c>
      <c r="X164" s="346">
        <v>0.17499999999999999</v>
      </c>
      <c r="Y164" s="346">
        <v>0.17499999999999999</v>
      </c>
      <c r="Z164" s="506">
        <v>0.17499999999999999</v>
      </c>
      <c r="AA164" s="505">
        <v>0.17499999999999999</v>
      </c>
      <c r="AB164" s="346"/>
      <c r="AC164" s="346"/>
      <c r="AD164" s="346"/>
      <c r="AE164" s="506"/>
      <c r="AF164" s="505">
        <f>AA164</f>
        <v>0.17499999999999999</v>
      </c>
      <c r="AG164" s="346"/>
      <c r="AH164" s="346"/>
      <c r="AI164" s="346"/>
      <c r="AJ164" s="506"/>
      <c r="AK164" s="505">
        <f>AF164</f>
        <v>0.17499999999999999</v>
      </c>
      <c r="AL164" s="346"/>
      <c r="AM164" s="346"/>
      <c r="AN164" s="346"/>
      <c r="AO164" s="506"/>
      <c r="AP164" s="505">
        <f>AK164</f>
        <v>0.17499999999999999</v>
      </c>
      <c r="AQ164" s="168"/>
      <c r="AR164" s="350"/>
      <c r="AS164" s="882"/>
      <c r="AT164" s="882"/>
      <c r="AU164" s="882"/>
      <c r="AV164" s="882"/>
      <c r="AW164" s="882"/>
      <c r="AX164" s="882"/>
      <c r="AY164" s="882"/>
      <c r="AZ164" s="882"/>
      <c r="BA164" s="882"/>
      <c r="BB164" s="882"/>
      <c r="BC164" s="350"/>
      <c r="BG164"/>
      <c r="BH164"/>
      <c r="BI164"/>
      <c r="BJ164"/>
      <c r="BK164"/>
      <c r="BL164"/>
    </row>
    <row r="165" spans="1:64" s="81" customFormat="1">
      <c r="A165" s="190" t="s">
        <v>233</v>
      </c>
      <c r="B165" s="92">
        <v>922</v>
      </c>
      <c r="C165" s="655">
        <v>290</v>
      </c>
      <c r="D165" s="660">
        <v>228</v>
      </c>
      <c r="E165" s="660">
        <v>189</v>
      </c>
      <c r="F165" s="640">
        <f>+G165-SUM(C165:E165)</f>
        <v>217</v>
      </c>
      <c r="G165" s="92">
        <v>924</v>
      </c>
      <c r="H165" s="660">
        <v>200</v>
      </c>
      <c r="I165" s="660">
        <v>199</v>
      </c>
      <c r="J165" s="660">
        <v>196</v>
      </c>
      <c r="K165" s="640">
        <f>+L165-SUM(H165:J165)</f>
        <v>170</v>
      </c>
      <c r="L165" s="92">
        <v>765</v>
      </c>
      <c r="M165" s="660">
        <v>160</v>
      </c>
      <c r="N165" s="660">
        <v>153</v>
      </c>
      <c r="O165" s="906">
        <v>188</v>
      </c>
      <c r="P165" s="225">
        <f>668-O165-N165-M165</f>
        <v>167</v>
      </c>
      <c r="Q165" s="191">
        <f>+SUM(M165:P165)</f>
        <v>668</v>
      </c>
      <c r="R165" s="660"/>
      <c r="S165" s="660"/>
      <c r="T165" s="906"/>
      <c r="U165" s="225"/>
      <c r="V165" s="191"/>
      <c r="W165" s="939"/>
      <c r="X165" s="940"/>
      <c r="Y165" s="940"/>
      <c r="Z165" s="941"/>
      <c r="AA165" s="92"/>
      <c r="AB165" s="93"/>
      <c r="AC165" s="93"/>
      <c r="AD165" s="93"/>
      <c r="AE165" s="192"/>
      <c r="AF165" s="92"/>
      <c r="AG165" s="93"/>
      <c r="AH165" s="93"/>
      <c r="AI165" s="93"/>
      <c r="AJ165" s="192"/>
      <c r="AK165" s="92"/>
      <c r="AL165" s="93"/>
      <c r="AM165" s="93"/>
      <c r="AN165" s="93"/>
      <c r="AO165" s="192"/>
      <c r="AP165" s="92"/>
      <c r="AQ165" s="98"/>
      <c r="AR165" s="79"/>
      <c r="AS165" s="883"/>
      <c r="AT165" s="883"/>
      <c r="AU165" s="883"/>
      <c r="AV165" s="619"/>
      <c r="AW165" s="619"/>
      <c r="AX165" s="619"/>
      <c r="AY165" s="619"/>
      <c r="AZ165" s="619"/>
      <c r="BA165" s="619"/>
      <c r="BB165" s="619"/>
      <c r="BC165" s="79"/>
      <c r="BG165"/>
      <c r="BH165"/>
      <c r="BI165"/>
      <c r="BJ165"/>
      <c r="BK165"/>
      <c r="BL165"/>
    </row>
    <row r="166" spans="1:64" s="81" customFormat="1">
      <c r="A166" s="190" t="s">
        <v>234</v>
      </c>
      <c r="B166" s="92">
        <v>-258</v>
      </c>
      <c r="C166" s="655">
        <v>-103</v>
      </c>
      <c r="D166" s="660">
        <v>-66</v>
      </c>
      <c r="E166" s="660">
        <v>-77</v>
      </c>
      <c r="F166" s="640">
        <f>+G166-SUM(C166:E166)</f>
        <v>-98</v>
      </c>
      <c r="G166" s="92">
        <v>-344</v>
      </c>
      <c r="H166" s="660">
        <v>-71</v>
      </c>
      <c r="I166" s="660">
        <v>-62</v>
      </c>
      <c r="J166" s="660">
        <v>-75</v>
      </c>
      <c r="K166" s="640">
        <f>+L166-SUM(H166:J166)</f>
        <v>-63</v>
      </c>
      <c r="L166" s="92">
        <v>-271</v>
      </c>
      <c r="M166" s="660">
        <v>-45</v>
      </c>
      <c r="N166" s="660">
        <v>-55</v>
      </c>
      <c r="O166" s="906">
        <v>-86</v>
      </c>
      <c r="P166" s="225">
        <f>-305-O166-N166-M166</f>
        <v>-119</v>
      </c>
      <c r="Q166" s="191">
        <f>+SUM(M166:P166)</f>
        <v>-305</v>
      </c>
      <c r="R166" s="660"/>
      <c r="S166" s="660"/>
      <c r="T166" s="906"/>
      <c r="U166" s="225"/>
      <c r="V166" s="191"/>
      <c r="W166" s="939"/>
      <c r="X166" s="940"/>
      <c r="Y166" s="940"/>
      <c r="Z166" s="941"/>
      <c r="AA166" s="92"/>
      <c r="AB166" s="93"/>
      <c r="AC166" s="93"/>
      <c r="AD166" s="93"/>
      <c r="AE166" s="192"/>
      <c r="AF166" s="92"/>
      <c r="AG166" s="93"/>
      <c r="AH166" s="93"/>
      <c r="AI166" s="93"/>
      <c r="AJ166" s="192"/>
      <c r="AK166" s="92"/>
      <c r="AL166" s="93"/>
      <c r="AM166" s="93"/>
      <c r="AN166" s="93"/>
      <c r="AO166" s="192"/>
      <c r="AP166" s="92"/>
      <c r="AQ166" s="98"/>
      <c r="AR166" s="79"/>
      <c r="AS166" s="619"/>
      <c r="AT166" s="619"/>
      <c r="AU166" s="619"/>
      <c r="AV166" s="619"/>
      <c r="AW166" s="619"/>
      <c r="AX166" s="619"/>
      <c r="AY166" s="619"/>
      <c r="AZ166" s="619"/>
      <c r="BA166" s="619"/>
      <c r="BB166" s="619"/>
      <c r="BC166" s="79"/>
      <c r="BG166"/>
      <c r="BH166"/>
      <c r="BI166"/>
      <c r="BJ166"/>
      <c r="BK166"/>
      <c r="BL166"/>
    </row>
    <row r="167" spans="1:64" s="351" customFormat="1">
      <c r="A167" s="496" t="s">
        <v>88</v>
      </c>
      <c r="B167" s="498">
        <f t="shared" ref="B167:AA167" si="180">(B160-B162)/B69</f>
        <v>0.10154718712206515</v>
      </c>
      <c r="C167" s="551">
        <f t="shared" si="180"/>
        <v>9.1992613731744166E-2</v>
      </c>
      <c r="D167" s="499">
        <f t="shared" si="180"/>
        <v>9.8371777476255085E-2</v>
      </c>
      <c r="E167" s="499">
        <f t="shared" si="180"/>
        <v>0.10269275798628533</v>
      </c>
      <c r="F167" s="499">
        <f t="shared" si="180"/>
        <v>0.1050228310502283</v>
      </c>
      <c r="G167" s="498">
        <f t="shared" si="180"/>
        <v>9.9464422341239478E-2</v>
      </c>
      <c r="H167" s="551">
        <f t="shared" si="180"/>
        <v>9.6037609133646742E-2</v>
      </c>
      <c r="I167" s="499">
        <f t="shared" si="180"/>
        <v>9.9000000000000005E-2</v>
      </c>
      <c r="J167" s="499">
        <f t="shared" si="180"/>
        <v>9.9106417546709985E-2</v>
      </c>
      <c r="K167" s="499">
        <f t="shared" si="180"/>
        <v>0.10395497889635767</v>
      </c>
      <c r="L167" s="498">
        <f t="shared" si="180"/>
        <v>9.9600130569609924E-2</v>
      </c>
      <c r="M167" s="551">
        <f t="shared" si="180"/>
        <v>9.7494814105632682E-2</v>
      </c>
      <c r="N167" s="499">
        <f t="shared" si="180"/>
        <v>0.10274509803921569</v>
      </c>
      <c r="O167" s="499">
        <f t="shared" si="180"/>
        <v>0.10065880189980082</v>
      </c>
      <c r="P167" s="499">
        <f t="shared" ref="P167:Q167" si="181">(P160-P162)/P69</f>
        <v>0.10144709074464878</v>
      </c>
      <c r="Q167" s="498">
        <f t="shared" si="181"/>
        <v>0.10060845638104096</v>
      </c>
      <c r="R167" s="551"/>
      <c r="S167" s="499"/>
      <c r="T167" s="499"/>
      <c r="U167" s="499"/>
      <c r="V167" s="498"/>
      <c r="W167" s="942">
        <f t="shared" si="180"/>
        <v>9.3295177154872622E-2</v>
      </c>
      <c r="X167" s="943">
        <f t="shared" si="180"/>
        <v>9.3502305170967845E-2</v>
      </c>
      <c r="Y167" s="943">
        <f t="shared" si="180"/>
        <v>9.0793669729489837E-2</v>
      </c>
      <c r="Z167" s="944">
        <f t="shared" si="180"/>
        <v>9.1204986768276236E-2</v>
      </c>
      <c r="AA167" s="498">
        <f t="shared" si="180"/>
        <v>9.2085210641804388E-2</v>
      </c>
      <c r="AB167" s="500"/>
      <c r="AC167" s="500"/>
      <c r="AD167" s="500"/>
      <c r="AE167" s="501"/>
      <c r="AF167" s="498">
        <f>(AF160-AF162)/AF69</f>
        <v>9.3154404722030751E-2</v>
      </c>
      <c r="AG167" s="500"/>
      <c r="AH167" s="500"/>
      <c r="AI167" s="500"/>
      <c r="AJ167" s="501"/>
      <c r="AK167" s="498">
        <f>(AK160-AK162)/AK69</f>
        <v>9.4339803380790177E-2</v>
      </c>
      <c r="AL167" s="500"/>
      <c r="AM167" s="500"/>
      <c r="AN167" s="500"/>
      <c r="AO167" s="501"/>
      <c r="AP167" s="498">
        <f>(AP160-AP162)/AP69</f>
        <v>9.4452687428699722E-2</v>
      </c>
      <c r="AQ167" s="168"/>
      <c r="AR167" s="350"/>
      <c r="AS167" s="882"/>
      <c r="AT167" s="882"/>
      <c r="AU167" s="882"/>
      <c r="AV167" s="882"/>
      <c r="AW167" s="882"/>
      <c r="AX167" s="882"/>
      <c r="AY167" s="882"/>
      <c r="AZ167" s="882"/>
      <c r="BA167" s="882"/>
      <c r="BB167" s="882"/>
      <c r="BC167" s="350"/>
      <c r="BG167"/>
      <c r="BH167"/>
      <c r="BI167"/>
      <c r="BJ167"/>
      <c r="BK167"/>
      <c r="BL167"/>
    </row>
    <row r="168" spans="1:64" s="351" customFormat="1">
      <c r="A168" s="147" t="s">
        <v>224</v>
      </c>
      <c r="B168" s="553"/>
      <c r="C168" s="554"/>
      <c r="D168" s="552"/>
      <c r="E168" s="552"/>
      <c r="F168" s="552"/>
      <c r="G168" s="553">
        <f>(G167-B167)*100</f>
        <v>-0.20827647808256688</v>
      </c>
      <c r="H168" s="555"/>
      <c r="I168" s="555"/>
      <c r="J168" s="555"/>
      <c r="K168" s="556"/>
      <c r="L168" s="553">
        <f>(L167-G167)*100</f>
        <v>1.3570822837044583E-2</v>
      </c>
      <c r="M168" s="555"/>
      <c r="N168" s="555"/>
      <c r="O168" s="555"/>
      <c r="P168" s="556"/>
      <c r="Q168" s="553">
        <f>(Q167-L167)*100</f>
        <v>0.10083258114310378</v>
      </c>
      <c r="R168" s="555"/>
      <c r="S168" s="555"/>
      <c r="T168" s="555"/>
      <c r="U168" s="556"/>
      <c r="V168" s="553"/>
      <c r="W168" s="945"/>
      <c r="X168" s="555"/>
      <c r="Y168" s="555"/>
      <c r="Z168" s="556"/>
      <c r="AA168" s="553">
        <f>(AA167-Q167)*100</f>
        <v>-0.85232457392365735</v>
      </c>
      <c r="AB168" s="555"/>
      <c r="AC168" s="555"/>
      <c r="AD168" s="555"/>
      <c r="AE168" s="556"/>
      <c r="AF168" s="553">
        <f>(AF167-AA167)*100</f>
        <v>0.10691940802263628</v>
      </c>
      <c r="AG168" s="555"/>
      <c r="AH168" s="555"/>
      <c r="AI168" s="555"/>
      <c r="AJ168" s="556"/>
      <c r="AK168" s="553">
        <f>(AK167-AF167)*100</f>
        <v>0.11853986587594262</v>
      </c>
      <c r="AL168" s="555"/>
      <c r="AM168" s="555"/>
      <c r="AN168" s="555"/>
      <c r="AO168" s="556"/>
      <c r="AP168" s="553">
        <f>(AP167-AK167)*100</f>
        <v>1.1288404790954498E-2</v>
      </c>
      <c r="AQ168" s="168"/>
      <c r="AR168" s="350"/>
      <c r="AS168" s="882"/>
      <c r="AT168" s="882"/>
      <c r="AU168" s="882"/>
      <c r="AV168" s="882"/>
      <c r="AW168" s="882"/>
      <c r="AX168" s="882"/>
      <c r="AY168" s="882"/>
      <c r="AZ168" s="882"/>
      <c r="BA168" s="882"/>
      <c r="BB168" s="882"/>
      <c r="BC168" s="350"/>
      <c r="BG168"/>
      <c r="BH168"/>
      <c r="BI168"/>
      <c r="BJ168"/>
      <c r="BK168"/>
      <c r="BL168"/>
    </row>
    <row r="169" spans="1:64" s="187" customFormat="1" ht="11.25" hidden="1" customHeight="1" outlineLevel="1">
      <c r="A169" s="557" t="s">
        <v>163</v>
      </c>
      <c r="B169" s="559">
        <f t="shared" ref="B169:AA169" si="182">B172/B69</f>
        <v>0.12206514033112306</v>
      </c>
      <c r="C169" s="558">
        <f t="shared" si="182"/>
        <v>0.1170052039617257</v>
      </c>
      <c r="D169" s="558">
        <f t="shared" si="182"/>
        <v>0.12415196743554953</v>
      </c>
      <c r="E169" s="558">
        <f t="shared" si="182"/>
        <v>0.11657467803980599</v>
      </c>
      <c r="F169" s="558">
        <f t="shared" si="182"/>
        <v>0.10572532490340709</v>
      </c>
      <c r="G169" s="559">
        <f t="shared" si="182"/>
        <v>0.11595681373799201</v>
      </c>
      <c r="H169" s="560">
        <f t="shared" si="182"/>
        <v>0.11165211551376764</v>
      </c>
      <c r="I169" s="560">
        <f t="shared" si="182"/>
        <v>0.12133333333333333</v>
      </c>
      <c r="J169" s="560">
        <f t="shared" si="182"/>
        <v>0.11941510966693746</v>
      </c>
      <c r="K169" s="561">
        <f t="shared" si="182"/>
        <v>0.11708613412537126</v>
      </c>
      <c r="L169" s="559">
        <f t="shared" si="182"/>
        <v>0.11739023992165823</v>
      </c>
      <c r="M169" s="560">
        <f t="shared" si="182"/>
        <v>0.11105792245093346</v>
      </c>
      <c r="N169" s="560">
        <f t="shared" si="182"/>
        <v>0.11262745098039216</v>
      </c>
      <c r="O169" s="560">
        <f t="shared" si="182"/>
        <v>0.10311015780603647</v>
      </c>
      <c r="P169" s="561">
        <f t="shared" ref="P169:T169" si="183">P172/P69</f>
        <v>9.3156466686765152E-2</v>
      </c>
      <c r="Q169" s="559">
        <f t="shared" si="183"/>
        <v>0.1048327713831725</v>
      </c>
      <c r="R169" s="560">
        <f t="shared" si="183"/>
        <v>0.11045241809672388</v>
      </c>
      <c r="S169" s="560">
        <f t="shared" si="183"/>
        <v>0.11107678047273289</v>
      </c>
      <c r="T169" s="560">
        <f t="shared" si="183"/>
        <v>0.10153752473740295</v>
      </c>
      <c r="U169" s="561">
        <f t="shared" ref="U169:V169" si="184">U172/U69</f>
        <v>8.3028083028083025E-2</v>
      </c>
      <c r="V169" s="559">
        <f t="shared" si="184"/>
        <v>0.10144593139516997</v>
      </c>
      <c r="W169" s="946">
        <f t="shared" si="182"/>
        <v>0.10360870277778257</v>
      </c>
      <c r="X169" s="560">
        <f t="shared" si="182"/>
        <v>0.10392948688188666</v>
      </c>
      <c r="Y169" s="560">
        <f t="shared" si="182"/>
        <v>9.912904761990117E-2</v>
      </c>
      <c r="Z169" s="561">
        <f t="shared" si="182"/>
        <v>9.9627476179214747E-2</v>
      </c>
      <c r="AA169" s="559">
        <f t="shared" si="182"/>
        <v>0.10136533650279431</v>
      </c>
      <c r="AB169" s="560"/>
      <c r="AC169" s="560"/>
      <c r="AD169" s="560"/>
      <c r="AE169" s="561"/>
      <c r="AF169" s="559">
        <f>AF172/AF69</f>
        <v>0.10478981548297137</v>
      </c>
      <c r="AG169" s="560"/>
      <c r="AH169" s="560"/>
      <c r="AI169" s="560"/>
      <c r="AJ169" s="561"/>
      <c r="AK169" s="559">
        <f>AK172/AK69</f>
        <v>0.10747216523360367</v>
      </c>
      <c r="AL169" s="560"/>
      <c r="AM169" s="560"/>
      <c r="AN169" s="560"/>
      <c r="AO169" s="561"/>
      <c r="AP169" s="559">
        <f>AP172/AP69</f>
        <v>0.10798093416434842</v>
      </c>
      <c r="AQ169" s="185"/>
      <c r="AR169" s="186"/>
      <c r="AS169" s="883"/>
      <c r="AT169" s="883"/>
      <c r="AU169" s="883"/>
      <c r="AV169" s="883"/>
      <c r="AW169" s="883"/>
      <c r="AX169" s="883"/>
      <c r="AY169" s="883"/>
      <c r="AZ169" s="883"/>
      <c r="BA169" s="883"/>
      <c r="BB169" s="883"/>
      <c r="BC169" s="186"/>
      <c r="BG169"/>
      <c r="BH169"/>
      <c r="BI169"/>
      <c r="BJ169"/>
      <c r="BK169"/>
      <c r="BL169"/>
    </row>
    <row r="170" spans="1:64" s="81" customFormat="1" ht="11.25" hidden="1" customHeight="1" outlineLevel="1">
      <c r="A170" s="147" t="s">
        <v>224</v>
      </c>
      <c r="B170" s="149"/>
      <c r="C170" s="148"/>
      <c r="D170" s="148"/>
      <c r="E170" s="148"/>
      <c r="F170" s="148"/>
      <c r="G170" s="149">
        <f>(G169-B169)*100</f>
        <v>-0.61083265931310549</v>
      </c>
      <c r="H170" s="150"/>
      <c r="I170" s="150"/>
      <c r="J170" s="150"/>
      <c r="K170" s="151"/>
      <c r="L170" s="149">
        <f>(L169-G169)*100</f>
        <v>0.14334261836662227</v>
      </c>
      <c r="M170" s="150"/>
      <c r="N170" s="150"/>
      <c r="O170" s="150"/>
      <c r="P170" s="151"/>
      <c r="Q170" s="149">
        <f>(Q169-L169)*100</f>
        <v>-1.255746853848573</v>
      </c>
      <c r="R170" s="150"/>
      <c r="S170" s="150"/>
      <c r="T170" s="150"/>
      <c r="U170" s="151"/>
      <c r="V170" s="149"/>
      <c r="W170" s="947"/>
      <c r="X170" s="150"/>
      <c r="Y170" s="150"/>
      <c r="Z170" s="151"/>
      <c r="AA170" s="149">
        <f>(AA169-Q169)*100</f>
        <v>-0.34674348803781924</v>
      </c>
      <c r="AB170" s="150"/>
      <c r="AC170" s="150"/>
      <c r="AD170" s="150"/>
      <c r="AE170" s="151"/>
      <c r="AF170" s="149">
        <f>(AF169-AA169)*100</f>
        <v>0.34244789801770592</v>
      </c>
      <c r="AG170" s="150"/>
      <c r="AH170" s="150"/>
      <c r="AI170" s="150"/>
      <c r="AJ170" s="151"/>
      <c r="AK170" s="149">
        <f>(AK169-AF169)*100</f>
        <v>0.26823497506323069</v>
      </c>
      <c r="AL170" s="150"/>
      <c r="AM170" s="150"/>
      <c r="AN170" s="150"/>
      <c r="AO170" s="151"/>
      <c r="AP170" s="149">
        <f>(AP169-AK169)*100</f>
        <v>5.0876893074475182E-2</v>
      </c>
      <c r="AQ170" s="98"/>
      <c r="AR170" s="6"/>
      <c r="AS170" s="619"/>
      <c r="AT170" s="619"/>
      <c r="AU170" s="619"/>
      <c r="AV170" s="619"/>
      <c r="AW170" s="619"/>
      <c r="AX170" s="619"/>
      <c r="AY170" s="619"/>
      <c r="AZ170" s="619"/>
      <c r="BA170" s="619"/>
      <c r="BB170" s="619"/>
      <c r="BC170" s="79"/>
      <c r="BG170"/>
      <c r="BH170"/>
      <c r="BI170"/>
      <c r="BJ170"/>
      <c r="BK170"/>
      <c r="BL170"/>
    </row>
    <row r="171" spans="1:64" s="161" customFormat="1" ht="11.25" hidden="1" customHeight="1" outlineLevel="1">
      <c r="A171" s="152" t="s">
        <v>225</v>
      </c>
      <c r="B171" s="154"/>
      <c r="C171" s="153"/>
      <c r="D171" s="153"/>
      <c r="E171" s="153"/>
      <c r="F171" s="153"/>
      <c r="G171" s="154">
        <f>(G172-B172)/(G69-F69)</f>
        <v>-1.1159712875729026E-2</v>
      </c>
      <c r="H171" s="155"/>
      <c r="I171" s="155"/>
      <c r="J171" s="155"/>
      <c r="K171" s="156"/>
      <c r="L171" s="154">
        <f>(L172-G172)/(L69-K69)</f>
        <v>8.2270443376953224E-3</v>
      </c>
      <c r="M171" s="155"/>
      <c r="N171" s="155"/>
      <c r="O171" s="155"/>
      <c r="P171" s="156"/>
      <c r="Q171" s="154">
        <f>(Q172-L172)/(Q69-P69)</f>
        <v>-8.9728207000886843E-3</v>
      </c>
      <c r="R171" s="155"/>
      <c r="S171" s="155"/>
      <c r="T171" s="155"/>
      <c r="U171" s="156"/>
      <c r="V171" s="154"/>
      <c r="W171" s="948"/>
      <c r="X171" s="155"/>
      <c r="Y171" s="155"/>
      <c r="Z171" s="156"/>
      <c r="AA171" s="154">
        <f>(AA172-Q172)/(AA69-Z69)</f>
        <v>1.2277571996447918E-2</v>
      </c>
      <c r="AB171" s="155"/>
      <c r="AC171" s="155"/>
      <c r="AD171" s="155"/>
      <c r="AE171" s="156"/>
      <c r="AF171" s="154">
        <f>(AF172-AA172)/(AF69-AE69)</f>
        <v>1.7165312057896034E-2</v>
      </c>
      <c r="AG171" s="155"/>
      <c r="AH171" s="155"/>
      <c r="AI171" s="155"/>
      <c r="AJ171" s="156"/>
      <c r="AK171" s="154">
        <f>(AK172-AF172)/(AK69-AJ69)</f>
        <v>9.8740675695225717E-3</v>
      </c>
      <c r="AL171" s="155"/>
      <c r="AM171" s="155"/>
      <c r="AN171" s="155"/>
      <c r="AO171" s="156"/>
      <c r="AP171" s="154">
        <f>(AP172-AK172)/(AP69-AO69)</f>
        <v>6.3195735892225711E-3</v>
      </c>
      <c r="AQ171" s="157"/>
      <c r="AR171" s="158"/>
      <c r="AS171" s="159"/>
      <c r="AT171" s="159"/>
      <c r="AU171" s="159"/>
      <c r="AV171" s="159"/>
      <c r="AW171" s="159"/>
      <c r="AX171" s="159"/>
      <c r="AY171" s="159"/>
      <c r="AZ171" s="159"/>
      <c r="BA171" s="159"/>
      <c r="BB171" s="159"/>
      <c r="BC171" s="160"/>
      <c r="BG171"/>
      <c r="BH171"/>
      <c r="BI171"/>
      <c r="BJ171"/>
      <c r="BK171"/>
      <c r="BL171"/>
    </row>
    <row r="172" spans="1:64" s="528" customFormat="1" ht="11.25" hidden="1" customHeight="1" outlineLevel="1">
      <c r="A172" s="562" t="s">
        <v>168</v>
      </c>
      <c r="B172" s="99">
        <f t="shared" ref="B172:X172" si="185">B102+B115+B128+B141+B143+B144+B153</f>
        <v>2927</v>
      </c>
      <c r="C172" s="164">
        <f t="shared" si="185"/>
        <v>697</v>
      </c>
      <c r="D172" s="164">
        <f t="shared" si="185"/>
        <v>732</v>
      </c>
      <c r="E172" s="164">
        <f t="shared" si="185"/>
        <v>697</v>
      </c>
      <c r="F172" s="164">
        <f t="shared" si="185"/>
        <v>602</v>
      </c>
      <c r="G172" s="99">
        <f t="shared" si="185"/>
        <v>2728</v>
      </c>
      <c r="H172" s="166">
        <f t="shared" si="185"/>
        <v>665</v>
      </c>
      <c r="I172" s="166">
        <f t="shared" si="185"/>
        <v>728</v>
      </c>
      <c r="J172" s="166">
        <f t="shared" si="185"/>
        <v>735</v>
      </c>
      <c r="K172" s="167">
        <f t="shared" si="185"/>
        <v>749</v>
      </c>
      <c r="L172" s="165">
        <f t="shared" si="185"/>
        <v>2877</v>
      </c>
      <c r="M172" s="166">
        <f t="shared" si="185"/>
        <v>696</v>
      </c>
      <c r="N172" s="166">
        <f t="shared" si="185"/>
        <v>718</v>
      </c>
      <c r="O172" s="166">
        <f t="shared" si="185"/>
        <v>673</v>
      </c>
      <c r="P172" s="167">
        <f t="shared" ref="P172:T172" si="186">P102+P115+P128+P141+P143+P144+P153</f>
        <v>618</v>
      </c>
      <c r="Q172" s="165">
        <f t="shared" si="186"/>
        <v>2705</v>
      </c>
      <c r="R172" s="166">
        <f t="shared" si="186"/>
        <v>708</v>
      </c>
      <c r="S172" s="166">
        <f t="shared" si="186"/>
        <v>719</v>
      </c>
      <c r="T172" s="166">
        <f t="shared" si="186"/>
        <v>667</v>
      </c>
      <c r="U172" s="167">
        <f t="shared" ref="U172" si="187">U102+U115+U128+U141+U143+U144+U153</f>
        <v>544</v>
      </c>
      <c r="V172" s="165">
        <f>V102+V115+V128+V141+V143+V144+V153</f>
        <v>2638</v>
      </c>
      <c r="W172" s="932">
        <f t="shared" si="185"/>
        <v>683.33659999999998</v>
      </c>
      <c r="X172" s="166">
        <f t="shared" si="185"/>
        <v>690.53269999999998</v>
      </c>
      <c r="Y172" s="166">
        <f>Y102+Y115+Y128+Y141+Y143+Y144+Y153</f>
        <v>794.02074999999991</v>
      </c>
      <c r="Z172" s="167">
        <f t="shared" ref="Z172:AA172" si="188">Z102+Z115+Z128+Z141+Z143+Z144+Z153</f>
        <v>798.00310000000002</v>
      </c>
      <c r="AA172" s="165">
        <f t="shared" si="188"/>
        <v>2965.8931500000003</v>
      </c>
      <c r="AB172" s="166"/>
      <c r="AC172" s="166"/>
      <c r="AD172" s="166"/>
      <c r="AE172" s="167"/>
      <c r="AF172" s="165">
        <f>AF102+AF115+AF128+AF141+AF143+AF144+AF153</f>
        <v>3546.9005105000006</v>
      </c>
      <c r="AG172" s="166"/>
      <c r="AH172" s="166"/>
      <c r="AI172" s="166"/>
      <c r="AJ172" s="167"/>
      <c r="AK172" s="165">
        <f>AK102+AK115+AK128+AK141+AK143+AK144+AK153</f>
        <v>3905.742907445001</v>
      </c>
      <c r="AL172" s="166"/>
      <c r="AM172" s="166"/>
      <c r="AN172" s="166"/>
      <c r="AO172" s="167"/>
      <c r="AP172" s="165">
        <f>AP102+AP115+AP128+AP141+AP143+AP144+AP153</f>
        <v>4148.5355435512511</v>
      </c>
      <c r="AQ172" s="526"/>
      <c r="AR172" s="527"/>
      <c r="AS172" s="621"/>
      <c r="AT172" s="621"/>
      <c r="AU172" s="621"/>
      <c r="AV172" s="621"/>
      <c r="AW172" s="621"/>
      <c r="AX172" s="621"/>
      <c r="AY172" s="621"/>
      <c r="AZ172" s="621"/>
      <c r="BA172" s="621"/>
      <c r="BB172" s="621"/>
      <c r="BC172" s="527"/>
      <c r="BG172"/>
      <c r="BH172"/>
      <c r="BI172"/>
      <c r="BJ172"/>
      <c r="BK172"/>
      <c r="BL172"/>
    </row>
    <row r="173" spans="1:64" s="81" customFormat="1" ht="11.25" hidden="1" customHeight="1" outlineLevel="1">
      <c r="A173" s="22" t="s">
        <v>204</v>
      </c>
      <c r="B173" s="25"/>
      <c r="C173" s="73"/>
      <c r="D173" s="73"/>
      <c r="E173" s="73"/>
      <c r="F173" s="73"/>
      <c r="G173" s="25">
        <f t="shared" ref="G173:O173" si="189">G172/B172-1</f>
        <v>-6.7987700717458188E-2</v>
      </c>
      <c r="H173" s="789">
        <f t="shared" si="189"/>
        <v>-4.5911047345767564E-2</v>
      </c>
      <c r="I173" s="789">
        <f t="shared" si="189"/>
        <v>-5.464480874316946E-3</v>
      </c>
      <c r="J173" s="789">
        <f t="shared" si="189"/>
        <v>5.4519368723098927E-2</v>
      </c>
      <c r="K173" s="790">
        <f t="shared" si="189"/>
        <v>0.2441860465116279</v>
      </c>
      <c r="L173" s="25">
        <f t="shared" si="189"/>
        <v>5.461876832844581E-2</v>
      </c>
      <c r="M173" s="789">
        <f t="shared" si="189"/>
        <v>4.6616541353383445E-2</v>
      </c>
      <c r="N173" s="789">
        <f t="shared" si="189"/>
        <v>-1.3736263736263687E-2</v>
      </c>
      <c r="O173" s="789">
        <f t="shared" si="189"/>
        <v>-8.4353741496598689E-2</v>
      </c>
      <c r="P173" s="790">
        <f t="shared" ref="P173" si="190">P172/K172-1</f>
        <v>-0.17489986648865152</v>
      </c>
      <c r="Q173" s="25">
        <f t="shared" ref="Q173" si="191">Q172/L172-1</f>
        <v>-5.9784497740702158E-2</v>
      </c>
      <c r="R173" s="789"/>
      <c r="S173" s="789"/>
      <c r="T173" s="789"/>
      <c r="U173" s="790"/>
      <c r="V173" s="25"/>
      <c r="W173" s="949">
        <f>W172/R172-1</f>
        <v>-3.4835310734463332E-2</v>
      </c>
      <c r="X173" s="789">
        <f t="shared" ref="X173:AA173" si="192">X172/S172-1</f>
        <v>-3.9592906815020923E-2</v>
      </c>
      <c r="Y173" s="789">
        <f t="shared" si="192"/>
        <v>0.19043590704647673</v>
      </c>
      <c r="Z173" s="790">
        <f t="shared" si="192"/>
        <v>0.46691746323529415</v>
      </c>
      <c r="AA173" s="25">
        <f t="shared" si="192"/>
        <v>0.12429611448066735</v>
      </c>
      <c r="AB173" s="26"/>
      <c r="AC173" s="26"/>
      <c r="AD173" s="26"/>
      <c r="AE173" s="76"/>
      <c r="AF173" s="25">
        <f>AF172/AA172-1</f>
        <v>0.19589625489374085</v>
      </c>
      <c r="AG173" s="26"/>
      <c r="AH173" s="26"/>
      <c r="AI173" s="26"/>
      <c r="AJ173" s="76"/>
      <c r="AK173" s="25">
        <f>AK172/AF172-1</f>
        <v>0.10117069703046599</v>
      </c>
      <c r="AL173" s="26"/>
      <c r="AM173" s="26"/>
      <c r="AN173" s="26"/>
      <c r="AO173" s="76"/>
      <c r="AP173" s="25">
        <f>AP172/AK172-1</f>
        <v>6.2162984574188673E-2</v>
      </c>
      <c r="AQ173" s="77"/>
      <c r="AR173" s="6"/>
      <c r="AS173" s="619"/>
      <c r="AT173" s="619"/>
      <c r="AU173" s="619"/>
      <c r="AV173" s="619"/>
      <c r="AW173" s="619"/>
      <c r="AX173" s="619"/>
      <c r="AY173" s="619"/>
      <c r="AZ173" s="619"/>
      <c r="BA173" s="619"/>
      <c r="BB173" s="619"/>
      <c r="BC173" s="79"/>
      <c r="BG173"/>
      <c r="BH173"/>
      <c r="BI173"/>
      <c r="BJ173"/>
      <c r="BK173"/>
      <c r="BL173"/>
    </row>
    <row r="174" spans="1:64" s="351" customFormat="1" ht="11.25" hidden="1" customHeight="1" outlineLevel="1">
      <c r="A174" s="496" t="s">
        <v>191</v>
      </c>
      <c r="B174" s="498">
        <f t="shared" ref="B174:AA174" si="193">(B172-B162)/B69</f>
        <v>9.4374244130280657E-2</v>
      </c>
      <c r="C174" s="551">
        <f t="shared" si="193"/>
        <v>8.5613563874433446E-2</v>
      </c>
      <c r="D174" s="499">
        <f t="shared" si="193"/>
        <v>9.6675712347354142E-2</v>
      </c>
      <c r="E174" s="499">
        <f t="shared" si="193"/>
        <v>9.784244856999498E-2</v>
      </c>
      <c r="F174" s="499">
        <f t="shared" si="193"/>
        <v>8.4826132771338256E-2</v>
      </c>
      <c r="G174" s="498">
        <f t="shared" si="193"/>
        <v>9.1303238969650605E-2</v>
      </c>
      <c r="H174" s="500">
        <f t="shared" si="193"/>
        <v>8.9993284083277364E-2</v>
      </c>
      <c r="I174" s="500">
        <f t="shared" si="193"/>
        <v>9.8500000000000004E-2</v>
      </c>
      <c r="J174" s="500">
        <f t="shared" si="193"/>
        <v>9.9756295694557268E-2</v>
      </c>
      <c r="K174" s="501">
        <f t="shared" si="193"/>
        <v>0.10035954353603252</v>
      </c>
      <c r="L174" s="498">
        <f t="shared" si="193"/>
        <v>9.7233556389750286E-2</v>
      </c>
      <c r="M174" s="500">
        <f t="shared" si="193"/>
        <v>9.2707834689644164E-2</v>
      </c>
      <c r="N174" s="500">
        <f t="shared" si="193"/>
        <v>9.7254901960784318E-2</v>
      </c>
      <c r="O174" s="500">
        <f t="shared" si="193"/>
        <v>8.7482763903784275E-2</v>
      </c>
      <c r="P174" s="501">
        <f t="shared" ref="P174:Q174" si="194">(P172-P162)/P69</f>
        <v>8.5921012963521254E-2</v>
      </c>
      <c r="Q174" s="498">
        <f t="shared" si="194"/>
        <v>9.0764639770569311E-2</v>
      </c>
      <c r="R174" s="500"/>
      <c r="S174" s="500"/>
      <c r="T174" s="500"/>
      <c r="U174" s="501"/>
      <c r="V174" s="498"/>
      <c r="W174" s="950">
        <f t="shared" si="193"/>
        <v>8.3818816714627778E-2</v>
      </c>
      <c r="X174" s="500">
        <f t="shared" si="193"/>
        <v>8.4095664572893469E-2</v>
      </c>
      <c r="Y174" s="500">
        <f t="shared" si="193"/>
        <v>7.9869784343948785E-2</v>
      </c>
      <c r="Z174" s="501">
        <f t="shared" si="193"/>
        <v>8.028096383442887E-2</v>
      </c>
      <c r="AA174" s="498">
        <f t="shared" si="193"/>
        <v>8.1832110003017627E-2</v>
      </c>
      <c r="AB174" s="500"/>
      <c r="AC174" s="500"/>
      <c r="AD174" s="500"/>
      <c r="AE174" s="501"/>
      <c r="AF174" s="498">
        <f>(AF172-AF162)/AF69</f>
        <v>8.5029790238904251E-2</v>
      </c>
      <c r="AG174" s="500"/>
      <c r="AH174" s="500"/>
      <c r="AI174" s="500"/>
      <c r="AJ174" s="501"/>
      <c r="AK174" s="498">
        <f>(AK172-AK162)/AK69</f>
        <v>8.7460691789193634E-2</v>
      </c>
      <c r="AL174" s="500"/>
      <c r="AM174" s="500"/>
      <c r="AN174" s="500"/>
      <c r="AO174" s="501"/>
      <c r="AP174" s="498">
        <f>(AP172-AP162)/AP69</f>
        <v>8.7945515618866668E-2</v>
      </c>
      <c r="AQ174" s="168"/>
      <c r="AR174" s="350"/>
      <c r="AS174" s="882"/>
      <c r="AT174" s="882"/>
      <c r="AU174" s="882"/>
      <c r="AV174" s="882"/>
      <c r="AW174" s="882"/>
      <c r="AX174" s="882"/>
      <c r="AY174" s="882"/>
      <c r="AZ174" s="882"/>
      <c r="BA174" s="882"/>
      <c r="BB174" s="882"/>
      <c r="BC174" s="350"/>
      <c r="BG174"/>
      <c r="BH174"/>
      <c r="BI174"/>
      <c r="BJ174"/>
      <c r="BK174"/>
      <c r="BL174"/>
    </row>
    <row r="175" spans="1:64" s="351" customFormat="1" ht="11.25" hidden="1" customHeight="1" outlineLevel="1">
      <c r="A175" s="147" t="s">
        <v>224</v>
      </c>
      <c r="B175" s="553"/>
      <c r="C175" s="554"/>
      <c r="D175" s="552"/>
      <c r="E175" s="552"/>
      <c r="F175" s="552"/>
      <c r="G175" s="786">
        <f t="shared" ref="G175:O175" si="195">(G174-B174)*100</f>
        <v>-0.30710051606300526</v>
      </c>
      <c r="H175" s="787">
        <f t="shared" si="195"/>
        <v>0.4379720208843918</v>
      </c>
      <c r="I175" s="787">
        <f t="shared" si="195"/>
        <v>0.18242876526458618</v>
      </c>
      <c r="J175" s="787">
        <f t="shared" si="195"/>
        <v>0.19138471245622873</v>
      </c>
      <c r="K175" s="788">
        <f t="shared" si="195"/>
        <v>1.5533410764694264</v>
      </c>
      <c r="L175" s="786">
        <f t="shared" si="195"/>
        <v>0.59303174200996822</v>
      </c>
      <c r="M175" s="787">
        <f t="shared" si="195"/>
        <v>0.27145506063668001</v>
      </c>
      <c r="N175" s="787">
        <f t="shared" si="195"/>
        <v>-0.12450980392156863</v>
      </c>
      <c r="O175" s="787">
        <f t="shared" si="195"/>
        <v>-1.2273531790772993</v>
      </c>
      <c r="P175" s="788">
        <f t="shared" ref="P175" si="196">(P174-K174)*100</f>
        <v>-1.4438530572511266</v>
      </c>
      <c r="Q175" s="786">
        <f t="shared" ref="Q175" si="197">(Q174-L174)*100</f>
        <v>-0.64689166191809755</v>
      </c>
      <c r="R175" s="787"/>
      <c r="S175" s="787"/>
      <c r="T175" s="787"/>
      <c r="U175" s="788"/>
      <c r="V175" s="786"/>
      <c r="W175" s="951"/>
      <c r="X175" s="787"/>
      <c r="Y175" s="787"/>
      <c r="Z175" s="788"/>
      <c r="AA175" s="786"/>
      <c r="AB175" s="787"/>
      <c r="AC175" s="787"/>
      <c r="AD175" s="787"/>
      <c r="AE175" s="788"/>
      <c r="AF175" s="786">
        <f>(AF174-AA174)*100</f>
        <v>0.31976802358866241</v>
      </c>
      <c r="AG175" s="787"/>
      <c r="AH175" s="787"/>
      <c r="AI175" s="787"/>
      <c r="AJ175" s="788"/>
      <c r="AK175" s="786">
        <f>(AK174-AF174)*100</f>
        <v>0.24309015502893827</v>
      </c>
      <c r="AL175" s="787"/>
      <c r="AM175" s="787"/>
      <c r="AN175" s="787"/>
      <c r="AO175" s="788"/>
      <c r="AP175" s="786">
        <f>(AP174-AK174)*100</f>
        <v>4.8482382967303395E-2</v>
      </c>
      <c r="AQ175" s="168"/>
      <c r="AR175" s="350"/>
      <c r="AS175" s="882"/>
      <c r="AT175" s="882"/>
      <c r="AU175" s="882"/>
      <c r="AV175" s="882"/>
      <c r="AW175" s="882"/>
      <c r="AX175" s="882"/>
      <c r="AY175" s="882"/>
      <c r="AZ175" s="882"/>
      <c r="BA175" s="882"/>
      <c r="BB175" s="882"/>
      <c r="BC175" s="350"/>
      <c r="BG175"/>
      <c r="BH175"/>
      <c r="BI175"/>
      <c r="BJ175"/>
      <c r="BK175"/>
      <c r="BL175"/>
    </row>
    <row r="176" spans="1:64" s="146" customFormat="1" collapsed="1">
      <c r="A176" s="137" t="s">
        <v>235</v>
      </c>
      <c r="B176" s="138">
        <f t="shared" ref="B176:AA176" si="198">B178/B69</f>
        <v>0.13328328954501856</v>
      </c>
      <c r="C176" s="139">
        <f t="shared" si="198"/>
        <v>0.13093839180795702</v>
      </c>
      <c r="D176" s="139">
        <f t="shared" si="198"/>
        <v>0.13789009497964722</v>
      </c>
      <c r="E176" s="139">
        <f t="shared" si="198"/>
        <v>0.13279812677705302</v>
      </c>
      <c r="F176" s="139">
        <f t="shared" si="198"/>
        <v>0.12100456621004566</v>
      </c>
      <c r="G176" s="138">
        <f t="shared" si="198"/>
        <v>0.13074895859899685</v>
      </c>
      <c r="H176" s="139">
        <f t="shared" si="198"/>
        <v>0.12407656145063801</v>
      </c>
      <c r="I176" s="139">
        <f t="shared" si="198"/>
        <v>0.13283333333333333</v>
      </c>
      <c r="J176" s="139">
        <f t="shared" si="198"/>
        <v>0.13419983753046305</v>
      </c>
      <c r="K176" s="141">
        <f t="shared" si="198"/>
        <v>0.12990464280131311</v>
      </c>
      <c r="L176" s="138">
        <f t="shared" si="198"/>
        <v>0.13028398890158316</v>
      </c>
      <c r="M176" s="139">
        <f t="shared" si="198"/>
        <v>0.13275889580341471</v>
      </c>
      <c r="N176" s="139">
        <f t="shared" si="198"/>
        <v>0.13411764705882354</v>
      </c>
      <c r="O176" s="139">
        <f t="shared" si="198"/>
        <v>0.12946223379806956</v>
      </c>
      <c r="P176" s="141">
        <f t="shared" ref="P176:T176" si="199">P178/P69</f>
        <v>0.11561652095266807</v>
      </c>
      <c r="Q176" s="138">
        <f t="shared" si="199"/>
        <v>0.12785335038561407</v>
      </c>
      <c r="R176" s="139">
        <f t="shared" si="199"/>
        <v>0.1344773790951638</v>
      </c>
      <c r="S176" s="139">
        <f t="shared" si="199"/>
        <v>0.13486791286883978</v>
      </c>
      <c r="T176" s="139">
        <f t="shared" si="199"/>
        <v>0.127416653980819</v>
      </c>
      <c r="U176" s="141">
        <f t="shared" ref="U176:V176" si="200">U178/U69</f>
        <v>0.10744810744810745</v>
      </c>
      <c r="V176" s="138">
        <f t="shared" si="200"/>
        <v>0.12598061836640517</v>
      </c>
      <c r="W176" s="927">
        <f t="shared" si="198"/>
        <v>0.12104520598783308</v>
      </c>
      <c r="X176" s="139">
        <f t="shared" si="198"/>
        <v>0.12123770558234352</v>
      </c>
      <c r="Y176" s="139">
        <f t="shared" si="198"/>
        <v>0.11660726423676686</v>
      </c>
      <c r="Z176" s="141">
        <f t="shared" si="198"/>
        <v>0.11710591287337052</v>
      </c>
      <c r="AA176" s="138">
        <f t="shared" si="198"/>
        <v>0.11879560758873181</v>
      </c>
      <c r="AB176" s="139"/>
      <c r="AC176" s="139"/>
      <c r="AD176" s="139"/>
      <c r="AE176" s="141"/>
      <c r="AF176" s="138">
        <f>AF178/AF69</f>
        <v>0.11867552023595122</v>
      </c>
      <c r="AG176" s="139"/>
      <c r="AH176" s="139"/>
      <c r="AI176" s="139"/>
      <c r="AJ176" s="141"/>
      <c r="AK176" s="138">
        <f>AK178/AK69</f>
        <v>0.11270029004321705</v>
      </c>
      <c r="AL176" s="139"/>
      <c r="AM176" s="139"/>
      <c r="AN176" s="139"/>
      <c r="AO176" s="141"/>
      <c r="AP176" s="138">
        <f>AP178/AP69</f>
        <v>0.11344695848460819</v>
      </c>
      <c r="AQ176" s="144"/>
      <c r="AR176" s="145"/>
      <c r="AS176" s="664" t="s">
        <v>383</v>
      </c>
      <c r="AT176" s="619"/>
      <c r="AU176" s="619"/>
      <c r="AV176" s="619"/>
      <c r="AW176" s="619"/>
      <c r="AX176" s="619"/>
      <c r="AY176" s="619"/>
      <c r="AZ176" s="619"/>
      <c r="BA176" s="619"/>
      <c r="BB176" s="619"/>
      <c r="BC176" s="145"/>
      <c r="BG176"/>
      <c r="BH176"/>
      <c r="BI176"/>
      <c r="BJ176"/>
      <c r="BK176"/>
      <c r="BL176"/>
    </row>
    <row r="177" spans="1:64" s="81" customFormat="1" ht="11.25" customHeight="1">
      <c r="A177" s="147" t="s">
        <v>224</v>
      </c>
      <c r="B177" s="149"/>
      <c r="C177" s="148"/>
      <c r="D177" s="148"/>
      <c r="E177" s="148"/>
      <c r="F177" s="148"/>
      <c r="G177" s="149">
        <f t="shared" ref="G177:O177" si="201">(G176-B176)*100</f>
        <v>-0.25343309460217067</v>
      </c>
      <c r="H177" s="148">
        <f t="shared" si="201"/>
        <v>-0.68618303573190076</v>
      </c>
      <c r="I177" s="148">
        <f t="shared" si="201"/>
        <v>-0.50567616463138843</v>
      </c>
      <c r="J177" s="148">
        <f t="shared" si="201"/>
        <v>0.14017107534100293</v>
      </c>
      <c r="K177" s="148">
        <f t="shared" si="201"/>
        <v>0.89000765912674584</v>
      </c>
      <c r="L177" s="149">
        <f t="shared" si="201"/>
        <v>-4.6496969741369187E-2</v>
      </c>
      <c r="M177" s="148">
        <f t="shared" si="201"/>
        <v>0.86823343527766972</v>
      </c>
      <c r="N177" s="148">
        <f t="shared" si="201"/>
        <v>0.12843137254902048</v>
      </c>
      <c r="O177" s="148">
        <f t="shared" si="201"/>
        <v>-0.47376037323934861</v>
      </c>
      <c r="P177" s="148">
        <f t="shared" ref="P177" si="202">(P176-K176)*100</f>
        <v>-1.4288121848645043</v>
      </c>
      <c r="Q177" s="149">
        <f t="shared" ref="Q177" si="203">(Q176-L176)*100</f>
        <v>-0.24306385159690858</v>
      </c>
      <c r="R177" s="148"/>
      <c r="S177" s="148"/>
      <c r="T177" s="148"/>
      <c r="U177" s="148"/>
      <c r="V177" s="149"/>
      <c r="W177" s="928">
        <f>(W176-R176)*100</f>
        <v>-1.3432173107330718</v>
      </c>
      <c r="X177" s="148">
        <f t="shared" ref="X177:AA177" si="204">(X176-S176)*100</f>
        <v>-1.3630207286496263</v>
      </c>
      <c r="Y177" s="148">
        <f t="shared" si="204"/>
        <v>-1.0809389744052142</v>
      </c>
      <c r="Z177" s="929">
        <f t="shared" si="204"/>
        <v>0.96578054252630663</v>
      </c>
      <c r="AA177" s="149">
        <f t="shared" si="204"/>
        <v>-0.71850107776733618</v>
      </c>
      <c r="AB177" s="150"/>
      <c r="AC177" s="150"/>
      <c r="AD177" s="150"/>
      <c r="AE177" s="151"/>
      <c r="AF177" s="149">
        <f>(AF176-AA176)*100</f>
        <v>-1.2008735278058735E-2</v>
      </c>
      <c r="AG177" s="150"/>
      <c r="AH177" s="150"/>
      <c r="AI177" s="150"/>
      <c r="AJ177" s="151"/>
      <c r="AK177" s="149">
        <f>(AK176-AF176)*100</f>
        <v>-0.59752301927341733</v>
      </c>
      <c r="AL177" s="150"/>
      <c r="AM177" s="150"/>
      <c r="AN177" s="150"/>
      <c r="AO177" s="151"/>
      <c r="AP177" s="149">
        <f>(AP176-AK176)*100</f>
        <v>7.4666844139113786E-2</v>
      </c>
      <c r="AQ177" s="98"/>
      <c r="AR177" s="6"/>
      <c r="AS177" s="304"/>
      <c r="AT177" s="619"/>
      <c r="AU177" s="619"/>
      <c r="AV177" s="619"/>
      <c r="AW177" s="619"/>
      <c r="AX177" s="619"/>
      <c r="AY177" s="619"/>
      <c r="AZ177" s="619"/>
      <c r="BA177" s="619"/>
      <c r="BB177" s="619"/>
      <c r="BC177" s="79"/>
      <c r="BG177"/>
      <c r="BH177"/>
      <c r="BI177"/>
      <c r="BJ177"/>
      <c r="BK177"/>
      <c r="BL177"/>
    </row>
    <row r="178" spans="1:64" s="146" customFormat="1">
      <c r="A178" s="193" t="s">
        <v>160</v>
      </c>
      <c r="B178" s="165">
        <f t="shared" ref="B178:N178" si="205">B160+B191+B153-B154</f>
        <v>3196</v>
      </c>
      <c r="C178" s="164">
        <f t="shared" si="205"/>
        <v>780</v>
      </c>
      <c r="D178" s="164">
        <f t="shared" si="205"/>
        <v>813</v>
      </c>
      <c r="E178" s="164">
        <f t="shared" si="205"/>
        <v>794</v>
      </c>
      <c r="F178" s="164">
        <f t="shared" si="205"/>
        <v>689</v>
      </c>
      <c r="G178" s="165">
        <f>G160+G191+G153-G154</f>
        <v>3076</v>
      </c>
      <c r="H178" s="166">
        <f t="shared" si="205"/>
        <v>739</v>
      </c>
      <c r="I178" s="166">
        <f t="shared" si="205"/>
        <v>797</v>
      </c>
      <c r="J178" s="166">
        <f t="shared" si="205"/>
        <v>826</v>
      </c>
      <c r="K178" s="167">
        <f t="shared" si="205"/>
        <v>831</v>
      </c>
      <c r="L178" s="165">
        <f t="shared" si="205"/>
        <v>3193</v>
      </c>
      <c r="M178" s="166">
        <f t="shared" si="205"/>
        <v>832</v>
      </c>
      <c r="N178" s="166">
        <f t="shared" si="205"/>
        <v>855</v>
      </c>
      <c r="O178" s="166">
        <f t="shared" ref="O178:S178" si="206">O160+O191+O153-O154</f>
        <v>845</v>
      </c>
      <c r="P178" s="167">
        <f t="shared" si="206"/>
        <v>767</v>
      </c>
      <c r="Q178" s="165">
        <f t="shared" si="206"/>
        <v>3299</v>
      </c>
      <c r="R178" s="166">
        <f t="shared" si="206"/>
        <v>862</v>
      </c>
      <c r="S178" s="166">
        <f t="shared" si="206"/>
        <v>873</v>
      </c>
      <c r="T178" s="166">
        <f t="shared" ref="T178:U178" si="207">T160+T191+T153-T154</f>
        <v>837</v>
      </c>
      <c r="U178" s="167">
        <f t="shared" si="207"/>
        <v>704</v>
      </c>
      <c r="V178" s="165">
        <f>V160+V191+V153-V154</f>
        <v>3276</v>
      </c>
      <c r="W178" s="932">
        <f t="shared" ref="W178:Z178" si="208">W160+W191+W153-W154</f>
        <v>798.33659999999998</v>
      </c>
      <c r="X178" s="166">
        <f t="shared" si="208"/>
        <v>805.53269999999998</v>
      </c>
      <c r="Y178" s="166">
        <f t="shared" si="208"/>
        <v>934.02074999999991</v>
      </c>
      <c r="Z178" s="167">
        <f t="shared" si="208"/>
        <v>938.0030999999999</v>
      </c>
      <c r="AA178" s="99">
        <f>AA160+AA191+AA153-AA154</f>
        <v>3475.8931500000003</v>
      </c>
      <c r="AB178" s="166"/>
      <c r="AC178" s="166"/>
      <c r="AD178" s="166"/>
      <c r="AE178" s="167"/>
      <c r="AF178" s="165">
        <f>AF160+AF191+AF153-AF154</f>
        <v>4016.9005105000006</v>
      </c>
      <c r="AG178" s="166"/>
      <c r="AH178" s="166"/>
      <c r="AI178" s="166"/>
      <c r="AJ178" s="167"/>
      <c r="AK178" s="165">
        <f>AK160+AK191+AK153-AK154</f>
        <v>4095.742907445001</v>
      </c>
      <c r="AL178" s="166"/>
      <c r="AM178" s="166"/>
      <c r="AN178" s="166"/>
      <c r="AO178" s="167"/>
      <c r="AP178" s="165">
        <f>AP160+AP191+AP153-AP154</f>
        <v>4358.5355435512511</v>
      </c>
      <c r="AQ178" s="144"/>
      <c r="AR178" s="145"/>
      <c r="AS178" s="664" t="s">
        <v>392</v>
      </c>
      <c r="AT178" s="619"/>
      <c r="AU178" s="619"/>
      <c r="AV178" s="619"/>
      <c r="AW178" s="1069"/>
      <c r="AX178" s="1070" t="s">
        <v>393</v>
      </c>
      <c r="AY178" s="1080">
        <f>AA178-AA141-AA143-AA144</f>
        <v>3243.3931500000003</v>
      </c>
      <c r="AZ178" s="619"/>
      <c r="BA178" s="619"/>
      <c r="BB178" s="619"/>
      <c r="BC178" s="145"/>
      <c r="BG178"/>
      <c r="BH178"/>
      <c r="BI178"/>
      <c r="BJ178"/>
      <c r="BK178"/>
      <c r="BL178"/>
    </row>
    <row r="179" spans="1:64">
      <c r="A179" s="194" t="s">
        <v>204</v>
      </c>
      <c r="B179" s="25"/>
      <c r="C179" s="73"/>
      <c r="D179" s="73"/>
      <c r="E179" s="73"/>
      <c r="F179" s="73"/>
      <c r="G179" s="25">
        <f t="shared" ref="G179:O179" si="209">G178/B178-1</f>
        <v>-3.7546933667083837E-2</v>
      </c>
      <c r="H179" s="73">
        <f t="shared" si="209"/>
        <v>-5.2564102564102599E-2</v>
      </c>
      <c r="I179" s="73">
        <f t="shared" si="209"/>
        <v>-1.9680196801967975E-2</v>
      </c>
      <c r="J179" s="73">
        <f t="shared" si="209"/>
        <v>4.0302267002518821E-2</v>
      </c>
      <c r="K179" s="73">
        <f t="shared" si="209"/>
        <v>0.20609579100145137</v>
      </c>
      <c r="L179" s="25">
        <f t="shared" si="209"/>
        <v>3.803641092327692E-2</v>
      </c>
      <c r="M179" s="73">
        <f t="shared" si="209"/>
        <v>0.12584573748308525</v>
      </c>
      <c r="N179" s="73">
        <f t="shared" si="209"/>
        <v>7.2772898368883343E-2</v>
      </c>
      <c r="O179" s="73">
        <f t="shared" si="209"/>
        <v>2.300242130750596E-2</v>
      </c>
      <c r="P179" s="73">
        <f t="shared" ref="P179" si="210">P178/K178-1</f>
        <v>-7.701564380264736E-2</v>
      </c>
      <c r="Q179" s="25">
        <f t="shared" ref="Q179" si="211">Q178/L178-1</f>
        <v>3.3197619793297939E-2</v>
      </c>
      <c r="R179" s="73"/>
      <c r="S179" s="73"/>
      <c r="T179" s="73"/>
      <c r="U179" s="73"/>
      <c r="V179" s="25"/>
      <c r="W179" s="933">
        <f>W178/R178-1</f>
        <v>-7.3855452436194957E-2</v>
      </c>
      <c r="X179" s="73">
        <f t="shared" ref="X179:AA179" si="212">X178/S178-1</f>
        <v>-7.7282130584192421E-2</v>
      </c>
      <c r="Y179" s="73">
        <f t="shared" si="212"/>
        <v>0.11591487455197114</v>
      </c>
      <c r="Z179" s="75">
        <f t="shared" si="212"/>
        <v>0.33239076704545445</v>
      </c>
      <c r="AA179" s="25">
        <f t="shared" si="212"/>
        <v>6.1017445054945219E-2</v>
      </c>
      <c r="AB179" s="26"/>
      <c r="AC179" s="26"/>
      <c r="AD179" s="26"/>
      <c r="AE179" s="76"/>
      <c r="AF179" s="25">
        <f>AF178/AA178-1</f>
        <v>0.15564556709690569</v>
      </c>
      <c r="AG179" s="26"/>
      <c r="AH179" s="26"/>
      <c r="AI179" s="26"/>
      <c r="AJ179" s="76"/>
      <c r="AK179" s="25">
        <f>AK178/AF178-1</f>
        <v>1.9627669826252747E-2</v>
      </c>
      <c r="AL179" s="26"/>
      <c r="AM179" s="26"/>
      <c r="AN179" s="26"/>
      <c r="AO179" s="76"/>
      <c r="AP179" s="25">
        <f>AP178/AK178-1</f>
        <v>6.416238568796917E-2</v>
      </c>
      <c r="AQ179" s="195"/>
      <c r="AR179" s="7"/>
      <c r="AS179" s="664"/>
      <c r="AT179" s="664"/>
      <c r="AU179" s="889"/>
      <c r="AV179" s="664"/>
      <c r="AW179" s="664"/>
      <c r="AX179" s="664"/>
      <c r="AY179" s="664"/>
      <c r="AZ179" s="664"/>
      <c r="BA179" s="664"/>
      <c r="BB179" s="664"/>
      <c r="BC179" s="105"/>
      <c r="BD179" s="29"/>
      <c r="BE179" s="29"/>
      <c r="BF179" s="29"/>
    </row>
    <row r="180" spans="1:64" s="146" customFormat="1">
      <c r="A180" s="196" t="s">
        <v>5</v>
      </c>
      <c r="B180" s="165">
        <f t="shared" ref="B180:AA180" si="213">B69</f>
        <v>23979</v>
      </c>
      <c r="C180" s="164">
        <f t="shared" si="213"/>
        <v>5957</v>
      </c>
      <c r="D180" s="164">
        <f t="shared" si="213"/>
        <v>5896</v>
      </c>
      <c r="E180" s="164">
        <f t="shared" si="213"/>
        <v>5979</v>
      </c>
      <c r="F180" s="164">
        <f t="shared" si="213"/>
        <v>5694</v>
      </c>
      <c r="G180" s="165">
        <f t="shared" si="213"/>
        <v>23526</v>
      </c>
      <c r="H180" s="166">
        <f t="shared" si="213"/>
        <v>5956</v>
      </c>
      <c r="I180" s="166">
        <f t="shared" si="213"/>
        <v>6000</v>
      </c>
      <c r="J180" s="166">
        <f t="shared" si="213"/>
        <v>6155</v>
      </c>
      <c r="K180" s="167">
        <f t="shared" si="213"/>
        <v>6397</v>
      </c>
      <c r="L180" s="165">
        <f t="shared" si="213"/>
        <v>24508</v>
      </c>
      <c r="M180" s="166">
        <f t="shared" si="213"/>
        <v>6267</v>
      </c>
      <c r="N180" s="166">
        <f t="shared" si="213"/>
        <v>6375</v>
      </c>
      <c r="O180" s="166">
        <f t="shared" si="213"/>
        <v>6527</v>
      </c>
      <c r="P180" s="167">
        <f t="shared" ref="P180:T180" si="214">P69</f>
        <v>6634</v>
      </c>
      <c r="Q180" s="165">
        <f t="shared" si="214"/>
        <v>25803</v>
      </c>
      <c r="R180" s="166">
        <f t="shared" si="214"/>
        <v>6410</v>
      </c>
      <c r="S180" s="166">
        <f t="shared" si="214"/>
        <v>6473</v>
      </c>
      <c r="T180" s="166">
        <f t="shared" si="214"/>
        <v>6569</v>
      </c>
      <c r="U180" s="167">
        <f t="shared" ref="U180:V180" si="215">U69</f>
        <v>6552</v>
      </c>
      <c r="V180" s="165">
        <f t="shared" si="215"/>
        <v>26004</v>
      </c>
      <c r="W180" s="932">
        <f t="shared" si="213"/>
        <v>6595.359093198992</v>
      </c>
      <c r="X180" s="166">
        <f t="shared" si="213"/>
        <v>6644.2423677581864</v>
      </c>
      <c r="Y180" s="166">
        <f t="shared" si="213"/>
        <v>8009.9705289672547</v>
      </c>
      <c r="Z180" s="167">
        <f t="shared" si="213"/>
        <v>8009.8696725440805</v>
      </c>
      <c r="AA180" s="165">
        <f t="shared" si="213"/>
        <v>29259.441662468515</v>
      </c>
      <c r="AB180" s="166"/>
      <c r="AC180" s="166"/>
      <c r="AD180" s="166"/>
      <c r="AE180" s="167"/>
      <c r="AF180" s="165">
        <f>AF69</f>
        <v>33847.75986246852</v>
      </c>
      <c r="AG180" s="166"/>
      <c r="AH180" s="166"/>
      <c r="AI180" s="166"/>
      <c r="AJ180" s="167"/>
      <c r="AK180" s="165">
        <f>AK69</f>
        <v>36341.90210046852</v>
      </c>
      <c r="AL180" s="166"/>
      <c r="AM180" s="166"/>
      <c r="AN180" s="166"/>
      <c r="AO180" s="167"/>
      <c r="AP180" s="165">
        <f>AP69</f>
        <v>38419.148488168517</v>
      </c>
      <c r="AQ180" s="144"/>
      <c r="AR180" s="145"/>
      <c r="AS180" s="619"/>
      <c r="AT180" s="619"/>
      <c r="AU180" s="619"/>
      <c r="AV180" s="619"/>
      <c r="AW180" s="619"/>
      <c r="AX180" s="619"/>
      <c r="AY180" s="619"/>
      <c r="AZ180" s="619"/>
      <c r="BA180" s="619"/>
      <c r="BB180" s="619"/>
      <c r="BC180" s="145"/>
      <c r="BG180"/>
      <c r="BH180"/>
      <c r="BI180"/>
      <c r="BJ180"/>
      <c r="BK180"/>
      <c r="BL180"/>
    </row>
    <row r="181" spans="1:64" s="81" customFormat="1">
      <c r="A181" s="194" t="s">
        <v>204</v>
      </c>
      <c r="B181" s="25"/>
      <c r="C181" s="73"/>
      <c r="D181" s="73"/>
      <c r="E181" s="73"/>
      <c r="F181" s="73"/>
      <c r="G181" s="25">
        <f t="shared" ref="G181:O181" si="216">G180/B180-1</f>
        <v>-1.8891530088827713E-2</v>
      </c>
      <c r="H181" s="73">
        <f t="shared" si="216"/>
        <v>-1.6786973308713371E-4</v>
      </c>
      <c r="I181" s="73">
        <f t="shared" si="216"/>
        <v>1.7639077340569909E-2</v>
      </c>
      <c r="J181" s="73">
        <f t="shared" si="216"/>
        <v>2.9436360595417321E-2</v>
      </c>
      <c r="K181" s="73">
        <f t="shared" si="216"/>
        <v>0.12346329469617134</v>
      </c>
      <c r="L181" s="25">
        <f t="shared" si="216"/>
        <v>4.174105245260562E-2</v>
      </c>
      <c r="M181" s="73">
        <f t="shared" si="216"/>
        <v>5.2216252518468842E-2</v>
      </c>
      <c r="N181" s="73">
        <f t="shared" si="216"/>
        <v>6.25E-2</v>
      </c>
      <c r="O181" s="73">
        <f t="shared" si="216"/>
        <v>6.0438667749797004E-2</v>
      </c>
      <c r="P181" s="73">
        <f t="shared" ref="P181" si="217">P180/K180-1</f>
        <v>3.704861653900271E-2</v>
      </c>
      <c r="Q181" s="25">
        <f t="shared" ref="Q181" si="218">Q180/L180-1</f>
        <v>5.2839889015831476E-2</v>
      </c>
      <c r="R181" s="73"/>
      <c r="S181" s="73"/>
      <c r="T181" s="73"/>
      <c r="U181" s="73"/>
      <c r="V181" s="25"/>
      <c r="W181" s="933">
        <f>W180/R180-1</f>
        <v>2.891717522605175E-2</v>
      </c>
      <c r="X181" s="73">
        <f t="shared" ref="X181:AA181" si="219">X180/S180-1</f>
        <v>2.6454869111414592E-2</v>
      </c>
      <c r="Y181" s="73">
        <f t="shared" si="219"/>
        <v>0.21935919150057148</v>
      </c>
      <c r="Z181" s="75">
        <f t="shared" si="219"/>
        <v>0.22250758127962156</v>
      </c>
      <c r="AA181" s="25">
        <f t="shared" si="219"/>
        <v>0.12519003470498835</v>
      </c>
      <c r="AB181" s="26"/>
      <c r="AC181" s="26"/>
      <c r="AD181" s="26"/>
      <c r="AE181" s="76"/>
      <c r="AF181" s="25">
        <f>AF180/AA180-1</f>
        <v>0.15681496089125657</v>
      </c>
      <c r="AG181" s="26"/>
      <c r="AH181" s="26"/>
      <c r="AI181" s="26"/>
      <c r="AJ181" s="76"/>
      <c r="AK181" s="25">
        <f>AK180/AF180-1</f>
        <v>7.368706963575411E-2</v>
      </c>
      <c r="AL181" s="26"/>
      <c r="AM181" s="26"/>
      <c r="AN181" s="26"/>
      <c r="AO181" s="76"/>
      <c r="AP181" s="25">
        <f>AP180/AK180-1</f>
        <v>5.7158438816916401E-2</v>
      </c>
      <c r="AQ181" s="77"/>
      <c r="AR181" s="6"/>
      <c r="AS181" s="619"/>
      <c r="AT181" s="619"/>
      <c r="AU181" s="619"/>
      <c r="AV181" s="619"/>
      <c r="AW181" s="619"/>
      <c r="AX181" s="619"/>
      <c r="AY181" s="619"/>
      <c r="AZ181" s="619"/>
      <c r="BA181" s="619"/>
      <c r="BB181" s="619"/>
      <c r="BC181" s="79"/>
      <c r="BG181"/>
      <c r="BH181"/>
      <c r="BI181"/>
      <c r="BJ181"/>
      <c r="BK181"/>
      <c r="BL181"/>
    </row>
    <row r="182" spans="1:64" s="146" customFormat="1">
      <c r="A182" s="196" t="s">
        <v>6</v>
      </c>
      <c r="B182" s="165">
        <f>B180-B178</f>
        <v>20783</v>
      </c>
      <c r="C182" s="164">
        <f>C180-C178</f>
        <v>5177</v>
      </c>
      <c r="D182" s="164">
        <f>D180-D178</f>
        <v>5083</v>
      </c>
      <c r="E182" s="164">
        <f>E180-E178</f>
        <v>5185</v>
      </c>
      <c r="F182" s="164">
        <f t="shared" ref="F182:L182" si="220">F180-F178</f>
        <v>5005</v>
      </c>
      <c r="G182" s="165">
        <f t="shared" si="220"/>
        <v>20450</v>
      </c>
      <c r="H182" s="166">
        <f t="shared" si="220"/>
        <v>5217</v>
      </c>
      <c r="I182" s="166">
        <f t="shared" si="220"/>
        <v>5203</v>
      </c>
      <c r="J182" s="166">
        <f t="shared" si="220"/>
        <v>5329</v>
      </c>
      <c r="K182" s="167">
        <f t="shared" si="220"/>
        <v>5566</v>
      </c>
      <c r="L182" s="165">
        <f t="shared" si="220"/>
        <v>21315</v>
      </c>
      <c r="M182" s="166">
        <f>M180-M178</f>
        <v>5435</v>
      </c>
      <c r="N182" s="166">
        <f>N180-N178</f>
        <v>5520</v>
      </c>
      <c r="O182" s="166">
        <f t="shared" ref="O182:Q182" si="221">O180-O178</f>
        <v>5682</v>
      </c>
      <c r="P182" s="167">
        <f t="shared" si="221"/>
        <v>5867</v>
      </c>
      <c r="Q182" s="165">
        <f t="shared" si="221"/>
        <v>22504</v>
      </c>
      <c r="R182" s="166">
        <f>R180-R178</f>
        <v>5548</v>
      </c>
      <c r="S182" s="166">
        <f>S180-S178</f>
        <v>5600</v>
      </c>
      <c r="T182" s="166">
        <f t="shared" ref="T182:V182" si="222">T180-T178</f>
        <v>5732</v>
      </c>
      <c r="U182" s="167">
        <f t="shared" si="222"/>
        <v>5848</v>
      </c>
      <c r="V182" s="165">
        <f t="shared" si="222"/>
        <v>22728</v>
      </c>
      <c r="W182" s="932">
        <f t="shared" ref="W182:Z182" si="223">W180-W178</f>
        <v>5797.0224931989924</v>
      </c>
      <c r="X182" s="166">
        <f t="shared" si="223"/>
        <v>5838.7096677581867</v>
      </c>
      <c r="Y182" s="166">
        <f>Y180-Y178</f>
        <v>7075.949778967255</v>
      </c>
      <c r="Z182" s="167">
        <f t="shared" si="223"/>
        <v>7071.8665725440806</v>
      </c>
      <c r="AA182" s="165">
        <f>AA180-AA178</f>
        <v>25783.548512468515</v>
      </c>
      <c r="AB182" s="166"/>
      <c r="AC182" s="166"/>
      <c r="AD182" s="166"/>
      <c r="AE182" s="167"/>
      <c r="AF182" s="165">
        <f>AF180-AF178</f>
        <v>29830.85935196852</v>
      </c>
      <c r="AG182" s="166"/>
      <c r="AH182" s="166"/>
      <c r="AI182" s="166"/>
      <c r="AJ182" s="167"/>
      <c r="AK182" s="165">
        <f>AK180-AK178</f>
        <v>32246.159193023519</v>
      </c>
      <c r="AL182" s="166"/>
      <c r="AM182" s="166"/>
      <c r="AN182" s="166"/>
      <c r="AO182" s="167"/>
      <c r="AP182" s="165">
        <f>AP180-AP178</f>
        <v>34060.612944617264</v>
      </c>
      <c r="AQ182" s="144"/>
      <c r="AR182" s="145"/>
      <c r="AS182" s="619"/>
      <c r="AT182" s="619"/>
      <c r="AU182" s="619"/>
      <c r="AV182" s="619"/>
      <c r="AW182" s="619"/>
      <c r="AX182" s="619"/>
      <c r="AY182" s="619"/>
      <c r="AZ182" s="619"/>
      <c r="BA182" s="619"/>
      <c r="BB182" s="619"/>
      <c r="BC182" s="145"/>
      <c r="BG182"/>
      <c r="BH182"/>
      <c r="BI182"/>
      <c r="BJ182"/>
      <c r="BK182"/>
      <c r="BL182"/>
    </row>
    <row r="183" spans="1:64" s="81" customFormat="1">
      <c r="A183" s="194" t="s">
        <v>204</v>
      </c>
      <c r="B183" s="25"/>
      <c r="C183" s="73"/>
      <c r="D183" s="73"/>
      <c r="E183" s="73"/>
      <c r="F183" s="73"/>
      <c r="G183" s="25">
        <f t="shared" ref="G183:O183" si="224">G182/B182-1</f>
        <v>-1.602271086946061E-2</v>
      </c>
      <c r="H183" s="73">
        <f t="shared" si="224"/>
        <v>7.7264825188332331E-3</v>
      </c>
      <c r="I183" s="73">
        <f t="shared" si="224"/>
        <v>2.360810544953762E-2</v>
      </c>
      <c r="J183" s="73">
        <f t="shared" si="224"/>
        <v>2.7772420443587187E-2</v>
      </c>
      <c r="K183" s="73">
        <f t="shared" si="224"/>
        <v>0.11208791208791213</v>
      </c>
      <c r="L183" s="25">
        <f t="shared" si="224"/>
        <v>4.2298288508557436E-2</v>
      </c>
      <c r="M183" s="73">
        <f t="shared" si="224"/>
        <v>4.1786467318382314E-2</v>
      </c>
      <c r="N183" s="73">
        <f t="shared" si="224"/>
        <v>6.0926388621948879E-2</v>
      </c>
      <c r="O183" s="73">
        <f t="shared" si="224"/>
        <v>6.6241321073372106E-2</v>
      </c>
      <c r="P183" s="73">
        <f t="shared" ref="P183" si="225">P182/K182-1</f>
        <v>5.4078332734459167E-2</v>
      </c>
      <c r="Q183" s="25">
        <f t="shared" ref="Q183" si="226">Q182/L182-1</f>
        <v>5.5782312925169997E-2</v>
      </c>
      <c r="R183" s="73"/>
      <c r="S183" s="73"/>
      <c r="T183" s="73"/>
      <c r="U183" s="73"/>
      <c r="V183" s="25"/>
      <c r="W183" s="933">
        <f>W182/R182-1</f>
        <v>4.4885092501620871E-2</v>
      </c>
      <c r="X183" s="73">
        <f t="shared" ref="X183:AA183" si="227">X182/S182-1</f>
        <v>4.2626726385390556E-2</v>
      </c>
      <c r="Y183" s="73">
        <f t="shared" si="227"/>
        <v>0.23446437176679247</v>
      </c>
      <c r="Z183" s="75">
        <f t="shared" si="227"/>
        <v>0.20927950966896036</v>
      </c>
      <c r="AA183" s="25">
        <f t="shared" si="227"/>
        <v>0.13443983247397551</v>
      </c>
      <c r="AB183" s="26"/>
      <c r="AC183" s="26"/>
      <c r="AD183" s="26"/>
      <c r="AE183" s="76"/>
      <c r="AF183" s="25">
        <f>AF182/AA182-1</f>
        <v>0.15697260745714625</v>
      </c>
      <c r="AG183" s="26"/>
      <c r="AH183" s="26"/>
      <c r="AI183" s="26"/>
      <c r="AJ183" s="76"/>
      <c r="AK183" s="25">
        <f>AK182/AF182-1</f>
        <v>8.0966485496020812E-2</v>
      </c>
      <c r="AL183" s="26"/>
      <c r="AM183" s="26"/>
      <c r="AN183" s="26"/>
      <c r="AO183" s="76"/>
      <c r="AP183" s="25">
        <f>AP182/AK182-1</f>
        <v>5.6268833157230747E-2</v>
      </c>
      <c r="AQ183" s="77"/>
      <c r="AR183" s="6"/>
      <c r="AS183" s="619"/>
      <c r="AT183" s="619"/>
      <c r="AU183" s="619"/>
      <c r="AV183" s="619"/>
      <c r="AW183" s="619"/>
      <c r="AX183" s="619"/>
      <c r="AY183" s="619"/>
      <c r="AZ183" s="619"/>
      <c r="BA183" s="619"/>
      <c r="BB183" s="619"/>
      <c r="BC183" s="79"/>
      <c r="BG183"/>
      <c r="BH183"/>
      <c r="BI183"/>
      <c r="BJ183"/>
      <c r="BK183"/>
      <c r="BL183"/>
    </row>
    <row r="184" spans="1:64" s="72" customFormat="1" ht="11.25" hidden="1" customHeight="1">
      <c r="A184" s="197" t="s">
        <v>7</v>
      </c>
      <c r="B184" s="199" t="e">
        <f>SUM(#REF!)</f>
        <v>#REF!</v>
      </c>
      <c r="C184" s="200">
        <f>C182-C185</f>
        <v>4542</v>
      </c>
      <c r="D184" s="200">
        <f>D182-D185</f>
        <v>4442</v>
      </c>
      <c r="E184" s="200">
        <f>E182-E185</f>
        <v>4544</v>
      </c>
      <c r="F184" s="200">
        <f>F182-F185</f>
        <v>4312</v>
      </c>
      <c r="G184" s="199">
        <f>SUM(C184:F184)</f>
        <v>17840</v>
      </c>
      <c r="H184" s="198"/>
      <c r="I184" s="198"/>
      <c r="J184" s="198"/>
      <c r="K184" s="202"/>
      <c r="L184" s="199">
        <f>L182-L185</f>
        <v>18596.0558530987</v>
      </c>
      <c r="M184" s="198"/>
      <c r="N184" s="198"/>
      <c r="O184" s="198"/>
      <c r="P184" s="202"/>
      <c r="Q184" s="199">
        <f>Q182-Q185</f>
        <v>19641.387146136192</v>
      </c>
      <c r="R184" s="198"/>
      <c r="S184" s="198"/>
      <c r="T184" s="198"/>
      <c r="U184" s="202"/>
      <c r="V184" s="199">
        <f>V182-V185</f>
        <v>19843.087987758227</v>
      </c>
      <c r="W184" s="952"/>
      <c r="X184" s="198"/>
      <c r="Y184" s="198"/>
      <c r="Z184" s="202"/>
      <c r="AA184" s="199">
        <f>AA182-AA185</f>
        <v>22537.474265293356</v>
      </c>
      <c r="AB184" s="198"/>
      <c r="AC184" s="198"/>
      <c r="AD184" s="198"/>
      <c r="AE184" s="202"/>
      <c r="AF184" s="199">
        <f>AF182-AF185</f>
        <v>26075.75209867247</v>
      </c>
      <c r="AG184" s="198"/>
      <c r="AH184" s="198"/>
      <c r="AI184" s="198"/>
      <c r="AJ184" s="202"/>
      <c r="AK184" s="199">
        <f>AK182-AK185</f>
        <v>28214.349090064119</v>
      </c>
      <c r="AL184" s="198"/>
      <c r="AM184" s="198"/>
      <c r="AN184" s="198"/>
      <c r="AO184" s="202"/>
      <c r="AP184" s="199">
        <f>AP182-AP185</f>
        <v>29798.350870566435</v>
      </c>
      <c r="AQ184" s="69"/>
      <c r="AR184" s="71"/>
      <c r="AS184" s="304"/>
      <c r="AT184" s="304"/>
      <c r="AU184" s="304"/>
      <c r="AV184" s="304"/>
      <c r="AW184" s="304"/>
      <c r="AX184" s="304"/>
      <c r="AY184" s="304"/>
      <c r="AZ184" s="304"/>
      <c r="BA184" s="304"/>
      <c r="BB184" s="304"/>
      <c r="BC184" s="71"/>
      <c r="BG184"/>
      <c r="BH184"/>
      <c r="BI184"/>
      <c r="BJ184"/>
      <c r="BK184"/>
      <c r="BL184"/>
    </row>
    <row r="185" spans="1:64" s="72" customFormat="1" ht="11.25" hidden="1" customHeight="1">
      <c r="A185" s="208" t="s">
        <v>8</v>
      </c>
      <c r="B185" s="199" t="e">
        <f>SUM(#REF!)</f>
        <v>#REF!</v>
      </c>
      <c r="C185" s="653">
        <v>635</v>
      </c>
      <c r="D185" s="645">
        <v>641</v>
      </c>
      <c r="E185" s="669">
        <v>641</v>
      </c>
      <c r="F185" s="669">
        <v>692.99999999999966</v>
      </c>
      <c r="G185" s="199">
        <f>SUM(C185:F185)</f>
        <v>2609.9999999999995</v>
      </c>
      <c r="H185" s="198"/>
      <c r="I185" s="198"/>
      <c r="J185" s="198"/>
      <c r="K185" s="202"/>
      <c r="L185" s="672">
        <f>L187*L180</f>
        <v>2718.9441469013</v>
      </c>
      <c r="M185" s="198"/>
      <c r="N185" s="198"/>
      <c r="O185" s="198"/>
      <c r="P185" s="202"/>
      <c r="Q185" s="672">
        <f>Q187*Q180</f>
        <v>2862.6128538638095</v>
      </c>
      <c r="R185" s="198"/>
      <c r="S185" s="198"/>
      <c r="T185" s="198"/>
      <c r="U185" s="202"/>
      <c r="V185" s="672">
        <f>V187*V180</f>
        <v>2884.9120122417744</v>
      </c>
      <c r="W185" s="952"/>
      <c r="X185" s="198"/>
      <c r="Y185" s="198"/>
      <c r="Z185" s="202"/>
      <c r="AA185" s="199">
        <f>AA187*AA180</f>
        <v>3246.0742471751596</v>
      </c>
      <c r="AB185" s="198"/>
      <c r="AC185" s="198"/>
      <c r="AD185" s="198"/>
      <c r="AE185" s="202"/>
      <c r="AF185" s="199">
        <f>AF187*AF180</f>
        <v>3755.1072532960479</v>
      </c>
      <c r="AG185" s="198"/>
      <c r="AH185" s="198"/>
      <c r="AI185" s="198"/>
      <c r="AJ185" s="202"/>
      <c r="AK185" s="199">
        <f>AK187*AK180</f>
        <v>4031.810102959399</v>
      </c>
      <c r="AL185" s="198"/>
      <c r="AM185" s="198"/>
      <c r="AN185" s="198"/>
      <c r="AO185" s="202"/>
      <c r="AP185" s="199">
        <f>AP187*AP180</f>
        <v>4262.2620740508291</v>
      </c>
      <c r="AQ185" s="69"/>
      <c r="AR185" s="71"/>
      <c r="AS185" s="619"/>
      <c r="AT185" s="304"/>
      <c r="AU185" s="304"/>
      <c r="AV185" s="304"/>
      <c r="AW185" s="304"/>
      <c r="AX185" s="304"/>
      <c r="AY185" s="304"/>
      <c r="AZ185" s="304"/>
      <c r="BA185" s="304"/>
      <c r="BB185" s="304"/>
      <c r="BC185" s="71"/>
      <c r="BG185"/>
      <c r="BH185"/>
      <c r="BI185"/>
      <c r="BJ185"/>
      <c r="BK185"/>
      <c r="BL185"/>
    </row>
    <row r="186" spans="1:64" s="81" customFormat="1" ht="12" hidden="1" customHeight="1">
      <c r="A186" s="194" t="s">
        <v>204</v>
      </c>
      <c r="B186" s="25" t="e">
        <f>B185/#REF!-1</f>
        <v>#REF!</v>
      </c>
      <c r="C186" s="74" t="e">
        <f>C185/#REF!-1</f>
        <v>#REF!</v>
      </c>
      <c r="D186" s="73" t="e">
        <f>D185/#REF!-1</f>
        <v>#REF!</v>
      </c>
      <c r="E186" s="73" t="e">
        <f>E185/#REF!-1</f>
        <v>#REF!</v>
      </c>
      <c r="F186" s="73" t="e">
        <f>F185/#REF!-1</f>
        <v>#REF!</v>
      </c>
      <c r="G186" s="25" t="e">
        <f>G185/B185-1</f>
        <v>#REF!</v>
      </c>
      <c r="H186" s="26"/>
      <c r="I186" s="26"/>
      <c r="J186" s="26"/>
      <c r="K186" s="76"/>
      <c r="L186" s="675">
        <f>L185/G185-1</f>
        <v>4.174105245260562E-2</v>
      </c>
      <c r="M186" s="26"/>
      <c r="N186" s="26"/>
      <c r="O186" s="26"/>
      <c r="P186" s="76"/>
      <c r="Q186" s="675">
        <f>Q185/L185-1</f>
        <v>5.2839889015831476E-2</v>
      </c>
      <c r="R186" s="26"/>
      <c r="S186" s="26"/>
      <c r="T186" s="26"/>
      <c r="U186" s="76"/>
      <c r="V186" s="675">
        <f>V185/Q185-1</f>
        <v>7.7897918846645542E-3</v>
      </c>
      <c r="W186" s="953"/>
      <c r="X186" s="26"/>
      <c r="Y186" s="26"/>
      <c r="Z186" s="76"/>
      <c r="AA186" s="25">
        <f>AA185/Q185-1</f>
        <v>0.13395503090603866</v>
      </c>
      <c r="AB186" s="26"/>
      <c r="AC186" s="26"/>
      <c r="AD186" s="26"/>
      <c r="AE186" s="76"/>
      <c r="AF186" s="25">
        <f>AF185/AA185-1</f>
        <v>0.15681496089125679</v>
      </c>
      <c r="AG186" s="26"/>
      <c r="AH186" s="26"/>
      <c r="AI186" s="26"/>
      <c r="AJ186" s="76"/>
      <c r="AK186" s="25">
        <f>AK185/AF185-1</f>
        <v>7.368706963575411E-2</v>
      </c>
      <c r="AL186" s="26"/>
      <c r="AM186" s="26"/>
      <c r="AN186" s="26"/>
      <c r="AO186" s="76"/>
      <c r="AP186" s="25">
        <f>AP185/AK185-1</f>
        <v>5.7158438816916401E-2</v>
      </c>
      <c r="AQ186" s="203"/>
      <c r="AR186" s="79"/>
      <c r="AS186" s="619"/>
      <c r="AT186" s="619"/>
      <c r="AU186" s="619"/>
      <c r="AV186" s="619"/>
      <c r="AW186" s="619"/>
      <c r="AX186" s="619"/>
      <c r="AY186" s="619"/>
      <c r="AZ186" s="619"/>
      <c r="BA186" s="619"/>
      <c r="BB186" s="619"/>
      <c r="BC186" s="79"/>
      <c r="BG186"/>
      <c r="BH186"/>
      <c r="BI186"/>
      <c r="BJ186"/>
      <c r="BK186"/>
      <c r="BL186"/>
    </row>
    <row r="187" spans="1:64" s="81" customFormat="1" ht="12" hidden="1" customHeight="1">
      <c r="A187" s="194" t="s">
        <v>4</v>
      </c>
      <c r="B187" s="25" t="e">
        <f t="shared" ref="B187:G187" si="228">B185/B180</f>
        <v>#REF!</v>
      </c>
      <c r="C187" s="575">
        <f t="shared" si="228"/>
        <v>0.10659728051032399</v>
      </c>
      <c r="D187" s="73">
        <f t="shared" si="228"/>
        <v>0.10871777476255089</v>
      </c>
      <c r="E187" s="73">
        <f t="shared" si="228"/>
        <v>0.10720856330490049</v>
      </c>
      <c r="F187" s="73">
        <f t="shared" si="228"/>
        <v>0.12170706006322439</v>
      </c>
      <c r="G187" s="25">
        <f t="shared" si="228"/>
        <v>0.11094108645753632</v>
      </c>
      <c r="H187" s="26"/>
      <c r="I187" s="26"/>
      <c r="J187" s="26"/>
      <c r="K187" s="76"/>
      <c r="L187" s="676">
        <f>G187</f>
        <v>0.11094108645753632</v>
      </c>
      <c r="M187" s="26"/>
      <c r="N187" s="26"/>
      <c r="O187" s="26"/>
      <c r="P187" s="76"/>
      <c r="Q187" s="676">
        <f>L187</f>
        <v>0.11094108645753632</v>
      </c>
      <c r="R187" s="26"/>
      <c r="S187" s="26"/>
      <c r="T187" s="26"/>
      <c r="U187" s="76"/>
      <c r="V187" s="676">
        <f>Q187</f>
        <v>0.11094108645753632</v>
      </c>
      <c r="W187" s="953"/>
      <c r="X187" s="26"/>
      <c r="Y187" s="26"/>
      <c r="Z187" s="76"/>
      <c r="AA187" s="27">
        <f>Q187</f>
        <v>0.11094108645753632</v>
      </c>
      <c r="AB187" s="26"/>
      <c r="AC187" s="26"/>
      <c r="AD187" s="26"/>
      <c r="AE187" s="76"/>
      <c r="AF187" s="27">
        <f>AA187</f>
        <v>0.11094108645753632</v>
      </c>
      <c r="AG187" s="26"/>
      <c r="AH187" s="26"/>
      <c r="AI187" s="26"/>
      <c r="AJ187" s="76"/>
      <c r="AK187" s="27">
        <f>AF187</f>
        <v>0.11094108645753632</v>
      </c>
      <c r="AL187" s="26"/>
      <c r="AM187" s="26"/>
      <c r="AN187" s="26"/>
      <c r="AO187" s="76"/>
      <c r="AP187" s="27">
        <f>AK187</f>
        <v>0.11094108645753632</v>
      </c>
      <c r="AQ187" s="203"/>
      <c r="AR187" s="79"/>
      <c r="AS187" s="890"/>
      <c r="AT187" s="619"/>
      <c r="AU187" s="619"/>
      <c r="AV187" s="619"/>
      <c r="AW187" s="619"/>
      <c r="AX187" s="619"/>
      <c r="AY187" s="619"/>
      <c r="AZ187" s="619"/>
      <c r="BA187" s="619"/>
      <c r="BB187" s="619"/>
      <c r="BC187" s="79"/>
      <c r="BG187"/>
      <c r="BH187"/>
      <c r="BI187"/>
      <c r="BJ187"/>
      <c r="BK187"/>
      <c r="BL187"/>
    </row>
    <row r="188" spans="1:64" s="207" customFormat="1" ht="11.25" hidden="1" customHeight="1">
      <c r="A188" s="487" t="s">
        <v>10</v>
      </c>
      <c r="B188" s="637">
        <v>64300</v>
      </c>
      <c r="C188" s="223"/>
      <c r="D188" s="221"/>
      <c r="E188" s="222"/>
      <c r="F188" s="220"/>
      <c r="G188" s="670">
        <v>64300</v>
      </c>
      <c r="H188" s="218"/>
      <c r="I188" s="218"/>
      <c r="J188" s="218"/>
      <c r="K188" s="224"/>
      <c r="L188" s="219"/>
      <c r="M188" s="218"/>
      <c r="N188" s="218"/>
      <c r="O188" s="218"/>
      <c r="P188" s="224"/>
      <c r="Q188" s="219"/>
      <c r="R188" s="218"/>
      <c r="S188" s="218"/>
      <c r="T188" s="218"/>
      <c r="U188" s="224"/>
      <c r="V188" s="219"/>
      <c r="W188" s="954"/>
      <c r="X188" s="218"/>
      <c r="Y188" s="218"/>
      <c r="Z188" s="224"/>
      <c r="AA188" s="219"/>
      <c r="AB188" s="218"/>
      <c r="AC188" s="218"/>
      <c r="AD188" s="218"/>
      <c r="AE188" s="224"/>
      <c r="AF188" s="219"/>
      <c r="AG188" s="218"/>
      <c r="AH188" s="218"/>
      <c r="AI188" s="218"/>
      <c r="AJ188" s="224"/>
      <c r="AK188" s="219"/>
      <c r="AL188" s="218"/>
      <c r="AM188" s="218"/>
      <c r="AN188" s="218"/>
      <c r="AO188" s="224"/>
      <c r="AP188" s="219"/>
      <c r="AQ188" s="205"/>
      <c r="AR188" s="206"/>
      <c r="AS188" s="890"/>
      <c r="AT188" s="619"/>
      <c r="AU188" s="890"/>
      <c r="AV188" s="890"/>
      <c r="AW188" s="890"/>
      <c r="AX188" s="890"/>
      <c r="AY188" s="890"/>
      <c r="AZ188" s="890"/>
      <c r="BA188" s="890"/>
      <c r="BB188" s="890"/>
      <c r="BC188" s="206"/>
      <c r="BG188"/>
      <c r="BH188"/>
      <c r="BI188"/>
      <c r="BJ188"/>
      <c r="BK188"/>
      <c r="BL188"/>
    </row>
    <row r="189" spans="1:64" s="215" customFormat="1" ht="12.75" hidden="1" customHeight="1">
      <c r="A189" s="486" t="s">
        <v>134</v>
      </c>
      <c r="B189" s="209">
        <v>569</v>
      </c>
      <c r="C189" s="210"/>
      <c r="D189" s="211"/>
      <c r="E189" s="211"/>
      <c r="F189" s="211"/>
      <c r="G189" s="671">
        <v>569</v>
      </c>
      <c r="H189" s="210"/>
      <c r="I189" s="210"/>
      <c r="J189" s="210"/>
      <c r="K189" s="210"/>
      <c r="L189" s="209"/>
      <c r="M189" s="210"/>
      <c r="N189" s="210"/>
      <c r="O189" s="210"/>
      <c r="P189" s="210"/>
      <c r="Q189" s="209"/>
      <c r="R189" s="210"/>
      <c r="S189" s="210"/>
      <c r="T189" s="210"/>
      <c r="U189" s="210"/>
      <c r="V189" s="209"/>
      <c r="W189" s="955"/>
      <c r="X189" s="210"/>
      <c r="Y189" s="210"/>
      <c r="Z189" s="956"/>
      <c r="AA189" s="209"/>
      <c r="AB189" s="210"/>
      <c r="AC189" s="210"/>
      <c r="AD189" s="210"/>
      <c r="AE189" s="210"/>
      <c r="AF189" s="209"/>
      <c r="AG189" s="210"/>
      <c r="AH189" s="210"/>
      <c r="AI189" s="210"/>
      <c r="AJ189" s="210"/>
      <c r="AK189" s="209"/>
      <c r="AL189" s="210"/>
      <c r="AM189" s="210"/>
      <c r="AN189" s="210"/>
      <c r="AO189" s="210"/>
      <c r="AP189" s="209"/>
      <c r="AQ189" s="212"/>
      <c r="AR189" s="213"/>
      <c r="AS189" s="619"/>
      <c r="AT189" s="619"/>
      <c r="AU189" s="626"/>
      <c r="AV189" s="626"/>
      <c r="AW189" s="626"/>
      <c r="AX189" s="626"/>
      <c r="AY189" s="626"/>
      <c r="AZ189" s="626"/>
      <c r="BA189" s="626"/>
      <c r="BB189" s="626"/>
      <c r="BC189" s="213"/>
      <c r="BD189" s="201"/>
      <c r="BE189" s="201"/>
      <c r="BF189" s="201"/>
      <c r="BG189"/>
      <c r="BH189"/>
      <c r="BI189"/>
      <c r="BJ189"/>
      <c r="BK189"/>
      <c r="BL189"/>
    </row>
    <row r="190" spans="1:64" s="81" customFormat="1" ht="12" hidden="1" customHeight="1">
      <c r="A190" s="194" t="s">
        <v>4</v>
      </c>
      <c r="B190" s="25">
        <f>B189/B69</f>
        <v>2.372909629258935E-2</v>
      </c>
      <c r="C190" s="74"/>
      <c r="D190" s="216"/>
      <c r="E190" s="217"/>
      <c r="F190" s="73"/>
      <c r="G190" s="25">
        <f>G189/G69</f>
        <v>2.4186006971010796E-2</v>
      </c>
      <c r="H190" s="26"/>
      <c r="I190" s="26"/>
      <c r="J190" s="26"/>
      <c r="K190" s="76"/>
      <c r="L190" s="25"/>
      <c r="M190" s="26"/>
      <c r="N190" s="26"/>
      <c r="O190" s="26"/>
      <c r="P190" s="76"/>
      <c r="Q190" s="25"/>
      <c r="R190" s="26"/>
      <c r="S190" s="26"/>
      <c r="T190" s="26"/>
      <c r="U190" s="76"/>
      <c r="V190" s="25"/>
      <c r="W190" s="953"/>
      <c r="X190" s="26"/>
      <c r="Y190" s="26"/>
      <c r="Z190" s="76"/>
      <c r="AA190" s="25"/>
      <c r="AB190" s="26"/>
      <c r="AC190" s="26"/>
      <c r="AD190" s="26"/>
      <c r="AE190" s="76"/>
      <c r="AF190" s="25"/>
      <c r="AG190" s="26"/>
      <c r="AH190" s="26"/>
      <c r="AI190" s="26"/>
      <c r="AJ190" s="76"/>
      <c r="AK190" s="25"/>
      <c r="AL190" s="26"/>
      <c r="AM190" s="26"/>
      <c r="AN190" s="26"/>
      <c r="AO190" s="76"/>
      <c r="AP190" s="25"/>
      <c r="AQ190" s="203"/>
      <c r="AR190" s="79"/>
      <c r="AS190" s="621"/>
      <c r="AT190" s="626"/>
      <c r="AU190" s="619"/>
      <c r="AV190" s="619"/>
      <c r="AW190" s="619"/>
      <c r="AX190" s="619"/>
      <c r="AY190" s="619"/>
      <c r="AZ190" s="619"/>
      <c r="BA190" s="619"/>
      <c r="BB190" s="619"/>
      <c r="BC190" s="79"/>
      <c r="BG190"/>
      <c r="BH190"/>
      <c r="BI190"/>
      <c r="BJ190"/>
      <c r="BK190"/>
      <c r="BL190"/>
    </row>
    <row r="191" spans="1:64" s="72" customFormat="1" ht="11.25" customHeight="1">
      <c r="A191" s="208" t="s">
        <v>161</v>
      </c>
      <c r="B191" s="380">
        <v>269</v>
      </c>
      <c r="C191" s="225">
        <f>C193-C192</f>
        <v>83</v>
      </c>
      <c r="D191" s="225">
        <f>D193-D192</f>
        <v>81</v>
      </c>
      <c r="E191" s="225">
        <v>97</v>
      </c>
      <c r="F191" s="381">
        <v>87</v>
      </c>
      <c r="G191" s="380">
        <f>SUM(C191:F191)</f>
        <v>348</v>
      </c>
      <c r="H191" s="225">
        <f>+H193-H192</f>
        <v>74</v>
      </c>
      <c r="I191" s="225">
        <v>69</v>
      </c>
      <c r="J191" s="225">
        <v>91</v>
      </c>
      <c r="K191" s="381">
        <v>82</v>
      </c>
      <c r="L191" s="380">
        <f>SUM(H191:K191)</f>
        <v>316</v>
      </c>
      <c r="M191" s="613">
        <f t="shared" ref="M191:O191" si="229">M193-M192</f>
        <v>136</v>
      </c>
      <c r="N191" s="613">
        <f t="shared" si="229"/>
        <v>137</v>
      </c>
      <c r="O191" s="225">
        <f t="shared" si="229"/>
        <v>172</v>
      </c>
      <c r="P191" s="381">
        <f>P193-P192</f>
        <v>149</v>
      </c>
      <c r="Q191" s="380">
        <f>SUM(M191:P191)</f>
        <v>594</v>
      </c>
      <c r="R191" s="613">
        <v>154</v>
      </c>
      <c r="S191" s="613">
        <v>154</v>
      </c>
      <c r="T191" s="225">
        <v>170</v>
      </c>
      <c r="U191" s="381">
        <v>160</v>
      </c>
      <c r="V191" s="380">
        <f>SUM(R191:U191)</f>
        <v>638</v>
      </c>
      <c r="W191" s="957">
        <f t="shared" ref="W191:Z191" si="230">+W193-W192</f>
        <v>115</v>
      </c>
      <c r="X191" s="613">
        <f t="shared" si="230"/>
        <v>115</v>
      </c>
      <c r="Y191" s="613">
        <f t="shared" si="230"/>
        <v>140</v>
      </c>
      <c r="Z191" s="627">
        <f t="shared" si="230"/>
        <v>140</v>
      </c>
      <c r="AA191" s="628">
        <f>+AA193-AA192</f>
        <v>510</v>
      </c>
      <c r="AB191" s="613"/>
      <c r="AC191" s="613"/>
      <c r="AD191" s="613"/>
      <c r="AE191" s="627"/>
      <c r="AF191" s="628">
        <f>+AF193-AF192</f>
        <v>470</v>
      </c>
      <c r="AG191" s="613"/>
      <c r="AH191" s="613"/>
      <c r="AI191" s="613"/>
      <c r="AJ191" s="627"/>
      <c r="AK191" s="628">
        <f>+AK193-AK192</f>
        <v>190</v>
      </c>
      <c r="AL191" s="613"/>
      <c r="AM191" s="613"/>
      <c r="AN191" s="613"/>
      <c r="AO191" s="627"/>
      <c r="AP191" s="628">
        <f>+AP193-AP192</f>
        <v>210</v>
      </c>
      <c r="AQ191" s="69"/>
      <c r="AR191" s="71"/>
      <c r="AS191" s="664"/>
      <c r="AT191" s="621"/>
      <c r="AU191" s="304"/>
      <c r="AV191" s="304"/>
      <c r="AW191" s="664"/>
      <c r="AX191" s="304"/>
      <c r="AY191" s="304"/>
      <c r="AZ191" s="664"/>
      <c r="BA191" s="304"/>
      <c r="BB191" s="304"/>
      <c r="BC191" s="71"/>
      <c r="BG191"/>
      <c r="BH191"/>
      <c r="BI191"/>
      <c r="BJ191"/>
      <c r="BK191"/>
      <c r="BL191"/>
    </row>
    <row r="192" spans="1:64" s="484" customFormat="1" ht="12" customHeight="1">
      <c r="A192" s="488" t="s">
        <v>228</v>
      </c>
      <c r="B192" s="639">
        <v>115</v>
      </c>
      <c r="C192" s="680">
        <v>89</v>
      </c>
      <c r="D192" s="613">
        <v>89</v>
      </c>
      <c r="E192" s="638">
        <v>88</v>
      </c>
      <c r="F192" s="638">
        <f>+G192-SUM(C192:E192)</f>
        <v>89</v>
      </c>
      <c r="G192" s="639">
        <v>355</v>
      </c>
      <c r="H192" s="680">
        <v>133</v>
      </c>
      <c r="I192" s="658">
        <v>133</v>
      </c>
      <c r="J192" s="638">
        <v>133</v>
      </c>
      <c r="K192" s="638">
        <f>+L192-SUM(H192:J192)</f>
        <v>132</v>
      </c>
      <c r="L192" s="814">
        <v>531</v>
      </c>
      <c r="M192" s="795">
        <v>115</v>
      </c>
      <c r="N192" s="795">
        <v>114</v>
      </c>
      <c r="O192" s="904">
        <v>95</v>
      </c>
      <c r="P192" s="904">
        <f>432-O192-N192-M192</f>
        <v>108</v>
      </c>
      <c r="Q192" s="1024">
        <f t="shared" ref="Q192:Q193" si="231">+SUM(M192:P192)</f>
        <v>432</v>
      </c>
      <c r="R192" s="795"/>
      <c r="S192" s="795"/>
      <c r="T192" s="904"/>
      <c r="U192" s="904"/>
      <c r="V192" s="1024"/>
      <c r="W192" s="175">
        <v>100</v>
      </c>
      <c r="X192" s="175">
        <v>100</v>
      </c>
      <c r="Y192" s="175">
        <f>100+25</f>
        <v>125</v>
      </c>
      <c r="Z192" s="175">
        <f>100+25</f>
        <v>125</v>
      </c>
      <c r="AA192" s="1100">
        <f>SUM(W192:Z192)</f>
        <v>450</v>
      </c>
      <c r="AB192" s="52"/>
      <c r="AC192" s="52"/>
      <c r="AD192" s="52"/>
      <c r="AE192" s="52"/>
      <c r="AF192" s="51">
        <f>380+100</f>
        <v>480</v>
      </c>
      <c r="AG192" s="52"/>
      <c r="AH192" s="52"/>
      <c r="AI192" s="52"/>
      <c r="AJ192" s="52"/>
      <c r="AK192" s="51">
        <f>360+100</f>
        <v>460</v>
      </c>
      <c r="AL192" s="52"/>
      <c r="AM192" s="52"/>
      <c r="AN192" s="52"/>
      <c r="AO192" s="52"/>
      <c r="AP192" s="51">
        <f>340+100</f>
        <v>440</v>
      </c>
      <c r="AQ192" s="203"/>
      <c r="AR192" s="409"/>
      <c r="AS192" s="664" t="s">
        <v>374</v>
      </c>
      <c r="AT192" s="621"/>
      <c r="AU192" s="621"/>
      <c r="AV192" s="621"/>
      <c r="AW192" s="664" t="s">
        <v>376</v>
      </c>
      <c r="AX192" s="621"/>
      <c r="AY192" s="621"/>
      <c r="AZ192" s="664" t="s">
        <v>377</v>
      </c>
      <c r="BA192" s="621"/>
      <c r="BB192" s="621"/>
      <c r="BC192" s="409"/>
      <c r="BG192"/>
      <c r="BH192"/>
      <c r="BI192"/>
      <c r="BJ192"/>
      <c r="BK192"/>
      <c r="BL192"/>
    </row>
    <row r="193" spans="1:238" s="484" customFormat="1" ht="12" customHeight="1">
      <c r="A193" s="488" t="s">
        <v>229</v>
      </c>
      <c r="B193" s="112">
        <v>384</v>
      </c>
      <c r="C193" s="680">
        <v>172</v>
      </c>
      <c r="D193" s="613">
        <v>170</v>
      </c>
      <c r="E193" s="638">
        <v>185</v>
      </c>
      <c r="F193" s="638">
        <f>+G193-SUM(C193:E193)</f>
        <v>176</v>
      </c>
      <c r="G193" s="112">
        <v>703</v>
      </c>
      <c r="H193" s="680">
        <v>207</v>
      </c>
      <c r="I193" s="658">
        <v>202</v>
      </c>
      <c r="J193" s="638">
        <v>224</v>
      </c>
      <c r="K193" s="638">
        <f>+L193-SUM(H193:J193)</f>
        <v>214</v>
      </c>
      <c r="L193" s="814">
        <v>847</v>
      </c>
      <c r="M193" s="795">
        <v>251</v>
      </c>
      <c r="N193" s="795">
        <v>251</v>
      </c>
      <c r="O193" s="904">
        <v>267</v>
      </c>
      <c r="P193" s="904">
        <f>1026-O193-N193-M193</f>
        <v>257</v>
      </c>
      <c r="Q193" s="1024">
        <f t="shared" si="231"/>
        <v>1026</v>
      </c>
      <c r="R193" s="795"/>
      <c r="S193" s="795"/>
      <c r="T193" s="904"/>
      <c r="U193" s="904"/>
      <c r="V193" s="1024"/>
      <c r="W193" s="175">
        <v>215</v>
      </c>
      <c r="X193" s="175">
        <v>215</v>
      </c>
      <c r="Y193" s="175">
        <f>215+50</f>
        <v>265</v>
      </c>
      <c r="Z193" s="175">
        <f>215+50</f>
        <v>265</v>
      </c>
      <c r="AA193" s="1100">
        <f>SUM(W193:Z193)</f>
        <v>960</v>
      </c>
      <c r="AB193" s="52"/>
      <c r="AC193" s="52"/>
      <c r="AD193" s="52"/>
      <c r="AE193" s="52"/>
      <c r="AF193" s="51">
        <f>750+200</f>
        <v>950</v>
      </c>
      <c r="AG193" s="52"/>
      <c r="AH193" s="52"/>
      <c r="AI193" s="52"/>
      <c r="AJ193" s="52"/>
      <c r="AK193" s="51">
        <f>500+150</f>
        <v>650</v>
      </c>
      <c r="AL193" s="52"/>
      <c r="AM193" s="52"/>
      <c r="AN193" s="52"/>
      <c r="AO193" s="52"/>
      <c r="AP193" s="51">
        <f>AK193</f>
        <v>650</v>
      </c>
      <c r="AQ193" s="203"/>
      <c r="AR193" s="409"/>
      <c r="AS193" s="664" t="s">
        <v>375</v>
      </c>
      <c r="AT193" s="621"/>
      <c r="AU193" s="304"/>
      <c r="AV193" s="621"/>
      <c r="AW193" s="664" t="s">
        <v>378</v>
      </c>
      <c r="AX193" s="621"/>
      <c r="AY193" s="621"/>
      <c r="AZ193" s="664" t="s">
        <v>379</v>
      </c>
      <c r="BA193" s="621"/>
      <c r="BB193" s="621"/>
      <c r="BC193" s="409"/>
      <c r="BG193"/>
      <c r="BH193"/>
      <c r="BI193"/>
      <c r="BJ193"/>
      <c r="BK193"/>
      <c r="BL193"/>
    </row>
    <row r="194" spans="1:238">
      <c r="A194" s="226" t="s">
        <v>129</v>
      </c>
      <c r="B194" s="227">
        <f t="shared" ref="B194:L194" si="232">B178+B244</f>
        <v>3658</v>
      </c>
      <c r="C194" s="230">
        <f t="shared" si="232"/>
        <v>879</v>
      </c>
      <c r="D194" s="230">
        <f t="shared" si="232"/>
        <v>930</v>
      </c>
      <c r="E194" s="230">
        <f t="shared" si="232"/>
        <v>907</v>
      </c>
      <c r="F194" s="472">
        <f t="shared" si="232"/>
        <v>827</v>
      </c>
      <c r="G194" s="227">
        <f t="shared" si="232"/>
        <v>3543</v>
      </c>
      <c r="H194" s="230">
        <f t="shared" si="232"/>
        <v>842</v>
      </c>
      <c r="I194" s="230">
        <f t="shared" si="232"/>
        <v>903</v>
      </c>
      <c r="J194" s="230">
        <f t="shared" si="232"/>
        <v>939</v>
      </c>
      <c r="K194" s="472">
        <f t="shared" si="232"/>
        <v>965</v>
      </c>
      <c r="L194" s="227">
        <f t="shared" si="232"/>
        <v>3649</v>
      </c>
      <c r="M194" s="230">
        <f>M178+M244</f>
        <v>936</v>
      </c>
      <c r="N194" s="230">
        <f>N178+N244</f>
        <v>962</v>
      </c>
      <c r="O194" s="230">
        <f t="shared" ref="O194:Q194" si="233">O178+O244</f>
        <v>956</v>
      </c>
      <c r="P194" s="472">
        <f t="shared" si="233"/>
        <v>920</v>
      </c>
      <c r="Q194" s="227">
        <f t="shared" si="233"/>
        <v>3774</v>
      </c>
      <c r="R194" s="230">
        <f>R178+R244</f>
        <v>966</v>
      </c>
      <c r="S194" s="230">
        <f>S178+S244</f>
        <v>980</v>
      </c>
      <c r="T194" s="230">
        <f t="shared" ref="T194:V194" si="234">T178+T244</f>
        <v>948</v>
      </c>
      <c r="U194" s="472">
        <f t="shared" si="234"/>
        <v>857</v>
      </c>
      <c r="V194" s="227">
        <f t="shared" si="234"/>
        <v>3751</v>
      </c>
      <c r="W194" s="958">
        <f t="shared" ref="W194:Z194" si="235">W178+W244</f>
        <v>910.65660000000003</v>
      </c>
      <c r="X194" s="472">
        <f t="shared" si="235"/>
        <v>921.09269999999992</v>
      </c>
      <c r="Y194" s="472">
        <f t="shared" si="235"/>
        <v>1143.9007499999998</v>
      </c>
      <c r="Z194" s="959">
        <f t="shared" si="235"/>
        <v>1193.2430999999999</v>
      </c>
      <c r="AA194" s="227">
        <f>AA178+AA244</f>
        <v>4168.8931499999999</v>
      </c>
      <c r="AB194" s="229"/>
      <c r="AC194" s="229"/>
      <c r="AD194" s="229"/>
      <c r="AE194" s="229"/>
      <c r="AF194" s="227">
        <f>AF178+AF244</f>
        <v>4916.9005105000006</v>
      </c>
      <c r="AG194" s="229"/>
      <c r="AH194" s="229"/>
      <c r="AI194" s="229"/>
      <c r="AJ194" s="229"/>
      <c r="AK194" s="227">
        <f>AK178+AK244</f>
        <v>5023.742907445001</v>
      </c>
      <c r="AL194" s="229"/>
      <c r="AM194" s="229"/>
      <c r="AN194" s="229"/>
      <c r="AO194" s="229"/>
      <c r="AP194" s="227">
        <f>AP178+AP244</f>
        <v>5315.5355435512511</v>
      </c>
      <c r="AQ194" s="231"/>
      <c r="AR194" s="7"/>
      <c r="AS194" s="621"/>
      <c r="AT194" s="621"/>
      <c r="AU194" s="664"/>
      <c r="AV194" s="664"/>
      <c r="AW194" s="621"/>
      <c r="AX194" s="664"/>
      <c r="AY194" s="664"/>
      <c r="AZ194" s="664"/>
      <c r="BA194" s="664"/>
      <c r="BB194" s="664"/>
      <c r="BC194" s="105"/>
      <c r="BD194" s="29"/>
      <c r="BE194" s="29"/>
      <c r="BF194" s="29"/>
    </row>
    <row r="195" spans="1:238">
      <c r="A195" s="232" t="s">
        <v>204</v>
      </c>
      <c r="B195" s="25"/>
      <c r="C195" s="73"/>
      <c r="D195" s="73"/>
      <c r="E195" s="73"/>
      <c r="F195" s="73"/>
      <c r="G195" s="25">
        <f t="shared" ref="G195:O195" si="236">G194/B194-1</f>
        <v>-3.1437944231820669E-2</v>
      </c>
      <c r="H195" s="73">
        <f t="shared" si="236"/>
        <v>-4.209328782707622E-2</v>
      </c>
      <c r="I195" s="73">
        <f t="shared" si="236"/>
        <v>-2.9032258064516148E-2</v>
      </c>
      <c r="J195" s="73">
        <f t="shared" si="236"/>
        <v>3.5281146637265781E-2</v>
      </c>
      <c r="K195" s="73">
        <f t="shared" si="236"/>
        <v>0.16686819830713429</v>
      </c>
      <c r="L195" s="25">
        <f t="shared" si="236"/>
        <v>2.9918148461755667E-2</v>
      </c>
      <c r="M195" s="73">
        <f t="shared" si="236"/>
        <v>0.1116389548693586</v>
      </c>
      <c r="N195" s="73">
        <f t="shared" si="236"/>
        <v>6.5337763012181638E-2</v>
      </c>
      <c r="O195" s="73">
        <f t="shared" si="236"/>
        <v>1.8104366347177825E-2</v>
      </c>
      <c r="P195" s="73">
        <f t="shared" ref="P195" si="237">P194/K194-1</f>
        <v>-4.6632124352331661E-2</v>
      </c>
      <c r="Q195" s="25">
        <f t="shared" ref="Q195" si="238">Q194/L194-1</f>
        <v>3.4255960537133534E-2</v>
      </c>
      <c r="R195" s="73"/>
      <c r="S195" s="73"/>
      <c r="T195" s="73"/>
      <c r="U195" s="73"/>
      <c r="V195" s="25"/>
      <c r="W195" s="933">
        <f>W194/R194-1</f>
        <v>-5.7291304347826033E-2</v>
      </c>
      <c r="X195" s="73">
        <f t="shared" ref="X195:Z195" si="239">X194/S194-1</f>
        <v>-6.0109489795918458E-2</v>
      </c>
      <c r="Y195" s="73">
        <f t="shared" si="239"/>
        <v>0.2066463607594935</v>
      </c>
      <c r="Z195" s="75">
        <f t="shared" si="239"/>
        <v>0.39234900816802787</v>
      </c>
      <c r="AA195" s="25">
        <f>AA194/V194-1</f>
        <v>0.11140846440949081</v>
      </c>
      <c r="AB195" s="26"/>
      <c r="AC195" s="26"/>
      <c r="AD195" s="26"/>
      <c r="AE195" s="76"/>
      <c r="AF195" s="25">
        <f>AF194/AA194-1</f>
        <v>0.17942588921954039</v>
      </c>
      <c r="AG195" s="26"/>
      <c r="AH195" s="26"/>
      <c r="AI195" s="26"/>
      <c r="AJ195" s="76"/>
      <c r="AK195" s="25">
        <f>AK194/AF194-1</f>
        <v>2.172962351319474E-2</v>
      </c>
      <c r="AL195" s="26"/>
      <c r="AM195" s="26"/>
      <c r="AN195" s="26"/>
      <c r="AO195" s="76"/>
      <c r="AP195" s="25">
        <f>AP194/AK194-1</f>
        <v>5.8082716707860138E-2</v>
      </c>
      <c r="AQ195" s="231"/>
      <c r="AR195" s="7"/>
      <c r="AS195" s="621" t="s">
        <v>407</v>
      </c>
      <c r="AT195" s="993"/>
      <c r="AU195" s="664"/>
      <c r="AV195" s="664"/>
      <c r="AW195" s="664"/>
      <c r="AX195" s="664"/>
      <c r="AY195" s="664"/>
      <c r="AZ195" s="664"/>
      <c r="BA195" s="664"/>
      <c r="BB195" s="664"/>
      <c r="BC195" s="105"/>
      <c r="BD195" s="29"/>
      <c r="BE195" s="29"/>
      <c r="BF195" s="29"/>
    </row>
    <row r="196" spans="1:238">
      <c r="A196" s="233" t="s">
        <v>130</v>
      </c>
      <c r="B196" s="234">
        <f t="shared" ref="B196:AA196" si="240">B194/B69</f>
        <v>0.15255014804620709</v>
      </c>
      <c r="C196" s="237">
        <f t="shared" si="240"/>
        <v>0.14755749538358234</v>
      </c>
      <c r="D196" s="237">
        <f t="shared" si="240"/>
        <v>0.15773405698778833</v>
      </c>
      <c r="E196" s="237">
        <f t="shared" si="240"/>
        <v>0.15169760829570161</v>
      </c>
      <c r="F196" s="236">
        <f t="shared" si="240"/>
        <v>0.14524060414471374</v>
      </c>
      <c r="G196" s="234">
        <f t="shared" si="240"/>
        <v>0.15059933690385105</v>
      </c>
      <c r="H196" s="237">
        <f t="shared" si="240"/>
        <v>0.14137004701141706</v>
      </c>
      <c r="I196" s="237">
        <f t="shared" si="240"/>
        <v>0.15049999999999999</v>
      </c>
      <c r="J196" s="237">
        <f t="shared" si="240"/>
        <v>0.15255889520714866</v>
      </c>
      <c r="K196" s="236">
        <f t="shared" si="240"/>
        <v>0.15085196185712052</v>
      </c>
      <c r="L196" s="234">
        <f t="shared" si="240"/>
        <v>0.14889015831565203</v>
      </c>
      <c r="M196" s="237">
        <f t="shared" si="240"/>
        <v>0.14935375777884155</v>
      </c>
      <c r="N196" s="237">
        <f t="shared" si="240"/>
        <v>0.15090196078431373</v>
      </c>
      <c r="O196" s="237">
        <f t="shared" si="240"/>
        <v>0.1464685153975793</v>
      </c>
      <c r="P196" s="236">
        <f t="shared" ref="P196:T196" si="241">P194/P69</f>
        <v>0.13867952969550798</v>
      </c>
      <c r="Q196" s="234">
        <f t="shared" si="241"/>
        <v>0.14626206255086618</v>
      </c>
      <c r="R196" s="237">
        <f t="shared" si="241"/>
        <v>0.15070202808112323</v>
      </c>
      <c r="S196" s="237">
        <f t="shared" si="241"/>
        <v>0.15139811524795305</v>
      </c>
      <c r="T196" s="237">
        <f t="shared" si="241"/>
        <v>0.14431420307504947</v>
      </c>
      <c r="U196" s="236">
        <f t="shared" ref="U196:V196" si="242">U194/U69</f>
        <v>0.13079975579975581</v>
      </c>
      <c r="V196" s="234">
        <f t="shared" si="242"/>
        <v>0.14424703891708968</v>
      </c>
      <c r="W196" s="960">
        <f t="shared" si="240"/>
        <v>0.1380753628622059</v>
      </c>
      <c r="X196" s="236">
        <f t="shared" si="240"/>
        <v>0.13863020778255911</v>
      </c>
      <c r="Y196" s="236">
        <f t="shared" si="240"/>
        <v>0.14280960783353666</v>
      </c>
      <c r="Z196" s="374">
        <f t="shared" si="240"/>
        <v>0.14897159988634423</v>
      </c>
      <c r="AA196" s="234">
        <f t="shared" si="240"/>
        <v>0.14248027006432923</v>
      </c>
      <c r="AB196" s="235"/>
      <c r="AC196" s="235"/>
      <c r="AD196" s="235"/>
      <c r="AE196" s="235"/>
      <c r="AF196" s="234">
        <f>AF194/AF69</f>
        <v>0.14526516763527436</v>
      </c>
      <c r="AG196" s="235"/>
      <c r="AH196" s="235"/>
      <c r="AI196" s="235"/>
      <c r="AJ196" s="235"/>
      <c r="AK196" s="234">
        <f>AK194/AK69</f>
        <v>0.13823555227122344</v>
      </c>
      <c r="AL196" s="235"/>
      <c r="AM196" s="235"/>
      <c r="AN196" s="235"/>
      <c r="AO196" s="235"/>
      <c r="AP196" s="234">
        <f>AP194/AP69</f>
        <v>0.13835641217264907</v>
      </c>
      <c r="AQ196" s="238"/>
      <c r="AR196" s="7"/>
      <c r="AS196" s="621" t="s">
        <v>408</v>
      </c>
      <c r="AT196" s="993"/>
      <c r="AU196" s="664"/>
      <c r="AV196" s="664"/>
      <c r="AW196" s="664"/>
      <c r="AX196" s="664"/>
      <c r="AY196" s="664"/>
      <c r="AZ196" s="664"/>
      <c r="BA196" s="664"/>
      <c r="BB196" s="664"/>
      <c r="BC196" s="105"/>
      <c r="BD196" s="29"/>
      <c r="BE196" s="29"/>
      <c r="BF196" s="29"/>
    </row>
    <row r="197" spans="1:238">
      <c r="A197" s="226" t="s">
        <v>11</v>
      </c>
      <c r="B197" s="227">
        <f t="shared" ref="B197:G197" si="243">B178+B244-B191</f>
        <v>3389</v>
      </c>
      <c r="C197" s="228">
        <f t="shared" si="243"/>
        <v>796</v>
      </c>
      <c r="D197" s="229">
        <f t="shared" si="243"/>
        <v>849</v>
      </c>
      <c r="E197" s="229">
        <f t="shared" si="243"/>
        <v>810</v>
      </c>
      <c r="F197" s="472">
        <f t="shared" si="243"/>
        <v>740</v>
      </c>
      <c r="G197" s="227">
        <f t="shared" si="243"/>
        <v>3195</v>
      </c>
      <c r="H197" s="228">
        <f t="shared" ref="H197:N197" si="244">H178+H244-H191</f>
        <v>768</v>
      </c>
      <c r="I197" s="229">
        <f t="shared" si="244"/>
        <v>834</v>
      </c>
      <c r="J197" s="229">
        <f t="shared" si="244"/>
        <v>848</v>
      </c>
      <c r="K197" s="472">
        <f t="shared" si="244"/>
        <v>883</v>
      </c>
      <c r="L197" s="227">
        <f t="shared" si="244"/>
        <v>3333</v>
      </c>
      <c r="M197" s="228">
        <f t="shared" si="244"/>
        <v>800</v>
      </c>
      <c r="N197" s="229">
        <f t="shared" si="244"/>
        <v>825</v>
      </c>
      <c r="O197" s="229">
        <f t="shared" ref="O197:S197" si="245">O178+O244-O191</f>
        <v>784</v>
      </c>
      <c r="P197" s="472">
        <f t="shared" si="245"/>
        <v>771</v>
      </c>
      <c r="Q197" s="227">
        <f t="shared" si="245"/>
        <v>3180</v>
      </c>
      <c r="R197" s="228">
        <f t="shared" si="245"/>
        <v>812</v>
      </c>
      <c r="S197" s="229">
        <f t="shared" si="245"/>
        <v>826</v>
      </c>
      <c r="T197" s="229">
        <f t="shared" ref="T197:V197" si="246">T178+T244-T191</f>
        <v>778</v>
      </c>
      <c r="U197" s="472">
        <f t="shared" si="246"/>
        <v>697</v>
      </c>
      <c r="V197" s="227">
        <f t="shared" si="246"/>
        <v>3113</v>
      </c>
      <c r="W197" s="958">
        <f t="shared" ref="W197:Z197" si="247">W178+W244-W191</f>
        <v>795.65660000000003</v>
      </c>
      <c r="X197" s="472">
        <f t="shared" si="247"/>
        <v>806.09269999999992</v>
      </c>
      <c r="Y197" s="472">
        <f t="shared" si="247"/>
        <v>1003.9007499999998</v>
      </c>
      <c r="Z197" s="959">
        <f t="shared" si="247"/>
        <v>1053.2430999999999</v>
      </c>
      <c r="AA197" s="227">
        <f>AA178+AA244-AA191</f>
        <v>3658.8931499999999</v>
      </c>
      <c r="AB197" s="229"/>
      <c r="AC197" s="229"/>
      <c r="AD197" s="229"/>
      <c r="AE197" s="229"/>
      <c r="AF197" s="227">
        <f>AF178+AF244-AF191</f>
        <v>4446.9005105000006</v>
      </c>
      <c r="AG197" s="229"/>
      <c r="AH197" s="229"/>
      <c r="AI197" s="229"/>
      <c r="AJ197" s="229"/>
      <c r="AK197" s="227">
        <f>AK178+AK244-AK191</f>
        <v>4833.742907445001</v>
      </c>
      <c r="AL197" s="229"/>
      <c r="AM197" s="229"/>
      <c r="AN197" s="229"/>
      <c r="AO197" s="229"/>
      <c r="AP197" s="227">
        <f>AP178+AP244-AP191</f>
        <v>5105.5355435512511</v>
      </c>
      <c r="AQ197" s="231"/>
      <c r="AR197" s="7"/>
      <c r="AS197" s="621" t="s">
        <v>409</v>
      </c>
      <c r="AT197" s="993"/>
      <c r="AU197" s="664"/>
      <c r="AV197" s="664"/>
      <c r="AW197" s="664"/>
      <c r="AX197" s="664"/>
      <c r="AY197" s="664"/>
      <c r="AZ197" s="664"/>
      <c r="BA197" s="664"/>
      <c r="BB197" s="664"/>
      <c r="BC197" s="105"/>
      <c r="BD197" s="29"/>
      <c r="BE197" s="29"/>
      <c r="BF197" s="29"/>
    </row>
    <row r="198" spans="1:238">
      <c r="A198" s="232" t="s">
        <v>204</v>
      </c>
      <c r="B198" s="25"/>
      <c r="C198" s="73"/>
      <c r="D198" s="73"/>
      <c r="E198" s="73"/>
      <c r="F198" s="73"/>
      <c r="G198" s="25">
        <f t="shared" ref="G198:O198" si="248">G197/B197-1</f>
        <v>-5.72440247860726E-2</v>
      </c>
      <c r="H198" s="73">
        <f t="shared" si="248"/>
        <v>-3.5175879396984966E-2</v>
      </c>
      <c r="I198" s="73">
        <f t="shared" si="248"/>
        <v>-1.7667844522968212E-2</v>
      </c>
      <c r="J198" s="73">
        <f t="shared" si="248"/>
        <v>4.6913580246913611E-2</v>
      </c>
      <c r="K198" s="73">
        <f t="shared" si="248"/>
        <v>0.19324324324324316</v>
      </c>
      <c r="L198" s="25">
        <f t="shared" si="248"/>
        <v>4.3192488262910889E-2</v>
      </c>
      <c r="M198" s="73">
        <f t="shared" si="248"/>
        <v>4.1666666666666741E-2</v>
      </c>
      <c r="N198" s="73">
        <f t="shared" si="248"/>
        <v>-1.0791366906474864E-2</v>
      </c>
      <c r="O198" s="73">
        <f t="shared" si="248"/>
        <v>-7.547169811320753E-2</v>
      </c>
      <c r="P198" s="73">
        <f t="shared" ref="P198" si="249">P197/K197-1</f>
        <v>-0.1268403171007928</v>
      </c>
      <c r="Q198" s="25">
        <f t="shared" ref="Q198" si="250">Q197/L197-1</f>
        <v>-4.5904590459045935E-2</v>
      </c>
      <c r="R198" s="73"/>
      <c r="S198" s="73"/>
      <c r="T198" s="73"/>
      <c r="U198" s="73"/>
      <c r="V198" s="25"/>
      <c r="W198" s="933">
        <f>W197/R197-1</f>
        <v>-2.0127339901477748E-2</v>
      </c>
      <c r="X198" s="73">
        <f t="shared" ref="X198:AA198" si="251">X197/S197-1</f>
        <v>-2.4100847457627195E-2</v>
      </c>
      <c r="Y198" s="73">
        <f t="shared" si="251"/>
        <v>0.29036086118251903</v>
      </c>
      <c r="Z198" s="75">
        <f t="shared" si="251"/>
        <v>0.5111091822094691</v>
      </c>
      <c r="AA198" s="25">
        <f t="shared" si="251"/>
        <v>0.17535918727915201</v>
      </c>
      <c r="AB198" s="26"/>
      <c r="AC198" s="26"/>
      <c r="AD198" s="26"/>
      <c r="AE198" s="76"/>
      <c r="AF198" s="25">
        <f>AF197/AA197-1</f>
        <v>0.21536768858636957</v>
      </c>
      <c r="AG198" s="26"/>
      <c r="AH198" s="26"/>
      <c r="AI198" s="26"/>
      <c r="AJ198" s="76"/>
      <c r="AK198" s="25">
        <f>AK197/AF197-1</f>
        <v>8.6991466535307094E-2</v>
      </c>
      <c r="AL198" s="26"/>
      <c r="AM198" s="26"/>
      <c r="AN198" s="26"/>
      <c r="AO198" s="76"/>
      <c r="AP198" s="25">
        <f>AP197/AK197-1</f>
        <v>5.6228194446922508E-2</v>
      </c>
      <c r="AQ198" s="238"/>
      <c r="AR198" s="7"/>
      <c r="AS198" s="621" t="s">
        <v>410</v>
      </c>
      <c r="AT198" s="993"/>
      <c r="AU198" s="664"/>
      <c r="AV198" s="664"/>
      <c r="AW198" s="664"/>
      <c r="AX198" s="664"/>
      <c r="AY198" s="664"/>
      <c r="AZ198" s="664"/>
      <c r="BA198" s="664"/>
      <c r="BB198" s="664"/>
      <c r="BC198" s="105"/>
      <c r="BD198" s="29"/>
      <c r="BE198" s="29"/>
      <c r="BF198" s="29"/>
    </row>
    <row r="199" spans="1:238">
      <c r="A199" s="233" t="s">
        <v>12</v>
      </c>
      <c r="B199" s="25">
        <f t="shared" ref="B199:G199" si="252">B197/B180</f>
        <v>0.14133199883231159</v>
      </c>
      <c r="C199" s="73">
        <f t="shared" si="252"/>
        <v>0.13362430753735102</v>
      </c>
      <c r="D199" s="73">
        <f t="shared" si="252"/>
        <v>0.14399592944369063</v>
      </c>
      <c r="E199" s="73">
        <f t="shared" si="252"/>
        <v>0.1354741595584546</v>
      </c>
      <c r="F199" s="73">
        <f t="shared" si="252"/>
        <v>0.12996136283807516</v>
      </c>
      <c r="G199" s="25">
        <f t="shared" si="252"/>
        <v>0.13580719204284622</v>
      </c>
      <c r="H199" s="73">
        <f t="shared" ref="H199:N199" si="253">H197/H180</f>
        <v>0.12894560107454667</v>
      </c>
      <c r="I199" s="73">
        <f t="shared" si="253"/>
        <v>0.13900000000000001</v>
      </c>
      <c r="J199" s="73">
        <f t="shared" si="253"/>
        <v>0.13777416734362308</v>
      </c>
      <c r="K199" s="73">
        <f t="shared" si="253"/>
        <v>0.13803345318117868</v>
      </c>
      <c r="L199" s="25">
        <f t="shared" si="253"/>
        <v>0.1359964093357271</v>
      </c>
      <c r="M199" s="73">
        <f t="shared" si="253"/>
        <v>0.1276527844263603</v>
      </c>
      <c r="N199" s="73">
        <f t="shared" si="253"/>
        <v>0.12941176470588237</v>
      </c>
      <c r="O199" s="73">
        <f t="shared" ref="O199:S199" si="254">O197/O180</f>
        <v>0.1201164394055462</v>
      </c>
      <c r="P199" s="73">
        <f t="shared" si="254"/>
        <v>0.11621947542960506</v>
      </c>
      <c r="Q199" s="25">
        <f t="shared" si="254"/>
        <v>0.1232414835484246</v>
      </c>
      <c r="R199" s="73">
        <f t="shared" si="254"/>
        <v>0.12667706708268331</v>
      </c>
      <c r="S199" s="73">
        <f t="shared" si="254"/>
        <v>0.12760698285184613</v>
      </c>
      <c r="T199" s="73">
        <f t="shared" ref="T199:V199" si="255">T197/T180</f>
        <v>0.11843507383163343</v>
      </c>
      <c r="U199" s="73">
        <f t="shared" si="255"/>
        <v>0.10637973137973138</v>
      </c>
      <c r="V199" s="25">
        <f t="shared" si="255"/>
        <v>0.11971235194585449</v>
      </c>
      <c r="W199" s="933">
        <f t="shared" ref="W199:Z199" si="256">W197/W180</f>
        <v>0.12063885965215539</v>
      </c>
      <c r="X199" s="73">
        <f t="shared" si="256"/>
        <v>0.12132198908210225</v>
      </c>
      <c r="Y199" s="73">
        <f t="shared" si="256"/>
        <v>0.12533139121667095</v>
      </c>
      <c r="Z199" s="75">
        <f t="shared" si="256"/>
        <v>0.13149316319218846</v>
      </c>
      <c r="AA199" s="25">
        <f>AA197/AA180</f>
        <v>0.12504999897839172</v>
      </c>
      <c r="AB199" s="26"/>
      <c r="AC199" s="26"/>
      <c r="AD199" s="26"/>
      <c r="AE199" s="76"/>
      <c r="AF199" s="25">
        <f>AF197/AF180</f>
        <v>0.13137946288229449</v>
      </c>
      <c r="AG199" s="26"/>
      <c r="AH199" s="26"/>
      <c r="AI199" s="26"/>
      <c r="AJ199" s="76"/>
      <c r="AK199" s="25">
        <f>AK197/AK180</f>
        <v>0.13300742746161007</v>
      </c>
      <c r="AL199" s="26"/>
      <c r="AM199" s="26"/>
      <c r="AN199" s="26"/>
      <c r="AO199" s="76"/>
      <c r="AP199" s="25">
        <f>AP197/AP180</f>
        <v>0.13289038785238932</v>
      </c>
      <c r="AQ199" s="238"/>
      <c r="AR199" s="7"/>
      <c r="AS199" s="664"/>
      <c r="AT199" s="664"/>
      <c r="AU199" s="664"/>
      <c r="AV199" s="664"/>
      <c r="AW199" s="664"/>
      <c r="AX199" s="664"/>
      <c r="AY199" s="664"/>
      <c r="AZ199" s="664"/>
      <c r="BA199" s="664"/>
      <c r="BB199" s="664"/>
      <c r="BC199" s="105"/>
      <c r="BD199" s="29"/>
      <c r="BE199" s="29"/>
      <c r="BF199" s="29"/>
    </row>
    <row r="200" spans="1:238" s="10" customFormat="1" ht="12" customHeight="1">
      <c r="A200" s="11" t="s">
        <v>13</v>
      </c>
      <c r="B200" s="12"/>
      <c r="C200" s="13"/>
      <c r="D200" s="13"/>
      <c r="E200" s="13"/>
      <c r="F200" s="13"/>
      <c r="G200" s="12"/>
      <c r="H200" s="13"/>
      <c r="I200" s="13"/>
      <c r="J200" s="13"/>
      <c r="K200" s="13"/>
      <c r="L200" s="12"/>
      <c r="M200" s="13"/>
      <c r="N200" s="13"/>
      <c r="O200" s="13"/>
      <c r="P200" s="13"/>
      <c r="Q200" s="12"/>
      <c r="R200" s="13"/>
      <c r="S200" s="13"/>
      <c r="T200" s="13"/>
      <c r="U200" s="13"/>
      <c r="V200" s="12"/>
      <c r="W200" s="13"/>
      <c r="X200" s="13"/>
      <c r="Y200" s="13"/>
      <c r="Z200" s="13"/>
      <c r="AA200" s="12"/>
      <c r="AB200" s="13"/>
      <c r="AC200" s="13"/>
      <c r="AD200" s="13"/>
      <c r="AE200" s="13"/>
      <c r="AF200" s="12"/>
      <c r="AG200" s="13"/>
      <c r="AH200" s="13"/>
      <c r="AI200" s="13"/>
      <c r="AJ200" s="13"/>
      <c r="AK200" s="12"/>
      <c r="AL200" s="13"/>
      <c r="AM200" s="13"/>
      <c r="AN200" s="13"/>
      <c r="AO200" s="13"/>
      <c r="AP200" s="12"/>
      <c r="AQ200" s="8"/>
      <c r="AR200" s="6"/>
      <c r="AS200" s="664"/>
      <c r="AT200" s="619"/>
      <c r="AU200" s="619"/>
      <c r="AV200" s="619"/>
      <c r="AW200" s="619"/>
      <c r="AX200" s="619"/>
      <c r="AY200" s="619"/>
      <c r="AZ200" s="619"/>
      <c r="BA200" s="619"/>
      <c r="BB200" s="619"/>
      <c r="BC200" s="6"/>
      <c r="BG200"/>
      <c r="BH200"/>
      <c r="BI200"/>
      <c r="BJ200"/>
      <c r="BK200"/>
      <c r="BL200"/>
    </row>
    <row r="201" spans="1:238" s="529" customFormat="1">
      <c r="A201" s="532" t="s">
        <v>119</v>
      </c>
      <c r="B201" s="533">
        <v>-282</v>
      </c>
      <c r="C201" s="534">
        <v>-76</v>
      </c>
      <c r="D201" s="534">
        <v>-75</v>
      </c>
      <c r="E201" s="535">
        <v>-75</v>
      </c>
      <c r="F201" s="535">
        <v>-75</v>
      </c>
      <c r="G201" s="533">
        <f>+SUM(C201:F201)</f>
        <v>-301</v>
      </c>
      <c r="H201" s="681">
        <v>-76</v>
      </c>
      <c r="I201" s="681">
        <v>-74</v>
      </c>
      <c r="J201" s="681">
        <v>-74</v>
      </c>
      <c r="K201" s="677">
        <v>-77</v>
      </c>
      <c r="L201" s="673">
        <v>-301</v>
      </c>
      <c r="M201" s="681">
        <v>-75</v>
      </c>
      <c r="N201" s="681">
        <v>-76</v>
      </c>
      <c r="O201" s="681">
        <v>-73</v>
      </c>
      <c r="P201" s="677">
        <v>-136</v>
      </c>
      <c r="Q201" s="674">
        <f>+SUM(M201:P201)</f>
        <v>-360</v>
      </c>
      <c r="R201" s="681">
        <v>-75</v>
      </c>
      <c r="S201" s="681">
        <v>-76</v>
      </c>
      <c r="T201" s="681">
        <v>-73</v>
      </c>
      <c r="U201" s="677">
        <v>-136</v>
      </c>
      <c r="V201" s="674">
        <f>+SUM(R201:U201)</f>
        <v>-360</v>
      </c>
      <c r="W201" s="681">
        <f>AA201/4</f>
        <v>-120.75</v>
      </c>
      <c r="X201" s="681">
        <f>(AA201-W201)/3</f>
        <v>-120.75</v>
      </c>
      <c r="Y201" s="681">
        <f>(AA201-W201-X201)/2</f>
        <v>-120.75</v>
      </c>
      <c r="Z201" s="677">
        <f>AA201-W201-X201-Y201</f>
        <v>-120.75</v>
      </c>
      <c r="AA201" s="538">
        <v>-483</v>
      </c>
      <c r="AB201" s="536"/>
      <c r="AC201" s="536"/>
      <c r="AD201" s="536"/>
      <c r="AE201" s="537"/>
      <c r="AF201" s="538">
        <v>-471</v>
      </c>
      <c r="AG201" s="536"/>
      <c r="AH201" s="536"/>
      <c r="AI201" s="536"/>
      <c r="AJ201" s="537"/>
      <c r="AK201" s="538">
        <v>-440</v>
      </c>
      <c r="AL201" s="536"/>
      <c r="AM201" s="536"/>
      <c r="AN201" s="536"/>
      <c r="AO201" s="537"/>
      <c r="AP201" s="538">
        <v>-404</v>
      </c>
      <c r="AQ201" s="8"/>
      <c r="AR201" s="6"/>
      <c r="AS201" s="664" t="s">
        <v>417</v>
      </c>
      <c r="AT201" s="619"/>
      <c r="AU201" s="619"/>
      <c r="AV201" s="619"/>
      <c r="AW201" s="619"/>
      <c r="AX201" s="619"/>
      <c r="AY201" s="619"/>
      <c r="AZ201" s="619"/>
      <c r="BA201" s="619"/>
      <c r="BB201" s="619"/>
      <c r="BC201" s="6"/>
      <c r="BD201" s="10"/>
      <c r="BE201" s="10"/>
      <c r="BF201" s="10"/>
      <c r="BG201"/>
      <c r="BH201"/>
      <c r="BI201"/>
      <c r="BJ201"/>
      <c r="BK201"/>
      <c r="BL201"/>
      <c r="BM201" s="10"/>
      <c r="BN201" s="10"/>
      <c r="BO201" s="10"/>
      <c r="BP201" s="10"/>
      <c r="BQ201" s="10"/>
      <c r="BR201" s="10"/>
      <c r="BS201" s="10"/>
      <c r="BT201" s="10"/>
      <c r="BU201" s="10"/>
      <c r="BV201" s="10"/>
      <c r="BW201" s="10"/>
      <c r="BX201" s="10"/>
      <c r="BY201" s="10"/>
      <c r="BZ201" s="10"/>
      <c r="CA201" s="10"/>
      <c r="CB201" s="10"/>
      <c r="CC201" s="10"/>
      <c r="CD201" s="10"/>
      <c r="CE201" s="10"/>
      <c r="CF201" s="10"/>
      <c r="CG201" s="10"/>
      <c r="CH201" s="10"/>
      <c r="CI201" s="10"/>
      <c r="CJ201" s="10"/>
      <c r="CK201" s="10"/>
      <c r="CL201" s="10"/>
      <c r="CM201" s="10"/>
      <c r="CN201" s="10"/>
      <c r="CO201" s="10"/>
      <c r="CP201" s="10"/>
      <c r="CQ201" s="10"/>
      <c r="CR201" s="10"/>
      <c r="CS201" s="10"/>
      <c r="CT201" s="10"/>
      <c r="CU201" s="10"/>
      <c r="CV201" s="10"/>
      <c r="CW201" s="10"/>
      <c r="CX201" s="10"/>
      <c r="CY201" s="10"/>
      <c r="CZ201" s="10"/>
      <c r="DA201" s="10"/>
      <c r="DB201" s="10"/>
      <c r="DC201" s="10"/>
      <c r="DD201" s="10"/>
      <c r="DE201" s="10"/>
      <c r="DF201" s="10"/>
      <c r="DG201" s="10"/>
      <c r="DH201" s="10"/>
      <c r="DI201" s="10"/>
      <c r="DJ201" s="10"/>
      <c r="DK201" s="10"/>
      <c r="DL201" s="10"/>
      <c r="DM201" s="10"/>
      <c r="DN201" s="10"/>
      <c r="DO201" s="10"/>
      <c r="DP201" s="10"/>
      <c r="DQ201" s="10"/>
      <c r="DR201" s="10"/>
      <c r="DS201" s="10"/>
      <c r="DT201" s="10"/>
      <c r="DU201" s="10"/>
      <c r="DV201" s="10"/>
      <c r="DW201" s="10"/>
      <c r="DX201" s="10"/>
      <c r="DY201" s="10"/>
      <c r="DZ201" s="10"/>
      <c r="EA201" s="10"/>
      <c r="EB201" s="10"/>
      <c r="EC201" s="10"/>
      <c r="ED201" s="10"/>
      <c r="EE201" s="10"/>
      <c r="EF201" s="10"/>
      <c r="EG201" s="10"/>
      <c r="EH201" s="10"/>
      <c r="EI201" s="10"/>
      <c r="EJ201" s="10"/>
      <c r="EK201" s="10"/>
      <c r="EL201" s="10"/>
      <c r="EM201" s="10"/>
      <c r="EN201" s="10"/>
      <c r="EO201" s="10"/>
      <c r="EP201" s="10"/>
      <c r="EQ201" s="10"/>
      <c r="ER201" s="10"/>
      <c r="ES201" s="10"/>
      <c r="ET201" s="10"/>
      <c r="EU201" s="10"/>
      <c r="EV201" s="10"/>
      <c r="EW201" s="10"/>
      <c r="EX201" s="10"/>
      <c r="EY201" s="10"/>
      <c r="EZ201" s="10"/>
      <c r="FA201" s="10"/>
      <c r="FB201" s="10"/>
      <c r="FC201" s="10"/>
      <c r="FD201" s="10"/>
      <c r="FE201" s="10"/>
      <c r="FF201" s="10"/>
      <c r="FG201" s="10"/>
      <c r="FH201" s="10"/>
      <c r="FI201" s="10"/>
      <c r="FJ201" s="10"/>
      <c r="FK201" s="10"/>
      <c r="FL201" s="10"/>
      <c r="FM201" s="10"/>
      <c r="FN201" s="10"/>
      <c r="FO201" s="10"/>
      <c r="FP201" s="10"/>
      <c r="FQ201" s="10"/>
      <c r="FR201" s="10"/>
      <c r="FS201" s="10"/>
      <c r="FT201" s="10"/>
      <c r="FU201" s="10"/>
      <c r="FV201" s="10"/>
      <c r="FW201" s="10"/>
      <c r="FX201" s="10"/>
      <c r="FY201" s="10"/>
      <c r="FZ201" s="10"/>
      <c r="GA201" s="10"/>
      <c r="GB201" s="10"/>
      <c r="GC201" s="10"/>
      <c r="GD201" s="10"/>
      <c r="GE201" s="10"/>
      <c r="GF201" s="10"/>
      <c r="GG201" s="10"/>
      <c r="GH201" s="10"/>
      <c r="GI201" s="10"/>
      <c r="GJ201" s="10"/>
      <c r="GK201" s="10"/>
      <c r="GL201" s="10"/>
      <c r="GM201" s="10"/>
      <c r="GN201" s="10"/>
      <c r="GO201" s="10"/>
      <c r="GP201" s="10"/>
      <c r="GQ201" s="10"/>
      <c r="GR201" s="10"/>
      <c r="GS201" s="10"/>
      <c r="GT201" s="10"/>
      <c r="GU201" s="10"/>
      <c r="GV201" s="10"/>
      <c r="GW201" s="10"/>
      <c r="GX201" s="10"/>
      <c r="GY201" s="10"/>
      <c r="GZ201" s="10"/>
      <c r="HA201" s="10"/>
      <c r="HB201" s="10"/>
      <c r="HC201" s="10"/>
      <c r="HD201" s="10"/>
      <c r="HE201" s="10"/>
      <c r="HF201" s="10"/>
      <c r="HG201" s="10"/>
      <c r="HH201" s="10"/>
      <c r="HI201" s="10"/>
      <c r="HJ201" s="10"/>
      <c r="HK201" s="10"/>
      <c r="HL201" s="10"/>
      <c r="HM201" s="10"/>
      <c r="HN201" s="10"/>
      <c r="HO201" s="10"/>
      <c r="HP201" s="10"/>
      <c r="HQ201" s="10"/>
      <c r="HR201" s="10"/>
      <c r="HS201" s="10"/>
      <c r="HT201" s="10"/>
      <c r="HU201" s="10"/>
      <c r="HV201" s="10"/>
      <c r="HW201" s="10"/>
      <c r="HX201" s="10"/>
      <c r="HY201" s="10"/>
      <c r="HZ201" s="10"/>
      <c r="IA201" s="10"/>
      <c r="IB201" s="10"/>
      <c r="IC201" s="10"/>
      <c r="ID201" s="10"/>
    </row>
    <row r="202" spans="1:238" s="81" customFormat="1">
      <c r="A202" s="248" t="s">
        <v>14</v>
      </c>
      <c r="B202" s="252"/>
      <c r="C202" s="257"/>
      <c r="D202" s="257"/>
      <c r="E202" s="257"/>
      <c r="F202" s="257"/>
      <c r="G202" s="252">
        <f>AVERAGE(G294,B294)</f>
        <v>6155.5</v>
      </c>
      <c r="H202" s="257"/>
      <c r="I202" s="257"/>
      <c r="J202" s="257"/>
      <c r="K202" s="258"/>
      <c r="L202" s="252">
        <f>AVERAGE(L294,G294)</f>
        <v>6722</v>
      </c>
      <c r="M202" s="257"/>
      <c r="N202" s="257"/>
      <c r="O202" s="257"/>
      <c r="P202" s="258"/>
      <c r="Q202" s="252">
        <f>AVERAGE(Q294,L294)</f>
        <v>10728.5</v>
      </c>
      <c r="R202" s="257"/>
      <c r="S202" s="257"/>
      <c r="T202" s="257"/>
      <c r="U202" s="258"/>
      <c r="V202" s="252">
        <f>AVERAGE(V294,L294)</f>
        <v>10728.5</v>
      </c>
      <c r="W202" s="257"/>
      <c r="X202" s="257"/>
      <c r="Y202" s="257"/>
      <c r="Z202" s="258"/>
      <c r="AA202" s="252">
        <f>AVERAGE(AA294,Q294)</f>
        <v>14399</v>
      </c>
      <c r="AB202" s="257"/>
      <c r="AC202" s="257"/>
      <c r="AD202" s="257"/>
      <c r="AE202" s="258"/>
      <c r="AF202" s="252">
        <f>AVERAGE(AF294,AA294)</f>
        <v>14049</v>
      </c>
      <c r="AG202" s="257"/>
      <c r="AH202" s="257"/>
      <c r="AI202" s="257"/>
      <c r="AJ202" s="258"/>
      <c r="AK202" s="252">
        <f>AVERAGE(AK294,AF294)</f>
        <v>13099</v>
      </c>
      <c r="AL202" s="257"/>
      <c r="AM202" s="257"/>
      <c r="AN202" s="257"/>
      <c r="AO202" s="258"/>
      <c r="AP202" s="252">
        <f>AVERAGE(AP294,AK294)</f>
        <v>12049</v>
      </c>
      <c r="AQ202" s="259"/>
      <c r="AR202" s="79"/>
      <c r="AS202" s="619"/>
      <c r="AT202" s="619"/>
      <c r="AU202" s="304"/>
      <c r="AV202" s="619"/>
      <c r="AW202" s="619"/>
      <c r="AX202" s="619"/>
      <c r="AY202" s="304"/>
      <c r="AZ202" s="619"/>
      <c r="BA202" s="619"/>
      <c r="BB202" s="619"/>
      <c r="BC202" s="79"/>
      <c r="BG202"/>
      <c r="BH202"/>
      <c r="BI202"/>
      <c r="BJ202"/>
      <c r="BK202"/>
      <c r="BL202"/>
    </row>
    <row r="203" spans="1:238" s="266" customFormat="1">
      <c r="A203" s="260" t="s">
        <v>15</v>
      </c>
      <c r="B203" s="262"/>
      <c r="C203" s="261"/>
      <c r="D203" s="509"/>
      <c r="E203" s="541"/>
      <c r="F203" s="541"/>
      <c r="G203" s="811">
        <f>-G201/G202</f>
        <v>4.8899358297457556E-2</v>
      </c>
      <c r="H203" s="253"/>
      <c r="I203" s="253"/>
      <c r="J203" s="253"/>
      <c r="K203" s="263"/>
      <c r="L203" s="811">
        <f>-L201/L202</f>
        <v>4.4778339779827432E-2</v>
      </c>
      <c r="M203" s="253"/>
      <c r="N203" s="253"/>
      <c r="O203" s="253"/>
      <c r="P203" s="263"/>
      <c r="Q203" s="811">
        <f>-Q201/Q202</f>
        <v>3.3555483059141536E-2</v>
      </c>
      <c r="R203" s="253"/>
      <c r="S203" s="253"/>
      <c r="T203" s="253"/>
      <c r="U203" s="263"/>
      <c r="V203" s="811">
        <f>-V201/V202</f>
        <v>3.3555483059141536E-2</v>
      </c>
      <c r="W203" s="253"/>
      <c r="X203" s="253"/>
      <c r="Y203" s="253"/>
      <c r="Z203" s="263"/>
      <c r="AA203" s="811">
        <f>V203</f>
        <v>3.3555483059141536E-2</v>
      </c>
      <c r="AB203" s="1097"/>
      <c r="AC203" s="1097"/>
      <c r="AD203" s="1097"/>
      <c r="AE203" s="1098"/>
      <c r="AF203" s="811">
        <f>AA203</f>
        <v>3.3555483059141536E-2</v>
      </c>
      <c r="AG203" s="1097"/>
      <c r="AH203" s="1097"/>
      <c r="AI203" s="1097"/>
      <c r="AJ203" s="1098"/>
      <c r="AK203" s="811">
        <f>AF203</f>
        <v>3.3555483059141536E-2</v>
      </c>
      <c r="AL203" s="1097"/>
      <c r="AM203" s="1097"/>
      <c r="AN203" s="1097"/>
      <c r="AO203" s="1098"/>
      <c r="AP203" s="811">
        <f>AK203</f>
        <v>3.3555483059141536E-2</v>
      </c>
      <c r="AQ203" s="264"/>
      <c r="AR203" s="265"/>
      <c r="AS203" s="619"/>
      <c r="AT203" s="619"/>
      <c r="AU203" s="619"/>
      <c r="AV203" s="619"/>
      <c r="AW203" s="304"/>
      <c r="AX203" s="619"/>
      <c r="AY203" s="304"/>
      <c r="AZ203" s="619"/>
      <c r="BA203" s="619"/>
      <c r="BB203" s="619"/>
      <c r="BC203" s="265"/>
      <c r="BG203"/>
      <c r="BH203"/>
      <c r="BI203"/>
      <c r="BJ203"/>
      <c r="BK203"/>
      <c r="BL203"/>
    </row>
    <row r="204" spans="1:238" s="274" customFormat="1">
      <c r="A204" s="267" t="s">
        <v>16</v>
      </c>
      <c r="B204" s="268"/>
      <c r="C204" s="269"/>
      <c r="D204" s="485"/>
      <c r="E204" s="542"/>
      <c r="F204" s="542"/>
      <c r="G204" s="268">
        <f>-G202*G203</f>
        <v>-301</v>
      </c>
      <c r="H204" s="270"/>
      <c r="I204" s="270"/>
      <c r="J204" s="270"/>
      <c r="K204" s="271"/>
      <c r="L204" s="268">
        <f>-L202*L203</f>
        <v>-301</v>
      </c>
      <c r="M204" s="270"/>
      <c r="N204" s="270"/>
      <c r="O204" s="270"/>
      <c r="P204" s="271"/>
      <c r="Q204" s="268">
        <f>-Q202*Q203</f>
        <v>-359.99999999999994</v>
      </c>
      <c r="R204" s="270"/>
      <c r="S204" s="270"/>
      <c r="T204" s="270"/>
      <c r="U204" s="271"/>
      <c r="V204" s="268">
        <f>-V202*V203</f>
        <v>-359.99999999999994</v>
      </c>
      <c r="W204" s="270"/>
      <c r="X204" s="270"/>
      <c r="Y204" s="270"/>
      <c r="Z204" s="271"/>
      <c r="AA204" s="268">
        <f>-AA202*AA203</f>
        <v>-483.165400568579</v>
      </c>
      <c r="AB204" s="270"/>
      <c r="AC204" s="270"/>
      <c r="AD204" s="270"/>
      <c r="AE204" s="271"/>
      <c r="AF204" s="268">
        <f>-AF202*AF203</f>
        <v>-471.42098149787944</v>
      </c>
      <c r="AG204" s="270"/>
      <c r="AH204" s="270"/>
      <c r="AI204" s="270"/>
      <c r="AJ204" s="271"/>
      <c r="AK204" s="268">
        <f>-AK202*AK203</f>
        <v>-439.54327259169497</v>
      </c>
      <c r="AL204" s="270"/>
      <c r="AM204" s="270"/>
      <c r="AN204" s="270"/>
      <c r="AO204" s="271"/>
      <c r="AP204" s="268">
        <f>-AP202*AP203</f>
        <v>-404.31001537959639</v>
      </c>
      <c r="AQ204" s="272"/>
      <c r="AR204" s="273"/>
      <c r="AS204" s="619"/>
      <c r="AT204" s="619"/>
      <c r="AU204" s="304"/>
      <c r="AV204" s="619"/>
      <c r="AW204" s="985"/>
      <c r="AX204" s="304"/>
      <c r="AY204" s="304"/>
      <c r="AZ204" s="619"/>
      <c r="BA204" s="619"/>
      <c r="BB204" s="619"/>
      <c r="BC204" s="273"/>
      <c r="BG204"/>
      <c r="BH204"/>
      <c r="BI204"/>
      <c r="BJ204"/>
      <c r="BK204"/>
      <c r="BL204"/>
    </row>
    <row r="205" spans="1:238" s="247" customFormat="1">
      <c r="A205" s="239" t="s">
        <v>355</v>
      </c>
      <c r="B205" s="533">
        <v>23</v>
      </c>
      <c r="C205" s="240">
        <v>0</v>
      </c>
      <c r="D205" s="240">
        <v>-2</v>
      </c>
      <c r="E205" s="241">
        <v>10</v>
      </c>
      <c r="F205" s="241">
        <v>7</v>
      </c>
      <c r="G205" s="533">
        <f>+SUM(C205:F205)</f>
        <v>15</v>
      </c>
      <c r="H205" s="682">
        <v>13</v>
      </c>
      <c r="I205" s="682">
        <v>7</v>
      </c>
      <c r="J205" s="682">
        <v>17</v>
      </c>
      <c r="K205" s="679">
        <v>-6</v>
      </c>
      <c r="L205" s="674">
        <v>31</v>
      </c>
      <c r="M205" s="682">
        <v>16</v>
      </c>
      <c r="N205" s="682">
        <v>28</v>
      </c>
      <c r="O205" s="682">
        <v>13</v>
      </c>
      <c r="P205" s="679">
        <v>53</v>
      </c>
      <c r="Q205" s="674">
        <f>+SUM(M205:P205)</f>
        <v>110</v>
      </c>
      <c r="R205" s="682">
        <v>19</v>
      </c>
      <c r="S205" s="682">
        <v>32</v>
      </c>
      <c r="T205" s="682">
        <v>16</v>
      </c>
      <c r="U205" s="679">
        <v>57</v>
      </c>
      <c r="V205" s="674">
        <f>+SUM(R205:U205)</f>
        <v>124</v>
      </c>
      <c r="W205" s="242">
        <v>0</v>
      </c>
      <c r="X205" s="242">
        <v>0</v>
      </c>
      <c r="Y205" s="242">
        <v>0</v>
      </c>
      <c r="Z205" s="243">
        <v>0</v>
      </c>
      <c r="AA205" s="244">
        <f>+SUM(W205:Z205)</f>
        <v>0</v>
      </c>
      <c r="AB205" s="242"/>
      <c r="AC205" s="242"/>
      <c r="AD205" s="242"/>
      <c r="AE205" s="243"/>
      <c r="AF205" s="244">
        <v>0</v>
      </c>
      <c r="AG205" s="242"/>
      <c r="AH205" s="242"/>
      <c r="AI205" s="242"/>
      <c r="AJ205" s="243"/>
      <c r="AK205" s="244">
        <v>0</v>
      </c>
      <c r="AL205" s="242"/>
      <c r="AM205" s="242"/>
      <c r="AN205" s="242"/>
      <c r="AO205" s="243"/>
      <c r="AP205" s="244">
        <v>0</v>
      </c>
      <c r="AQ205" s="88"/>
      <c r="AR205" s="245"/>
      <c r="AS205" s="304"/>
      <c r="AT205" s="304"/>
      <c r="AU205" s="304"/>
      <c r="AV205" s="304"/>
      <c r="AW205" s="304"/>
      <c r="AX205" s="304"/>
      <c r="AY205" s="304"/>
      <c r="AZ205" s="304"/>
      <c r="BA205" s="304"/>
      <c r="BB205" s="304"/>
      <c r="BC205" s="245"/>
      <c r="BG205"/>
      <c r="BH205"/>
      <c r="BI205"/>
      <c r="BJ205"/>
      <c r="BK205"/>
      <c r="BL205"/>
    </row>
    <row r="206" spans="1:238" s="247" customFormat="1">
      <c r="A206" s="239" t="s">
        <v>371</v>
      </c>
      <c r="B206" s="533"/>
      <c r="C206" s="240"/>
      <c r="D206" s="240"/>
      <c r="E206" s="241"/>
      <c r="F206" s="241"/>
      <c r="G206" s="533"/>
      <c r="H206" s="682"/>
      <c r="I206" s="682"/>
      <c r="J206" s="682"/>
      <c r="K206" s="679"/>
      <c r="L206" s="674"/>
      <c r="M206" s="682"/>
      <c r="N206" s="682"/>
      <c r="O206" s="682"/>
      <c r="P206" s="679"/>
      <c r="Q206" s="674"/>
      <c r="R206" s="682">
        <v>-18</v>
      </c>
      <c r="S206" s="682">
        <v>-17</v>
      </c>
      <c r="T206" s="682">
        <v>2</v>
      </c>
      <c r="U206" s="679">
        <v>-11</v>
      </c>
      <c r="V206" s="674">
        <f>+SUM(R206:U206)</f>
        <v>-44</v>
      </c>
      <c r="W206" s="242">
        <f>AA206/4</f>
        <v>121.25</v>
      </c>
      <c r="X206" s="242">
        <f>(AA206-W206)/3</f>
        <v>121.25</v>
      </c>
      <c r="Y206" s="242">
        <f>(AA206-W206-X206)/2</f>
        <v>121.25</v>
      </c>
      <c r="Z206" s="243">
        <f>AA206-W206-X206-Y206</f>
        <v>121.25</v>
      </c>
      <c r="AA206" s="244">
        <v>485</v>
      </c>
      <c r="AB206" s="242"/>
      <c r="AC206" s="242"/>
      <c r="AD206" s="242"/>
      <c r="AE206" s="243"/>
      <c r="AF206" s="244">
        <v>530</v>
      </c>
      <c r="AG206" s="242"/>
      <c r="AH206" s="242"/>
      <c r="AI206" s="242"/>
      <c r="AJ206" s="243"/>
      <c r="AK206" s="244">
        <v>610</v>
      </c>
      <c r="AL206" s="242"/>
      <c r="AM206" s="242"/>
      <c r="AN206" s="242"/>
      <c r="AO206" s="243"/>
      <c r="AP206" s="244">
        <v>610</v>
      </c>
      <c r="AQ206" s="1035"/>
      <c r="AR206" s="245"/>
      <c r="AS206" s="664" t="s">
        <v>416</v>
      </c>
      <c r="AT206" s="304"/>
      <c r="AU206" s="304"/>
      <c r="AV206" s="304"/>
      <c r="AW206" s="664" t="s">
        <v>380</v>
      </c>
      <c r="AX206" s="621"/>
      <c r="AY206" s="621"/>
      <c r="AZ206" s="664" t="s">
        <v>381</v>
      </c>
      <c r="BA206" s="304"/>
      <c r="BB206" s="304"/>
      <c r="BC206" s="245"/>
      <c r="BG206"/>
      <c r="BH206"/>
      <c r="BI206"/>
      <c r="BJ206"/>
      <c r="BK206"/>
      <c r="BL206"/>
    </row>
    <row r="207" spans="1:238" s="72" customFormat="1">
      <c r="A207" s="115" t="s">
        <v>120</v>
      </c>
      <c r="B207" s="114">
        <f t="shared" ref="B207:K207" si="257">B178+B201+B205</f>
        <v>2937</v>
      </c>
      <c r="C207" s="276">
        <f t="shared" si="257"/>
        <v>704</v>
      </c>
      <c r="D207" s="276">
        <f t="shared" si="257"/>
        <v>736</v>
      </c>
      <c r="E207" s="115">
        <f t="shared" si="257"/>
        <v>729</v>
      </c>
      <c r="F207" s="276">
        <f t="shared" si="257"/>
        <v>621</v>
      </c>
      <c r="G207" s="114">
        <f t="shared" si="257"/>
        <v>2790</v>
      </c>
      <c r="H207" s="115">
        <f t="shared" si="257"/>
        <v>676</v>
      </c>
      <c r="I207" s="115">
        <f t="shared" si="257"/>
        <v>730</v>
      </c>
      <c r="J207" s="115">
        <f t="shared" si="257"/>
        <v>769</v>
      </c>
      <c r="K207" s="277">
        <f t="shared" si="257"/>
        <v>748</v>
      </c>
      <c r="L207" s="114">
        <f t="shared" ref="L207:P207" si="258">L178+L201+L205</f>
        <v>2923</v>
      </c>
      <c r="M207" s="115">
        <f t="shared" si="258"/>
        <v>773</v>
      </c>
      <c r="N207" s="115">
        <f t="shared" si="258"/>
        <v>807</v>
      </c>
      <c r="O207" s="115">
        <f t="shared" si="258"/>
        <v>785</v>
      </c>
      <c r="P207" s="277">
        <f t="shared" si="258"/>
        <v>684</v>
      </c>
      <c r="Q207" s="114">
        <f t="shared" ref="Q207" si="259">Q178+Q201+Q205</f>
        <v>3049</v>
      </c>
      <c r="R207" s="857">
        <f>R178+R201+R205+R206</f>
        <v>788</v>
      </c>
      <c r="S207" s="857">
        <f t="shared" ref="S207:Y207" si="260">S178+S201+S205+S206</f>
        <v>812</v>
      </c>
      <c r="T207" s="857">
        <f t="shared" si="260"/>
        <v>782</v>
      </c>
      <c r="U207" s="1039">
        <f t="shared" si="260"/>
        <v>614</v>
      </c>
      <c r="V207" s="1040">
        <f t="shared" si="260"/>
        <v>2996</v>
      </c>
      <c r="W207" s="857">
        <f>W178+W201+W205+W206</f>
        <v>798.83659999999998</v>
      </c>
      <c r="X207" s="857">
        <f t="shared" si="260"/>
        <v>806.03269999999998</v>
      </c>
      <c r="Y207" s="857">
        <f t="shared" si="260"/>
        <v>934.52074999999991</v>
      </c>
      <c r="Z207" s="1039">
        <f>Z178+Z201+Z205+Z206</f>
        <v>938.5030999999999</v>
      </c>
      <c r="AA207" s="1040">
        <f>AA178+AA201+AA205+AA206</f>
        <v>3477.8931500000003</v>
      </c>
      <c r="AB207" s="857"/>
      <c r="AC207" s="857"/>
      <c r="AD207" s="857"/>
      <c r="AE207" s="1039"/>
      <c r="AF207" s="1040">
        <f t="shared" ref="AF207" si="261">AF178+AF201+AF205+AF206</f>
        <v>4075.9005105000006</v>
      </c>
      <c r="AG207" s="857"/>
      <c r="AH207" s="857"/>
      <c r="AI207" s="857"/>
      <c r="AJ207" s="1039"/>
      <c r="AK207" s="1040">
        <f t="shared" ref="AK207" si="262">AK178+AK201+AK205+AK206</f>
        <v>4265.742907445001</v>
      </c>
      <c r="AL207" s="857"/>
      <c r="AM207" s="857"/>
      <c r="AN207" s="857"/>
      <c r="AO207" s="1039"/>
      <c r="AP207" s="1040">
        <f t="shared" ref="AP207" si="263">AP178+AP201+AP205+AP206</f>
        <v>4564.5355435512511</v>
      </c>
      <c r="AQ207" s="69"/>
      <c r="AR207" s="71"/>
      <c r="AS207" s="304"/>
      <c r="AT207" s="304"/>
      <c r="AU207" s="304"/>
      <c r="AV207" s="304"/>
      <c r="AW207" s="304"/>
      <c r="AX207" s="304"/>
      <c r="AY207" s="304"/>
      <c r="AZ207" s="304"/>
      <c r="BA207" s="304"/>
      <c r="BB207" s="304"/>
      <c r="BC207" s="71"/>
      <c r="BG207"/>
      <c r="BH207"/>
      <c r="BI207"/>
      <c r="BJ207"/>
      <c r="BK207"/>
      <c r="BL207"/>
    </row>
    <row r="208" spans="1:238" s="65" customFormat="1">
      <c r="A208" s="567" t="s">
        <v>122</v>
      </c>
      <c r="B208" s="569">
        <f>B209/B207</f>
        <v>0.29553966632618317</v>
      </c>
      <c r="C208" s="568">
        <f>C209/C207</f>
        <v>0.3125</v>
      </c>
      <c r="D208" s="568">
        <f>D209/D207</f>
        <v>0.27853260869565216</v>
      </c>
      <c r="E208" s="568">
        <f>E209/E207</f>
        <v>0.29218106995884774</v>
      </c>
      <c r="F208" s="568">
        <f t="shared" ref="F208:L208" si="264">F209/F207</f>
        <v>0.2608695652173913</v>
      </c>
      <c r="G208" s="569">
        <f t="shared" si="264"/>
        <v>0.28673835125448027</v>
      </c>
      <c r="H208" s="678">
        <f t="shared" si="264"/>
        <v>0.17751479289940827</v>
      </c>
      <c r="I208" s="678">
        <f t="shared" si="264"/>
        <v>0.29178082191780824</v>
      </c>
      <c r="J208" s="678">
        <f t="shared" si="264"/>
        <v>0.21716514954486346</v>
      </c>
      <c r="K208" s="678">
        <f t="shared" si="264"/>
        <v>0.29812834224598933</v>
      </c>
      <c r="L208" s="569">
        <f t="shared" si="264"/>
        <v>0.24734861443722203</v>
      </c>
      <c r="M208" s="984">
        <f>M209/M207</f>
        <v>0.17205692108667528</v>
      </c>
      <c r="N208" s="984">
        <f>N209/N207</f>
        <v>0.31598513011152418</v>
      </c>
      <c r="O208" s="984">
        <f t="shared" ref="O208:Q208" si="265">O209/O207</f>
        <v>0.17834394904458598</v>
      </c>
      <c r="P208" s="678">
        <f t="shared" si="265"/>
        <v>0.27631578947368424</v>
      </c>
      <c r="Q208" s="569">
        <f t="shared" si="265"/>
        <v>0.23515906854706461</v>
      </c>
      <c r="R208" s="1042">
        <f>R209/R207</f>
        <v>0.17512690355329949</v>
      </c>
      <c r="S208" s="1042">
        <f>S209/S207</f>
        <v>0.31650246305418717</v>
      </c>
      <c r="T208" s="1042">
        <f t="shared" ref="T208:V208" si="266">T209/T207</f>
        <v>0.17774936061381075</v>
      </c>
      <c r="U208" s="1043">
        <f t="shared" si="266"/>
        <v>0.76058631921824105</v>
      </c>
      <c r="V208" s="1044">
        <f t="shared" si="266"/>
        <v>0.33411214953271029</v>
      </c>
      <c r="W208" s="1045">
        <v>0.19500000000000001</v>
      </c>
      <c r="X208" s="1046">
        <v>0.19500000000000001</v>
      </c>
      <c r="Y208" s="1046">
        <v>0.19500000000000001</v>
      </c>
      <c r="Z208" s="1047">
        <v>0.19500000000000001</v>
      </c>
      <c r="AA208" s="1044">
        <f>AA209/AA207</f>
        <v>0.19499999999999998</v>
      </c>
      <c r="AB208" s="1048"/>
      <c r="AC208" s="1049"/>
      <c r="AD208" s="1050"/>
      <c r="AE208" s="1050"/>
      <c r="AF208" s="1051">
        <v>0.19500000000000001</v>
      </c>
      <c r="AG208" s="1048"/>
      <c r="AH208" s="1049"/>
      <c r="AI208" s="1050"/>
      <c r="AJ208" s="1050"/>
      <c r="AK208" s="1051">
        <v>0.19500000000000001</v>
      </c>
      <c r="AL208" s="1048"/>
      <c r="AM208" s="1049"/>
      <c r="AN208" s="1050"/>
      <c r="AO208" s="1050"/>
      <c r="AP208" s="1051">
        <v>0.19500000000000001</v>
      </c>
      <c r="AQ208" s="545"/>
      <c r="AR208" s="62"/>
      <c r="AS208" s="664" t="s">
        <v>415</v>
      </c>
      <c r="AT208" s="874"/>
      <c r="AU208" s="874"/>
      <c r="AV208" s="874"/>
      <c r="AW208" s="874"/>
      <c r="AX208" s="883"/>
      <c r="AY208" s="985"/>
      <c r="AZ208" s="884"/>
      <c r="BA208" s="874"/>
      <c r="BB208" s="874"/>
      <c r="BC208" s="63"/>
      <c r="BD208" s="64"/>
      <c r="BE208" s="64"/>
      <c r="BF208" s="64"/>
      <c r="BG208"/>
      <c r="BH208"/>
      <c r="BI208"/>
      <c r="BJ208"/>
      <c r="BK208"/>
      <c r="BL208"/>
    </row>
    <row r="209" spans="1:238" s="530" customFormat="1">
      <c r="A209" s="539" t="s">
        <v>121</v>
      </c>
      <c r="B209" s="643">
        <v>868</v>
      </c>
      <c r="C209" s="540">
        <v>220</v>
      </c>
      <c r="D209" s="540">
        <v>205</v>
      </c>
      <c r="E209" s="540">
        <v>213</v>
      </c>
      <c r="F209" s="632">
        <v>162</v>
      </c>
      <c r="G209" s="643">
        <f>SUM(C209:F209)</f>
        <v>800</v>
      </c>
      <c r="H209" s="540">
        <v>120</v>
      </c>
      <c r="I209" s="540">
        <v>213</v>
      </c>
      <c r="J209" s="540">
        <v>167</v>
      </c>
      <c r="K209" s="540">
        <v>223</v>
      </c>
      <c r="L209" s="380">
        <v>723</v>
      </c>
      <c r="M209" s="540">
        <v>133</v>
      </c>
      <c r="N209" s="540">
        <v>255</v>
      </c>
      <c r="O209" s="540">
        <v>140</v>
      </c>
      <c r="P209" s="171">
        <f>506-317</f>
        <v>189</v>
      </c>
      <c r="Q209" s="172">
        <f>+SUM(M209:P209)</f>
        <v>717</v>
      </c>
      <c r="R209" s="171">
        <v>138</v>
      </c>
      <c r="S209" s="171">
        <v>257</v>
      </c>
      <c r="T209" s="171">
        <v>139</v>
      </c>
      <c r="U209" s="171">
        <v>467</v>
      </c>
      <c r="V209" s="172">
        <f>+SUM(R209:U209)</f>
        <v>1001</v>
      </c>
      <c r="W209" s="1052">
        <f t="shared" ref="W209:Z209" si="267">+W208*W207</f>
        <v>155.77313699999999</v>
      </c>
      <c r="X209" s="170">
        <f t="shared" si="267"/>
        <v>157.1763765</v>
      </c>
      <c r="Y209" s="170">
        <f t="shared" si="267"/>
        <v>182.23154624999998</v>
      </c>
      <c r="Z209" s="846">
        <f t="shared" si="267"/>
        <v>183.0081045</v>
      </c>
      <c r="AA209" s="172">
        <f>+SUM(W209:Z209)</f>
        <v>678.18916424999998</v>
      </c>
      <c r="AB209" s="171"/>
      <c r="AC209" s="171"/>
      <c r="AD209" s="171"/>
      <c r="AE209" s="171"/>
      <c r="AF209" s="172">
        <f>AF207*AF208</f>
        <v>794.80059954750016</v>
      </c>
      <c r="AG209" s="171"/>
      <c r="AH209" s="171"/>
      <c r="AI209" s="171"/>
      <c r="AJ209" s="171"/>
      <c r="AK209" s="172">
        <f>AK207*AK208</f>
        <v>831.81986695177523</v>
      </c>
      <c r="AL209" s="171"/>
      <c r="AM209" s="171"/>
      <c r="AN209" s="171"/>
      <c r="AO209" s="171"/>
      <c r="AP209" s="172">
        <f>AP207*AP208</f>
        <v>890.08443099249394</v>
      </c>
      <c r="AQ209" s="278"/>
      <c r="AR209" s="7"/>
      <c r="AS209" s="304"/>
      <c r="AT209" s="664"/>
      <c r="AU209" s="664"/>
      <c r="AV209" s="664"/>
      <c r="AW209" s="664"/>
      <c r="AX209" s="1027"/>
      <c r="AY209" s="891"/>
      <c r="AZ209" s="884"/>
      <c r="BA209" s="664"/>
      <c r="BB209" s="664"/>
      <c r="BC209" s="105"/>
      <c r="BD209" s="29"/>
      <c r="BE209" s="29"/>
      <c r="BF209" s="29"/>
      <c r="BG209"/>
      <c r="BH209"/>
      <c r="BI209"/>
      <c r="BJ209"/>
      <c r="BK209"/>
      <c r="BL209"/>
      <c r="BM209" s="30"/>
      <c r="BN209" s="30"/>
      <c r="BO209" s="30"/>
      <c r="BP209" s="30"/>
      <c r="BQ209" s="30"/>
      <c r="BR209" s="30"/>
      <c r="BS209" s="30"/>
      <c r="BT209" s="30"/>
      <c r="BU209" s="30"/>
      <c r="BV209" s="30"/>
      <c r="BW209" s="30"/>
      <c r="BX209" s="30"/>
      <c r="BY209" s="30"/>
      <c r="BZ209" s="30"/>
      <c r="CA209" s="30"/>
      <c r="CB209" s="30"/>
      <c r="CC209" s="30"/>
      <c r="CD209" s="30"/>
      <c r="CE209" s="30"/>
      <c r="CF209" s="30"/>
      <c r="CG209" s="30"/>
      <c r="CH209" s="30"/>
      <c r="CI209" s="30"/>
      <c r="CJ209" s="30"/>
      <c r="CK209" s="30"/>
      <c r="CL209" s="30"/>
      <c r="CM209" s="30"/>
      <c r="CN209" s="30"/>
      <c r="CO209" s="30"/>
      <c r="CP209" s="30"/>
      <c r="CQ209" s="30"/>
      <c r="CR209" s="30"/>
      <c r="CS209" s="30"/>
      <c r="CT209" s="30"/>
      <c r="CU209" s="30"/>
      <c r="CV209" s="30"/>
      <c r="CW209" s="30"/>
      <c r="CX209" s="30"/>
      <c r="CY209" s="30"/>
      <c r="CZ209" s="30"/>
      <c r="DA209" s="30"/>
      <c r="DB209" s="30"/>
      <c r="DC209" s="30"/>
      <c r="DD209" s="30"/>
      <c r="DE209" s="30"/>
      <c r="DF209" s="30"/>
      <c r="DG209" s="30"/>
      <c r="DH209" s="30"/>
      <c r="DI209" s="30"/>
      <c r="DJ209" s="30"/>
      <c r="DK209" s="30"/>
      <c r="DL209" s="30"/>
      <c r="DM209" s="30"/>
      <c r="DN209" s="30"/>
      <c r="DO209" s="30"/>
      <c r="DP209" s="30"/>
      <c r="DQ209" s="30"/>
      <c r="DR209" s="30"/>
      <c r="DS209" s="30"/>
      <c r="DT209" s="30"/>
      <c r="DU209" s="30"/>
      <c r="DV209" s="30"/>
      <c r="DW209" s="30"/>
      <c r="DX209" s="30"/>
      <c r="DY209" s="30"/>
      <c r="DZ209" s="30"/>
      <c r="EA209" s="30"/>
      <c r="EB209" s="30"/>
      <c r="EC209" s="30"/>
      <c r="ED209" s="30"/>
      <c r="EE209" s="30"/>
      <c r="EF209" s="30"/>
      <c r="EG209" s="30"/>
      <c r="EH209" s="30"/>
      <c r="EI209" s="30"/>
      <c r="EJ209" s="30"/>
      <c r="EK209" s="30"/>
      <c r="EL209" s="30"/>
      <c r="EM209" s="30"/>
      <c r="EN209" s="30"/>
      <c r="EO209" s="30"/>
      <c r="EP209" s="30"/>
      <c r="EQ209" s="30"/>
      <c r="ER209" s="30"/>
      <c r="ES209" s="30"/>
      <c r="ET209" s="30"/>
      <c r="EU209" s="30"/>
      <c r="EV209" s="30"/>
      <c r="EW209" s="30"/>
      <c r="EX209" s="30"/>
      <c r="EY209" s="30"/>
      <c r="EZ209" s="30"/>
      <c r="FA209" s="30"/>
      <c r="FB209" s="30"/>
      <c r="FC209" s="30"/>
      <c r="FD209" s="30"/>
      <c r="FE209" s="30"/>
      <c r="FF209" s="30"/>
      <c r="FG209" s="30"/>
      <c r="FH209" s="30"/>
      <c r="FI209" s="30"/>
      <c r="FJ209" s="30"/>
      <c r="FK209" s="30"/>
      <c r="FL209" s="30"/>
      <c r="FM209" s="30"/>
      <c r="FN209" s="30"/>
      <c r="FO209" s="30"/>
      <c r="FP209" s="30"/>
      <c r="FQ209" s="30"/>
      <c r="FR209" s="30"/>
      <c r="FS209" s="30"/>
      <c r="FT209" s="30"/>
      <c r="FU209" s="30"/>
      <c r="FV209" s="30"/>
      <c r="FW209" s="30"/>
      <c r="FX209" s="30"/>
      <c r="FY209" s="30"/>
      <c r="FZ209" s="30"/>
      <c r="GA209" s="30"/>
      <c r="GB209" s="30"/>
      <c r="GC209" s="30"/>
      <c r="GD209" s="30"/>
      <c r="GE209" s="30"/>
      <c r="GF209" s="30"/>
      <c r="GG209" s="30"/>
      <c r="GH209" s="30"/>
      <c r="GI209" s="30"/>
      <c r="GJ209" s="30"/>
      <c r="GK209" s="30"/>
      <c r="GL209" s="30"/>
      <c r="GM209" s="30"/>
      <c r="GN209" s="30"/>
      <c r="GO209" s="30"/>
      <c r="GP209" s="30"/>
      <c r="GQ209" s="30"/>
      <c r="GR209" s="30"/>
      <c r="GS209" s="30"/>
      <c r="GT209" s="30"/>
      <c r="GU209" s="30"/>
      <c r="GV209" s="30"/>
      <c r="GW209" s="30"/>
      <c r="GX209" s="30"/>
      <c r="GY209" s="30"/>
      <c r="GZ209" s="30"/>
      <c r="HA209" s="30"/>
      <c r="HB209" s="30"/>
      <c r="HC209" s="30"/>
      <c r="HD209" s="30"/>
      <c r="HE209" s="30"/>
      <c r="HF209" s="30"/>
      <c r="HG209" s="30"/>
      <c r="HH209" s="30"/>
      <c r="HI209" s="30"/>
      <c r="HJ209" s="30"/>
      <c r="HK209" s="30"/>
      <c r="HL209" s="30"/>
      <c r="HM209" s="30"/>
      <c r="HN209" s="30"/>
      <c r="HO209" s="30"/>
      <c r="HP209" s="30"/>
      <c r="HQ209" s="30"/>
      <c r="HR209" s="30"/>
      <c r="HS209" s="30"/>
      <c r="HT209" s="30"/>
      <c r="HU209" s="30"/>
      <c r="HV209" s="30"/>
      <c r="HW209" s="30"/>
      <c r="HX209" s="30"/>
      <c r="HY209" s="30"/>
      <c r="HZ209" s="30"/>
      <c r="IA209" s="30"/>
      <c r="IB209" s="30"/>
      <c r="IC209" s="30"/>
      <c r="ID209" s="30"/>
    </row>
    <row r="210" spans="1:238" s="72" customFormat="1">
      <c r="A210" s="115" t="s">
        <v>126</v>
      </c>
      <c r="B210" s="114">
        <f>B207-B209</f>
        <v>2069</v>
      </c>
      <c r="C210" s="276">
        <f t="shared" ref="C210:L210" si="268">C207-C209</f>
        <v>484</v>
      </c>
      <c r="D210" s="276">
        <f t="shared" si="268"/>
        <v>531</v>
      </c>
      <c r="E210" s="115">
        <f t="shared" si="268"/>
        <v>516</v>
      </c>
      <c r="F210" s="276">
        <f t="shared" si="268"/>
        <v>459</v>
      </c>
      <c r="G210" s="114">
        <f t="shared" si="268"/>
        <v>1990</v>
      </c>
      <c r="H210" s="115">
        <f t="shared" si="268"/>
        <v>556</v>
      </c>
      <c r="I210" s="115">
        <f t="shared" si="268"/>
        <v>517</v>
      </c>
      <c r="J210" s="115">
        <f t="shared" si="268"/>
        <v>602</v>
      </c>
      <c r="K210" s="277">
        <f t="shared" si="268"/>
        <v>525</v>
      </c>
      <c r="L210" s="114">
        <f t="shared" si="268"/>
        <v>2200</v>
      </c>
      <c r="M210" s="115">
        <f>M207-M209</f>
        <v>640</v>
      </c>
      <c r="N210" s="115">
        <f>N207-N209</f>
        <v>552</v>
      </c>
      <c r="O210" s="115">
        <f t="shared" ref="O210:Q210" si="269">O207-O209</f>
        <v>645</v>
      </c>
      <c r="P210" s="277">
        <f t="shared" si="269"/>
        <v>495</v>
      </c>
      <c r="Q210" s="114">
        <f t="shared" si="269"/>
        <v>2332</v>
      </c>
      <c r="R210" s="857">
        <f>R207-R209</f>
        <v>650</v>
      </c>
      <c r="S210" s="857">
        <f>S207-S209</f>
        <v>555</v>
      </c>
      <c r="T210" s="857">
        <f t="shared" ref="T210:V210" si="270">T207-T209</f>
        <v>643</v>
      </c>
      <c r="U210" s="1039">
        <f t="shared" si="270"/>
        <v>147</v>
      </c>
      <c r="V210" s="1040">
        <f t="shared" si="270"/>
        <v>1995</v>
      </c>
      <c r="W210" s="1041">
        <f t="shared" ref="W210:Z210" si="271">W207-W209</f>
        <v>643.06346299999996</v>
      </c>
      <c r="X210" s="857">
        <f t="shared" si="271"/>
        <v>648.85632349999992</v>
      </c>
      <c r="Y210" s="857">
        <f t="shared" si="271"/>
        <v>752.28920374999996</v>
      </c>
      <c r="Z210" s="1039">
        <f t="shared" si="271"/>
        <v>755.49499549999996</v>
      </c>
      <c r="AA210" s="1040">
        <f>AA207-AA209</f>
        <v>2799.7039857500004</v>
      </c>
      <c r="AB210" s="857"/>
      <c r="AC210" s="857"/>
      <c r="AD210" s="857"/>
      <c r="AE210" s="1039"/>
      <c r="AF210" s="1040">
        <f>AF207-AF209</f>
        <v>3281.0999109525005</v>
      </c>
      <c r="AG210" s="857"/>
      <c r="AH210" s="857"/>
      <c r="AI210" s="857"/>
      <c r="AJ210" s="1039"/>
      <c r="AK210" s="1040">
        <f>AK207-AK209</f>
        <v>3433.9230404932259</v>
      </c>
      <c r="AL210" s="857"/>
      <c r="AM210" s="857"/>
      <c r="AN210" s="857"/>
      <c r="AO210" s="1039"/>
      <c r="AP210" s="1040">
        <f>AP207-AP209</f>
        <v>3674.4511125587569</v>
      </c>
      <c r="AQ210" s="69"/>
      <c r="AR210" s="71"/>
      <c r="AS210" s="664"/>
      <c r="AT210" s="664"/>
      <c r="AU210" s="304"/>
      <c r="AV210" s="304"/>
      <c r="AW210" s="304"/>
      <c r="AX210" s="1027"/>
      <c r="AY210" s="304"/>
      <c r="AZ210" s="884"/>
      <c r="BA210" s="304"/>
      <c r="BB210" s="304"/>
      <c r="BC210" s="71"/>
      <c r="BG210"/>
      <c r="BH210"/>
      <c r="BI210"/>
      <c r="BJ210"/>
      <c r="BK210"/>
      <c r="BL210"/>
    </row>
    <row r="211" spans="1:238" s="285" customFormat="1" ht="12.75" customHeight="1">
      <c r="A211" s="279" t="s">
        <v>17</v>
      </c>
      <c r="B211" s="282">
        <f t="shared" ref="B211:L211" si="272">B210/B233</f>
        <v>9.7548326261197555</v>
      </c>
      <c r="C211" s="281">
        <f t="shared" si="272"/>
        <v>2.4139650872817957</v>
      </c>
      <c r="D211" s="281">
        <f t="shared" si="272"/>
        <v>2.7413526071244192</v>
      </c>
      <c r="E211" s="280">
        <f t="shared" si="272"/>
        <v>2.7461415646620542</v>
      </c>
      <c r="F211" s="281">
        <f t="shared" si="272"/>
        <v>2.4918566775244302</v>
      </c>
      <c r="G211" s="282">
        <f t="shared" si="272"/>
        <v>10.386221294363256</v>
      </c>
      <c r="H211" s="281">
        <f t="shared" si="272"/>
        <v>3.0316248636859324</v>
      </c>
      <c r="I211" s="281">
        <f t="shared" si="272"/>
        <v>2.8484848484848486</v>
      </c>
      <c r="J211" s="280">
        <f t="shared" si="272"/>
        <v>3.3518930957683741</v>
      </c>
      <c r="K211" s="281">
        <f t="shared" si="272"/>
        <v>2.9560810810810811</v>
      </c>
      <c r="L211" s="282">
        <f t="shared" si="272"/>
        <v>12.18836565096953</v>
      </c>
      <c r="M211" s="281">
        <f>M210/M233</f>
        <v>3.634298693923907</v>
      </c>
      <c r="N211" s="281">
        <f>N210/N233</f>
        <v>3.1452991452991452</v>
      </c>
      <c r="O211" s="280">
        <f t="shared" ref="O211:Q211" si="273">O210/O233</f>
        <v>3.6794067313177408</v>
      </c>
      <c r="P211" s="281">
        <f t="shared" si="273"/>
        <v>2.8205128205128207</v>
      </c>
      <c r="Q211" s="282">
        <f t="shared" si="273"/>
        <v>13.28018223234624</v>
      </c>
      <c r="R211" s="1053">
        <f>R210/R233</f>
        <v>3.6910846110164681</v>
      </c>
      <c r="S211" s="1053">
        <f>S210/S233</f>
        <v>3.1623931623931623</v>
      </c>
      <c r="T211" s="1054">
        <f t="shared" ref="T211:V211" si="274">T210/T233</f>
        <v>3.6679977181973755</v>
      </c>
      <c r="U211" s="1053">
        <f t="shared" si="274"/>
        <v>0.83760683760683763</v>
      </c>
      <c r="V211" s="1055">
        <f t="shared" si="274"/>
        <v>11.361047835990886</v>
      </c>
      <c r="W211" s="1056">
        <f t="shared" ref="W211:Z211" si="275">W210/W233</f>
        <v>3.6596047703902888</v>
      </c>
      <c r="X211" s="1053">
        <f t="shared" si="275"/>
        <v>3.6879613626437897</v>
      </c>
      <c r="Y211" s="1053">
        <f t="shared" si="275"/>
        <v>4.2705137167041354</v>
      </c>
      <c r="Z211" s="1057">
        <f t="shared" si="275"/>
        <v>4.2833578101692833</v>
      </c>
      <c r="AA211" s="1055">
        <f>AA210/AA233</f>
        <v>15.902970321465052</v>
      </c>
      <c r="AB211" s="1058"/>
      <c r="AC211" s="1058"/>
      <c r="AD211" s="1058"/>
      <c r="AE211" s="1059"/>
      <c r="AF211" s="1055">
        <f>AF210/AF233</f>
        <v>18.921229675470098</v>
      </c>
      <c r="AG211" s="1058"/>
      <c r="AH211" s="1058"/>
      <c r="AI211" s="1058"/>
      <c r="AJ211" s="1059"/>
      <c r="AK211" s="1055">
        <f>AK210/AK233</f>
        <v>20.206653038965225</v>
      </c>
      <c r="AL211" s="1058"/>
      <c r="AM211" s="1058"/>
      <c r="AN211" s="1058"/>
      <c r="AO211" s="1059"/>
      <c r="AP211" s="1055">
        <f>AP210/AP233</f>
        <v>22.176432585232284</v>
      </c>
      <c r="AQ211" s="283"/>
      <c r="AR211" s="284"/>
      <c r="AS211" s="664" t="s">
        <v>414</v>
      </c>
      <c r="AT211" s="892"/>
      <c r="AU211" s="892"/>
      <c r="AV211" s="892"/>
      <c r="AW211" s="1108"/>
      <c r="AX211" s="1070"/>
      <c r="AY211" s="1072"/>
      <c r="AZ211" s="1019"/>
      <c r="BA211" s="892"/>
      <c r="BB211" s="892"/>
      <c r="BC211" s="284"/>
      <c r="BG211"/>
      <c r="BH211"/>
      <c r="BI211"/>
      <c r="BJ211"/>
      <c r="BK211"/>
      <c r="BL211"/>
    </row>
    <row r="212" spans="1:238" ht="11.25" customHeight="1">
      <c r="A212" s="22" t="s">
        <v>204</v>
      </c>
      <c r="B212" s="23"/>
      <c r="C212" s="24"/>
      <c r="D212" s="24"/>
      <c r="E212" s="24"/>
      <c r="F212" s="24"/>
      <c r="G212" s="23"/>
      <c r="H212" s="24">
        <f t="shared" ref="H212:O212" si="276">H211/C211-1</f>
        <v>0.25586939084510196</v>
      </c>
      <c r="I212" s="24">
        <f t="shared" si="276"/>
        <v>3.9080066198710295E-2</v>
      </c>
      <c r="J212" s="24">
        <f t="shared" si="276"/>
        <v>0.22058277654046021</v>
      </c>
      <c r="K212" s="24">
        <f t="shared" si="276"/>
        <v>0.18629659070835536</v>
      </c>
      <c r="L212" s="23">
        <f t="shared" si="276"/>
        <v>0.17351299433455369</v>
      </c>
      <c r="M212" s="24">
        <f t="shared" si="276"/>
        <v>0.19879564831950458</v>
      </c>
      <c r="N212" s="24">
        <f t="shared" si="276"/>
        <v>0.1042007637752318</v>
      </c>
      <c r="O212" s="24">
        <f t="shared" si="276"/>
        <v>9.771004808084105E-2</v>
      </c>
      <c r="P212" s="24">
        <f t="shared" ref="P212" si="277">P211/K211-1</f>
        <v>-4.5860805860805764E-2</v>
      </c>
      <c r="Q212" s="23">
        <f t="shared" ref="Q212" si="278">Q211/L211-1</f>
        <v>8.9578587699316481E-2</v>
      </c>
      <c r="R212" s="236">
        <f t="shared" ref="R212" si="279">R211/M211-1</f>
        <v>1.5625E-2</v>
      </c>
      <c r="S212" s="236">
        <f t="shared" ref="S212" si="280">S211/N211-1</f>
        <v>5.4347826086955653E-3</v>
      </c>
      <c r="T212" s="236">
        <f t="shared" ref="T212" si="281">T211/O211-1</f>
        <v>-3.1007751937984773E-3</v>
      </c>
      <c r="U212" s="236">
        <f t="shared" ref="U212" si="282">U211/P211-1</f>
        <v>-0.70303030303030312</v>
      </c>
      <c r="V212" s="1060"/>
      <c r="W212" s="960">
        <f t="shared" ref="W212" si="283">W211/M211-1</f>
        <v>6.9631251027029162E-3</v>
      </c>
      <c r="X212" s="236">
        <f t="shared" ref="X212" si="284">X211/N211-1</f>
        <v>0.17253119410142226</v>
      </c>
      <c r="Y212" s="236">
        <f t="shared" ref="Y212" si="285">Y211/O211-1</f>
        <v>0.16065279773369756</v>
      </c>
      <c r="Z212" s="374">
        <f>Z211/P211-1</f>
        <v>0.51864504178729121</v>
      </c>
      <c r="AA212" s="1060">
        <f>AA211/V211-1</f>
        <v>0.39978024483672359</v>
      </c>
      <c r="AB212" s="236"/>
      <c r="AC212" s="236"/>
      <c r="AD212" s="236"/>
      <c r="AE212" s="236"/>
      <c r="AF212" s="1060">
        <f>AF211/AA211-1</f>
        <v>0.18979217674393478</v>
      </c>
      <c r="AG212" s="236"/>
      <c r="AH212" s="236"/>
      <c r="AI212" s="236"/>
      <c r="AJ212" s="236"/>
      <c r="AK212" s="1060">
        <f>AK211/AF211-1</f>
        <v>6.7935508713874881E-2</v>
      </c>
      <c r="AL212" s="236"/>
      <c r="AM212" s="236"/>
      <c r="AN212" s="236"/>
      <c r="AO212" s="236"/>
      <c r="AP212" s="1060">
        <f>AP211/AK211-1</f>
        <v>9.7481732500115825E-2</v>
      </c>
      <c r="AQ212" s="28"/>
      <c r="AR212" s="7"/>
      <c r="AS212" s="304"/>
      <c r="AT212" s="664"/>
      <c r="AU212" s="664"/>
      <c r="AV212" s="911"/>
      <c r="AW212" s="901"/>
      <c r="AX212" s="901"/>
      <c r="AY212" s="901"/>
      <c r="AZ212" s="901"/>
      <c r="BA212" s="664"/>
      <c r="BB212" s="664"/>
      <c r="BC212" s="105"/>
      <c r="BD212" s="29"/>
      <c r="BE212" s="29"/>
      <c r="BF212" s="29"/>
    </row>
    <row r="213" spans="1:238" s="81" customFormat="1" ht="11.25" customHeight="1">
      <c r="A213" s="286" t="s">
        <v>18</v>
      </c>
      <c r="B213" s="287">
        <f t="shared" ref="B213:L213" si="286">B210/B231</f>
        <v>9.9090038314176248</v>
      </c>
      <c r="C213" s="288">
        <f t="shared" si="286"/>
        <v>2.4481537683358625</v>
      </c>
      <c r="D213" s="288">
        <f t="shared" si="286"/>
        <v>2.768508863399374</v>
      </c>
      <c r="E213" s="288">
        <f t="shared" si="286"/>
        <v>2.7771797631862216</v>
      </c>
      <c r="F213" s="288">
        <f t="shared" si="286"/>
        <v>2.5205930807248764</v>
      </c>
      <c r="G213" s="287">
        <f t="shared" si="286"/>
        <v>10.506863780359028</v>
      </c>
      <c r="H213" s="288">
        <f t="shared" si="286"/>
        <v>3.0667402095973522</v>
      </c>
      <c r="I213" s="288">
        <f t="shared" si="286"/>
        <v>2.8706274292059968</v>
      </c>
      <c r="J213" s="288">
        <f t="shared" si="286"/>
        <v>3.3801235261089277</v>
      </c>
      <c r="K213" s="288">
        <f t="shared" si="286"/>
        <v>2.9829545454545454</v>
      </c>
      <c r="L213" s="287">
        <f t="shared" si="286"/>
        <v>12.297372833985467</v>
      </c>
      <c r="M213" s="288">
        <f>M210/M231</f>
        <v>3.6613272311212812</v>
      </c>
      <c r="N213" s="288">
        <f>N210/N231</f>
        <v>3.1633237822349569</v>
      </c>
      <c r="O213" s="288">
        <f t="shared" ref="O213:Q213" si="287">O210/O231</f>
        <v>3.7026406429391505</v>
      </c>
      <c r="P213" s="288">
        <f t="shared" si="287"/>
        <v>2.8382799131824656</v>
      </c>
      <c r="Q213" s="287">
        <f t="shared" si="287"/>
        <v>13.365784844438195</v>
      </c>
      <c r="R213" s="1061">
        <f>R210/R231</f>
        <v>3.7185354691075512</v>
      </c>
      <c r="S213" s="1061">
        <f>S210/S231</f>
        <v>3.1805157593123208</v>
      </c>
      <c r="T213" s="1061">
        <f t="shared" ref="T213:V213" si="288">T210/T231</f>
        <v>3.6911595866819749</v>
      </c>
      <c r="U213" s="1061">
        <f t="shared" si="288"/>
        <v>0.84288312573297464</v>
      </c>
      <c r="V213" s="1062">
        <f t="shared" si="288"/>
        <v>11.434279916232503</v>
      </c>
      <c r="W213" s="1063">
        <f t="shared" ref="W213:Z213" si="289">W210/W231</f>
        <v>3.6654697575036232</v>
      </c>
      <c r="X213" s="1061">
        <f t="shared" si="289"/>
        <v>3.693864404214215</v>
      </c>
      <c r="Y213" s="1061">
        <f t="shared" si="289"/>
        <v>4.2773406585492868</v>
      </c>
      <c r="Z213" s="1064">
        <f t="shared" si="289"/>
        <v>4.2901967225722952</v>
      </c>
      <c r="AA213" s="1062">
        <f>AA210/AA231</f>
        <v>16.005215946417998</v>
      </c>
      <c r="AB213" s="1065"/>
      <c r="AC213" s="1065"/>
      <c r="AD213" s="1065"/>
      <c r="AE213" s="1066"/>
      <c r="AF213" s="1062">
        <f>AF210/AF231</f>
        <v>19.044745367392455</v>
      </c>
      <c r="AG213" s="1065"/>
      <c r="AH213" s="1065"/>
      <c r="AI213" s="1065"/>
      <c r="AJ213" s="1066"/>
      <c r="AK213" s="1062">
        <f>AK210/AK231</f>
        <v>20.341269741562964</v>
      </c>
      <c r="AL213" s="1065"/>
      <c r="AM213" s="1065"/>
      <c r="AN213" s="1065"/>
      <c r="AO213" s="1066"/>
      <c r="AP213" s="1062">
        <f>AP210/AP231</f>
        <v>22.327986034682219</v>
      </c>
      <c r="AQ213" s="98"/>
      <c r="AR213" s="79"/>
      <c r="AS213" s="619"/>
      <c r="AT213" s="619"/>
      <c r="AU213" s="619"/>
      <c r="AV213" s="910"/>
      <c r="AW213" s="1109"/>
      <c r="AX213" s="1085"/>
      <c r="AY213" s="1086"/>
      <c r="AZ213" s="1086"/>
      <c r="BA213" s="619"/>
      <c r="BB213" s="619"/>
      <c r="BC213" s="79"/>
      <c r="BG213"/>
      <c r="BH213"/>
      <c r="BI213"/>
      <c r="BJ213"/>
      <c r="BK213"/>
      <c r="BL213"/>
    </row>
    <row r="214" spans="1:238" ht="11.25" customHeight="1">
      <c r="A214" s="22" t="s">
        <v>204</v>
      </c>
      <c r="B214" s="23"/>
      <c r="C214" s="24"/>
      <c r="D214" s="24"/>
      <c r="E214" s="24"/>
      <c r="F214" s="24"/>
      <c r="G214" s="23">
        <f t="shared" ref="G214:O214" si="290">G213/B213-1</f>
        <v>6.033502046349204E-2</v>
      </c>
      <c r="H214" s="24">
        <f t="shared" si="290"/>
        <v>0.25267466825908369</v>
      </c>
      <c r="I214" s="24">
        <f t="shared" si="290"/>
        <v>3.6885764447665226E-2</v>
      </c>
      <c r="J214" s="24">
        <f t="shared" si="290"/>
        <v>0.21710649447875729</v>
      </c>
      <c r="K214" s="24">
        <f t="shared" si="290"/>
        <v>0.1834336007130124</v>
      </c>
      <c r="L214" s="23">
        <f t="shared" si="290"/>
        <v>0.17041327374715953</v>
      </c>
      <c r="M214" s="24">
        <f t="shared" si="290"/>
        <v>0.19388242266598632</v>
      </c>
      <c r="N214" s="24">
        <f t="shared" si="290"/>
        <v>0.10196250131627793</v>
      </c>
      <c r="O214" s="24">
        <f t="shared" si="290"/>
        <v>9.5415778251599193E-2</v>
      </c>
      <c r="P214" s="24">
        <f t="shared" ref="P214" si="291">P213/K213-1</f>
        <v>-4.8500448152163922E-2</v>
      </c>
      <c r="Q214" s="23">
        <f t="shared" ref="Q214" si="292">Q213/L213-1</f>
        <v>8.6881322122724258E-2</v>
      </c>
      <c r="R214" s="236">
        <f t="shared" ref="R214" si="293">R213/M213-1</f>
        <v>1.5625E-2</v>
      </c>
      <c r="S214" s="236">
        <f t="shared" ref="S214" si="294">S213/N213-1</f>
        <v>5.4347826086955653E-3</v>
      </c>
      <c r="T214" s="236">
        <f t="shared" ref="T214" si="295">T213/O213-1</f>
        <v>-3.1007751937984773E-3</v>
      </c>
      <c r="U214" s="236">
        <f t="shared" ref="U214" si="296">U213/P213-1</f>
        <v>-0.70303030303030312</v>
      </c>
      <c r="V214" s="1060"/>
      <c r="W214" s="960">
        <f t="shared" ref="W214" si="297">W213/M213-1</f>
        <v>1.131427518177075E-3</v>
      </c>
      <c r="X214" s="236">
        <f t="shared" ref="X214" si="298">X213/N213-1</f>
        <v>0.16771619299887774</v>
      </c>
      <c r="Y214" s="236">
        <f t="shared" ref="Y214" si="299">Y213/O213-1</f>
        <v>0.1552135546035438</v>
      </c>
      <c r="Z214" s="374">
        <f>Z213/P213-1</f>
        <v>0.51154813964837076</v>
      </c>
      <c r="AA214" s="1060">
        <f>AA213/V213-1</f>
        <v>0.39975722683650883</v>
      </c>
      <c r="AB214" s="236"/>
      <c r="AC214" s="236"/>
      <c r="AD214" s="236"/>
      <c r="AE214" s="236"/>
      <c r="AF214" s="1060">
        <f>AF213/AA213-1</f>
        <v>0.18990867921745913</v>
      </c>
      <c r="AG214" s="236"/>
      <c r="AH214" s="236"/>
      <c r="AI214" s="236"/>
      <c r="AJ214" s="236"/>
      <c r="AK214" s="1060">
        <f>AK213/AF213-1</f>
        <v>6.8077800419970913E-2</v>
      </c>
      <c r="AL214" s="236"/>
      <c r="AM214" s="236"/>
      <c r="AN214" s="236"/>
      <c r="AO214" s="236"/>
      <c r="AP214" s="1060">
        <f>AP213/AK213-1</f>
        <v>9.7669236894284417E-2</v>
      </c>
      <c r="AQ214" s="28"/>
      <c r="AR214" s="7"/>
      <c r="AS214" s="664"/>
      <c r="AT214" s="664"/>
      <c r="AU214" s="664"/>
      <c r="AV214" s="910"/>
      <c r="AW214" s="908"/>
      <c r="AX214" s="1010"/>
      <c r="AY214" s="1015"/>
      <c r="AZ214" s="1015"/>
      <c r="BA214" s="1014"/>
      <c r="BB214" s="664"/>
      <c r="BC214" s="105"/>
      <c r="BD214" s="29"/>
      <c r="BE214" s="29"/>
      <c r="BF214" s="29"/>
    </row>
    <row r="215" spans="1:238" s="57" customFormat="1" ht="11.25" customHeight="1">
      <c r="A215" s="570" t="s">
        <v>161</v>
      </c>
      <c r="B215" s="631">
        <f t="shared" ref="B215:L215" si="300">-0.65*B191</f>
        <v>-174.85</v>
      </c>
      <c r="C215" s="50">
        <f t="shared" si="300"/>
        <v>-53.95</v>
      </c>
      <c r="D215" s="50">
        <f t="shared" si="300"/>
        <v>-52.65</v>
      </c>
      <c r="E215" s="50">
        <f t="shared" si="300"/>
        <v>-63.050000000000004</v>
      </c>
      <c r="F215" s="50">
        <f t="shared" si="300"/>
        <v>-56.550000000000004</v>
      </c>
      <c r="G215" s="631">
        <f t="shared" si="300"/>
        <v>-226.20000000000002</v>
      </c>
      <c r="H215" s="50">
        <f t="shared" si="300"/>
        <v>-48.1</v>
      </c>
      <c r="I215" s="50">
        <f t="shared" si="300"/>
        <v>-44.85</v>
      </c>
      <c r="J215" s="50">
        <f t="shared" si="300"/>
        <v>-59.15</v>
      </c>
      <c r="K215" s="50">
        <f t="shared" si="300"/>
        <v>-53.300000000000004</v>
      </c>
      <c r="L215" s="49">
        <f t="shared" si="300"/>
        <v>-205.4</v>
      </c>
      <c r="M215" s="50">
        <f>-0.65*M191</f>
        <v>-88.4</v>
      </c>
      <c r="N215" s="50">
        <f>-0.65*N191</f>
        <v>-89.05</v>
      </c>
      <c r="O215" s="50">
        <f t="shared" ref="O215:Q215" si="301">-0.65*O191</f>
        <v>-111.8</v>
      </c>
      <c r="P215" s="50">
        <f t="shared" si="301"/>
        <v>-96.850000000000009</v>
      </c>
      <c r="Q215" s="49">
        <f t="shared" si="301"/>
        <v>-386.1</v>
      </c>
      <c r="R215" s="50">
        <f>-0.65*R191</f>
        <v>-100.10000000000001</v>
      </c>
      <c r="S215" s="50">
        <f>-0.65*S191</f>
        <v>-100.10000000000001</v>
      </c>
      <c r="T215" s="50">
        <f t="shared" ref="T215:V215" si="302">-0.65*T191</f>
        <v>-110.5</v>
      </c>
      <c r="U215" s="50">
        <f t="shared" si="302"/>
        <v>-104</v>
      </c>
      <c r="V215" s="49">
        <f t="shared" si="302"/>
        <v>-414.7</v>
      </c>
      <c r="W215" s="965">
        <f t="shared" ref="W215:Z215" si="303">-0.65*W191</f>
        <v>-74.75</v>
      </c>
      <c r="X215" s="50">
        <f t="shared" si="303"/>
        <v>-74.75</v>
      </c>
      <c r="Y215" s="50">
        <f t="shared" si="303"/>
        <v>-91</v>
      </c>
      <c r="Z215" s="966">
        <f t="shared" si="303"/>
        <v>-91</v>
      </c>
      <c r="AA215" s="49">
        <f>-0.65*AA191</f>
        <v>-331.5</v>
      </c>
      <c r="AB215" s="50"/>
      <c r="AC215" s="50"/>
      <c r="AD215" s="50"/>
      <c r="AE215" s="50"/>
      <c r="AF215" s="49">
        <f>-0.65*AF191</f>
        <v>-305.5</v>
      </c>
      <c r="AG215" s="50"/>
      <c r="AH215" s="50"/>
      <c r="AI215" s="50"/>
      <c r="AJ215" s="50"/>
      <c r="AK215" s="49">
        <f>-0.65*AK191</f>
        <v>-123.5</v>
      </c>
      <c r="AL215" s="50"/>
      <c r="AM215" s="50"/>
      <c r="AN215" s="50"/>
      <c r="AO215" s="50"/>
      <c r="AP215" s="49">
        <f>-0.65*AP191</f>
        <v>-136.5</v>
      </c>
      <c r="AQ215" s="53"/>
      <c r="AR215" s="54"/>
      <c r="AS215" s="881"/>
      <c r="AT215" s="881"/>
      <c r="AU215" s="881"/>
      <c r="AV215" s="910"/>
      <c r="AW215" s="908"/>
      <c r="AX215" s="1010"/>
      <c r="AY215" s="911"/>
      <c r="AZ215" s="911"/>
      <c r="BA215" s="911"/>
      <c r="BB215" s="881"/>
      <c r="BC215" s="55"/>
      <c r="BD215" s="56"/>
      <c r="BE215" s="56"/>
      <c r="BF215" s="56"/>
      <c r="BG215"/>
      <c r="BH215"/>
      <c r="BI215"/>
      <c r="BJ215"/>
      <c r="BK215"/>
      <c r="BL215"/>
    </row>
    <row r="216" spans="1:238" s="57" customFormat="1" ht="11.25" customHeight="1">
      <c r="A216" s="571" t="s">
        <v>3</v>
      </c>
      <c r="B216" s="49">
        <f t="shared" ref="B216:G216" si="304">SUM(B210,B215)</f>
        <v>1894.15</v>
      </c>
      <c r="C216" s="50">
        <f t="shared" si="304"/>
        <v>430.05</v>
      </c>
      <c r="D216" s="50">
        <f t="shared" si="304"/>
        <v>478.35</v>
      </c>
      <c r="E216" s="50">
        <f t="shared" si="304"/>
        <v>452.95</v>
      </c>
      <c r="F216" s="50">
        <f t="shared" si="304"/>
        <v>402.45</v>
      </c>
      <c r="G216" s="49">
        <f t="shared" si="304"/>
        <v>1763.8</v>
      </c>
      <c r="H216" s="50">
        <f t="shared" ref="H216:N216" si="305">SUM(H210,H215)</f>
        <v>507.9</v>
      </c>
      <c r="I216" s="50">
        <f t="shared" si="305"/>
        <v>472.15</v>
      </c>
      <c r="J216" s="50">
        <f t="shared" si="305"/>
        <v>542.85</v>
      </c>
      <c r="K216" s="50">
        <f t="shared" si="305"/>
        <v>471.7</v>
      </c>
      <c r="L216" s="49">
        <f t="shared" si="305"/>
        <v>1994.6</v>
      </c>
      <c r="M216" s="50">
        <f t="shared" si="305"/>
        <v>551.6</v>
      </c>
      <c r="N216" s="50">
        <f t="shared" si="305"/>
        <v>462.95</v>
      </c>
      <c r="O216" s="50">
        <f t="shared" ref="O216:S216" si="306">SUM(O210,O215)</f>
        <v>533.20000000000005</v>
      </c>
      <c r="P216" s="50">
        <f t="shared" si="306"/>
        <v>398.15</v>
      </c>
      <c r="Q216" s="49">
        <f t="shared" si="306"/>
        <v>1945.9</v>
      </c>
      <c r="R216" s="50">
        <f t="shared" si="306"/>
        <v>549.9</v>
      </c>
      <c r="S216" s="50">
        <f t="shared" si="306"/>
        <v>454.9</v>
      </c>
      <c r="T216" s="50">
        <f t="shared" ref="T216:V216" si="307">SUM(T210,T215)</f>
        <v>532.5</v>
      </c>
      <c r="U216" s="50">
        <f t="shared" si="307"/>
        <v>43</v>
      </c>
      <c r="V216" s="49">
        <f t="shared" si="307"/>
        <v>1580.3</v>
      </c>
      <c r="W216" s="965">
        <f t="shared" ref="W216:AA216" si="308">SUM(W210,W215)</f>
        <v>568.31346299999996</v>
      </c>
      <c r="X216" s="50">
        <f t="shared" si="308"/>
        <v>574.10632349999992</v>
      </c>
      <c r="Y216" s="50">
        <f t="shared" si="308"/>
        <v>661.28920374999996</v>
      </c>
      <c r="Z216" s="966">
        <f t="shared" si="308"/>
        <v>664.49499549999996</v>
      </c>
      <c r="AA216" s="49">
        <f t="shared" si="308"/>
        <v>2468.2039857500004</v>
      </c>
      <c r="AB216" s="50"/>
      <c r="AC216" s="50"/>
      <c r="AD216" s="50"/>
      <c r="AE216" s="50"/>
      <c r="AF216" s="49">
        <f>SUM(AF210,AF215)</f>
        <v>2975.5999109525005</v>
      </c>
      <c r="AG216" s="50"/>
      <c r="AH216" s="50"/>
      <c r="AI216" s="50"/>
      <c r="AJ216" s="50"/>
      <c r="AK216" s="49">
        <f>SUM(AK210,AK215)</f>
        <v>3310.4230404932259</v>
      </c>
      <c r="AL216" s="50"/>
      <c r="AM216" s="50"/>
      <c r="AN216" s="50"/>
      <c r="AO216" s="50"/>
      <c r="AP216" s="49">
        <f>SUM(AP210,AP215)</f>
        <v>3537.9511125587569</v>
      </c>
      <c r="AQ216" s="53"/>
      <c r="AR216" s="54"/>
      <c r="AS216" s="881"/>
      <c r="AT216" s="881"/>
      <c r="AU216" s="881"/>
      <c r="AV216" s="910"/>
      <c r="AW216" s="908"/>
      <c r="AX216" s="1010"/>
      <c r="AY216" s="911"/>
      <c r="AZ216" s="911"/>
      <c r="BA216" s="911"/>
      <c r="BB216" s="881"/>
      <c r="BC216" s="55"/>
      <c r="BD216" s="56"/>
      <c r="BE216" s="56"/>
      <c r="BF216" s="56"/>
      <c r="BG216"/>
      <c r="BH216"/>
      <c r="BI216"/>
      <c r="BJ216"/>
      <c r="BK216"/>
      <c r="BL216"/>
    </row>
    <row r="217" spans="1:238" s="81" customFormat="1" ht="11.25" customHeight="1">
      <c r="A217" s="291" t="s">
        <v>164</v>
      </c>
      <c r="B217" s="287">
        <f t="shared" ref="B217:G217" si="309">B216/B233</f>
        <v>8.9304573314474318</v>
      </c>
      <c r="C217" s="288">
        <f t="shared" si="309"/>
        <v>2.1448877805486286</v>
      </c>
      <c r="D217" s="288">
        <f t="shared" si="309"/>
        <v>2.4695405265875068</v>
      </c>
      <c r="E217" s="288">
        <f t="shared" si="309"/>
        <v>2.4105907397551887</v>
      </c>
      <c r="F217" s="288">
        <f t="shared" si="309"/>
        <v>2.1848534201954397</v>
      </c>
      <c r="G217" s="287">
        <f t="shared" si="309"/>
        <v>9.205636743215031</v>
      </c>
      <c r="H217" s="288">
        <f t="shared" ref="H217:N217" si="310">H216/H233</f>
        <v>2.769356597600872</v>
      </c>
      <c r="I217" s="288">
        <f t="shared" si="310"/>
        <v>2.6013774104683196</v>
      </c>
      <c r="J217" s="288">
        <f t="shared" si="310"/>
        <v>3.0225501113585747</v>
      </c>
      <c r="K217" s="288">
        <f t="shared" si="310"/>
        <v>2.6559684684684686</v>
      </c>
      <c r="L217" s="287">
        <f t="shared" si="310"/>
        <v>11.050415512465374</v>
      </c>
      <c r="M217" s="288">
        <f t="shared" si="310"/>
        <v>3.1323111868256674</v>
      </c>
      <c r="N217" s="288">
        <f t="shared" si="310"/>
        <v>2.6378917378917377</v>
      </c>
      <c r="O217" s="288">
        <f t="shared" ref="O217:S217" si="311">O216/O233</f>
        <v>3.0416428978893326</v>
      </c>
      <c r="P217" s="288">
        <f t="shared" si="311"/>
        <v>2.2686609686609684</v>
      </c>
      <c r="Q217" s="287">
        <f t="shared" si="311"/>
        <v>11.081435079726651</v>
      </c>
      <c r="R217" s="288">
        <f t="shared" si="311"/>
        <v>3.122657580919932</v>
      </c>
      <c r="S217" s="288">
        <f t="shared" si="311"/>
        <v>2.5920227920227918</v>
      </c>
      <c r="T217" s="288">
        <f t="shared" ref="T217:V217" si="312">T216/T233</f>
        <v>3.0376497432972047</v>
      </c>
      <c r="U217" s="288">
        <f t="shared" si="312"/>
        <v>0.24501424501424501</v>
      </c>
      <c r="V217" s="287">
        <f t="shared" si="312"/>
        <v>8.9994305239179937</v>
      </c>
      <c r="W217" s="963">
        <f t="shared" ref="W217:AA217" si="313">W216/W233</f>
        <v>3.2342105871933589</v>
      </c>
      <c r="X217" s="288">
        <f t="shared" si="313"/>
        <v>3.2630982583272559</v>
      </c>
      <c r="Y217" s="288">
        <f t="shared" si="313"/>
        <v>3.7539347916273091</v>
      </c>
      <c r="Z217" s="964">
        <f t="shared" si="313"/>
        <v>3.767423802601916</v>
      </c>
      <c r="AA217" s="287">
        <f t="shared" si="313"/>
        <v>14.019973158765575</v>
      </c>
      <c r="AB217" s="289"/>
      <c r="AC217" s="289"/>
      <c r="AD217" s="289"/>
      <c r="AE217" s="290"/>
      <c r="AF217" s="287">
        <f>AF216/AF233</f>
        <v>17.159492507223348</v>
      </c>
      <c r="AG217" s="289"/>
      <c r="AH217" s="289"/>
      <c r="AI217" s="289"/>
      <c r="AJ217" s="290"/>
      <c r="AK217" s="287">
        <f>AK216/AK233</f>
        <v>19.479926894877334</v>
      </c>
      <c r="AL217" s="289"/>
      <c r="AM217" s="289"/>
      <c r="AN217" s="289"/>
      <c r="AO217" s="290"/>
      <c r="AP217" s="287">
        <f>AP216/AP233</f>
        <v>21.352613474525363</v>
      </c>
      <c r="AQ217" s="98"/>
      <c r="AR217" s="79"/>
      <c r="AS217" s="619"/>
      <c r="AT217" s="619"/>
      <c r="AU217" s="619"/>
      <c r="AV217" s="910"/>
      <c r="AW217" s="908"/>
      <c r="AX217" s="1010"/>
      <c r="AY217" s="619"/>
      <c r="AZ217" s="619"/>
      <c r="BA217" s="619"/>
      <c r="BB217" s="619"/>
      <c r="BC217" s="79"/>
      <c r="BG217"/>
      <c r="BH217"/>
      <c r="BI217"/>
      <c r="BJ217"/>
      <c r="BK217"/>
      <c r="BL217"/>
    </row>
    <row r="218" spans="1:238" ht="11.25" customHeight="1">
      <c r="A218" s="22" t="s">
        <v>204</v>
      </c>
      <c r="B218" s="23"/>
      <c r="C218" s="24"/>
      <c r="D218" s="24"/>
      <c r="E218" s="24"/>
      <c r="F218" s="24"/>
      <c r="G218" s="23">
        <f t="shared" ref="G218:O218" si="314">G217/B217-1</f>
        <v>3.0813585637836427E-2</v>
      </c>
      <c r="H218" s="24">
        <f t="shared" si="314"/>
        <v>0.29114288529002397</v>
      </c>
      <c r="I218" s="24">
        <f t="shared" si="314"/>
        <v>5.3385187431197689E-2</v>
      </c>
      <c r="J218" s="24">
        <f t="shared" si="314"/>
        <v>0.25386282354404743</v>
      </c>
      <c r="K218" s="24">
        <f t="shared" si="314"/>
        <v>0.21562775970155768</v>
      </c>
      <c r="L218" s="23">
        <f t="shared" si="314"/>
        <v>0.20039665052067446</v>
      </c>
      <c r="M218" s="24">
        <f t="shared" si="314"/>
        <v>0.13106097984608689</v>
      </c>
      <c r="N218" s="24">
        <f t="shared" si="314"/>
        <v>1.40365359045862E-2</v>
      </c>
      <c r="O218" s="24">
        <f t="shared" si="314"/>
        <v>6.3167808067130515E-3</v>
      </c>
      <c r="P218" s="24">
        <f t="shared" ref="P218" si="315">P217/K217-1</f>
        <v>-0.14582533806616926</v>
      </c>
      <c r="Q218" s="23">
        <f t="shared" ref="Q218" si="316">Q217/L217-1</f>
        <v>2.807095102105972E-3</v>
      </c>
      <c r="R218" s="24">
        <f t="shared" ref="R218" si="317">R217/M217-1</f>
        <v>-3.0819434372734156E-3</v>
      </c>
      <c r="S218" s="24">
        <f t="shared" ref="S218" si="318">S217/N217-1</f>
        <v>-1.7388486877632614E-2</v>
      </c>
      <c r="T218" s="24">
        <f t="shared" ref="T218" si="319">T217/O217-1</f>
        <v>-1.3128282070518082E-3</v>
      </c>
      <c r="U218" s="24">
        <f t="shared" ref="U218" si="320">U217/P217-1</f>
        <v>-0.89200050232324501</v>
      </c>
      <c r="V218" s="23"/>
      <c r="W218" s="961">
        <f t="shared" ref="W218" si="321">W217/M217-1</f>
        <v>3.2531697615573618E-2</v>
      </c>
      <c r="X218" s="24">
        <f t="shared" ref="X218" si="322">X217/N217-1</f>
        <v>0.23700992404456955</v>
      </c>
      <c r="Y218" s="24">
        <f t="shared" ref="Y218" si="323">Y217/O217-1</f>
        <v>0.23417998681970609</v>
      </c>
      <c r="Z218" s="962">
        <f>Z217/P217-1</f>
        <v>0.6606376424880982</v>
      </c>
      <c r="AA218" s="23">
        <f>AA217/V217-1</f>
        <v>0.55787337004317883</v>
      </c>
      <c r="AB218" s="24"/>
      <c r="AC218" s="24"/>
      <c r="AD218" s="24"/>
      <c r="AE218" s="24"/>
      <c r="AF218" s="23">
        <f>AF217/AA217-1</f>
        <v>0.22393190863528023</v>
      </c>
      <c r="AG218" s="24"/>
      <c r="AH218" s="24"/>
      <c r="AI218" s="24"/>
      <c r="AJ218" s="24"/>
      <c r="AK218" s="23">
        <f>AK217/AF217-1</f>
        <v>0.13522744840368617</v>
      </c>
      <c r="AL218" s="24"/>
      <c r="AM218" s="24"/>
      <c r="AN218" s="24"/>
      <c r="AO218" s="24"/>
      <c r="AP218" s="23">
        <f>AP217/AK217-1</f>
        <v>9.6134168765309447E-2</v>
      </c>
      <c r="AQ218" s="28"/>
      <c r="AR218" s="7"/>
      <c r="AS218" s="664"/>
      <c r="AT218" s="664"/>
      <c r="AU218" s="664"/>
      <c r="AV218" s="910"/>
      <c r="AW218" s="895"/>
      <c r="AX218" s="895"/>
      <c r="AY218" s="1107"/>
      <c r="AZ218" s="1107"/>
      <c r="BA218" s="1014"/>
      <c r="BB218" s="664"/>
      <c r="BC218" s="105"/>
      <c r="BD218" s="29"/>
      <c r="BE218" s="29"/>
      <c r="BF218" s="29"/>
    </row>
    <row r="219" spans="1:238" s="247" customFormat="1">
      <c r="A219" s="292" t="s">
        <v>19</v>
      </c>
      <c r="B219" s="293"/>
      <c r="C219" s="214"/>
      <c r="D219" s="214"/>
      <c r="E219" s="214"/>
      <c r="F219" s="246"/>
      <c r="G219" s="293"/>
      <c r="H219" s="246"/>
      <c r="I219" s="246"/>
      <c r="J219" s="246"/>
      <c r="K219" s="295"/>
      <c r="L219" s="293"/>
      <c r="M219" s="246"/>
      <c r="N219" s="246"/>
      <c r="O219" s="246"/>
      <c r="P219" s="295"/>
      <c r="Q219" s="293"/>
      <c r="R219" s="246"/>
      <c r="S219" s="246"/>
      <c r="T219" s="246"/>
      <c r="U219" s="295"/>
      <c r="V219" s="293"/>
      <c r="W219" s="246"/>
      <c r="X219" s="246"/>
      <c r="Y219" s="246"/>
      <c r="Z219" s="295"/>
      <c r="AA219" s="293"/>
      <c r="AB219" s="246"/>
      <c r="AC219" s="246"/>
      <c r="AD219" s="246"/>
      <c r="AE219" s="295"/>
      <c r="AF219" s="293"/>
      <c r="AG219" s="246"/>
      <c r="AH219" s="246"/>
      <c r="AI219" s="246"/>
      <c r="AJ219" s="295"/>
      <c r="AK219" s="293"/>
      <c r="AL219" s="246"/>
      <c r="AM219" s="246"/>
      <c r="AN219" s="246"/>
      <c r="AO219" s="295"/>
      <c r="AP219" s="293"/>
      <c r="AQ219" s="88"/>
      <c r="AR219" s="245"/>
      <c r="AS219" s="304"/>
      <c r="AT219" s="304"/>
      <c r="AU219" s="881"/>
      <c r="AV219" s="910"/>
      <c r="AW219" s="1105"/>
      <c r="AX219" s="1010"/>
      <c r="AY219" s="911"/>
      <c r="AZ219" s="911"/>
      <c r="BA219" s="911"/>
      <c r="BB219" s="304"/>
      <c r="BC219" s="245"/>
      <c r="BG219"/>
      <c r="BH219"/>
      <c r="BI219"/>
      <c r="BJ219"/>
      <c r="BK219"/>
      <c r="BL219"/>
    </row>
    <row r="220" spans="1:238" s="305" customFormat="1" ht="11.25" customHeight="1">
      <c r="A220" s="296" t="s">
        <v>185</v>
      </c>
      <c r="B220" s="650">
        <v>0</v>
      </c>
      <c r="C220" s="298">
        <v>0</v>
      </c>
      <c r="D220" s="298">
        <v>0</v>
      </c>
      <c r="E220" s="298">
        <v>0</v>
      </c>
      <c r="F220" s="649">
        <v>0</v>
      </c>
      <c r="G220" s="650">
        <f>SUM(C220:F220)</f>
        <v>0</v>
      </c>
      <c r="H220" s="298">
        <v>0</v>
      </c>
      <c r="I220" s="298">
        <v>0</v>
      </c>
      <c r="J220" s="298">
        <v>0</v>
      </c>
      <c r="K220" s="649">
        <v>0</v>
      </c>
      <c r="L220" s="650">
        <f>SUM(H220:K220)</f>
        <v>0</v>
      </c>
      <c r="M220" s="298">
        <v>0</v>
      </c>
      <c r="N220" s="298">
        <v>0</v>
      </c>
      <c r="O220" s="615">
        <v>0</v>
      </c>
      <c r="P220" s="649">
        <v>0</v>
      </c>
      <c r="Q220" s="650">
        <f>SUM(M220:P220)</f>
        <v>0</v>
      </c>
      <c r="R220" s="298">
        <v>0</v>
      </c>
      <c r="S220" s="298">
        <v>0</v>
      </c>
      <c r="T220" s="615">
        <v>0</v>
      </c>
      <c r="U220" s="649">
        <v>0</v>
      </c>
      <c r="V220" s="650">
        <f>SUM(R220:U220)</f>
        <v>0</v>
      </c>
      <c r="W220" s="967">
        <v>0</v>
      </c>
      <c r="X220" s="812">
        <v>0</v>
      </c>
      <c r="Y220" s="812">
        <v>0</v>
      </c>
      <c r="Z220" s="968">
        <v>0</v>
      </c>
      <c r="AA220" s="300">
        <v>0</v>
      </c>
      <c r="AB220" s="299"/>
      <c r="AC220" s="299"/>
      <c r="AD220" s="299"/>
      <c r="AE220" s="301"/>
      <c r="AF220" s="300">
        <v>0</v>
      </c>
      <c r="AG220" s="299"/>
      <c r="AH220" s="299"/>
      <c r="AI220" s="299"/>
      <c r="AJ220" s="301"/>
      <c r="AK220" s="300">
        <v>0</v>
      </c>
      <c r="AL220" s="299"/>
      <c r="AM220" s="299"/>
      <c r="AN220" s="299"/>
      <c r="AO220" s="301"/>
      <c r="AP220" s="300">
        <v>0</v>
      </c>
      <c r="AQ220" s="302"/>
      <c r="AR220" s="303"/>
      <c r="AS220" s="304"/>
      <c r="AT220" s="304"/>
      <c r="AU220" s="881"/>
      <c r="AV220" s="910"/>
      <c r="AW220" s="1105"/>
      <c r="AX220" s="622"/>
      <c r="AY220" s="911"/>
      <c r="AZ220" s="911"/>
      <c r="BA220" s="911"/>
      <c r="BB220" s="304"/>
      <c r="BC220" s="303"/>
      <c r="BG220"/>
      <c r="BH220"/>
      <c r="BI220"/>
      <c r="BJ220"/>
      <c r="BK220"/>
      <c r="BL220"/>
    </row>
    <row r="221" spans="1:238" s="305" customFormat="1" ht="11.25" customHeight="1">
      <c r="A221" s="296" t="s">
        <v>369</v>
      </c>
      <c r="B221" s="650"/>
      <c r="C221" s="298"/>
      <c r="D221" s="298"/>
      <c r="E221" s="298"/>
      <c r="F221" s="649"/>
      <c r="G221" s="650"/>
      <c r="H221" s="298"/>
      <c r="I221" s="298"/>
      <c r="J221" s="298"/>
      <c r="K221" s="649"/>
      <c r="L221" s="650"/>
      <c r="M221" s="298">
        <v>0</v>
      </c>
      <c r="N221" s="298">
        <v>0</v>
      </c>
      <c r="O221" s="615">
        <v>0</v>
      </c>
      <c r="P221" s="615">
        <f>-(1.81*P233)</f>
        <v>-317.65500000000003</v>
      </c>
      <c r="Q221" s="650">
        <f>SUM(M221:P221)</f>
        <v>-317.65500000000003</v>
      </c>
      <c r="R221" s="298">
        <v>0</v>
      </c>
      <c r="S221" s="298">
        <v>0</v>
      </c>
      <c r="T221" s="615">
        <v>0</v>
      </c>
      <c r="U221" s="615">
        <f>-(1.81*U233)</f>
        <v>-317.65500000000003</v>
      </c>
      <c r="V221" s="650">
        <f>SUM(R221:U221)</f>
        <v>-317.65500000000003</v>
      </c>
      <c r="W221" s="967"/>
      <c r="X221" s="812"/>
      <c r="Y221" s="812"/>
      <c r="Z221" s="968"/>
      <c r="AA221" s="300">
        <v>0</v>
      </c>
      <c r="AB221" s="299"/>
      <c r="AC221" s="299"/>
      <c r="AD221" s="299"/>
      <c r="AE221" s="301"/>
      <c r="AF221" s="300">
        <v>0</v>
      </c>
      <c r="AG221" s="299"/>
      <c r="AH221" s="299"/>
      <c r="AI221" s="299"/>
      <c r="AJ221" s="301"/>
      <c r="AK221" s="300">
        <v>0</v>
      </c>
      <c r="AL221" s="299"/>
      <c r="AM221" s="299"/>
      <c r="AN221" s="299"/>
      <c r="AO221" s="301"/>
      <c r="AP221" s="300">
        <v>0</v>
      </c>
      <c r="AQ221" s="1025"/>
      <c r="AR221" s="303"/>
      <c r="AS221" s="304"/>
      <c r="AT221" s="304"/>
      <c r="AU221" s="881"/>
      <c r="AV221" s="910"/>
      <c r="AW221" s="1106"/>
      <c r="AX221" s="1106"/>
      <c r="AY221" s="1017"/>
      <c r="AZ221" s="1017"/>
      <c r="BA221" s="911"/>
      <c r="BB221" s="304"/>
      <c r="BC221" s="303"/>
      <c r="BG221"/>
      <c r="BH221"/>
      <c r="BI221"/>
      <c r="BJ221"/>
      <c r="BK221"/>
      <c r="BL221"/>
    </row>
    <row r="222" spans="1:238" s="72" customFormat="1" ht="11.25" customHeight="1">
      <c r="A222" s="306" t="s">
        <v>127</v>
      </c>
      <c r="B222" s="114">
        <f>B210+B220+B221</f>
        <v>2069</v>
      </c>
      <c r="C222" s="276">
        <f t="shared" ref="C222:AA222" si="324">C210+C220+C221</f>
        <v>484</v>
      </c>
      <c r="D222" s="276">
        <f t="shared" si="324"/>
        <v>531</v>
      </c>
      <c r="E222" s="276">
        <f t="shared" si="324"/>
        <v>516</v>
      </c>
      <c r="F222" s="276">
        <f t="shared" si="324"/>
        <v>459</v>
      </c>
      <c r="G222" s="114">
        <f t="shared" si="324"/>
        <v>1990</v>
      </c>
      <c r="H222" s="276">
        <f t="shared" si="324"/>
        <v>556</v>
      </c>
      <c r="I222" s="276">
        <f t="shared" si="324"/>
        <v>517</v>
      </c>
      <c r="J222" s="276">
        <f t="shared" si="324"/>
        <v>602</v>
      </c>
      <c r="K222" s="276">
        <f t="shared" si="324"/>
        <v>525</v>
      </c>
      <c r="L222" s="114">
        <f t="shared" si="324"/>
        <v>2200</v>
      </c>
      <c r="M222" s="276">
        <f t="shared" si="324"/>
        <v>640</v>
      </c>
      <c r="N222" s="276">
        <f t="shared" si="324"/>
        <v>552</v>
      </c>
      <c r="O222" s="276">
        <f t="shared" si="324"/>
        <v>645</v>
      </c>
      <c r="P222" s="276">
        <f t="shared" si="324"/>
        <v>177.34499999999997</v>
      </c>
      <c r="Q222" s="114">
        <f t="shared" si="324"/>
        <v>2014.345</v>
      </c>
      <c r="R222" s="276">
        <f t="shared" ref="R222:V222" si="325">R210+R220+R221</f>
        <v>650</v>
      </c>
      <c r="S222" s="276">
        <f t="shared" si="325"/>
        <v>555</v>
      </c>
      <c r="T222" s="276">
        <f t="shared" si="325"/>
        <v>643</v>
      </c>
      <c r="U222" s="1067">
        <f t="shared" si="325"/>
        <v>-170.65500000000003</v>
      </c>
      <c r="V222" s="114">
        <f t="shared" si="325"/>
        <v>1677.345</v>
      </c>
      <c r="W222" s="969">
        <f t="shared" si="324"/>
        <v>643.06346299999996</v>
      </c>
      <c r="X222" s="276">
        <f t="shared" si="324"/>
        <v>648.85632349999992</v>
      </c>
      <c r="Y222" s="276">
        <f t="shared" si="324"/>
        <v>752.28920374999996</v>
      </c>
      <c r="Z222" s="970">
        <f t="shared" si="324"/>
        <v>755.49499549999996</v>
      </c>
      <c r="AA222" s="114">
        <f t="shared" si="324"/>
        <v>2799.7039857500004</v>
      </c>
      <c r="AB222" s="115"/>
      <c r="AC222" s="115"/>
      <c r="AD222" s="115"/>
      <c r="AE222" s="277"/>
      <c r="AF222" s="114">
        <f>AF210+AF220+AF221</f>
        <v>3281.0999109525005</v>
      </c>
      <c r="AG222" s="115"/>
      <c r="AH222" s="115"/>
      <c r="AI222" s="115"/>
      <c r="AJ222" s="277"/>
      <c r="AK222" s="114">
        <f>AK210+AK220+AK221</f>
        <v>3433.9230404932259</v>
      </c>
      <c r="AL222" s="115"/>
      <c r="AM222" s="115"/>
      <c r="AN222" s="115"/>
      <c r="AO222" s="277"/>
      <c r="AP222" s="114">
        <f>AP210+AP220+AP221</f>
        <v>3674.4511125587569</v>
      </c>
      <c r="AQ222" s="69"/>
      <c r="AR222" s="71"/>
      <c r="AS222" s="304"/>
      <c r="AT222" s="304"/>
      <c r="AU222" s="304"/>
      <c r="AV222" s="304"/>
      <c r="AW222" s="304"/>
      <c r="AX222" s="304"/>
      <c r="AY222" s="304"/>
      <c r="AZ222" s="304"/>
      <c r="BA222" s="304"/>
      <c r="BB222" s="304"/>
      <c r="BC222" s="71"/>
      <c r="BG222"/>
      <c r="BH222"/>
      <c r="BI222"/>
      <c r="BJ222"/>
      <c r="BK222"/>
      <c r="BL222"/>
    </row>
    <row r="223" spans="1:238" s="313" customFormat="1" ht="11.25" customHeight="1">
      <c r="A223" s="307" t="s">
        <v>20</v>
      </c>
      <c r="B223" s="308">
        <f>(B220/B233)</f>
        <v>0</v>
      </c>
      <c r="C223" s="309">
        <f>C220/C233</f>
        <v>0</v>
      </c>
      <c r="D223" s="309">
        <f>D220/D233</f>
        <v>0</v>
      </c>
      <c r="E223" s="309">
        <f>E220/E233</f>
        <v>0</v>
      </c>
      <c r="F223" s="309">
        <f>F220/F233</f>
        <v>0</v>
      </c>
      <c r="G223" s="308">
        <f>(G220/G233)</f>
        <v>0</v>
      </c>
      <c r="H223" s="309">
        <f>H220/H233</f>
        <v>0</v>
      </c>
      <c r="I223" s="309">
        <f>I220/I233</f>
        <v>0</v>
      </c>
      <c r="J223" s="309">
        <f>J220/J233</f>
        <v>0</v>
      </c>
      <c r="K223" s="309">
        <f>K220/K233</f>
        <v>0</v>
      </c>
      <c r="L223" s="308">
        <f>(L220/L233)</f>
        <v>0</v>
      </c>
      <c r="M223" s="309">
        <f>M220/M233</f>
        <v>0</v>
      </c>
      <c r="N223" s="309">
        <f>N220/N233</f>
        <v>0</v>
      </c>
      <c r="O223" s="309">
        <f>O220/O233</f>
        <v>0</v>
      </c>
      <c r="P223" s="309">
        <f>P220/P233</f>
        <v>0</v>
      </c>
      <c r="Q223" s="308">
        <f>(Q220/Q233)</f>
        <v>0</v>
      </c>
      <c r="R223" s="309">
        <f>R220/R233</f>
        <v>0</v>
      </c>
      <c r="S223" s="309">
        <f>S220/S233</f>
        <v>0</v>
      </c>
      <c r="T223" s="309">
        <f>T220/T233</f>
        <v>0</v>
      </c>
      <c r="U223" s="309">
        <f>U220/U233</f>
        <v>0</v>
      </c>
      <c r="V223" s="308">
        <f>(V220/V233)</f>
        <v>0</v>
      </c>
      <c r="W223" s="971">
        <f t="shared" ref="W223:Z223" si="326">W220/W233</f>
        <v>0</v>
      </c>
      <c r="X223" s="309">
        <f t="shared" si="326"/>
        <v>0</v>
      </c>
      <c r="Y223" s="309">
        <f t="shared" si="326"/>
        <v>0</v>
      </c>
      <c r="Z223" s="311">
        <f t="shared" si="326"/>
        <v>0</v>
      </c>
      <c r="AA223" s="308">
        <f>(AA220/AA233)</f>
        <v>0</v>
      </c>
      <c r="AB223" s="309"/>
      <c r="AC223" s="309"/>
      <c r="AD223" s="309"/>
      <c r="AE223" s="311"/>
      <c r="AF223" s="308">
        <f>(AF220/AF233)</f>
        <v>0</v>
      </c>
      <c r="AG223" s="309"/>
      <c r="AH223" s="309"/>
      <c r="AI223" s="309"/>
      <c r="AJ223" s="311"/>
      <c r="AK223" s="308">
        <f>(AK220/AK233)</f>
        <v>0</v>
      </c>
      <c r="AL223" s="309"/>
      <c r="AM223" s="309"/>
      <c r="AN223" s="309"/>
      <c r="AO223" s="311"/>
      <c r="AP223" s="308">
        <f>(AP220/AP233)</f>
        <v>0</v>
      </c>
      <c r="AQ223" s="310"/>
      <c r="AR223" s="312"/>
      <c r="AS223" s="622"/>
      <c r="AT223" s="622"/>
      <c r="AU223" s="993"/>
      <c r="AV223" s="1014"/>
      <c r="AW223" s="1015"/>
      <c r="AX223" s="1015"/>
      <c r="AY223" s="1015"/>
      <c r="AZ223" s="1015"/>
      <c r="BA223" s="1014"/>
      <c r="BB223" s="622"/>
      <c r="BC223" s="312"/>
      <c r="BG223"/>
      <c r="BH223"/>
      <c r="BI223"/>
      <c r="BJ223"/>
      <c r="BK223"/>
      <c r="BL223"/>
    </row>
    <row r="224" spans="1:238" s="81" customFormat="1" ht="11.25" customHeight="1">
      <c r="A224" s="314" t="s">
        <v>21</v>
      </c>
      <c r="B224" s="287">
        <f t="shared" ref="B224:G224" si="327">B222/B233</f>
        <v>9.7548326261197555</v>
      </c>
      <c r="C224" s="288">
        <f t="shared" si="327"/>
        <v>2.4139650872817957</v>
      </c>
      <c r="D224" s="288">
        <f t="shared" si="327"/>
        <v>2.7413526071244192</v>
      </c>
      <c r="E224" s="288">
        <f t="shared" si="327"/>
        <v>2.7461415646620542</v>
      </c>
      <c r="F224" s="288">
        <f t="shared" si="327"/>
        <v>2.4918566775244302</v>
      </c>
      <c r="G224" s="287">
        <f t="shared" si="327"/>
        <v>10.386221294363256</v>
      </c>
      <c r="H224" s="288">
        <f t="shared" ref="H224:N224" si="328">H222/H233</f>
        <v>3.0316248636859324</v>
      </c>
      <c r="I224" s="288">
        <f t="shared" si="328"/>
        <v>2.8484848484848486</v>
      </c>
      <c r="J224" s="288">
        <f t="shared" si="328"/>
        <v>3.3518930957683741</v>
      </c>
      <c r="K224" s="288">
        <f t="shared" si="328"/>
        <v>2.9560810810810811</v>
      </c>
      <c r="L224" s="287">
        <f t="shared" si="328"/>
        <v>12.18836565096953</v>
      </c>
      <c r="M224" s="288">
        <f t="shared" si="328"/>
        <v>3.634298693923907</v>
      </c>
      <c r="N224" s="288">
        <f t="shared" si="328"/>
        <v>3.1452991452991452</v>
      </c>
      <c r="O224" s="288">
        <f t="shared" ref="O224:S224" si="329">O222/O233</f>
        <v>3.6794067313177408</v>
      </c>
      <c r="P224" s="288">
        <f t="shared" si="329"/>
        <v>1.0105128205128204</v>
      </c>
      <c r="Q224" s="287">
        <f t="shared" si="329"/>
        <v>11.471212984054668</v>
      </c>
      <c r="R224" s="288">
        <f t="shared" si="329"/>
        <v>3.6910846110164681</v>
      </c>
      <c r="S224" s="288">
        <f t="shared" si="329"/>
        <v>3.1623931623931623</v>
      </c>
      <c r="T224" s="288">
        <f t="shared" ref="T224:V224" si="330">T222/T233</f>
        <v>3.6679977181973755</v>
      </c>
      <c r="U224" s="288">
        <f t="shared" si="330"/>
        <v>-0.97239316239316254</v>
      </c>
      <c r="V224" s="287">
        <f t="shared" si="330"/>
        <v>9.5520785876993148</v>
      </c>
      <c r="W224" s="963">
        <f t="shared" ref="W224:Z224" si="331">W222/W233</f>
        <v>3.6596047703902888</v>
      </c>
      <c r="X224" s="288">
        <f t="shared" si="331"/>
        <v>3.6879613626437897</v>
      </c>
      <c r="Y224" s="288">
        <f t="shared" si="331"/>
        <v>4.2705137167041354</v>
      </c>
      <c r="Z224" s="964">
        <f t="shared" si="331"/>
        <v>4.2833578101692833</v>
      </c>
      <c r="AA224" s="287">
        <f>AA222/AA233</f>
        <v>15.902970321465052</v>
      </c>
      <c r="AB224" s="289"/>
      <c r="AC224" s="289"/>
      <c r="AD224" s="289"/>
      <c r="AE224" s="290"/>
      <c r="AF224" s="287">
        <f>AF222/AF233</f>
        <v>18.921229675470098</v>
      </c>
      <c r="AG224" s="289"/>
      <c r="AH224" s="289"/>
      <c r="AI224" s="289"/>
      <c r="AJ224" s="290"/>
      <c r="AK224" s="287">
        <f>AK222/AK233</f>
        <v>20.206653038965225</v>
      </c>
      <c r="AL224" s="289"/>
      <c r="AM224" s="289"/>
      <c r="AN224" s="289"/>
      <c r="AO224" s="290"/>
      <c r="AP224" s="287">
        <f>AP222/AP233</f>
        <v>22.176432585232284</v>
      </c>
      <c r="AQ224" s="98"/>
      <c r="AR224" s="79"/>
      <c r="AS224" s="619"/>
      <c r="AT224" s="619"/>
      <c r="AU224" s="1095"/>
      <c r="AV224" s="1016"/>
      <c r="AW224" s="1016"/>
      <c r="AX224" s="1016"/>
      <c r="AY224" s="1016"/>
      <c r="AZ224" s="1016"/>
      <c r="BA224" s="1016"/>
      <c r="BB224" s="619"/>
      <c r="BC224" s="79"/>
      <c r="BG224"/>
      <c r="BH224"/>
      <c r="BI224"/>
      <c r="BJ224"/>
      <c r="BK224"/>
      <c r="BL224"/>
    </row>
    <row r="225" spans="1:64" s="81" customFormat="1" ht="11.25" customHeight="1">
      <c r="A225" s="22" t="s">
        <v>204</v>
      </c>
      <c r="B225" s="25"/>
      <c r="C225" s="73"/>
      <c r="D225" s="73"/>
      <c r="E225" s="73"/>
      <c r="F225" s="73"/>
      <c r="G225" s="25">
        <f t="shared" ref="G225:O225" si="332">G224/B224-1</f>
        <v>6.4725730562806394E-2</v>
      </c>
      <c r="H225" s="73">
        <f t="shared" si="332"/>
        <v>0.25586939084510196</v>
      </c>
      <c r="I225" s="73">
        <f t="shared" si="332"/>
        <v>3.9080066198710295E-2</v>
      </c>
      <c r="J225" s="73">
        <f t="shared" si="332"/>
        <v>0.22058277654046021</v>
      </c>
      <c r="K225" s="73">
        <f t="shared" si="332"/>
        <v>0.18629659070835536</v>
      </c>
      <c r="L225" s="25">
        <f t="shared" si="332"/>
        <v>0.17351299433455369</v>
      </c>
      <c r="M225" s="73">
        <f t="shared" si="332"/>
        <v>0.19879564831950458</v>
      </c>
      <c r="N225" s="73">
        <f t="shared" si="332"/>
        <v>0.1042007637752318</v>
      </c>
      <c r="O225" s="73">
        <f t="shared" si="332"/>
        <v>9.771004808084105E-2</v>
      </c>
      <c r="P225" s="73">
        <f t="shared" ref="P225" si="333">P224/K224-1</f>
        <v>-0.65815794871794875</v>
      </c>
      <c r="Q225" s="25">
        <f t="shared" ref="Q225" si="334">Q224/L224-1</f>
        <v>-5.8839116535514768E-2</v>
      </c>
      <c r="R225" s="73">
        <f t="shared" ref="R225" si="335">R224/M224-1</f>
        <v>1.5625E-2</v>
      </c>
      <c r="S225" s="73">
        <f t="shared" ref="S225" si="336">S224/N224-1</f>
        <v>5.4347826086955653E-3</v>
      </c>
      <c r="T225" s="73">
        <f t="shared" ref="T225" si="337">T224/O224-1</f>
        <v>-3.1007751937984773E-3</v>
      </c>
      <c r="U225" s="73">
        <f t="shared" ref="U225" si="338">U224/P224-1</f>
        <v>-1.9622769178719448</v>
      </c>
      <c r="V225" s="25"/>
      <c r="W225" s="933">
        <f t="shared" ref="W225" si="339">W224/M224-1</f>
        <v>6.9631251027029162E-3</v>
      </c>
      <c r="X225" s="73">
        <f t="shared" ref="X225" si="340">X224/N224-1</f>
        <v>0.17253119410142226</v>
      </c>
      <c r="Y225" s="73">
        <f t="shared" ref="Y225" si="341">Y224/O224-1</f>
        <v>0.16065279773369756</v>
      </c>
      <c r="Z225" s="75">
        <f t="shared" ref="Z225" si="342">Z224/P224-1</f>
        <v>3.2387961075006864</v>
      </c>
      <c r="AA225" s="25">
        <f>AA224/V224-1</f>
        <v>0.6648701301457145</v>
      </c>
      <c r="AB225" s="73"/>
      <c r="AC225" s="73"/>
      <c r="AD225" s="73"/>
      <c r="AE225" s="75"/>
      <c r="AF225" s="25">
        <f>AF224/AA224-1</f>
        <v>0.18979217674393478</v>
      </c>
      <c r="AG225" s="73"/>
      <c r="AH225" s="73"/>
      <c r="AI225" s="73"/>
      <c r="AJ225" s="75"/>
      <c r="AK225" s="25">
        <f>AK224/AF224-1</f>
        <v>6.7935508713874881E-2</v>
      </c>
      <c r="AL225" s="73"/>
      <c r="AM225" s="73"/>
      <c r="AN225" s="73"/>
      <c r="AO225" s="75"/>
      <c r="AP225" s="25">
        <f>AP224/AK224-1</f>
        <v>9.7481732500115825E-2</v>
      </c>
      <c r="AQ225" s="98"/>
      <c r="AR225" s="6"/>
      <c r="AS225" s="619"/>
      <c r="AT225" s="619"/>
      <c r="AU225" s="996"/>
      <c r="AV225" s="1016"/>
      <c r="AW225" s="1016"/>
      <c r="AX225" s="1016"/>
      <c r="AY225" s="1016"/>
      <c r="AZ225" s="1016"/>
      <c r="BA225" s="1016"/>
      <c r="BB225" s="619"/>
      <c r="BC225" s="79"/>
      <c r="BG225"/>
      <c r="BH225"/>
      <c r="BI225"/>
      <c r="BJ225"/>
      <c r="BK225"/>
      <c r="BL225"/>
    </row>
    <row r="226" spans="1:64" s="247" customFormat="1">
      <c r="A226" s="292" t="s">
        <v>22</v>
      </c>
      <c r="B226" s="293"/>
      <c r="C226" s="294"/>
      <c r="D226" s="214"/>
      <c r="E226" s="214"/>
      <c r="F226" s="246"/>
      <c r="G226" s="293"/>
      <c r="H226" s="246"/>
      <c r="I226" s="246"/>
      <c r="J226" s="246"/>
      <c r="K226" s="295"/>
      <c r="L226" s="293"/>
      <c r="M226" s="246"/>
      <c r="N226" s="246"/>
      <c r="O226" s="246"/>
      <c r="P226" s="295"/>
      <c r="Q226" s="293"/>
      <c r="R226" s="246"/>
      <c r="S226" s="246"/>
      <c r="T226" s="246"/>
      <c r="U226" s="295"/>
      <c r="V226" s="293"/>
      <c r="W226" s="972"/>
      <c r="X226" s="246"/>
      <c r="Y226" s="246"/>
      <c r="Z226" s="295"/>
      <c r="AA226" s="293"/>
      <c r="AB226" s="246"/>
      <c r="AC226" s="246"/>
      <c r="AD226" s="246"/>
      <c r="AE226" s="295"/>
      <c r="AF226" s="293"/>
      <c r="AG226" s="246"/>
      <c r="AH226" s="246"/>
      <c r="AI226" s="246"/>
      <c r="AJ226" s="295"/>
      <c r="AK226" s="293"/>
      <c r="AL226" s="246"/>
      <c r="AM226" s="246"/>
      <c r="AN226" s="246"/>
      <c r="AO226" s="295"/>
      <c r="AP226" s="293"/>
      <c r="AQ226" s="88"/>
      <c r="AR226" s="245"/>
      <c r="AS226" s="304"/>
      <c r="AT226" s="304"/>
      <c r="AU226" s="304"/>
      <c r="AV226" s="1104"/>
      <c r="AW226" s="1104"/>
      <c r="AX226" s="1104"/>
      <c r="AY226" s="1104"/>
      <c r="AZ226" s="1016"/>
      <c r="BA226" s="1016"/>
      <c r="BB226" s="304"/>
      <c r="BC226" s="245"/>
      <c r="BG226"/>
      <c r="BH226"/>
      <c r="BI226"/>
      <c r="BJ226"/>
      <c r="BK226"/>
      <c r="BL226"/>
    </row>
    <row r="227" spans="1:64" s="322" customFormat="1">
      <c r="A227" s="315" t="s">
        <v>23</v>
      </c>
      <c r="B227" s="573">
        <v>198.93024</v>
      </c>
      <c r="C227" s="652">
        <v>195.11897999999999</v>
      </c>
      <c r="D227" s="651">
        <v>188.381212</v>
      </c>
      <c r="E227" s="652">
        <v>182.82266200000001</v>
      </c>
      <c r="F227" s="652">
        <v>181.30308299999999</v>
      </c>
      <c r="G227" s="573">
        <f>+F227</f>
        <v>181.30308299999999</v>
      </c>
      <c r="H227" s="325">
        <v>180.828855</v>
      </c>
      <c r="I227" s="325">
        <v>178.956974</v>
      </c>
      <c r="J227" s="325">
        <v>176.784423</v>
      </c>
      <c r="K227" s="325">
        <v>175.068263</v>
      </c>
      <c r="L227" s="573">
        <f>+K227</f>
        <v>175.068263</v>
      </c>
      <c r="M227" s="325">
        <v>174.67587800000001</v>
      </c>
      <c r="N227" s="325">
        <v>174.15050099999999</v>
      </c>
      <c r="O227" s="614">
        <v>174.07852199999999</v>
      </c>
      <c r="P227" s="325">
        <v>175.068263</v>
      </c>
      <c r="Q227" s="573">
        <f>+P227</f>
        <v>175.068263</v>
      </c>
      <c r="R227" s="325">
        <v>174.67587800000001</v>
      </c>
      <c r="S227" s="325">
        <v>174.15050099999999</v>
      </c>
      <c r="T227" s="614">
        <v>174.07852199999999</v>
      </c>
      <c r="U227" s="325">
        <v>175.068263</v>
      </c>
      <c r="V227" s="573">
        <f>+U227</f>
        <v>175.068263</v>
      </c>
      <c r="W227" s="973">
        <f>+V227*(1+W234/4)</f>
        <v>175.28709832875001</v>
      </c>
      <c r="X227" s="325">
        <f t="shared" ref="X227:Z227" si="343">+W227*(1+X234/4)</f>
        <v>175.50620720166094</v>
      </c>
      <c r="Y227" s="325">
        <f t="shared" si="343"/>
        <v>175.725589960663</v>
      </c>
      <c r="Z227" s="326">
        <f t="shared" si="343"/>
        <v>175.94524694811383</v>
      </c>
      <c r="AA227" s="573">
        <f>Q227*(1+AA234)</f>
        <v>175.51602647790068</v>
      </c>
      <c r="AB227" s="519"/>
      <c r="AC227" s="519"/>
      <c r="AD227" s="519"/>
      <c r="AE227" s="574"/>
      <c r="AF227" s="573">
        <f>AA227*(1+AF234)</f>
        <v>172.88328608073218</v>
      </c>
      <c r="AG227" s="519"/>
      <c r="AH227" s="519"/>
      <c r="AI227" s="519"/>
      <c r="AJ227" s="574"/>
      <c r="AK227" s="573">
        <f>AF227*(1+AK234)</f>
        <v>169.42562035911752</v>
      </c>
      <c r="AL227" s="519"/>
      <c r="AM227" s="519"/>
      <c r="AN227" s="519"/>
      <c r="AO227" s="574"/>
      <c r="AP227" s="573">
        <f>AK227*(1+AP234)</f>
        <v>165.18997985013957</v>
      </c>
      <c r="AQ227" s="320"/>
      <c r="AR227" s="321"/>
      <c r="AS227" s="620"/>
      <c r="AT227" s="620"/>
      <c r="AU227" s="620"/>
      <c r="AV227" s="620"/>
      <c r="AW227" s="620"/>
      <c r="AX227" s="620"/>
      <c r="AY227" s="620"/>
      <c r="AZ227" s="620"/>
      <c r="BA227" s="620"/>
      <c r="BB227" s="620"/>
      <c r="BC227" s="321"/>
      <c r="BG227"/>
      <c r="BH227"/>
      <c r="BI227"/>
      <c r="BJ227"/>
      <c r="BK227"/>
      <c r="BL227"/>
    </row>
    <row r="228" spans="1:64" s="323" customFormat="1">
      <c r="A228" s="323" t="s">
        <v>24</v>
      </c>
      <c r="B228" s="316"/>
      <c r="C228" s="325">
        <f>C227-B227</f>
        <v>-3.8112600000000043</v>
      </c>
      <c r="D228" s="614">
        <f>D227-C227</f>
        <v>-6.7377679999999884</v>
      </c>
      <c r="E228" s="325">
        <f>E227-D227</f>
        <v>-5.5585499999999968</v>
      </c>
      <c r="F228" s="325">
        <f>F227-E227</f>
        <v>-1.5195790000000216</v>
      </c>
      <c r="G228" s="324">
        <f>+SUM(C228:F228)</f>
        <v>-17.627157000000011</v>
      </c>
      <c r="H228" s="325">
        <f>H227-F227</f>
        <v>-0.47422799999998233</v>
      </c>
      <c r="I228" s="325">
        <f>I227-H227</f>
        <v>-1.8718810000000019</v>
      </c>
      <c r="J228" s="325">
        <f>J227-I227</f>
        <v>-2.1725509999999986</v>
      </c>
      <c r="K228" s="325">
        <f>K227-J227</f>
        <v>-1.7161600000000021</v>
      </c>
      <c r="L228" s="324">
        <f>+SUM(H228:K228)</f>
        <v>-6.2348199999999849</v>
      </c>
      <c r="M228" s="325">
        <f>M227-K227</f>
        <v>-0.39238499999999021</v>
      </c>
      <c r="N228" s="325">
        <f>N227-M227</f>
        <v>-0.52537700000002019</v>
      </c>
      <c r="O228" s="325">
        <f>O227-N227</f>
        <v>-7.1978999999998905E-2</v>
      </c>
      <c r="P228" s="325">
        <f>P227-O227</f>
        <v>0.98974100000000931</v>
      </c>
      <c r="Q228" s="324">
        <f>+SUM(M228:P228)</f>
        <v>0</v>
      </c>
      <c r="R228" s="325">
        <f>R227-P227</f>
        <v>-0.39238499999999021</v>
      </c>
      <c r="S228" s="325">
        <f>S227-R227</f>
        <v>-0.52537700000002019</v>
      </c>
      <c r="T228" s="325">
        <f>T227-S227</f>
        <v>-7.1978999999998905E-2</v>
      </c>
      <c r="U228" s="325">
        <f>U227-T227</f>
        <v>0.98974100000000931</v>
      </c>
      <c r="V228" s="324">
        <f>+SUM(R228:U228)</f>
        <v>0</v>
      </c>
      <c r="W228" s="973">
        <f>W227-U227</f>
        <v>0.21883532875000355</v>
      </c>
      <c r="X228" s="325">
        <f t="shared" ref="X228:Z228" si="344">X227-W227</f>
        <v>0.21910887291093673</v>
      </c>
      <c r="Y228" s="325">
        <f t="shared" si="344"/>
        <v>0.21938275900205895</v>
      </c>
      <c r="Z228" s="326">
        <f t="shared" si="344"/>
        <v>0.21965698745083273</v>
      </c>
      <c r="AA228" s="324">
        <f>AA227-Q227</f>
        <v>0.44776347790067916</v>
      </c>
      <c r="AB228" s="325"/>
      <c r="AC228" s="325"/>
      <c r="AD228" s="325"/>
      <c r="AE228" s="326"/>
      <c r="AF228" s="324">
        <f>AF227-AA227</f>
        <v>-2.6327403971685044</v>
      </c>
      <c r="AG228" s="325"/>
      <c r="AH228" s="325"/>
      <c r="AI228" s="325"/>
      <c r="AJ228" s="326"/>
      <c r="AK228" s="324">
        <f>AK227-AF227</f>
        <v>-3.45766572161466</v>
      </c>
      <c r="AL228" s="325"/>
      <c r="AM228" s="325"/>
      <c r="AN228" s="325"/>
      <c r="AO228" s="326"/>
      <c r="AP228" s="324">
        <f>AP227-AK227</f>
        <v>-4.2356405089779514</v>
      </c>
      <c r="AQ228" s="327"/>
      <c r="AR228" s="328"/>
      <c r="AS228" s="636"/>
      <c r="AT228" s="636"/>
      <c r="AU228" s="636"/>
      <c r="AV228" s="636"/>
      <c r="AW228" s="636"/>
      <c r="AX228" s="636"/>
      <c r="AY228" s="636"/>
      <c r="AZ228" s="636"/>
      <c r="BA228" s="636"/>
      <c r="BB228" s="636"/>
      <c r="BC228" s="329"/>
      <c r="BG228"/>
      <c r="BH228"/>
      <c r="BI228"/>
      <c r="BJ228"/>
      <c r="BK228"/>
      <c r="BL228"/>
    </row>
    <row r="229" spans="1:64" s="323" customFormat="1">
      <c r="A229" s="507" t="s">
        <v>179</v>
      </c>
      <c r="B229" s="518"/>
      <c r="C229" s="325">
        <f>C228+C230</f>
        <v>1.4887399999999964</v>
      </c>
      <c r="D229" s="614">
        <f>D228+D230</f>
        <v>6.2232000000012277E-2</v>
      </c>
      <c r="E229" s="325">
        <f>E228+E230</f>
        <v>4.1450000000001097E-2</v>
      </c>
      <c r="F229" s="325">
        <f>F228+F230</f>
        <v>8.042099999997987E-2</v>
      </c>
      <c r="G229" s="815">
        <f>+SUM(C229:F229)</f>
        <v>1.6728429999999896</v>
      </c>
      <c r="H229" s="325">
        <f>H228+H230</f>
        <v>1.0257720000000177</v>
      </c>
      <c r="I229" s="325">
        <f>I228+I230</f>
        <v>2.8118999999998007E-2</v>
      </c>
      <c r="J229" s="325">
        <f>J228+J230</f>
        <v>2.7449000000001167E-2</v>
      </c>
      <c r="K229" s="325">
        <f>K228+K230</f>
        <v>-1.6160000000000618E-2</v>
      </c>
      <c r="L229" s="815">
        <f>+SUM(H229:K229)</f>
        <v>1.0651800000000162</v>
      </c>
      <c r="M229" s="325">
        <f>M228+M230</f>
        <v>0.50761500000000981</v>
      </c>
      <c r="N229" s="841">
        <f>N228+N230</f>
        <v>7.4622999999979789E-2</v>
      </c>
      <c r="O229" s="325">
        <f>O228+O230</f>
        <v>2.8021000000001073E-2</v>
      </c>
      <c r="P229" s="325">
        <f>P228+P230</f>
        <v>6.6897410000000104</v>
      </c>
      <c r="Q229" s="815">
        <f>+SUM(M229:P229)</f>
        <v>7.3000000000000007</v>
      </c>
      <c r="R229" s="325">
        <f>R228+R230</f>
        <v>0.50761500000000981</v>
      </c>
      <c r="S229" s="841">
        <f>S228+S230</f>
        <v>7.4622999999979789E-2</v>
      </c>
      <c r="T229" s="325">
        <f>T228+T230</f>
        <v>2.8021000000001073E-2</v>
      </c>
      <c r="U229" s="325">
        <f>U228+U230</f>
        <v>6.6897410000000104</v>
      </c>
      <c r="V229" s="815">
        <f>+SUM(R229:U229)</f>
        <v>7.3000000000000007</v>
      </c>
      <c r="W229" s="974">
        <v>0.2</v>
      </c>
      <c r="X229" s="816">
        <v>0.2</v>
      </c>
      <c r="Y229" s="816">
        <v>0.3</v>
      </c>
      <c r="Z229" s="975">
        <v>0.1</v>
      </c>
      <c r="AA229" s="815">
        <f>+SUM(W229:Z229)</f>
        <v>0.79999999999999993</v>
      </c>
      <c r="AB229" s="332"/>
      <c r="AC229" s="332"/>
      <c r="AD229" s="332"/>
      <c r="AE229" s="334"/>
      <c r="AF229" s="333">
        <f>AA229</f>
        <v>0.79999999999999993</v>
      </c>
      <c r="AG229" s="332"/>
      <c r="AH229" s="332"/>
      <c r="AI229" s="332"/>
      <c r="AJ229" s="334"/>
      <c r="AK229" s="333">
        <f>AF229</f>
        <v>0.79999999999999993</v>
      </c>
      <c r="AL229" s="332"/>
      <c r="AM229" s="332"/>
      <c r="AN229" s="332"/>
      <c r="AO229" s="334"/>
      <c r="AP229" s="333">
        <f>AK229</f>
        <v>0.79999999999999993</v>
      </c>
      <c r="AQ229" s="327"/>
      <c r="AR229" s="328"/>
      <c r="AS229" s="999"/>
      <c r="AT229" s="636"/>
      <c r="AU229" s="636"/>
      <c r="AV229" s="636"/>
      <c r="AW229" s="636"/>
      <c r="AX229" s="636"/>
      <c r="AY229" s="636"/>
      <c r="AZ229" s="636"/>
      <c r="BA229" s="636"/>
      <c r="BB229" s="636"/>
      <c r="BC229" s="329"/>
      <c r="BG229"/>
      <c r="BH229"/>
      <c r="BI229"/>
      <c r="BJ229"/>
      <c r="BK229"/>
      <c r="BL229"/>
    </row>
    <row r="230" spans="1:64" s="323" customFormat="1">
      <c r="A230" s="507" t="s">
        <v>178</v>
      </c>
      <c r="B230" s="518">
        <v>21.4</v>
      </c>
      <c r="C230" s="644">
        <f>2.7+2.6</f>
        <v>5.3000000000000007</v>
      </c>
      <c r="D230" s="644">
        <f>2.7+9.4-C230</f>
        <v>6.8000000000000007</v>
      </c>
      <c r="E230" s="644">
        <f>2.7+15-D230-C230</f>
        <v>5.5999999999999979</v>
      </c>
      <c r="F230" s="644">
        <f>2.7+16.6-E230-D230-C230</f>
        <v>1.6000000000000014</v>
      </c>
      <c r="G230" s="815">
        <f>+SUM(C230:F230)</f>
        <v>19.3</v>
      </c>
      <c r="H230" s="325">
        <v>1.5</v>
      </c>
      <c r="I230" s="325">
        <f>1.4+2-H230</f>
        <v>1.9</v>
      </c>
      <c r="J230" s="325">
        <f>1.4+4.2-I230-H230</f>
        <v>2.1999999999999997</v>
      </c>
      <c r="K230" s="326">
        <f>1.4+5.9-J230-I230-H230</f>
        <v>1.7000000000000015</v>
      </c>
      <c r="L230" s="815">
        <f>+SUM(H230:K230)</f>
        <v>7.3000000000000007</v>
      </c>
      <c r="M230" s="325">
        <v>0.9</v>
      </c>
      <c r="N230" s="325">
        <f>1.5-M230</f>
        <v>0.6</v>
      </c>
      <c r="O230" s="614">
        <f>1.6-N230-M230</f>
        <v>9.9999999999999978E-2</v>
      </c>
      <c r="P230" s="326">
        <f>1.4+5.9-O230-N230-M230</f>
        <v>5.7000000000000011</v>
      </c>
      <c r="Q230" s="815">
        <f>+SUM(M230:P230)</f>
        <v>7.3000000000000007</v>
      </c>
      <c r="R230" s="325">
        <v>0.9</v>
      </c>
      <c r="S230" s="325">
        <f>1.5-R230</f>
        <v>0.6</v>
      </c>
      <c r="T230" s="614">
        <f>1.6-S230-R230</f>
        <v>9.9999999999999978E-2</v>
      </c>
      <c r="U230" s="326">
        <f>1.4+5.9-T230-S230-R230</f>
        <v>5.7000000000000011</v>
      </c>
      <c r="V230" s="815">
        <f>+SUM(R230:U230)</f>
        <v>7.3000000000000007</v>
      </c>
      <c r="W230" s="973">
        <f t="shared" ref="W230:Z230" si="345">+W229-W228</f>
        <v>-1.8835328750003544E-2</v>
      </c>
      <c r="X230" s="325">
        <f t="shared" si="345"/>
        <v>-1.9108872910936714E-2</v>
      </c>
      <c r="Y230" s="325">
        <f t="shared" si="345"/>
        <v>8.0617240997941042E-2</v>
      </c>
      <c r="Z230" s="326">
        <f t="shared" si="345"/>
        <v>-0.11965698745083272</v>
      </c>
      <c r="AA230" s="324">
        <f>-AA228+AA229</f>
        <v>0.35223652209932077</v>
      </c>
      <c r="AB230" s="325"/>
      <c r="AC230" s="325"/>
      <c r="AD230" s="325"/>
      <c r="AE230" s="325"/>
      <c r="AF230" s="324">
        <f>-AF228+AF229</f>
        <v>3.4327403971685042</v>
      </c>
      <c r="AG230" s="325"/>
      <c r="AH230" s="325"/>
      <c r="AI230" s="325"/>
      <c r="AJ230" s="325"/>
      <c r="AK230" s="324">
        <f>-AK228+AK229</f>
        <v>4.2576657216146598</v>
      </c>
      <c r="AL230" s="325"/>
      <c r="AM230" s="325"/>
      <c r="AN230" s="325"/>
      <c r="AO230" s="325"/>
      <c r="AP230" s="324">
        <f>-AP228+AP229</f>
        <v>5.0356405089779512</v>
      </c>
      <c r="AQ230" s="331"/>
      <c r="AR230" s="328"/>
      <c r="AS230" s="636" t="s">
        <v>362</v>
      </c>
      <c r="AT230" s="636"/>
      <c r="AU230" s="636"/>
      <c r="AV230" s="636"/>
      <c r="AW230" s="636"/>
      <c r="AX230" s="636"/>
      <c r="AY230" s="636"/>
      <c r="AZ230" s="636"/>
      <c r="BA230" s="636"/>
      <c r="BB230" s="636"/>
      <c r="BC230" s="329"/>
      <c r="BG230"/>
      <c r="BH230"/>
      <c r="BI230"/>
      <c r="BJ230"/>
      <c r="BK230"/>
      <c r="BL230"/>
    </row>
    <row r="231" spans="1:64" s="322" customFormat="1">
      <c r="A231" s="315" t="s">
        <v>25</v>
      </c>
      <c r="B231" s="337">
        <v>208.8</v>
      </c>
      <c r="C231" s="656">
        <v>197.7</v>
      </c>
      <c r="D231" s="651">
        <v>191.8</v>
      </c>
      <c r="E231" s="651">
        <v>185.8</v>
      </c>
      <c r="F231" s="651">
        <v>182.1</v>
      </c>
      <c r="G231" s="683">
        <v>189.4</v>
      </c>
      <c r="H231" s="318">
        <v>181.3</v>
      </c>
      <c r="I231" s="318">
        <v>180.1</v>
      </c>
      <c r="J231" s="318">
        <v>178.1</v>
      </c>
      <c r="K231" s="319">
        <v>176</v>
      </c>
      <c r="L231" s="317">
        <v>178.9</v>
      </c>
      <c r="M231" s="318">
        <v>174.8</v>
      </c>
      <c r="N231" s="318">
        <v>174.5</v>
      </c>
      <c r="O231" s="318">
        <v>174.2</v>
      </c>
      <c r="P231" s="319">
        <v>174.40140336439669</v>
      </c>
      <c r="Q231" s="317">
        <f>+AVERAGE(M231:P231)</f>
        <v>174.47535084109916</v>
      </c>
      <c r="R231" s="318">
        <v>174.8</v>
      </c>
      <c r="S231" s="318">
        <v>174.5</v>
      </c>
      <c r="T231" s="318">
        <v>174.2</v>
      </c>
      <c r="U231" s="319">
        <v>174.40140336439669</v>
      </c>
      <c r="V231" s="317">
        <f>+AVERAGE(R231:U231)</f>
        <v>174.47535084109916</v>
      </c>
      <c r="W231" s="976">
        <f t="shared" ref="W231:Z231" si="346">W233-W232</f>
        <v>175.43821271027477</v>
      </c>
      <c r="X231" s="318">
        <f t="shared" si="346"/>
        <v>175.65786192902476</v>
      </c>
      <c r="Y231" s="318">
        <f t="shared" si="346"/>
        <v>175.87778570929819</v>
      </c>
      <c r="Z231" s="319">
        <f t="shared" si="346"/>
        <v>176.09798439429696</v>
      </c>
      <c r="AA231" s="317">
        <f>AA233-AA232</f>
        <v>174.92447431654804</v>
      </c>
      <c r="AB231" s="318"/>
      <c r="AC231" s="318"/>
      <c r="AD231" s="318"/>
      <c r="AE231" s="319"/>
      <c r="AF231" s="317">
        <f>AF233-AF232</f>
        <v>172.2837374644163</v>
      </c>
      <c r="AG231" s="318"/>
      <c r="AH231" s="318"/>
      <c r="AI231" s="318"/>
      <c r="AJ231" s="319"/>
      <c r="AK231" s="317">
        <f>AK233-AK232</f>
        <v>168.81556973194995</v>
      </c>
      <c r="AL231" s="318"/>
      <c r="AM231" s="318"/>
      <c r="AN231" s="318"/>
      <c r="AO231" s="319"/>
      <c r="AP231" s="317">
        <f>AP233-AP232</f>
        <v>164.56706425967869</v>
      </c>
      <c r="AQ231" s="320"/>
      <c r="AR231" s="321"/>
      <c r="AS231" s="636"/>
      <c r="AT231" s="636"/>
      <c r="AU231" s="620"/>
      <c r="AV231" s="620"/>
      <c r="AW231" s="620"/>
      <c r="AX231" s="620"/>
      <c r="AY231" s="620"/>
      <c r="AZ231" s="620"/>
      <c r="BA231" s="620"/>
      <c r="BB231" s="620"/>
      <c r="BC231" s="321"/>
      <c r="BG231"/>
      <c r="BH231"/>
      <c r="BI231"/>
      <c r="BJ231"/>
      <c r="BK231"/>
      <c r="BL231"/>
    </row>
    <row r="232" spans="1:64" s="323" customFormat="1">
      <c r="A232" s="330" t="s">
        <v>26</v>
      </c>
      <c r="B232" s="324">
        <f t="shared" ref="B232:N232" si="347">B233-B231</f>
        <v>3.2999999999999829</v>
      </c>
      <c r="C232" s="327">
        <f t="shared" si="347"/>
        <v>2.8000000000000114</v>
      </c>
      <c r="D232" s="325">
        <f t="shared" si="347"/>
        <v>1.8999999999999773</v>
      </c>
      <c r="E232" s="325">
        <f t="shared" si="347"/>
        <v>2.0999999999999943</v>
      </c>
      <c r="F232" s="325">
        <f t="shared" si="347"/>
        <v>2.0999999999999943</v>
      </c>
      <c r="G232" s="324">
        <f t="shared" si="347"/>
        <v>2.1999999999999886</v>
      </c>
      <c r="H232" s="327">
        <f t="shared" si="347"/>
        <v>2.0999999999999943</v>
      </c>
      <c r="I232" s="325">
        <f t="shared" si="347"/>
        <v>1.4000000000000057</v>
      </c>
      <c r="J232" s="325">
        <f t="shared" si="347"/>
        <v>1.5</v>
      </c>
      <c r="K232" s="325">
        <f t="shared" si="347"/>
        <v>1.5999999999999943</v>
      </c>
      <c r="L232" s="324">
        <f t="shared" si="347"/>
        <v>1.5999999999999943</v>
      </c>
      <c r="M232" s="327">
        <f t="shared" si="347"/>
        <v>1.2999999999999829</v>
      </c>
      <c r="N232" s="841">
        <f t="shared" si="347"/>
        <v>1</v>
      </c>
      <c r="O232" s="325">
        <f t="shared" ref="O232:S232" si="348">O233-O231</f>
        <v>1.1000000000000227</v>
      </c>
      <c r="P232" s="614">
        <f t="shared" si="348"/>
        <v>1.0985966356033146</v>
      </c>
      <c r="Q232" s="324">
        <f t="shared" si="348"/>
        <v>1.1246491589008656</v>
      </c>
      <c r="R232" s="327">
        <f t="shared" si="348"/>
        <v>1.2999999999999829</v>
      </c>
      <c r="S232" s="841">
        <f t="shared" si="348"/>
        <v>1</v>
      </c>
      <c r="T232" s="325">
        <f t="shared" ref="T232:V232" si="349">T233-T231</f>
        <v>1.1000000000000227</v>
      </c>
      <c r="U232" s="614">
        <f t="shared" si="349"/>
        <v>1.0985966356033146</v>
      </c>
      <c r="V232" s="324">
        <f t="shared" si="349"/>
        <v>1.1246491589008656</v>
      </c>
      <c r="W232" s="974">
        <f>AA232/4</f>
        <v>0.2811622897252164</v>
      </c>
      <c r="X232" s="816">
        <f>(AA232-W232)/3</f>
        <v>0.2811622897252164</v>
      </c>
      <c r="Y232" s="816">
        <f>(AA232-W232-X232)/2</f>
        <v>0.2811622897252164</v>
      </c>
      <c r="Z232" s="975">
        <f>AA232-W232-X232-Y232</f>
        <v>0.2811622897252164</v>
      </c>
      <c r="AA232" s="333">
        <f>Q232</f>
        <v>1.1246491589008656</v>
      </c>
      <c r="AB232" s="332"/>
      <c r="AC232" s="332"/>
      <c r="AD232" s="332"/>
      <c r="AE232" s="334"/>
      <c r="AF232" s="333">
        <f>AA232</f>
        <v>1.1246491589008656</v>
      </c>
      <c r="AG232" s="332"/>
      <c r="AH232" s="332"/>
      <c r="AI232" s="332"/>
      <c r="AJ232" s="334"/>
      <c r="AK232" s="333">
        <f>AF232</f>
        <v>1.1246491589008656</v>
      </c>
      <c r="AL232" s="332"/>
      <c r="AM232" s="332"/>
      <c r="AN232" s="332"/>
      <c r="AO232" s="334"/>
      <c r="AP232" s="333">
        <f>AK232</f>
        <v>1.1246491589008656</v>
      </c>
      <c r="AQ232" s="327"/>
      <c r="AR232" s="328"/>
      <c r="AS232" s="620"/>
      <c r="AT232" s="620"/>
      <c r="AU232" s="636"/>
      <c r="AV232" s="636"/>
      <c r="AW232" s="636"/>
      <c r="AX232" s="636"/>
      <c r="AY232" s="636"/>
      <c r="AZ232" s="636"/>
      <c r="BA232" s="636"/>
      <c r="BB232" s="636"/>
      <c r="BC232" s="329"/>
      <c r="BG232"/>
      <c r="BH232"/>
      <c r="BI232"/>
      <c r="BJ232"/>
      <c r="BK232"/>
      <c r="BL232"/>
    </row>
    <row r="233" spans="1:64" s="343" customFormat="1">
      <c r="A233" s="335" t="s">
        <v>128</v>
      </c>
      <c r="B233" s="337">
        <v>212.1</v>
      </c>
      <c r="C233" s="339">
        <v>200.5</v>
      </c>
      <c r="D233" s="336">
        <v>193.7</v>
      </c>
      <c r="E233" s="336">
        <v>187.9</v>
      </c>
      <c r="F233" s="336">
        <v>184.2</v>
      </c>
      <c r="G233" s="683">
        <v>191.6</v>
      </c>
      <c r="H233" s="338">
        <v>183.4</v>
      </c>
      <c r="I233" s="338">
        <v>181.5</v>
      </c>
      <c r="J233" s="338">
        <v>179.6</v>
      </c>
      <c r="K233" s="340">
        <v>177.6</v>
      </c>
      <c r="L233" s="337">
        <v>180.5</v>
      </c>
      <c r="M233" s="338">
        <v>176.1</v>
      </c>
      <c r="N233" s="338">
        <v>175.5</v>
      </c>
      <c r="O233" s="338">
        <v>175.3</v>
      </c>
      <c r="P233" s="340">
        <v>175.5</v>
      </c>
      <c r="Q233" s="337">
        <f>+AVERAGE(M233:P233)</f>
        <v>175.60000000000002</v>
      </c>
      <c r="R233" s="338">
        <v>176.1</v>
      </c>
      <c r="S233" s="338">
        <v>175.5</v>
      </c>
      <c r="T233" s="338">
        <v>175.3</v>
      </c>
      <c r="U233" s="340">
        <v>175.5</v>
      </c>
      <c r="V233" s="337">
        <f>+AVERAGE(R233:U233)</f>
        <v>175.60000000000002</v>
      </c>
      <c r="W233" s="977">
        <f>U233*(1+W234/4)</f>
        <v>175.71937499999999</v>
      </c>
      <c r="X233" s="338">
        <f t="shared" ref="X233:Z233" si="350">W233*(1+X234/4)</f>
        <v>175.93902421874998</v>
      </c>
      <c r="Y233" s="338">
        <f t="shared" si="350"/>
        <v>176.15894799902341</v>
      </c>
      <c r="Z233" s="340">
        <f t="shared" si="350"/>
        <v>176.37914668402217</v>
      </c>
      <c r="AA233" s="337">
        <f>+AVERAGE(W233:Z233)</f>
        <v>176.04912347544891</v>
      </c>
      <c r="AB233" s="338"/>
      <c r="AC233" s="338"/>
      <c r="AD233" s="338"/>
      <c r="AE233" s="340"/>
      <c r="AF233" s="337">
        <f>AA233*(1+AF234)</f>
        <v>173.40838662331717</v>
      </c>
      <c r="AG233" s="338"/>
      <c r="AH233" s="338"/>
      <c r="AI233" s="338"/>
      <c r="AJ233" s="340"/>
      <c r="AK233" s="337">
        <f>AF233*(1+AK234)</f>
        <v>169.94021889085082</v>
      </c>
      <c r="AL233" s="338"/>
      <c r="AM233" s="338"/>
      <c r="AN233" s="338"/>
      <c r="AO233" s="340"/>
      <c r="AP233" s="337">
        <f>AK233*(1+AP234)</f>
        <v>165.69171341857955</v>
      </c>
      <c r="AQ233" s="341"/>
      <c r="AR233" s="342"/>
      <c r="AS233" s="664"/>
      <c r="AT233" s="620"/>
      <c r="AU233" s="620"/>
      <c r="AV233" s="620"/>
      <c r="AW233" s="620"/>
      <c r="AX233" s="620"/>
      <c r="AY233" s="620"/>
      <c r="AZ233" s="620"/>
      <c r="BA233" s="620"/>
      <c r="BB233" s="620"/>
      <c r="BC233" s="342"/>
      <c r="BG233"/>
      <c r="BH233"/>
      <c r="BI233"/>
      <c r="BJ233"/>
      <c r="BK233"/>
      <c r="BL233"/>
    </row>
    <row r="234" spans="1:64" s="351" customFormat="1">
      <c r="A234" s="344" t="s">
        <v>27</v>
      </c>
      <c r="B234" s="179"/>
      <c r="C234" s="345"/>
      <c r="D234" s="345">
        <f>(D233/C233-1)*4</f>
        <v>-0.13566084788029942</v>
      </c>
      <c r="E234" s="345">
        <f>(E233/D233-1)*4</f>
        <v>-0.11977284460505899</v>
      </c>
      <c r="F234" s="345">
        <f>(F233/E233-1)*4</f>
        <v>-7.8765300691857831E-2</v>
      </c>
      <c r="G234" s="179">
        <f>G233/B233-1</f>
        <v>-9.6652522395096696E-2</v>
      </c>
      <c r="H234" s="345">
        <f>(H233/F233-1)*4</f>
        <v>-1.7372421281215633E-2</v>
      </c>
      <c r="I234" s="345">
        <f>(I233/H233-1)*4</f>
        <v>-4.1439476553980281E-2</v>
      </c>
      <c r="J234" s="345">
        <f>(J233/I233-1)*4</f>
        <v>-4.1873278236914668E-2</v>
      </c>
      <c r="K234" s="345">
        <f>(K233/J233-1)*4</f>
        <v>-4.4543429844098092E-2</v>
      </c>
      <c r="L234" s="179">
        <f>L233/G233-1</f>
        <v>-5.7933194154488499E-2</v>
      </c>
      <c r="M234" s="345">
        <f>(M233/K233-1)*4</f>
        <v>-3.3783783783783772E-2</v>
      </c>
      <c r="N234" s="345">
        <f>(N233/M233-1)*4</f>
        <v>-1.3628620102214661E-2</v>
      </c>
      <c r="O234" s="345">
        <f>(O233/N233-1)*4</f>
        <v>-4.5584045584043942E-3</v>
      </c>
      <c r="P234" s="1028">
        <f>(P233/O233-1)*4</f>
        <v>4.5636052481459188E-3</v>
      </c>
      <c r="Q234" s="179">
        <f>Q233/L233-1</f>
        <v>-2.7146814404432007E-2</v>
      </c>
      <c r="R234" s="345">
        <f>(R233/P233-1)*4</f>
        <v>1.3675213675213627E-2</v>
      </c>
      <c r="S234" s="345">
        <f>(S233/R233-1)*4</f>
        <v>-1.3628620102214661E-2</v>
      </c>
      <c r="T234" s="345">
        <f>(T233/S233-1)*4</f>
        <v>-4.5584045584043942E-3</v>
      </c>
      <c r="U234" s="1028">
        <f>(U233/T233-1)*4</f>
        <v>4.5636052481459188E-3</v>
      </c>
      <c r="V234" s="179"/>
      <c r="W234" s="978">
        <v>5.0000000000000001E-3</v>
      </c>
      <c r="X234" s="348">
        <v>5.0000000000000001E-3</v>
      </c>
      <c r="Y234" s="348">
        <v>5.0000000000000001E-3</v>
      </c>
      <c r="Z234" s="349">
        <v>5.0000000000000001E-3</v>
      </c>
      <c r="AA234" s="179">
        <f>AA233/Q233-1</f>
        <v>2.5576507713489516E-3</v>
      </c>
      <c r="AB234" s="348"/>
      <c r="AC234" s="348"/>
      <c r="AD234" s="348"/>
      <c r="AE234" s="349"/>
      <c r="AF234" s="347">
        <v>-1.4999999999999999E-2</v>
      </c>
      <c r="AG234" s="348"/>
      <c r="AH234" s="348"/>
      <c r="AI234" s="348"/>
      <c r="AJ234" s="349"/>
      <c r="AK234" s="347">
        <v>-0.02</v>
      </c>
      <c r="AL234" s="348"/>
      <c r="AM234" s="348"/>
      <c r="AN234" s="348"/>
      <c r="AO234" s="349"/>
      <c r="AP234" s="347">
        <v>-2.5000000000000001E-2</v>
      </c>
      <c r="AQ234" s="168"/>
      <c r="AR234" s="350"/>
      <c r="AS234" s="620"/>
      <c r="AT234" s="882"/>
      <c r="AU234" s="882"/>
      <c r="AV234" s="882"/>
      <c r="AW234" s="882"/>
      <c r="AX234" s="882"/>
      <c r="AY234" s="882"/>
      <c r="AZ234" s="882"/>
      <c r="BA234" s="882"/>
      <c r="BB234" s="882"/>
      <c r="BC234" s="350"/>
      <c r="BG234"/>
      <c r="BH234"/>
      <c r="BI234"/>
      <c r="BJ234"/>
      <c r="BK234"/>
      <c r="BL234"/>
    </row>
    <row r="235" spans="1:64" s="359" customFormat="1">
      <c r="A235" s="352" t="s">
        <v>28</v>
      </c>
      <c r="B235" s="353">
        <v>125.73379217391307</v>
      </c>
      <c r="C235" s="358">
        <v>159.65677870967747</v>
      </c>
      <c r="D235" s="354">
        <v>160.1145375000001</v>
      </c>
      <c r="E235" s="354">
        <v>167.45662046153853</v>
      </c>
      <c r="F235" s="634">
        <v>183.04277353846157</v>
      </c>
      <c r="G235" s="353">
        <f>AVERAGE(C235:F235)</f>
        <v>167.56767755241941</v>
      </c>
      <c r="H235" s="358">
        <v>188.88710225806454</v>
      </c>
      <c r="I235" s="354">
        <v>210.30292861538467</v>
      </c>
      <c r="J235" s="354">
        <v>216.6863135384616</v>
      </c>
      <c r="K235" s="634">
        <v>232.20953609375002</v>
      </c>
      <c r="L235" s="353">
        <f>AVERAGE(H235:K235)</f>
        <v>212.02147012641521</v>
      </c>
      <c r="M235" s="358">
        <v>237.54710112903226</v>
      </c>
      <c r="N235" s="842">
        <v>249.96453140625005</v>
      </c>
      <c r="O235" s="354">
        <v>268.96501609374991</v>
      </c>
      <c r="P235" s="634">
        <v>268.96501609374991</v>
      </c>
      <c r="Q235" s="353">
        <f>AVERAGE(M235:P235)</f>
        <v>256.36041618069555</v>
      </c>
      <c r="R235" s="358">
        <f>M235</f>
        <v>237.54710112903226</v>
      </c>
      <c r="S235" s="842">
        <f>N235</f>
        <v>249.96453140625005</v>
      </c>
      <c r="T235" s="354">
        <f>O235</f>
        <v>268.96501609374991</v>
      </c>
      <c r="U235" s="634">
        <f>P235</f>
        <v>268.96501609374991</v>
      </c>
      <c r="V235" s="353">
        <f>AVERAGE(R235:U235)</f>
        <v>256.36041618069555</v>
      </c>
      <c r="W235" s="979">
        <f>+U235*(1+W236)</f>
        <v>279.72361673749992</v>
      </c>
      <c r="X235" s="980">
        <f t="shared" ref="X235:Z235" si="351">+W235*(1+X236)</f>
        <v>290.91256140699994</v>
      </c>
      <c r="Y235" s="980">
        <f t="shared" si="351"/>
        <v>302.54906386327997</v>
      </c>
      <c r="Z235" s="981">
        <f t="shared" si="351"/>
        <v>314.65102641781118</v>
      </c>
      <c r="AA235" s="353">
        <f>+AVERAGE(W235:Z235)</f>
        <v>296.95906710639775</v>
      </c>
      <c r="AB235" s="355"/>
      <c r="AC235" s="355"/>
      <c r="AD235" s="355"/>
      <c r="AE235" s="355"/>
      <c r="AF235" s="353">
        <f>AA235*(1+AF236)</f>
        <v>326.65497381703756</v>
      </c>
      <c r="AG235" s="355"/>
      <c r="AH235" s="355"/>
      <c r="AI235" s="355"/>
      <c r="AJ235" s="355"/>
      <c r="AK235" s="353">
        <f>AF235*(1+AK236)</f>
        <v>359.32047119874136</v>
      </c>
      <c r="AL235" s="355"/>
      <c r="AM235" s="355"/>
      <c r="AN235" s="355"/>
      <c r="AO235" s="355"/>
      <c r="AP235" s="353">
        <f>AK235*(1+AP236)</f>
        <v>395.2525183186155</v>
      </c>
      <c r="AQ235" s="310"/>
      <c r="AR235" s="356"/>
      <c r="AS235" s="626"/>
      <c r="AT235" s="626"/>
      <c r="AU235" s="913"/>
      <c r="AV235" s="988"/>
      <c r="AW235" s="988"/>
      <c r="AX235" s="988"/>
      <c r="AY235" s="988"/>
      <c r="AZ235" s="893"/>
      <c r="BA235" s="893"/>
      <c r="BB235" s="893"/>
      <c r="BC235" s="357"/>
      <c r="BD235" s="358"/>
      <c r="BE235" s="358"/>
      <c r="BF235" s="358"/>
      <c r="BG235"/>
      <c r="BH235"/>
      <c r="BI235"/>
      <c r="BJ235"/>
      <c r="BK235"/>
      <c r="BL235"/>
    </row>
    <row r="236" spans="1:64" s="368" customFormat="1">
      <c r="A236" s="360" t="s">
        <v>29</v>
      </c>
      <c r="B236" s="361"/>
      <c r="D236" s="362">
        <f>D235/C235-1</f>
        <v>2.867142842428505E-3</v>
      </c>
      <c r="E236" s="362">
        <f>E235/D235-1</f>
        <v>4.5855192640071429E-2</v>
      </c>
      <c r="F236" s="362">
        <f>F235/E235-1</f>
        <v>9.3075765138248778E-2</v>
      </c>
      <c r="G236" s="361">
        <f>G235/B235-1</f>
        <v>0.33271791660146821</v>
      </c>
      <c r="H236" s="368">
        <f>H235/F235-1</f>
        <v>3.1928759637019688E-2</v>
      </c>
      <c r="I236" s="362">
        <f>I235/H235-1</f>
        <v>0.11337897665485408</v>
      </c>
      <c r="J236" s="362">
        <f>J235/I235-1</f>
        <v>3.0353285924758833E-2</v>
      </c>
      <c r="K236" s="362">
        <f>K235/J235-1</f>
        <v>7.1639146477671112E-2</v>
      </c>
      <c r="L236" s="361">
        <f>L235/G235-1</f>
        <v>0.26528858800999688</v>
      </c>
      <c r="M236" s="368">
        <f>M235/K235-1</f>
        <v>2.2985985524415664E-2</v>
      </c>
      <c r="N236" s="362">
        <f>N235/M235-1</f>
        <v>5.2273550037863048E-2</v>
      </c>
      <c r="O236" s="362">
        <f>O235/N235-1</f>
        <v>7.6012723007568228E-2</v>
      </c>
      <c r="P236" s="362">
        <f>P235/O235-1</f>
        <v>0</v>
      </c>
      <c r="Q236" s="361">
        <f>Q235/L235-1</f>
        <v>0.20912479301197084</v>
      </c>
      <c r="R236" s="368">
        <f>R235/P235-1</f>
        <v>-0.11681041430966876</v>
      </c>
      <c r="S236" s="362">
        <f>S235/R235-1</f>
        <v>5.2273550037863048E-2</v>
      </c>
      <c r="T236" s="362">
        <f>T235/S235-1</f>
        <v>7.6012723007568228E-2</v>
      </c>
      <c r="U236" s="362">
        <f>U235/T235-1</f>
        <v>0</v>
      </c>
      <c r="V236" s="361"/>
      <c r="W236" s="982">
        <v>0.04</v>
      </c>
      <c r="X236" s="855">
        <v>0.04</v>
      </c>
      <c r="Y236" s="855">
        <v>0.04</v>
      </c>
      <c r="Z236" s="983">
        <v>0.04</v>
      </c>
      <c r="AA236" s="361">
        <f>AA235/Q235-1</f>
        <v>0.15836552120857172</v>
      </c>
      <c r="AB236" s="364"/>
      <c r="AC236" s="364"/>
      <c r="AD236" s="364"/>
      <c r="AE236" s="364"/>
      <c r="AF236" s="363">
        <v>0.1</v>
      </c>
      <c r="AG236" s="364"/>
      <c r="AH236" s="364"/>
      <c r="AI236" s="364"/>
      <c r="AJ236" s="364"/>
      <c r="AK236" s="363">
        <v>0.1</v>
      </c>
      <c r="AL236" s="364"/>
      <c r="AM236" s="364"/>
      <c r="AN236" s="364"/>
      <c r="AO236" s="364"/>
      <c r="AP236" s="363">
        <v>0.1</v>
      </c>
      <c r="AQ236" s="365"/>
      <c r="AR236" s="366"/>
      <c r="AS236" s="626"/>
      <c r="AT236" s="626"/>
      <c r="AU236" s="913"/>
      <c r="AV236" s="988" t="s">
        <v>347</v>
      </c>
      <c r="AW236" s="988" t="s">
        <v>348</v>
      </c>
      <c r="AX236" s="988"/>
      <c r="AY236" s="988"/>
      <c r="AZ236" s="885"/>
      <c r="BA236" s="885"/>
      <c r="BB236" s="885"/>
      <c r="BC236" s="367"/>
      <c r="BG236"/>
      <c r="BH236"/>
      <c r="BI236"/>
      <c r="BJ236"/>
      <c r="BK236"/>
      <c r="BL236"/>
    </row>
    <row r="237" spans="1:64" s="247" customFormat="1">
      <c r="A237" s="292" t="s">
        <v>30</v>
      </c>
      <c r="B237" s="293"/>
      <c r="C237" s="294"/>
      <c r="D237" s="214"/>
      <c r="E237" s="214"/>
      <c r="F237" s="246"/>
      <c r="G237" s="293"/>
      <c r="H237" s="246"/>
      <c r="I237" s="246"/>
      <c r="J237" s="246"/>
      <c r="K237" s="295"/>
      <c r="L237" s="508"/>
      <c r="M237" s="246"/>
      <c r="N237" s="246"/>
      <c r="O237" s="246"/>
      <c r="P237" s="295"/>
      <c r="Q237" s="508"/>
      <c r="R237" s="246"/>
      <c r="S237" s="246"/>
      <c r="T237" s="246"/>
      <c r="U237" s="295"/>
      <c r="V237" s="508"/>
      <c r="W237" s="246"/>
      <c r="X237" s="246"/>
      <c r="Y237" s="246"/>
      <c r="Z237" s="295"/>
      <c r="AA237" s="508"/>
      <c r="AB237" s="246"/>
      <c r="AC237" s="246"/>
      <c r="AD237" s="246"/>
      <c r="AE237" s="295"/>
      <c r="AF237" s="508"/>
      <c r="AG237" s="246"/>
      <c r="AH237" s="246"/>
      <c r="AI237" s="246"/>
      <c r="AJ237" s="295"/>
      <c r="AK237" s="508"/>
      <c r="AL237" s="246"/>
      <c r="AM237" s="246"/>
      <c r="AN237" s="246"/>
      <c r="AO237" s="295"/>
      <c r="AP237" s="508"/>
      <c r="AQ237" s="88"/>
      <c r="AR237" s="245"/>
      <c r="AS237" s="626"/>
      <c r="AT237" s="626"/>
      <c r="AU237" s="913" t="s">
        <v>363</v>
      </c>
      <c r="AV237" s="987">
        <v>40</v>
      </c>
      <c r="AW237" s="987">
        <v>40</v>
      </c>
      <c r="AX237" s="1007"/>
      <c r="AY237" s="987"/>
      <c r="AZ237" s="304"/>
      <c r="BA237" s="304"/>
      <c r="BB237" s="304"/>
      <c r="BC237" s="245"/>
      <c r="BG237"/>
      <c r="BH237"/>
      <c r="BI237"/>
      <c r="BJ237"/>
      <c r="BK237"/>
      <c r="BL237"/>
    </row>
    <row r="238" spans="1:64" s="313" customFormat="1">
      <c r="A238" s="369" t="s">
        <v>132</v>
      </c>
      <c r="B238" s="784">
        <v>2.71</v>
      </c>
      <c r="C238" s="796">
        <v>0.7</v>
      </c>
      <c r="D238" s="797">
        <f>1.5-C238</f>
        <v>0.8</v>
      </c>
      <c r="E238" s="798">
        <f>2.3-D238-C238</f>
        <v>0.79999999999999982</v>
      </c>
      <c r="F238" s="799">
        <f>+G238-SUM(C238:E238)</f>
        <v>0.80000000000000027</v>
      </c>
      <c r="G238" s="370">
        <v>3.1</v>
      </c>
      <c r="H238" s="635">
        <v>0.8</v>
      </c>
      <c r="I238" s="635">
        <f>1.7-H238</f>
        <v>0.89999999999999991</v>
      </c>
      <c r="J238" s="635">
        <f>2.6-I238-H238</f>
        <v>0.90000000000000013</v>
      </c>
      <c r="K238" s="799">
        <f>+L238-SUM(H238:J238)</f>
        <v>0.89999999999999991</v>
      </c>
      <c r="L238" s="785">
        <v>3.5</v>
      </c>
      <c r="M238" s="635">
        <v>0.9</v>
      </c>
      <c r="N238" s="635">
        <f>1.9-M238</f>
        <v>0.99999999999999989</v>
      </c>
      <c r="O238" s="907">
        <v>1</v>
      </c>
      <c r="P238" s="1029">
        <v>1</v>
      </c>
      <c r="Q238" s="370">
        <f>+SUM(M238:P238)</f>
        <v>3.9</v>
      </c>
      <c r="R238" s="635">
        <v>0.9</v>
      </c>
      <c r="S238" s="635">
        <f>1.9-R238</f>
        <v>0.99999999999999989</v>
      </c>
      <c r="T238" s="907">
        <v>1</v>
      </c>
      <c r="U238" s="1029">
        <v>1</v>
      </c>
      <c r="V238" s="370">
        <f>+SUM(R238:U238)</f>
        <v>3.9</v>
      </c>
      <c r="W238" s="572">
        <f>+M238+0.1</f>
        <v>1</v>
      </c>
      <c r="X238" s="572">
        <f>+N238+0.1</f>
        <v>1.0999999999999999</v>
      </c>
      <c r="Y238" s="572">
        <f>+O238+0.1</f>
        <v>1.1000000000000001</v>
      </c>
      <c r="Z238" s="572">
        <f>+P238+0.1</f>
        <v>1.1000000000000001</v>
      </c>
      <c r="AA238" s="785">
        <f>+SUM(W238:Z238)</f>
        <v>4.3</v>
      </c>
      <c r="AB238" s="572">
        <f>+W238+0.1</f>
        <v>1.1000000000000001</v>
      </c>
      <c r="AC238" s="572">
        <f>+X238+0.1</f>
        <v>1.2</v>
      </c>
      <c r="AD238" s="572">
        <f>+Y238+0.1</f>
        <v>1.2000000000000002</v>
      </c>
      <c r="AE238" s="572">
        <f>+Z238+0.1</f>
        <v>1.2000000000000002</v>
      </c>
      <c r="AF238" s="785">
        <f>+SUM(AB238:AE238)</f>
        <v>4.7</v>
      </c>
      <c r="AG238" s="572">
        <f>+AB238+0.1</f>
        <v>1.2000000000000002</v>
      </c>
      <c r="AH238" s="572">
        <f>+AC238+0.1</f>
        <v>1.3</v>
      </c>
      <c r="AI238" s="572">
        <f>+AD238+0.1</f>
        <v>1.3000000000000003</v>
      </c>
      <c r="AJ238" s="572">
        <f>+AE238+0.1</f>
        <v>1.3000000000000003</v>
      </c>
      <c r="AK238" s="785">
        <f>+SUM(AG238:AJ238)</f>
        <v>5.1000000000000005</v>
      </c>
      <c r="AL238" s="572">
        <f>+AG238+0.1</f>
        <v>1.3000000000000003</v>
      </c>
      <c r="AM238" s="572">
        <f>+AH238+0.1</f>
        <v>1.4000000000000001</v>
      </c>
      <c r="AN238" s="572">
        <f>+AI238+0.1</f>
        <v>1.4000000000000004</v>
      </c>
      <c r="AO238" s="572">
        <f>+AJ238+0.1</f>
        <v>1.4000000000000004</v>
      </c>
      <c r="AP238" s="785">
        <f>+SUM(AL238:AO238)</f>
        <v>5.5000000000000009</v>
      </c>
      <c r="AQ238" s="310"/>
      <c r="AR238" s="312"/>
      <c r="AS238" s="304"/>
      <c r="AT238" s="626"/>
      <c r="AU238" s="1008"/>
      <c r="AV238" s="1008"/>
      <c r="AW238" s="913"/>
      <c r="AX238" s="987"/>
      <c r="AY238" s="987"/>
      <c r="AZ238" s="992"/>
      <c r="BA238" s="992"/>
      <c r="BB238" s="622"/>
      <c r="BC238" s="312"/>
      <c r="BG238"/>
      <c r="BH238"/>
      <c r="BI238"/>
      <c r="BJ238"/>
      <c r="BK238"/>
      <c r="BL238"/>
    </row>
    <row r="239" spans="1:64" s="81" customFormat="1" ht="11.25" customHeight="1">
      <c r="A239" s="22" t="s">
        <v>204</v>
      </c>
      <c r="B239" s="25"/>
      <c r="C239" s="73"/>
      <c r="D239" s="73"/>
      <c r="E239" s="73"/>
      <c r="F239" s="73"/>
      <c r="G239" s="25">
        <f t="shared" ref="G239:O239" si="352">G238/B238-1</f>
        <v>0.14391143911439119</v>
      </c>
      <c r="H239" s="73">
        <f t="shared" si="352"/>
        <v>0.14285714285714302</v>
      </c>
      <c r="I239" s="73">
        <f t="shared" si="352"/>
        <v>0.12499999999999978</v>
      </c>
      <c r="J239" s="73">
        <f t="shared" si="352"/>
        <v>0.12500000000000044</v>
      </c>
      <c r="K239" s="73">
        <f t="shared" si="352"/>
        <v>0.12499999999999956</v>
      </c>
      <c r="L239" s="25">
        <f t="shared" si="352"/>
        <v>0.12903225806451601</v>
      </c>
      <c r="M239" s="73">
        <f t="shared" si="352"/>
        <v>0.125</v>
      </c>
      <c r="N239" s="73">
        <f t="shared" si="352"/>
        <v>0.11111111111111116</v>
      </c>
      <c r="O239" s="73">
        <f t="shared" si="352"/>
        <v>0.11111111111111094</v>
      </c>
      <c r="P239" s="73">
        <f t="shared" ref="P239" si="353">P238/K238-1</f>
        <v>0.11111111111111116</v>
      </c>
      <c r="Q239" s="25">
        <f t="shared" ref="Q239" si="354">Q238/L238-1</f>
        <v>0.11428571428571432</v>
      </c>
      <c r="R239" s="73">
        <f t="shared" ref="R239" si="355">R238/M238-1</f>
        <v>0</v>
      </c>
      <c r="S239" s="73">
        <f t="shared" ref="S239" si="356">S238/N238-1</f>
        <v>0</v>
      </c>
      <c r="T239" s="73">
        <f t="shared" ref="T239" si="357">T238/O238-1</f>
        <v>0</v>
      </c>
      <c r="U239" s="73">
        <f t="shared" ref="U239" si="358">U238/P238-1</f>
        <v>0</v>
      </c>
      <c r="V239" s="25">
        <f t="shared" ref="V239" si="359">V238/Q238-1</f>
        <v>0</v>
      </c>
      <c r="W239" s="73">
        <f t="shared" ref="W239" si="360">W238/M238-1</f>
        <v>0.11111111111111116</v>
      </c>
      <c r="X239" s="73">
        <f t="shared" ref="X239" si="361">X238/N238-1</f>
        <v>0.10000000000000009</v>
      </c>
      <c r="Y239" s="73">
        <f t="shared" ref="Y239" si="362">Y238/O238-1</f>
        <v>0.10000000000000009</v>
      </c>
      <c r="Z239" s="75">
        <f t="shared" ref="Z239" si="363">Z238/P238-1</f>
        <v>0.10000000000000009</v>
      </c>
      <c r="AA239" s="25">
        <f>AA238/V238-1</f>
        <v>0.10256410256410264</v>
      </c>
      <c r="AB239" s="73"/>
      <c r="AC239" s="73"/>
      <c r="AD239" s="73"/>
      <c r="AE239" s="75"/>
      <c r="AF239" s="25">
        <f>AF238/AA238-1</f>
        <v>9.3023255813953654E-2</v>
      </c>
      <c r="AG239" s="73"/>
      <c r="AH239" s="73"/>
      <c r="AI239" s="73"/>
      <c r="AJ239" s="75"/>
      <c r="AK239" s="25">
        <f>AK238/AF238-1</f>
        <v>8.5106382978723527E-2</v>
      </c>
      <c r="AL239" s="73"/>
      <c r="AM239" s="73"/>
      <c r="AN239" s="73"/>
      <c r="AO239" s="75"/>
      <c r="AP239" s="25">
        <f>AP238/AK238-1</f>
        <v>7.8431372549019773E-2</v>
      </c>
      <c r="AQ239" s="98"/>
      <c r="AR239" s="6"/>
      <c r="AS239" s="304"/>
      <c r="AT239" s="304"/>
      <c r="AU239" s="913"/>
      <c r="AV239" s="992" t="s">
        <v>352</v>
      </c>
      <c r="AW239" s="992" t="s">
        <v>351</v>
      </c>
      <c r="AX239" s="992" t="s">
        <v>350</v>
      </c>
      <c r="AY239" s="992" t="s">
        <v>349</v>
      </c>
      <c r="AZ239" s="987"/>
      <c r="BA239" s="987"/>
      <c r="BB239" s="619"/>
      <c r="BC239" s="79"/>
      <c r="BG239"/>
      <c r="BH239"/>
      <c r="BI239"/>
      <c r="BJ239"/>
      <c r="BK239"/>
      <c r="BL239"/>
    </row>
    <row r="240" spans="1:64" s="81" customFormat="1">
      <c r="A240" s="146" t="s">
        <v>31</v>
      </c>
      <c r="B240" s="373">
        <f t="shared" ref="B240:N240" si="364">B238/B211</f>
        <v>0.27781101981633638</v>
      </c>
      <c r="C240" s="371">
        <f t="shared" si="364"/>
        <v>0.28997933884297517</v>
      </c>
      <c r="D240" s="371">
        <f t="shared" si="364"/>
        <v>0.29182674199623354</v>
      </c>
      <c r="E240" s="371">
        <f t="shared" si="364"/>
        <v>0.29131782945736429</v>
      </c>
      <c r="F240" s="372">
        <f t="shared" si="364"/>
        <v>0.32104575163398702</v>
      </c>
      <c r="G240" s="373">
        <f t="shared" si="364"/>
        <v>0.29847236180904524</v>
      </c>
      <c r="H240" s="371">
        <f t="shared" si="364"/>
        <v>0.26388489208633092</v>
      </c>
      <c r="I240" s="371">
        <f t="shared" si="364"/>
        <v>0.31595744680851057</v>
      </c>
      <c r="J240" s="371">
        <f t="shared" si="364"/>
        <v>0.26850498338870438</v>
      </c>
      <c r="K240" s="372">
        <f t="shared" si="364"/>
        <v>0.30445714285714282</v>
      </c>
      <c r="L240" s="373">
        <f>L238/L211</f>
        <v>0.28715909090909086</v>
      </c>
      <c r="M240" s="371">
        <f t="shared" si="364"/>
        <v>0.247640625</v>
      </c>
      <c r="N240" s="371">
        <f t="shared" si="364"/>
        <v>0.31793478260869562</v>
      </c>
      <c r="O240" s="371">
        <f t="shared" ref="O240:P240" si="365">O238/O211</f>
        <v>0.27178294573643413</v>
      </c>
      <c r="P240" s="372">
        <f t="shared" si="365"/>
        <v>0.3545454545454545</v>
      </c>
      <c r="Q240" s="373">
        <f>Q238/Q211</f>
        <v>0.29367066895368787</v>
      </c>
      <c r="R240" s="371">
        <f t="shared" ref="R240:U240" si="366">R238/R211</f>
        <v>0.24383076923076921</v>
      </c>
      <c r="S240" s="371">
        <f t="shared" si="366"/>
        <v>0.31621621621621621</v>
      </c>
      <c r="T240" s="371">
        <f t="shared" si="366"/>
        <v>0.27262830482115091</v>
      </c>
      <c r="U240" s="372">
        <f t="shared" si="366"/>
        <v>1.193877551020408</v>
      </c>
      <c r="V240" s="373">
        <f>V238/V211</f>
        <v>0.34327819548872185</v>
      </c>
      <c r="W240" s="236">
        <f t="shared" ref="W240:Z240" si="367">W238/W211</f>
        <v>0.27325355133728069</v>
      </c>
      <c r="X240" s="236">
        <f t="shared" si="367"/>
        <v>0.29826776688664725</v>
      </c>
      <c r="Y240" s="236">
        <f t="shared" si="367"/>
        <v>0.25758025215967456</v>
      </c>
      <c r="Z240" s="374">
        <f t="shared" si="367"/>
        <v>0.2568078710091527</v>
      </c>
      <c r="AA240" s="373">
        <f>AA238/AA211</f>
        <v>0.27038973934297483</v>
      </c>
      <c r="AB240" s="236"/>
      <c r="AC240" s="236"/>
      <c r="AD240" s="236"/>
      <c r="AE240" s="374"/>
      <c r="AF240" s="373">
        <f>AF238/AF211</f>
        <v>0.24839823207120543</v>
      </c>
      <c r="AG240" s="236"/>
      <c r="AH240" s="236"/>
      <c r="AI240" s="236"/>
      <c r="AJ240" s="374"/>
      <c r="AK240" s="373">
        <f>AK238/AK211</f>
        <v>0.25239212006884487</v>
      </c>
      <c r="AL240" s="236"/>
      <c r="AM240" s="236"/>
      <c r="AN240" s="236"/>
      <c r="AO240" s="374"/>
      <c r="AP240" s="373">
        <f>AP238/AP211</f>
        <v>0.24801103508697595</v>
      </c>
      <c r="AQ240" s="98"/>
      <c r="AR240" s="79"/>
      <c r="AS240" s="619"/>
      <c r="AT240" s="304"/>
      <c r="AU240" s="913" t="s">
        <v>353</v>
      </c>
      <c r="AV240" s="987">
        <v>41</v>
      </c>
      <c r="AW240" s="987">
        <v>42</v>
      </c>
      <c r="AX240" s="987">
        <v>35</v>
      </c>
      <c r="AY240" s="987">
        <v>38</v>
      </c>
      <c r="AZ240" s="619"/>
      <c r="BA240" s="619"/>
      <c r="BB240" s="619"/>
      <c r="BC240" s="79"/>
      <c r="BG240"/>
      <c r="BH240"/>
      <c r="BI240"/>
      <c r="BJ240"/>
      <c r="BK240"/>
      <c r="BL240"/>
    </row>
    <row r="241" spans="1:65">
      <c r="A241" s="190"/>
      <c r="B241" s="375"/>
      <c r="C241" s="377"/>
      <c r="D241" s="376"/>
      <c r="E241" s="376"/>
      <c r="F241" s="377"/>
      <c r="G241" s="375"/>
      <c r="H241" s="377"/>
      <c r="I241" s="377"/>
      <c r="J241" s="377"/>
      <c r="K241" s="377"/>
      <c r="L241" s="375"/>
      <c r="M241" s="377"/>
      <c r="N241" s="377"/>
      <c r="O241" s="377"/>
      <c r="P241" s="377"/>
      <c r="Q241" s="375"/>
      <c r="R241" s="377"/>
      <c r="S241" s="377"/>
      <c r="T241" s="377"/>
      <c r="U241" s="377"/>
      <c r="V241" s="375"/>
      <c r="W241" s="377"/>
      <c r="X241" s="377"/>
      <c r="Y241" s="377"/>
      <c r="Z241" s="377"/>
      <c r="AA241" s="375"/>
      <c r="AB241" s="377"/>
      <c r="AC241" s="377"/>
      <c r="AD241" s="377"/>
      <c r="AE241" s="377"/>
      <c r="AF241" s="375"/>
      <c r="AG241" s="377"/>
      <c r="AH241" s="377"/>
      <c r="AI241" s="377"/>
      <c r="AJ241" s="377"/>
      <c r="AK241" s="375"/>
      <c r="AL241" s="377"/>
      <c r="AM241" s="377"/>
      <c r="AN241" s="377"/>
      <c r="AO241" s="377"/>
      <c r="AP241" s="375"/>
      <c r="AQ241" s="98"/>
      <c r="AR241" s="7"/>
      <c r="AS241" s="664"/>
      <c r="AT241" s="664"/>
      <c r="AU241" s="664"/>
      <c r="AV241" s="664"/>
      <c r="AW241" s="664"/>
      <c r="AX241" s="664"/>
      <c r="AY241" s="664"/>
      <c r="AZ241" s="664"/>
      <c r="BA241" s="664"/>
      <c r="BB241" s="664"/>
      <c r="BC241" s="105"/>
      <c r="BD241" s="29"/>
      <c r="BE241" s="29"/>
      <c r="BF241" s="29"/>
    </row>
    <row r="242" spans="1:65" s="10" customFormat="1" ht="12" customHeight="1">
      <c r="A242" s="4" t="s">
        <v>32</v>
      </c>
      <c r="B242" s="5"/>
      <c r="C242" s="6"/>
      <c r="D242" s="6"/>
      <c r="E242" s="6"/>
      <c r="F242" s="378"/>
      <c r="G242" s="5"/>
      <c r="H242" s="6"/>
      <c r="I242" s="6"/>
      <c r="J242" s="6"/>
      <c r="K242" s="378"/>
      <c r="L242" s="5"/>
      <c r="M242" s="6"/>
      <c r="N242" s="6"/>
      <c r="O242" s="6"/>
      <c r="P242" s="378"/>
      <c r="Q242" s="1004"/>
      <c r="R242" s="6"/>
      <c r="S242" s="6"/>
      <c r="T242" s="6"/>
      <c r="U242" s="378"/>
      <c r="V242" s="1004"/>
      <c r="W242" s="6"/>
      <c r="X242" s="6"/>
      <c r="Y242" s="6"/>
      <c r="Z242" s="378"/>
      <c r="AA242" s="1004"/>
      <c r="AB242" s="6"/>
      <c r="AC242" s="6"/>
      <c r="AD242" s="6"/>
      <c r="AE242" s="378"/>
      <c r="AF242" s="1005"/>
      <c r="AG242" s="6"/>
      <c r="AH242" s="6"/>
      <c r="AI242" s="6"/>
      <c r="AJ242" s="378"/>
      <c r="AK242" s="1004"/>
      <c r="AL242" s="6"/>
      <c r="AM242" s="6"/>
      <c r="AN242" s="6"/>
      <c r="AO242" s="378"/>
      <c r="AP242" s="1004"/>
      <c r="AQ242" s="8"/>
      <c r="AR242" s="6"/>
      <c r="AS242" s="619"/>
      <c r="AT242" s="995"/>
      <c r="AU242" s="304"/>
      <c r="AV242" s="1010"/>
      <c r="AW242" s="988">
        <v>2018</v>
      </c>
      <c r="AX242" s="988">
        <v>2019</v>
      </c>
      <c r="AY242" s="988">
        <v>2020</v>
      </c>
      <c r="AZ242" s="988">
        <v>2021</v>
      </c>
      <c r="BA242" s="619"/>
      <c r="BB242" s="619"/>
      <c r="BC242" s="6"/>
      <c r="BG242"/>
      <c r="BH242"/>
      <c r="BI242"/>
      <c r="BJ242"/>
      <c r="BK242"/>
      <c r="BL242"/>
    </row>
    <row r="243" spans="1:65" s="37" customFormat="1" ht="12.75" customHeight="1">
      <c r="A243" s="379" t="s">
        <v>135</v>
      </c>
      <c r="B243" s="380">
        <f t="shared" ref="B243:J243" si="368">B222</f>
        <v>2069</v>
      </c>
      <c r="C243" s="381">
        <f t="shared" si="368"/>
        <v>484</v>
      </c>
      <c r="D243" s="381">
        <f t="shared" si="368"/>
        <v>531</v>
      </c>
      <c r="E243" s="381">
        <f t="shared" si="368"/>
        <v>516</v>
      </c>
      <c r="F243" s="381">
        <f>F222</f>
        <v>459</v>
      </c>
      <c r="G243" s="380">
        <f>G222</f>
        <v>1990</v>
      </c>
      <c r="H243" s="381">
        <f t="shared" si="368"/>
        <v>556</v>
      </c>
      <c r="I243" s="381">
        <f t="shared" si="368"/>
        <v>517</v>
      </c>
      <c r="J243" s="381">
        <f t="shared" si="368"/>
        <v>602</v>
      </c>
      <c r="K243" s="381">
        <f t="shared" ref="K243:Q243" si="369">K222</f>
        <v>525</v>
      </c>
      <c r="L243" s="380">
        <f t="shared" si="369"/>
        <v>2200</v>
      </c>
      <c r="M243" s="381">
        <f t="shared" si="369"/>
        <v>640</v>
      </c>
      <c r="N243" s="381">
        <f t="shared" si="369"/>
        <v>552</v>
      </c>
      <c r="O243" s="381">
        <f t="shared" si="369"/>
        <v>645</v>
      </c>
      <c r="P243" s="381">
        <f t="shared" si="369"/>
        <v>177.34499999999997</v>
      </c>
      <c r="Q243" s="380">
        <f t="shared" si="369"/>
        <v>2014.345</v>
      </c>
      <c r="R243" s="381">
        <f t="shared" ref="R243:U243" si="370">R222</f>
        <v>650</v>
      </c>
      <c r="S243" s="381">
        <f t="shared" si="370"/>
        <v>555</v>
      </c>
      <c r="T243" s="381">
        <f t="shared" si="370"/>
        <v>643</v>
      </c>
      <c r="U243" s="381">
        <f t="shared" si="370"/>
        <v>-170.65500000000003</v>
      </c>
      <c r="V243" s="380">
        <f>Q243</f>
        <v>2014.345</v>
      </c>
      <c r="W243" s="176">
        <f t="shared" ref="W243:AA243" si="371">W222</f>
        <v>643.06346299999996</v>
      </c>
      <c r="X243" s="381">
        <f t="shared" si="371"/>
        <v>648.85632349999992</v>
      </c>
      <c r="Y243" s="381">
        <f t="shared" si="371"/>
        <v>752.28920374999996</v>
      </c>
      <c r="Z243" s="381">
        <f t="shared" si="371"/>
        <v>755.49499549999996</v>
      </c>
      <c r="AA243" s="380">
        <f t="shared" si="371"/>
        <v>2799.7039857500004</v>
      </c>
      <c r="AB243" s="176"/>
      <c r="AC243" s="381"/>
      <c r="AD243" s="381"/>
      <c r="AE243" s="381"/>
      <c r="AF243" s="380">
        <f>AF222</f>
        <v>3281.0999109525005</v>
      </c>
      <c r="AG243" s="176"/>
      <c r="AH243" s="381"/>
      <c r="AI243" s="381"/>
      <c r="AJ243" s="381"/>
      <c r="AK243" s="380">
        <f>AK222</f>
        <v>3433.9230404932259</v>
      </c>
      <c r="AL243" s="176"/>
      <c r="AM243" s="381"/>
      <c r="AN243" s="381"/>
      <c r="AO243" s="381"/>
      <c r="AP243" s="380">
        <f>AP222</f>
        <v>3674.4511125587569</v>
      </c>
      <c r="AQ243" s="176"/>
      <c r="AR243" s="45"/>
      <c r="AS243" s="626"/>
      <c r="AT243" s="626"/>
      <c r="AU243" s="304"/>
      <c r="AV243" s="1010" t="s">
        <v>96</v>
      </c>
      <c r="AW243" s="987">
        <f>Q244*1.08</f>
        <v>513</v>
      </c>
      <c r="AX243" s="987">
        <f>AW243*1.04</f>
        <v>533.52</v>
      </c>
      <c r="AY243" s="987">
        <f>AX243*1.04</f>
        <v>554.86080000000004</v>
      </c>
      <c r="AZ243" s="987">
        <f>AY243*1.04</f>
        <v>577.05523200000005</v>
      </c>
      <c r="BA243" s="988"/>
      <c r="BB243" s="626"/>
      <c r="BC243" s="45"/>
      <c r="BD243" s="36"/>
      <c r="BE243" s="36"/>
      <c r="BF243" s="36"/>
      <c r="BG243"/>
      <c r="BH243"/>
      <c r="BI243"/>
      <c r="BJ243"/>
      <c r="BK243"/>
      <c r="BL243"/>
    </row>
    <row r="244" spans="1:65" s="37" customFormat="1" ht="12.75" customHeight="1">
      <c r="A244" s="382" t="s">
        <v>133</v>
      </c>
      <c r="B244" s="623">
        <v>462</v>
      </c>
      <c r="C244" s="618">
        <v>99</v>
      </c>
      <c r="D244" s="615">
        <f>216-C244</f>
        <v>117</v>
      </c>
      <c r="E244" s="615">
        <f>329-SUM(C244:D244)</f>
        <v>113</v>
      </c>
      <c r="F244" s="170">
        <f>G244-SUM(C244:E244)</f>
        <v>138</v>
      </c>
      <c r="G244" s="623">
        <v>467</v>
      </c>
      <c r="H244" s="618">
        <v>103</v>
      </c>
      <c r="I244" s="618">
        <f>209-H244</f>
        <v>106</v>
      </c>
      <c r="J244" s="618">
        <f>322-SUM(H244:I244)</f>
        <v>113</v>
      </c>
      <c r="K244" s="170">
        <f>L244-SUM(H244:J244)</f>
        <v>134</v>
      </c>
      <c r="L244" s="623">
        <v>456</v>
      </c>
      <c r="M244" s="618">
        <v>104</v>
      </c>
      <c r="N244" s="618">
        <f>211-M244</f>
        <v>107</v>
      </c>
      <c r="O244" s="618">
        <f>322-N244-M244</f>
        <v>111</v>
      </c>
      <c r="P244" s="618">
        <f>475-O244-N244-M244</f>
        <v>153</v>
      </c>
      <c r="Q244" s="623">
        <f t="shared" ref="Q244:Q249" si="372">+SUM(M244:P244)</f>
        <v>475</v>
      </c>
      <c r="R244" s="618">
        <v>104</v>
      </c>
      <c r="S244" s="618">
        <f>211-R244</f>
        <v>107</v>
      </c>
      <c r="T244" s="618">
        <f>322-S244-R244</f>
        <v>111</v>
      </c>
      <c r="U244" s="618">
        <f>475-T244-S244-R244</f>
        <v>153</v>
      </c>
      <c r="V244" s="623">
        <f t="shared" ref="V244:V251" si="373">Q244</f>
        <v>475</v>
      </c>
      <c r="W244" s="546">
        <f>+M244*1.08+-W144</f>
        <v>112.32000000000001</v>
      </c>
      <c r="X244" s="173">
        <f>+N244*1.08+-X144</f>
        <v>115.56</v>
      </c>
      <c r="Y244" s="173">
        <f>+O244*1.08+-Y144+40</f>
        <v>209.88</v>
      </c>
      <c r="Z244" s="173">
        <f>+P244*1.08+-Z144+40</f>
        <v>255.24</v>
      </c>
      <c r="AA244" s="623">
        <f t="shared" ref="AA244" si="374">+SUM(W244:Z244)</f>
        <v>693</v>
      </c>
      <c r="AB244" s="546"/>
      <c r="AC244" s="173"/>
      <c r="AD244" s="173"/>
      <c r="AE244" s="173"/>
      <c r="AF244" s="174">
        <v>900</v>
      </c>
      <c r="AG244" s="546"/>
      <c r="AH244" s="173"/>
      <c r="AI244" s="173"/>
      <c r="AJ244" s="173"/>
      <c r="AK244" s="174">
        <v>928</v>
      </c>
      <c r="AL244" s="546"/>
      <c r="AM244" s="173"/>
      <c r="AN244" s="173"/>
      <c r="AO244" s="173"/>
      <c r="AP244" s="174">
        <v>957</v>
      </c>
      <c r="AQ244" s="176"/>
      <c r="AR244" s="45"/>
      <c r="AS244" s="626"/>
      <c r="AT244" s="626"/>
      <c r="AU244" s="304"/>
      <c r="AV244" s="1010" t="s">
        <v>412</v>
      </c>
      <c r="AW244" s="990">
        <v>80</v>
      </c>
      <c r="AX244" s="990">
        <f>(AW244/2*4)*1.04</f>
        <v>166.4</v>
      </c>
      <c r="AY244" s="987">
        <f>AX244*1.04</f>
        <v>173.05600000000001</v>
      </c>
      <c r="AZ244" s="987">
        <f>AY244*1.04</f>
        <v>179.97824000000003</v>
      </c>
      <c r="BA244" s="987"/>
      <c r="BB244" s="988"/>
      <c r="BC244" s="45"/>
      <c r="BD244" s="36"/>
      <c r="BE244" s="36"/>
      <c r="BF244" s="36"/>
      <c r="BG244"/>
      <c r="BH244"/>
      <c r="BI244"/>
      <c r="BJ244"/>
      <c r="BK244"/>
      <c r="BL244"/>
    </row>
    <row r="245" spans="1:65" s="37" customFormat="1" ht="12.75" customHeight="1">
      <c r="A245" s="382" t="s">
        <v>136</v>
      </c>
      <c r="B245" s="623">
        <v>134</v>
      </c>
      <c r="C245" s="618">
        <v>24</v>
      </c>
      <c r="D245" s="615">
        <f>47-C245</f>
        <v>23</v>
      </c>
      <c r="E245" s="615">
        <f>70-SUM(C245:D245)</f>
        <v>23</v>
      </c>
      <c r="F245" s="170">
        <f>G245-SUM(C245:E245)</f>
        <v>29</v>
      </c>
      <c r="G245" s="384">
        <v>99</v>
      </c>
      <c r="H245" s="684">
        <v>14</v>
      </c>
      <c r="I245" s="615">
        <f>37-H245</f>
        <v>23</v>
      </c>
      <c r="J245" s="615">
        <f>61-SUM(H245:I245)</f>
        <v>24</v>
      </c>
      <c r="K245" s="170">
        <f>L245-SUM(H245:J245)</f>
        <v>32</v>
      </c>
      <c r="L245" s="684">
        <v>93</v>
      </c>
      <c r="M245" s="684">
        <v>17</v>
      </c>
      <c r="N245" s="615">
        <f>42-M245</f>
        <v>25</v>
      </c>
      <c r="O245" s="615">
        <f>66-N245-M245</f>
        <v>24</v>
      </c>
      <c r="P245" s="170">
        <f>94-O245-N245-M245</f>
        <v>28</v>
      </c>
      <c r="Q245" s="172">
        <f t="shared" si="372"/>
        <v>94</v>
      </c>
      <c r="R245" s="684">
        <v>17</v>
      </c>
      <c r="S245" s="615">
        <f>42-R245</f>
        <v>25</v>
      </c>
      <c r="T245" s="615">
        <f>66-S245-R245</f>
        <v>24</v>
      </c>
      <c r="U245" s="170">
        <f>94-T245-S245-R245</f>
        <v>28</v>
      </c>
      <c r="V245" s="172">
        <f t="shared" si="373"/>
        <v>94</v>
      </c>
      <c r="W245" s="384">
        <f>AA245/4</f>
        <v>23.5</v>
      </c>
      <c r="X245" s="170">
        <f>(AA245-W245)/3</f>
        <v>23.5</v>
      </c>
      <c r="Y245" s="170">
        <f>(AA245-W245-X245)/2</f>
        <v>23.5</v>
      </c>
      <c r="Z245" s="170">
        <f>AA245-W245-X245-Y245</f>
        <v>23.5</v>
      </c>
      <c r="AA245" s="172">
        <f>Q245</f>
        <v>94</v>
      </c>
      <c r="AB245" s="384"/>
      <c r="AC245" s="170"/>
      <c r="AD245" s="170"/>
      <c r="AE245" s="170"/>
      <c r="AF245" s="172">
        <f>AA245</f>
        <v>94</v>
      </c>
      <c r="AG245" s="384"/>
      <c r="AH245" s="170"/>
      <c r="AI245" s="170"/>
      <c r="AJ245" s="170"/>
      <c r="AK245" s="172">
        <f>AF245</f>
        <v>94</v>
      </c>
      <c r="AL245" s="384"/>
      <c r="AM245" s="170"/>
      <c r="AN245" s="170"/>
      <c r="AO245" s="170"/>
      <c r="AP245" s="172">
        <f>AK245</f>
        <v>94</v>
      </c>
      <c r="AQ245" s="176"/>
      <c r="AR245" s="45"/>
      <c r="AS245" s="626"/>
      <c r="AT245" s="626"/>
      <c r="AU245" s="1008"/>
      <c r="AV245" s="1102" t="s">
        <v>413</v>
      </c>
      <c r="AW245" s="1103">
        <f>-AA144</f>
        <v>100</v>
      </c>
      <c r="AX245" s="1103">
        <f>-AF144</f>
        <v>200</v>
      </c>
      <c r="AY245" s="1103">
        <f>-AK144</f>
        <v>200</v>
      </c>
      <c r="AZ245" s="1103">
        <f>-AP144</f>
        <v>200</v>
      </c>
      <c r="BA245" s="987"/>
      <c r="BB245" s="987"/>
      <c r="BC245" s="45"/>
      <c r="BD245" s="36"/>
      <c r="BE245" s="36"/>
      <c r="BF245" s="36"/>
      <c r="BG245"/>
      <c r="BH245"/>
      <c r="BI245"/>
      <c r="BJ245"/>
      <c r="BK245"/>
      <c r="BL245"/>
    </row>
    <row r="246" spans="1:65" s="37" customFormat="1" ht="12.75" customHeight="1">
      <c r="A246" s="382" t="s">
        <v>137</v>
      </c>
      <c r="B246" s="623">
        <v>-81</v>
      </c>
      <c r="C246" s="618">
        <v>-105</v>
      </c>
      <c r="D246" s="615">
        <f>-106-C246</f>
        <v>-1</v>
      </c>
      <c r="E246" s="615">
        <f>-111-SUM(C246:D246)</f>
        <v>-5</v>
      </c>
      <c r="F246" s="170">
        <f>G246-SUM(C246:E246)</f>
        <v>8</v>
      </c>
      <c r="G246" s="623">
        <v>-103</v>
      </c>
      <c r="H246" s="684">
        <v>0</v>
      </c>
      <c r="I246" s="615">
        <f>0-H246</f>
        <v>0</v>
      </c>
      <c r="J246" s="615">
        <f>0-SUM(H246:I246)</f>
        <v>0</v>
      </c>
      <c r="K246" s="170">
        <f>L246-SUM(H246:J246)</f>
        <v>0</v>
      </c>
      <c r="L246" s="684">
        <v>0</v>
      </c>
      <c r="M246" s="684">
        <v>0</v>
      </c>
      <c r="N246" s="615">
        <v>0</v>
      </c>
      <c r="O246" s="615">
        <v>0</v>
      </c>
      <c r="P246" s="615">
        <v>0</v>
      </c>
      <c r="Q246" s="623">
        <f t="shared" si="372"/>
        <v>0</v>
      </c>
      <c r="R246" s="684">
        <v>0</v>
      </c>
      <c r="S246" s="615">
        <v>0</v>
      </c>
      <c r="T246" s="615">
        <v>0</v>
      </c>
      <c r="U246" s="615">
        <v>0</v>
      </c>
      <c r="V246" s="623">
        <f t="shared" si="373"/>
        <v>0</v>
      </c>
      <c r="W246" s="546">
        <v>0</v>
      </c>
      <c r="X246" s="173">
        <v>0</v>
      </c>
      <c r="Y246" s="173">
        <v>0</v>
      </c>
      <c r="Z246" s="173">
        <v>0</v>
      </c>
      <c r="AA246" s="623">
        <f t="shared" ref="AA246:AA248" si="375">+SUM(W246:Z246)</f>
        <v>0</v>
      </c>
      <c r="AB246" s="546"/>
      <c r="AC246" s="173"/>
      <c r="AD246" s="173"/>
      <c r="AE246" s="173"/>
      <c r="AF246" s="174">
        <f>AA246</f>
        <v>0</v>
      </c>
      <c r="AG246" s="546"/>
      <c r="AH246" s="173"/>
      <c r="AI246" s="173"/>
      <c r="AJ246" s="173"/>
      <c r="AK246" s="174">
        <f>AF246</f>
        <v>0</v>
      </c>
      <c r="AL246" s="546"/>
      <c r="AM246" s="173"/>
      <c r="AN246" s="173"/>
      <c r="AO246" s="173"/>
      <c r="AP246" s="174">
        <f>AK246</f>
        <v>0</v>
      </c>
      <c r="AQ246" s="381"/>
      <c r="AR246" s="71"/>
      <c r="AS246" s="304"/>
      <c r="AT246" s="304"/>
      <c r="AU246" s="913"/>
      <c r="AV246" s="1101" t="s">
        <v>2</v>
      </c>
      <c r="AW246" s="987">
        <f>SUM(AW243:AW245)</f>
        <v>693</v>
      </c>
      <c r="AX246" s="987">
        <f t="shared" ref="AX246:AZ246" si="376">SUM(AX243:AX245)</f>
        <v>899.92</v>
      </c>
      <c r="AY246" s="987">
        <f t="shared" si="376"/>
        <v>927.91680000000008</v>
      </c>
      <c r="AZ246" s="987">
        <f t="shared" si="376"/>
        <v>957.03347200000007</v>
      </c>
      <c r="BA246" s="992"/>
      <c r="BB246" s="992"/>
      <c r="BC246" s="71"/>
      <c r="BD246" s="33"/>
      <c r="BE246" s="36"/>
      <c r="BF246" s="36"/>
      <c r="BG246"/>
      <c r="BH246"/>
      <c r="BI246"/>
      <c r="BJ246"/>
      <c r="BK246"/>
      <c r="BL246"/>
    </row>
    <row r="247" spans="1:65" s="37" customFormat="1" ht="12.75" customHeight="1">
      <c r="A247" s="383" t="s">
        <v>139</v>
      </c>
      <c r="B247" s="623">
        <v>216</v>
      </c>
      <c r="C247" s="618">
        <v>204</v>
      </c>
      <c r="D247" s="615">
        <f>139-C247</f>
        <v>-65</v>
      </c>
      <c r="E247" s="615">
        <f>165-SUM(C247:D247)</f>
        <v>26</v>
      </c>
      <c r="F247" s="170">
        <f>G247-SUM(C247:E247)</f>
        <v>407</v>
      </c>
      <c r="G247" s="623">
        <v>572</v>
      </c>
      <c r="H247" s="684">
        <v>-35</v>
      </c>
      <c r="I247" s="615">
        <f>-89-H247</f>
        <v>-54</v>
      </c>
      <c r="J247" s="615">
        <f>-13-SUM(H247:I247)</f>
        <v>76</v>
      </c>
      <c r="K247" s="170">
        <f>L247-SUM(H247:J247)</f>
        <v>49</v>
      </c>
      <c r="L247" s="623">
        <v>36</v>
      </c>
      <c r="M247" s="684">
        <v>-16</v>
      </c>
      <c r="N247" s="615">
        <f>-47-M247</f>
        <v>-31</v>
      </c>
      <c r="O247" s="615">
        <f>-79-N247-M247</f>
        <v>-32</v>
      </c>
      <c r="P247" s="615">
        <f>603-O247-N247-M247</f>
        <v>682</v>
      </c>
      <c r="Q247" s="623">
        <f t="shared" si="372"/>
        <v>603</v>
      </c>
      <c r="R247" s="684">
        <v>-16</v>
      </c>
      <c r="S247" s="615">
        <f>-47-R247</f>
        <v>-31</v>
      </c>
      <c r="T247" s="615">
        <f>-79-S247-R247</f>
        <v>-32</v>
      </c>
      <c r="U247" s="615">
        <f>603-T247-S247-R247</f>
        <v>682</v>
      </c>
      <c r="V247" s="623">
        <f t="shared" si="373"/>
        <v>603</v>
      </c>
      <c r="W247" s="546">
        <v>0</v>
      </c>
      <c r="X247" s="173">
        <v>0</v>
      </c>
      <c r="Y247" s="173">
        <v>0</v>
      </c>
      <c r="Z247" s="173">
        <v>0</v>
      </c>
      <c r="AA247" s="623">
        <f t="shared" si="375"/>
        <v>0</v>
      </c>
      <c r="AB247" s="834"/>
      <c r="AC247" s="173"/>
      <c r="AD247" s="173"/>
      <c r="AE247" s="173"/>
      <c r="AF247" s="174">
        <v>0</v>
      </c>
      <c r="AG247" s="834"/>
      <c r="AH247" s="173"/>
      <c r="AI247" s="173"/>
      <c r="AJ247" s="173"/>
      <c r="AK247" s="174">
        <v>0</v>
      </c>
      <c r="AL247" s="834"/>
      <c r="AM247" s="173"/>
      <c r="AN247" s="173"/>
      <c r="AO247" s="173"/>
      <c r="AP247" s="174">
        <v>0</v>
      </c>
      <c r="AQ247" s="381"/>
      <c r="AR247" s="71"/>
      <c r="AS247" s="304"/>
      <c r="AT247" s="304"/>
      <c r="AU247" s="913"/>
      <c r="AV247" s="987"/>
      <c r="AW247" s="987"/>
      <c r="AX247" s="987"/>
      <c r="AY247" s="987"/>
      <c r="AZ247" s="987"/>
      <c r="BA247" s="987"/>
      <c r="BB247" s="987"/>
      <c r="BC247" s="71"/>
      <c r="BD247" s="33"/>
      <c r="BE247" s="36"/>
      <c r="BF247" s="36"/>
      <c r="BG247"/>
      <c r="BH247"/>
      <c r="BI247"/>
      <c r="BJ247"/>
      <c r="BK247"/>
      <c r="BL247"/>
    </row>
    <row r="248" spans="1:65" s="37" customFormat="1" ht="12.75" customHeight="1">
      <c r="A248" s="383" t="s">
        <v>125</v>
      </c>
      <c r="B248" s="172">
        <v>-17</v>
      </c>
      <c r="C248" s="618">
        <v>-440</v>
      </c>
      <c r="D248" s="615">
        <f>-378-C248</f>
        <v>62</v>
      </c>
      <c r="E248" s="615">
        <f>-318-SUM(C248:D248)</f>
        <v>60</v>
      </c>
      <c r="F248" s="170">
        <f>G248-SUM(C248:E248)</f>
        <v>55</v>
      </c>
      <c r="G248" s="623">
        <v>-263</v>
      </c>
      <c r="H248" s="684">
        <v>105</v>
      </c>
      <c r="I248" s="615">
        <f>209-H248</f>
        <v>104</v>
      </c>
      <c r="J248" s="615">
        <f>318-SUM(H248:I248)</f>
        <v>109</v>
      </c>
      <c r="K248" s="170">
        <f>L248-SUM(H248:J248)</f>
        <v>75</v>
      </c>
      <c r="L248" s="623">
        <v>393</v>
      </c>
      <c r="M248" s="684">
        <v>86</v>
      </c>
      <c r="N248" s="615">
        <f>165-M248</f>
        <v>79</v>
      </c>
      <c r="O248" s="615">
        <f>235-N248-M248</f>
        <v>70</v>
      </c>
      <c r="P248" s="170">
        <f>-191-O248-N248-M248</f>
        <v>-426</v>
      </c>
      <c r="Q248" s="172">
        <f t="shared" si="372"/>
        <v>-191</v>
      </c>
      <c r="R248" s="684">
        <v>86</v>
      </c>
      <c r="S248" s="615">
        <f>165-R248</f>
        <v>79</v>
      </c>
      <c r="T248" s="615">
        <f>235-S248-R248</f>
        <v>70</v>
      </c>
      <c r="U248" s="170">
        <f>-191-T248-S248-R248</f>
        <v>-426</v>
      </c>
      <c r="V248" s="172">
        <f t="shared" si="373"/>
        <v>-191</v>
      </c>
      <c r="W248" s="546">
        <v>43.311399462499999</v>
      </c>
      <c r="X248" s="173">
        <v>43.311399462499999</v>
      </c>
      <c r="Y248" s="173">
        <v>43.311399462499999</v>
      </c>
      <c r="Z248" s="173">
        <v>43.311399462499999</v>
      </c>
      <c r="AA248" s="172">
        <f t="shared" si="375"/>
        <v>173.24559785</v>
      </c>
      <c r="AB248" s="546"/>
      <c r="AC248" s="173"/>
      <c r="AD248" s="173"/>
      <c r="AE248" s="173"/>
      <c r="AF248" s="172">
        <v>159.81301545764501</v>
      </c>
      <c r="AG248" s="546"/>
      <c r="AH248" s="173"/>
      <c r="AI248" s="173"/>
      <c r="AJ248" s="173"/>
      <c r="AK248" s="172">
        <v>35.903263550146804</v>
      </c>
      <c r="AL248" s="546"/>
      <c r="AM248" s="173"/>
      <c r="AN248" s="173"/>
      <c r="AO248" s="173"/>
      <c r="AP248" s="172">
        <v>-96.453580598965331</v>
      </c>
      <c r="AQ248" s="381"/>
      <c r="AR248" s="71"/>
      <c r="AS248" s="304"/>
      <c r="AT248" s="304"/>
      <c r="AU248" s="894"/>
      <c r="AV248" s="894"/>
      <c r="AW248" s="304"/>
      <c r="AX248" s="304"/>
      <c r="AY248" s="304"/>
      <c r="AZ248" s="304"/>
      <c r="BA248" s="304"/>
      <c r="BB248" s="304"/>
      <c r="BC248" s="71"/>
      <c r="BD248" s="33"/>
      <c r="BE248" s="36"/>
      <c r="BF248" s="36"/>
      <c r="BG248"/>
      <c r="BH248"/>
      <c r="BI248"/>
      <c r="BJ248"/>
      <c r="BK248"/>
      <c r="BL248"/>
    </row>
    <row r="249" spans="1:65" s="37" customFormat="1" ht="12.75" customHeight="1">
      <c r="A249" s="385" t="s">
        <v>33</v>
      </c>
      <c r="B249" s="384">
        <f>B250-B243-B244-B245-B246-B247-B248</f>
        <v>-190</v>
      </c>
      <c r="C249" s="657">
        <f>C250-C243-C244-C245-C246-C247-C248</f>
        <v>-920</v>
      </c>
      <c r="D249" s="170">
        <f>D250-D243-D244-D245-D246-D247-D248</f>
        <v>-41</v>
      </c>
      <c r="E249" s="615">
        <f>E250-E243-E244-E245-E246-E247-E248</f>
        <v>-176</v>
      </c>
      <c r="F249" s="170">
        <f>F250-F243-F244-F245-F246-F247-F248</f>
        <v>537</v>
      </c>
      <c r="G249" s="384">
        <f>SUM(C249:F249)</f>
        <v>-600</v>
      </c>
      <c r="H249" s="657">
        <f>H250-H243-H244-H245-H246-H247-H248</f>
        <v>-803</v>
      </c>
      <c r="I249" s="615">
        <f>I250-I243-I244-I245-I246-I247-I248</f>
        <v>-92</v>
      </c>
      <c r="J249" s="615">
        <f>J250-J243-J244-J245-J246-J247-J248</f>
        <v>-186</v>
      </c>
      <c r="K249" s="170">
        <f>K250-K243-K244-K245-K246-K247-K248</f>
        <v>716</v>
      </c>
      <c r="L249" s="684">
        <f>SUM(H249:K249)</f>
        <v>-365</v>
      </c>
      <c r="M249" s="657">
        <f>M250-M243-M244-M245-M246-M247-M248</f>
        <v>-1270</v>
      </c>
      <c r="N249" s="615">
        <f>N250-N243-N244-N245-N246-N247-N248</f>
        <v>-225</v>
      </c>
      <c r="O249" s="615">
        <f>O250-O243-O244-O245-O246-O247-O248</f>
        <v>120</v>
      </c>
      <c r="P249" s="170">
        <f>P250-P243-P244-P245-P246-P247-P248</f>
        <v>992.65499999999997</v>
      </c>
      <c r="Q249" s="172">
        <f t="shared" si="372"/>
        <v>-382.34500000000003</v>
      </c>
      <c r="R249" s="657">
        <f>R250-R243-R244-R245-R246-R247-R248</f>
        <v>-1280</v>
      </c>
      <c r="S249" s="615">
        <f>S250-S243-S244-S245-S246-S247-S248</f>
        <v>-228</v>
      </c>
      <c r="T249" s="615">
        <f>T250-T243-T244-T245-T246-T247-T248</f>
        <v>122</v>
      </c>
      <c r="U249" s="170">
        <f>U250-U243-U244-U245-U246-U247-U248</f>
        <v>1340.655</v>
      </c>
      <c r="V249" s="172">
        <f t="shared" si="373"/>
        <v>-382.34500000000003</v>
      </c>
      <c r="W249" s="384">
        <f>(Q273-W273)+(Q275-W275)+(Q277-W277)+(Q283-W283)+(W286-Q286)+(W288-Q288)+(W291-Q291)+(W296-Q296)</f>
        <v>-1245.6831132970235</v>
      </c>
      <c r="X249" s="170">
        <f t="shared" ref="X249:Y249" si="377">(W273-X273)+(W275-X275)+(W277-X277)+(W283-X283)+(X286-W286)+(X288-W288)+(X291-W291)+(X296-W296)</f>
        <v>-141.68556980842294</v>
      </c>
      <c r="Y249" s="170">
        <f t="shared" si="377"/>
        <v>-255.16974514486856</v>
      </c>
      <c r="Z249" s="170">
        <f>(Y273-Z273)+(Y275-Z275)+(Y277-Z277)+(Y283-Z283)+(Z286-Y286)+(Z288-Y288)+(Z291-Y291)+(Z296-Y296)</f>
        <v>1466.1386714545756</v>
      </c>
      <c r="AA249" s="172">
        <f t="shared" ref="AA249" si="378">+SUM(W249:Z249)</f>
        <v>-176.39975679573945</v>
      </c>
      <c r="AB249" s="384"/>
      <c r="AC249" s="170"/>
      <c r="AD249" s="170"/>
      <c r="AE249" s="170"/>
      <c r="AF249" s="172">
        <f>(AA273-AF273)+(AA275-AF275)+(AA277-AF277)+(AA283-AF283)+(AF286-AA286)+(AF288-AA288)+(AF291-AA291)+(AF296-AA296)</f>
        <v>-141.65303217456085</v>
      </c>
      <c r="AG249" s="384"/>
      <c r="AH249" s="170"/>
      <c r="AI249" s="170"/>
      <c r="AJ249" s="170"/>
      <c r="AK249" s="172">
        <f>(AF273-AK273)+(AF275-AK275)+(AF277-AK277)+(AF283-AK283)+(AK286-AF286)+(AK288-AF288)+(AK291-AF291)+(AK296-AF296)</f>
        <v>-45.557701657047119</v>
      </c>
      <c r="AL249" s="384"/>
      <c r="AM249" s="170"/>
      <c r="AN249" s="170"/>
      <c r="AO249" s="170"/>
      <c r="AP249" s="172">
        <f>(AK273-AP273)+(AK275-AP275)+(AK277-AP277)+(AK283-AP283)+(AP286-AK286)+(AP288-AK288)+(AP291-AK291)+(AP296-AK296)</f>
        <v>-19.403295326762532</v>
      </c>
      <c r="AQ249" s="381"/>
      <c r="AR249" s="71"/>
      <c r="AS249" s="304"/>
      <c r="AT249" s="304"/>
      <c r="AU249" s="894"/>
      <c r="AV249" s="894"/>
      <c r="AW249" s="304"/>
      <c r="AX249" s="304"/>
      <c r="AY249" s="304"/>
      <c r="AZ249" s="304"/>
      <c r="BA249" s="304"/>
      <c r="BB249" s="304"/>
      <c r="BC249" s="71"/>
      <c r="BD249" s="33"/>
      <c r="BE249" s="33"/>
      <c r="BF249" s="33"/>
      <c r="BG249"/>
      <c r="BH249"/>
      <c r="BI249"/>
      <c r="BJ249"/>
      <c r="BK249"/>
      <c r="BL249"/>
    </row>
    <row r="250" spans="1:65" s="389" customFormat="1" ht="12.75" customHeight="1">
      <c r="A250" s="386" t="s">
        <v>140</v>
      </c>
      <c r="B250" s="480">
        <v>2593</v>
      </c>
      <c r="C250" s="387">
        <v>-654</v>
      </c>
      <c r="D250" s="387">
        <f>-28-C250</f>
        <v>626</v>
      </c>
      <c r="E250" s="387">
        <f>529-SUM(C250:D250)</f>
        <v>557</v>
      </c>
      <c r="F250" s="387">
        <f>G250-SUM(C250:E250)</f>
        <v>1633</v>
      </c>
      <c r="G250" s="481">
        <v>2162</v>
      </c>
      <c r="H250" s="481">
        <v>-60</v>
      </c>
      <c r="I250" s="387">
        <f>544-H250</f>
        <v>604</v>
      </c>
      <c r="J250" s="387">
        <f>1282-SUM(H250:I250)</f>
        <v>738</v>
      </c>
      <c r="K250" s="387">
        <f>L250-SUM(H250:J250)</f>
        <v>1531</v>
      </c>
      <c r="L250" s="480">
        <v>2813</v>
      </c>
      <c r="M250" s="481">
        <v>-439</v>
      </c>
      <c r="N250" s="387">
        <f>68-M250</f>
        <v>507</v>
      </c>
      <c r="O250" s="387">
        <f>1006-N250-M250</f>
        <v>938</v>
      </c>
      <c r="P250" s="387">
        <f>2613-O250-N250-M250</f>
        <v>1607</v>
      </c>
      <c r="Q250" s="480">
        <f>Q243+Q244+Q245+Q246+Q247+Q248+Q249</f>
        <v>2613</v>
      </c>
      <c r="R250" s="481">
        <v>-439</v>
      </c>
      <c r="S250" s="387">
        <f>68-R250</f>
        <v>507</v>
      </c>
      <c r="T250" s="387">
        <f>1006-S250-R250</f>
        <v>938</v>
      </c>
      <c r="U250" s="387">
        <f>2613-T250-S250-R250</f>
        <v>1607</v>
      </c>
      <c r="V250" s="480">
        <f>V243+V244+V245+V246+V247+V248+V249</f>
        <v>2613</v>
      </c>
      <c r="W250" s="481">
        <f t="shared" ref="W250:Z250" si="379">W243+W244+W245+W246+W247+W248+W249</f>
        <v>-423.48825083452346</v>
      </c>
      <c r="X250" s="387">
        <f t="shared" si="379"/>
        <v>689.54215315407691</v>
      </c>
      <c r="Y250" s="387">
        <f t="shared" si="379"/>
        <v>773.81085806763144</v>
      </c>
      <c r="Z250" s="387">
        <f t="shared" si="379"/>
        <v>2543.6850664170756</v>
      </c>
      <c r="AA250" s="480">
        <f>AA243+AA244+AA245+AA246+AA247+AA248+AA249</f>
        <v>3583.5498268042611</v>
      </c>
      <c r="AB250" s="481"/>
      <c r="AC250" s="387"/>
      <c r="AD250" s="387"/>
      <c r="AE250" s="387"/>
      <c r="AF250" s="480">
        <f>AF243+AF244+AF245+AF246+AF247+AF248+AF249</f>
        <v>4293.2598942355835</v>
      </c>
      <c r="AG250" s="481"/>
      <c r="AH250" s="387"/>
      <c r="AI250" s="387"/>
      <c r="AJ250" s="387"/>
      <c r="AK250" s="480">
        <f>AK243+AK244+AK245+AK246+AK247+AK248+AK249</f>
        <v>4446.2686023863262</v>
      </c>
      <c r="AL250" s="481"/>
      <c r="AM250" s="387"/>
      <c r="AN250" s="387"/>
      <c r="AO250" s="387"/>
      <c r="AP250" s="480">
        <f>AP243+AP244+AP245+AP246+AP247+AP248+AP249</f>
        <v>4609.5942366330291</v>
      </c>
      <c r="AQ250" s="428"/>
      <c r="AR250" s="71"/>
      <c r="AS250" s="304"/>
      <c r="AT250" s="304"/>
      <c r="AU250" s="894"/>
      <c r="AV250" s="894"/>
      <c r="AW250" s="304"/>
      <c r="AX250" s="304"/>
      <c r="AY250" s="304"/>
      <c r="AZ250" s="304"/>
      <c r="BA250" s="304"/>
      <c r="BB250" s="304"/>
      <c r="BC250" s="71"/>
      <c r="BD250" s="33"/>
      <c r="BE250" s="33"/>
      <c r="BF250" s="33"/>
      <c r="BG250"/>
      <c r="BH250"/>
      <c r="BI250"/>
      <c r="BJ250"/>
      <c r="BK250"/>
      <c r="BL250"/>
    </row>
    <row r="251" spans="1:65" s="37" customFormat="1" ht="12.75" customHeight="1">
      <c r="A251" s="379" t="s">
        <v>34</v>
      </c>
      <c r="B251" s="623">
        <v>-561</v>
      </c>
      <c r="C251" s="615">
        <v>-117</v>
      </c>
      <c r="D251" s="615">
        <f>-232-C251</f>
        <v>-115</v>
      </c>
      <c r="E251" s="615">
        <f>-334-SUM(C251:D251)</f>
        <v>-102</v>
      </c>
      <c r="F251" s="170">
        <f>G251-SUM(C251:E251)</f>
        <v>-137</v>
      </c>
      <c r="G251" s="623">
        <v>-471</v>
      </c>
      <c r="H251" s="684">
        <v>-298</v>
      </c>
      <c r="I251" s="615">
        <f>-471-H251</f>
        <v>-173</v>
      </c>
      <c r="J251" s="615">
        <f>-608-SUM(H251:I251)</f>
        <v>-137</v>
      </c>
      <c r="K251" s="170">
        <f>L251-SUM(H251:J251)</f>
        <v>-312</v>
      </c>
      <c r="L251" s="623">
        <v>-920</v>
      </c>
      <c r="M251" s="684">
        <v>-216</v>
      </c>
      <c r="N251" s="615">
        <f>-433-M251</f>
        <v>-217</v>
      </c>
      <c r="O251" s="615">
        <f>-650-N251-M251</f>
        <v>-217</v>
      </c>
      <c r="P251" s="170">
        <f>-928-O251-N251-M251</f>
        <v>-278</v>
      </c>
      <c r="Q251" s="623">
        <f>SUM(M251:P251)</f>
        <v>-928</v>
      </c>
      <c r="R251" s="684">
        <v>-216</v>
      </c>
      <c r="S251" s="615">
        <f>-433-R251</f>
        <v>-217</v>
      </c>
      <c r="T251" s="615">
        <f>-650-S251-R251</f>
        <v>-217</v>
      </c>
      <c r="U251" s="170">
        <f>-928-T251-S251-R251</f>
        <v>-278</v>
      </c>
      <c r="V251" s="623">
        <f t="shared" si="373"/>
        <v>-928</v>
      </c>
      <c r="W251" s="546">
        <v>-250</v>
      </c>
      <c r="X251" s="173">
        <v>-250</v>
      </c>
      <c r="Y251" s="173">
        <f>-250+-56</f>
        <v>-306</v>
      </c>
      <c r="Z251" s="173">
        <f>-250+-26</f>
        <v>-276</v>
      </c>
      <c r="AA251" s="174">
        <f>SUM(W251:Z251)</f>
        <v>-1082</v>
      </c>
      <c r="AB251" s="546"/>
      <c r="AC251" s="173"/>
      <c r="AD251" s="173"/>
      <c r="AE251" s="173"/>
      <c r="AF251" s="174">
        <v>-1200</v>
      </c>
      <c r="AG251" s="546"/>
      <c r="AH251" s="173"/>
      <c r="AI251" s="173"/>
      <c r="AJ251" s="173"/>
      <c r="AK251" s="174">
        <v>-1200</v>
      </c>
      <c r="AL251" s="546"/>
      <c r="AM251" s="173"/>
      <c r="AN251" s="173"/>
      <c r="AO251" s="173"/>
      <c r="AP251" s="174">
        <v>-1200</v>
      </c>
      <c r="AQ251" s="381"/>
      <c r="AR251" s="71"/>
      <c r="AS251" s="664" t="s">
        <v>384</v>
      </c>
      <c r="AT251" s="304"/>
      <c r="AU251" s="894"/>
      <c r="AV251" s="894"/>
      <c r="AW251" s="304" t="s">
        <v>354</v>
      </c>
      <c r="AX251" s="998"/>
      <c r="AY251" s="998"/>
      <c r="AZ251" s="998"/>
      <c r="BA251" s="304"/>
      <c r="BB251" s="304"/>
      <c r="BC251" s="71"/>
      <c r="BD251" s="33"/>
      <c r="BE251" s="33"/>
      <c r="BF251" s="33"/>
      <c r="BG251"/>
      <c r="BH251"/>
      <c r="BI251"/>
      <c r="BJ251"/>
      <c r="BK251"/>
      <c r="BL251"/>
      <c r="BM251" s="389"/>
    </row>
    <row r="252" spans="1:65" s="396" customFormat="1">
      <c r="A252" s="390" t="s">
        <v>35</v>
      </c>
      <c r="B252" s="391">
        <f>-B251/B180</f>
        <v>2.3395471037157514E-2</v>
      </c>
      <c r="C252" s="392">
        <f t="shared" ref="C252:L252" si="380">-C251/C180</f>
        <v>1.9640758771193555E-2</v>
      </c>
      <c r="D252" s="661">
        <f t="shared" si="380"/>
        <v>1.9504748982360924E-2</v>
      </c>
      <c r="E252" s="393">
        <f t="shared" si="380"/>
        <v>1.7059708981435023E-2</v>
      </c>
      <c r="F252" s="392">
        <f t="shared" si="380"/>
        <v>2.4060414471373377E-2</v>
      </c>
      <c r="G252" s="391">
        <f t="shared" si="380"/>
        <v>2.0020402958428971E-2</v>
      </c>
      <c r="H252" s="392">
        <f t="shared" si="380"/>
        <v>5.0033579583613166E-2</v>
      </c>
      <c r="I252" s="661">
        <f t="shared" si="380"/>
        <v>2.8833333333333332E-2</v>
      </c>
      <c r="J252" s="393">
        <f t="shared" si="380"/>
        <v>2.2258326563769294E-2</v>
      </c>
      <c r="K252" s="392">
        <f t="shared" si="380"/>
        <v>4.877286227919337E-2</v>
      </c>
      <c r="L252" s="391">
        <f t="shared" si="380"/>
        <v>3.7538762852945974E-2</v>
      </c>
      <c r="M252" s="392">
        <f t="shared" ref="M252:AA252" si="381">-M251/M180</f>
        <v>3.4466251795117281E-2</v>
      </c>
      <c r="N252" s="661">
        <f t="shared" si="381"/>
        <v>3.4039215686274507E-2</v>
      </c>
      <c r="O252" s="393">
        <f t="shared" si="381"/>
        <v>3.3246514478320818E-2</v>
      </c>
      <c r="P252" s="392">
        <f t="shared" si="381"/>
        <v>4.1905336147120893E-2</v>
      </c>
      <c r="Q252" s="391">
        <f t="shared" si="381"/>
        <v>3.5964810293376739E-2</v>
      </c>
      <c r="R252" s="392">
        <f t="shared" ref="R252:U252" si="382">-R251/R180</f>
        <v>3.3697347893915756E-2</v>
      </c>
      <c r="S252" s="661">
        <f t="shared" si="382"/>
        <v>3.3523868376332457E-2</v>
      </c>
      <c r="T252" s="393">
        <f t="shared" si="382"/>
        <v>3.3033947328360479E-2</v>
      </c>
      <c r="U252" s="392">
        <f t="shared" si="382"/>
        <v>4.2429792429792432E-2</v>
      </c>
      <c r="V252" s="391">
        <f t="shared" ref="V252" si="383">-V251/V180</f>
        <v>3.568681741270574E-2</v>
      </c>
      <c r="W252" s="392">
        <f t="shared" si="381"/>
        <v>3.7905441760979354E-2</v>
      </c>
      <c r="X252" s="661">
        <f t="shared" si="381"/>
        <v>3.7626562392297516E-2</v>
      </c>
      <c r="Y252" s="393">
        <f t="shared" si="381"/>
        <v>3.8202387748292169E-2</v>
      </c>
      <c r="Z252" s="392">
        <f t="shared" si="381"/>
        <v>3.4457489482764253E-2</v>
      </c>
      <c r="AA252" s="391">
        <f t="shared" si="381"/>
        <v>3.697951630389093E-2</v>
      </c>
      <c r="AB252" s="473"/>
      <c r="AC252" s="393"/>
      <c r="AD252" s="393"/>
      <c r="AE252" s="393"/>
      <c r="AF252" s="391">
        <f>-AF251/AF180</f>
        <v>3.545286319909751E-2</v>
      </c>
      <c r="AG252" s="473"/>
      <c r="AH252" s="393"/>
      <c r="AI252" s="393"/>
      <c r="AJ252" s="393"/>
      <c r="AK252" s="391">
        <f>-AK251/AK180</f>
        <v>3.3019735639663442E-2</v>
      </c>
      <c r="AL252" s="473"/>
      <c r="AM252" s="393"/>
      <c r="AN252" s="393"/>
      <c r="AO252" s="393"/>
      <c r="AP252" s="391">
        <f>-AP251/AP180</f>
        <v>3.1234424687198614E-2</v>
      </c>
      <c r="AQ252" s="395"/>
      <c r="AR252" s="394"/>
      <c r="AS252" s="304"/>
      <c r="AT252" s="665"/>
      <c r="AU252" s="665"/>
      <c r="AV252" s="665"/>
      <c r="AW252" s="665"/>
      <c r="AX252" s="665"/>
      <c r="AY252" s="665"/>
      <c r="AZ252" s="987"/>
      <c r="BA252" s="987"/>
      <c r="BB252" s="665"/>
      <c r="BC252" s="394"/>
      <c r="BD252" s="395"/>
      <c r="BE252" s="395"/>
      <c r="BF252" s="395"/>
      <c r="BG252"/>
      <c r="BH252"/>
      <c r="BI252"/>
      <c r="BJ252"/>
      <c r="BK252"/>
      <c r="BL252"/>
      <c r="BM252" s="395"/>
    </row>
    <row r="253" spans="1:65" s="396" customFormat="1" ht="12.75" customHeight="1">
      <c r="A253" s="390" t="s">
        <v>36</v>
      </c>
      <c r="B253" s="397"/>
      <c r="C253" s="398"/>
      <c r="D253" s="662">
        <f>-D251/C280*4</f>
        <v>0.15389762462361994</v>
      </c>
      <c r="E253" s="549">
        <f>-E251/D280*4</f>
        <v>0.13577371048252912</v>
      </c>
      <c r="F253" s="398">
        <f>-F251/E280*4</f>
        <v>0.18236272878535773</v>
      </c>
      <c r="G253" s="397">
        <f>-G251/B280</f>
        <v>0.15747241725175526</v>
      </c>
      <c r="H253" s="398">
        <f>-H251/G280*4</f>
        <v>0.38903394255874674</v>
      </c>
      <c r="I253" s="662">
        <f>-I251/H280*4</f>
        <v>0.21424148606811144</v>
      </c>
      <c r="J253" s="549">
        <f>-J251/I280*4</f>
        <v>0.16611094270991208</v>
      </c>
      <c r="K253" s="398">
        <f>-K251/J280*4</f>
        <v>0.3743251349730054</v>
      </c>
      <c r="L253" s="397">
        <f>-L251/G280</f>
        <v>0.30026109660574413</v>
      </c>
      <c r="M253" s="398">
        <f>-M251/L280*4</f>
        <v>0.24080267558528429</v>
      </c>
      <c r="N253" s="662">
        <f>-N251/M280*4</f>
        <v>0.237417943107221</v>
      </c>
      <c r="O253" s="549">
        <f>-O251/N280*4</f>
        <v>0.2283008942661757</v>
      </c>
      <c r="P253" s="398">
        <f>-P251/O280*4</f>
        <v>0.28331210191082801</v>
      </c>
      <c r="Q253" s="397">
        <f>-Q251/L280</f>
        <v>0.25863991081382387</v>
      </c>
      <c r="R253" s="398">
        <f>-R251/Q280*4</f>
        <v>0.20449704142011835</v>
      </c>
      <c r="S253" s="662">
        <f>-S251/R280*4</f>
        <v>0.237417943107221</v>
      </c>
      <c r="T253" s="549">
        <f>-T251/S280*4</f>
        <v>0.2283008942661757</v>
      </c>
      <c r="U253" s="398">
        <f>-U251/T280*4</f>
        <v>0.28331210191082801</v>
      </c>
      <c r="V253" s="397">
        <f>-V251/Q280</f>
        <v>0.2196449704142012</v>
      </c>
      <c r="W253" s="548">
        <f>-W251/Q280*4</f>
        <v>0.23668639053254437</v>
      </c>
      <c r="X253" s="549">
        <f t="shared" ref="X253:Z253" si="384">-X251/W280*4</f>
        <v>0.22921690337132219</v>
      </c>
      <c r="Y253" s="549">
        <f t="shared" si="384"/>
        <v>0.27217419148254884</v>
      </c>
      <c r="Z253" s="549">
        <f t="shared" si="384"/>
        <v>0.24035321472424695</v>
      </c>
      <c r="AA253" s="397">
        <f>-AA251/Q280</f>
        <v>0.25609467455621304</v>
      </c>
      <c r="AB253" s="548"/>
      <c r="AC253" s="549"/>
      <c r="AD253" s="549"/>
      <c r="AE253" s="549"/>
      <c r="AF253" s="397">
        <f>-AF251/AA280</f>
        <v>0.26007802340702213</v>
      </c>
      <c r="AG253" s="548"/>
      <c r="AH253" s="549"/>
      <c r="AI253" s="549"/>
      <c r="AJ253" s="549"/>
      <c r="AK253" s="397">
        <f>-AK251/AF280</f>
        <v>0.24420024420024419</v>
      </c>
      <c r="AL253" s="548"/>
      <c r="AM253" s="549"/>
      <c r="AN253" s="549"/>
      <c r="AO253" s="549"/>
      <c r="AP253" s="397">
        <f>-AP251/AK280</f>
        <v>0.23139220979560354</v>
      </c>
      <c r="AQ253" s="476"/>
      <c r="AR253" s="394"/>
      <c r="AS253" s="665"/>
      <c r="AT253" s="665"/>
      <c r="AU253" s="895"/>
      <c r="AV253" s="895"/>
      <c r="AW253" s="665"/>
      <c r="AX253" s="665"/>
      <c r="AY253" s="665"/>
      <c r="AZ253" s="665"/>
      <c r="BA253" s="665"/>
      <c r="BB253" s="665"/>
      <c r="BC253" s="394"/>
      <c r="BD253" s="395"/>
      <c r="BE253" s="395"/>
      <c r="BF253" s="395"/>
      <c r="BG253"/>
      <c r="BH253"/>
      <c r="BI253"/>
      <c r="BJ253"/>
      <c r="BK253"/>
      <c r="BL253"/>
      <c r="BM253" s="395"/>
    </row>
    <row r="254" spans="1:65" s="37" customFormat="1" ht="12.75" customHeight="1">
      <c r="A254" s="399" t="s">
        <v>37</v>
      </c>
      <c r="B254" s="401">
        <f>B250+B251</f>
        <v>2032</v>
      </c>
      <c r="C254" s="400">
        <f>C250+C251</f>
        <v>-771</v>
      </c>
      <c r="D254" s="400">
        <f>D250+D251</f>
        <v>511</v>
      </c>
      <c r="E254" s="400">
        <f>E250+E251</f>
        <v>455</v>
      </c>
      <c r="F254" s="400">
        <f>F250+F251</f>
        <v>1496</v>
      </c>
      <c r="G254" s="401">
        <f t="shared" ref="G254:L254" si="385">G250+G251</f>
        <v>1691</v>
      </c>
      <c r="H254" s="400">
        <f t="shared" si="385"/>
        <v>-358</v>
      </c>
      <c r="I254" s="400">
        <f t="shared" si="385"/>
        <v>431</v>
      </c>
      <c r="J254" s="400">
        <f t="shared" si="385"/>
        <v>601</v>
      </c>
      <c r="K254" s="400">
        <f t="shared" si="385"/>
        <v>1219</v>
      </c>
      <c r="L254" s="401">
        <f t="shared" si="385"/>
        <v>1893</v>
      </c>
      <c r="M254" s="400">
        <f t="shared" ref="M254:V254" si="386">M250+M251</f>
        <v>-655</v>
      </c>
      <c r="N254" s="400">
        <f t="shared" si="386"/>
        <v>290</v>
      </c>
      <c r="O254" s="400">
        <f t="shared" si="386"/>
        <v>721</v>
      </c>
      <c r="P254" s="400">
        <f t="shared" si="386"/>
        <v>1329</v>
      </c>
      <c r="Q254" s="401">
        <f t="shared" si="386"/>
        <v>1685</v>
      </c>
      <c r="R254" s="400">
        <f t="shared" si="386"/>
        <v>-655</v>
      </c>
      <c r="S254" s="400">
        <f t="shared" si="386"/>
        <v>290</v>
      </c>
      <c r="T254" s="400">
        <f t="shared" si="386"/>
        <v>721</v>
      </c>
      <c r="U254" s="400">
        <f t="shared" si="386"/>
        <v>1329</v>
      </c>
      <c r="V254" s="401">
        <f t="shared" si="386"/>
        <v>1685</v>
      </c>
      <c r="W254" s="474">
        <f t="shared" ref="W254:Z254" si="387">W250+W251</f>
        <v>-673.48825083452346</v>
      </c>
      <c r="X254" s="400">
        <f t="shared" si="387"/>
        <v>439.54215315407691</v>
      </c>
      <c r="Y254" s="400">
        <f t="shared" si="387"/>
        <v>467.81085806763144</v>
      </c>
      <c r="Z254" s="400">
        <f t="shared" si="387"/>
        <v>2267.6850664170756</v>
      </c>
      <c r="AA254" s="401">
        <f>AA250+AA251</f>
        <v>2501.5498268042611</v>
      </c>
      <c r="AB254" s="474"/>
      <c r="AC254" s="400"/>
      <c r="AD254" s="400"/>
      <c r="AE254" s="400"/>
      <c r="AF254" s="401">
        <f>AF250+AF251</f>
        <v>3093.2598942355835</v>
      </c>
      <c r="AG254" s="474"/>
      <c r="AH254" s="400"/>
      <c r="AI254" s="400"/>
      <c r="AJ254" s="400"/>
      <c r="AK254" s="401">
        <f>AK250+AK251</f>
        <v>3246.2686023863262</v>
      </c>
      <c r="AL254" s="474"/>
      <c r="AM254" s="400"/>
      <c r="AN254" s="400"/>
      <c r="AO254" s="400"/>
      <c r="AP254" s="401">
        <f>AP250+AP251</f>
        <v>3409.5942366330291</v>
      </c>
      <c r="AQ254" s="477"/>
      <c r="AR254" s="71"/>
      <c r="AS254" s="664" t="s">
        <v>385</v>
      </c>
      <c r="AT254" s="304"/>
      <c r="AU254" s="896"/>
      <c r="AV254" s="896"/>
      <c r="AW254" s="1073"/>
      <c r="AX254" s="1074"/>
      <c r="AY254" s="1075"/>
      <c r="AZ254" s="304"/>
      <c r="BA254" s="304"/>
      <c r="BB254" s="304"/>
      <c r="BC254" s="71"/>
      <c r="BD254" s="33"/>
      <c r="BE254" s="33"/>
      <c r="BF254" s="33"/>
      <c r="BG254"/>
      <c r="BH254"/>
      <c r="BI254"/>
      <c r="BJ254"/>
      <c r="BK254"/>
      <c r="BL254"/>
      <c r="BM254" s="389"/>
    </row>
    <row r="255" spans="1:65" s="37" customFormat="1" ht="12.75" customHeight="1">
      <c r="A255" s="402" t="s">
        <v>38</v>
      </c>
      <c r="B255" s="404">
        <f>B254/B243</f>
        <v>0.98211696471725474</v>
      </c>
      <c r="C255" s="405">
        <f>C254/C243</f>
        <v>-1.5929752066115703</v>
      </c>
      <c r="D255" s="403">
        <f>D254/D243</f>
        <v>0.96233521657250476</v>
      </c>
      <c r="E255" s="403">
        <f>E254/E243</f>
        <v>0.88178294573643412</v>
      </c>
      <c r="F255" s="405">
        <f>F254/F243</f>
        <v>3.2592592592592591</v>
      </c>
      <c r="G255" s="404">
        <f t="shared" ref="G255:L255" si="388">G254/G243</f>
        <v>0.84974874371859299</v>
      </c>
      <c r="H255" s="405">
        <f t="shared" si="388"/>
        <v>-0.64388489208633093</v>
      </c>
      <c r="I255" s="403">
        <f t="shared" si="388"/>
        <v>0.83365570599613148</v>
      </c>
      <c r="J255" s="403">
        <f t="shared" si="388"/>
        <v>0.99833887043189373</v>
      </c>
      <c r="K255" s="405">
        <f t="shared" si="388"/>
        <v>2.3219047619047619</v>
      </c>
      <c r="L255" s="404">
        <f t="shared" si="388"/>
        <v>0.86045454545454547</v>
      </c>
      <c r="M255" s="405">
        <f t="shared" ref="M255:V255" si="389">M254/M243</f>
        <v>-1.0234375</v>
      </c>
      <c r="N255" s="403">
        <f t="shared" si="389"/>
        <v>0.52536231884057971</v>
      </c>
      <c r="O255" s="403">
        <f t="shared" si="389"/>
        <v>1.117829457364341</v>
      </c>
      <c r="P255" s="405">
        <f t="shared" si="389"/>
        <v>7.4938678846316513</v>
      </c>
      <c r="Q255" s="404">
        <f t="shared" si="389"/>
        <v>0.83650020229901034</v>
      </c>
      <c r="R255" s="405">
        <f t="shared" si="389"/>
        <v>-1.0076923076923077</v>
      </c>
      <c r="S255" s="403">
        <f t="shared" si="389"/>
        <v>0.52252252252252251</v>
      </c>
      <c r="T255" s="403">
        <f t="shared" si="389"/>
        <v>1.1213063763608087</v>
      </c>
      <c r="U255" s="405">
        <f t="shared" si="389"/>
        <v>-7.7876417333216121</v>
      </c>
      <c r="V255" s="404">
        <f t="shared" si="389"/>
        <v>0.83650020229901034</v>
      </c>
      <c r="W255" s="475">
        <f t="shared" ref="W255:Z255" si="390">W254/W243</f>
        <v>-1.0473122632291791</v>
      </c>
      <c r="X255" s="403">
        <f t="shared" si="390"/>
        <v>0.67741060267878694</v>
      </c>
      <c r="Y255" s="403">
        <f t="shared" si="390"/>
        <v>0.62184975636456685</v>
      </c>
      <c r="Z255" s="403">
        <f t="shared" si="390"/>
        <v>3.001588468387248</v>
      </c>
      <c r="AA255" s="404">
        <f>AA254/AA243</f>
        <v>0.89350511323222337</v>
      </c>
      <c r="AB255" s="475"/>
      <c r="AC255" s="403"/>
      <c r="AD255" s="403"/>
      <c r="AE255" s="403"/>
      <c r="AF255" s="404">
        <f>AF254/AF243</f>
        <v>0.94275090005949036</v>
      </c>
      <c r="AG255" s="475"/>
      <c r="AH255" s="403"/>
      <c r="AI255" s="403"/>
      <c r="AJ255" s="403"/>
      <c r="AK255" s="404">
        <f>AK254/AK243</f>
        <v>0.94535275371810712</v>
      </c>
      <c r="AL255" s="475"/>
      <c r="AM255" s="403"/>
      <c r="AN255" s="403"/>
      <c r="AO255" s="403"/>
      <c r="AP255" s="404">
        <f>AP254/AP243</f>
        <v>0.927919336028044</v>
      </c>
      <c r="AQ255" s="477"/>
      <c r="AR255" s="71"/>
      <c r="AS255" s="304"/>
      <c r="AT255" s="304"/>
      <c r="AU255" s="896"/>
      <c r="AV255" s="896"/>
      <c r="AW255" s="304"/>
      <c r="AX255" s="304"/>
      <c r="AY255" s="304"/>
      <c r="AZ255" s="304"/>
      <c r="BA255" s="304"/>
      <c r="BB255" s="304"/>
      <c r="BC255" s="71"/>
      <c r="BD255" s="33"/>
      <c r="BE255" s="33"/>
      <c r="BF255" s="33"/>
      <c r="BG255"/>
      <c r="BH255"/>
      <c r="BI255"/>
      <c r="BJ255"/>
      <c r="BK255"/>
      <c r="BL255"/>
      <c r="BM255" s="389"/>
    </row>
    <row r="256" spans="1:65" s="37" customFormat="1" ht="12.75" customHeight="1">
      <c r="A256" s="382" t="s">
        <v>141</v>
      </c>
      <c r="B256" s="623">
        <v>0</v>
      </c>
      <c r="C256" s="616">
        <v>0</v>
      </c>
      <c r="D256" s="663">
        <v>0</v>
      </c>
      <c r="E256" s="663">
        <v>0</v>
      </c>
      <c r="F256" s="170">
        <f>0-SUM(C256:E256)</f>
        <v>0</v>
      </c>
      <c r="G256" s="172">
        <f>SUM(C256:F256)</f>
        <v>0</v>
      </c>
      <c r="H256" s="616">
        <v>0</v>
      </c>
      <c r="I256" s="616">
        <v>0</v>
      </c>
      <c r="J256" s="616">
        <v>0</v>
      </c>
      <c r="K256" s="170">
        <f>0-SUM(H256:J256)</f>
        <v>0</v>
      </c>
      <c r="L256" s="783">
        <v>0</v>
      </c>
      <c r="M256" s="616">
        <v>0</v>
      </c>
      <c r="N256" s="616">
        <v>0</v>
      </c>
      <c r="O256" s="616">
        <v>0</v>
      </c>
      <c r="P256" s="615">
        <v>0</v>
      </c>
      <c r="Q256" s="783">
        <f>+SUM(M256:P256)</f>
        <v>0</v>
      </c>
      <c r="R256" s="616">
        <v>0</v>
      </c>
      <c r="S256" s="616">
        <v>0</v>
      </c>
      <c r="T256" s="616">
        <v>0</v>
      </c>
      <c r="U256" s="615">
        <v>0</v>
      </c>
      <c r="V256" s="783">
        <f t="shared" ref="V256:V257" si="391">Q256</f>
        <v>0</v>
      </c>
      <c r="W256" s="547">
        <v>0</v>
      </c>
      <c r="X256" s="550">
        <v>0</v>
      </c>
      <c r="Y256" s="550">
        <v>0</v>
      </c>
      <c r="Z256" s="550">
        <v>0</v>
      </c>
      <c r="AA256" s="783">
        <f>+SUM(W256:Z256)</f>
        <v>0</v>
      </c>
      <c r="AB256" s="547"/>
      <c r="AC256" s="550"/>
      <c r="AD256" s="550"/>
      <c r="AE256" s="550"/>
      <c r="AF256" s="406">
        <v>0</v>
      </c>
      <c r="AG256" s="547"/>
      <c r="AH256" s="550"/>
      <c r="AI256" s="550"/>
      <c r="AJ256" s="550"/>
      <c r="AK256" s="406">
        <v>0</v>
      </c>
      <c r="AL256" s="547"/>
      <c r="AM256" s="550"/>
      <c r="AN256" s="550"/>
      <c r="AO256" s="550"/>
      <c r="AP256" s="406">
        <v>0</v>
      </c>
      <c r="AQ256" s="477"/>
      <c r="AR256" s="71"/>
      <c r="AS256" s="304"/>
      <c r="AT256" s="304"/>
      <c r="AU256" s="896"/>
      <c r="AV256" s="896"/>
      <c r="AW256" s="304"/>
      <c r="AX256" s="304"/>
      <c r="AY256" s="304"/>
      <c r="AZ256" s="304"/>
      <c r="BA256" s="304"/>
      <c r="BB256" s="304"/>
      <c r="BC256" s="71"/>
      <c r="BD256" s="33"/>
      <c r="BE256" s="33"/>
      <c r="BF256" s="33"/>
      <c r="BG256"/>
      <c r="BH256"/>
      <c r="BI256"/>
      <c r="BJ256"/>
      <c r="BK256"/>
      <c r="BL256"/>
      <c r="BM256" s="389"/>
    </row>
    <row r="257" spans="1:65" s="37" customFormat="1" ht="12.75" customHeight="1">
      <c r="A257" s="379" t="s">
        <v>142</v>
      </c>
      <c r="B257" s="623">
        <f>B258-B256-B251</f>
        <v>-84</v>
      </c>
      <c r="C257" s="170">
        <f>C258-C256-C251</f>
        <v>2</v>
      </c>
      <c r="D257" s="170">
        <f>D258-D256-D251</f>
        <v>-4</v>
      </c>
      <c r="E257" s="170">
        <f>E258-E256-E251</f>
        <v>38</v>
      </c>
      <c r="F257" s="170">
        <f>G257-SUM(C257:E257)</f>
        <v>4</v>
      </c>
      <c r="G257" s="172">
        <f>G258-G256-G251</f>
        <v>40</v>
      </c>
      <c r="H257" s="615">
        <f>H258-H256-H251</f>
        <v>0</v>
      </c>
      <c r="I257" s="615">
        <f>I258-I256-I251</f>
        <v>2</v>
      </c>
      <c r="J257" s="170">
        <f>J258-J256-J251</f>
        <v>1</v>
      </c>
      <c r="K257" s="170">
        <f>L257-SUM(H257:J257)</f>
        <v>112</v>
      </c>
      <c r="L257" s="623">
        <f>L258-L256-L251</f>
        <v>115</v>
      </c>
      <c r="M257" s="615">
        <f>M258-M256-M251</f>
        <v>2</v>
      </c>
      <c r="N257" s="616">
        <f>7-M257</f>
        <v>5</v>
      </c>
      <c r="O257" s="616">
        <f>21-N257-M257</f>
        <v>14</v>
      </c>
      <c r="P257" s="615">
        <f>39-O257-N257-M257</f>
        <v>18</v>
      </c>
      <c r="Q257" s="783">
        <f>+SUM(M257:P257)</f>
        <v>39</v>
      </c>
      <c r="R257" s="615">
        <f>R258-R256-R251</f>
        <v>2</v>
      </c>
      <c r="S257" s="616">
        <f>7-R257</f>
        <v>5</v>
      </c>
      <c r="T257" s="616">
        <f>21-S257-R257</f>
        <v>14</v>
      </c>
      <c r="U257" s="615">
        <f>39-T257-S257-R257</f>
        <v>18</v>
      </c>
      <c r="V257" s="783">
        <f t="shared" si="391"/>
        <v>39</v>
      </c>
      <c r="W257" s="175">
        <v>0</v>
      </c>
      <c r="X257" s="175">
        <v>0</v>
      </c>
      <c r="Y257" s="175">
        <v>-9200</v>
      </c>
      <c r="Z257" s="175">
        <v>0</v>
      </c>
      <c r="AA257" s="783">
        <f>+SUM(W257:Z257)</f>
        <v>-9200</v>
      </c>
      <c r="AB257" s="175"/>
      <c r="AC257" s="175"/>
      <c r="AD257" s="175"/>
      <c r="AE257" s="175"/>
      <c r="AF257" s="174">
        <v>0</v>
      </c>
      <c r="AG257" s="175"/>
      <c r="AH257" s="175"/>
      <c r="AI257" s="175"/>
      <c r="AJ257" s="175"/>
      <c r="AK257" s="174">
        <v>0</v>
      </c>
      <c r="AL257" s="175"/>
      <c r="AM257" s="175"/>
      <c r="AN257" s="175"/>
      <c r="AO257" s="175"/>
      <c r="AP257" s="174">
        <v>0</v>
      </c>
      <c r="AQ257" s="381"/>
      <c r="AR257" s="71"/>
      <c r="AS257" s="304" t="s">
        <v>356</v>
      </c>
      <c r="AT257" s="304"/>
      <c r="AU257" s="894"/>
      <c r="AV257" s="894"/>
      <c r="AW257" s="304"/>
      <c r="AX257" s="304"/>
      <c r="AY257" s="304"/>
      <c r="AZ257" s="304"/>
      <c r="BA257" s="304"/>
      <c r="BB257" s="304"/>
      <c r="BC257" s="71"/>
      <c r="BD257" s="33"/>
      <c r="BE257" s="33"/>
      <c r="BF257" s="33"/>
      <c r="BG257"/>
      <c r="BH257"/>
      <c r="BI257"/>
      <c r="BJ257"/>
      <c r="BK257"/>
      <c r="BL257"/>
      <c r="BM257" s="389"/>
    </row>
    <row r="258" spans="1:65" s="410" customFormat="1" ht="12.75" customHeight="1">
      <c r="A258" s="407" t="s">
        <v>143</v>
      </c>
      <c r="B258" s="482">
        <v>-645</v>
      </c>
      <c r="C258" s="408">
        <v>-115</v>
      </c>
      <c r="D258" s="408">
        <f>-234-C258</f>
        <v>-119</v>
      </c>
      <c r="E258" s="408">
        <f>-298-SUM(C258:D258)</f>
        <v>-64</v>
      </c>
      <c r="F258" s="408">
        <f>F256+F251+F257</f>
        <v>-133</v>
      </c>
      <c r="G258" s="482">
        <v>-431</v>
      </c>
      <c r="H258" s="408">
        <v>-298</v>
      </c>
      <c r="I258" s="408">
        <f>-469-H258</f>
        <v>-171</v>
      </c>
      <c r="J258" s="408">
        <f>-605-SUM(H258:I258)</f>
        <v>-136</v>
      </c>
      <c r="K258" s="408">
        <f>K256+K251+K257</f>
        <v>-200</v>
      </c>
      <c r="L258" s="482">
        <v>-805</v>
      </c>
      <c r="M258" s="408">
        <v>-214</v>
      </c>
      <c r="N258" s="408">
        <f>-426-M258</f>
        <v>-212</v>
      </c>
      <c r="O258" s="408">
        <f>-629-N258-M258</f>
        <v>-203</v>
      </c>
      <c r="P258" s="408">
        <f>P256+P251+P257</f>
        <v>-260</v>
      </c>
      <c r="Q258" s="482">
        <f>Q256+Q251+Q257</f>
        <v>-889</v>
      </c>
      <c r="R258" s="408">
        <v>-214</v>
      </c>
      <c r="S258" s="408">
        <f>-426-R258</f>
        <v>-212</v>
      </c>
      <c r="T258" s="408">
        <f>-629-S258-R258</f>
        <v>-203</v>
      </c>
      <c r="U258" s="408">
        <f>U256+U251+U257</f>
        <v>-260</v>
      </c>
      <c r="V258" s="482">
        <f>V256+V251+V257</f>
        <v>-889</v>
      </c>
      <c r="W258" s="408">
        <f t="shared" ref="W258:Z258" si="392">W256+W251+W257</f>
        <v>-250</v>
      </c>
      <c r="X258" s="408">
        <f t="shared" si="392"/>
        <v>-250</v>
      </c>
      <c r="Y258" s="408">
        <f t="shared" si="392"/>
        <v>-9506</v>
      </c>
      <c r="Z258" s="408">
        <f t="shared" si="392"/>
        <v>-276</v>
      </c>
      <c r="AA258" s="482">
        <f>AA256+AA251+AA257</f>
        <v>-10282</v>
      </c>
      <c r="AB258" s="408"/>
      <c r="AC258" s="408"/>
      <c r="AD258" s="408"/>
      <c r="AE258" s="408"/>
      <c r="AF258" s="482">
        <f>AF256+AF251+AF257</f>
        <v>-1200</v>
      </c>
      <c r="AG258" s="408"/>
      <c r="AH258" s="408"/>
      <c r="AI258" s="408"/>
      <c r="AJ258" s="408"/>
      <c r="AK258" s="482">
        <f>AK256+AK251+AK257</f>
        <v>-1200</v>
      </c>
      <c r="AL258" s="408"/>
      <c r="AM258" s="408"/>
      <c r="AN258" s="408"/>
      <c r="AO258" s="408"/>
      <c r="AP258" s="482">
        <f>AP256+AP251+AP257</f>
        <v>-1200</v>
      </c>
      <c r="AQ258" s="472"/>
      <c r="AR258" s="409"/>
      <c r="AS258" s="621"/>
      <c r="AT258" s="621"/>
      <c r="AU258" s="902"/>
      <c r="AV258" s="902"/>
      <c r="AW258" s="621"/>
      <c r="AX258" s="621"/>
      <c r="AY258" s="621"/>
      <c r="AZ258" s="621"/>
      <c r="BA258" s="621"/>
      <c r="BB258" s="621"/>
      <c r="BC258" s="409"/>
      <c r="BD258" s="50"/>
      <c r="BE258" s="50"/>
      <c r="BF258" s="50"/>
      <c r="BG258"/>
      <c r="BH258"/>
      <c r="BI258"/>
      <c r="BJ258"/>
      <c r="BK258"/>
      <c r="BL258"/>
    </row>
    <row r="259" spans="1:65" s="37" customFormat="1" ht="12.75" customHeight="1">
      <c r="A259" s="383" t="s">
        <v>145</v>
      </c>
      <c r="B259" s="172">
        <v>-2668</v>
      </c>
      <c r="C259" s="170">
        <v>-825</v>
      </c>
      <c r="D259" s="170">
        <f>-1916-C259</f>
        <v>-1091</v>
      </c>
      <c r="E259" s="170">
        <f>-2864-SUM(C259:D259)</f>
        <v>-948</v>
      </c>
      <c r="F259" s="170">
        <f>G259-SUM(C259:E259)</f>
        <v>-318</v>
      </c>
      <c r="G259" s="172">
        <v>-3182</v>
      </c>
      <c r="H259" s="615">
        <v>-282</v>
      </c>
      <c r="I259" s="615">
        <f>-682-H259</f>
        <v>-400</v>
      </c>
      <c r="J259" s="170">
        <f>-1149-SUM(H259:I259)</f>
        <v>-467</v>
      </c>
      <c r="K259" s="170">
        <f>L259-SUM(H259:J259)</f>
        <v>-398</v>
      </c>
      <c r="L259" s="172">
        <v>-1547</v>
      </c>
      <c r="M259" s="615">
        <v>-229</v>
      </c>
      <c r="N259" s="615">
        <f>-367-M259</f>
        <v>-138</v>
      </c>
      <c r="O259" s="170">
        <f>-393-N259-M259</f>
        <v>-26</v>
      </c>
      <c r="P259" s="170">
        <f>-393-O259-N259-M259</f>
        <v>0</v>
      </c>
      <c r="Q259" s="783">
        <f t="shared" ref="Q259:Q264" si="393">+SUM(M259:P259)</f>
        <v>-393</v>
      </c>
      <c r="R259" s="615">
        <v>-229</v>
      </c>
      <c r="S259" s="615">
        <f>-367-R259</f>
        <v>-138</v>
      </c>
      <c r="T259" s="170">
        <f>-393-S259-R259</f>
        <v>-26</v>
      </c>
      <c r="U259" s="170">
        <f>-393-T259-S259-R259</f>
        <v>0</v>
      </c>
      <c r="V259" s="783">
        <f t="shared" ref="V259:V264" si="394">Q259</f>
        <v>-393</v>
      </c>
      <c r="W259" s="170">
        <f t="shared" ref="W259:Z259" si="395">-(W230)*W235</f>
        <v>5.2686862803908046</v>
      </c>
      <c r="X259" s="170">
        <f t="shared" si="395"/>
        <v>5.5590111641214346</v>
      </c>
      <c r="Y259" s="170">
        <f t="shared" si="395"/>
        <v>-24.390670795167498</v>
      </c>
      <c r="Z259" s="170">
        <f t="shared" si="395"/>
        <v>37.650193919467668</v>
      </c>
      <c r="AA259" s="783">
        <f t="shared" ref="AA259:AA264" si="396">+SUM(W259:Z259)</f>
        <v>24.087220568812409</v>
      </c>
      <c r="AB259" s="170"/>
      <c r="AC259" s="170"/>
      <c r="AD259" s="170"/>
      <c r="AE259" s="170"/>
      <c r="AF259" s="172">
        <f>-(AF230)*AF235</f>
        <v>-1121.3217245577648</v>
      </c>
      <c r="AG259" s="170"/>
      <c r="AH259" s="170"/>
      <c r="AI259" s="170"/>
      <c r="AJ259" s="170"/>
      <c r="AK259" s="172">
        <f>-(AK230)*AK235</f>
        <v>-1529.8664532973087</v>
      </c>
      <c r="AL259" s="170"/>
      <c r="AM259" s="170"/>
      <c r="AN259" s="170"/>
      <c r="AO259" s="170"/>
      <c r="AP259" s="172">
        <f>-(AP230)*AP235</f>
        <v>-1990.3495925207699</v>
      </c>
      <c r="AQ259" s="381"/>
      <c r="AR259" s="71"/>
      <c r="AS259" s="304"/>
      <c r="AT259" s="304"/>
      <c r="AU259" s="897"/>
      <c r="AV259" s="894"/>
      <c r="AW259" s="304"/>
      <c r="AX259" s="988"/>
      <c r="AY259" s="988"/>
      <c r="AZ259" s="988"/>
      <c r="BA259" s="988"/>
      <c r="BB259" s="988"/>
      <c r="BC259" s="71"/>
      <c r="BD259" s="33"/>
      <c r="BE259" s="33"/>
      <c r="BF259" s="33"/>
      <c r="BG259"/>
      <c r="BH259"/>
      <c r="BI259"/>
      <c r="BJ259"/>
      <c r="BK259"/>
      <c r="BL259"/>
      <c r="BM259" s="389"/>
    </row>
    <row r="260" spans="1:65" s="37" customFormat="1" ht="12.75" customHeight="1">
      <c r="A260" s="685" t="s">
        <v>311</v>
      </c>
      <c r="B260" s="623">
        <v>0</v>
      </c>
      <c r="C260" s="615">
        <v>600</v>
      </c>
      <c r="D260" s="615">
        <f>600-C260</f>
        <v>0</v>
      </c>
      <c r="E260" s="615">
        <f>600-SUM(C260:D260)</f>
        <v>0</v>
      </c>
      <c r="F260" s="170">
        <f>G260-SUM(C260:E260)</f>
        <v>0</v>
      </c>
      <c r="G260" s="172">
        <v>600</v>
      </c>
      <c r="H260" s="615">
        <v>0</v>
      </c>
      <c r="I260" s="615">
        <v>0</v>
      </c>
      <c r="J260" s="615">
        <v>0</v>
      </c>
      <c r="K260" s="170">
        <f>L260-SUM(H260:J260)</f>
        <v>749</v>
      </c>
      <c r="L260" s="623">
        <v>749</v>
      </c>
      <c r="M260" s="615">
        <v>0</v>
      </c>
      <c r="N260" s="615">
        <v>0</v>
      </c>
      <c r="O260" s="615">
        <v>0</v>
      </c>
      <c r="P260" s="615">
        <f>8245-O260-N260-M260</f>
        <v>8245</v>
      </c>
      <c r="Q260" s="783">
        <f t="shared" si="393"/>
        <v>8245</v>
      </c>
      <c r="R260" s="615">
        <v>0</v>
      </c>
      <c r="S260" s="615">
        <v>0</v>
      </c>
      <c r="T260" s="615">
        <v>0</v>
      </c>
      <c r="U260" s="615">
        <f>8245-T260-S260-R260</f>
        <v>8245</v>
      </c>
      <c r="V260" s="783">
        <f t="shared" si="394"/>
        <v>8245</v>
      </c>
      <c r="W260" s="173">
        <v>0</v>
      </c>
      <c r="X260" s="173">
        <v>0</v>
      </c>
      <c r="Y260" s="173">
        <v>0</v>
      </c>
      <c r="Z260" s="173">
        <v>0</v>
      </c>
      <c r="AA260" s="783">
        <f t="shared" si="396"/>
        <v>0</v>
      </c>
      <c r="AB260" s="173"/>
      <c r="AC260" s="173"/>
      <c r="AD260" s="173"/>
      <c r="AE260" s="173"/>
      <c r="AF260" s="174">
        <v>0</v>
      </c>
      <c r="AG260" s="173"/>
      <c r="AH260" s="173"/>
      <c r="AI260" s="173"/>
      <c r="AJ260" s="173"/>
      <c r="AK260" s="174">
        <v>0</v>
      </c>
      <c r="AL260" s="173"/>
      <c r="AM260" s="173"/>
      <c r="AN260" s="173"/>
      <c r="AO260" s="173"/>
      <c r="AP260" s="174">
        <v>0</v>
      </c>
      <c r="AQ260" s="381"/>
      <c r="AR260" s="71"/>
      <c r="AS260" s="304" t="s">
        <v>364</v>
      </c>
      <c r="AT260" s="998"/>
      <c r="AU260" s="1000"/>
      <c r="AV260" s="1000"/>
      <c r="AW260" s="998"/>
      <c r="AX260" s="994"/>
      <c r="AY260" s="994"/>
      <c r="AZ260" s="994"/>
      <c r="BA260" s="994"/>
      <c r="BB260" s="994"/>
      <c r="BC260" s="71"/>
      <c r="BD260" s="33"/>
      <c r="BE260" s="33"/>
      <c r="BF260" s="33"/>
      <c r="BG260"/>
      <c r="BH260"/>
      <c r="BI260"/>
      <c r="BJ260"/>
      <c r="BK260"/>
      <c r="BL260"/>
      <c r="BM260" s="389"/>
    </row>
    <row r="261" spans="1:65" s="37" customFormat="1" ht="12.75" customHeight="1">
      <c r="A261" s="685" t="s">
        <v>319</v>
      </c>
      <c r="B261" s="623">
        <v>0</v>
      </c>
      <c r="C261" s="618">
        <v>0</v>
      </c>
      <c r="D261" s="618">
        <v>0</v>
      </c>
      <c r="E261" s="615">
        <v>0</v>
      </c>
      <c r="F261" s="170">
        <f>G261-SUM(C261:E261)</f>
        <v>0</v>
      </c>
      <c r="G261" s="172">
        <v>0</v>
      </c>
      <c r="H261" s="618">
        <v>-107</v>
      </c>
      <c r="I261" s="618">
        <f>-107-H261</f>
        <v>0</v>
      </c>
      <c r="J261" s="618">
        <f>-107-SUM(H261:I261)</f>
        <v>0</v>
      </c>
      <c r="K261" s="170">
        <f>L261-SUM(H261:J261)</f>
        <v>-214</v>
      </c>
      <c r="L261" s="623">
        <v>-321</v>
      </c>
      <c r="M261" s="618">
        <v>0</v>
      </c>
      <c r="N261" s="618">
        <v>0</v>
      </c>
      <c r="O261" s="618">
        <v>0</v>
      </c>
      <c r="P261" s="615">
        <v>0</v>
      </c>
      <c r="Q261" s="783">
        <f t="shared" si="393"/>
        <v>0</v>
      </c>
      <c r="R261" s="618">
        <v>0</v>
      </c>
      <c r="S261" s="618">
        <v>0</v>
      </c>
      <c r="T261" s="618">
        <v>0</v>
      </c>
      <c r="U261" s="615">
        <v>0</v>
      </c>
      <c r="V261" s="783">
        <f t="shared" si="394"/>
        <v>0</v>
      </c>
      <c r="W261" s="175">
        <v>0</v>
      </c>
      <c r="X261" s="175">
        <v>0</v>
      </c>
      <c r="Y261" s="175">
        <v>0</v>
      </c>
      <c r="Z261" s="175">
        <v>0</v>
      </c>
      <c r="AA261" s="783">
        <f t="shared" si="396"/>
        <v>0</v>
      </c>
      <c r="AB261" s="175"/>
      <c r="AC261" s="175"/>
      <c r="AD261" s="175"/>
      <c r="AE261" s="175"/>
      <c r="AF261" s="174">
        <f>-500+-200</f>
        <v>-700</v>
      </c>
      <c r="AG261" s="175"/>
      <c r="AH261" s="175"/>
      <c r="AI261" s="175"/>
      <c r="AJ261" s="175"/>
      <c r="AK261" s="174">
        <f>-1000+-200</f>
        <v>-1200</v>
      </c>
      <c r="AL261" s="175"/>
      <c r="AM261" s="175"/>
      <c r="AN261" s="175"/>
      <c r="AO261" s="175"/>
      <c r="AP261" s="174">
        <f>-700+-200</f>
        <v>-900</v>
      </c>
      <c r="AQ261" s="381"/>
      <c r="AR261" s="71"/>
      <c r="AS261" s="304"/>
      <c r="AT261" s="1009"/>
      <c r="AU261" s="994"/>
      <c r="AV261" s="994"/>
      <c r="AW261" s="994"/>
      <c r="AX261" s="994"/>
      <c r="AY261" s="994"/>
      <c r="AZ261" s="994"/>
      <c r="BA261" s="994"/>
      <c r="BB261" s="994"/>
      <c r="BC261" s="71"/>
      <c r="BD261" s="33"/>
      <c r="BE261" s="33"/>
      <c r="BF261" s="33"/>
      <c r="BG261"/>
      <c r="BH261"/>
      <c r="BI261"/>
      <c r="BJ261"/>
      <c r="BK261"/>
      <c r="BL261"/>
      <c r="BM261" s="389"/>
    </row>
    <row r="262" spans="1:65" s="37" customFormat="1" ht="12.75" customHeight="1">
      <c r="A262" s="685" t="s">
        <v>318</v>
      </c>
      <c r="B262" s="623">
        <v>0</v>
      </c>
      <c r="C262" s="618">
        <v>0</v>
      </c>
      <c r="D262" s="618">
        <v>0</v>
      </c>
      <c r="E262" s="615">
        <v>0</v>
      </c>
      <c r="F262" s="170">
        <f>G262-SUM(C262:E262)</f>
        <v>0</v>
      </c>
      <c r="G262" s="172">
        <v>0</v>
      </c>
      <c r="H262" s="618">
        <v>0</v>
      </c>
      <c r="I262" s="618">
        <v>0</v>
      </c>
      <c r="J262" s="618">
        <v>0</v>
      </c>
      <c r="K262" s="170">
        <v>0</v>
      </c>
      <c r="L262" s="623">
        <v>0</v>
      </c>
      <c r="M262" s="618">
        <v>0</v>
      </c>
      <c r="N262" s="618">
        <v>0</v>
      </c>
      <c r="O262" s="618">
        <v>0</v>
      </c>
      <c r="P262" s="615">
        <v>0</v>
      </c>
      <c r="Q262" s="783">
        <f t="shared" si="393"/>
        <v>0</v>
      </c>
      <c r="R262" s="618">
        <v>0</v>
      </c>
      <c r="S262" s="618">
        <v>0</v>
      </c>
      <c r="T262" s="618">
        <v>0</v>
      </c>
      <c r="U262" s="615">
        <v>0</v>
      </c>
      <c r="V262" s="783">
        <f t="shared" si="394"/>
        <v>0</v>
      </c>
      <c r="W262" s="175">
        <v>0</v>
      </c>
      <c r="X262" s="175">
        <v>-867</v>
      </c>
      <c r="Y262" s="175">
        <v>0</v>
      </c>
      <c r="Z262" s="175">
        <v>0</v>
      </c>
      <c r="AA262" s="783">
        <f t="shared" si="396"/>
        <v>-867</v>
      </c>
      <c r="AB262" s="175"/>
      <c r="AC262" s="175"/>
      <c r="AD262" s="175"/>
      <c r="AE262" s="175"/>
      <c r="AF262" s="174">
        <v>0</v>
      </c>
      <c r="AG262" s="175"/>
      <c r="AH262" s="175"/>
      <c r="AI262" s="175"/>
      <c r="AJ262" s="175"/>
      <c r="AK262" s="174">
        <v>0</v>
      </c>
      <c r="AL262" s="175"/>
      <c r="AM262" s="175"/>
      <c r="AN262" s="175"/>
      <c r="AO262" s="175"/>
      <c r="AP262" s="174">
        <v>0</v>
      </c>
      <c r="AQ262" s="381"/>
      <c r="AR262" s="71"/>
      <c r="AS262" s="304"/>
      <c r="AT262" s="1009"/>
      <c r="AU262" s="304"/>
      <c r="AV262" s="1010"/>
      <c r="AW262" s="988">
        <v>2018</v>
      </c>
      <c r="AX262" s="988">
        <v>2019</v>
      </c>
      <c r="AY262" s="988">
        <v>2020</v>
      </c>
      <c r="AZ262" s="988">
        <v>2021</v>
      </c>
      <c r="BA262" s="994"/>
      <c r="BB262" s="994"/>
      <c r="BC262" s="71"/>
      <c r="BD262" s="33"/>
      <c r="BE262" s="33"/>
      <c r="BF262" s="33"/>
      <c r="BG262"/>
      <c r="BH262"/>
      <c r="BI262"/>
      <c r="BJ262"/>
      <c r="BK262"/>
      <c r="BL262"/>
      <c r="BM262" s="389"/>
    </row>
    <row r="263" spans="1:65" s="37" customFormat="1" ht="12.75" customHeight="1">
      <c r="A263" s="379" t="s">
        <v>144</v>
      </c>
      <c r="B263" s="172">
        <v>-563</v>
      </c>
      <c r="C263" s="170">
        <v>-156</v>
      </c>
      <c r="D263" s="170">
        <f>-309-C263</f>
        <v>-153</v>
      </c>
      <c r="E263" s="615">
        <f>-458-SUM(C263:D263)</f>
        <v>-149</v>
      </c>
      <c r="F263" s="170">
        <f>G263-SUM(C263:E263)</f>
        <v>-145</v>
      </c>
      <c r="G263" s="172">
        <v>-603</v>
      </c>
      <c r="H263" s="615">
        <v>-159</v>
      </c>
      <c r="I263" s="615">
        <f>-322-H263</f>
        <v>-163</v>
      </c>
      <c r="J263" s="615">
        <f>-482-SUM(H263:I263)</f>
        <v>-160</v>
      </c>
      <c r="K263" s="170">
        <f>L263-SUM(H263:J263)</f>
        <v>-158</v>
      </c>
      <c r="L263" s="172">
        <v>-640</v>
      </c>
      <c r="M263" s="615">
        <v>-166</v>
      </c>
      <c r="N263" s="615">
        <f>-341-M263</f>
        <v>-175</v>
      </c>
      <c r="O263" s="615">
        <f>-515-N263-M263</f>
        <v>-174</v>
      </c>
      <c r="P263" s="170">
        <f>-689-O263-N263-M263</f>
        <v>-174</v>
      </c>
      <c r="Q263" s="783">
        <f t="shared" si="393"/>
        <v>-689</v>
      </c>
      <c r="R263" s="615">
        <v>-166</v>
      </c>
      <c r="S263" s="615">
        <f>-341-R263</f>
        <v>-175</v>
      </c>
      <c r="T263" s="615">
        <f>-515-S263-R263</f>
        <v>-174</v>
      </c>
      <c r="U263" s="170">
        <f>-689-T263-S263-R263</f>
        <v>-174</v>
      </c>
      <c r="V263" s="783">
        <f t="shared" si="394"/>
        <v>-689</v>
      </c>
      <c r="W263" s="170">
        <f t="shared" ref="W263:Z263" si="397">-W238*W233</f>
        <v>-175.71937499999999</v>
      </c>
      <c r="X263" s="170">
        <f t="shared" si="397"/>
        <v>-193.53292664062496</v>
      </c>
      <c r="Y263" s="170">
        <f t="shared" si="397"/>
        <v>-193.77484279892576</v>
      </c>
      <c r="Z263" s="170">
        <f t="shared" si="397"/>
        <v>-194.01706135242441</v>
      </c>
      <c r="AA263" s="783">
        <f t="shared" si="396"/>
        <v>-757.04420579197517</v>
      </c>
      <c r="AB263" s="170"/>
      <c r="AC263" s="170"/>
      <c r="AD263" s="170"/>
      <c r="AE263" s="170"/>
      <c r="AF263" s="172">
        <f>-AF238*AF233</f>
        <v>-815.01941712959069</v>
      </c>
      <c r="AG263" s="170"/>
      <c r="AH263" s="170"/>
      <c r="AI263" s="170"/>
      <c r="AJ263" s="170"/>
      <c r="AK263" s="172">
        <f>-AK238*AK233</f>
        <v>-866.69511634333924</v>
      </c>
      <c r="AL263" s="170"/>
      <c r="AM263" s="170"/>
      <c r="AN263" s="170"/>
      <c r="AO263" s="170"/>
      <c r="AP263" s="172">
        <f>-AP238*AP233</f>
        <v>-911.30442380218767</v>
      </c>
      <c r="AQ263" s="381"/>
      <c r="AR263" s="71"/>
      <c r="AS263" s="304"/>
      <c r="AT263" s="1009"/>
      <c r="AU263" s="304"/>
      <c r="AV263" s="1010" t="s">
        <v>365</v>
      </c>
      <c r="AW263" s="987">
        <v>0</v>
      </c>
      <c r="AX263" s="987">
        <v>0</v>
      </c>
      <c r="AY263" s="987">
        <v>1000</v>
      </c>
      <c r="AZ263" s="987">
        <v>0</v>
      </c>
      <c r="BA263" s="997"/>
      <c r="BB263" s="997"/>
      <c r="BC263" s="71"/>
      <c r="BD263" s="33"/>
      <c r="BE263" s="33"/>
      <c r="BF263" s="33"/>
      <c r="BG263"/>
      <c r="BH263"/>
      <c r="BI263"/>
      <c r="BJ263"/>
      <c r="BK263"/>
      <c r="BL263"/>
      <c r="BM263" s="389"/>
    </row>
    <row r="264" spans="1:65" s="37" customFormat="1" ht="12.75" customHeight="1">
      <c r="A264" s="411" t="s">
        <v>40</v>
      </c>
      <c r="B264" s="623">
        <f>B265-B260-B261-B263-B259</f>
        <v>-4</v>
      </c>
      <c r="C264" s="170">
        <f>C265-C260-C261-C263-C259</f>
        <v>-67</v>
      </c>
      <c r="D264" s="170">
        <f>D265-D260-D261-D263-D259</f>
        <v>-2</v>
      </c>
      <c r="E264" s="170">
        <f>E265-E260-E261-E263-E259</f>
        <v>-11</v>
      </c>
      <c r="F264" s="170">
        <f>F265-F260-F261-F263-F259</f>
        <v>-10</v>
      </c>
      <c r="G264" s="623">
        <f>SUM(C264:F264)</f>
        <v>-90</v>
      </c>
      <c r="H264" s="170">
        <f>H265-H260-H261-H263-H259</f>
        <v>-136</v>
      </c>
      <c r="I264" s="170">
        <f>I265-I260-I261-I263-I259</f>
        <v>-8</v>
      </c>
      <c r="J264" s="615">
        <f>J265-J260-J261-J263-J259</f>
        <v>-11</v>
      </c>
      <c r="K264" s="170">
        <f>K265-K260-K261-K263-K259</f>
        <v>128</v>
      </c>
      <c r="L264" s="623">
        <f>SUM(H264:K264)</f>
        <v>-27</v>
      </c>
      <c r="M264" s="615">
        <f>M265-M260-M261-M263-M259</f>
        <v>-90</v>
      </c>
      <c r="N264" s="615">
        <f>N265-N260-N261-N263-N259</f>
        <v>-2</v>
      </c>
      <c r="O264" s="615">
        <f>O265-O260-O261-O263-O259</f>
        <v>-40</v>
      </c>
      <c r="P264" s="615">
        <f>P265-P260-P261-P263-P259</f>
        <v>-71</v>
      </c>
      <c r="Q264" s="783">
        <f t="shared" si="393"/>
        <v>-203</v>
      </c>
      <c r="R264" s="615">
        <f>R265-R260-R261-R263-R259</f>
        <v>-90</v>
      </c>
      <c r="S264" s="615">
        <f>S265-S260-S261-S263-S259</f>
        <v>-2</v>
      </c>
      <c r="T264" s="615">
        <f>T265-T260-T261-T263-T259</f>
        <v>-40</v>
      </c>
      <c r="U264" s="615">
        <f>U265-U260-U261-U263-U259</f>
        <v>-71</v>
      </c>
      <c r="V264" s="783">
        <f t="shared" si="394"/>
        <v>-203</v>
      </c>
      <c r="W264" s="173">
        <v>0</v>
      </c>
      <c r="X264" s="173">
        <v>0</v>
      </c>
      <c r="Y264" s="173">
        <v>0</v>
      </c>
      <c r="Z264" s="173">
        <v>0</v>
      </c>
      <c r="AA264" s="783">
        <f t="shared" si="396"/>
        <v>0</v>
      </c>
      <c r="AB264" s="173"/>
      <c r="AC264" s="173"/>
      <c r="AD264" s="173"/>
      <c r="AE264" s="173"/>
      <c r="AF264" s="174">
        <v>0</v>
      </c>
      <c r="AG264" s="173"/>
      <c r="AH264" s="173"/>
      <c r="AI264" s="173"/>
      <c r="AJ264" s="173"/>
      <c r="AK264" s="174">
        <v>0</v>
      </c>
      <c r="AL264" s="173"/>
      <c r="AM264" s="173"/>
      <c r="AN264" s="173"/>
      <c r="AO264" s="173"/>
      <c r="AP264" s="174">
        <v>0</v>
      </c>
      <c r="AQ264" s="381"/>
      <c r="AR264" s="71"/>
      <c r="AS264" s="304"/>
      <c r="AT264" s="1009"/>
      <c r="AU264" s="304"/>
      <c r="AV264" s="1010" t="s">
        <v>366</v>
      </c>
      <c r="AW264" s="990">
        <v>850</v>
      </c>
      <c r="AX264" s="990">
        <v>500</v>
      </c>
      <c r="AY264" s="990">
        <v>1000</v>
      </c>
      <c r="AZ264" s="990">
        <v>700</v>
      </c>
      <c r="BA264" s="997"/>
      <c r="BB264" s="997"/>
      <c r="BC264" s="71"/>
      <c r="BD264" s="33"/>
      <c r="BE264" s="33"/>
      <c r="BF264" s="33"/>
      <c r="BG264"/>
      <c r="BH264"/>
      <c r="BI264"/>
      <c r="BJ264"/>
      <c r="BK264"/>
      <c r="BL264"/>
      <c r="BM264" s="389"/>
    </row>
    <row r="265" spans="1:65" s="410" customFormat="1" ht="12.75" customHeight="1">
      <c r="A265" s="407" t="s">
        <v>146</v>
      </c>
      <c r="B265" s="482">
        <v>-3235</v>
      </c>
      <c r="C265" s="408">
        <v>-448</v>
      </c>
      <c r="D265" s="408">
        <f>-1694-C265</f>
        <v>-1246</v>
      </c>
      <c r="E265" s="408">
        <f>-2802-SUM(C265:D265)</f>
        <v>-1108</v>
      </c>
      <c r="F265" s="408">
        <f>G265-SUM(C265:E265)</f>
        <v>-473</v>
      </c>
      <c r="G265" s="482">
        <v>-3275</v>
      </c>
      <c r="H265" s="408">
        <v>-684</v>
      </c>
      <c r="I265" s="408">
        <f>-1255-H265</f>
        <v>-571</v>
      </c>
      <c r="J265" s="408">
        <f>-1893-SUM(H265:I265)</f>
        <v>-638</v>
      </c>
      <c r="K265" s="408">
        <f>L265-SUM(H265:J265)</f>
        <v>107</v>
      </c>
      <c r="L265" s="482">
        <v>-1786</v>
      </c>
      <c r="M265" s="408">
        <v>-485</v>
      </c>
      <c r="N265" s="408">
        <f>-800-M265</f>
        <v>-315</v>
      </c>
      <c r="O265" s="408">
        <f>-1040-N265-M265</f>
        <v>-240</v>
      </c>
      <c r="P265" s="408">
        <f>6960-O265-N265-M265</f>
        <v>8000</v>
      </c>
      <c r="Q265" s="482">
        <f>Q260+Q261+Q263+Q259+Q264+Q262</f>
        <v>6960</v>
      </c>
      <c r="R265" s="408">
        <v>-485</v>
      </c>
      <c r="S265" s="408">
        <f>-800-R265</f>
        <v>-315</v>
      </c>
      <c r="T265" s="408">
        <f>-1040-S265-R265</f>
        <v>-240</v>
      </c>
      <c r="U265" s="408">
        <f>6960-T265-S265-R265</f>
        <v>8000</v>
      </c>
      <c r="V265" s="482">
        <f>V260+V261+V263+V259+V264+V262</f>
        <v>6960</v>
      </c>
      <c r="W265" s="408">
        <f t="shared" ref="W265:Z265" si="398">W260+W261+W263+W259+W264+W262</f>
        <v>-170.45068871960919</v>
      </c>
      <c r="X265" s="408">
        <f t="shared" si="398"/>
        <v>-1054.9739154765034</v>
      </c>
      <c r="Y265" s="408">
        <f t="shared" si="398"/>
        <v>-218.16551359409326</v>
      </c>
      <c r="Z265" s="408">
        <f t="shared" si="398"/>
        <v>-156.36686743295672</v>
      </c>
      <c r="AA265" s="482">
        <f>AA260+AA261+AA263+AA259+AA264+AA262</f>
        <v>-1599.9569852231627</v>
      </c>
      <c r="AB265" s="408"/>
      <c r="AC265" s="408"/>
      <c r="AD265" s="408"/>
      <c r="AE265" s="408"/>
      <c r="AF265" s="482">
        <f>AF260+AF261+AF263+AF259+AF264+AF262</f>
        <v>-2636.3411416873555</v>
      </c>
      <c r="AG265" s="408"/>
      <c r="AH265" s="408"/>
      <c r="AI265" s="408"/>
      <c r="AJ265" s="408"/>
      <c r="AK265" s="482">
        <f>AK260+AK261+AK263+AK259+AK264+AK262</f>
        <v>-3596.5615696406476</v>
      </c>
      <c r="AL265" s="408"/>
      <c r="AM265" s="408"/>
      <c r="AN265" s="408"/>
      <c r="AO265" s="408"/>
      <c r="AP265" s="482">
        <f>AP260+AP261+AP263+AP259+AP264+AP262</f>
        <v>-3801.6540163229574</v>
      </c>
      <c r="AQ265" s="472"/>
      <c r="AR265" s="412"/>
      <c r="AS265" s="621"/>
      <c r="AT265" s="1001"/>
      <c r="AU265" s="902"/>
      <c r="AV265" s="1011"/>
      <c r="AW265" s="987" t="s">
        <v>368</v>
      </c>
      <c r="AX265" s="987" t="s">
        <v>368</v>
      </c>
      <c r="AY265" s="987" t="s">
        <v>367</v>
      </c>
      <c r="AZ265" s="987" t="s">
        <v>368</v>
      </c>
      <c r="BA265" s="998"/>
      <c r="BB265" s="998"/>
      <c r="BC265" s="409"/>
      <c r="BD265" s="50"/>
      <c r="BE265" s="50"/>
      <c r="BF265" s="50"/>
      <c r="BG265"/>
      <c r="BH265"/>
      <c r="BI265"/>
      <c r="BJ265"/>
      <c r="BK265"/>
      <c r="BL265"/>
    </row>
    <row r="266" spans="1:65" s="247" customFormat="1">
      <c r="A266" s="413" t="s">
        <v>147</v>
      </c>
      <c r="B266" s="85">
        <f>SUM(B250,B258,B265,)</f>
        <v>-1287</v>
      </c>
      <c r="C266" s="86">
        <f>SUM(C250,C258,C265)</f>
        <v>-1217</v>
      </c>
      <c r="D266" s="86">
        <f>SUM(D250,D258,D265)</f>
        <v>-739</v>
      </c>
      <c r="E266" s="86">
        <f>SUM(E250,E258,E265)</f>
        <v>-615</v>
      </c>
      <c r="F266" s="86">
        <f>SUM(F250,F258,F265)</f>
        <v>1027</v>
      </c>
      <c r="G266" s="85">
        <f>SUM(G250,G258,G265,)</f>
        <v>-1544</v>
      </c>
      <c r="H266" s="86">
        <f>SUM(H250,H258,H265)</f>
        <v>-1042</v>
      </c>
      <c r="I266" s="86">
        <f>SUM(I250,I258,I265)</f>
        <v>-138</v>
      </c>
      <c r="J266" s="86">
        <f>SUM(J250,J258,J265)</f>
        <v>-36</v>
      </c>
      <c r="K266" s="86">
        <f>SUM(K250,K258,K265)</f>
        <v>1438</v>
      </c>
      <c r="L266" s="85">
        <f>SUM(L250,L258,L265,)</f>
        <v>222</v>
      </c>
      <c r="M266" s="86">
        <f>SUM(M250,M258,M265)</f>
        <v>-1138</v>
      </c>
      <c r="N266" s="86">
        <f>SUM(N250,N258,N265)</f>
        <v>-20</v>
      </c>
      <c r="O266" s="86">
        <f>SUM(O250,O258,O265)</f>
        <v>495</v>
      </c>
      <c r="P266" s="86">
        <f>SUM(P250,P258,P265)</f>
        <v>9347</v>
      </c>
      <c r="Q266" s="85">
        <f>SUM(Q250,Q258,Q265,)</f>
        <v>8684</v>
      </c>
      <c r="R266" s="86">
        <f>SUM(R250,R258,R265)</f>
        <v>-1138</v>
      </c>
      <c r="S266" s="86">
        <f>SUM(S250,S258,S265)</f>
        <v>-20</v>
      </c>
      <c r="T266" s="86">
        <f>SUM(T250,T258,T265)</f>
        <v>495</v>
      </c>
      <c r="U266" s="86">
        <f>SUM(U250,U258,U265)</f>
        <v>9347</v>
      </c>
      <c r="V266" s="85">
        <f>SUM(V250,V258,V265,)</f>
        <v>8684</v>
      </c>
      <c r="W266" s="86">
        <f t="shared" ref="W266:Z266" si="399">SUM(W250,W258,W265)</f>
        <v>-843.93893955413262</v>
      </c>
      <c r="X266" s="86">
        <f t="shared" si="399"/>
        <v>-615.43176232242649</v>
      </c>
      <c r="Y266" s="86">
        <f t="shared" si="399"/>
        <v>-8950.354655526462</v>
      </c>
      <c r="Z266" s="86">
        <f t="shared" si="399"/>
        <v>2111.3181989841187</v>
      </c>
      <c r="AA266" s="85">
        <f>SUM(AA250,AA258,AA265,)</f>
        <v>-8298.4071584189023</v>
      </c>
      <c r="AB266" s="86"/>
      <c r="AC266" s="86"/>
      <c r="AD266" s="86"/>
      <c r="AE266" s="86"/>
      <c r="AF266" s="85">
        <f>SUM(AF250,AF258,AF265,)</f>
        <v>456.91875254822799</v>
      </c>
      <c r="AG266" s="86"/>
      <c r="AH266" s="86"/>
      <c r="AI266" s="86"/>
      <c r="AJ266" s="86"/>
      <c r="AK266" s="85">
        <f>SUM(AK250,AK258,AK265,)</f>
        <v>-350.29296725432141</v>
      </c>
      <c r="AL266" s="86"/>
      <c r="AM266" s="86"/>
      <c r="AN266" s="86"/>
      <c r="AO266" s="86"/>
      <c r="AP266" s="85">
        <f>SUM(AP250,AP258,AP265,)</f>
        <v>-392.05977968992829</v>
      </c>
      <c r="AQ266" s="478"/>
      <c r="AR266" s="245"/>
      <c r="AS266" s="304"/>
      <c r="AT266" s="304"/>
      <c r="AU266" s="304"/>
      <c r="AV266" s="304"/>
      <c r="AW266" s="304"/>
      <c r="AX266" s="994"/>
      <c r="AY266" s="994"/>
      <c r="AZ266" s="994"/>
      <c r="BA266" s="994"/>
      <c r="BB266" s="998"/>
      <c r="BC266" s="245"/>
      <c r="BG266"/>
      <c r="BH266"/>
      <c r="BI266"/>
      <c r="BJ266"/>
      <c r="BK266"/>
      <c r="BL266"/>
    </row>
    <row r="267" spans="1:65" s="418" customFormat="1">
      <c r="A267" s="276" t="s">
        <v>148</v>
      </c>
      <c r="B267" s="414">
        <v>5150</v>
      </c>
      <c r="C267" s="415">
        <f>B268</f>
        <v>3863</v>
      </c>
      <c r="D267" s="415">
        <f>C268</f>
        <v>2646</v>
      </c>
      <c r="E267" s="415">
        <f>D268</f>
        <v>1907</v>
      </c>
      <c r="F267" s="415">
        <f>E268</f>
        <v>1292</v>
      </c>
      <c r="G267" s="414">
        <f>B268</f>
        <v>3863</v>
      </c>
      <c r="H267" s="415">
        <f>G268</f>
        <v>2319</v>
      </c>
      <c r="I267" s="415">
        <f>H268</f>
        <v>1277</v>
      </c>
      <c r="J267" s="415">
        <f>I268</f>
        <v>1139</v>
      </c>
      <c r="K267" s="415">
        <f>J268</f>
        <v>1103</v>
      </c>
      <c r="L267" s="414">
        <f>G268</f>
        <v>2319</v>
      </c>
      <c r="M267" s="415">
        <f>L268</f>
        <v>2541</v>
      </c>
      <c r="N267" s="415">
        <f>M268</f>
        <v>1403</v>
      </c>
      <c r="O267" s="415">
        <f>N268</f>
        <v>1383</v>
      </c>
      <c r="P267" s="415">
        <f>O268</f>
        <v>1878</v>
      </c>
      <c r="Q267" s="414">
        <f>L268</f>
        <v>2541</v>
      </c>
      <c r="R267" s="415">
        <f>L268</f>
        <v>2541</v>
      </c>
      <c r="S267" s="415">
        <f>R268</f>
        <v>1403</v>
      </c>
      <c r="T267" s="415">
        <f>S268</f>
        <v>1383</v>
      </c>
      <c r="U267" s="415">
        <f>T268</f>
        <v>1878</v>
      </c>
      <c r="V267" s="414">
        <f>L268</f>
        <v>2541</v>
      </c>
      <c r="W267" s="415">
        <f>Q268</f>
        <v>11225</v>
      </c>
      <c r="X267" s="415">
        <f t="shared" ref="X267:Z267" si="400">W268</f>
        <v>10381.061060445867</v>
      </c>
      <c r="Y267" s="415">
        <f t="shared" si="400"/>
        <v>9765.6292981234401</v>
      </c>
      <c r="Z267" s="415">
        <f t="shared" si="400"/>
        <v>815.27464259697808</v>
      </c>
      <c r="AA267" s="414">
        <f>Q268</f>
        <v>11225</v>
      </c>
      <c r="AB267" s="415"/>
      <c r="AC267" s="415"/>
      <c r="AD267" s="415"/>
      <c r="AE267" s="415"/>
      <c r="AF267" s="414">
        <f>AA268</f>
        <v>2926.5928415810977</v>
      </c>
      <c r="AG267" s="415"/>
      <c r="AH267" s="415"/>
      <c r="AI267" s="415"/>
      <c r="AJ267" s="415"/>
      <c r="AK267" s="414">
        <f>AF268</f>
        <v>3383.5115941293257</v>
      </c>
      <c r="AL267" s="415"/>
      <c r="AM267" s="415"/>
      <c r="AN267" s="415"/>
      <c r="AO267" s="415"/>
      <c r="AP267" s="414">
        <f>AK268</f>
        <v>3033.2186268750042</v>
      </c>
      <c r="AQ267" s="415"/>
      <c r="AR267" s="416"/>
      <c r="AS267" s="304"/>
      <c r="AT267" s="304"/>
      <c r="AU267" s="304"/>
      <c r="AV267" s="1011"/>
      <c r="AW267" s="1011"/>
      <c r="AX267" s="990"/>
      <c r="AY267" s="990"/>
      <c r="AZ267" s="990"/>
      <c r="BA267" s="1002"/>
      <c r="BB267" s="1001"/>
      <c r="BC267" s="416"/>
      <c r="BG267"/>
      <c r="BH267"/>
      <c r="BI267"/>
      <c r="BJ267"/>
      <c r="BK267"/>
      <c r="BL267"/>
    </row>
    <row r="268" spans="1:65" s="247" customFormat="1">
      <c r="A268" s="276" t="s">
        <v>149</v>
      </c>
      <c r="B268" s="275">
        <f>B266+B267</f>
        <v>3863</v>
      </c>
      <c r="C268" s="276">
        <f>C266+C267</f>
        <v>2646</v>
      </c>
      <c r="D268" s="276">
        <f>D266+D267</f>
        <v>1907</v>
      </c>
      <c r="E268" s="276">
        <f>E266+E267</f>
        <v>1292</v>
      </c>
      <c r="F268" s="276">
        <f>F266+F267</f>
        <v>2319</v>
      </c>
      <c r="G268" s="275">
        <f t="shared" ref="G268:L268" si="401">G266+G267</f>
        <v>2319</v>
      </c>
      <c r="H268" s="276">
        <f t="shared" si="401"/>
        <v>1277</v>
      </c>
      <c r="I268" s="276">
        <f t="shared" si="401"/>
        <v>1139</v>
      </c>
      <c r="J268" s="276">
        <f t="shared" si="401"/>
        <v>1103</v>
      </c>
      <c r="K268" s="276">
        <f t="shared" si="401"/>
        <v>2541</v>
      </c>
      <c r="L268" s="275">
        <f t="shared" si="401"/>
        <v>2541</v>
      </c>
      <c r="M268" s="276">
        <f t="shared" ref="M268:V268" si="402">M266+M267</f>
        <v>1403</v>
      </c>
      <c r="N268" s="276">
        <f t="shared" si="402"/>
        <v>1383</v>
      </c>
      <c r="O268" s="276">
        <f t="shared" si="402"/>
        <v>1878</v>
      </c>
      <c r="P268" s="276">
        <f t="shared" si="402"/>
        <v>11225</v>
      </c>
      <c r="Q268" s="275">
        <f t="shared" si="402"/>
        <v>11225</v>
      </c>
      <c r="R268" s="276">
        <f t="shared" si="402"/>
        <v>1403</v>
      </c>
      <c r="S268" s="276">
        <f t="shared" si="402"/>
        <v>1383</v>
      </c>
      <c r="T268" s="276">
        <f t="shared" si="402"/>
        <v>1878</v>
      </c>
      <c r="U268" s="276">
        <f t="shared" si="402"/>
        <v>11225</v>
      </c>
      <c r="V268" s="275">
        <f t="shared" si="402"/>
        <v>11225</v>
      </c>
      <c r="W268" s="276">
        <f t="shared" ref="W268:Z268" si="403">W266+W267</f>
        <v>10381.061060445867</v>
      </c>
      <c r="X268" s="276">
        <f t="shared" si="403"/>
        <v>9765.6292981234401</v>
      </c>
      <c r="Y268" s="276">
        <f t="shared" si="403"/>
        <v>815.27464259697808</v>
      </c>
      <c r="Z268" s="276">
        <f t="shared" si="403"/>
        <v>2926.5928415810968</v>
      </c>
      <c r="AA268" s="275">
        <f>AA266+AA267</f>
        <v>2926.5928415810977</v>
      </c>
      <c r="AB268" s="276"/>
      <c r="AC268" s="276"/>
      <c r="AD268" s="276"/>
      <c r="AE268" s="276"/>
      <c r="AF268" s="275">
        <f>AF266+AF267</f>
        <v>3383.5115941293257</v>
      </c>
      <c r="AG268" s="276"/>
      <c r="AH268" s="276"/>
      <c r="AI268" s="276"/>
      <c r="AJ268" s="276"/>
      <c r="AK268" s="275">
        <f>AK266+AK267</f>
        <v>3033.2186268750042</v>
      </c>
      <c r="AL268" s="276"/>
      <c r="AM268" s="276"/>
      <c r="AN268" s="276"/>
      <c r="AO268" s="276"/>
      <c r="AP268" s="275">
        <f>AP266+AP267</f>
        <v>2641.158847185076</v>
      </c>
      <c r="AQ268" s="478"/>
      <c r="AR268" s="245"/>
      <c r="AS268" s="304"/>
      <c r="AT268" s="304"/>
      <c r="AU268" s="304"/>
      <c r="AV268" s="304"/>
      <c r="AW268" s="304"/>
      <c r="AX268" s="304"/>
      <c r="AY268" s="304"/>
      <c r="AZ268" s="304"/>
      <c r="BA268" s="304"/>
      <c r="BB268" s="304"/>
      <c r="BC268" s="245"/>
      <c r="BG268"/>
      <c r="BH268"/>
      <c r="BI268"/>
      <c r="BJ268"/>
      <c r="BK268"/>
      <c r="BL268"/>
    </row>
    <row r="269" spans="1:65" ht="12.75" customHeight="1">
      <c r="A269" s="377"/>
      <c r="B269" s="199"/>
      <c r="C269" s="377"/>
      <c r="D269" s="376"/>
      <c r="E269" s="376"/>
      <c r="F269" s="377"/>
      <c r="G269" s="375"/>
      <c r="H269" s="377"/>
      <c r="I269" s="377"/>
      <c r="J269" s="377"/>
      <c r="K269" s="377"/>
      <c r="L269" s="375"/>
      <c r="M269" s="377"/>
      <c r="N269" s="377"/>
      <c r="O269" s="377"/>
      <c r="P269" s="377"/>
      <c r="Q269" s="375"/>
      <c r="R269" s="377"/>
      <c r="S269" s="377"/>
      <c r="T269" s="377"/>
      <c r="U269" s="377"/>
      <c r="V269" s="375"/>
      <c r="W269" s="377"/>
      <c r="X269" s="377"/>
      <c r="Y269" s="377"/>
      <c r="Z269" s="377"/>
      <c r="AA269" s="375"/>
      <c r="AB269" s="377"/>
      <c r="AC269" s="377"/>
      <c r="AD269" s="377"/>
      <c r="AE269" s="377"/>
      <c r="AF269" s="375"/>
      <c r="AG269" s="377"/>
      <c r="AH269" s="377"/>
      <c r="AI269" s="377"/>
      <c r="AJ269" s="377"/>
      <c r="AK269" s="375"/>
      <c r="AL269" s="377"/>
      <c r="AM269" s="377"/>
      <c r="AN269" s="377"/>
      <c r="AO269" s="377"/>
      <c r="AP269" s="375"/>
      <c r="AQ269" s="80"/>
      <c r="AR269" s="6"/>
      <c r="AS269" s="619"/>
      <c r="AT269" s="619"/>
      <c r="AU269" s="619"/>
      <c r="AV269" s="619"/>
      <c r="AW269" s="619"/>
      <c r="AX269" s="619"/>
      <c r="AY269" s="619"/>
      <c r="AZ269" s="619"/>
      <c r="BA269" s="619"/>
      <c r="BB269" s="619"/>
      <c r="BC269" s="79"/>
      <c r="BD269" s="80"/>
      <c r="BE269" s="29"/>
      <c r="BF269" s="29"/>
    </row>
    <row r="270" spans="1:65" s="10" customFormat="1" ht="12" customHeight="1">
      <c r="A270" s="4" t="s">
        <v>41</v>
      </c>
      <c r="B270" s="5"/>
      <c r="C270" s="6"/>
      <c r="D270" s="6"/>
      <c r="E270" s="6"/>
      <c r="F270" s="6"/>
      <c r="G270" s="5"/>
      <c r="H270" s="6"/>
      <c r="I270" s="6"/>
      <c r="J270" s="6"/>
      <c r="K270" s="378"/>
      <c r="L270" s="5"/>
      <c r="M270" s="6"/>
      <c r="N270" s="6"/>
      <c r="O270" s="6"/>
      <c r="P270" s="378"/>
      <c r="Q270" s="5"/>
      <c r="R270" s="6"/>
      <c r="S270" s="6"/>
      <c r="T270" s="6"/>
      <c r="U270" s="378"/>
      <c r="V270" s="5"/>
      <c r="W270" s="6"/>
      <c r="X270" s="6"/>
      <c r="Y270" s="6"/>
      <c r="Z270" s="6"/>
      <c r="AA270" s="5"/>
      <c r="AB270" s="6"/>
      <c r="AC270" s="6"/>
      <c r="AD270" s="6"/>
      <c r="AE270" s="6"/>
      <c r="AF270" s="5"/>
      <c r="AG270" s="6"/>
      <c r="AH270" s="6"/>
      <c r="AI270" s="6"/>
      <c r="AJ270" s="6"/>
      <c r="AK270" s="5"/>
      <c r="AL270" s="6"/>
      <c r="AM270" s="6"/>
      <c r="AN270" s="6"/>
      <c r="AO270" s="6"/>
      <c r="AP270" s="5"/>
      <c r="AQ270" s="479"/>
      <c r="AR270" s="6"/>
      <c r="AS270" s="619"/>
      <c r="AT270" s="619"/>
      <c r="AU270" s="619"/>
      <c r="AV270" s="619"/>
      <c r="AW270" s="619"/>
      <c r="AX270" s="619"/>
      <c r="AY270" s="619"/>
      <c r="AZ270" s="619"/>
      <c r="BA270" s="619"/>
      <c r="BB270" s="619"/>
      <c r="BC270" s="6"/>
      <c r="BG270"/>
      <c r="BH270"/>
      <c r="BI270"/>
      <c r="BJ270"/>
      <c r="BK270"/>
      <c r="BL270"/>
    </row>
    <row r="271" spans="1:65" s="247" customFormat="1">
      <c r="A271" s="419" t="s">
        <v>150</v>
      </c>
      <c r="B271" s="293"/>
      <c r="C271" s="246"/>
      <c r="D271" s="246"/>
      <c r="E271" s="246"/>
      <c r="F271" s="246"/>
      <c r="G271" s="293"/>
      <c r="H271" s="246"/>
      <c r="I271" s="246"/>
      <c r="J271" s="246"/>
      <c r="K271" s="295"/>
      <c r="L271" s="293"/>
      <c r="M271" s="246"/>
      <c r="N271" s="246"/>
      <c r="O271" s="246"/>
      <c r="P271" s="295"/>
      <c r="Q271" s="293"/>
      <c r="R271" s="246"/>
      <c r="S271" s="246"/>
      <c r="T271" s="246"/>
      <c r="U271" s="295"/>
      <c r="V271" s="293"/>
      <c r="W271" s="246"/>
      <c r="X271" s="246"/>
      <c r="Y271" s="246"/>
      <c r="Z271" s="246"/>
      <c r="AA271" s="293"/>
      <c r="AB271" s="246"/>
      <c r="AC271" s="246"/>
      <c r="AD271" s="246"/>
      <c r="AE271" s="246"/>
      <c r="AF271" s="293"/>
      <c r="AG271" s="246"/>
      <c r="AH271" s="246"/>
      <c r="AI271" s="246"/>
      <c r="AJ271" s="246"/>
      <c r="AK271" s="293"/>
      <c r="AL271" s="246"/>
      <c r="AM271" s="246"/>
      <c r="AN271" s="246"/>
      <c r="AO271" s="246"/>
      <c r="AP271" s="293"/>
      <c r="AQ271" s="86"/>
      <c r="AR271" s="245"/>
      <c r="AS271" s="304"/>
      <c r="AT271" s="304"/>
      <c r="AU271" s="304"/>
      <c r="AV271" s="304"/>
      <c r="AW271" s="304"/>
      <c r="AX271" s="304"/>
      <c r="AY271" s="304"/>
      <c r="AZ271" s="304"/>
      <c r="BA271" s="304"/>
      <c r="BB271" s="304"/>
      <c r="BC271" s="245"/>
      <c r="BG271"/>
      <c r="BH271"/>
      <c r="BI271"/>
      <c r="BJ271"/>
      <c r="BK271"/>
      <c r="BL271"/>
    </row>
    <row r="272" spans="1:65" s="389" customFormat="1" ht="12.75" customHeight="1">
      <c r="A272" s="33" t="s">
        <v>151</v>
      </c>
      <c r="B272" s="380">
        <f>B268</f>
        <v>3863</v>
      </c>
      <c r="C272" s="381">
        <f t="shared" ref="C272:K272" si="404">C268</f>
        <v>2646</v>
      </c>
      <c r="D272" s="381">
        <f t="shared" si="404"/>
        <v>1907</v>
      </c>
      <c r="E272" s="381">
        <f t="shared" si="404"/>
        <v>1292</v>
      </c>
      <c r="F272" s="381">
        <f t="shared" si="404"/>
        <v>2319</v>
      </c>
      <c r="G272" s="380">
        <f>G268</f>
        <v>2319</v>
      </c>
      <c r="H272" s="381">
        <f t="shared" si="404"/>
        <v>1277</v>
      </c>
      <c r="I272" s="381">
        <f t="shared" si="404"/>
        <v>1139</v>
      </c>
      <c r="J272" s="381">
        <f t="shared" si="404"/>
        <v>1103</v>
      </c>
      <c r="K272" s="381">
        <f t="shared" si="404"/>
        <v>2541</v>
      </c>
      <c r="L272" s="380">
        <f t="shared" ref="L272:Q272" si="405">L268</f>
        <v>2541</v>
      </c>
      <c r="M272" s="381">
        <f t="shared" si="405"/>
        <v>1403</v>
      </c>
      <c r="N272" s="381">
        <f t="shared" si="405"/>
        <v>1383</v>
      </c>
      <c r="O272" s="381">
        <f t="shared" si="405"/>
        <v>1878</v>
      </c>
      <c r="P272" s="381">
        <f t="shared" si="405"/>
        <v>11225</v>
      </c>
      <c r="Q272" s="380">
        <f t="shared" si="405"/>
        <v>11225</v>
      </c>
      <c r="R272" s="381">
        <f t="shared" ref="R272:U272" si="406">R268</f>
        <v>1403</v>
      </c>
      <c r="S272" s="381">
        <f t="shared" si="406"/>
        <v>1383</v>
      </c>
      <c r="T272" s="381">
        <f t="shared" si="406"/>
        <v>1878</v>
      </c>
      <c r="U272" s="381">
        <f t="shared" si="406"/>
        <v>11225</v>
      </c>
      <c r="V272" s="380">
        <f t="shared" ref="V272" si="407">V268</f>
        <v>11225</v>
      </c>
      <c r="W272" s="381">
        <f t="shared" ref="W272:Z272" si="408">W268</f>
        <v>10381.061060445867</v>
      </c>
      <c r="X272" s="381">
        <f t="shared" si="408"/>
        <v>9765.6292981234401</v>
      </c>
      <c r="Y272" s="381">
        <f t="shared" si="408"/>
        <v>815.27464259697808</v>
      </c>
      <c r="Z272" s="381">
        <f t="shared" si="408"/>
        <v>2926.5928415810968</v>
      </c>
      <c r="AA272" s="380">
        <f>AA268</f>
        <v>2926.5928415810977</v>
      </c>
      <c r="AB272" s="381"/>
      <c r="AC272" s="381"/>
      <c r="AD272" s="381"/>
      <c r="AE272" s="381"/>
      <c r="AF272" s="380">
        <f>AF268</f>
        <v>3383.5115941293257</v>
      </c>
      <c r="AG272" s="381"/>
      <c r="AH272" s="381"/>
      <c r="AI272" s="381"/>
      <c r="AJ272" s="381"/>
      <c r="AK272" s="380">
        <f>AK268</f>
        <v>3033.2186268750042</v>
      </c>
      <c r="AL272" s="381"/>
      <c r="AM272" s="381"/>
      <c r="AN272" s="381"/>
      <c r="AO272" s="381"/>
      <c r="AP272" s="380">
        <f>AP268</f>
        <v>2641.158847185076</v>
      </c>
      <c r="AQ272" s="381"/>
      <c r="AR272" s="71"/>
      <c r="AS272" s="893"/>
      <c r="AT272" s="304"/>
      <c r="AU272" s="993"/>
      <c r="AV272" s="1014"/>
      <c r="AW272" s="1015"/>
      <c r="AX272" s="1015"/>
      <c r="AY272" s="1015"/>
      <c r="AZ272" s="1015"/>
      <c r="BA272" s="1014"/>
      <c r="BB272" s="304"/>
      <c r="BC272" s="71"/>
      <c r="BD272" s="33"/>
      <c r="BE272" s="33"/>
      <c r="BF272" s="33"/>
      <c r="BG272"/>
      <c r="BH272"/>
      <c r="BI272"/>
      <c r="BJ272"/>
      <c r="BK272"/>
      <c r="BL272"/>
    </row>
    <row r="273" spans="1:64" s="389" customFormat="1" ht="12.75" customHeight="1">
      <c r="A273" s="33" t="s">
        <v>152</v>
      </c>
      <c r="B273" s="380">
        <v>2806</v>
      </c>
      <c r="C273" s="381">
        <v>3131</v>
      </c>
      <c r="D273" s="381">
        <v>3151</v>
      </c>
      <c r="E273" s="381">
        <v>3268</v>
      </c>
      <c r="F273" s="381">
        <v>2841</v>
      </c>
      <c r="G273" s="380">
        <f>F273</f>
        <v>2841</v>
      </c>
      <c r="H273" s="381">
        <v>3346</v>
      </c>
      <c r="I273" s="381">
        <v>3483</v>
      </c>
      <c r="J273" s="381">
        <v>3659</v>
      </c>
      <c r="K273" s="381">
        <v>3299</v>
      </c>
      <c r="L273" s="380">
        <f>K273</f>
        <v>3299</v>
      </c>
      <c r="M273" s="381">
        <v>4072</v>
      </c>
      <c r="N273" s="381">
        <v>4280</v>
      </c>
      <c r="O273" s="170">
        <v>4414</v>
      </c>
      <c r="P273" s="170">
        <v>3976</v>
      </c>
      <c r="Q273" s="380">
        <f>+P273</f>
        <v>3976</v>
      </c>
      <c r="R273" s="381">
        <v>4072</v>
      </c>
      <c r="S273" s="381">
        <v>4280</v>
      </c>
      <c r="T273" s="170">
        <v>4414</v>
      </c>
      <c r="U273" s="170">
        <v>3976</v>
      </c>
      <c r="V273" s="380">
        <f>Q273</f>
        <v>3976</v>
      </c>
      <c r="W273" s="381">
        <f t="shared" ref="W273:Z273" si="409">W274*W180/360*4</f>
        <v>4409.5960406271161</v>
      </c>
      <c r="X273" s="381">
        <f t="shared" si="409"/>
        <v>4614.7015853887933</v>
      </c>
      <c r="Y273" s="381">
        <f t="shared" si="409"/>
        <v>5649.2504889157644</v>
      </c>
      <c r="Z273" s="381">
        <f t="shared" si="409"/>
        <v>5127.685798919244</v>
      </c>
      <c r="AA273" s="380">
        <f>+Z273</f>
        <v>5127.685798919244</v>
      </c>
      <c r="AB273" s="381"/>
      <c r="AC273" s="381"/>
      <c r="AD273" s="381"/>
      <c r="AE273" s="381"/>
      <c r="AF273" s="380">
        <f>AF274*AF180/360</f>
        <v>5931.7836469394169</v>
      </c>
      <c r="AG273" s="381"/>
      <c r="AH273" s="381"/>
      <c r="AI273" s="381"/>
      <c r="AJ273" s="381"/>
      <c r="AK273" s="380">
        <f>AK274*AK180/360</f>
        <v>6469.8291296525267</v>
      </c>
      <c r="AL273" s="381"/>
      <c r="AM273" s="381"/>
      <c r="AN273" s="381"/>
      <c r="AO273" s="381"/>
      <c r="AP273" s="380">
        <f>AP274*AP180/360</f>
        <v>6892.9943905714645</v>
      </c>
      <c r="AQ273" s="176"/>
      <c r="AR273" s="71"/>
      <c r="AS273" s="304"/>
      <c r="AT273" s="304"/>
      <c r="AU273" s="996"/>
      <c r="AV273" s="1017"/>
      <c r="AW273" s="1017"/>
      <c r="AX273" s="1017"/>
      <c r="AY273" s="1017"/>
      <c r="AZ273" s="1017"/>
      <c r="BA273" s="1017"/>
      <c r="BB273" s="304"/>
      <c r="BC273" s="71"/>
      <c r="BD273" s="33"/>
      <c r="BE273" s="33"/>
      <c r="BF273" s="33"/>
      <c r="BG273"/>
      <c r="BH273"/>
      <c r="BI273"/>
      <c r="BJ273"/>
      <c r="BK273"/>
      <c r="BL273"/>
    </row>
    <row r="274" spans="1:64" s="524" customFormat="1" ht="12.75" customHeight="1">
      <c r="A274" s="517" t="s">
        <v>42</v>
      </c>
      <c r="B274" s="518">
        <f>B273/B180*360</f>
        <v>42.126861003377954</v>
      </c>
      <c r="C274" s="519">
        <f>C273/C180*360/4</f>
        <v>47.30401208662078</v>
      </c>
      <c r="D274" s="519">
        <f>D273/D180*360/4</f>
        <v>48.098710990502035</v>
      </c>
      <c r="E274" s="519">
        <f>E273/E180*360/4</f>
        <v>49.192172604114397</v>
      </c>
      <c r="F274" s="519">
        <f>F273/F180*360/4</f>
        <v>44.905163329820866</v>
      </c>
      <c r="G274" s="518">
        <f>G273/G180*360</f>
        <v>43.473603672532512</v>
      </c>
      <c r="H274" s="519">
        <f>H273/H180*360/4</f>
        <v>50.560779046339825</v>
      </c>
      <c r="I274" s="519">
        <f>I273/I180*360/4</f>
        <v>52.245000000000005</v>
      </c>
      <c r="J274" s="519">
        <f>J273/J180*360/4</f>
        <v>53.502843216896828</v>
      </c>
      <c r="K274" s="519">
        <f>K273/K180*360/4</f>
        <v>46.413944036267004</v>
      </c>
      <c r="L274" s="518">
        <f>L273/L180*360</f>
        <v>48.459278602905172</v>
      </c>
      <c r="M274" s="519">
        <f>M273/M180*360/4</f>
        <v>58.477740545715648</v>
      </c>
      <c r="N274" s="843">
        <f>N273/N180*360/4</f>
        <v>60.423529411764704</v>
      </c>
      <c r="O274" s="843">
        <f>O273/O180*360/4</f>
        <v>60.864102956948059</v>
      </c>
      <c r="P274" s="843">
        <f>P273/P180*360/4</f>
        <v>53.940307506783242</v>
      </c>
      <c r="Q274" s="518">
        <f>Q273/Q180*360</f>
        <v>55.472619462853153</v>
      </c>
      <c r="R274" s="519">
        <f>R273/R180*360/4</f>
        <v>57.173166926677062</v>
      </c>
      <c r="S274" s="843">
        <f>S273/S180*360/4</f>
        <v>59.508728564807662</v>
      </c>
      <c r="T274" s="843">
        <f>T273/T180*360/4</f>
        <v>60.474958136702689</v>
      </c>
      <c r="U274" s="843">
        <f>U273/U180*360/4</f>
        <v>54.615384615384613</v>
      </c>
      <c r="V274" s="518">
        <f>V273/V180*360</f>
        <v>55.043839409321649</v>
      </c>
      <c r="W274" s="521">
        <f>R274+3</f>
        <v>60.173166926677062</v>
      </c>
      <c r="X274" s="521">
        <f t="shared" ref="X274:Z274" si="410">S274+3</f>
        <v>62.508728564807662</v>
      </c>
      <c r="Y274" s="521">
        <f t="shared" si="410"/>
        <v>63.474958136702689</v>
      </c>
      <c r="Z274" s="521">
        <f t="shared" si="410"/>
        <v>57.615384615384613</v>
      </c>
      <c r="AA274" s="518">
        <f>AA273/AA180*360</f>
        <v>63.08961424847606</v>
      </c>
      <c r="AB274" s="521"/>
      <c r="AC274" s="521"/>
      <c r="AD274" s="521"/>
      <c r="AE274" s="521"/>
      <c r="AF274" s="1099">
        <f>AA274</f>
        <v>63.08961424847606</v>
      </c>
      <c r="AG274" s="521"/>
      <c r="AH274" s="521"/>
      <c r="AI274" s="521"/>
      <c r="AJ274" s="521"/>
      <c r="AK274" s="520">
        <f>+AF274+1</f>
        <v>64.089614248476067</v>
      </c>
      <c r="AL274" s="521"/>
      <c r="AM274" s="521"/>
      <c r="AN274" s="521"/>
      <c r="AO274" s="521"/>
      <c r="AP274" s="520">
        <f>+AK274+0.5</f>
        <v>64.589614248476067</v>
      </c>
      <c r="AQ274" s="522"/>
      <c r="AR274" s="321"/>
      <c r="AS274" s="620"/>
      <c r="AT274" s="620"/>
      <c r="AU274" s="996"/>
      <c r="AV274" s="1017"/>
      <c r="AW274" s="1017"/>
      <c r="AX274" s="1017"/>
      <c r="AY274" s="1017"/>
      <c r="AZ274" s="1017"/>
      <c r="BA274" s="1017"/>
      <c r="BB274" s="620"/>
      <c r="BC274" s="321"/>
      <c r="BD274" s="523"/>
      <c r="BE274" s="523"/>
      <c r="BF274" s="523"/>
      <c r="BG274"/>
      <c r="BH274"/>
      <c r="BI274"/>
      <c r="BJ274"/>
      <c r="BK274"/>
      <c r="BL274"/>
    </row>
    <row r="275" spans="1:64" s="389" customFormat="1" ht="12.75" customHeight="1">
      <c r="A275" s="33" t="s">
        <v>153</v>
      </c>
      <c r="B275" s="380">
        <v>742</v>
      </c>
      <c r="C275" s="381">
        <v>818</v>
      </c>
      <c r="D275" s="381">
        <v>856</v>
      </c>
      <c r="E275" s="381">
        <v>856</v>
      </c>
      <c r="F275" s="381">
        <v>807</v>
      </c>
      <c r="G275" s="380">
        <f>F275</f>
        <v>807</v>
      </c>
      <c r="H275" s="381">
        <v>898</v>
      </c>
      <c r="I275" s="381">
        <v>973</v>
      </c>
      <c r="J275" s="381">
        <v>797</v>
      </c>
      <c r="K275" s="381">
        <v>816</v>
      </c>
      <c r="L275" s="380">
        <f>K275</f>
        <v>816</v>
      </c>
      <c r="M275" s="381">
        <v>933</v>
      </c>
      <c r="N275" s="381">
        <v>1039</v>
      </c>
      <c r="O275" s="170">
        <v>1007</v>
      </c>
      <c r="P275" s="170">
        <v>780</v>
      </c>
      <c r="Q275" s="297">
        <f>+P275</f>
        <v>780</v>
      </c>
      <c r="R275" s="381">
        <v>933</v>
      </c>
      <c r="S275" s="381">
        <v>1039</v>
      </c>
      <c r="T275" s="170">
        <v>1007</v>
      </c>
      <c r="U275" s="170">
        <v>780</v>
      </c>
      <c r="V275" s="297">
        <f>Q275</f>
        <v>780</v>
      </c>
      <c r="W275" s="381">
        <f t="shared" ref="W275:Z275" si="411">W276*W182*4</f>
        <v>843.7787809913666</v>
      </c>
      <c r="X275" s="381">
        <f t="shared" si="411"/>
        <v>937.18821949648634</v>
      </c>
      <c r="Y275" s="381">
        <f t="shared" si="411"/>
        <v>1084.7132634221382</v>
      </c>
      <c r="Z275" s="381">
        <f t="shared" si="411"/>
        <v>841.88887768381903</v>
      </c>
      <c r="AA275" s="297">
        <f>+Z275</f>
        <v>841.88887768381903</v>
      </c>
      <c r="AB275" s="381"/>
      <c r="AC275" s="381"/>
      <c r="AD275" s="381"/>
      <c r="AE275" s="381"/>
      <c r="AF275" s="380">
        <f>AF276*AF182</f>
        <v>858.33041484134162</v>
      </c>
      <c r="AG275" s="381"/>
      <c r="AH275" s="381"/>
      <c r="AI275" s="381"/>
      <c r="AJ275" s="381"/>
      <c r="AK275" s="380">
        <f>AK276*AK182</f>
        <v>927.82641192538665</v>
      </c>
      <c r="AL275" s="381"/>
      <c r="AM275" s="381"/>
      <c r="AN275" s="381"/>
      <c r="AO275" s="381"/>
      <c r="AP275" s="380">
        <f>AP276*AP182</f>
        <v>980.03412149688836</v>
      </c>
      <c r="AQ275" s="176"/>
      <c r="AR275" s="71"/>
      <c r="AS275" s="304"/>
      <c r="AT275" s="304"/>
      <c r="AU275" s="894"/>
      <c r="AV275" s="894"/>
      <c r="AW275" s="304"/>
      <c r="AX275" s="1018"/>
      <c r="AY275" s="1018"/>
      <c r="AZ275" s="1018"/>
      <c r="BA275" s="1018"/>
      <c r="BB275" s="304"/>
      <c r="BC275" s="71"/>
      <c r="BD275" s="33"/>
      <c r="BE275" s="33"/>
      <c r="BF275" s="33"/>
      <c r="BG275"/>
      <c r="BH275"/>
      <c r="BI275"/>
      <c r="BJ275"/>
      <c r="BK275"/>
      <c r="BL275"/>
    </row>
    <row r="276" spans="1:64" s="516" customFormat="1" ht="12.75" customHeight="1">
      <c r="A276" s="511" t="s">
        <v>43</v>
      </c>
      <c r="B276" s="512">
        <f>B275/B180</f>
        <v>3.0943742441302807E-2</v>
      </c>
      <c r="C276" s="513">
        <f>C275/C180/4</f>
        <v>3.4329360416316936E-2</v>
      </c>
      <c r="D276" s="513">
        <f>D275/D180/4</f>
        <v>3.6295793758480327E-2</v>
      </c>
      <c r="E276" s="513">
        <f>E275/E180/4</f>
        <v>3.5791938451246029E-2</v>
      </c>
      <c r="F276" s="513">
        <f>F275/F180/4</f>
        <v>3.543203371970495E-2</v>
      </c>
      <c r="G276" s="512">
        <f>G275/G180</f>
        <v>3.4302473858709513E-2</v>
      </c>
      <c r="H276" s="513">
        <f>H275/H180/4</f>
        <v>3.7693082605775689E-2</v>
      </c>
      <c r="I276" s="513">
        <f>I275/I180/4</f>
        <v>4.0541666666666663E-2</v>
      </c>
      <c r="J276" s="513">
        <f>J275/J180/4</f>
        <v>3.2372055239642566E-2</v>
      </c>
      <c r="K276" s="513">
        <f>K275/K180/4</f>
        <v>3.1889948413318742E-2</v>
      </c>
      <c r="L276" s="512">
        <f>L275/L180</f>
        <v>3.3295250530439038E-2</v>
      </c>
      <c r="M276" s="513">
        <f>M275/M180/4</f>
        <v>3.7218764959310674E-2</v>
      </c>
      <c r="N276" s="844">
        <f>N275/N180/4</f>
        <v>4.0745098039215687E-2</v>
      </c>
      <c r="O276" s="844">
        <f>O275/O180/4</f>
        <v>3.8570553087176343E-2</v>
      </c>
      <c r="P276" s="844">
        <f>P275/P180/4</f>
        <v>2.9394030750678323E-2</v>
      </c>
      <c r="Q276" s="512">
        <f>Q275/Q180</f>
        <v>3.0229043134519244E-2</v>
      </c>
      <c r="R276" s="513">
        <f>R275/R180/4</f>
        <v>3.638845553822153E-2</v>
      </c>
      <c r="S276" s="844">
        <f>S275/S180/4</f>
        <v>4.0128224934342656E-2</v>
      </c>
      <c r="T276" s="844">
        <f>T275/T180/4</f>
        <v>3.832394580605876E-2</v>
      </c>
      <c r="U276" s="844">
        <f>U275/U180/4</f>
        <v>2.976190476190476E-2</v>
      </c>
      <c r="V276" s="512">
        <f>V275/V180</f>
        <v>2.9995385325334564E-2</v>
      </c>
      <c r="W276" s="510">
        <f>R276</f>
        <v>3.638845553822153E-2</v>
      </c>
      <c r="X276" s="510">
        <f t="shared" ref="X276:Z276" si="412">S276</f>
        <v>4.0128224934342656E-2</v>
      </c>
      <c r="Y276" s="510">
        <f t="shared" si="412"/>
        <v>3.832394580605876E-2</v>
      </c>
      <c r="Z276" s="510">
        <f t="shared" si="412"/>
        <v>2.976190476190476E-2</v>
      </c>
      <c r="AA276" s="512">
        <f>AA275/AA180</f>
        <v>2.8773237965224789E-2</v>
      </c>
      <c r="AB276" s="510"/>
      <c r="AC276" s="510"/>
      <c r="AD276" s="510"/>
      <c r="AE276" s="510"/>
      <c r="AF276" s="514">
        <f>AA276</f>
        <v>2.8773237965224789E-2</v>
      </c>
      <c r="AG276" s="510"/>
      <c r="AH276" s="510"/>
      <c r="AI276" s="510"/>
      <c r="AJ276" s="510"/>
      <c r="AK276" s="514">
        <f>AF276</f>
        <v>2.8773237965224789E-2</v>
      </c>
      <c r="AL276" s="510"/>
      <c r="AM276" s="510"/>
      <c r="AN276" s="510"/>
      <c r="AO276" s="510"/>
      <c r="AP276" s="514">
        <f>AK276</f>
        <v>2.8773237965224789E-2</v>
      </c>
      <c r="AQ276" s="515"/>
      <c r="AR276" s="350"/>
      <c r="AS276" s="882"/>
      <c r="AT276" s="882"/>
      <c r="AU276" s="566"/>
      <c r="AV276" s="898"/>
      <c r="AW276" s="882"/>
      <c r="AX276" s="1018"/>
      <c r="AY276" s="1018"/>
      <c r="AZ276" s="1018"/>
      <c r="BA276" s="1018"/>
      <c r="BB276" s="882"/>
      <c r="BC276" s="350"/>
      <c r="BD276" s="40"/>
      <c r="BE276" s="40"/>
      <c r="BF276" s="40"/>
      <c r="BG276"/>
      <c r="BH276"/>
      <c r="BI276"/>
      <c r="BJ276"/>
      <c r="BK276"/>
      <c r="BL276"/>
    </row>
    <row r="277" spans="1:64" s="389" customFormat="1" ht="12.75" customHeight="1">
      <c r="A277" s="33" t="s">
        <v>138</v>
      </c>
      <c r="B277" s="380">
        <f>369+404</f>
        <v>773</v>
      </c>
      <c r="C277" s="381">
        <f>371+177</f>
        <v>548</v>
      </c>
      <c r="D277" s="381">
        <f>160+386</f>
        <v>546</v>
      </c>
      <c r="E277" s="381">
        <f>199+336</f>
        <v>535</v>
      </c>
      <c r="F277" s="381">
        <v>367</v>
      </c>
      <c r="G277" s="380">
        <f>F277</f>
        <v>367</v>
      </c>
      <c r="H277" s="381">
        <v>185</v>
      </c>
      <c r="I277" s="381">
        <v>186</v>
      </c>
      <c r="J277" s="381">
        <v>212</v>
      </c>
      <c r="K277" s="381">
        <v>200</v>
      </c>
      <c r="L277" s="380">
        <f>K277</f>
        <v>200</v>
      </c>
      <c r="M277" s="381">
        <v>160</v>
      </c>
      <c r="N277" s="381">
        <v>162</v>
      </c>
      <c r="O277" s="170">
        <v>300</v>
      </c>
      <c r="P277" s="170">
        <v>368</v>
      </c>
      <c r="Q277" s="297">
        <f>+P277</f>
        <v>368</v>
      </c>
      <c r="R277" s="381">
        <v>160</v>
      </c>
      <c r="S277" s="381">
        <v>162</v>
      </c>
      <c r="T277" s="170">
        <v>300</v>
      </c>
      <c r="U277" s="170">
        <v>368</v>
      </c>
      <c r="V277" s="297">
        <f>Q277</f>
        <v>368</v>
      </c>
      <c r="W277" s="381">
        <f t="shared" ref="W277:Z277" si="413">W278*W180*4</f>
        <v>164.62674803616829</v>
      </c>
      <c r="X277" s="381">
        <f t="shared" si="413"/>
        <v>166.28568879604916</v>
      </c>
      <c r="Y277" s="381">
        <f t="shared" si="413"/>
        <v>365.80775745017144</v>
      </c>
      <c r="Z277" s="381">
        <f t="shared" si="413"/>
        <v>449.88278991090073</v>
      </c>
      <c r="AA277" s="297">
        <f>+Z277</f>
        <v>449.88278991090073</v>
      </c>
      <c r="AB277" s="381"/>
      <c r="AC277" s="381"/>
      <c r="AD277" s="381"/>
      <c r="AE277" s="381"/>
      <c r="AF277" s="380">
        <f>AF278*AF180</f>
        <v>520.431142016428</v>
      </c>
      <c r="AG277" s="381"/>
      <c r="AH277" s="381"/>
      <c r="AI277" s="381"/>
      <c r="AJ277" s="381"/>
      <c r="AK277" s="380">
        <f>AK278*AK180</f>
        <v>558.78018781880758</v>
      </c>
      <c r="AL277" s="381"/>
      <c r="AM277" s="381"/>
      <c r="AN277" s="381"/>
      <c r="AO277" s="381"/>
      <c r="AP277" s="380">
        <f>AP278*AP180</f>
        <v>590.71919099635397</v>
      </c>
      <c r="AQ277" s="176"/>
      <c r="AR277" s="71"/>
      <c r="AS277" s="304"/>
      <c r="AT277" s="304"/>
      <c r="AU277" s="894"/>
      <c r="AV277" s="894"/>
      <c r="AW277" s="304"/>
      <c r="AX277" s="304"/>
      <c r="AY277" s="304"/>
      <c r="AZ277" s="304"/>
      <c r="BA277" s="304"/>
      <c r="BB277" s="304"/>
      <c r="BC277" s="71"/>
      <c r="BD277" s="33"/>
      <c r="BE277" s="33"/>
      <c r="BF277" s="33"/>
      <c r="BG277"/>
      <c r="BH277"/>
      <c r="BI277"/>
      <c r="BJ277"/>
      <c r="BK277"/>
      <c r="BL277"/>
    </row>
    <row r="278" spans="1:64" s="516" customFormat="1" ht="12.75" customHeight="1">
      <c r="A278" s="511" t="s">
        <v>43</v>
      </c>
      <c r="B278" s="512">
        <f>B277/B180/4</f>
        <v>8.0591350765252933E-3</v>
      </c>
      <c r="C278" s="513">
        <f>C277/C180/4</f>
        <v>2.2998153432936042E-2</v>
      </c>
      <c r="D278" s="513">
        <f>D277/D180/4</f>
        <v>2.3151289009497963E-2</v>
      </c>
      <c r="E278" s="513">
        <f>E277/E180/4</f>
        <v>2.2369961532028769E-2</v>
      </c>
      <c r="F278" s="513">
        <f>F277/F180/4</f>
        <v>1.6113452757288375E-2</v>
      </c>
      <c r="G278" s="512">
        <f>G277/G180</f>
        <v>1.5599761965484996E-2</v>
      </c>
      <c r="H278" s="513">
        <f>H277/H180/4</f>
        <v>7.7652787105439896E-3</v>
      </c>
      <c r="I278" s="513">
        <f>I277/I180/4</f>
        <v>7.7499999999999999E-3</v>
      </c>
      <c r="J278" s="513">
        <f>J277/J180/4</f>
        <v>8.6108854589764423E-3</v>
      </c>
      <c r="K278" s="513">
        <f>K277/K180/4</f>
        <v>7.8161638267938097E-3</v>
      </c>
      <c r="L278" s="512">
        <f>L277/L180</f>
        <v>8.1606006202056477E-3</v>
      </c>
      <c r="M278" s="513">
        <f>M277/M180/4</f>
        <v>6.382639221318015E-3</v>
      </c>
      <c r="N278" s="844">
        <f>N277/N180/4</f>
        <v>6.3529411764705881E-3</v>
      </c>
      <c r="O278" s="844">
        <f>O277/O180/4</f>
        <v>1.1490730810479546E-2</v>
      </c>
      <c r="P278" s="844">
        <f>P277/P180/4</f>
        <v>1.3867952969550798E-2</v>
      </c>
      <c r="Q278" s="512">
        <f>Q277/Q180</f>
        <v>1.4261907530132156E-2</v>
      </c>
      <c r="R278" s="513">
        <f>R277/R180/4</f>
        <v>6.2402496099843996E-3</v>
      </c>
      <c r="S278" s="844">
        <f>S277/S180/4</f>
        <v>6.2567588444307123E-3</v>
      </c>
      <c r="T278" s="844">
        <f>T277/T180/4</f>
        <v>1.1417262901507078E-2</v>
      </c>
      <c r="U278" s="844">
        <f>U277/U180/4</f>
        <v>1.4041514041514042E-2</v>
      </c>
      <c r="V278" s="512">
        <f>V277/V180</f>
        <v>1.4151668974004E-2</v>
      </c>
      <c r="W278" s="510">
        <f>R278</f>
        <v>6.2402496099843996E-3</v>
      </c>
      <c r="X278" s="510">
        <f t="shared" ref="X278:Z278" si="414">S278</f>
        <v>6.2567588444307123E-3</v>
      </c>
      <c r="Y278" s="510">
        <f t="shared" si="414"/>
        <v>1.1417262901507078E-2</v>
      </c>
      <c r="Z278" s="510">
        <f t="shared" si="414"/>
        <v>1.4041514041514042E-2</v>
      </c>
      <c r="AA278" s="512">
        <f>AA277/AA180</f>
        <v>1.5375645068715426E-2</v>
      </c>
      <c r="AB278" s="510"/>
      <c r="AC278" s="510"/>
      <c r="AD278" s="510"/>
      <c r="AE278" s="510"/>
      <c r="AF278" s="514">
        <f>AA278</f>
        <v>1.5375645068715426E-2</v>
      </c>
      <c r="AG278" s="510"/>
      <c r="AH278" s="510"/>
      <c r="AI278" s="510"/>
      <c r="AJ278" s="510"/>
      <c r="AK278" s="514">
        <f>AF278</f>
        <v>1.5375645068715426E-2</v>
      </c>
      <c r="AL278" s="510"/>
      <c r="AM278" s="510"/>
      <c r="AN278" s="510"/>
      <c r="AO278" s="510"/>
      <c r="AP278" s="514">
        <f>AK278</f>
        <v>1.5375645068715426E-2</v>
      </c>
      <c r="AQ278" s="515"/>
      <c r="AR278" s="350"/>
      <c r="AS278" s="882"/>
      <c r="AT278" s="882"/>
      <c r="AU278" s="898"/>
      <c r="AV278" s="898"/>
      <c r="AW278" s="882"/>
      <c r="AX278" s="882"/>
      <c r="AY278" s="882"/>
      <c r="AZ278" s="882"/>
      <c r="BA278" s="882"/>
      <c r="BB278" s="882"/>
      <c r="BC278" s="350"/>
      <c r="BD278" s="40"/>
      <c r="BE278" s="40"/>
      <c r="BF278" s="40"/>
      <c r="BG278"/>
      <c r="BH278"/>
      <c r="BI278"/>
      <c r="BJ278"/>
      <c r="BK278"/>
      <c r="BL278"/>
    </row>
    <row r="279" spans="1:64" s="389" customFormat="1" ht="12.75" customHeight="1">
      <c r="A279" s="115" t="s">
        <v>154</v>
      </c>
      <c r="B279" s="427">
        <f>B272+B273+B275+B277</f>
        <v>8184</v>
      </c>
      <c r="C279" s="428">
        <f>C272+C273+C275+C277</f>
        <v>7143</v>
      </c>
      <c r="D279" s="428">
        <f t="shared" ref="D279:AP279" si="415">D272+D273+D275+D277</f>
        <v>6460</v>
      </c>
      <c r="E279" s="428">
        <f t="shared" si="415"/>
        <v>5951</v>
      </c>
      <c r="F279" s="428">
        <f t="shared" si="415"/>
        <v>6334</v>
      </c>
      <c r="G279" s="427">
        <f t="shared" si="415"/>
        <v>6334</v>
      </c>
      <c r="H279" s="428">
        <f t="shared" si="415"/>
        <v>5706</v>
      </c>
      <c r="I279" s="428">
        <f t="shared" si="415"/>
        <v>5781</v>
      </c>
      <c r="J279" s="428">
        <f t="shared" si="415"/>
        <v>5771</v>
      </c>
      <c r="K279" s="428">
        <f t="shared" si="415"/>
        <v>6856</v>
      </c>
      <c r="L279" s="427">
        <f t="shared" si="415"/>
        <v>6856</v>
      </c>
      <c r="M279" s="428">
        <f t="shared" si="415"/>
        <v>6568</v>
      </c>
      <c r="N279" s="428">
        <f t="shared" si="415"/>
        <v>6864</v>
      </c>
      <c r="O279" s="428">
        <f t="shared" si="415"/>
        <v>7599</v>
      </c>
      <c r="P279" s="428">
        <f t="shared" si="415"/>
        <v>16349</v>
      </c>
      <c r="Q279" s="427">
        <f t="shared" si="415"/>
        <v>16349</v>
      </c>
      <c r="R279" s="428">
        <f t="shared" ref="R279:U279" si="416">R272+R273+R275+R277</f>
        <v>6568</v>
      </c>
      <c r="S279" s="428">
        <f t="shared" si="416"/>
        <v>6864</v>
      </c>
      <c r="T279" s="428">
        <f t="shared" si="416"/>
        <v>7599</v>
      </c>
      <c r="U279" s="428">
        <f t="shared" si="416"/>
        <v>16349</v>
      </c>
      <c r="V279" s="427">
        <f t="shared" ref="V279" si="417">V272+V273+V275+V277</f>
        <v>16349</v>
      </c>
      <c r="W279" s="428">
        <f t="shared" ref="W279:Z279" si="418">W272+W273+W275+W277</f>
        <v>15799.062630100516</v>
      </c>
      <c r="X279" s="428">
        <f t="shared" si="418"/>
        <v>15483.804791804769</v>
      </c>
      <c r="Y279" s="428">
        <f t="shared" si="418"/>
        <v>7915.0461523850518</v>
      </c>
      <c r="Z279" s="428">
        <f t="shared" si="418"/>
        <v>9346.0503080950602</v>
      </c>
      <c r="AA279" s="427">
        <f t="shared" si="415"/>
        <v>9346.0503080950602</v>
      </c>
      <c r="AB279" s="428"/>
      <c r="AC279" s="428"/>
      <c r="AD279" s="428"/>
      <c r="AE279" s="428"/>
      <c r="AF279" s="427">
        <f t="shared" si="415"/>
        <v>10694.056797926512</v>
      </c>
      <c r="AG279" s="428"/>
      <c r="AH279" s="428"/>
      <c r="AI279" s="428"/>
      <c r="AJ279" s="428"/>
      <c r="AK279" s="427">
        <f t="shared" si="415"/>
        <v>10989.654356271725</v>
      </c>
      <c r="AL279" s="428"/>
      <c r="AM279" s="428"/>
      <c r="AN279" s="428"/>
      <c r="AO279" s="428"/>
      <c r="AP279" s="427">
        <f t="shared" si="415"/>
        <v>11104.906550249783</v>
      </c>
      <c r="AQ279" s="388"/>
      <c r="AR279" s="71"/>
      <c r="AS279" s="304"/>
      <c r="AT279" s="304"/>
      <c r="AU279" s="894"/>
      <c r="AV279" s="894"/>
      <c r="AW279" s="304"/>
      <c r="AX279" s="304"/>
      <c r="AY279" s="304"/>
      <c r="AZ279" s="304"/>
      <c r="BA279" s="304"/>
      <c r="BB279" s="304"/>
      <c r="BC279" s="71"/>
      <c r="BD279" s="33"/>
      <c r="BE279" s="33"/>
      <c r="BF279" s="33"/>
      <c r="BG279"/>
      <c r="BH279"/>
      <c r="BI279"/>
      <c r="BJ279"/>
      <c r="BK279"/>
      <c r="BL279"/>
    </row>
    <row r="280" spans="1:64" s="389" customFormat="1" ht="12.75" customHeight="1">
      <c r="A280" s="33" t="s">
        <v>155</v>
      </c>
      <c r="B280" s="380">
        <v>2991</v>
      </c>
      <c r="C280" s="381">
        <v>2989</v>
      </c>
      <c r="D280" s="381">
        <v>3005</v>
      </c>
      <c r="E280" s="381">
        <v>3005</v>
      </c>
      <c r="F280" s="298">
        <v>3064</v>
      </c>
      <c r="G280" s="380">
        <f>F280</f>
        <v>3064</v>
      </c>
      <c r="H280" s="381">
        <v>3230</v>
      </c>
      <c r="I280" s="381">
        <v>3299</v>
      </c>
      <c r="J280" s="381">
        <v>3334</v>
      </c>
      <c r="K280" s="381">
        <v>3588</v>
      </c>
      <c r="L280" s="380">
        <f>K280</f>
        <v>3588</v>
      </c>
      <c r="M280" s="381">
        <v>3656</v>
      </c>
      <c r="N280" s="381">
        <v>3802</v>
      </c>
      <c r="O280" s="381">
        <v>3925</v>
      </c>
      <c r="P280" s="381">
        <v>4225</v>
      </c>
      <c r="Q280" s="380">
        <f>+P280</f>
        <v>4225</v>
      </c>
      <c r="R280" s="381">
        <v>3656</v>
      </c>
      <c r="S280" s="381">
        <v>3802</v>
      </c>
      <c r="T280" s="381">
        <v>3925</v>
      </c>
      <c r="U280" s="381">
        <v>4225</v>
      </c>
      <c r="V280" s="380">
        <f>Q280</f>
        <v>4225</v>
      </c>
      <c r="W280" s="381">
        <f>+Q280-W251-W244-W256</f>
        <v>4362.68</v>
      </c>
      <c r="X280" s="381">
        <f t="shared" ref="X280:Z280" si="419">+W280-X251-X244-X256</f>
        <v>4497.12</v>
      </c>
      <c r="Y280" s="381">
        <f t="shared" si="419"/>
        <v>4593.24</v>
      </c>
      <c r="Z280" s="381">
        <f t="shared" si="419"/>
        <v>4614</v>
      </c>
      <c r="AA280" s="380">
        <f>+Z280</f>
        <v>4614</v>
      </c>
      <c r="AB280" s="381"/>
      <c r="AC280" s="381"/>
      <c r="AD280" s="381"/>
      <c r="AE280" s="381"/>
      <c r="AF280" s="380">
        <f>+AA280-AF251-AF244-AF256</f>
        <v>4914</v>
      </c>
      <c r="AG280" s="381"/>
      <c r="AH280" s="381"/>
      <c r="AI280" s="381"/>
      <c r="AJ280" s="381"/>
      <c r="AK280" s="380">
        <f>+AF280-AK251-AK244-AK256</f>
        <v>5186</v>
      </c>
      <c r="AL280" s="381"/>
      <c r="AM280" s="381"/>
      <c r="AN280" s="381"/>
      <c r="AO280" s="381"/>
      <c r="AP280" s="380">
        <f>+AK280-AP251-AP244-AP256</f>
        <v>5429</v>
      </c>
      <c r="AQ280" s="176"/>
      <c r="AR280" s="71"/>
      <c r="AS280" s="304"/>
      <c r="AT280" s="304"/>
      <c r="AU280" s="894"/>
      <c r="AV280" s="894"/>
      <c r="AW280" s="304"/>
      <c r="AX280" s="304"/>
      <c r="AY280" s="304"/>
      <c r="AZ280" s="304"/>
      <c r="BA280" s="304"/>
      <c r="BB280" s="304"/>
      <c r="BC280" s="71"/>
      <c r="BD280" s="33"/>
      <c r="BE280" s="33"/>
      <c r="BF280" s="33"/>
      <c r="BG280"/>
      <c r="BH280"/>
      <c r="BI280"/>
      <c r="BJ280"/>
      <c r="BK280"/>
      <c r="BL280"/>
    </row>
    <row r="281" spans="1:64" s="389" customFormat="1" ht="12.75" customHeight="1">
      <c r="A281" s="33" t="s">
        <v>156</v>
      </c>
      <c r="B281" s="380">
        <v>12466</v>
      </c>
      <c r="C281" s="298">
        <v>12464</v>
      </c>
      <c r="D281" s="298">
        <v>12464</v>
      </c>
      <c r="E281" s="298">
        <v>12458</v>
      </c>
      <c r="F281" s="298">
        <v>12460</v>
      </c>
      <c r="G281" s="380">
        <f>F281</f>
        <v>12460</v>
      </c>
      <c r="H281" s="381">
        <v>12462</v>
      </c>
      <c r="I281" s="381">
        <v>12463</v>
      </c>
      <c r="J281" s="381">
        <v>12464</v>
      </c>
      <c r="K281" s="381">
        <v>12450</v>
      </c>
      <c r="L281" s="380">
        <f>K281</f>
        <v>12450</v>
      </c>
      <c r="M281" s="381">
        <v>12454</v>
      </c>
      <c r="N281" s="298">
        <v>12453</v>
      </c>
      <c r="O281" s="298">
        <v>12456</v>
      </c>
      <c r="P281" s="298">
        <v>12455</v>
      </c>
      <c r="Q281" s="380">
        <f>+P281</f>
        <v>12455</v>
      </c>
      <c r="R281" s="381">
        <v>12454</v>
      </c>
      <c r="S281" s="298">
        <v>12453</v>
      </c>
      <c r="T281" s="298">
        <v>12456</v>
      </c>
      <c r="U281" s="298">
        <v>12455</v>
      </c>
      <c r="V281" s="380">
        <f>Q281</f>
        <v>12455</v>
      </c>
      <c r="W281" s="624">
        <f>U281</f>
        <v>12455</v>
      </c>
      <c r="X281" s="624">
        <f>W281</f>
        <v>12455</v>
      </c>
      <c r="Y281" s="624">
        <f>X281</f>
        <v>12455</v>
      </c>
      <c r="Z281" s="624">
        <f>Y281</f>
        <v>12455</v>
      </c>
      <c r="AA281" s="380">
        <f>+Z281</f>
        <v>12455</v>
      </c>
      <c r="AB281" s="624"/>
      <c r="AC281" s="624"/>
      <c r="AD281" s="624"/>
      <c r="AE281" s="624"/>
      <c r="AF281" s="813">
        <f>AA281</f>
        <v>12455</v>
      </c>
      <c r="AG281" s="624"/>
      <c r="AH281" s="624"/>
      <c r="AI281" s="624"/>
      <c r="AJ281" s="624"/>
      <c r="AK281" s="813">
        <f>AF281</f>
        <v>12455</v>
      </c>
      <c r="AL281" s="624"/>
      <c r="AM281" s="624"/>
      <c r="AN281" s="624"/>
      <c r="AO281" s="624"/>
      <c r="AP281" s="813">
        <f>AK281</f>
        <v>12455</v>
      </c>
      <c r="AQ281" s="176"/>
      <c r="AR281" s="71"/>
      <c r="AS281" s="304"/>
      <c r="AT281" s="304"/>
      <c r="AU281" s="894"/>
      <c r="AV281" s="894"/>
      <c r="AW281" s="304"/>
      <c r="AX281" s="304"/>
      <c r="AY281" s="304"/>
      <c r="AZ281" s="304"/>
      <c r="BA281" s="304"/>
      <c r="BB281" s="304"/>
      <c r="BC281" s="71"/>
      <c r="BD281" s="33"/>
      <c r="BE281" s="33"/>
      <c r="BF281" s="33"/>
      <c r="BG281"/>
      <c r="BH281"/>
      <c r="BI281"/>
      <c r="BJ281"/>
      <c r="BK281"/>
      <c r="BL281"/>
    </row>
    <row r="282" spans="1:64" s="389" customFormat="1" ht="12.75" customHeight="1">
      <c r="A282" s="33" t="s">
        <v>157</v>
      </c>
      <c r="B282" s="380">
        <v>1622</v>
      </c>
      <c r="C282" s="381">
        <v>1393</v>
      </c>
      <c r="D282" s="381">
        <v>1383</v>
      </c>
      <c r="E282" s="298">
        <v>1352</v>
      </c>
      <c r="F282" s="298">
        <v>1409</v>
      </c>
      <c r="G282" s="380">
        <f>F282</f>
        <v>1409</v>
      </c>
      <c r="H282" s="381">
        <v>1383</v>
      </c>
      <c r="I282" s="381">
        <v>1375</v>
      </c>
      <c r="J282" s="381">
        <v>1239</v>
      </c>
      <c r="K282" s="381">
        <v>1462</v>
      </c>
      <c r="L282" s="380">
        <f>K282</f>
        <v>1462</v>
      </c>
      <c r="M282" s="381">
        <v>1416</v>
      </c>
      <c r="N282" s="298">
        <v>1385</v>
      </c>
      <c r="O282" s="298">
        <v>1200</v>
      </c>
      <c r="P282" s="298">
        <v>475</v>
      </c>
      <c r="Q282" s="380">
        <f>+P282</f>
        <v>475</v>
      </c>
      <c r="R282" s="381">
        <v>1416</v>
      </c>
      <c r="S282" s="298">
        <v>1385</v>
      </c>
      <c r="T282" s="298">
        <v>1200</v>
      </c>
      <c r="U282" s="298">
        <v>475</v>
      </c>
      <c r="V282" s="380">
        <f>Q282</f>
        <v>475</v>
      </c>
      <c r="W282" s="381">
        <v>428.09536469537534</v>
      </c>
      <c r="X282" s="381">
        <v>381.19072939075068</v>
      </c>
      <c r="Y282" s="381">
        <v>334.28609408612601</v>
      </c>
      <c r="Z282" s="381">
        <v>287.38145878150135</v>
      </c>
      <c r="AA282" s="380">
        <f>+Z282</f>
        <v>287.38145878150135</v>
      </c>
      <c r="AB282" s="624"/>
      <c r="AC282" s="624"/>
      <c r="AD282" s="624"/>
      <c r="AE282" s="624"/>
      <c r="AF282" s="297">
        <v>133.88860292690049</v>
      </c>
      <c r="AG282" s="624"/>
      <c r="AH282" s="624"/>
      <c r="AI282" s="624"/>
      <c r="AJ282" s="624"/>
      <c r="AK282" s="297">
        <v>-53.38228824488391</v>
      </c>
      <c r="AL282" s="624"/>
      <c r="AM282" s="624"/>
      <c r="AN282" s="624"/>
      <c r="AO282" s="624"/>
      <c r="AP282" s="297">
        <v>-276.67664431706487</v>
      </c>
      <c r="AQ282" s="176"/>
      <c r="AR282" s="71"/>
      <c r="AS282" s="304"/>
      <c r="AT282" s="304"/>
      <c r="AU282" s="894"/>
      <c r="AV282" s="894"/>
      <c r="AW282" s="304"/>
      <c r="AX282" s="304"/>
      <c r="AY282" s="304"/>
      <c r="AZ282" s="304"/>
      <c r="BA282" s="304"/>
      <c r="BB282" s="304"/>
      <c r="BC282" s="71"/>
      <c r="BD282" s="33"/>
      <c r="BE282" s="33"/>
      <c r="BF282" s="33"/>
      <c r="BG282"/>
      <c r="BH282"/>
      <c r="BI282"/>
      <c r="BJ282"/>
      <c r="BK282"/>
      <c r="BL282"/>
    </row>
    <row r="283" spans="1:64" s="389" customFormat="1" ht="12.75" customHeight="1">
      <c r="A283" s="33" t="s">
        <v>44</v>
      </c>
      <c r="B283" s="380">
        <v>1309</v>
      </c>
      <c r="C283" s="298">
        <v>1277</v>
      </c>
      <c r="D283" s="298">
        <v>1240</v>
      </c>
      <c r="E283" s="298">
        <v>1200</v>
      </c>
      <c r="F283" s="298">
        <v>1157</v>
      </c>
      <c r="G283" s="380">
        <f>F283</f>
        <v>1157</v>
      </c>
      <c r="H283" s="381">
        <v>1152</v>
      </c>
      <c r="I283" s="381">
        <v>1163</v>
      </c>
      <c r="J283" s="381">
        <v>1292</v>
      </c>
      <c r="K283" s="381">
        <v>1258</v>
      </c>
      <c r="L283" s="380">
        <f>K283</f>
        <v>1258</v>
      </c>
      <c r="M283" s="381">
        <v>1319</v>
      </c>
      <c r="N283" s="298">
        <v>1309</v>
      </c>
      <c r="O283" s="615">
        <v>1333</v>
      </c>
      <c r="P283" s="615">
        <v>1413</v>
      </c>
      <c r="Q283" s="380">
        <f>+P283</f>
        <v>1413</v>
      </c>
      <c r="R283" s="381">
        <v>1319</v>
      </c>
      <c r="S283" s="298">
        <v>1309</v>
      </c>
      <c r="T283" s="615">
        <v>1333</v>
      </c>
      <c r="U283" s="615">
        <v>1413</v>
      </c>
      <c r="V283" s="380">
        <f>Q283</f>
        <v>1413</v>
      </c>
      <c r="W283" s="624">
        <f>U283</f>
        <v>1413</v>
      </c>
      <c r="X283" s="624">
        <f>W283</f>
        <v>1413</v>
      </c>
      <c r="Y283" s="624">
        <f>X283</f>
        <v>1413</v>
      </c>
      <c r="Z283" s="624">
        <f>Y283</f>
        <v>1413</v>
      </c>
      <c r="AA283" s="380">
        <f>+Z283</f>
        <v>1413</v>
      </c>
      <c r="AB283" s="624"/>
      <c r="AC283" s="624"/>
      <c r="AD283" s="624"/>
      <c r="AE283" s="624"/>
      <c r="AF283" s="813">
        <f>AA283</f>
        <v>1413</v>
      </c>
      <c r="AG283" s="624"/>
      <c r="AH283" s="624"/>
      <c r="AI283" s="624"/>
      <c r="AJ283" s="624"/>
      <c r="AK283" s="813">
        <f>AF283</f>
        <v>1413</v>
      </c>
      <c r="AL283" s="624"/>
      <c r="AM283" s="624"/>
      <c r="AN283" s="624"/>
      <c r="AO283" s="624"/>
      <c r="AP283" s="813">
        <f>AK283</f>
        <v>1413</v>
      </c>
      <c r="AQ283" s="176"/>
      <c r="AR283" s="71"/>
      <c r="AS283" s="304"/>
      <c r="AT283" s="304"/>
      <c r="AU283" s="894"/>
      <c r="AV283" s="894"/>
      <c r="AW283" s="304"/>
      <c r="AX283" s="304"/>
      <c r="AY283" s="304"/>
      <c r="AZ283" s="304"/>
      <c r="BA283" s="304"/>
      <c r="BB283" s="304"/>
      <c r="BC283" s="71"/>
      <c r="BD283" s="33"/>
      <c r="BE283" s="33"/>
      <c r="BF283" s="33"/>
      <c r="BG283"/>
      <c r="BH283"/>
      <c r="BI283"/>
      <c r="BJ283"/>
      <c r="BK283"/>
      <c r="BL283"/>
    </row>
    <row r="284" spans="1:64" s="389" customFormat="1" ht="12.75" customHeight="1">
      <c r="A284" s="115" t="s">
        <v>158</v>
      </c>
      <c r="B284" s="427">
        <f t="shared" ref="B284:L284" si="420">B279+B280+B282+B281+B283</f>
        <v>26572</v>
      </c>
      <c r="C284" s="428">
        <f t="shared" si="420"/>
        <v>25266</v>
      </c>
      <c r="D284" s="428">
        <f t="shared" si="420"/>
        <v>24552</v>
      </c>
      <c r="E284" s="428">
        <f t="shared" si="420"/>
        <v>23966</v>
      </c>
      <c r="F284" s="428">
        <f t="shared" si="420"/>
        <v>24424</v>
      </c>
      <c r="G284" s="427">
        <f t="shared" si="420"/>
        <v>24424</v>
      </c>
      <c r="H284" s="428">
        <f t="shared" si="420"/>
        <v>23933</v>
      </c>
      <c r="I284" s="428">
        <f t="shared" si="420"/>
        <v>24081</v>
      </c>
      <c r="J284" s="428">
        <f t="shared" si="420"/>
        <v>24100</v>
      </c>
      <c r="K284" s="428">
        <f t="shared" si="420"/>
        <v>25614</v>
      </c>
      <c r="L284" s="427">
        <f t="shared" si="420"/>
        <v>25614</v>
      </c>
      <c r="M284" s="428">
        <f t="shared" ref="M284:V284" si="421">M279+M280+M282+M281+M283</f>
        <v>25413</v>
      </c>
      <c r="N284" s="428">
        <f t="shared" si="421"/>
        <v>25813</v>
      </c>
      <c r="O284" s="428">
        <f t="shared" si="421"/>
        <v>26513</v>
      </c>
      <c r="P284" s="428">
        <f t="shared" si="421"/>
        <v>34917</v>
      </c>
      <c r="Q284" s="427">
        <f t="shared" si="421"/>
        <v>34917</v>
      </c>
      <c r="R284" s="428">
        <f t="shared" si="421"/>
        <v>25413</v>
      </c>
      <c r="S284" s="428">
        <f t="shared" si="421"/>
        <v>25813</v>
      </c>
      <c r="T284" s="428">
        <f t="shared" si="421"/>
        <v>26513</v>
      </c>
      <c r="U284" s="428">
        <f t="shared" si="421"/>
        <v>34917</v>
      </c>
      <c r="V284" s="427">
        <f t="shared" si="421"/>
        <v>34917</v>
      </c>
      <c r="W284" s="428">
        <f t="shared" ref="W284:Z284" si="422">W279+W280+W282+W281+W283</f>
        <v>34457.837994795889</v>
      </c>
      <c r="X284" s="428">
        <f t="shared" si="422"/>
        <v>34230.115521195519</v>
      </c>
      <c r="Y284" s="428">
        <f t="shared" si="422"/>
        <v>26710.57224647118</v>
      </c>
      <c r="Z284" s="428">
        <f t="shared" si="422"/>
        <v>28115.431766876562</v>
      </c>
      <c r="AA284" s="427">
        <f>AA279+AA280+AA282+AA281+AA283</f>
        <v>28115.431766876562</v>
      </c>
      <c r="AB284" s="428"/>
      <c r="AC284" s="428"/>
      <c r="AD284" s="428"/>
      <c r="AE284" s="428"/>
      <c r="AF284" s="427">
        <f>AF279+AF280+AF282+AF281+AF283</f>
        <v>29609.945400853412</v>
      </c>
      <c r="AG284" s="428"/>
      <c r="AH284" s="428"/>
      <c r="AI284" s="428"/>
      <c r="AJ284" s="428"/>
      <c r="AK284" s="427">
        <f>AK279+AK280+AK282+AK281+AK283</f>
        <v>29990.272068026839</v>
      </c>
      <c r="AL284" s="428"/>
      <c r="AM284" s="428"/>
      <c r="AN284" s="428"/>
      <c r="AO284" s="428"/>
      <c r="AP284" s="427">
        <f>AP279+AP280+AP282+AP281+AP283</f>
        <v>30125.22990593272</v>
      </c>
      <c r="AQ284" s="388"/>
      <c r="AR284" s="71"/>
      <c r="AS284" s="304"/>
      <c r="AT284" s="304"/>
      <c r="AU284" s="894"/>
      <c r="AV284" s="894"/>
      <c r="AW284" s="304"/>
      <c r="AX284" s="304"/>
      <c r="AY284" s="304"/>
      <c r="AZ284" s="304"/>
      <c r="BA284" s="304"/>
      <c r="BB284" s="304"/>
      <c r="BC284" s="71"/>
      <c r="BD284" s="33"/>
      <c r="BE284" s="33"/>
      <c r="BF284" s="33"/>
      <c r="BG284"/>
      <c r="BH284"/>
      <c r="BI284"/>
      <c r="BJ284"/>
      <c r="BK284"/>
      <c r="BL284"/>
    </row>
    <row r="285" spans="1:64" s="247" customFormat="1">
      <c r="A285" s="417" t="s">
        <v>45</v>
      </c>
      <c r="B285" s="293"/>
      <c r="C285" s="246"/>
      <c r="D285" s="246"/>
      <c r="E285" s="246"/>
      <c r="F285" s="295"/>
      <c r="G285" s="293"/>
      <c r="H285" s="246"/>
      <c r="I285" s="246"/>
      <c r="J285" s="246"/>
      <c r="K285" s="295"/>
      <c r="L285" s="293"/>
      <c r="M285" s="246"/>
      <c r="N285" s="246"/>
      <c r="O285" s="246"/>
      <c r="P285" s="295"/>
      <c r="Q285" s="293"/>
      <c r="R285" s="246"/>
      <c r="S285" s="246"/>
      <c r="T285" s="246"/>
      <c r="U285" s="295"/>
      <c r="V285" s="293"/>
      <c r="W285" s="246"/>
      <c r="X285" s="246"/>
      <c r="Y285" s="246"/>
      <c r="Z285" s="246"/>
      <c r="AA285" s="293"/>
      <c r="AB285" s="246"/>
      <c r="AC285" s="246"/>
      <c r="AD285" s="246"/>
      <c r="AE285" s="246"/>
      <c r="AF285" s="293"/>
      <c r="AG285" s="246"/>
      <c r="AH285" s="246"/>
      <c r="AI285" s="246"/>
      <c r="AJ285" s="246"/>
      <c r="AK285" s="293"/>
      <c r="AL285" s="246"/>
      <c r="AM285" s="246"/>
      <c r="AN285" s="246"/>
      <c r="AO285" s="246"/>
      <c r="AP285" s="293"/>
      <c r="AQ285" s="88"/>
      <c r="AR285" s="245"/>
      <c r="AS285" s="304"/>
      <c r="AT285" s="304"/>
      <c r="AU285" s="304"/>
      <c r="AV285" s="304"/>
      <c r="AW285" s="304"/>
      <c r="AX285" s="304"/>
      <c r="AY285" s="304"/>
      <c r="AZ285" s="304"/>
      <c r="BA285" s="304"/>
      <c r="BB285" s="304"/>
      <c r="BC285" s="245"/>
      <c r="BG285"/>
      <c r="BH285"/>
      <c r="BI285"/>
      <c r="BJ285"/>
      <c r="BK285"/>
      <c r="BL285"/>
    </row>
    <row r="286" spans="1:64" s="389" customFormat="1" ht="12.75" customHeight="1">
      <c r="A286" s="33" t="s">
        <v>159</v>
      </c>
      <c r="B286" s="380">
        <v>1305</v>
      </c>
      <c r="C286" s="381">
        <v>1248</v>
      </c>
      <c r="D286" s="381">
        <v>1246</v>
      </c>
      <c r="E286" s="381">
        <v>1194</v>
      </c>
      <c r="F286" s="170">
        <v>1282</v>
      </c>
      <c r="G286" s="380">
        <f>F286</f>
        <v>1282</v>
      </c>
      <c r="H286" s="381">
        <v>1204</v>
      </c>
      <c r="I286" s="381">
        <v>1272</v>
      </c>
      <c r="J286" s="381">
        <v>1325</v>
      </c>
      <c r="K286" s="381">
        <v>1554</v>
      </c>
      <c r="L286" s="380">
        <f>K286</f>
        <v>1554</v>
      </c>
      <c r="M286" s="381">
        <v>1374</v>
      </c>
      <c r="N286" s="381">
        <v>1385</v>
      </c>
      <c r="O286" s="170">
        <v>1507</v>
      </c>
      <c r="P286" s="846">
        <v>1661</v>
      </c>
      <c r="Q286" s="380">
        <f>P286</f>
        <v>1661</v>
      </c>
      <c r="R286" s="381">
        <v>1374</v>
      </c>
      <c r="S286" s="381">
        <v>1385</v>
      </c>
      <c r="T286" s="170">
        <v>1507</v>
      </c>
      <c r="U286" s="846">
        <v>1661</v>
      </c>
      <c r="V286" s="380">
        <f>Q286</f>
        <v>1661</v>
      </c>
      <c r="W286" s="381">
        <f t="shared" ref="W286:Z286" si="423">W287*W182/360*4</f>
        <v>1242.6066935499869</v>
      </c>
      <c r="X286" s="381">
        <f t="shared" si="423"/>
        <v>1249.2836227166829</v>
      </c>
      <c r="Y286" s="381">
        <f t="shared" si="423"/>
        <v>1623.2997894510052</v>
      </c>
      <c r="Z286" s="381">
        <f t="shared" si="423"/>
        <v>1792.7915715805429</v>
      </c>
      <c r="AA286" s="380">
        <f>Z286</f>
        <v>1792.7915715805429</v>
      </c>
      <c r="AB286" s="381"/>
      <c r="AC286" s="381"/>
      <c r="AD286" s="381"/>
      <c r="AE286" s="381"/>
      <c r="AF286" s="380">
        <f>AF287*AF182/360</f>
        <v>1827.8036141685491</v>
      </c>
      <c r="AG286" s="381"/>
      <c r="AH286" s="381"/>
      <c r="AI286" s="381"/>
      <c r="AJ286" s="381"/>
      <c r="AK286" s="380">
        <f>AK287*AK182/360</f>
        <v>1975.7944489847016</v>
      </c>
      <c r="AL286" s="381"/>
      <c r="AM286" s="381"/>
      <c r="AN286" s="381"/>
      <c r="AO286" s="381"/>
      <c r="AP286" s="380">
        <f>AP287*AP182/360</f>
        <v>2086.9700971876046</v>
      </c>
      <c r="AQ286" s="176"/>
      <c r="AR286" s="71"/>
      <c r="AS286" s="304"/>
      <c r="AT286" s="304"/>
      <c r="AU286" s="894"/>
      <c r="AV286" s="894"/>
      <c r="AW286" s="304"/>
      <c r="AX286" s="304"/>
      <c r="AY286" s="304"/>
      <c r="AZ286" s="304"/>
      <c r="BA286" s="304"/>
      <c r="BB286" s="304"/>
      <c r="BC286" s="71"/>
      <c r="BD286" s="33"/>
      <c r="BE286" s="33"/>
      <c r="BF286" s="33"/>
      <c r="BG286"/>
      <c r="BH286"/>
      <c r="BI286"/>
      <c r="BJ286"/>
      <c r="BK286"/>
      <c r="BL286"/>
    </row>
    <row r="287" spans="1:64" s="426" customFormat="1" ht="12.75" customHeight="1">
      <c r="A287" s="420" t="s">
        <v>46</v>
      </c>
      <c r="B287" s="421">
        <f>B286/B180*360</f>
        <v>19.592143125234582</v>
      </c>
      <c r="C287" s="422">
        <f>C286/C180*360/4</f>
        <v>18.85512842034581</v>
      </c>
      <c r="D287" s="422">
        <f>D286/D180*360/4</f>
        <v>19.019674355495251</v>
      </c>
      <c r="E287" s="422">
        <f>E286/E180*360/4</f>
        <v>17.972905168088307</v>
      </c>
      <c r="F287" s="422">
        <f>F286/F180*360/4</f>
        <v>20.263435194942044</v>
      </c>
      <c r="G287" s="421">
        <f>G286/G180*360</f>
        <v>19.617444529456773</v>
      </c>
      <c r="H287" s="422">
        <f>H286/H180*360/4</f>
        <v>18.193418401611822</v>
      </c>
      <c r="I287" s="422">
        <f>I286/I180*360/4</f>
        <v>19.079999999999998</v>
      </c>
      <c r="J287" s="422">
        <f>J286/J180*360/4</f>
        <v>19.374492282696995</v>
      </c>
      <c r="K287" s="422">
        <f>K286/K180*360/4</f>
        <v>21.863373456307645</v>
      </c>
      <c r="L287" s="421">
        <f>L286/L180*360</f>
        <v>22.826832054839237</v>
      </c>
      <c r="M287" s="422">
        <f>M286/M180*360/4</f>
        <v>19.731929152704645</v>
      </c>
      <c r="N287" s="845">
        <f>N286/N180*360/4</f>
        <v>19.55294117647059</v>
      </c>
      <c r="O287" s="845">
        <f>O286/O180*360/4</f>
        <v>20.779837597671214</v>
      </c>
      <c r="P287" s="845">
        <f>P286/P180*360/4</f>
        <v>22.533916189327705</v>
      </c>
      <c r="Q287" s="421">
        <f>Q286/Q180*360</f>
        <v>23.17404952912452</v>
      </c>
      <c r="R287" s="422">
        <f>R286/R180*360/4</f>
        <v>19.29173166926677</v>
      </c>
      <c r="S287" s="845">
        <f>S286/S180*360/4</f>
        <v>19.256913332303412</v>
      </c>
      <c r="T287" s="845">
        <f>T286/T180*360/4</f>
        <v>20.646978231085399</v>
      </c>
      <c r="U287" s="845">
        <f>U286/U180*360/4</f>
        <v>22.815934065934066</v>
      </c>
      <c r="V287" s="421">
        <f>V286/V180*360</f>
        <v>22.99492385786802</v>
      </c>
      <c r="W287" s="423">
        <f>R287</f>
        <v>19.29173166926677</v>
      </c>
      <c r="X287" s="423">
        <f t="shared" ref="X287:Z287" si="424">S287</f>
        <v>19.256913332303412</v>
      </c>
      <c r="Y287" s="423">
        <f t="shared" si="424"/>
        <v>20.646978231085399</v>
      </c>
      <c r="Z287" s="423">
        <f t="shared" si="424"/>
        <v>22.815934065934066</v>
      </c>
      <c r="AA287" s="421">
        <f>AA286/AA180*360</f>
        <v>22.058006889340788</v>
      </c>
      <c r="AB287" s="423"/>
      <c r="AC287" s="423"/>
      <c r="AD287" s="423"/>
      <c r="AE287" s="423"/>
      <c r="AF287" s="424">
        <f>AA287</f>
        <v>22.058006889340788</v>
      </c>
      <c r="AG287" s="423"/>
      <c r="AH287" s="423"/>
      <c r="AI287" s="423"/>
      <c r="AJ287" s="423"/>
      <c r="AK287" s="424">
        <f>AF287</f>
        <v>22.058006889340788</v>
      </c>
      <c r="AL287" s="423"/>
      <c r="AM287" s="423"/>
      <c r="AN287" s="423"/>
      <c r="AO287" s="423"/>
      <c r="AP287" s="424">
        <f>AK287</f>
        <v>22.058006889340788</v>
      </c>
      <c r="AQ287" s="425"/>
      <c r="AR287" s="206"/>
      <c r="AS287" s="890"/>
      <c r="AT287" s="890"/>
      <c r="AU287" s="899"/>
      <c r="AV287" s="899"/>
      <c r="AW287" s="890"/>
      <c r="AX287" s="890"/>
      <c r="AY287" s="890"/>
      <c r="AZ287" s="890"/>
      <c r="BA287" s="890"/>
      <c r="BB287" s="890"/>
      <c r="BC287" s="206"/>
      <c r="BD287" s="204"/>
      <c r="BE287" s="204"/>
      <c r="BF287" s="204"/>
      <c r="BG287"/>
      <c r="BH287"/>
      <c r="BI287"/>
      <c r="BJ287"/>
      <c r="BK287"/>
      <c r="BL287"/>
    </row>
    <row r="288" spans="1:64" s="389" customFormat="1" ht="12.75" customHeight="1">
      <c r="A288" s="33" t="s">
        <v>165</v>
      </c>
      <c r="B288" s="380">
        <v>1713</v>
      </c>
      <c r="C288" s="381">
        <v>1430</v>
      </c>
      <c r="D288" s="381">
        <v>1370</v>
      </c>
      <c r="E288" s="381">
        <v>1299</v>
      </c>
      <c r="F288" s="381">
        <v>1537</v>
      </c>
      <c r="G288" s="380">
        <f>F288</f>
        <v>1537</v>
      </c>
      <c r="H288" s="176">
        <v>1409</v>
      </c>
      <c r="I288" s="381">
        <v>1383</v>
      </c>
      <c r="J288" s="381">
        <v>1306</v>
      </c>
      <c r="K288" s="429">
        <v>1471</v>
      </c>
      <c r="L288" s="380">
        <f>K288</f>
        <v>1471</v>
      </c>
      <c r="M288" s="176">
        <v>1286</v>
      </c>
      <c r="N288" s="381">
        <v>1340</v>
      </c>
      <c r="O288" s="170">
        <v>1290</v>
      </c>
      <c r="P288" s="846">
        <v>1617</v>
      </c>
      <c r="Q288" s="380">
        <f>P288</f>
        <v>1617</v>
      </c>
      <c r="R288" s="176">
        <v>1286</v>
      </c>
      <c r="S288" s="381">
        <v>1340</v>
      </c>
      <c r="T288" s="170">
        <v>1290</v>
      </c>
      <c r="U288" s="846">
        <v>1617</v>
      </c>
      <c r="V288" s="380">
        <f>Q288</f>
        <v>1617</v>
      </c>
      <c r="W288" s="381">
        <f>W289*W69/360*4</f>
        <v>1323.1874873407025</v>
      </c>
      <c r="X288" s="381">
        <f>X289*X69/360*4</f>
        <v>1375.4495246092956</v>
      </c>
      <c r="Y288" s="381">
        <f>Y289*Y69/360*4</f>
        <v>1572.9733570357373</v>
      </c>
      <c r="Z288" s="381">
        <f>Z289*Z69/360*4</f>
        <v>1976.7947589291482</v>
      </c>
      <c r="AA288" s="380">
        <f>Z288</f>
        <v>1976.7947589291482</v>
      </c>
      <c r="AB288" s="381"/>
      <c r="AC288" s="381"/>
      <c r="AD288" s="381"/>
      <c r="AE288" s="381"/>
      <c r="AF288" s="32">
        <f>AF289*AF69/360</f>
        <v>2150.6023319454916</v>
      </c>
      <c r="AG288" s="381"/>
      <c r="AH288" s="381"/>
      <c r="AI288" s="381"/>
      <c r="AJ288" s="381"/>
      <c r="AK288" s="32">
        <f>AK289*AK69/360</f>
        <v>2309.0739157383746</v>
      </c>
      <c r="AL288" s="381"/>
      <c r="AM288" s="381"/>
      <c r="AN288" s="381"/>
      <c r="AO288" s="381"/>
      <c r="AP288" s="32">
        <f>AP289*AP69/360</f>
        <v>2441.0569758748443</v>
      </c>
      <c r="AQ288" s="176"/>
      <c r="AR288" s="71"/>
      <c r="AS288" s="304"/>
      <c r="AT288" s="304"/>
      <c r="AU288" s="894"/>
      <c r="AV288" s="894"/>
      <c r="AW288" s="304"/>
      <c r="AX288" s="304"/>
      <c r="AY288" s="304"/>
      <c r="AZ288" s="304"/>
      <c r="BA288" s="304"/>
      <c r="BB288" s="304"/>
      <c r="BC288" s="71"/>
      <c r="BD288" s="33"/>
      <c r="BE288" s="33"/>
      <c r="BF288" s="33"/>
      <c r="BG288"/>
      <c r="BH288"/>
      <c r="BI288"/>
      <c r="BJ288"/>
      <c r="BK288"/>
      <c r="BL288"/>
    </row>
    <row r="289" spans="1:64" s="389" customFormat="1" ht="12.75" customHeight="1">
      <c r="A289" s="525" t="s">
        <v>9</v>
      </c>
      <c r="B289" s="58">
        <f>B288/B69*365</f>
        <v>26.074690354059804</v>
      </c>
      <c r="C289" s="127">
        <f>C288/C69*360/4</f>
        <v>21.604834648312909</v>
      </c>
      <c r="D289" s="59">
        <f>D288/D69*360/4</f>
        <v>20.912483039348711</v>
      </c>
      <c r="E289" s="59">
        <f>E288/E69*360/4</f>
        <v>19.553437029603611</v>
      </c>
      <c r="F289" s="59">
        <f>F288/F69*360/4</f>
        <v>24.293993677555321</v>
      </c>
      <c r="G289" s="58">
        <f>G288/G69*365</f>
        <v>23.84617019467823</v>
      </c>
      <c r="H289" s="127">
        <f>H288/H69*360/4</f>
        <v>21.291134989926125</v>
      </c>
      <c r="I289" s="59">
        <f>I288/I69*360/4</f>
        <v>20.745000000000001</v>
      </c>
      <c r="J289" s="59">
        <f>J288/J69*360/4</f>
        <v>19.096669374492283</v>
      </c>
      <c r="K289" s="59">
        <f>K288/K69*360/4</f>
        <v>20.695638580584649</v>
      </c>
      <c r="L289" s="58">
        <f>L288/L69*365</f>
        <v>21.907744409988574</v>
      </c>
      <c r="M289" s="127">
        <f>M288/M69*360/4</f>
        <v>18.468166586883676</v>
      </c>
      <c r="N289" s="845">
        <f>N288/N69*360/4</f>
        <v>18.91764705882353</v>
      </c>
      <c r="O289" s="845">
        <f>O288/O69*360/4</f>
        <v>17.787651294622339</v>
      </c>
      <c r="P289" s="845">
        <f>P288/P69*360/4</f>
        <v>21.936991257160084</v>
      </c>
      <c r="Q289" s="58">
        <f>Q288/Q69*365</f>
        <v>22.873503081037086</v>
      </c>
      <c r="R289" s="127">
        <f>R288/R69*360/4</f>
        <v>18.056162246489858</v>
      </c>
      <c r="S289" s="845">
        <f>S288/S69*360/4</f>
        <v>18.631237447860343</v>
      </c>
      <c r="T289" s="845">
        <f>T288/T69*360/4</f>
        <v>17.67392297153296</v>
      </c>
      <c r="U289" s="845">
        <f>U288/U69*360/4</f>
        <v>22.211538461538463</v>
      </c>
      <c r="V289" s="58">
        <f>V288/V69*365</f>
        <v>22.696700507614214</v>
      </c>
      <c r="W289" s="625">
        <f>R289</f>
        <v>18.056162246489858</v>
      </c>
      <c r="X289" s="625">
        <f t="shared" ref="X289:Z289" si="425">S289</f>
        <v>18.631237447860343</v>
      </c>
      <c r="Y289" s="625">
        <f t="shared" si="425"/>
        <v>17.67392297153296</v>
      </c>
      <c r="Z289" s="625">
        <f t="shared" si="425"/>
        <v>22.211538461538463</v>
      </c>
      <c r="AA289" s="60">
        <f>Q289</f>
        <v>22.873503081037086</v>
      </c>
      <c r="AB289" s="625"/>
      <c r="AC289" s="625"/>
      <c r="AD289" s="625"/>
      <c r="AE289" s="625"/>
      <c r="AF289" s="60">
        <f>AA289</f>
        <v>22.873503081037086</v>
      </c>
      <c r="AG289" s="625"/>
      <c r="AH289" s="625"/>
      <c r="AI289" s="625"/>
      <c r="AJ289" s="625"/>
      <c r="AK289" s="60">
        <f>AF289</f>
        <v>22.873503081037086</v>
      </c>
      <c r="AL289" s="625"/>
      <c r="AM289" s="625"/>
      <c r="AN289" s="625"/>
      <c r="AO289" s="625"/>
      <c r="AP289" s="60">
        <f>AK289</f>
        <v>22.873503081037086</v>
      </c>
      <c r="AQ289" s="176"/>
      <c r="AR289" s="71"/>
      <c r="AS289" s="304"/>
      <c r="AT289" s="304"/>
      <c r="AU289" s="894"/>
      <c r="AV289" s="894"/>
      <c r="AW289" s="304"/>
      <c r="AX289" s="304"/>
      <c r="AY289" s="304"/>
      <c r="AZ289" s="304"/>
      <c r="BA289" s="304"/>
      <c r="BB289" s="304"/>
      <c r="BC289" s="71"/>
      <c r="BD289" s="33"/>
      <c r="BE289" s="33"/>
      <c r="BF289" s="33"/>
      <c r="BG289"/>
      <c r="BH289"/>
      <c r="BI289"/>
      <c r="BJ289"/>
      <c r="BK289"/>
      <c r="BL289"/>
    </row>
    <row r="290" spans="1:64" s="389" customFormat="1" ht="12.75" customHeight="1">
      <c r="A290" s="613" t="s">
        <v>317</v>
      </c>
      <c r="B290" s="172">
        <v>0</v>
      </c>
      <c r="C290" s="170">
        <v>0</v>
      </c>
      <c r="D290" s="170">
        <v>0</v>
      </c>
      <c r="E290" s="170">
        <v>0</v>
      </c>
      <c r="F290" s="170">
        <v>0</v>
      </c>
      <c r="G290" s="172">
        <v>0</v>
      </c>
      <c r="H290" s="384">
        <v>0</v>
      </c>
      <c r="I290" s="170">
        <v>0</v>
      </c>
      <c r="J290" s="170">
        <v>0</v>
      </c>
      <c r="K290" s="846">
        <v>0</v>
      </c>
      <c r="L290" s="172">
        <v>0</v>
      </c>
      <c r="M290" s="384">
        <v>0</v>
      </c>
      <c r="N290" s="170">
        <v>850</v>
      </c>
      <c r="O290" s="170">
        <f>N290+O262</f>
        <v>850</v>
      </c>
      <c r="P290" s="846">
        <v>867</v>
      </c>
      <c r="Q290" s="172">
        <f>P290</f>
        <v>867</v>
      </c>
      <c r="R290" s="384">
        <v>0</v>
      </c>
      <c r="S290" s="170">
        <v>850</v>
      </c>
      <c r="T290" s="170">
        <f>S290+T262</f>
        <v>850</v>
      </c>
      <c r="U290" s="846">
        <v>867</v>
      </c>
      <c r="V290" s="172">
        <f>Q290</f>
        <v>867</v>
      </c>
      <c r="W290" s="170">
        <f>Q290+W262</f>
        <v>867</v>
      </c>
      <c r="X290" s="170">
        <f t="shared" ref="X290:Z290" si="426">W290+X262</f>
        <v>0</v>
      </c>
      <c r="Y290" s="170">
        <f t="shared" si="426"/>
        <v>0</v>
      </c>
      <c r="Z290" s="381">
        <f t="shared" si="426"/>
        <v>0</v>
      </c>
      <c r="AA290" s="172">
        <f>Z290</f>
        <v>0</v>
      </c>
      <c r="AB290" s="381"/>
      <c r="AC290" s="381"/>
      <c r="AD290" s="381"/>
      <c r="AE290" s="381"/>
      <c r="AF290" s="32">
        <v>0</v>
      </c>
      <c r="AG290" s="381"/>
      <c r="AH290" s="381"/>
      <c r="AI290" s="381"/>
      <c r="AJ290" s="381"/>
      <c r="AK290" s="32">
        <v>0</v>
      </c>
      <c r="AL290" s="381"/>
      <c r="AM290" s="381"/>
      <c r="AN290" s="381"/>
      <c r="AO290" s="381"/>
      <c r="AP290" s="32">
        <v>0</v>
      </c>
      <c r="AQ290" s="848"/>
      <c r="AR290" s="71"/>
      <c r="AS290" s="304"/>
      <c r="AT290" s="304"/>
      <c r="AU290" s="894"/>
      <c r="AV290" s="894"/>
      <c r="AW290" s="304"/>
      <c r="AX290" s="304"/>
      <c r="AY290" s="304"/>
      <c r="AZ290" s="304"/>
      <c r="BA290" s="304"/>
      <c r="BB290" s="304"/>
      <c r="BC290" s="71"/>
      <c r="BD290" s="33"/>
      <c r="BE290" s="33"/>
      <c r="BF290" s="33"/>
      <c r="BG290"/>
      <c r="BH290"/>
      <c r="BI290"/>
      <c r="BJ290"/>
      <c r="BK290"/>
      <c r="BL290"/>
    </row>
    <row r="291" spans="1:64" s="389" customFormat="1" ht="12.75" customHeight="1">
      <c r="A291" s="225" t="s">
        <v>166</v>
      </c>
      <c r="B291" s="172">
        <f>B293-B286-B288-B290</f>
        <v>2874</v>
      </c>
      <c r="C291" s="170">
        <f t="shared" ref="C291:P291" si="427">C293-C286-C288-C290</f>
        <v>2606</v>
      </c>
      <c r="D291" s="170">
        <f t="shared" si="427"/>
        <v>2538</v>
      </c>
      <c r="E291" s="170">
        <f t="shared" si="427"/>
        <v>2640</v>
      </c>
      <c r="F291" s="170">
        <f t="shared" si="427"/>
        <v>2638</v>
      </c>
      <c r="G291" s="172">
        <f t="shared" si="427"/>
        <v>2638</v>
      </c>
      <c r="H291" s="384">
        <f t="shared" si="427"/>
        <v>2342</v>
      </c>
      <c r="I291" s="170">
        <f t="shared" si="427"/>
        <v>2444</v>
      </c>
      <c r="J291" s="170">
        <f t="shared" si="427"/>
        <v>2475</v>
      </c>
      <c r="K291" s="170">
        <f t="shared" si="427"/>
        <v>2605</v>
      </c>
      <c r="L291" s="172">
        <f t="shared" si="427"/>
        <v>2605</v>
      </c>
      <c r="M291" s="384">
        <f t="shared" si="427"/>
        <v>2508</v>
      </c>
      <c r="N291" s="170">
        <f t="shared" si="427"/>
        <v>2611</v>
      </c>
      <c r="O291" s="170">
        <f t="shared" si="427"/>
        <v>2653</v>
      </c>
      <c r="P291" s="170">
        <f t="shared" si="427"/>
        <v>2820</v>
      </c>
      <c r="Q291" s="623">
        <f>+P291</f>
        <v>2820</v>
      </c>
      <c r="R291" s="384">
        <f t="shared" ref="R291:U291" si="428">R293-R286-R288-R290</f>
        <v>2508</v>
      </c>
      <c r="S291" s="170">
        <f t="shared" si="428"/>
        <v>2611</v>
      </c>
      <c r="T291" s="170">
        <f t="shared" si="428"/>
        <v>2653</v>
      </c>
      <c r="U291" s="170">
        <f t="shared" si="428"/>
        <v>2820</v>
      </c>
      <c r="V291" s="623">
        <f>Q291</f>
        <v>2820</v>
      </c>
      <c r="W291" s="170">
        <f>W292*W69*4</f>
        <v>2580.524275466938</v>
      </c>
      <c r="X291" s="170">
        <f>X292*X69*4</f>
        <v>2680.0736632499038</v>
      </c>
      <c r="Y291" s="170">
        <f>Y292*Y69*4</f>
        <v>3234.9599350510166</v>
      </c>
      <c r="Z291" s="381">
        <f>Z292*Z69*4</f>
        <v>3447.4713792085331</v>
      </c>
      <c r="AA291" s="623">
        <f>+Z291</f>
        <v>3447.4713792085331</v>
      </c>
      <c r="AB291" s="381"/>
      <c r="AC291" s="381"/>
      <c r="AD291" s="381"/>
      <c r="AE291" s="381"/>
      <c r="AF291" s="380">
        <f>AF292*AF69</f>
        <v>3988.0864687128455</v>
      </c>
      <c r="AG291" s="381"/>
      <c r="AH291" s="381"/>
      <c r="AI291" s="381"/>
      <c r="AJ291" s="381"/>
      <c r="AK291" s="380">
        <f>AK292*AK69</f>
        <v>4281.9568740462973</v>
      </c>
      <c r="AL291" s="381"/>
      <c r="AM291" s="381"/>
      <c r="AN291" s="381"/>
      <c r="AO291" s="381"/>
      <c r="AP291" s="380">
        <f>AP292*AP69</f>
        <v>4526.706844048148</v>
      </c>
      <c r="AQ291" s="176"/>
      <c r="AR291" s="71"/>
      <c r="AS291" s="304"/>
      <c r="AT291" s="304"/>
      <c r="AU291" s="894"/>
      <c r="AV291" s="894"/>
      <c r="AW291" s="304"/>
      <c r="AX291" s="304"/>
      <c r="AY291" s="304"/>
      <c r="AZ291" s="304"/>
      <c r="BA291" s="304"/>
      <c r="BB291" s="304"/>
      <c r="BC291" s="71"/>
      <c r="BD291" s="33"/>
      <c r="BE291" s="33"/>
      <c r="BF291" s="33"/>
      <c r="BG291"/>
      <c r="BH291"/>
      <c r="BI291"/>
      <c r="BJ291"/>
      <c r="BK291"/>
      <c r="BL291"/>
    </row>
    <row r="292" spans="1:64" s="544" customFormat="1" ht="12.75" customHeight="1">
      <c r="A292" s="851" t="s">
        <v>43</v>
      </c>
      <c r="B292" s="852">
        <f>B291/B69</f>
        <v>0.11985487301388716</v>
      </c>
      <c r="C292" s="853">
        <f>C291/C69/4</f>
        <v>0.10936713110626155</v>
      </c>
      <c r="D292" s="853">
        <f>D291/D69/4</f>
        <v>0.10761533242876527</v>
      </c>
      <c r="E292" s="853">
        <f>E291/E69/4</f>
        <v>0.11038635223281486</v>
      </c>
      <c r="F292" s="853">
        <f>F291/F69/4</f>
        <v>0.11582367404285213</v>
      </c>
      <c r="G292" s="852">
        <f>G291/G69</f>
        <v>0.11213125903255972</v>
      </c>
      <c r="H292" s="853">
        <f>H291/H69/4</f>
        <v>9.8304231027535258E-2</v>
      </c>
      <c r="I292" s="853">
        <f>I291/I69/4</f>
        <v>0.10183333333333333</v>
      </c>
      <c r="J292" s="853">
        <f>J291/J69/4</f>
        <v>0.10052802599512592</v>
      </c>
      <c r="K292" s="853">
        <f>K291/K69/4</f>
        <v>0.10180553384398937</v>
      </c>
      <c r="L292" s="852">
        <f>L291/L69</f>
        <v>0.10629182307817855</v>
      </c>
      <c r="M292" s="853">
        <f>M291/M69/4</f>
        <v>0.10004786979415989</v>
      </c>
      <c r="N292" s="854">
        <f>N291/N69/4</f>
        <v>0.1023921568627451</v>
      </c>
      <c r="O292" s="854">
        <f>O291/O69/4</f>
        <v>0.10161636280067413</v>
      </c>
      <c r="P292" s="854">
        <f>P291/P69/4</f>
        <v>0.1062707265601447</v>
      </c>
      <c r="Q292" s="856">
        <f>Q291/Q69</f>
        <v>0.10928961748633879</v>
      </c>
      <c r="R292" s="1076">
        <f>R291/R69/4</f>
        <v>9.7815912636505464E-2</v>
      </c>
      <c r="S292" s="854">
        <f>S291/S69/4</f>
        <v>0.10084195890622587</v>
      </c>
      <c r="T292" s="854">
        <f>T291/T69/4</f>
        <v>0.1009666615923276</v>
      </c>
      <c r="U292" s="854">
        <f>U291/U69/4</f>
        <v>0.10760073260073261</v>
      </c>
      <c r="V292" s="856">
        <f>V291/V69</f>
        <v>0.10844485463774804</v>
      </c>
      <c r="W292" s="849">
        <f>R292</f>
        <v>9.7815912636505464E-2</v>
      </c>
      <c r="X292" s="849">
        <f t="shared" ref="X292:Z292" si="429">S292</f>
        <v>0.10084195890622587</v>
      </c>
      <c r="Y292" s="849">
        <f t="shared" si="429"/>
        <v>0.1009666615923276</v>
      </c>
      <c r="Z292" s="510">
        <f t="shared" si="429"/>
        <v>0.10760073260073261</v>
      </c>
      <c r="AA292" s="856">
        <f>AA291/AA69</f>
        <v>0.11782423666787366</v>
      </c>
      <c r="AB292" s="510"/>
      <c r="AC292" s="510"/>
      <c r="AD292" s="510"/>
      <c r="AE292" s="510"/>
      <c r="AF292" s="514">
        <f>AA292</f>
        <v>0.11782423666787366</v>
      </c>
      <c r="AG292" s="510"/>
      <c r="AH292" s="510"/>
      <c r="AI292" s="510"/>
      <c r="AJ292" s="510"/>
      <c r="AK292" s="514">
        <f>AF292</f>
        <v>0.11782423666787366</v>
      </c>
      <c r="AL292" s="510"/>
      <c r="AM292" s="510"/>
      <c r="AN292" s="510"/>
      <c r="AO292" s="510"/>
      <c r="AP292" s="514">
        <f>AK292</f>
        <v>0.11782423666787366</v>
      </c>
      <c r="AQ292" s="543"/>
      <c r="AR292" s="189"/>
      <c r="AS292" s="883"/>
      <c r="AT292" s="883"/>
      <c r="AU292" s="880"/>
      <c r="AV292" s="880"/>
      <c r="AW292" s="883"/>
      <c r="AX292" s="883"/>
      <c r="AY292" s="883"/>
      <c r="AZ292" s="883"/>
      <c r="BA292" s="883"/>
      <c r="BB292" s="883"/>
      <c r="BC292" s="189"/>
      <c r="BD292" s="61"/>
      <c r="BE292" s="61"/>
      <c r="BF292" s="61"/>
      <c r="BG292"/>
      <c r="BH292"/>
      <c r="BI292"/>
      <c r="BJ292"/>
      <c r="BK292"/>
      <c r="BL292"/>
    </row>
    <row r="293" spans="1:64" s="389" customFormat="1" ht="12.75" customHeight="1">
      <c r="A293" s="857" t="s">
        <v>167</v>
      </c>
      <c r="B293" s="858">
        <v>5892</v>
      </c>
      <c r="C293" s="859">
        <v>5284</v>
      </c>
      <c r="D293" s="850">
        <v>5154</v>
      </c>
      <c r="E293" s="850">
        <v>5133</v>
      </c>
      <c r="F293" s="860">
        <v>5457</v>
      </c>
      <c r="G293" s="858">
        <f>+F293</f>
        <v>5457</v>
      </c>
      <c r="H293" s="859">
        <v>4955</v>
      </c>
      <c r="I293" s="850">
        <v>5099</v>
      </c>
      <c r="J293" s="850">
        <v>5106</v>
      </c>
      <c r="K293" s="860">
        <v>5630</v>
      </c>
      <c r="L293" s="858">
        <f>+K293</f>
        <v>5630</v>
      </c>
      <c r="M293" s="859">
        <v>5168</v>
      </c>
      <c r="N293" s="850">
        <v>6186</v>
      </c>
      <c r="O293" s="850">
        <v>6300</v>
      </c>
      <c r="P293" s="860">
        <v>6965</v>
      </c>
      <c r="Q293" s="858">
        <f>+P293</f>
        <v>6965</v>
      </c>
      <c r="R293" s="859">
        <v>5168</v>
      </c>
      <c r="S293" s="850">
        <v>6186</v>
      </c>
      <c r="T293" s="850">
        <v>6300</v>
      </c>
      <c r="U293" s="860">
        <v>6965</v>
      </c>
      <c r="V293" s="858">
        <f>Q293</f>
        <v>6965</v>
      </c>
      <c r="W293" s="850">
        <f t="shared" ref="W293:Z293" si="430">+W291+W288+W286+W290</f>
        <v>6013.3184563576269</v>
      </c>
      <c r="X293" s="850">
        <f t="shared" si="430"/>
        <v>5304.8068105758821</v>
      </c>
      <c r="Y293" s="850">
        <f t="shared" si="430"/>
        <v>6431.2330815377591</v>
      </c>
      <c r="Z293" s="428">
        <f t="shared" si="430"/>
        <v>7217.057709718224</v>
      </c>
      <c r="AA293" s="858">
        <f>+Z293</f>
        <v>7217.057709718224</v>
      </c>
      <c r="AB293" s="428"/>
      <c r="AC293" s="428"/>
      <c r="AD293" s="428"/>
      <c r="AE293" s="428"/>
      <c r="AF293" s="427">
        <f>+AF291+AF288+AF286+AF290</f>
        <v>7966.4924148268865</v>
      </c>
      <c r="AG293" s="428"/>
      <c r="AH293" s="428"/>
      <c r="AI293" s="428"/>
      <c r="AJ293" s="428"/>
      <c r="AK293" s="427">
        <f>+AK291+AK288+AK286+AK290</f>
        <v>8566.8252387693738</v>
      </c>
      <c r="AL293" s="428"/>
      <c r="AM293" s="428"/>
      <c r="AN293" s="428"/>
      <c r="AO293" s="428"/>
      <c r="AP293" s="427">
        <f>+AP291+AP288+AP286+AP290</f>
        <v>9054.7339171105959</v>
      </c>
      <c r="AQ293" s="388"/>
      <c r="AR293" s="71"/>
      <c r="AS293" s="304"/>
      <c r="AT293" s="304"/>
      <c r="AU293" s="894"/>
      <c r="AV293" s="894"/>
      <c r="AW293" s="304"/>
      <c r="AX293" s="304"/>
      <c r="AY293" s="304"/>
      <c r="AZ293" s="304"/>
      <c r="BA293" s="304"/>
      <c r="BB293" s="304"/>
      <c r="BC293" s="71"/>
      <c r="BD293" s="33"/>
      <c r="BE293" s="33"/>
      <c r="BF293" s="33"/>
      <c r="BG293"/>
      <c r="BH293"/>
      <c r="BI293"/>
      <c r="BJ293"/>
      <c r="BK293"/>
      <c r="BL293"/>
    </row>
    <row r="294" spans="1:64" s="389" customFormat="1" ht="12.75" customHeight="1">
      <c r="A294" s="225" t="s">
        <v>169</v>
      </c>
      <c r="B294" s="172">
        <v>5925</v>
      </c>
      <c r="C294" s="684">
        <v>6418</v>
      </c>
      <c r="D294" s="615">
        <v>6417</v>
      </c>
      <c r="E294" s="615">
        <v>6417</v>
      </c>
      <c r="F294" s="861">
        <v>6386</v>
      </c>
      <c r="G294" s="170">
        <f>F294</f>
        <v>6386</v>
      </c>
      <c r="H294" s="384">
        <v>6387</v>
      </c>
      <c r="I294" s="170">
        <v>6387</v>
      </c>
      <c r="J294" s="170">
        <v>6387</v>
      </c>
      <c r="K294" s="846">
        <v>7058</v>
      </c>
      <c r="L294" s="170">
        <f>K294</f>
        <v>7058</v>
      </c>
      <c r="M294" s="384">
        <v>7060</v>
      </c>
      <c r="N294" s="170">
        <v>6219</v>
      </c>
      <c r="O294" s="170">
        <v>6227</v>
      </c>
      <c r="P294" s="846">
        <v>14399</v>
      </c>
      <c r="Q294" s="172">
        <f>+P294</f>
        <v>14399</v>
      </c>
      <c r="R294" s="384">
        <v>7060</v>
      </c>
      <c r="S294" s="170">
        <v>6219</v>
      </c>
      <c r="T294" s="170">
        <v>6227</v>
      </c>
      <c r="U294" s="846">
        <v>14399</v>
      </c>
      <c r="V294" s="172">
        <f>Q294</f>
        <v>14399</v>
      </c>
      <c r="W294" s="615">
        <f>U294+W260+W261</f>
        <v>14399</v>
      </c>
      <c r="X294" s="615">
        <f t="shared" ref="X294:Z294" si="431">V294+X260+X261</f>
        <v>14399</v>
      </c>
      <c r="Y294" s="615">
        <f t="shared" si="431"/>
        <v>14399</v>
      </c>
      <c r="Z294" s="298">
        <f t="shared" si="431"/>
        <v>14399</v>
      </c>
      <c r="AA294" s="172">
        <f>+Z294</f>
        <v>14399</v>
      </c>
      <c r="AB294" s="624"/>
      <c r="AC294" s="624"/>
      <c r="AD294" s="624"/>
      <c r="AE294" s="624"/>
      <c r="AF294" s="380">
        <f>AA294+AF260+AF261</f>
        <v>13699</v>
      </c>
      <c r="AG294" s="624"/>
      <c r="AH294" s="624"/>
      <c r="AI294" s="624"/>
      <c r="AJ294" s="624"/>
      <c r="AK294" s="380">
        <f>AF294+AK260+AK261</f>
        <v>12499</v>
      </c>
      <c r="AL294" s="624"/>
      <c r="AM294" s="624"/>
      <c r="AN294" s="624"/>
      <c r="AO294" s="624"/>
      <c r="AP294" s="380">
        <f>AK294+AP260+AP261</f>
        <v>11599</v>
      </c>
      <c r="AQ294" s="176"/>
      <c r="AR294" s="71"/>
      <c r="AS294" s="304"/>
      <c r="AT294" s="304"/>
      <c r="AU294" s="894"/>
      <c r="AV294" s="894"/>
      <c r="AW294" s="304"/>
      <c r="AX294" s="304"/>
      <c r="AY294" s="304"/>
      <c r="AZ294" s="304"/>
      <c r="BA294" s="304"/>
      <c r="BB294" s="304"/>
      <c r="BC294" s="71"/>
      <c r="BD294" s="33"/>
      <c r="BE294" s="33"/>
      <c r="BF294" s="33"/>
      <c r="BG294"/>
      <c r="BH294"/>
      <c r="BI294"/>
      <c r="BJ294"/>
      <c r="BK294"/>
      <c r="BL294"/>
    </row>
    <row r="295" spans="1:64" s="389" customFormat="1" ht="12.75" customHeight="1">
      <c r="A295" s="33" t="s">
        <v>170</v>
      </c>
      <c r="B295" s="380">
        <v>6555</v>
      </c>
      <c r="C295" s="298">
        <v>5962</v>
      </c>
      <c r="D295" s="381">
        <v>5871</v>
      </c>
      <c r="E295" s="381">
        <v>5778</v>
      </c>
      <c r="F295" s="298">
        <v>6172</v>
      </c>
      <c r="G295" s="176">
        <f>F295</f>
        <v>6172</v>
      </c>
      <c r="H295" s="176">
        <v>6117</v>
      </c>
      <c r="I295" s="381">
        <v>6061</v>
      </c>
      <c r="J295" s="381">
        <v>6009</v>
      </c>
      <c r="K295" s="429">
        <v>6818</v>
      </c>
      <c r="L295" s="176">
        <f>K295</f>
        <v>6818</v>
      </c>
      <c r="M295" s="176">
        <v>6746</v>
      </c>
      <c r="N295" s="381">
        <v>6666</v>
      </c>
      <c r="O295" s="381">
        <v>6579</v>
      </c>
      <c r="P295" s="429">
        <v>5511</v>
      </c>
      <c r="Q295" s="380">
        <f>+P295</f>
        <v>5511</v>
      </c>
      <c r="R295" s="176">
        <v>6746</v>
      </c>
      <c r="S295" s="381">
        <v>6666</v>
      </c>
      <c r="T295" s="381">
        <v>6579</v>
      </c>
      <c r="U295" s="429">
        <v>5511</v>
      </c>
      <c r="V295" s="380">
        <f>Q295</f>
        <v>5511</v>
      </c>
      <c r="W295" s="381">
        <v>5376.9867562725012</v>
      </c>
      <c r="X295" s="381">
        <v>5242.9735125450024</v>
      </c>
      <c r="Y295" s="381">
        <v>5108.9602688175037</v>
      </c>
      <c r="Z295" s="381">
        <v>4974.9470250900049</v>
      </c>
      <c r="AA295" s="380">
        <f>+Z295</f>
        <v>4974.9470250900049</v>
      </c>
      <c r="AB295" s="381"/>
      <c r="AC295" s="381"/>
      <c r="AD295" s="381"/>
      <c r="AE295" s="381"/>
      <c r="AF295" s="380">
        <v>4244.0286638776197</v>
      </c>
      <c r="AG295" s="381"/>
      <c r="AH295" s="381"/>
      <c r="AI295" s="381"/>
      <c r="AJ295" s="381"/>
      <c r="AK295" s="380">
        <v>3352.2625154405509</v>
      </c>
      <c r="AL295" s="381"/>
      <c r="AM295" s="381"/>
      <c r="AN295" s="381"/>
      <c r="AO295" s="381"/>
      <c r="AP295" s="380">
        <v>2288.9560579539748</v>
      </c>
      <c r="AQ295" s="176"/>
      <c r="AR295" s="71"/>
      <c r="AS295" s="304"/>
      <c r="AT295" s="304"/>
      <c r="AU295" s="894"/>
      <c r="AV295" s="894"/>
      <c r="AW295" s="304"/>
      <c r="AX295" s="304"/>
      <c r="AY295" s="304"/>
      <c r="AZ295" s="304"/>
      <c r="BA295" s="304"/>
      <c r="BB295" s="304"/>
      <c r="BC295" s="71"/>
      <c r="BD295" s="33"/>
      <c r="BE295" s="33"/>
      <c r="BF295" s="33"/>
      <c r="BG295"/>
      <c r="BH295"/>
      <c r="BI295"/>
      <c r="BJ295"/>
      <c r="BK295"/>
      <c r="BL295"/>
    </row>
    <row r="296" spans="1:64" s="389" customFormat="1" ht="12.75" customHeight="1">
      <c r="A296" s="33" t="s">
        <v>171</v>
      </c>
      <c r="B296" s="380">
        <v>965</v>
      </c>
      <c r="C296" s="298">
        <v>854</v>
      </c>
      <c r="D296" s="298">
        <v>939</v>
      </c>
      <c r="E296" s="298">
        <v>941</v>
      </c>
      <c r="F296" s="298">
        <v>887</v>
      </c>
      <c r="G296" s="176">
        <f>F296</f>
        <v>887</v>
      </c>
      <c r="H296" s="176">
        <v>853</v>
      </c>
      <c r="I296" s="381">
        <v>853</v>
      </c>
      <c r="J296" s="381">
        <v>831</v>
      </c>
      <c r="K296" s="429">
        <v>849</v>
      </c>
      <c r="L296" s="176">
        <f>K296</f>
        <v>849</v>
      </c>
      <c r="M296" s="176">
        <v>881</v>
      </c>
      <c r="N296" s="298">
        <v>823</v>
      </c>
      <c r="O296" s="615">
        <v>914</v>
      </c>
      <c r="P296" s="615">
        <v>994</v>
      </c>
      <c r="Q296" s="380">
        <f>+P296</f>
        <v>994</v>
      </c>
      <c r="R296" s="176">
        <v>881</v>
      </c>
      <c r="S296" s="298">
        <v>823</v>
      </c>
      <c r="T296" s="615">
        <v>914</v>
      </c>
      <c r="U296" s="615">
        <v>994</v>
      </c>
      <c r="V296" s="380">
        <f>Q296</f>
        <v>994</v>
      </c>
      <c r="W296" s="624">
        <f>U296</f>
        <v>994</v>
      </c>
      <c r="X296" s="624">
        <f>W296</f>
        <v>994</v>
      </c>
      <c r="Y296" s="624">
        <f>X296</f>
        <v>994</v>
      </c>
      <c r="Z296" s="624">
        <f>Y296</f>
        <v>994</v>
      </c>
      <c r="AA296" s="380">
        <f>+Z296</f>
        <v>994</v>
      </c>
      <c r="AB296" s="624"/>
      <c r="AC296" s="624"/>
      <c r="AD296" s="624"/>
      <c r="AE296" s="624"/>
      <c r="AF296" s="813">
        <f>AA296</f>
        <v>994</v>
      </c>
      <c r="AG296" s="624"/>
      <c r="AH296" s="624"/>
      <c r="AI296" s="624"/>
      <c r="AJ296" s="624"/>
      <c r="AK296" s="813">
        <f>AF296</f>
        <v>994</v>
      </c>
      <c r="AL296" s="624"/>
      <c r="AM296" s="624"/>
      <c r="AN296" s="624"/>
      <c r="AO296" s="624"/>
      <c r="AP296" s="813">
        <f>AK296</f>
        <v>994</v>
      </c>
      <c r="AQ296" s="176"/>
      <c r="AR296" s="71"/>
      <c r="AS296" s="304"/>
      <c r="AT296" s="304"/>
      <c r="AU296" s="894"/>
      <c r="AV296" s="894"/>
      <c r="AW296" s="304"/>
      <c r="AX296" s="304"/>
      <c r="AY296" s="304"/>
      <c r="AZ296" s="304"/>
      <c r="BA296" s="304"/>
      <c r="BB296" s="304"/>
      <c r="BC296" s="71"/>
      <c r="BD296" s="33"/>
      <c r="BE296" s="33"/>
      <c r="BF296" s="33"/>
      <c r="BG296"/>
      <c r="BH296"/>
      <c r="BI296"/>
      <c r="BJ296"/>
      <c r="BK296"/>
      <c r="BL296"/>
    </row>
    <row r="297" spans="1:64" s="389" customFormat="1" ht="12.75" customHeight="1">
      <c r="A297" s="115" t="s">
        <v>172</v>
      </c>
      <c r="B297" s="427">
        <f t="shared" ref="B297:K297" si="432">B293+B294+B295+B296</f>
        <v>19337</v>
      </c>
      <c r="C297" s="428">
        <f t="shared" si="432"/>
        <v>18518</v>
      </c>
      <c r="D297" s="428">
        <f t="shared" si="432"/>
        <v>18381</v>
      </c>
      <c r="E297" s="428">
        <f t="shared" si="432"/>
        <v>18269</v>
      </c>
      <c r="F297" s="428">
        <f t="shared" si="432"/>
        <v>18902</v>
      </c>
      <c r="G297" s="427">
        <f t="shared" si="432"/>
        <v>18902</v>
      </c>
      <c r="H297" s="428">
        <f t="shared" si="432"/>
        <v>18312</v>
      </c>
      <c r="I297" s="428">
        <f t="shared" si="432"/>
        <v>18400</v>
      </c>
      <c r="J297" s="428">
        <f t="shared" si="432"/>
        <v>18333</v>
      </c>
      <c r="K297" s="428">
        <f t="shared" si="432"/>
        <v>20355</v>
      </c>
      <c r="L297" s="427">
        <f t="shared" ref="L297:Z297" si="433">L293+L294+L295+L296</f>
        <v>20355</v>
      </c>
      <c r="M297" s="428">
        <f t="shared" si="433"/>
        <v>19855</v>
      </c>
      <c r="N297" s="428">
        <f t="shared" si="433"/>
        <v>19894</v>
      </c>
      <c r="O297" s="428">
        <f t="shared" si="433"/>
        <v>20020</v>
      </c>
      <c r="P297" s="428">
        <f t="shared" si="433"/>
        <v>27869</v>
      </c>
      <c r="Q297" s="427">
        <f t="shared" si="433"/>
        <v>27869</v>
      </c>
      <c r="R297" s="428">
        <f t="shared" ref="R297:U297" si="434">R293+R294+R295+R296</f>
        <v>19855</v>
      </c>
      <c r="S297" s="428">
        <f t="shared" si="434"/>
        <v>19894</v>
      </c>
      <c r="T297" s="428">
        <f t="shared" si="434"/>
        <v>20020</v>
      </c>
      <c r="U297" s="428">
        <f t="shared" si="434"/>
        <v>27869</v>
      </c>
      <c r="V297" s="427">
        <f t="shared" ref="V297" si="435">V293+V294+V295+V296</f>
        <v>27869</v>
      </c>
      <c r="W297" s="428">
        <f t="shared" si="433"/>
        <v>26783.30521263013</v>
      </c>
      <c r="X297" s="428">
        <f t="shared" si="433"/>
        <v>25940.780323120885</v>
      </c>
      <c r="Y297" s="428">
        <f t="shared" si="433"/>
        <v>26933.193350355261</v>
      </c>
      <c r="Z297" s="428">
        <f t="shared" si="433"/>
        <v>27585.00473480823</v>
      </c>
      <c r="AA297" s="427">
        <f>AA293+AA294+AA295+AA296</f>
        <v>27585.00473480823</v>
      </c>
      <c r="AB297" s="428"/>
      <c r="AC297" s="428"/>
      <c r="AD297" s="428"/>
      <c r="AE297" s="428"/>
      <c r="AF297" s="427">
        <f>AF293+AF294+AF295+AF296</f>
        <v>26903.521078704507</v>
      </c>
      <c r="AG297" s="428"/>
      <c r="AH297" s="428"/>
      <c r="AI297" s="428"/>
      <c r="AJ297" s="428"/>
      <c r="AK297" s="427">
        <f>AK293+AK294+AK295+AK296</f>
        <v>25412.087754209922</v>
      </c>
      <c r="AL297" s="428"/>
      <c r="AM297" s="428"/>
      <c r="AN297" s="428"/>
      <c r="AO297" s="428"/>
      <c r="AP297" s="427">
        <f>AP293+AP294+AP295+AP296</f>
        <v>23936.689975064572</v>
      </c>
      <c r="AQ297" s="388"/>
      <c r="AR297" s="71"/>
      <c r="AS297" s="304"/>
      <c r="AT297" s="304"/>
      <c r="AU297" s="894"/>
      <c r="AV297" s="894"/>
      <c r="AW297" s="304"/>
      <c r="AX297" s="304"/>
      <c r="AY297" s="304"/>
      <c r="AZ297" s="304"/>
      <c r="BA297" s="304"/>
      <c r="BB297" s="304"/>
      <c r="BC297" s="71"/>
      <c r="BD297" s="33"/>
      <c r="BE297" s="33"/>
      <c r="BF297" s="33"/>
      <c r="BG297"/>
      <c r="BH297"/>
      <c r="BI297"/>
      <c r="BJ297"/>
      <c r="BK297"/>
      <c r="BL297"/>
    </row>
    <row r="298" spans="1:64" s="247" customFormat="1">
      <c r="A298" s="417" t="s">
        <v>47</v>
      </c>
      <c r="B298" s="293"/>
      <c r="C298" s="246"/>
      <c r="D298" s="246"/>
      <c r="E298" s="246"/>
      <c r="F298" s="295"/>
      <c r="G298" s="293"/>
      <c r="H298" s="246"/>
      <c r="I298" s="246"/>
      <c r="J298" s="246"/>
      <c r="K298" s="295"/>
      <c r="L298" s="293"/>
      <c r="M298" s="246"/>
      <c r="N298" s="246"/>
      <c r="O298" s="246"/>
      <c r="P298" s="295"/>
      <c r="Q298" s="293"/>
      <c r="R298" s="246"/>
      <c r="S298" s="246"/>
      <c r="T298" s="246"/>
      <c r="U298" s="295"/>
      <c r="V298" s="293"/>
      <c r="W298" s="246"/>
      <c r="X298" s="246"/>
      <c r="Y298" s="246"/>
      <c r="Z298" s="246"/>
      <c r="AA298" s="293"/>
      <c r="AB298" s="246"/>
      <c r="AC298" s="246"/>
      <c r="AD298" s="246"/>
      <c r="AE298" s="246"/>
      <c r="AF298" s="293"/>
      <c r="AG298" s="246"/>
      <c r="AH298" s="246"/>
      <c r="AI298" s="246"/>
      <c r="AJ298" s="246"/>
      <c r="AK298" s="293"/>
      <c r="AL298" s="246"/>
      <c r="AM298" s="246"/>
      <c r="AN298" s="246"/>
      <c r="AO298" s="246"/>
      <c r="AP298" s="293"/>
      <c r="AQ298" s="88"/>
      <c r="AR298" s="245"/>
      <c r="AS298" s="304"/>
      <c r="AT298" s="304"/>
      <c r="AU298" s="304"/>
      <c r="AV298" s="894"/>
      <c r="AW298" s="304"/>
      <c r="AX298" s="304"/>
      <c r="AY298" s="304"/>
      <c r="AZ298" s="304"/>
      <c r="BA298" s="304"/>
      <c r="BB298" s="304"/>
      <c r="BC298" s="245"/>
      <c r="BG298"/>
      <c r="BH298"/>
      <c r="BI298"/>
      <c r="BJ298"/>
      <c r="BK298"/>
      <c r="BL298"/>
    </row>
    <row r="299" spans="1:64" s="389" customFormat="1" ht="12.75" customHeight="1">
      <c r="A299" s="33" t="s">
        <v>173</v>
      </c>
      <c r="B299" s="380">
        <v>199</v>
      </c>
      <c r="C299" s="298">
        <v>195</v>
      </c>
      <c r="D299" s="298">
        <v>188</v>
      </c>
      <c r="E299" s="298">
        <v>183</v>
      </c>
      <c r="F299" s="298">
        <v>181</v>
      </c>
      <c r="G299" s="380">
        <f>F299</f>
        <v>181</v>
      </c>
      <c r="H299" s="381">
        <v>181</v>
      </c>
      <c r="I299" s="381">
        <v>179</v>
      </c>
      <c r="J299" s="381">
        <v>177</v>
      </c>
      <c r="K299" s="381">
        <v>175</v>
      </c>
      <c r="L299" s="380">
        <f>K299</f>
        <v>175</v>
      </c>
      <c r="M299" s="381">
        <v>175</v>
      </c>
      <c r="N299" s="298">
        <v>174</v>
      </c>
      <c r="O299" s="298">
        <v>174</v>
      </c>
      <c r="P299" s="298">
        <v>174</v>
      </c>
      <c r="Q299" s="380">
        <f t="shared" ref="Q299:Q300" si="436">+P299</f>
        <v>174</v>
      </c>
      <c r="R299" s="381">
        <v>175</v>
      </c>
      <c r="S299" s="298">
        <v>174</v>
      </c>
      <c r="T299" s="298">
        <v>174</v>
      </c>
      <c r="U299" s="298">
        <v>174</v>
      </c>
      <c r="V299" s="380">
        <f>Q299</f>
        <v>174</v>
      </c>
      <c r="W299" s="624">
        <f>U299</f>
        <v>174</v>
      </c>
      <c r="X299" s="624">
        <f t="shared" ref="X299:Z300" si="437">W299</f>
        <v>174</v>
      </c>
      <c r="Y299" s="624">
        <f t="shared" si="437"/>
        <v>174</v>
      </c>
      <c r="Z299" s="624">
        <f t="shared" si="437"/>
        <v>174</v>
      </c>
      <c r="AA299" s="380">
        <f t="shared" ref="AA299:AA300" si="438">+Z299</f>
        <v>174</v>
      </c>
      <c r="AB299" s="624"/>
      <c r="AC299" s="624"/>
      <c r="AD299" s="624"/>
      <c r="AE299" s="624"/>
      <c r="AF299" s="813">
        <f>AA299</f>
        <v>174</v>
      </c>
      <c r="AG299" s="624"/>
      <c r="AH299" s="624"/>
      <c r="AI299" s="624"/>
      <c r="AJ299" s="624"/>
      <c r="AK299" s="813">
        <f>AF299</f>
        <v>174</v>
      </c>
      <c r="AL299" s="624"/>
      <c r="AM299" s="624"/>
      <c r="AN299" s="624"/>
      <c r="AO299" s="624"/>
      <c r="AP299" s="813">
        <f>AK299</f>
        <v>174</v>
      </c>
      <c r="AQ299" s="176"/>
      <c r="AR299" s="71"/>
      <c r="AS299" s="304"/>
      <c r="AT299" s="304"/>
      <c r="AU299" s="304"/>
      <c r="AV299" s="894"/>
      <c r="AW299" s="304"/>
      <c r="AX299" s="304"/>
      <c r="AY299" s="304"/>
      <c r="AZ299" s="304"/>
      <c r="BA299" s="304"/>
      <c r="BB299" s="304"/>
      <c r="BC299" s="71"/>
      <c r="BD299" s="33"/>
      <c r="BE299" s="33"/>
      <c r="BF299" s="33"/>
      <c r="BG299"/>
      <c r="BH299"/>
      <c r="BI299"/>
      <c r="BJ299"/>
      <c r="BK299"/>
      <c r="BL299"/>
    </row>
    <row r="300" spans="1:64" s="389" customFormat="1" ht="12.75" customHeight="1">
      <c r="A300" s="33" t="s">
        <v>174</v>
      </c>
      <c r="B300" s="380">
        <v>0</v>
      </c>
      <c r="C300" s="381">
        <v>0</v>
      </c>
      <c r="D300" s="381">
        <v>0</v>
      </c>
      <c r="E300" s="381">
        <v>0</v>
      </c>
      <c r="F300" s="381">
        <v>0</v>
      </c>
      <c r="G300" s="380">
        <f>F300</f>
        <v>0</v>
      </c>
      <c r="H300" s="381">
        <v>0</v>
      </c>
      <c r="I300" s="381">
        <v>0</v>
      </c>
      <c r="J300" s="381">
        <v>0</v>
      </c>
      <c r="K300" s="381">
        <v>0</v>
      </c>
      <c r="L300" s="380">
        <f>K300</f>
        <v>0</v>
      </c>
      <c r="M300" s="381">
        <v>0</v>
      </c>
      <c r="N300" s="298">
        <v>0</v>
      </c>
      <c r="O300" s="298">
        <v>16</v>
      </c>
      <c r="P300" s="298">
        <v>44</v>
      </c>
      <c r="Q300" s="380">
        <f t="shared" si="436"/>
        <v>44</v>
      </c>
      <c r="R300" s="381">
        <v>0</v>
      </c>
      <c r="S300" s="298">
        <v>0</v>
      </c>
      <c r="T300" s="298">
        <v>16</v>
      </c>
      <c r="U300" s="298">
        <v>44</v>
      </c>
      <c r="V300" s="380">
        <f>Q300</f>
        <v>44</v>
      </c>
      <c r="W300" s="624">
        <f>U300</f>
        <v>44</v>
      </c>
      <c r="X300" s="624">
        <f t="shared" si="437"/>
        <v>44</v>
      </c>
      <c r="Y300" s="624">
        <f t="shared" si="437"/>
        <v>44</v>
      </c>
      <c r="Z300" s="624">
        <f t="shared" si="437"/>
        <v>44</v>
      </c>
      <c r="AA300" s="380">
        <f t="shared" si="438"/>
        <v>44</v>
      </c>
      <c r="AB300" s="624"/>
      <c r="AC300" s="624"/>
      <c r="AD300" s="624"/>
      <c r="AE300" s="624"/>
      <c r="AF300" s="813">
        <f>AA300</f>
        <v>44</v>
      </c>
      <c r="AG300" s="624"/>
      <c r="AH300" s="624"/>
      <c r="AI300" s="624"/>
      <c r="AJ300" s="624"/>
      <c r="AK300" s="813">
        <f>AF300</f>
        <v>44</v>
      </c>
      <c r="AL300" s="624"/>
      <c r="AM300" s="624"/>
      <c r="AN300" s="624"/>
      <c r="AO300" s="624"/>
      <c r="AP300" s="813">
        <f>AK300</f>
        <v>44</v>
      </c>
      <c r="AQ300" s="176"/>
      <c r="AR300" s="71"/>
      <c r="AS300" s="304"/>
      <c r="AT300" s="304"/>
      <c r="AU300" s="304"/>
      <c r="AV300" s="304"/>
      <c r="AW300" s="304"/>
      <c r="AX300" s="304"/>
      <c r="AY300" s="304"/>
      <c r="AZ300" s="304"/>
      <c r="BA300" s="304"/>
      <c r="BB300" s="304"/>
      <c r="BC300" s="71"/>
      <c r="BD300" s="33"/>
      <c r="BE300" s="33"/>
      <c r="BF300" s="33"/>
      <c r="BG300"/>
      <c r="BH300"/>
      <c r="BI300"/>
      <c r="BJ300"/>
      <c r="BK300"/>
      <c r="BL300"/>
    </row>
    <row r="301" spans="1:64" s="389" customFormat="1" ht="12.75" customHeight="1">
      <c r="A301" s="33" t="s">
        <v>175</v>
      </c>
      <c r="B301" s="380">
        <v>12392</v>
      </c>
      <c r="C301" s="381">
        <v>11843</v>
      </c>
      <c r="D301" s="381">
        <v>11164</v>
      </c>
      <c r="E301" s="381">
        <v>10613</v>
      </c>
      <c r="F301" s="381">
        <v>10661</v>
      </c>
      <c r="G301" s="380">
        <f>F301</f>
        <v>10661</v>
      </c>
      <c r="H301" s="381">
        <v>10664</v>
      </c>
      <c r="I301" s="381">
        <v>10634</v>
      </c>
      <c r="J301" s="381">
        <v>10628</v>
      </c>
      <c r="K301" s="381">
        <v>10630</v>
      </c>
      <c r="L301" s="380">
        <f>K301</f>
        <v>10630</v>
      </c>
      <c r="M301" s="381">
        <v>10824</v>
      </c>
      <c r="N301" s="381">
        <v>11087</v>
      </c>
      <c r="O301" s="381">
        <v>11546</v>
      </c>
      <c r="P301" s="381">
        <v>11548</v>
      </c>
      <c r="Q301" s="380">
        <f>+P301</f>
        <v>11548</v>
      </c>
      <c r="R301" s="381">
        <v>10824</v>
      </c>
      <c r="S301" s="381">
        <v>11087</v>
      </c>
      <c r="T301" s="381">
        <v>11546</v>
      </c>
      <c r="U301" s="381">
        <v>11548</v>
      </c>
      <c r="V301" s="380">
        <f>Q301</f>
        <v>11548</v>
      </c>
      <c r="W301" s="381">
        <f>Q301+W243+W263+W245+W246+W259</f>
        <v>12044.112774280391</v>
      </c>
      <c r="X301" s="381">
        <f t="shared" ref="X301:Z301" si="439">W301+X243+X263+X245+X246+X259</f>
        <v>12528.495182303888</v>
      </c>
      <c r="Y301" s="381">
        <f t="shared" si="439"/>
        <v>13086.118872459794</v>
      </c>
      <c r="Z301" s="381">
        <f t="shared" si="439"/>
        <v>13708.747000526837</v>
      </c>
      <c r="AA301" s="380">
        <f>+Z301</f>
        <v>13708.747000526837</v>
      </c>
      <c r="AB301" s="381"/>
      <c r="AC301" s="381"/>
      <c r="AD301" s="381"/>
      <c r="AE301" s="381"/>
      <c r="AF301" s="380">
        <f>AA301+AF243+AF263+AF245+AF246+AF259</f>
        <v>15147.50576979198</v>
      </c>
      <c r="AG301" s="381"/>
      <c r="AH301" s="381"/>
      <c r="AI301" s="381"/>
      <c r="AJ301" s="381"/>
      <c r="AK301" s="380">
        <f>AF301+AK243+AK263+AK245+AK246+AK259</f>
        <v>16278.867240644558</v>
      </c>
      <c r="AL301" s="381"/>
      <c r="AM301" s="381"/>
      <c r="AN301" s="381"/>
      <c r="AO301" s="381"/>
      <c r="AP301" s="380">
        <f>AK301+AP243+AP263+AP245+AP246+AP259</f>
        <v>17145.664336880356</v>
      </c>
      <c r="AQ301" s="176"/>
      <c r="AR301" s="71"/>
      <c r="AS301" s="304"/>
      <c r="AT301" s="304"/>
      <c r="AU301" s="304"/>
      <c r="AV301" s="894"/>
      <c r="AW301" s="304"/>
      <c r="AX301" s="304"/>
      <c r="AY301" s="304"/>
      <c r="AZ301" s="304"/>
      <c r="BA301" s="304"/>
      <c r="BB301" s="304"/>
      <c r="BC301" s="71"/>
      <c r="BD301" s="33"/>
      <c r="BE301" s="33"/>
      <c r="BF301" s="33"/>
      <c r="BG301"/>
      <c r="BH301"/>
      <c r="BI301"/>
      <c r="BJ301"/>
      <c r="BK301"/>
      <c r="BL301"/>
    </row>
    <row r="302" spans="1:64" s="389" customFormat="1" ht="12.75" customHeight="1">
      <c r="A302" s="33" t="s">
        <v>176</v>
      </c>
      <c r="B302" s="380">
        <v>-5356</v>
      </c>
      <c r="C302" s="381">
        <v>-5290</v>
      </c>
      <c r="D302" s="381">
        <v>-5181</v>
      </c>
      <c r="E302" s="381">
        <v>-5099</v>
      </c>
      <c r="F302" s="381">
        <v>-5320</v>
      </c>
      <c r="G302" s="380">
        <f>F302</f>
        <v>-5320</v>
      </c>
      <c r="H302" s="381">
        <v>-5224</v>
      </c>
      <c r="I302" s="381">
        <v>-5132</v>
      </c>
      <c r="J302" s="381">
        <v>-5038</v>
      </c>
      <c r="K302" s="381">
        <v>-5546</v>
      </c>
      <c r="L302" s="380">
        <f>K302</f>
        <v>-5546</v>
      </c>
      <c r="M302" s="381">
        <v>-5441</v>
      </c>
      <c r="N302" s="381">
        <v>-5342</v>
      </c>
      <c r="O302" s="381">
        <v>-5243</v>
      </c>
      <c r="P302" s="381">
        <v>-4718</v>
      </c>
      <c r="Q302" s="380">
        <f>+P302</f>
        <v>-4718</v>
      </c>
      <c r="R302" s="381">
        <v>-5441</v>
      </c>
      <c r="S302" s="381">
        <v>-5342</v>
      </c>
      <c r="T302" s="381">
        <v>-5243</v>
      </c>
      <c r="U302" s="381">
        <v>-4718</v>
      </c>
      <c r="V302" s="380">
        <f>Q302</f>
        <v>-4718</v>
      </c>
      <c r="W302" s="381">
        <v>-4587.5799921146254</v>
      </c>
      <c r="X302" s="381">
        <v>-4457.1599842292508</v>
      </c>
      <c r="Y302" s="381">
        <v>-13526.739976343875</v>
      </c>
      <c r="Z302" s="381">
        <v>-13396.3199684585</v>
      </c>
      <c r="AA302" s="380">
        <f>+Z302</f>
        <v>-13396.3199684585</v>
      </c>
      <c r="AB302" s="381"/>
      <c r="AC302" s="381"/>
      <c r="AD302" s="381"/>
      <c r="AE302" s="381"/>
      <c r="AF302" s="380">
        <v>-12659.081447643068</v>
      </c>
      <c r="AG302" s="381"/>
      <c r="AH302" s="381"/>
      <c r="AI302" s="381"/>
      <c r="AJ302" s="381"/>
      <c r="AK302" s="380">
        <v>-11918.682926827636</v>
      </c>
      <c r="AL302" s="381"/>
      <c r="AM302" s="381"/>
      <c r="AN302" s="381"/>
      <c r="AO302" s="381"/>
      <c r="AP302" s="380">
        <v>-11175.124406012204</v>
      </c>
      <c r="AQ302" s="176"/>
      <c r="AR302" s="71"/>
      <c r="AS302" s="304"/>
      <c r="AT302" s="304"/>
      <c r="AU302" s="894"/>
      <c r="AV302" s="894"/>
      <c r="AW302" s="304"/>
      <c r="AX302" s="304"/>
      <c r="AY302" s="304"/>
      <c r="AZ302" s="304"/>
      <c r="BA302" s="304"/>
      <c r="BB302" s="304"/>
      <c r="BC302" s="71"/>
      <c r="BD302" s="33"/>
      <c r="BE302" s="33"/>
      <c r="BF302" s="33"/>
      <c r="BG302"/>
      <c r="BH302"/>
      <c r="BI302"/>
      <c r="BJ302"/>
      <c r="BK302"/>
      <c r="BL302"/>
    </row>
    <row r="303" spans="1:64" s="389" customFormat="1" ht="12.75" customHeight="1">
      <c r="A303" s="115" t="s">
        <v>177</v>
      </c>
      <c r="B303" s="427">
        <f>SUM(B299:B302)</f>
        <v>7235</v>
      </c>
      <c r="C303" s="428">
        <f>SUM(C299:C302)</f>
        <v>6748</v>
      </c>
      <c r="D303" s="428">
        <f>SUM(D299:D302)</f>
        <v>6171</v>
      </c>
      <c r="E303" s="428">
        <f>SUM(E299:E302)</f>
        <v>5697</v>
      </c>
      <c r="F303" s="428">
        <f t="shared" ref="F303:Z303" si="440">SUM(F299:F302)</f>
        <v>5522</v>
      </c>
      <c r="G303" s="427">
        <f t="shared" si="440"/>
        <v>5522</v>
      </c>
      <c r="H303" s="428">
        <f t="shared" si="440"/>
        <v>5621</v>
      </c>
      <c r="I303" s="428">
        <f t="shared" si="440"/>
        <v>5681</v>
      </c>
      <c r="J303" s="428">
        <f t="shared" si="440"/>
        <v>5767</v>
      </c>
      <c r="K303" s="428">
        <f t="shared" si="440"/>
        <v>5259</v>
      </c>
      <c r="L303" s="858">
        <f t="shared" si="440"/>
        <v>5259</v>
      </c>
      <c r="M303" s="428">
        <f>SUM(M299:M302)</f>
        <v>5558</v>
      </c>
      <c r="N303" s="428">
        <f>SUM(N299:N302)</f>
        <v>5919</v>
      </c>
      <c r="O303" s="428">
        <f>SUM(O299:O302)</f>
        <v>6493</v>
      </c>
      <c r="P303" s="428">
        <f>SUM(P299:P302)</f>
        <v>7048</v>
      </c>
      <c r="Q303" s="427">
        <f t="shared" si="440"/>
        <v>7048</v>
      </c>
      <c r="R303" s="850">
        <f>SUM(R299:R302)</f>
        <v>5558</v>
      </c>
      <c r="S303" s="428">
        <f>SUM(S299:S302)</f>
        <v>5919</v>
      </c>
      <c r="T303" s="428">
        <f>SUM(T299:T302)</f>
        <v>6493</v>
      </c>
      <c r="U303" s="428">
        <f>SUM(U299:U302)</f>
        <v>7048</v>
      </c>
      <c r="V303" s="427">
        <f t="shared" ref="V303" si="441">SUM(V299:V302)</f>
        <v>7048</v>
      </c>
      <c r="W303" s="428">
        <f t="shared" si="440"/>
        <v>7674.5327821657656</v>
      </c>
      <c r="X303" s="428">
        <f t="shared" si="440"/>
        <v>8289.3351980746374</v>
      </c>
      <c r="Y303" s="428">
        <f t="shared" si="440"/>
        <v>-222.62110388408109</v>
      </c>
      <c r="Z303" s="428">
        <f t="shared" si="440"/>
        <v>530.42703206833721</v>
      </c>
      <c r="AA303" s="427">
        <f>SUM(AA299:AA302)</f>
        <v>530.42703206833721</v>
      </c>
      <c r="AB303" s="428"/>
      <c r="AC303" s="428"/>
      <c r="AD303" s="428"/>
      <c r="AE303" s="428"/>
      <c r="AF303" s="427">
        <f>SUM(AF299:AF302)</f>
        <v>2706.4243221489123</v>
      </c>
      <c r="AG303" s="428"/>
      <c r="AH303" s="428"/>
      <c r="AI303" s="428"/>
      <c r="AJ303" s="428"/>
      <c r="AK303" s="427">
        <f>SUM(AK299:AK302)</f>
        <v>4578.1843138169224</v>
      </c>
      <c r="AL303" s="428"/>
      <c r="AM303" s="428"/>
      <c r="AN303" s="428"/>
      <c r="AO303" s="428"/>
      <c r="AP303" s="427">
        <f>SUM(AP299:AP302)</f>
        <v>6188.5399308681517</v>
      </c>
      <c r="AQ303" s="388"/>
      <c r="AR303" s="71"/>
      <c r="AS303" s="900"/>
      <c r="AT303" s="900"/>
      <c r="AU303" s="903"/>
      <c r="AV303" s="903"/>
      <c r="AW303" s="900"/>
      <c r="AX303" s="900"/>
      <c r="AY303" s="900"/>
      <c r="AZ303" s="900"/>
      <c r="BA303" s="900"/>
      <c r="BB303" s="900"/>
      <c r="BC303" s="71"/>
      <c r="BD303" s="33"/>
      <c r="BE303" s="33"/>
      <c r="BF303" s="33"/>
      <c r="BG303"/>
      <c r="BH303"/>
      <c r="BI303"/>
      <c r="BJ303"/>
      <c r="BK303"/>
      <c r="BL303"/>
    </row>
    <row r="304" spans="1:64" s="389" customFormat="1" ht="12.75" customHeight="1">
      <c r="A304" s="115" t="s">
        <v>180</v>
      </c>
      <c r="B304" s="427">
        <f>SUM(B297,B303)</f>
        <v>26572</v>
      </c>
      <c r="C304" s="428">
        <f>SUM(C297,C303)</f>
        <v>25266</v>
      </c>
      <c r="D304" s="428">
        <f>SUM(D297,D303)</f>
        <v>24552</v>
      </c>
      <c r="E304" s="428">
        <f>SUM(E297,E303)</f>
        <v>23966</v>
      </c>
      <c r="F304" s="428">
        <f>SUM(F297,F303)</f>
        <v>24424</v>
      </c>
      <c r="G304" s="427">
        <f t="shared" ref="G304:Z304" si="442">SUM(G297,G303)</f>
        <v>24424</v>
      </c>
      <c r="H304" s="428">
        <f t="shared" si="442"/>
        <v>23933</v>
      </c>
      <c r="I304" s="428">
        <f t="shared" si="442"/>
        <v>24081</v>
      </c>
      <c r="J304" s="428">
        <f t="shared" si="442"/>
        <v>24100</v>
      </c>
      <c r="K304" s="428">
        <f t="shared" si="442"/>
        <v>25614</v>
      </c>
      <c r="L304" s="427">
        <f t="shared" si="442"/>
        <v>25614</v>
      </c>
      <c r="M304" s="428">
        <f>SUM(M297,M303)</f>
        <v>25413</v>
      </c>
      <c r="N304" s="428">
        <f>SUM(N297,N303)</f>
        <v>25813</v>
      </c>
      <c r="O304" s="428">
        <f>SUM(O297,O303)</f>
        <v>26513</v>
      </c>
      <c r="P304" s="428">
        <f>SUM(P297,P303)</f>
        <v>34917</v>
      </c>
      <c r="Q304" s="427">
        <f t="shared" si="442"/>
        <v>34917</v>
      </c>
      <c r="R304" s="428">
        <f>SUM(R297,R303)</f>
        <v>25413</v>
      </c>
      <c r="S304" s="428">
        <f>SUM(S297,S303)</f>
        <v>25813</v>
      </c>
      <c r="T304" s="428">
        <f>SUM(T297,T303)</f>
        <v>26513</v>
      </c>
      <c r="U304" s="428">
        <f>SUM(U297,U303)</f>
        <v>34917</v>
      </c>
      <c r="V304" s="427">
        <f t="shared" ref="V304" si="443">SUM(V297,V303)</f>
        <v>34917</v>
      </c>
      <c r="W304" s="428">
        <f t="shared" si="442"/>
        <v>34457.837994795897</v>
      </c>
      <c r="X304" s="428">
        <f t="shared" si="442"/>
        <v>34230.115521195519</v>
      </c>
      <c r="Y304" s="428">
        <f t="shared" si="442"/>
        <v>26710.57224647118</v>
      </c>
      <c r="Z304" s="428">
        <f t="shared" si="442"/>
        <v>28115.431766876565</v>
      </c>
      <c r="AA304" s="427">
        <f>SUM(AA297,AA303)</f>
        <v>28115.431766876565</v>
      </c>
      <c r="AB304" s="428"/>
      <c r="AC304" s="428"/>
      <c r="AD304" s="428"/>
      <c r="AE304" s="428"/>
      <c r="AF304" s="427">
        <f>SUM(AF297,AF303)</f>
        <v>29609.945400853419</v>
      </c>
      <c r="AG304" s="428"/>
      <c r="AH304" s="428"/>
      <c r="AI304" s="428"/>
      <c r="AJ304" s="428"/>
      <c r="AK304" s="427">
        <f>SUM(AK297,AK303)</f>
        <v>29990.272068026847</v>
      </c>
      <c r="AL304" s="428"/>
      <c r="AM304" s="428"/>
      <c r="AN304" s="428"/>
      <c r="AO304" s="428"/>
      <c r="AP304" s="427">
        <f>SUM(AP297,AP303)</f>
        <v>30125.229905932723</v>
      </c>
      <c r="AQ304" s="388"/>
      <c r="AR304" s="71"/>
      <c r="AS304" s="304"/>
      <c r="AT304" s="304"/>
      <c r="AU304" s="894"/>
      <c r="AV304" s="894"/>
      <c r="AW304" s="304"/>
      <c r="AX304" s="304"/>
      <c r="AY304" s="304"/>
      <c r="AZ304" s="304"/>
      <c r="BA304" s="304"/>
      <c r="BB304" s="304"/>
      <c r="BC304" s="71"/>
      <c r="BD304" s="33"/>
      <c r="BE304" s="33"/>
      <c r="BF304" s="33"/>
      <c r="BG304"/>
      <c r="BH304"/>
      <c r="BI304"/>
      <c r="BJ304"/>
      <c r="BK304"/>
      <c r="BL304"/>
    </row>
    <row r="305" spans="1:65" ht="12.75" customHeight="1">
      <c r="A305" s="430" t="s">
        <v>181</v>
      </c>
      <c r="B305" s="431">
        <f t="shared" ref="B305:Q305" si="444">B284-B304</f>
        <v>0</v>
      </c>
      <c r="C305" s="432">
        <f t="shared" si="444"/>
        <v>0</v>
      </c>
      <c r="D305" s="432">
        <f t="shared" si="444"/>
        <v>0</v>
      </c>
      <c r="E305" s="432">
        <f t="shared" si="444"/>
        <v>0</v>
      </c>
      <c r="F305" s="432">
        <f t="shared" si="444"/>
        <v>0</v>
      </c>
      <c r="G305" s="431">
        <f t="shared" si="444"/>
        <v>0</v>
      </c>
      <c r="H305" s="432">
        <f t="shared" si="444"/>
        <v>0</v>
      </c>
      <c r="I305" s="432">
        <f t="shared" si="444"/>
        <v>0</v>
      </c>
      <c r="J305" s="432">
        <f t="shared" si="444"/>
        <v>0</v>
      </c>
      <c r="K305" s="432">
        <f t="shared" si="444"/>
        <v>0</v>
      </c>
      <c r="L305" s="431">
        <f t="shared" si="444"/>
        <v>0</v>
      </c>
      <c r="M305" s="432">
        <f t="shared" si="444"/>
        <v>0</v>
      </c>
      <c r="N305" s="432">
        <f t="shared" si="444"/>
        <v>0</v>
      </c>
      <c r="O305" s="432">
        <f t="shared" si="444"/>
        <v>0</v>
      </c>
      <c r="P305" s="432">
        <f t="shared" si="444"/>
        <v>0</v>
      </c>
      <c r="Q305" s="431">
        <f t="shared" si="444"/>
        <v>0</v>
      </c>
      <c r="R305" s="432">
        <f t="shared" ref="R305:U305" si="445">R284-R304</f>
        <v>0</v>
      </c>
      <c r="S305" s="432">
        <f t="shared" si="445"/>
        <v>0</v>
      </c>
      <c r="T305" s="432">
        <f t="shared" si="445"/>
        <v>0</v>
      </c>
      <c r="U305" s="432">
        <f t="shared" si="445"/>
        <v>0</v>
      </c>
      <c r="V305" s="431">
        <f>V284-V304</f>
        <v>0</v>
      </c>
      <c r="W305" s="432">
        <f t="shared" ref="W305:Z305" si="446">W284-W304</f>
        <v>0</v>
      </c>
      <c r="X305" s="432">
        <f t="shared" si="446"/>
        <v>0</v>
      </c>
      <c r="Y305" s="432">
        <f t="shared" si="446"/>
        <v>0</v>
      </c>
      <c r="Z305" s="432">
        <f t="shared" si="446"/>
        <v>0</v>
      </c>
      <c r="AA305" s="431">
        <f>AA284-AA304</f>
        <v>0</v>
      </c>
      <c r="AB305" s="432"/>
      <c r="AC305" s="432"/>
      <c r="AD305" s="432"/>
      <c r="AE305" s="432"/>
      <c r="AF305" s="431">
        <f>AF284-AF304</f>
        <v>0</v>
      </c>
      <c r="AG305" s="432"/>
      <c r="AH305" s="432"/>
      <c r="AI305" s="432"/>
      <c r="AJ305" s="432"/>
      <c r="AK305" s="431">
        <f>AK284-AK304</f>
        <v>0</v>
      </c>
      <c r="AL305" s="432"/>
      <c r="AM305" s="432"/>
      <c r="AN305" s="432"/>
      <c r="AO305" s="432"/>
      <c r="AP305" s="431">
        <f>AP284-AP304</f>
        <v>0</v>
      </c>
      <c r="AQ305" s="433"/>
      <c r="AR305" s="105"/>
      <c r="AS305" s="664"/>
      <c r="AT305" s="664"/>
      <c r="AU305" s="664"/>
      <c r="AV305" s="664"/>
      <c r="AW305" s="664"/>
      <c r="AX305" s="664"/>
      <c r="AY305" s="664"/>
      <c r="AZ305" s="664"/>
      <c r="BA305" s="664"/>
      <c r="BB305" s="664"/>
      <c r="BC305" s="105"/>
      <c r="BD305" s="29"/>
      <c r="BE305" s="29"/>
      <c r="BF305" s="29"/>
    </row>
    <row r="306" spans="1:65" ht="12.75" customHeight="1">
      <c r="A306" s="434"/>
      <c r="B306" s="435"/>
      <c r="C306" s="436"/>
      <c r="D306" s="436"/>
      <c r="E306" s="436"/>
      <c r="F306" s="436"/>
      <c r="G306" s="435"/>
      <c r="H306" s="436"/>
      <c r="I306" s="436"/>
      <c r="J306" s="436"/>
      <c r="K306" s="436"/>
      <c r="L306" s="435"/>
      <c r="M306" s="436"/>
      <c r="N306" s="436"/>
      <c r="O306" s="436"/>
      <c r="P306" s="436"/>
      <c r="Q306" s="833">
        <f>+Q305-L305</f>
        <v>0</v>
      </c>
      <c r="R306" s="436"/>
      <c r="S306" s="436"/>
      <c r="T306" s="436"/>
      <c r="U306" s="436"/>
      <c r="V306" s="833">
        <f>+V305-Q305</f>
        <v>0</v>
      </c>
      <c r="W306" s="436"/>
      <c r="X306" s="436"/>
      <c r="Y306" s="436"/>
      <c r="Z306" s="436"/>
      <c r="AA306" s="833">
        <f>+AA305-Q305</f>
        <v>0</v>
      </c>
      <c r="AB306" s="436"/>
      <c r="AC306" s="436"/>
      <c r="AD306" s="436"/>
      <c r="AE306" s="436"/>
      <c r="AF306" s="833">
        <f>+AF305-AA305</f>
        <v>0</v>
      </c>
      <c r="AG306" s="436"/>
      <c r="AH306" s="436"/>
      <c r="AI306" s="436"/>
      <c r="AJ306" s="436"/>
      <c r="AK306" s="833">
        <f>+AK305-AF305</f>
        <v>0</v>
      </c>
      <c r="AL306" s="436"/>
      <c r="AM306" s="436"/>
      <c r="AN306" s="436"/>
      <c r="AO306" s="436"/>
      <c r="AP306" s="833">
        <f>+AP305-AK305</f>
        <v>0</v>
      </c>
      <c r="AQ306" s="433"/>
      <c r="AR306" s="105"/>
      <c r="AS306" s="664"/>
      <c r="AT306" s="664"/>
      <c r="AU306" s="664"/>
      <c r="AV306" s="664"/>
      <c r="AW306" s="664"/>
      <c r="AX306" s="664"/>
      <c r="AY306" s="664"/>
      <c r="AZ306" s="664"/>
      <c r="BA306" s="664"/>
      <c r="BB306" s="664"/>
      <c r="BC306" s="105"/>
      <c r="BD306" s="29"/>
      <c r="BE306" s="29"/>
      <c r="BF306" s="29"/>
    </row>
    <row r="307" spans="1:65" s="247" customFormat="1" ht="12" hidden="1" customHeight="1">
      <c r="A307" s="117" t="s">
        <v>48</v>
      </c>
      <c r="B307" s="437"/>
      <c r="C307" s="245"/>
      <c r="D307" s="245"/>
      <c r="E307" s="245"/>
      <c r="F307" s="438"/>
      <c r="G307" s="437"/>
      <c r="H307" s="245"/>
      <c r="I307" s="245"/>
      <c r="J307" s="245"/>
      <c r="K307" s="438"/>
      <c r="L307" s="437"/>
      <c r="M307" s="245"/>
      <c r="N307" s="245"/>
      <c r="O307" s="245"/>
      <c r="P307" s="438"/>
      <c r="Q307" s="437"/>
      <c r="R307" s="245"/>
      <c r="S307" s="245"/>
      <c r="T307" s="245"/>
      <c r="U307" s="438"/>
      <c r="V307" s="437"/>
      <c r="W307" s="245"/>
      <c r="X307" s="245"/>
      <c r="Y307" s="245"/>
      <c r="Z307" s="438"/>
      <c r="AA307" s="437"/>
      <c r="AB307" s="245"/>
      <c r="AC307" s="245"/>
      <c r="AD307" s="245"/>
      <c r="AE307" s="438"/>
      <c r="AF307" s="437"/>
      <c r="AG307" s="245"/>
      <c r="AH307" s="245"/>
      <c r="AI307" s="245"/>
      <c r="AJ307" s="438"/>
      <c r="AK307" s="437"/>
      <c r="AL307" s="245"/>
      <c r="AM307" s="245"/>
      <c r="AN307" s="245"/>
      <c r="AO307" s="438"/>
      <c r="AP307" s="437"/>
      <c r="AQ307" s="88"/>
      <c r="AR307" s="245"/>
      <c r="AS307" s="304"/>
      <c r="AT307" s="304"/>
      <c r="AU307" s="304"/>
      <c r="AV307" s="304"/>
      <c r="AW307" s="304"/>
      <c r="AX307" s="304"/>
      <c r="AY307" s="304"/>
      <c r="AZ307" s="304"/>
      <c r="BA307" s="304"/>
      <c r="BB307" s="304"/>
      <c r="BC307" s="245"/>
      <c r="BD307" s="86"/>
      <c r="BE307" s="86"/>
      <c r="BF307" s="86"/>
      <c r="BG307"/>
      <c r="BH307"/>
      <c r="BI307"/>
      <c r="BJ307"/>
      <c r="BK307"/>
      <c r="BL307"/>
      <c r="BM307" s="86"/>
    </row>
    <row r="308" spans="1:65" s="81" customFormat="1" hidden="1">
      <c r="A308" s="14" t="s">
        <v>49</v>
      </c>
      <c r="B308" s="439"/>
      <c r="C308" s="440"/>
      <c r="D308" s="440"/>
      <c r="E308" s="440"/>
      <c r="F308" s="441"/>
      <c r="G308" s="439"/>
      <c r="H308" s="440"/>
      <c r="I308" s="440"/>
      <c r="J308" s="440"/>
      <c r="K308" s="441"/>
      <c r="L308" s="439"/>
      <c r="M308" s="440"/>
      <c r="N308" s="440"/>
      <c r="O308" s="440"/>
      <c r="P308" s="441"/>
      <c r="Q308" s="439"/>
      <c r="R308" s="440"/>
      <c r="S308" s="440"/>
      <c r="T308" s="440"/>
      <c r="U308" s="441"/>
      <c r="V308" s="439"/>
      <c r="W308" s="440"/>
      <c r="X308" s="440"/>
      <c r="Y308" s="440"/>
      <c r="Z308" s="441"/>
      <c r="AA308" s="439"/>
      <c r="AB308" s="440"/>
      <c r="AC308" s="440"/>
      <c r="AD308" s="440"/>
      <c r="AE308" s="441"/>
      <c r="AF308" s="439"/>
      <c r="AG308" s="440"/>
      <c r="AH308" s="440"/>
      <c r="AI308" s="440"/>
      <c r="AJ308" s="441"/>
      <c r="AK308" s="439"/>
      <c r="AL308" s="440"/>
      <c r="AM308" s="440"/>
      <c r="AN308" s="440"/>
      <c r="AO308" s="441"/>
      <c r="AP308" s="439"/>
      <c r="AQ308" s="98"/>
      <c r="AR308" s="79"/>
      <c r="AS308" s="619"/>
      <c r="AT308" s="619"/>
      <c r="AU308" s="619"/>
      <c r="AV308" s="619"/>
      <c r="AW308" s="619"/>
      <c r="AX308" s="619"/>
      <c r="AY308" s="619"/>
      <c r="AZ308" s="619"/>
      <c r="BA308" s="619"/>
      <c r="BB308" s="619"/>
      <c r="BC308" s="79"/>
      <c r="BD308" s="80"/>
      <c r="BE308" s="80"/>
      <c r="BF308" s="80"/>
      <c r="BG308"/>
      <c r="BH308"/>
      <c r="BI308"/>
      <c r="BJ308"/>
      <c r="BK308"/>
      <c r="BL308"/>
      <c r="BM308" s="80"/>
    </row>
    <row r="309" spans="1:65" s="81" customFormat="1" hidden="1">
      <c r="A309" s="187" t="s">
        <v>50</v>
      </c>
      <c r="B309" s="188">
        <f>B210/B180</f>
        <v>8.6283831686058632E-2</v>
      </c>
      <c r="C309" s="442"/>
      <c r="D309" s="442"/>
      <c r="E309" s="442"/>
      <c r="F309" s="443"/>
      <c r="G309" s="188">
        <f>G210/G180</f>
        <v>8.458726515344725E-2</v>
      </c>
      <c r="H309" s="442"/>
      <c r="I309" s="442"/>
      <c r="J309" s="442"/>
      <c r="K309" s="443"/>
      <c r="L309" s="188">
        <f>L210/L180</f>
        <v>8.9766606822262118E-2</v>
      </c>
      <c r="M309" s="442"/>
      <c r="N309" s="442"/>
      <c r="O309" s="442"/>
      <c r="P309" s="443"/>
      <c r="Q309" s="188">
        <f>Q210/Q180</f>
        <v>9.0377087935511372E-2</v>
      </c>
      <c r="R309" s="442"/>
      <c r="S309" s="442"/>
      <c r="T309" s="442"/>
      <c r="U309" s="443"/>
      <c r="V309" s="188">
        <f>V210/V180</f>
        <v>7.6718966312874948E-2</v>
      </c>
      <c r="W309" s="442"/>
      <c r="X309" s="442"/>
      <c r="Y309" s="442"/>
      <c r="Z309" s="443"/>
      <c r="AA309" s="188">
        <f>AA210/AA180</f>
        <v>9.5685489082357258E-2</v>
      </c>
      <c r="AB309" s="442"/>
      <c r="AC309" s="442"/>
      <c r="AD309" s="442"/>
      <c r="AE309" s="443"/>
      <c r="AF309" s="188">
        <f>AF210/AF180</f>
        <v>9.693698857130835E-2</v>
      </c>
      <c r="AG309" s="442"/>
      <c r="AH309" s="442"/>
      <c r="AI309" s="442"/>
      <c r="AJ309" s="443"/>
      <c r="AK309" s="188">
        <f>AK210/AK180</f>
        <v>9.448935917002968E-2</v>
      </c>
      <c r="AL309" s="442"/>
      <c r="AM309" s="442"/>
      <c r="AN309" s="442"/>
      <c r="AO309" s="443"/>
      <c r="AP309" s="188">
        <f>AP210/AP180</f>
        <v>9.5641138785008031E-2</v>
      </c>
      <c r="AQ309" s="98"/>
      <c r="AR309" s="79"/>
      <c r="AS309" s="619"/>
      <c r="AT309" s="619"/>
      <c r="AU309" s="619"/>
      <c r="AV309" s="619"/>
      <c r="AW309" s="619"/>
      <c r="AX309" s="619"/>
      <c r="AY309" s="619"/>
      <c r="AZ309" s="619"/>
      <c r="BA309" s="619"/>
      <c r="BB309" s="619"/>
      <c r="BC309" s="79"/>
      <c r="BD309" s="80"/>
      <c r="BE309" s="80"/>
      <c r="BF309" s="80"/>
      <c r="BG309"/>
      <c r="BH309"/>
      <c r="BI309"/>
      <c r="BJ309"/>
      <c r="BK309"/>
      <c r="BL309"/>
      <c r="BM309" s="80"/>
    </row>
    <row r="310" spans="1:65" s="81" customFormat="1" hidden="1">
      <c r="A310" s="187" t="s">
        <v>51</v>
      </c>
      <c r="B310" s="188">
        <f>B180/B320</f>
        <v>0.90241607707361127</v>
      </c>
      <c r="C310" s="442"/>
      <c r="D310" s="442"/>
      <c r="E310" s="442"/>
      <c r="F310" s="443"/>
      <c r="G310" s="188">
        <f>G180/G320</f>
        <v>0.96323288568621024</v>
      </c>
      <c r="H310" s="442"/>
      <c r="I310" s="442"/>
      <c r="J310" s="442"/>
      <c r="K310" s="443"/>
      <c r="L310" s="188">
        <f>L180/L320</f>
        <v>0.9568204887951901</v>
      </c>
      <c r="M310" s="442"/>
      <c r="N310" s="442"/>
      <c r="O310" s="442"/>
      <c r="P310" s="443"/>
      <c r="Q310" s="188">
        <f>Q180/Q320</f>
        <v>0.73898101211444278</v>
      </c>
      <c r="R310" s="442"/>
      <c r="S310" s="442"/>
      <c r="T310" s="442"/>
      <c r="U310" s="443"/>
      <c r="V310" s="188">
        <f>V180/V320</f>
        <v>0.74473752040553309</v>
      </c>
      <c r="W310" s="442"/>
      <c r="X310" s="442"/>
      <c r="Y310" s="442"/>
      <c r="Z310" s="443"/>
      <c r="AA310" s="188">
        <f>AA180/AA320</f>
        <v>1.040689750208273</v>
      </c>
      <c r="AB310" s="442"/>
      <c r="AC310" s="442"/>
      <c r="AD310" s="442"/>
      <c r="AE310" s="443"/>
      <c r="AF310" s="188">
        <f>AF180/AF320</f>
        <v>1.1431213196864918</v>
      </c>
      <c r="AG310" s="442"/>
      <c r="AH310" s="442"/>
      <c r="AI310" s="442"/>
      <c r="AJ310" s="443"/>
      <c r="AK310" s="188">
        <f>AK180/AK320</f>
        <v>1.2117896769337171</v>
      </c>
      <c r="AL310" s="442"/>
      <c r="AM310" s="442"/>
      <c r="AN310" s="442"/>
      <c r="AO310" s="443"/>
      <c r="AP310" s="188">
        <f>AP180/AP320</f>
        <v>1.2753146982822672</v>
      </c>
      <c r="AQ310" s="98"/>
      <c r="AR310" s="79"/>
      <c r="AS310" s="619"/>
      <c r="AT310" s="619"/>
      <c r="AU310" s="619"/>
      <c r="AV310" s="619"/>
      <c r="AW310" s="619"/>
      <c r="AX310" s="619"/>
      <c r="AY310" s="619"/>
      <c r="AZ310" s="619"/>
      <c r="BA310" s="619"/>
      <c r="BB310" s="619"/>
      <c r="BC310" s="79"/>
      <c r="BD310" s="80"/>
      <c r="BE310" s="80"/>
      <c r="BF310" s="80"/>
      <c r="BG310"/>
      <c r="BH310"/>
      <c r="BI310"/>
      <c r="BJ310"/>
      <c r="BK310"/>
      <c r="BL310"/>
      <c r="BM310" s="80"/>
    </row>
    <row r="311" spans="1:65" s="81" customFormat="1" hidden="1">
      <c r="A311" s="187" t="s">
        <v>52</v>
      </c>
      <c r="B311" s="188" t="e">
        <f>B210/AVERAGE(#REF!,B320)</f>
        <v>#REF!</v>
      </c>
      <c r="C311" s="442"/>
      <c r="D311" s="442"/>
      <c r="E311" s="442"/>
      <c r="F311" s="443"/>
      <c r="G311" s="188">
        <f>G210/AVERAGE(B320,G320)</f>
        <v>7.8045336889167774E-2</v>
      </c>
      <c r="H311" s="442"/>
      <c r="I311" s="442"/>
      <c r="J311" s="442"/>
      <c r="K311" s="443"/>
      <c r="L311" s="188">
        <f>L210/AVERAGE(G320,L320)</f>
        <v>8.7933170790199452E-2</v>
      </c>
      <c r="M311" s="442"/>
      <c r="N311" s="442"/>
      <c r="O311" s="442"/>
      <c r="P311" s="443"/>
      <c r="Q311" s="188">
        <f>Q210/AVERAGE(L320,Q320)</f>
        <v>7.705142819381805E-2</v>
      </c>
      <c r="R311" s="442"/>
      <c r="S311" s="442"/>
      <c r="T311" s="442"/>
      <c r="U311" s="443"/>
      <c r="V311" s="188">
        <f>V210/AVERAGE(Q320,V320)</f>
        <v>5.7135492739926109E-2</v>
      </c>
      <c r="W311" s="442"/>
      <c r="X311" s="442"/>
      <c r="Y311" s="442"/>
      <c r="Z311" s="443"/>
      <c r="AA311" s="188">
        <f>AA210/AVERAGE(Q320,AA320)</f>
        <v>8.8833760883750015E-2</v>
      </c>
      <c r="AB311" s="442"/>
      <c r="AC311" s="442"/>
      <c r="AD311" s="442"/>
      <c r="AE311" s="443"/>
      <c r="AF311" s="188">
        <f>AF210/AVERAGE(AA320,AF320)</f>
        <v>0.11367963526401081</v>
      </c>
      <c r="AG311" s="442"/>
      <c r="AH311" s="442"/>
      <c r="AI311" s="442"/>
      <c r="AJ311" s="443"/>
      <c r="AK311" s="188">
        <f>AK210/AVERAGE(AF320,AK320)</f>
        <v>0.11523189633615749</v>
      </c>
      <c r="AL311" s="442"/>
      <c r="AM311" s="442"/>
      <c r="AN311" s="442"/>
      <c r="AO311" s="443"/>
      <c r="AP311" s="188">
        <f>AP210/AVERAGE(AK320,AP320)</f>
        <v>0.12224637545737975</v>
      </c>
      <c r="AQ311" s="98"/>
      <c r="AR311" s="79"/>
      <c r="AS311" s="619"/>
      <c r="AT311" s="619"/>
      <c r="AU311" s="619"/>
      <c r="AV311" s="619"/>
      <c r="AW311" s="619"/>
      <c r="AX311" s="619"/>
      <c r="AY311" s="619"/>
      <c r="AZ311" s="619"/>
      <c r="BA311" s="619"/>
      <c r="BB311" s="619"/>
      <c r="BC311" s="79"/>
      <c r="BD311" s="80"/>
      <c r="BE311" s="80"/>
      <c r="BF311" s="80"/>
      <c r="BG311"/>
      <c r="BH311"/>
      <c r="BI311"/>
      <c r="BJ311"/>
      <c r="BK311"/>
      <c r="BL311"/>
      <c r="BM311" s="80"/>
    </row>
    <row r="312" spans="1:65" s="81" customFormat="1" hidden="1">
      <c r="A312" s="187" t="s">
        <v>53</v>
      </c>
      <c r="B312" s="188">
        <f>B320/B322</f>
        <v>3.6727021423635109</v>
      </c>
      <c r="C312" s="442"/>
      <c r="D312" s="442"/>
      <c r="E312" s="442"/>
      <c r="F312" s="443"/>
      <c r="G312" s="188">
        <f>G320/G322</f>
        <v>4.4230351321984784</v>
      </c>
      <c r="H312" s="442"/>
      <c r="I312" s="442"/>
      <c r="J312" s="442"/>
      <c r="K312" s="443"/>
      <c r="L312" s="188">
        <f>L320/L322</f>
        <v>4.8705077010838567</v>
      </c>
      <c r="M312" s="442"/>
      <c r="N312" s="442"/>
      <c r="O312" s="442"/>
      <c r="P312" s="443"/>
      <c r="Q312" s="188">
        <f>Q320/Q322</f>
        <v>4.9541713961407492</v>
      </c>
      <c r="R312" s="442"/>
      <c r="S312" s="442"/>
      <c r="T312" s="442"/>
      <c r="U312" s="443"/>
      <c r="V312" s="188">
        <f>V320/V322</f>
        <v>4.9541713961407492</v>
      </c>
      <c r="W312" s="442"/>
      <c r="X312" s="442"/>
      <c r="Y312" s="442"/>
      <c r="Z312" s="443"/>
      <c r="AA312" s="188">
        <f>AA320/AA322</f>
        <v>53.005277007176225</v>
      </c>
      <c r="AB312" s="442"/>
      <c r="AC312" s="442"/>
      <c r="AD312" s="442"/>
      <c r="AE312" s="443"/>
      <c r="AF312" s="188">
        <f>AF320/AF322</f>
        <v>10.940614580844068</v>
      </c>
      <c r="AG312" s="442"/>
      <c r="AH312" s="442"/>
      <c r="AI312" s="442"/>
      <c r="AJ312" s="443"/>
      <c r="AK312" s="188">
        <f>AK320/AK322</f>
        <v>6.5506912811518854</v>
      </c>
      <c r="AL312" s="442"/>
      <c r="AM312" s="442"/>
      <c r="AN312" s="442"/>
      <c r="AO312" s="443"/>
      <c r="AP312" s="188">
        <f>AP320/AP322</f>
        <v>4.8679058780358613</v>
      </c>
      <c r="AQ312" s="98"/>
      <c r="AR312" s="79"/>
      <c r="AS312" s="619"/>
      <c r="AT312" s="619"/>
      <c r="AU312" s="619"/>
      <c r="AV312" s="619"/>
      <c r="AW312" s="619"/>
      <c r="AX312" s="619"/>
      <c r="AY312" s="619"/>
      <c r="AZ312" s="619"/>
      <c r="BA312" s="619"/>
      <c r="BB312" s="619"/>
      <c r="BC312" s="79"/>
      <c r="BD312" s="80"/>
      <c r="BE312" s="80"/>
      <c r="BF312" s="80"/>
      <c r="BG312"/>
      <c r="BH312"/>
      <c r="BI312"/>
      <c r="BJ312"/>
      <c r="BK312"/>
      <c r="BL312"/>
      <c r="BM312" s="80"/>
    </row>
    <row r="313" spans="1:65" s="81" customFormat="1" hidden="1">
      <c r="A313" s="187" t="s">
        <v>54</v>
      </c>
      <c r="B313" s="188" t="e">
        <f>B317/B322</f>
        <v>#REF!</v>
      </c>
      <c r="C313" s="442"/>
      <c r="D313" s="442"/>
      <c r="E313" s="442"/>
      <c r="F313" s="443"/>
      <c r="G313" s="188" t="e">
        <f>G317/G322</f>
        <v>#REF!</v>
      </c>
      <c r="H313" s="442"/>
      <c r="I313" s="442"/>
      <c r="J313" s="442"/>
      <c r="K313" s="443"/>
      <c r="L313" s="188" t="e">
        <f>L317/L322</f>
        <v>#REF!</v>
      </c>
      <c r="M313" s="442"/>
      <c r="N313" s="442"/>
      <c r="O313" s="442"/>
      <c r="P313" s="443"/>
      <c r="Q313" s="188" t="e">
        <f>Q317/Q322</f>
        <v>#REF!</v>
      </c>
      <c r="R313" s="442"/>
      <c r="S313" s="442"/>
      <c r="T313" s="442"/>
      <c r="U313" s="443"/>
      <c r="V313" s="188" t="e">
        <f>V317/V322</f>
        <v>#REF!</v>
      </c>
      <c r="W313" s="442"/>
      <c r="X313" s="442"/>
      <c r="Y313" s="442"/>
      <c r="Z313" s="443"/>
      <c r="AA313" s="188" t="e">
        <f>AA317/AA322</f>
        <v>#REF!</v>
      </c>
      <c r="AB313" s="442"/>
      <c r="AC313" s="442"/>
      <c r="AD313" s="442"/>
      <c r="AE313" s="443"/>
      <c r="AF313" s="188" t="e">
        <f>AF317/AF322</f>
        <v>#REF!</v>
      </c>
      <c r="AG313" s="442"/>
      <c r="AH313" s="442"/>
      <c r="AI313" s="442"/>
      <c r="AJ313" s="443"/>
      <c r="AK313" s="188" t="e">
        <f>AK317/AK322</f>
        <v>#REF!</v>
      </c>
      <c r="AL313" s="442"/>
      <c r="AM313" s="442"/>
      <c r="AN313" s="442"/>
      <c r="AO313" s="443"/>
      <c r="AP313" s="188" t="e">
        <f>AP317/AP322</f>
        <v>#REF!</v>
      </c>
      <c r="AQ313" s="98"/>
      <c r="AR313" s="79"/>
      <c r="AS313" s="619"/>
      <c r="AT313" s="619"/>
      <c r="AU313" s="619"/>
      <c r="AV313" s="619"/>
      <c r="AW313" s="619"/>
      <c r="AX313" s="619"/>
      <c r="AY313" s="619"/>
      <c r="AZ313" s="619"/>
      <c r="BA313" s="619"/>
      <c r="BB313" s="619"/>
      <c r="BC313" s="79"/>
      <c r="BD313" s="80"/>
      <c r="BE313" s="80"/>
      <c r="BF313" s="80"/>
      <c r="BG313"/>
      <c r="BH313"/>
      <c r="BI313"/>
      <c r="BJ313"/>
      <c r="BK313"/>
      <c r="BL313"/>
      <c r="BM313" s="80"/>
    </row>
    <row r="314" spans="1:65" s="81" customFormat="1" hidden="1">
      <c r="A314" s="187" t="s">
        <v>55</v>
      </c>
      <c r="B314" s="188" t="e">
        <f>B210/AVERAGE(#REF!,B322)</f>
        <v>#REF!</v>
      </c>
      <c r="C314" s="442"/>
      <c r="D314" s="442"/>
      <c r="E314" s="442"/>
      <c r="F314" s="443"/>
      <c r="G314" s="188">
        <f>G210/AVERAGE(B322,G322)</f>
        <v>0.3119855765462099</v>
      </c>
      <c r="H314" s="442"/>
      <c r="I314" s="442"/>
      <c r="J314" s="442"/>
      <c r="K314" s="443"/>
      <c r="L314" s="188">
        <f>L210/AVERAGE(G322,L322)</f>
        <v>0.40812540580651147</v>
      </c>
      <c r="M314" s="442"/>
      <c r="N314" s="442"/>
      <c r="O314" s="442"/>
      <c r="P314" s="443"/>
      <c r="Q314" s="188">
        <f>Q210/AVERAGE(L322,Q322)</f>
        <v>0.37897131713658894</v>
      </c>
      <c r="R314" s="442"/>
      <c r="S314" s="442"/>
      <c r="T314" s="442"/>
      <c r="U314" s="443"/>
      <c r="V314" s="188">
        <f>V210/AVERAGE(Q322,V322)</f>
        <v>0.28305902383654935</v>
      </c>
      <c r="W314" s="442"/>
      <c r="X314" s="442"/>
      <c r="Y314" s="442"/>
      <c r="Z314" s="443"/>
      <c r="AA314" s="188">
        <f>AA210/AVERAGE(Q322,AA322)</f>
        <v>0.73886150091647529</v>
      </c>
      <c r="AB314" s="442"/>
      <c r="AC314" s="442"/>
      <c r="AD314" s="442"/>
      <c r="AE314" s="443"/>
      <c r="AF314" s="188">
        <f>AF210/AVERAGE(AA322,AF322)</f>
        <v>2.0273404935185546</v>
      </c>
      <c r="AG314" s="442"/>
      <c r="AH314" s="442"/>
      <c r="AI314" s="442"/>
      <c r="AJ314" s="443"/>
      <c r="AK314" s="188">
        <f>AK210/AVERAGE(AF322,AK322)</f>
        <v>0.9427886142130234</v>
      </c>
      <c r="AL314" s="442"/>
      <c r="AM314" s="442"/>
      <c r="AN314" s="442"/>
      <c r="AO314" s="443"/>
      <c r="AP314" s="188">
        <f>AP210/AVERAGE(AK322,AP322)</f>
        <v>0.68255692800391476</v>
      </c>
      <c r="AQ314" s="98"/>
      <c r="AR314" s="79"/>
      <c r="AS314" s="619"/>
      <c r="AT314" s="619"/>
      <c r="AU314" s="619"/>
      <c r="AV314" s="619"/>
      <c r="AW314" s="619"/>
      <c r="AX314" s="619"/>
      <c r="AY314" s="619"/>
      <c r="AZ314" s="619"/>
      <c r="BA314" s="619"/>
      <c r="BB314" s="619"/>
      <c r="BC314" s="79"/>
      <c r="BD314" s="80"/>
      <c r="BE314" s="80"/>
      <c r="BF314" s="80"/>
      <c r="BG314"/>
      <c r="BH314"/>
      <c r="BI314"/>
      <c r="BJ314"/>
      <c r="BK314"/>
      <c r="BL314"/>
      <c r="BM314" s="80"/>
    </row>
    <row r="315" spans="1:65" s="81" customFormat="1" hidden="1">
      <c r="A315" s="187" t="s">
        <v>56</v>
      </c>
      <c r="B315" s="188" t="e">
        <f>B210/AVERAGE(#REF!,B323)</f>
        <v>#REF!</v>
      </c>
      <c r="C315" s="442"/>
      <c r="D315" s="442"/>
      <c r="E315" s="442"/>
      <c r="F315" s="443"/>
      <c r="G315" s="188" t="e">
        <f>G210/AVERAGE(B323,G323)</f>
        <v>#REF!</v>
      </c>
      <c r="H315" s="442"/>
      <c r="I315" s="442"/>
      <c r="J315" s="442"/>
      <c r="K315" s="443"/>
      <c r="L315" s="188" t="e">
        <f>L210/AVERAGE(G323,L323)</f>
        <v>#REF!</v>
      </c>
      <c r="M315" s="442"/>
      <c r="N315" s="442"/>
      <c r="O315" s="442"/>
      <c r="P315" s="443"/>
      <c r="Q315" s="188" t="e">
        <f>Q210/AVERAGE(L323,Q323)</f>
        <v>#REF!</v>
      </c>
      <c r="R315" s="442"/>
      <c r="S315" s="442"/>
      <c r="T315" s="442"/>
      <c r="U315" s="443"/>
      <c r="V315" s="188" t="e">
        <f>V210/AVERAGE(Q323,V323)</f>
        <v>#REF!</v>
      </c>
      <c r="W315" s="442"/>
      <c r="X315" s="442"/>
      <c r="Y315" s="442"/>
      <c r="Z315" s="443"/>
      <c r="AA315" s="188" t="e">
        <f>AA210/AVERAGE(Q323,AA323)</f>
        <v>#REF!</v>
      </c>
      <c r="AB315" s="442"/>
      <c r="AC315" s="442"/>
      <c r="AD315" s="442"/>
      <c r="AE315" s="443"/>
      <c r="AF315" s="188" t="e">
        <f>AF210/AVERAGE(AA323,AF323)</f>
        <v>#REF!</v>
      </c>
      <c r="AG315" s="442"/>
      <c r="AH315" s="442"/>
      <c r="AI315" s="442"/>
      <c r="AJ315" s="443"/>
      <c r="AK315" s="188" t="e">
        <f>AK210/AVERAGE(AF323,AK323)</f>
        <v>#REF!</v>
      </c>
      <c r="AL315" s="442"/>
      <c r="AM315" s="442"/>
      <c r="AN315" s="442"/>
      <c r="AO315" s="443"/>
      <c r="AP315" s="188" t="e">
        <f>AP210/AVERAGE(AK323,AP323)</f>
        <v>#REF!</v>
      </c>
      <c r="AQ315" s="98"/>
      <c r="AR315" s="79"/>
      <c r="AS315" s="619"/>
      <c r="AT315" s="619"/>
      <c r="AU315" s="619"/>
      <c r="AV315" s="619"/>
      <c r="AW315" s="619"/>
      <c r="AX315" s="619"/>
      <c r="AY315" s="619"/>
      <c r="AZ315" s="619"/>
      <c r="BA315" s="619"/>
      <c r="BB315" s="619"/>
      <c r="BC315" s="79"/>
      <c r="BD315" s="80"/>
      <c r="BE315" s="80"/>
      <c r="BF315" s="80"/>
      <c r="BG315"/>
      <c r="BH315"/>
      <c r="BI315"/>
      <c r="BJ315"/>
      <c r="BK315"/>
      <c r="BL315"/>
      <c r="BM315" s="80"/>
    </row>
    <row r="316" spans="1:65" s="81" customFormat="1" hidden="1">
      <c r="A316" s="14" t="s">
        <v>57</v>
      </c>
      <c r="B316" s="444"/>
      <c r="C316" s="440"/>
      <c r="D316" s="440"/>
      <c r="E316" s="440"/>
      <c r="F316" s="441"/>
      <c r="G316" s="444"/>
      <c r="H316" s="440"/>
      <c r="I316" s="440"/>
      <c r="J316" s="440"/>
      <c r="K316" s="441"/>
      <c r="L316" s="444"/>
      <c r="M316" s="440"/>
      <c r="N316" s="440"/>
      <c r="O316" s="440"/>
      <c r="P316" s="441"/>
      <c r="Q316" s="444"/>
      <c r="R316" s="440"/>
      <c r="S316" s="440"/>
      <c r="T316" s="440"/>
      <c r="U316" s="441"/>
      <c r="V316" s="444"/>
      <c r="W316" s="440"/>
      <c r="X316" s="440"/>
      <c r="Y316" s="440"/>
      <c r="Z316" s="441"/>
      <c r="AA316" s="444"/>
      <c r="AB316" s="440"/>
      <c r="AC316" s="440"/>
      <c r="AD316" s="440"/>
      <c r="AE316" s="441"/>
      <c r="AF316" s="444"/>
      <c r="AG316" s="440"/>
      <c r="AH316" s="440"/>
      <c r="AI316" s="440"/>
      <c r="AJ316" s="441"/>
      <c r="AK316" s="444"/>
      <c r="AL316" s="440"/>
      <c r="AM316" s="440"/>
      <c r="AN316" s="440"/>
      <c r="AO316" s="441"/>
      <c r="AP316" s="444"/>
      <c r="AQ316" s="98"/>
      <c r="AR316" s="79"/>
      <c r="AS316" s="619"/>
      <c r="AT316" s="619"/>
      <c r="AU316" s="619"/>
      <c r="AV316" s="619"/>
      <c r="AW316" s="619"/>
      <c r="AX316" s="619"/>
      <c r="AY316" s="619"/>
      <c r="AZ316" s="619"/>
      <c r="BA316" s="619"/>
      <c r="BB316" s="619"/>
      <c r="BC316" s="79"/>
      <c r="BD316" s="80"/>
      <c r="BE316" s="80"/>
      <c r="BF316" s="80"/>
      <c r="BG316"/>
      <c r="BH316"/>
      <c r="BI316"/>
      <c r="BJ316"/>
      <c r="BK316"/>
      <c r="BL316"/>
      <c r="BM316" s="80"/>
    </row>
    <row r="317" spans="1:65" s="81" customFormat="1" hidden="1">
      <c r="A317" s="146" t="s">
        <v>58</v>
      </c>
      <c r="B317" s="191" t="e">
        <f>#REF!+B294</f>
        <v>#REF!</v>
      </c>
      <c r="C317" s="442"/>
      <c r="D317" s="442"/>
      <c r="E317" s="442"/>
      <c r="F317" s="443"/>
      <c r="G317" s="191" t="e">
        <f>#REF!+G294</f>
        <v>#REF!</v>
      </c>
      <c r="H317" s="442"/>
      <c r="I317" s="442"/>
      <c r="J317" s="442"/>
      <c r="K317" s="443"/>
      <c r="L317" s="191" t="e">
        <f>#REF!+L294</f>
        <v>#REF!</v>
      </c>
      <c r="M317" s="442"/>
      <c r="N317" s="442"/>
      <c r="O317" s="442"/>
      <c r="P317" s="443"/>
      <c r="Q317" s="191" t="e">
        <f>#REF!+Q294</f>
        <v>#REF!</v>
      </c>
      <c r="R317" s="442"/>
      <c r="S317" s="442"/>
      <c r="T317" s="442"/>
      <c r="U317" s="443"/>
      <c r="V317" s="191" t="e">
        <f>#REF!+V294</f>
        <v>#REF!</v>
      </c>
      <c r="W317" s="442"/>
      <c r="X317" s="442"/>
      <c r="Y317" s="442"/>
      <c r="Z317" s="443"/>
      <c r="AA317" s="191" t="e">
        <f>#REF!+AA294</f>
        <v>#REF!</v>
      </c>
      <c r="AB317" s="442"/>
      <c r="AC317" s="442"/>
      <c r="AD317" s="442"/>
      <c r="AE317" s="443"/>
      <c r="AF317" s="191" t="e">
        <f>#REF!+AF294</f>
        <v>#REF!</v>
      </c>
      <c r="AG317" s="442"/>
      <c r="AH317" s="442"/>
      <c r="AI317" s="442"/>
      <c r="AJ317" s="443"/>
      <c r="AK317" s="191" t="e">
        <f>#REF!+AK294</f>
        <v>#REF!</v>
      </c>
      <c r="AL317" s="442"/>
      <c r="AM317" s="442"/>
      <c r="AN317" s="442"/>
      <c r="AO317" s="443"/>
      <c r="AP317" s="191" t="e">
        <f>#REF!+AP294</f>
        <v>#REF!</v>
      </c>
      <c r="AQ317" s="98"/>
      <c r="AR317" s="79"/>
      <c r="AS317" s="619"/>
      <c r="AT317" s="619"/>
      <c r="AU317" s="619"/>
      <c r="AV317" s="619"/>
      <c r="AW317" s="619"/>
      <c r="AX317" s="619"/>
      <c r="AY317" s="619"/>
      <c r="AZ317" s="619"/>
      <c r="BA317" s="619"/>
      <c r="BB317" s="619"/>
      <c r="BC317" s="79"/>
      <c r="BD317" s="80"/>
      <c r="BE317" s="80"/>
      <c r="BF317" s="80"/>
      <c r="BG317"/>
      <c r="BH317"/>
      <c r="BI317"/>
      <c r="BJ317"/>
      <c r="BK317"/>
      <c r="BL317"/>
      <c r="BM317" s="80"/>
    </row>
    <row r="318" spans="1:65" s="81" customFormat="1" hidden="1">
      <c r="A318" s="146" t="s">
        <v>59</v>
      </c>
      <c r="B318" s="191">
        <f>B272</f>
        <v>3863</v>
      </c>
      <c r="C318" s="442"/>
      <c r="D318" s="442"/>
      <c r="E318" s="442"/>
      <c r="F318" s="443"/>
      <c r="G318" s="191">
        <f>G272</f>
        <v>2319</v>
      </c>
      <c r="H318" s="442"/>
      <c r="I318" s="442"/>
      <c r="J318" s="442"/>
      <c r="K318" s="443"/>
      <c r="L318" s="191">
        <f>L272</f>
        <v>2541</v>
      </c>
      <c r="M318" s="442"/>
      <c r="N318" s="442"/>
      <c r="O318" s="442"/>
      <c r="P318" s="443"/>
      <c r="Q318" s="191">
        <f>Q272</f>
        <v>11225</v>
      </c>
      <c r="R318" s="442"/>
      <c r="S318" s="442"/>
      <c r="T318" s="442"/>
      <c r="U318" s="443"/>
      <c r="V318" s="191">
        <f>V272</f>
        <v>11225</v>
      </c>
      <c r="W318" s="442"/>
      <c r="X318" s="442"/>
      <c r="Y318" s="442"/>
      <c r="Z318" s="443"/>
      <c r="AA318" s="191">
        <f>AA272</f>
        <v>2926.5928415810977</v>
      </c>
      <c r="AB318" s="442"/>
      <c r="AC318" s="442"/>
      <c r="AD318" s="442"/>
      <c r="AE318" s="443"/>
      <c r="AF318" s="191">
        <f>AF272</f>
        <v>3383.5115941293257</v>
      </c>
      <c r="AG318" s="442"/>
      <c r="AH318" s="442"/>
      <c r="AI318" s="442"/>
      <c r="AJ318" s="443"/>
      <c r="AK318" s="191">
        <f>AK272</f>
        <v>3033.2186268750042</v>
      </c>
      <c r="AL318" s="442"/>
      <c r="AM318" s="442"/>
      <c r="AN318" s="442"/>
      <c r="AO318" s="443"/>
      <c r="AP318" s="191">
        <f>AP272</f>
        <v>2641.158847185076</v>
      </c>
      <c r="AQ318" s="98"/>
      <c r="AR318" s="79"/>
      <c r="AS318" s="619"/>
      <c r="AT318" s="619"/>
      <c r="AU318" s="619"/>
      <c r="AV318" s="619"/>
      <c r="AW318" s="619"/>
      <c r="AX318" s="619"/>
      <c r="AY318" s="619"/>
      <c r="AZ318" s="619"/>
      <c r="BA318" s="619"/>
      <c r="BB318" s="619"/>
      <c r="BC318" s="79"/>
      <c r="BD318" s="80"/>
      <c r="BE318" s="80"/>
      <c r="BF318" s="80"/>
      <c r="BG318"/>
      <c r="BH318"/>
      <c r="BI318"/>
      <c r="BJ318"/>
      <c r="BK318"/>
      <c r="BL318"/>
      <c r="BM318" s="80"/>
    </row>
    <row r="319" spans="1:65" s="81" customFormat="1" hidden="1">
      <c r="A319" s="146" t="s">
        <v>60</v>
      </c>
      <c r="B319" s="191" t="e">
        <f>B317-B318</f>
        <v>#REF!</v>
      </c>
      <c r="C319" s="442"/>
      <c r="D319" s="442"/>
      <c r="E319" s="442"/>
      <c r="F319" s="443"/>
      <c r="G319" s="191" t="e">
        <f>G317-G318</f>
        <v>#REF!</v>
      </c>
      <c r="H319" s="442"/>
      <c r="I319" s="442"/>
      <c r="J319" s="442"/>
      <c r="K319" s="443"/>
      <c r="L319" s="191" t="e">
        <f>L317-L318</f>
        <v>#REF!</v>
      </c>
      <c r="M319" s="442"/>
      <c r="N319" s="442"/>
      <c r="O319" s="442"/>
      <c r="P319" s="443"/>
      <c r="Q319" s="191" t="e">
        <f>Q317-Q318</f>
        <v>#REF!</v>
      </c>
      <c r="R319" s="442"/>
      <c r="S319" s="442"/>
      <c r="T319" s="442"/>
      <c r="U319" s="443"/>
      <c r="V319" s="191" t="e">
        <f>V317-V318</f>
        <v>#REF!</v>
      </c>
      <c r="W319" s="442"/>
      <c r="X319" s="442"/>
      <c r="Y319" s="442"/>
      <c r="Z319" s="443"/>
      <c r="AA319" s="191" t="e">
        <f>AA317-AA318</f>
        <v>#REF!</v>
      </c>
      <c r="AB319" s="442"/>
      <c r="AC319" s="442"/>
      <c r="AD319" s="442"/>
      <c r="AE319" s="443"/>
      <c r="AF319" s="191" t="e">
        <f>AF317-AF318</f>
        <v>#REF!</v>
      </c>
      <c r="AG319" s="442"/>
      <c r="AH319" s="442"/>
      <c r="AI319" s="442"/>
      <c r="AJ319" s="443"/>
      <c r="AK319" s="191" t="e">
        <f>AK317-AK318</f>
        <v>#REF!</v>
      </c>
      <c r="AL319" s="442"/>
      <c r="AM319" s="442"/>
      <c r="AN319" s="442"/>
      <c r="AO319" s="443"/>
      <c r="AP319" s="191" t="e">
        <f>AP317-AP318</f>
        <v>#REF!</v>
      </c>
      <c r="AQ319" s="98"/>
      <c r="AR319" s="79"/>
      <c r="AS319" s="619"/>
      <c r="AT319" s="619"/>
      <c r="AU319" s="619"/>
      <c r="AV319" s="619"/>
      <c r="AW319" s="619"/>
      <c r="AX319" s="619"/>
      <c r="AY319" s="619"/>
      <c r="AZ319" s="619"/>
      <c r="BA319" s="619"/>
      <c r="BB319" s="619"/>
      <c r="BC319" s="79"/>
      <c r="BD319" s="80"/>
      <c r="BE319" s="80"/>
      <c r="BF319" s="80"/>
      <c r="BG319"/>
      <c r="BH319"/>
      <c r="BI319"/>
      <c r="BJ319"/>
      <c r="BK319"/>
      <c r="BL319"/>
      <c r="BM319" s="80"/>
    </row>
    <row r="320" spans="1:65" s="81" customFormat="1" hidden="1">
      <c r="A320" s="146" t="s">
        <v>61</v>
      </c>
      <c r="B320" s="191">
        <f>B284</f>
        <v>26572</v>
      </c>
      <c r="C320" s="442"/>
      <c r="D320" s="442"/>
      <c r="E320" s="442"/>
      <c r="F320" s="443"/>
      <c r="G320" s="191">
        <f>G284</f>
        <v>24424</v>
      </c>
      <c r="H320" s="442"/>
      <c r="I320" s="442"/>
      <c r="J320" s="442"/>
      <c r="K320" s="443"/>
      <c r="L320" s="191">
        <f>L284</f>
        <v>25614</v>
      </c>
      <c r="M320" s="442"/>
      <c r="N320" s="442"/>
      <c r="O320" s="442"/>
      <c r="P320" s="443"/>
      <c r="Q320" s="191">
        <f>Q284</f>
        <v>34917</v>
      </c>
      <c r="R320" s="442"/>
      <c r="S320" s="442"/>
      <c r="T320" s="442"/>
      <c r="U320" s="443"/>
      <c r="V320" s="191">
        <f>V284</f>
        <v>34917</v>
      </c>
      <c r="W320" s="442"/>
      <c r="X320" s="442"/>
      <c r="Y320" s="442"/>
      <c r="Z320" s="443"/>
      <c r="AA320" s="191">
        <f>AA284</f>
        <v>28115.431766876562</v>
      </c>
      <c r="AB320" s="442"/>
      <c r="AC320" s="442"/>
      <c r="AD320" s="442"/>
      <c r="AE320" s="443"/>
      <c r="AF320" s="191">
        <f>AF284</f>
        <v>29609.945400853412</v>
      </c>
      <c r="AG320" s="442"/>
      <c r="AH320" s="442"/>
      <c r="AI320" s="442"/>
      <c r="AJ320" s="443"/>
      <c r="AK320" s="191">
        <f>AK284</f>
        <v>29990.272068026839</v>
      </c>
      <c r="AL320" s="442"/>
      <c r="AM320" s="442"/>
      <c r="AN320" s="442"/>
      <c r="AO320" s="443"/>
      <c r="AP320" s="191">
        <f>AP284</f>
        <v>30125.22990593272</v>
      </c>
      <c r="AQ320" s="98"/>
      <c r="AR320" s="79"/>
      <c r="AS320" s="619"/>
      <c r="AT320" s="619"/>
      <c r="AU320" s="619"/>
      <c r="AV320" s="619"/>
      <c r="AW320" s="619"/>
      <c r="AX320" s="619"/>
      <c r="AY320" s="619"/>
      <c r="AZ320" s="619"/>
      <c r="BA320" s="619"/>
      <c r="BB320" s="619"/>
      <c r="BC320" s="79"/>
      <c r="BD320" s="80"/>
      <c r="BE320" s="80"/>
      <c r="BF320" s="80"/>
      <c r="BG320"/>
      <c r="BH320"/>
      <c r="BI320"/>
      <c r="BJ320"/>
      <c r="BK320"/>
      <c r="BL320"/>
      <c r="BM320" s="80"/>
    </row>
    <row r="321" spans="1:65" s="81" customFormat="1" hidden="1">
      <c r="A321" s="146" t="s">
        <v>62</v>
      </c>
      <c r="B321" s="191">
        <f>B297</f>
        <v>19337</v>
      </c>
      <c r="C321" s="442"/>
      <c r="D321" s="442"/>
      <c r="E321" s="442"/>
      <c r="F321" s="443"/>
      <c r="G321" s="191">
        <f>G297</f>
        <v>18902</v>
      </c>
      <c r="H321" s="442"/>
      <c r="I321" s="442"/>
      <c r="J321" s="442"/>
      <c r="K321" s="443"/>
      <c r="L321" s="191">
        <f>L297</f>
        <v>20355</v>
      </c>
      <c r="M321" s="442"/>
      <c r="N321" s="442"/>
      <c r="O321" s="442"/>
      <c r="P321" s="443"/>
      <c r="Q321" s="191">
        <f>Q297</f>
        <v>27869</v>
      </c>
      <c r="R321" s="442"/>
      <c r="S321" s="442"/>
      <c r="T321" s="442"/>
      <c r="U321" s="443"/>
      <c r="V321" s="191">
        <f>V297</f>
        <v>27869</v>
      </c>
      <c r="W321" s="442"/>
      <c r="X321" s="442"/>
      <c r="Y321" s="442"/>
      <c r="Z321" s="443"/>
      <c r="AA321" s="191">
        <f>AA297</f>
        <v>27585.00473480823</v>
      </c>
      <c r="AB321" s="442"/>
      <c r="AC321" s="442"/>
      <c r="AD321" s="442"/>
      <c r="AE321" s="443"/>
      <c r="AF321" s="191">
        <f>AF297</f>
        <v>26903.521078704507</v>
      </c>
      <c r="AG321" s="442"/>
      <c r="AH321" s="442"/>
      <c r="AI321" s="442"/>
      <c r="AJ321" s="443"/>
      <c r="AK321" s="191">
        <f>AK297</f>
        <v>25412.087754209922</v>
      </c>
      <c r="AL321" s="442"/>
      <c r="AM321" s="442"/>
      <c r="AN321" s="442"/>
      <c r="AO321" s="443"/>
      <c r="AP321" s="191">
        <f>AP297</f>
        <v>23936.689975064572</v>
      </c>
      <c r="AQ321" s="98"/>
      <c r="AR321" s="79"/>
      <c r="AS321" s="619"/>
      <c r="AT321" s="619"/>
      <c r="AU321" s="619"/>
      <c r="AV321" s="619"/>
      <c r="AW321" s="619"/>
      <c r="AX321" s="619"/>
      <c r="AY321" s="619"/>
      <c r="AZ321" s="619"/>
      <c r="BA321" s="619"/>
      <c r="BB321" s="619"/>
      <c r="BC321" s="79"/>
      <c r="BD321" s="80"/>
      <c r="BE321" s="80"/>
      <c r="BF321" s="80"/>
      <c r="BG321"/>
      <c r="BH321"/>
      <c r="BI321"/>
      <c r="BJ321"/>
      <c r="BK321"/>
      <c r="BL321"/>
      <c r="BM321" s="80"/>
    </row>
    <row r="322" spans="1:65" s="81" customFormat="1" hidden="1">
      <c r="A322" s="146" t="s">
        <v>63</v>
      </c>
      <c r="B322" s="191">
        <f>B303</f>
        <v>7235</v>
      </c>
      <c r="C322" s="442"/>
      <c r="D322" s="442"/>
      <c r="E322" s="442"/>
      <c r="F322" s="443"/>
      <c r="G322" s="191">
        <f>G303</f>
        <v>5522</v>
      </c>
      <c r="H322" s="442"/>
      <c r="I322" s="442"/>
      <c r="J322" s="442"/>
      <c r="K322" s="443"/>
      <c r="L322" s="191">
        <f>L303</f>
        <v>5259</v>
      </c>
      <c r="M322" s="442"/>
      <c r="N322" s="442"/>
      <c r="O322" s="442"/>
      <c r="P322" s="443"/>
      <c r="Q322" s="191">
        <f>Q303</f>
        <v>7048</v>
      </c>
      <c r="R322" s="442"/>
      <c r="S322" s="442"/>
      <c r="T322" s="442"/>
      <c r="U322" s="443"/>
      <c r="V322" s="191">
        <f>V303</f>
        <v>7048</v>
      </c>
      <c r="W322" s="442"/>
      <c r="X322" s="442"/>
      <c r="Y322" s="442"/>
      <c r="Z322" s="443"/>
      <c r="AA322" s="191">
        <f>AA303</f>
        <v>530.42703206833721</v>
      </c>
      <c r="AB322" s="442"/>
      <c r="AC322" s="442"/>
      <c r="AD322" s="442"/>
      <c r="AE322" s="443"/>
      <c r="AF322" s="191">
        <f>AF303</f>
        <v>2706.4243221489123</v>
      </c>
      <c r="AG322" s="442"/>
      <c r="AH322" s="442"/>
      <c r="AI322" s="442"/>
      <c r="AJ322" s="443"/>
      <c r="AK322" s="191">
        <f>AK303</f>
        <v>4578.1843138169224</v>
      </c>
      <c r="AL322" s="442"/>
      <c r="AM322" s="442"/>
      <c r="AN322" s="442"/>
      <c r="AO322" s="443"/>
      <c r="AP322" s="191">
        <f>AP303</f>
        <v>6188.5399308681517</v>
      </c>
      <c r="AQ322" s="98"/>
      <c r="AR322" s="79"/>
      <c r="AS322" s="619"/>
      <c r="AT322" s="619"/>
      <c r="AU322" s="619"/>
      <c r="AV322" s="619"/>
      <c r="AW322" s="619"/>
      <c r="AX322" s="619"/>
      <c r="AY322" s="619"/>
      <c r="AZ322" s="619"/>
      <c r="BA322" s="619"/>
      <c r="BB322" s="619"/>
      <c r="BC322" s="79"/>
      <c r="BD322" s="80"/>
      <c r="BE322" s="80"/>
      <c r="BF322" s="80"/>
      <c r="BG322"/>
      <c r="BH322"/>
      <c r="BI322"/>
      <c r="BJ322"/>
      <c r="BK322"/>
      <c r="BL322"/>
      <c r="BM322" s="80"/>
    </row>
    <row r="323" spans="1:65" s="81" customFormat="1" hidden="1">
      <c r="A323" s="146" t="s">
        <v>64</v>
      </c>
      <c r="B323" s="191" t="e">
        <f>B322+B317</f>
        <v>#REF!</v>
      </c>
      <c r="C323" s="442"/>
      <c r="D323" s="442"/>
      <c r="E323" s="442"/>
      <c r="F323" s="443"/>
      <c r="G323" s="191" t="e">
        <f>G322+G317</f>
        <v>#REF!</v>
      </c>
      <c r="H323" s="442"/>
      <c r="I323" s="442"/>
      <c r="J323" s="442"/>
      <c r="K323" s="443"/>
      <c r="L323" s="191" t="e">
        <f>L322+L317</f>
        <v>#REF!</v>
      </c>
      <c r="M323" s="442"/>
      <c r="N323" s="442"/>
      <c r="O323" s="442"/>
      <c r="P323" s="443"/>
      <c r="Q323" s="191" t="e">
        <f>Q322+Q317</f>
        <v>#REF!</v>
      </c>
      <c r="R323" s="442"/>
      <c r="S323" s="442"/>
      <c r="T323" s="442"/>
      <c r="U323" s="443"/>
      <c r="V323" s="191" t="e">
        <f>V322+V317</f>
        <v>#REF!</v>
      </c>
      <c r="W323" s="442"/>
      <c r="X323" s="442"/>
      <c r="Y323" s="442"/>
      <c r="Z323" s="443"/>
      <c r="AA323" s="191" t="e">
        <f>AA322+AA317</f>
        <v>#REF!</v>
      </c>
      <c r="AB323" s="442"/>
      <c r="AC323" s="442"/>
      <c r="AD323" s="442"/>
      <c r="AE323" s="443"/>
      <c r="AF323" s="191" t="e">
        <f>AF322+AF317</f>
        <v>#REF!</v>
      </c>
      <c r="AG323" s="442"/>
      <c r="AH323" s="442"/>
      <c r="AI323" s="442"/>
      <c r="AJ323" s="443"/>
      <c r="AK323" s="191" t="e">
        <f>AK322+AK317</f>
        <v>#REF!</v>
      </c>
      <c r="AL323" s="442"/>
      <c r="AM323" s="442"/>
      <c r="AN323" s="442"/>
      <c r="AO323" s="443"/>
      <c r="AP323" s="191" t="e">
        <f>AP322+AP317</f>
        <v>#REF!</v>
      </c>
      <c r="AQ323" s="98"/>
      <c r="AR323" s="79"/>
      <c r="AS323" s="619"/>
      <c r="AT323" s="619"/>
      <c r="AU323" s="619"/>
      <c r="AV323" s="619"/>
      <c r="AW323" s="619"/>
      <c r="AX323" s="619"/>
      <c r="AY323" s="619"/>
      <c r="AZ323" s="619"/>
      <c r="BA323" s="619"/>
      <c r="BB323" s="619"/>
      <c r="BC323" s="79"/>
      <c r="BD323" s="80"/>
      <c r="BE323" s="80"/>
      <c r="BF323" s="80"/>
      <c r="BG323"/>
      <c r="BH323"/>
      <c r="BI323"/>
      <c r="BJ323"/>
      <c r="BK323"/>
      <c r="BL323"/>
      <c r="BM323" s="80"/>
    </row>
    <row r="324" spans="1:65" s="81" customFormat="1" hidden="1">
      <c r="A324" s="14" t="s">
        <v>65</v>
      </c>
      <c r="B324" s="445"/>
      <c r="C324" s="440"/>
      <c r="D324" s="440"/>
      <c r="E324" s="440"/>
      <c r="F324" s="441"/>
      <c r="G324" s="445"/>
      <c r="H324" s="440"/>
      <c r="I324" s="440"/>
      <c r="J324" s="440"/>
      <c r="K324" s="441"/>
      <c r="L324" s="445"/>
      <c r="M324" s="440"/>
      <c r="N324" s="440"/>
      <c r="O324" s="440"/>
      <c r="P324" s="441"/>
      <c r="Q324" s="445"/>
      <c r="R324" s="440"/>
      <c r="S324" s="440"/>
      <c r="T324" s="440"/>
      <c r="U324" s="441"/>
      <c r="V324" s="445"/>
      <c r="W324" s="440"/>
      <c r="X324" s="440"/>
      <c r="Y324" s="440"/>
      <c r="Z324" s="441"/>
      <c r="AA324" s="445"/>
      <c r="AB324" s="440"/>
      <c r="AC324" s="440"/>
      <c r="AD324" s="440"/>
      <c r="AE324" s="441"/>
      <c r="AF324" s="445"/>
      <c r="AG324" s="440"/>
      <c r="AH324" s="440"/>
      <c r="AI324" s="440"/>
      <c r="AJ324" s="441"/>
      <c r="AK324" s="445"/>
      <c r="AL324" s="440"/>
      <c r="AM324" s="440"/>
      <c r="AN324" s="440"/>
      <c r="AO324" s="441"/>
      <c r="AP324" s="445"/>
      <c r="AQ324" s="98"/>
      <c r="AR324" s="79"/>
      <c r="AS324" s="619"/>
      <c r="AT324" s="619"/>
      <c r="AU324" s="619"/>
      <c r="AV324" s="619"/>
      <c r="AW324" s="619"/>
      <c r="AX324" s="619"/>
      <c r="AY324" s="619"/>
      <c r="AZ324" s="619"/>
      <c r="BA324" s="619"/>
      <c r="BB324" s="619"/>
      <c r="BC324" s="79"/>
      <c r="BD324" s="80"/>
      <c r="BE324" s="80"/>
      <c r="BF324" s="80"/>
      <c r="BG324"/>
      <c r="BH324"/>
      <c r="BI324"/>
      <c r="BJ324"/>
      <c r="BK324"/>
      <c r="BL324"/>
      <c r="BM324" s="80"/>
    </row>
    <row r="325" spans="1:65" s="81" customFormat="1" hidden="1">
      <c r="A325" s="146" t="s">
        <v>66</v>
      </c>
      <c r="B325" s="446" t="e">
        <f>B317/B197</f>
        <v>#REF!</v>
      </c>
      <c r="C325" s="442"/>
      <c r="D325" s="442"/>
      <c r="E325" s="442"/>
      <c r="F325" s="443"/>
      <c r="G325" s="446" t="e">
        <f>G317/G197</f>
        <v>#REF!</v>
      </c>
      <c r="H325" s="442"/>
      <c r="I325" s="442"/>
      <c r="J325" s="442"/>
      <c r="K325" s="443"/>
      <c r="L325" s="446" t="e">
        <f>L317/L197</f>
        <v>#REF!</v>
      </c>
      <c r="M325" s="442"/>
      <c r="N325" s="442"/>
      <c r="O325" s="442"/>
      <c r="P325" s="443"/>
      <c r="Q325" s="446" t="e">
        <f>Q317/Q197</f>
        <v>#REF!</v>
      </c>
      <c r="R325" s="442"/>
      <c r="S325" s="442"/>
      <c r="T325" s="442"/>
      <c r="U325" s="443"/>
      <c r="V325" s="446" t="e">
        <f>V317/V197</f>
        <v>#REF!</v>
      </c>
      <c r="W325" s="442"/>
      <c r="X325" s="442"/>
      <c r="Y325" s="442"/>
      <c r="Z325" s="443"/>
      <c r="AA325" s="446" t="e">
        <f>AA317/AA197</f>
        <v>#REF!</v>
      </c>
      <c r="AB325" s="442"/>
      <c r="AC325" s="442"/>
      <c r="AD325" s="442"/>
      <c r="AE325" s="443"/>
      <c r="AF325" s="446" t="e">
        <f>AF317/AF197</f>
        <v>#REF!</v>
      </c>
      <c r="AG325" s="442"/>
      <c r="AH325" s="442"/>
      <c r="AI325" s="442"/>
      <c r="AJ325" s="443"/>
      <c r="AK325" s="446" t="e">
        <f>AK317/AK197</f>
        <v>#REF!</v>
      </c>
      <c r="AL325" s="442"/>
      <c r="AM325" s="442"/>
      <c r="AN325" s="442"/>
      <c r="AO325" s="443"/>
      <c r="AP325" s="446" t="e">
        <f>AP317/AP197</f>
        <v>#REF!</v>
      </c>
      <c r="AQ325" s="98"/>
      <c r="AR325" s="79"/>
      <c r="AS325" s="619"/>
      <c r="AT325" s="619"/>
      <c r="AU325" s="619"/>
      <c r="AV325" s="619"/>
      <c r="AW325" s="619"/>
      <c r="AX325" s="619"/>
      <c r="AY325" s="619"/>
      <c r="AZ325" s="619"/>
      <c r="BA325" s="619"/>
      <c r="BB325" s="619"/>
      <c r="BC325" s="79"/>
      <c r="BD325" s="80"/>
      <c r="BE325" s="80"/>
      <c r="BF325" s="80"/>
      <c r="BG325"/>
      <c r="BH325"/>
      <c r="BI325"/>
      <c r="BJ325"/>
      <c r="BK325"/>
      <c r="BL325"/>
      <c r="BM325" s="80"/>
    </row>
    <row r="326" spans="1:65" s="81" customFormat="1" hidden="1">
      <c r="A326" s="146" t="s">
        <v>67</v>
      </c>
      <c r="B326" s="446">
        <f>B197/-B201</f>
        <v>12.0177304964539</v>
      </c>
      <c r="C326" s="442"/>
      <c r="D326" s="442"/>
      <c r="E326" s="442"/>
      <c r="F326" s="443"/>
      <c r="G326" s="446">
        <f>G197/-G201</f>
        <v>10.614617940199336</v>
      </c>
      <c r="H326" s="442"/>
      <c r="I326" s="442"/>
      <c r="J326" s="442"/>
      <c r="K326" s="443"/>
      <c r="L326" s="446">
        <f>L197/-L201</f>
        <v>11.073089700996677</v>
      </c>
      <c r="M326" s="442"/>
      <c r="N326" s="442"/>
      <c r="O326" s="442"/>
      <c r="P326" s="443"/>
      <c r="Q326" s="446">
        <f>Q197/-Q201</f>
        <v>8.8333333333333339</v>
      </c>
      <c r="R326" s="442"/>
      <c r="S326" s="442"/>
      <c r="T326" s="442"/>
      <c r="U326" s="443"/>
      <c r="V326" s="446">
        <f>V197/-V201</f>
        <v>8.6472222222222221</v>
      </c>
      <c r="W326" s="442"/>
      <c r="X326" s="442"/>
      <c r="Y326" s="442"/>
      <c r="Z326" s="443"/>
      <c r="AA326" s="446">
        <f>AA197/-AA201</f>
        <v>7.5753481366459621</v>
      </c>
      <c r="AB326" s="442"/>
      <c r="AC326" s="442"/>
      <c r="AD326" s="442"/>
      <c r="AE326" s="443"/>
      <c r="AF326" s="446">
        <f>AF197/-AF201</f>
        <v>9.441402357749471</v>
      </c>
      <c r="AG326" s="442"/>
      <c r="AH326" s="442"/>
      <c r="AI326" s="442"/>
      <c r="AJ326" s="443"/>
      <c r="AK326" s="446">
        <f>AK197/-AK201</f>
        <v>10.985779335102276</v>
      </c>
      <c r="AL326" s="442"/>
      <c r="AM326" s="442"/>
      <c r="AN326" s="442"/>
      <c r="AO326" s="443"/>
      <c r="AP326" s="446">
        <f>AP197/-AP201</f>
        <v>12.637464216711017</v>
      </c>
      <c r="AQ326" s="98"/>
      <c r="AR326" s="79"/>
      <c r="AS326" s="619"/>
      <c r="AT326" s="619"/>
      <c r="AU326" s="619"/>
      <c r="AV326" s="619"/>
      <c r="AW326" s="619"/>
      <c r="AX326" s="619"/>
      <c r="AY326" s="619"/>
      <c r="AZ326" s="619"/>
      <c r="BA326" s="619"/>
      <c r="BB326" s="619"/>
      <c r="BC326" s="79"/>
      <c r="BD326" s="80"/>
      <c r="BE326" s="80"/>
      <c r="BF326" s="80"/>
      <c r="BG326"/>
      <c r="BH326"/>
      <c r="BI326"/>
      <c r="BJ326"/>
      <c r="BK326"/>
      <c r="BL326"/>
      <c r="BM326" s="80"/>
    </row>
    <row r="327" spans="1:65" s="81" customFormat="1" hidden="1">
      <c r="A327" s="187" t="s">
        <v>68</v>
      </c>
      <c r="B327" s="188" t="e">
        <f>B319/B323</f>
        <v>#REF!</v>
      </c>
      <c r="C327" s="442"/>
      <c r="D327" s="442"/>
      <c r="E327" s="442"/>
      <c r="F327" s="443"/>
      <c r="G327" s="188" t="e">
        <f>G319/G323</f>
        <v>#REF!</v>
      </c>
      <c r="H327" s="442"/>
      <c r="I327" s="442"/>
      <c r="J327" s="442"/>
      <c r="K327" s="443"/>
      <c r="L327" s="188" t="e">
        <f>L319/L323</f>
        <v>#REF!</v>
      </c>
      <c r="M327" s="442"/>
      <c r="N327" s="442"/>
      <c r="O327" s="442"/>
      <c r="P327" s="443"/>
      <c r="Q327" s="188" t="e">
        <f>Q319/Q323</f>
        <v>#REF!</v>
      </c>
      <c r="R327" s="442"/>
      <c r="S327" s="442"/>
      <c r="T327" s="442"/>
      <c r="U327" s="443"/>
      <c r="V327" s="188" t="e">
        <f>V319/V323</f>
        <v>#REF!</v>
      </c>
      <c r="W327" s="442"/>
      <c r="X327" s="442"/>
      <c r="Y327" s="442"/>
      <c r="Z327" s="443"/>
      <c r="AA327" s="188" t="e">
        <f>AA319/AA323</f>
        <v>#REF!</v>
      </c>
      <c r="AB327" s="442"/>
      <c r="AC327" s="442"/>
      <c r="AD327" s="442"/>
      <c r="AE327" s="443"/>
      <c r="AF327" s="188" t="e">
        <f>AF319/AF323</f>
        <v>#REF!</v>
      </c>
      <c r="AG327" s="442"/>
      <c r="AH327" s="442"/>
      <c r="AI327" s="442"/>
      <c r="AJ327" s="443"/>
      <c r="AK327" s="188" t="e">
        <f>AK319/AK323</f>
        <v>#REF!</v>
      </c>
      <c r="AL327" s="442"/>
      <c r="AM327" s="442"/>
      <c r="AN327" s="442"/>
      <c r="AO327" s="443"/>
      <c r="AP327" s="188" t="e">
        <f>AP319/AP323</f>
        <v>#REF!</v>
      </c>
      <c r="AQ327" s="98"/>
      <c r="AR327" s="79"/>
      <c r="AS327" s="619"/>
      <c r="AT327" s="619"/>
      <c r="AU327" s="619"/>
      <c r="AV327" s="619"/>
      <c r="AW327" s="619"/>
      <c r="AX327" s="619"/>
      <c r="AY327" s="619"/>
      <c r="AZ327" s="619"/>
      <c r="BA327" s="619"/>
      <c r="BB327" s="619"/>
      <c r="BC327" s="79"/>
      <c r="BD327" s="80"/>
      <c r="BE327" s="80"/>
      <c r="BF327" s="80"/>
      <c r="BG327"/>
      <c r="BH327"/>
      <c r="BI327"/>
      <c r="BJ327"/>
      <c r="BK327"/>
      <c r="BL327"/>
      <c r="BM327" s="80"/>
    </row>
    <row r="328" spans="1:65" s="81" customFormat="1" hidden="1">
      <c r="A328" s="187" t="s">
        <v>69</v>
      </c>
      <c r="B328" s="188" t="e">
        <f>B318/B323</f>
        <v>#REF!</v>
      </c>
      <c r="C328" s="442"/>
      <c r="D328" s="442"/>
      <c r="E328" s="442"/>
      <c r="F328" s="443"/>
      <c r="G328" s="188" t="e">
        <f>G318/G323</f>
        <v>#REF!</v>
      </c>
      <c r="H328" s="442"/>
      <c r="I328" s="442"/>
      <c r="J328" s="442"/>
      <c r="K328" s="443"/>
      <c r="L328" s="188" t="e">
        <f>L318/L323</f>
        <v>#REF!</v>
      </c>
      <c r="M328" s="442"/>
      <c r="N328" s="442"/>
      <c r="O328" s="442"/>
      <c r="P328" s="443"/>
      <c r="Q328" s="188" t="e">
        <f>Q318/Q323</f>
        <v>#REF!</v>
      </c>
      <c r="R328" s="442"/>
      <c r="S328" s="442"/>
      <c r="T328" s="442"/>
      <c r="U328" s="443"/>
      <c r="V328" s="188" t="e">
        <f>V318/V323</f>
        <v>#REF!</v>
      </c>
      <c r="W328" s="442"/>
      <c r="X328" s="442"/>
      <c r="Y328" s="442"/>
      <c r="Z328" s="443"/>
      <c r="AA328" s="188" t="e">
        <f>AA318/AA323</f>
        <v>#REF!</v>
      </c>
      <c r="AB328" s="442"/>
      <c r="AC328" s="442"/>
      <c r="AD328" s="442"/>
      <c r="AE328" s="443"/>
      <c r="AF328" s="188" t="e">
        <f>AF318/AF323</f>
        <v>#REF!</v>
      </c>
      <c r="AG328" s="442"/>
      <c r="AH328" s="442"/>
      <c r="AI328" s="442"/>
      <c r="AJ328" s="443"/>
      <c r="AK328" s="188" t="e">
        <f>AK318/AK323</f>
        <v>#REF!</v>
      </c>
      <c r="AL328" s="442"/>
      <c r="AM328" s="442"/>
      <c r="AN328" s="442"/>
      <c r="AO328" s="443"/>
      <c r="AP328" s="188" t="e">
        <f>AP318/AP323</f>
        <v>#REF!</v>
      </c>
      <c r="AQ328" s="98"/>
      <c r="AR328" s="79"/>
      <c r="AS328" s="619"/>
      <c r="AT328" s="619"/>
      <c r="AU328" s="619"/>
      <c r="AV328" s="619"/>
      <c r="AW328" s="619"/>
      <c r="AX328" s="619"/>
      <c r="AY328" s="619"/>
      <c r="AZ328" s="619"/>
      <c r="BA328" s="619"/>
      <c r="BB328" s="619"/>
      <c r="BC328" s="79"/>
      <c r="BD328" s="80"/>
      <c r="BE328" s="80"/>
      <c r="BF328" s="80"/>
      <c r="BG328"/>
      <c r="BH328"/>
      <c r="BI328"/>
      <c r="BJ328"/>
      <c r="BK328"/>
      <c r="BL328"/>
      <c r="BM328" s="80"/>
    </row>
    <row r="329" spans="1:65" s="81" customFormat="1" hidden="1">
      <c r="A329" s="187" t="s">
        <v>70</v>
      </c>
      <c r="B329" s="188">
        <f>B318/B180</f>
        <v>0.1610992952166479</v>
      </c>
      <c r="C329" s="442"/>
      <c r="D329" s="442"/>
      <c r="E329" s="442"/>
      <c r="F329" s="443"/>
      <c r="G329" s="188">
        <f>G318/G180</f>
        <v>9.857179290997195E-2</v>
      </c>
      <c r="H329" s="442"/>
      <c r="I329" s="442"/>
      <c r="J329" s="442"/>
      <c r="K329" s="443"/>
      <c r="L329" s="188">
        <f>L318/L180</f>
        <v>0.10368043087971275</v>
      </c>
      <c r="M329" s="442"/>
      <c r="N329" s="442"/>
      <c r="O329" s="442"/>
      <c r="P329" s="443"/>
      <c r="Q329" s="188">
        <f>Q318/Q180</f>
        <v>0.43502693485253652</v>
      </c>
      <c r="R329" s="442"/>
      <c r="S329" s="442"/>
      <c r="T329" s="442"/>
      <c r="U329" s="443"/>
      <c r="V329" s="188">
        <f>V318/V180</f>
        <v>0.43166435932933395</v>
      </c>
      <c r="W329" s="442"/>
      <c r="X329" s="442"/>
      <c r="Y329" s="442"/>
      <c r="Z329" s="443"/>
      <c r="AA329" s="188">
        <f>AA318/AA180</f>
        <v>0.10002216977827975</v>
      </c>
      <c r="AB329" s="442"/>
      <c r="AC329" s="442"/>
      <c r="AD329" s="442"/>
      <c r="AE329" s="443"/>
      <c r="AF329" s="188">
        <f>AF318/AF180</f>
        <v>9.996264473268944E-2</v>
      </c>
      <c r="AG329" s="442"/>
      <c r="AH329" s="442"/>
      <c r="AI329" s="442"/>
      <c r="AJ329" s="443"/>
      <c r="AK329" s="188">
        <f>AK318/AK180</f>
        <v>8.3463397663929642E-2</v>
      </c>
      <c r="AL329" s="442"/>
      <c r="AM329" s="442"/>
      <c r="AN329" s="442"/>
      <c r="AO329" s="443"/>
      <c r="AP329" s="188">
        <f>AP318/AP180</f>
        <v>6.8745897582775467E-2</v>
      </c>
      <c r="AQ329" s="98"/>
      <c r="AR329" s="79"/>
      <c r="AS329" s="619"/>
      <c r="AT329" s="619"/>
      <c r="AU329" s="619"/>
      <c r="AV329" s="619"/>
      <c r="AW329" s="619"/>
      <c r="AX329" s="619"/>
      <c r="AY329" s="619"/>
      <c r="AZ329" s="619"/>
      <c r="BA329" s="619"/>
      <c r="BB329" s="619"/>
      <c r="BC329" s="79"/>
      <c r="BD329" s="80"/>
      <c r="BE329" s="80"/>
      <c r="BF329" s="80"/>
      <c r="BG329"/>
      <c r="BH329"/>
      <c r="BI329"/>
      <c r="BJ329"/>
      <c r="BK329"/>
      <c r="BL329"/>
      <c r="BM329" s="80"/>
    </row>
    <row r="330" spans="1:65" s="81" customFormat="1" hidden="1">
      <c r="A330" s="14" t="s">
        <v>71</v>
      </c>
      <c r="B330" s="445"/>
      <c r="C330" s="440"/>
      <c r="D330" s="440"/>
      <c r="E330" s="440"/>
      <c r="F330" s="441"/>
      <c r="G330" s="445"/>
      <c r="H330" s="440"/>
      <c r="I330" s="440"/>
      <c r="J330" s="440"/>
      <c r="K330" s="441"/>
      <c r="L330" s="445"/>
      <c r="M330" s="440"/>
      <c r="N330" s="440"/>
      <c r="O330" s="440"/>
      <c r="P330" s="441"/>
      <c r="Q330" s="445"/>
      <c r="R330" s="440"/>
      <c r="S330" s="440"/>
      <c r="T330" s="440"/>
      <c r="U330" s="441"/>
      <c r="V330" s="445"/>
      <c r="W330" s="440"/>
      <c r="X330" s="440"/>
      <c r="Y330" s="440"/>
      <c r="Z330" s="441"/>
      <c r="AA330" s="445"/>
      <c r="AB330" s="440"/>
      <c r="AC330" s="440"/>
      <c r="AD330" s="440"/>
      <c r="AE330" s="441"/>
      <c r="AF330" s="445"/>
      <c r="AG330" s="440"/>
      <c r="AH330" s="440"/>
      <c r="AI330" s="440"/>
      <c r="AJ330" s="441"/>
      <c r="AK330" s="445"/>
      <c r="AL330" s="440"/>
      <c r="AM330" s="440"/>
      <c r="AN330" s="440"/>
      <c r="AO330" s="441"/>
      <c r="AP330" s="445"/>
      <c r="AQ330" s="98"/>
      <c r="AR330" s="79"/>
      <c r="AS330" s="619"/>
      <c r="AT330" s="619"/>
      <c r="AU330" s="619"/>
      <c r="AV330" s="619"/>
      <c r="AW330" s="619"/>
      <c r="AX330" s="619"/>
      <c r="AY330" s="619"/>
      <c r="AZ330" s="619"/>
      <c r="BA330" s="619"/>
      <c r="BB330" s="619"/>
      <c r="BC330" s="79"/>
      <c r="BD330" s="80"/>
      <c r="BE330" s="80"/>
      <c r="BF330" s="80"/>
      <c r="BG330"/>
      <c r="BH330"/>
      <c r="BI330"/>
      <c r="BJ330"/>
      <c r="BK330"/>
      <c r="BL330"/>
      <c r="BM330" s="80"/>
    </row>
    <row r="331" spans="1:65" s="81" customFormat="1" hidden="1">
      <c r="A331" s="146" t="s">
        <v>72</v>
      </c>
      <c r="B331" s="191">
        <f>B250</f>
        <v>2593</v>
      </c>
      <c r="C331" s="442"/>
      <c r="D331" s="442"/>
      <c r="E331" s="442"/>
      <c r="F331" s="443"/>
      <c r="G331" s="191">
        <f>G250</f>
        <v>2162</v>
      </c>
      <c r="H331" s="442"/>
      <c r="I331" s="442"/>
      <c r="J331" s="442"/>
      <c r="K331" s="443"/>
      <c r="L331" s="191">
        <f>L250</f>
        <v>2813</v>
      </c>
      <c r="M331" s="442"/>
      <c r="N331" s="442"/>
      <c r="O331" s="442"/>
      <c r="P331" s="443"/>
      <c r="Q331" s="191">
        <f>Q250</f>
        <v>2613</v>
      </c>
      <c r="R331" s="442"/>
      <c r="S331" s="442"/>
      <c r="T331" s="442"/>
      <c r="U331" s="443"/>
      <c r="V331" s="191">
        <f>V250</f>
        <v>2613</v>
      </c>
      <c r="W331" s="442"/>
      <c r="X331" s="442"/>
      <c r="Y331" s="442"/>
      <c r="Z331" s="443"/>
      <c r="AA331" s="191">
        <f>AA250</f>
        <v>3583.5498268042611</v>
      </c>
      <c r="AB331" s="442"/>
      <c r="AC331" s="442"/>
      <c r="AD331" s="442"/>
      <c r="AE331" s="443"/>
      <c r="AF331" s="191">
        <f>AF250</f>
        <v>4293.2598942355835</v>
      </c>
      <c r="AG331" s="442"/>
      <c r="AH331" s="442"/>
      <c r="AI331" s="442"/>
      <c r="AJ331" s="443"/>
      <c r="AK331" s="191">
        <f>AK250</f>
        <v>4446.2686023863262</v>
      </c>
      <c r="AL331" s="442"/>
      <c r="AM331" s="442"/>
      <c r="AN331" s="442"/>
      <c r="AO331" s="443"/>
      <c r="AP331" s="191">
        <f>AP250</f>
        <v>4609.5942366330291</v>
      </c>
      <c r="AQ331" s="98"/>
      <c r="AR331" s="79"/>
      <c r="AS331" s="619"/>
      <c r="AT331" s="619"/>
      <c r="AU331" s="619"/>
      <c r="AV331" s="619"/>
      <c r="AW331" s="619"/>
      <c r="AX331" s="619"/>
      <c r="AY331" s="619"/>
      <c r="AZ331" s="619"/>
      <c r="BA331" s="619"/>
      <c r="BB331" s="619"/>
      <c r="BC331" s="79"/>
      <c r="BD331" s="80"/>
      <c r="BE331" s="80"/>
      <c r="BF331" s="80"/>
      <c r="BG331"/>
      <c r="BH331"/>
      <c r="BI331"/>
      <c r="BJ331"/>
      <c r="BK331"/>
      <c r="BL331"/>
      <c r="BM331" s="80"/>
    </row>
    <row r="332" spans="1:65" s="81" customFormat="1" hidden="1">
      <c r="A332" s="146" t="s">
        <v>131</v>
      </c>
      <c r="B332" s="191">
        <f>B251</f>
        <v>-561</v>
      </c>
      <c r="C332" s="442"/>
      <c r="D332" s="442"/>
      <c r="E332" s="442"/>
      <c r="F332" s="443"/>
      <c r="G332" s="191">
        <f>G251</f>
        <v>-471</v>
      </c>
      <c r="H332" s="442"/>
      <c r="I332" s="442"/>
      <c r="J332" s="442"/>
      <c r="K332" s="443"/>
      <c r="L332" s="191">
        <f>L251</f>
        <v>-920</v>
      </c>
      <c r="M332" s="442"/>
      <c r="N332" s="442"/>
      <c r="O332" s="442"/>
      <c r="P332" s="443"/>
      <c r="Q332" s="191">
        <f>Q251</f>
        <v>-928</v>
      </c>
      <c r="R332" s="442"/>
      <c r="S332" s="442"/>
      <c r="T332" s="442"/>
      <c r="U332" s="443"/>
      <c r="V332" s="191">
        <f>V251</f>
        <v>-928</v>
      </c>
      <c r="W332" s="442"/>
      <c r="X332" s="442"/>
      <c r="Y332" s="442"/>
      <c r="Z332" s="443"/>
      <c r="AA332" s="191">
        <f>AA251</f>
        <v>-1082</v>
      </c>
      <c r="AB332" s="442"/>
      <c r="AC332" s="442"/>
      <c r="AD332" s="442"/>
      <c r="AE332" s="443"/>
      <c r="AF332" s="191">
        <f>AF251</f>
        <v>-1200</v>
      </c>
      <c r="AG332" s="442"/>
      <c r="AH332" s="442"/>
      <c r="AI332" s="442"/>
      <c r="AJ332" s="443"/>
      <c r="AK332" s="191">
        <f>AK251</f>
        <v>-1200</v>
      </c>
      <c r="AL332" s="442"/>
      <c r="AM332" s="442"/>
      <c r="AN332" s="442"/>
      <c r="AO332" s="443"/>
      <c r="AP332" s="191">
        <f>AP251</f>
        <v>-1200</v>
      </c>
      <c r="AQ332" s="98"/>
      <c r="AR332" s="79"/>
      <c r="AS332" s="619"/>
      <c r="AT332" s="619"/>
      <c r="AU332" s="619"/>
      <c r="AV332" s="619"/>
      <c r="AW332" s="619"/>
      <c r="AX332" s="619"/>
      <c r="AY332" s="619"/>
      <c r="AZ332" s="619"/>
      <c r="BA332" s="619"/>
      <c r="BB332" s="619"/>
      <c r="BC332" s="79"/>
      <c r="BD332" s="80"/>
      <c r="BE332" s="80"/>
      <c r="BF332" s="80"/>
      <c r="BG332"/>
      <c r="BH332"/>
      <c r="BI332"/>
      <c r="BJ332"/>
      <c r="BK332"/>
      <c r="BL332"/>
      <c r="BM332" s="80"/>
    </row>
    <row r="333" spans="1:65" s="81" customFormat="1" hidden="1">
      <c r="A333" s="187" t="s">
        <v>73</v>
      </c>
      <c r="B333" s="188">
        <f>-B332/B244</f>
        <v>1.2142857142857142</v>
      </c>
      <c r="C333" s="442"/>
      <c r="D333" s="442"/>
      <c r="E333" s="442"/>
      <c r="F333" s="443"/>
      <c r="G333" s="188">
        <f>-G332/G244</f>
        <v>1.0085653104925054</v>
      </c>
      <c r="H333" s="442"/>
      <c r="I333" s="442"/>
      <c r="J333" s="442"/>
      <c r="K333" s="443"/>
      <c r="L333" s="188">
        <f>-L332/L244</f>
        <v>2.0175438596491229</v>
      </c>
      <c r="M333" s="442"/>
      <c r="N333" s="442"/>
      <c r="O333" s="442"/>
      <c r="P333" s="443"/>
      <c r="Q333" s="188">
        <f>-Q332/Q244</f>
        <v>1.9536842105263157</v>
      </c>
      <c r="R333" s="442"/>
      <c r="S333" s="442"/>
      <c r="T333" s="442"/>
      <c r="U333" s="443"/>
      <c r="V333" s="188">
        <f>-V332/V244</f>
        <v>1.9536842105263157</v>
      </c>
      <c r="W333" s="442"/>
      <c r="X333" s="442"/>
      <c r="Y333" s="442"/>
      <c r="Z333" s="443"/>
      <c r="AA333" s="188">
        <f>-AA332/AA244</f>
        <v>1.5613275613275612</v>
      </c>
      <c r="AB333" s="442"/>
      <c r="AC333" s="442"/>
      <c r="AD333" s="442"/>
      <c r="AE333" s="443"/>
      <c r="AF333" s="188">
        <f>-AF332/AF244</f>
        <v>1.3333333333333333</v>
      </c>
      <c r="AG333" s="442"/>
      <c r="AH333" s="442"/>
      <c r="AI333" s="442"/>
      <c r="AJ333" s="443"/>
      <c r="AK333" s="188">
        <f>-AK332/AK244</f>
        <v>1.2931034482758621</v>
      </c>
      <c r="AL333" s="442"/>
      <c r="AM333" s="442"/>
      <c r="AN333" s="442"/>
      <c r="AO333" s="443"/>
      <c r="AP333" s="188">
        <f>-AP332/AP244</f>
        <v>1.2539184952978057</v>
      </c>
      <c r="AQ333" s="98"/>
      <c r="AR333" s="79"/>
      <c r="AS333" s="619"/>
      <c r="AT333" s="619"/>
      <c r="AU333" s="619"/>
      <c r="AV333" s="619"/>
      <c r="AW333" s="619"/>
      <c r="AX333" s="619"/>
      <c r="AY333" s="619"/>
      <c r="AZ333" s="619"/>
      <c r="BA333" s="619"/>
      <c r="BB333" s="619"/>
      <c r="BC333" s="79"/>
      <c r="BD333" s="80"/>
      <c r="BE333" s="80"/>
      <c r="BF333" s="80"/>
      <c r="BG333"/>
      <c r="BH333"/>
      <c r="BI333"/>
      <c r="BJ333"/>
      <c r="BK333"/>
      <c r="BL333"/>
      <c r="BM333" s="80"/>
    </row>
    <row r="334" spans="1:65" s="81" customFormat="1" hidden="1">
      <c r="A334" s="187" t="s">
        <v>74</v>
      </c>
      <c r="B334" s="188">
        <f>-B332/B180</f>
        <v>2.3395471037157514E-2</v>
      </c>
      <c r="C334" s="442"/>
      <c r="D334" s="442"/>
      <c r="E334" s="442"/>
      <c r="F334" s="443"/>
      <c r="G334" s="188">
        <f>-G332/G180</f>
        <v>2.0020402958428971E-2</v>
      </c>
      <c r="H334" s="442"/>
      <c r="I334" s="442"/>
      <c r="J334" s="442"/>
      <c r="K334" s="443"/>
      <c r="L334" s="188">
        <f>-L332/L180</f>
        <v>3.7538762852945974E-2</v>
      </c>
      <c r="M334" s="442"/>
      <c r="N334" s="442"/>
      <c r="O334" s="442"/>
      <c r="P334" s="443"/>
      <c r="Q334" s="188">
        <f>-Q332/Q180</f>
        <v>3.5964810293376739E-2</v>
      </c>
      <c r="R334" s="442"/>
      <c r="S334" s="442"/>
      <c r="T334" s="442"/>
      <c r="U334" s="443"/>
      <c r="V334" s="188">
        <f>-V332/V180</f>
        <v>3.568681741270574E-2</v>
      </c>
      <c r="W334" s="442"/>
      <c r="X334" s="442"/>
      <c r="Y334" s="442"/>
      <c r="Z334" s="443"/>
      <c r="AA334" s="188">
        <f>-AA332/AA180</f>
        <v>3.697951630389093E-2</v>
      </c>
      <c r="AB334" s="442"/>
      <c r="AC334" s="442"/>
      <c r="AD334" s="442"/>
      <c r="AE334" s="443"/>
      <c r="AF334" s="188">
        <f>-AF332/AF180</f>
        <v>3.545286319909751E-2</v>
      </c>
      <c r="AG334" s="442"/>
      <c r="AH334" s="442"/>
      <c r="AI334" s="442"/>
      <c r="AJ334" s="443"/>
      <c r="AK334" s="188">
        <f>-AK332/AK180</f>
        <v>3.3019735639663442E-2</v>
      </c>
      <c r="AL334" s="442"/>
      <c r="AM334" s="442"/>
      <c r="AN334" s="442"/>
      <c r="AO334" s="443"/>
      <c r="AP334" s="188">
        <f>-AP332/AP180</f>
        <v>3.1234424687198614E-2</v>
      </c>
      <c r="AQ334" s="98"/>
      <c r="AR334" s="79"/>
      <c r="AS334" s="619"/>
      <c r="AT334" s="619"/>
      <c r="AU334" s="619"/>
      <c r="AV334" s="619"/>
      <c r="AW334" s="619"/>
      <c r="AX334" s="619"/>
      <c r="AY334" s="619"/>
      <c r="AZ334" s="619"/>
      <c r="BA334" s="619"/>
      <c r="BB334" s="619"/>
      <c r="BC334" s="79"/>
      <c r="BD334" s="80"/>
      <c r="BE334" s="80"/>
      <c r="BF334" s="80"/>
      <c r="BG334"/>
      <c r="BH334"/>
      <c r="BI334"/>
      <c r="BJ334"/>
      <c r="BK334"/>
      <c r="BL334"/>
      <c r="BM334" s="80"/>
    </row>
    <row r="335" spans="1:65" s="81" customFormat="1" hidden="1">
      <c r="A335" s="146" t="s">
        <v>75</v>
      </c>
      <c r="B335" s="191">
        <f>B254</f>
        <v>2032</v>
      </c>
      <c r="C335" s="442"/>
      <c r="D335" s="442"/>
      <c r="E335" s="442"/>
      <c r="F335" s="443"/>
      <c r="G335" s="191">
        <f>G254</f>
        <v>1691</v>
      </c>
      <c r="H335" s="442"/>
      <c r="I335" s="442"/>
      <c r="J335" s="442"/>
      <c r="K335" s="443"/>
      <c r="L335" s="191">
        <f>L254</f>
        <v>1893</v>
      </c>
      <c r="M335" s="442"/>
      <c r="N335" s="442"/>
      <c r="O335" s="442"/>
      <c r="P335" s="443"/>
      <c r="Q335" s="191">
        <f>Q254</f>
        <v>1685</v>
      </c>
      <c r="R335" s="442"/>
      <c r="S335" s="442"/>
      <c r="T335" s="442"/>
      <c r="U335" s="443"/>
      <c r="V335" s="191">
        <f>V254</f>
        <v>1685</v>
      </c>
      <c r="W335" s="442"/>
      <c r="X335" s="442"/>
      <c r="Y335" s="442"/>
      <c r="Z335" s="443"/>
      <c r="AA335" s="191">
        <f>AA254</f>
        <v>2501.5498268042611</v>
      </c>
      <c r="AB335" s="442"/>
      <c r="AC335" s="442"/>
      <c r="AD335" s="442"/>
      <c r="AE335" s="443"/>
      <c r="AF335" s="191">
        <f>AF254</f>
        <v>3093.2598942355835</v>
      </c>
      <c r="AG335" s="442"/>
      <c r="AH335" s="442"/>
      <c r="AI335" s="442"/>
      <c r="AJ335" s="443"/>
      <c r="AK335" s="191">
        <f>AK254</f>
        <v>3246.2686023863262</v>
      </c>
      <c r="AL335" s="442"/>
      <c r="AM335" s="442"/>
      <c r="AN335" s="442"/>
      <c r="AO335" s="443"/>
      <c r="AP335" s="191">
        <f>AP254</f>
        <v>3409.5942366330291</v>
      </c>
      <c r="AQ335" s="98"/>
      <c r="AR335" s="79"/>
      <c r="AS335" s="619"/>
      <c r="AT335" s="619"/>
      <c r="AU335" s="619"/>
      <c r="AV335" s="619"/>
      <c r="AW335" s="619"/>
      <c r="AX335" s="619"/>
      <c r="AY335" s="619"/>
      <c r="AZ335" s="619"/>
      <c r="BA335" s="619"/>
      <c r="BB335" s="619"/>
      <c r="BC335" s="79"/>
      <c r="BD335" s="80"/>
      <c r="BE335" s="80"/>
      <c r="BF335" s="80"/>
      <c r="BG335"/>
      <c r="BH335"/>
      <c r="BI335"/>
      <c r="BJ335"/>
      <c r="BK335"/>
      <c r="BL335"/>
      <c r="BM335" s="80"/>
    </row>
    <row r="336" spans="1:65" ht="12.75" customHeight="1">
      <c r="A336" s="434"/>
      <c r="B336" s="435"/>
      <c r="C336" s="436"/>
      <c r="D336" s="436"/>
      <c r="E336" s="436"/>
      <c r="F336" s="436"/>
      <c r="G336" s="435"/>
      <c r="H336" s="436"/>
      <c r="I336" s="436"/>
      <c r="J336" s="436"/>
      <c r="K336" s="436"/>
      <c r="L336" s="435"/>
      <c r="M336" s="436"/>
      <c r="N336" s="436"/>
      <c r="O336" s="436"/>
      <c r="P336" s="436"/>
      <c r="Q336" s="435"/>
      <c r="R336" s="436"/>
      <c r="S336" s="436"/>
      <c r="T336" s="436"/>
      <c r="U336" s="436"/>
      <c r="V336" s="435"/>
      <c r="W336" s="436"/>
      <c r="X336" s="436"/>
      <c r="Y336" s="436"/>
      <c r="Z336" s="436"/>
      <c r="AA336" s="435"/>
      <c r="AB336" s="436"/>
      <c r="AC336" s="436"/>
      <c r="AD336" s="436"/>
      <c r="AE336" s="436"/>
      <c r="AF336" s="435"/>
      <c r="AG336" s="436"/>
      <c r="AH336" s="436"/>
      <c r="AI336" s="436"/>
      <c r="AJ336" s="436"/>
      <c r="AK336" s="435"/>
      <c r="AL336" s="436"/>
      <c r="AM336" s="436"/>
      <c r="AN336" s="436"/>
      <c r="AO336" s="436"/>
      <c r="AP336" s="435"/>
      <c r="AQ336" s="433"/>
      <c r="AR336" s="105"/>
      <c r="AS336" s="664"/>
      <c r="AT336" s="664"/>
      <c r="AU336" s="664"/>
      <c r="AV336" s="664"/>
      <c r="AW336" s="664"/>
      <c r="AX336" s="664"/>
      <c r="AY336" s="664"/>
      <c r="AZ336" s="664"/>
      <c r="BA336" s="664"/>
      <c r="BB336" s="664"/>
      <c r="BC336" s="105"/>
      <c r="BD336" s="29"/>
      <c r="BE336" s="29"/>
      <c r="BF336" s="29"/>
    </row>
    <row r="337" spans="1:58" ht="12" customHeight="1">
      <c r="A337" s="447" t="s">
        <v>91</v>
      </c>
      <c r="B337" s="448"/>
      <c r="C337" s="450"/>
      <c r="D337" s="449"/>
      <c r="E337" s="449"/>
      <c r="F337" s="450"/>
      <c r="G337" s="448"/>
      <c r="H337" s="450"/>
      <c r="I337" s="450"/>
      <c r="J337" s="450"/>
      <c r="K337" s="450"/>
      <c r="L337" s="448"/>
      <c r="M337" s="450"/>
      <c r="N337" s="450"/>
      <c r="O337" s="450"/>
      <c r="P337" s="450"/>
      <c r="Q337" s="448"/>
      <c r="R337" s="450"/>
      <c r="S337" s="450"/>
      <c r="T337" s="450"/>
      <c r="U337" s="450"/>
      <c r="V337" s="448"/>
      <c r="W337" s="450"/>
      <c r="X337" s="450"/>
      <c r="Y337" s="450"/>
      <c r="Z337" s="450"/>
      <c r="AA337" s="448"/>
      <c r="AB337" s="450"/>
      <c r="AC337" s="450"/>
      <c r="AD337" s="450"/>
      <c r="AE337" s="450"/>
      <c r="AF337" s="448"/>
      <c r="AG337" s="450"/>
      <c r="AH337" s="450"/>
      <c r="AI337" s="450"/>
      <c r="AJ337" s="450"/>
      <c r="AK337" s="448"/>
      <c r="AL337" s="450"/>
      <c r="AM337" s="450"/>
      <c r="AN337" s="450"/>
      <c r="AO337" s="450"/>
      <c r="AP337" s="448"/>
      <c r="AQ337" s="8"/>
      <c r="AR337" s="105"/>
      <c r="AS337" s="664"/>
      <c r="AT337" s="664"/>
      <c r="AU337" s="664"/>
      <c r="AV337" s="664"/>
      <c r="AW337" s="664"/>
      <c r="AX337" s="664"/>
      <c r="AY337" s="664"/>
      <c r="AZ337" s="664"/>
      <c r="BA337" s="664"/>
      <c r="BB337" s="664"/>
      <c r="BC337" s="105"/>
      <c r="BD337" s="29"/>
      <c r="BE337" s="29"/>
      <c r="BF337" s="29"/>
    </row>
    <row r="338" spans="1:58" ht="12" hidden="1" customHeight="1" outlineLevel="1">
      <c r="A338" s="377" t="s">
        <v>94</v>
      </c>
      <c r="B338" s="452">
        <v>0.35</v>
      </c>
      <c r="C338" s="453">
        <v>0.35</v>
      </c>
      <c r="D338" s="454">
        <v>0.35</v>
      </c>
      <c r="E338" s="454">
        <v>0.35</v>
      </c>
      <c r="F338" s="454">
        <v>0.35</v>
      </c>
      <c r="G338" s="452">
        <v>0.35</v>
      </c>
      <c r="H338" s="451">
        <v>0.35</v>
      </c>
      <c r="I338" s="451">
        <v>0.35</v>
      </c>
      <c r="J338" s="451">
        <v>0.35</v>
      </c>
      <c r="K338" s="451">
        <v>0.35</v>
      </c>
      <c r="L338" s="452">
        <v>0.35</v>
      </c>
      <c r="M338" s="451">
        <v>0.35</v>
      </c>
      <c r="N338" s="451">
        <v>0.35</v>
      </c>
      <c r="O338" s="451">
        <v>0.35</v>
      </c>
      <c r="P338" s="451">
        <v>0.35</v>
      </c>
      <c r="Q338" s="452">
        <v>0.35</v>
      </c>
      <c r="R338" s="451">
        <v>0.35</v>
      </c>
      <c r="S338" s="451">
        <v>0.35</v>
      </c>
      <c r="T338" s="451">
        <v>0.35</v>
      </c>
      <c r="U338" s="451">
        <v>0.35</v>
      </c>
      <c r="V338" s="452">
        <v>0.35</v>
      </c>
      <c r="W338" s="451">
        <v>0.21</v>
      </c>
      <c r="X338" s="451">
        <v>0.21</v>
      </c>
      <c r="Y338" s="451">
        <v>0.21</v>
      </c>
      <c r="Z338" s="451">
        <v>0.21</v>
      </c>
      <c r="AA338" s="452">
        <v>0.21</v>
      </c>
      <c r="AB338" s="451"/>
      <c r="AC338" s="451"/>
      <c r="AD338" s="451"/>
      <c r="AE338" s="451"/>
      <c r="AF338" s="452">
        <v>0.21</v>
      </c>
      <c r="AG338" s="451"/>
      <c r="AH338" s="451"/>
      <c r="AI338" s="451"/>
      <c r="AJ338" s="451"/>
      <c r="AK338" s="452">
        <v>0.21</v>
      </c>
      <c r="AL338" s="451"/>
      <c r="AM338" s="451"/>
      <c r="AN338" s="451"/>
      <c r="AO338" s="451"/>
      <c r="AP338" s="452">
        <v>0.21</v>
      </c>
      <c r="AQ338" s="455"/>
      <c r="AR338" s="105"/>
      <c r="AS338" s="664"/>
      <c r="AT338" s="664"/>
      <c r="AU338" s="664"/>
      <c r="AV338" s="664"/>
      <c r="AW338" s="664"/>
      <c r="AX338" s="664"/>
      <c r="AY338" s="664"/>
      <c r="AZ338" s="664"/>
      <c r="BA338" s="664"/>
      <c r="BB338" s="664"/>
      <c r="BC338" s="105"/>
      <c r="BD338" s="29"/>
      <c r="BE338" s="29"/>
      <c r="BF338" s="29"/>
    </row>
    <row r="339" spans="1:58" ht="12" hidden="1" customHeight="1" outlineLevel="1">
      <c r="A339" s="377" t="s">
        <v>188</v>
      </c>
      <c r="B339" s="493">
        <f t="shared" ref="B339:Z339" si="447">B191</f>
        <v>269</v>
      </c>
      <c r="C339" s="494">
        <f t="shared" si="447"/>
        <v>83</v>
      </c>
      <c r="D339" s="495">
        <f t="shared" si="447"/>
        <v>81</v>
      </c>
      <c r="E339" s="495">
        <f t="shared" si="447"/>
        <v>97</v>
      </c>
      <c r="F339" s="495">
        <f t="shared" si="447"/>
        <v>87</v>
      </c>
      <c r="G339" s="493">
        <f t="shared" si="447"/>
        <v>348</v>
      </c>
      <c r="H339" s="494">
        <f t="shared" si="447"/>
        <v>74</v>
      </c>
      <c r="I339" s="495">
        <f t="shared" si="447"/>
        <v>69</v>
      </c>
      <c r="J339" s="495">
        <f t="shared" si="447"/>
        <v>91</v>
      </c>
      <c r="K339" s="495">
        <f t="shared" si="447"/>
        <v>82</v>
      </c>
      <c r="L339" s="493">
        <f>L191</f>
        <v>316</v>
      </c>
      <c r="M339" s="494">
        <f t="shared" si="447"/>
        <v>136</v>
      </c>
      <c r="N339" s="495">
        <f t="shared" si="447"/>
        <v>137</v>
      </c>
      <c r="O339" s="495">
        <f t="shared" si="447"/>
        <v>172</v>
      </c>
      <c r="P339" s="495">
        <f t="shared" si="447"/>
        <v>149</v>
      </c>
      <c r="Q339" s="493">
        <f>Q191</f>
        <v>594</v>
      </c>
      <c r="R339" s="494">
        <f t="shared" ref="R339:U339" si="448">R191</f>
        <v>154</v>
      </c>
      <c r="S339" s="495">
        <f t="shared" si="448"/>
        <v>154</v>
      </c>
      <c r="T339" s="495">
        <f t="shared" si="448"/>
        <v>170</v>
      </c>
      <c r="U339" s="495">
        <f t="shared" si="448"/>
        <v>160</v>
      </c>
      <c r="V339" s="493">
        <f>V191</f>
        <v>638</v>
      </c>
      <c r="W339" s="492">
        <f t="shared" si="447"/>
        <v>115</v>
      </c>
      <c r="X339" s="492">
        <f t="shared" si="447"/>
        <v>115</v>
      </c>
      <c r="Y339" s="492">
        <f t="shared" si="447"/>
        <v>140</v>
      </c>
      <c r="Z339" s="492">
        <f t="shared" si="447"/>
        <v>140</v>
      </c>
      <c r="AA339" s="493">
        <f>AA191</f>
        <v>510</v>
      </c>
      <c r="AB339" s="492"/>
      <c r="AC339" s="492"/>
      <c r="AD339" s="492"/>
      <c r="AE339" s="492"/>
      <c r="AF339" s="493">
        <f>AF191</f>
        <v>470</v>
      </c>
      <c r="AG339" s="492"/>
      <c r="AH339" s="492"/>
      <c r="AI339" s="492"/>
      <c r="AJ339" s="492"/>
      <c r="AK339" s="493">
        <f>AK191</f>
        <v>190</v>
      </c>
      <c r="AL339" s="492"/>
      <c r="AM339" s="492"/>
      <c r="AN339" s="492"/>
      <c r="AO339" s="492"/>
      <c r="AP339" s="493">
        <f>AP191</f>
        <v>210</v>
      </c>
      <c r="AQ339" s="455"/>
      <c r="AR339" s="105"/>
      <c r="AS339" s="664"/>
      <c r="AT339" s="664"/>
      <c r="AU339" s="664"/>
      <c r="AV339" s="664"/>
      <c r="AW339" s="664"/>
      <c r="AX339" s="664"/>
      <c r="AY339" s="664"/>
      <c r="AZ339" s="664"/>
      <c r="BA339" s="664"/>
      <c r="BB339" s="664"/>
      <c r="BC339" s="105"/>
      <c r="BD339" s="29"/>
      <c r="BE339" s="29"/>
      <c r="BF339" s="29"/>
    </row>
    <row r="340" spans="1:58" ht="12.75" hidden="1" customHeight="1" outlineLevel="1">
      <c r="A340" s="377" t="s">
        <v>182</v>
      </c>
      <c r="B340" s="254"/>
      <c r="C340" s="256" t="e">
        <f>(C301-#REF!)-C222-C342</f>
        <v>#REF!</v>
      </c>
      <c r="D340" s="257">
        <f>(D301-C301)-D222-D342</f>
        <v>-1057</v>
      </c>
      <c r="E340" s="257">
        <f>(E301-D301)-E222-E342</f>
        <v>-918</v>
      </c>
      <c r="F340" s="257">
        <f>(F301-E301)-F222-F342</f>
        <v>-266</v>
      </c>
      <c r="G340" s="254">
        <f>(G301-B301)-G222-G342</f>
        <v>-3118</v>
      </c>
      <c r="H340" s="456"/>
      <c r="I340" s="456"/>
      <c r="J340" s="456"/>
      <c r="K340" s="456"/>
      <c r="L340" s="254">
        <f>(L301-G301)-L222-L342</f>
        <v>-1591</v>
      </c>
      <c r="M340" s="456"/>
      <c r="N340" s="456"/>
      <c r="O340" s="456"/>
      <c r="P340" s="456"/>
      <c r="Q340" s="254">
        <f>(Q301-L301)-Q222-Q342</f>
        <v>-407.34500000000003</v>
      </c>
      <c r="R340" s="456"/>
      <c r="S340" s="456"/>
      <c r="T340" s="456"/>
      <c r="U340" s="456"/>
      <c r="V340" s="254">
        <f>(V301-L301)-V222-V342</f>
        <v>-70.345000000000027</v>
      </c>
      <c r="W340" s="456"/>
      <c r="X340" s="456"/>
      <c r="Y340" s="456"/>
      <c r="Z340" s="456"/>
      <c r="AA340" s="254">
        <f>(AA301-Q301)-AA222-AA342</f>
        <v>118.08722056881174</v>
      </c>
      <c r="AB340" s="456"/>
      <c r="AC340" s="456"/>
      <c r="AD340" s="456"/>
      <c r="AE340" s="456"/>
      <c r="AF340" s="254">
        <f>(AF301-AA301)-AF222-AF342</f>
        <v>-1027.3217245577666</v>
      </c>
      <c r="AG340" s="456"/>
      <c r="AH340" s="456"/>
      <c r="AI340" s="456"/>
      <c r="AJ340" s="456"/>
      <c r="AK340" s="254">
        <f>(AK301-AF301)-AK222-AK342</f>
        <v>-1435.8664532973085</v>
      </c>
      <c r="AL340" s="456"/>
      <c r="AM340" s="456"/>
      <c r="AN340" s="456"/>
      <c r="AO340" s="456"/>
      <c r="AP340" s="254">
        <f>(AP301-AK301)-AP222-AP342</f>
        <v>-1896.3495925207717</v>
      </c>
      <c r="AQ340" s="457"/>
      <c r="AR340" s="105"/>
      <c r="AS340" s="664"/>
      <c r="AT340" s="664"/>
      <c r="AU340" s="664"/>
      <c r="AV340" s="664"/>
      <c r="AW340" s="664"/>
      <c r="AX340" s="664"/>
      <c r="AY340" s="664"/>
      <c r="AZ340" s="664"/>
      <c r="BA340" s="664"/>
      <c r="BB340" s="664"/>
      <c r="BC340" s="105"/>
      <c r="BD340" s="29"/>
      <c r="BE340" s="29"/>
      <c r="BF340" s="29"/>
    </row>
    <row r="341" spans="1:58" ht="12.75" hidden="1" customHeight="1" outlineLevel="1">
      <c r="A341" s="377" t="s">
        <v>182</v>
      </c>
      <c r="B341" s="254"/>
      <c r="C341" s="256" t="e">
        <f>C299-#REF!+C300-#REF!</f>
        <v>#REF!</v>
      </c>
      <c r="D341" s="257">
        <f>D299-C299+D300-C300</f>
        <v>-7</v>
      </c>
      <c r="E341" s="257">
        <f>E299-D299+E300-D300</f>
        <v>-5</v>
      </c>
      <c r="F341" s="257">
        <f>F299-E299+F300-E300</f>
        <v>-2</v>
      </c>
      <c r="G341" s="254">
        <f>G299-B299+G300-B300</f>
        <v>-18</v>
      </c>
      <c r="H341" s="456"/>
      <c r="I341" s="456"/>
      <c r="J341" s="456"/>
      <c r="K341" s="456"/>
      <c r="L341" s="254">
        <f>L299-G299+L300-G300</f>
        <v>-6</v>
      </c>
      <c r="M341" s="456"/>
      <c r="N341" s="456"/>
      <c r="O341" s="456"/>
      <c r="P341" s="456"/>
      <c r="Q341" s="254">
        <f>Q299-L299+Q300-L300</f>
        <v>43</v>
      </c>
      <c r="R341" s="456"/>
      <c r="S341" s="456"/>
      <c r="T341" s="456"/>
      <c r="U341" s="456"/>
      <c r="V341" s="254">
        <f>V299-L299+V300-L300</f>
        <v>43</v>
      </c>
      <c r="W341" s="456"/>
      <c r="X341" s="456"/>
      <c r="Y341" s="456"/>
      <c r="Z341" s="456"/>
      <c r="AA341" s="254">
        <f>AA299-Q299+AA300-Q300</f>
        <v>0</v>
      </c>
      <c r="AB341" s="456"/>
      <c r="AC341" s="456"/>
      <c r="AD341" s="456"/>
      <c r="AE341" s="456"/>
      <c r="AF341" s="254">
        <f>AF299-AA299+AF300-AA300</f>
        <v>0</v>
      </c>
      <c r="AG341" s="456"/>
      <c r="AH341" s="456"/>
      <c r="AI341" s="456"/>
      <c r="AJ341" s="456"/>
      <c r="AK341" s="254">
        <f>AK299-AF299+AK300-AF300</f>
        <v>0</v>
      </c>
      <c r="AL341" s="456"/>
      <c r="AM341" s="456"/>
      <c r="AN341" s="456"/>
      <c r="AO341" s="456"/>
      <c r="AP341" s="254">
        <f>AP299-AK299+AP300-AK300</f>
        <v>0</v>
      </c>
      <c r="AQ341" s="457"/>
      <c r="AR341" s="105"/>
      <c r="AS341" s="664"/>
      <c r="AT341" s="664"/>
      <c r="AU341" s="664"/>
      <c r="AV341" s="664"/>
      <c r="AW341" s="664"/>
      <c r="AX341" s="664"/>
      <c r="AY341" s="664"/>
      <c r="AZ341" s="664"/>
      <c r="BA341" s="664"/>
      <c r="BB341" s="664"/>
      <c r="BC341" s="105"/>
      <c r="BD341" s="29"/>
      <c r="BE341" s="29"/>
      <c r="BF341" s="29"/>
    </row>
    <row r="342" spans="1:58" ht="12.75" hidden="1" customHeight="1" outlineLevel="1">
      <c r="A342" s="377" t="s">
        <v>144</v>
      </c>
      <c r="B342" s="254">
        <f t="shared" ref="B342:G342" si="449">B263</f>
        <v>-563</v>
      </c>
      <c r="C342" s="256">
        <f t="shared" si="449"/>
        <v>-156</v>
      </c>
      <c r="D342" s="257">
        <f t="shared" si="449"/>
        <v>-153</v>
      </c>
      <c r="E342" s="257">
        <f t="shared" si="449"/>
        <v>-149</v>
      </c>
      <c r="F342" s="257">
        <f t="shared" si="449"/>
        <v>-145</v>
      </c>
      <c r="G342" s="254">
        <f t="shared" si="449"/>
        <v>-603</v>
      </c>
      <c r="H342" s="456"/>
      <c r="I342" s="456"/>
      <c r="J342" s="456"/>
      <c r="K342" s="456"/>
      <c r="L342" s="254">
        <f>L263</f>
        <v>-640</v>
      </c>
      <c r="M342" s="456"/>
      <c r="N342" s="456"/>
      <c r="O342" s="456"/>
      <c r="P342" s="456"/>
      <c r="Q342" s="254">
        <f>Q263</f>
        <v>-689</v>
      </c>
      <c r="R342" s="456"/>
      <c r="S342" s="456"/>
      <c r="T342" s="456"/>
      <c r="U342" s="456"/>
      <c r="V342" s="254">
        <f>V263</f>
        <v>-689</v>
      </c>
      <c r="W342" s="456"/>
      <c r="X342" s="456"/>
      <c r="Y342" s="456"/>
      <c r="Z342" s="456"/>
      <c r="AA342" s="254">
        <f>AA263</f>
        <v>-757.04420579197517</v>
      </c>
      <c r="AB342" s="456"/>
      <c r="AC342" s="456"/>
      <c r="AD342" s="456"/>
      <c r="AE342" s="456"/>
      <c r="AF342" s="254">
        <f>AF263</f>
        <v>-815.01941712959069</v>
      </c>
      <c r="AG342" s="456"/>
      <c r="AH342" s="456"/>
      <c r="AI342" s="456"/>
      <c r="AJ342" s="456"/>
      <c r="AK342" s="254">
        <f>AK263</f>
        <v>-866.69511634333924</v>
      </c>
      <c r="AL342" s="456"/>
      <c r="AM342" s="456"/>
      <c r="AN342" s="456"/>
      <c r="AO342" s="456"/>
      <c r="AP342" s="254">
        <f>AP263</f>
        <v>-911.30442380218767</v>
      </c>
      <c r="AQ342" s="457"/>
      <c r="AR342" s="105"/>
      <c r="AS342" s="664"/>
      <c r="AT342" s="664"/>
      <c r="AU342" s="664"/>
      <c r="AV342" s="664"/>
      <c r="AW342" s="664"/>
      <c r="AX342" s="664"/>
      <c r="AY342" s="664"/>
      <c r="AZ342" s="664"/>
      <c r="BA342" s="664"/>
      <c r="BB342" s="664"/>
      <c r="BC342" s="105"/>
      <c r="BD342" s="29"/>
      <c r="BE342" s="29"/>
      <c r="BF342" s="29"/>
    </row>
    <row r="343" spans="1:58" ht="12.75" hidden="1" customHeight="1" outlineLevel="1">
      <c r="A343" s="377" t="s">
        <v>183</v>
      </c>
      <c r="B343" s="458">
        <f t="shared" ref="B343:AA343" si="450">(B69-B178+B191)</f>
        <v>21052</v>
      </c>
      <c r="C343" s="460">
        <f t="shared" si="450"/>
        <v>5260</v>
      </c>
      <c r="D343" s="460">
        <f t="shared" si="450"/>
        <v>5164</v>
      </c>
      <c r="E343" s="460">
        <f t="shared" si="450"/>
        <v>5282</v>
      </c>
      <c r="F343" s="460">
        <f t="shared" si="450"/>
        <v>5092</v>
      </c>
      <c r="G343" s="458">
        <f t="shared" si="450"/>
        <v>20798</v>
      </c>
      <c r="H343" s="459">
        <f t="shared" si="450"/>
        <v>5291</v>
      </c>
      <c r="I343" s="459">
        <f t="shared" si="450"/>
        <v>5272</v>
      </c>
      <c r="J343" s="459">
        <f t="shared" si="450"/>
        <v>5420</v>
      </c>
      <c r="K343" s="459">
        <f t="shared" si="450"/>
        <v>5648</v>
      </c>
      <c r="L343" s="458">
        <f t="shared" si="450"/>
        <v>21631</v>
      </c>
      <c r="M343" s="459">
        <f t="shared" si="450"/>
        <v>5571</v>
      </c>
      <c r="N343" s="459">
        <f t="shared" si="450"/>
        <v>5657</v>
      </c>
      <c r="O343" s="459">
        <f t="shared" si="450"/>
        <v>5854</v>
      </c>
      <c r="P343" s="459">
        <f t="shared" si="450"/>
        <v>6016</v>
      </c>
      <c r="Q343" s="458">
        <f t="shared" si="450"/>
        <v>23098</v>
      </c>
      <c r="R343" s="459">
        <f t="shared" ref="R343:U343" si="451">(R69-R178+R191)</f>
        <v>5702</v>
      </c>
      <c r="S343" s="459">
        <f t="shared" si="451"/>
        <v>5754</v>
      </c>
      <c r="T343" s="459">
        <f t="shared" si="451"/>
        <v>5902</v>
      </c>
      <c r="U343" s="459">
        <f t="shared" si="451"/>
        <v>6008</v>
      </c>
      <c r="V343" s="458">
        <f t="shared" ref="V343" si="452">(V69-V178+V191)</f>
        <v>23366</v>
      </c>
      <c r="W343" s="459">
        <f t="shared" si="450"/>
        <v>5912.0224931989924</v>
      </c>
      <c r="X343" s="459">
        <f t="shared" si="450"/>
        <v>5953.7096677581867</v>
      </c>
      <c r="Y343" s="459">
        <f t="shared" si="450"/>
        <v>7215.949778967255</v>
      </c>
      <c r="Z343" s="459">
        <f t="shared" si="450"/>
        <v>7211.8665725440806</v>
      </c>
      <c r="AA343" s="458">
        <f t="shared" si="450"/>
        <v>26293.548512468515</v>
      </c>
      <c r="AB343" s="459"/>
      <c r="AC343" s="459"/>
      <c r="AD343" s="459"/>
      <c r="AE343" s="459"/>
      <c r="AF343" s="458">
        <f>(AF69-AF178+AF191)</f>
        <v>30300.85935196852</v>
      </c>
      <c r="AG343" s="459"/>
      <c r="AH343" s="459"/>
      <c r="AI343" s="459"/>
      <c r="AJ343" s="459"/>
      <c r="AK343" s="458">
        <f>(AK69-AK178+AK191)</f>
        <v>32436.159193023519</v>
      </c>
      <c r="AL343" s="459"/>
      <c r="AM343" s="459"/>
      <c r="AN343" s="459"/>
      <c r="AO343" s="459"/>
      <c r="AP343" s="458">
        <f>(AP69-AP178+AP191)</f>
        <v>34270.612944617264</v>
      </c>
      <c r="AQ343" s="461"/>
      <c r="AR343" s="105"/>
      <c r="AS343" s="664"/>
      <c r="AT343" s="664"/>
      <c r="AU343" s="664"/>
      <c r="AV343" s="664"/>
      <c r="AW343" s="664"/>
      <c r="AX343" s="664"/>
      <c r="AY343" s="664"/>
      <c r="AZ343" s="664"/>
      <c r="BA343" s="664"/>
      <c r="BB343" s="664"/>
      <c r="BC343" s="105"/>
      <c r="BD343" s="29"/>
      <c r="BE343" s="29"/>
      <c r="BF343" s="29"/>
    </row>
    <row r="344" spans="1:58" ht="12.75" hidden="1" customHeight="1" outlineLevel="1">
      <c r="A344" s="377" t="s">
        <v>92</v>
      </c>
      <c r="B344" s="249">
        <v>0</v>
      </c>
      <c r="C344" s="251">
        <v>0</v>
      </c>
      <c r="D344" s="253">
        <v>0</v>
      </c>
      <c r="E344" s="253">
        <v>0</v>
      </c>
      <c r="F344" s="253">
        <v>0</v>
      </c>
      <c r="G344" s="249">
        <v>0</v>
      </c>
      <c r="H344" s="255"/>
      <c r="I344" s="255"/>
      <c r="J344" s="255"/>
      <c r="K344" s="255"/>
      <c r="L344" s="249">
        <v>0</v>
      </c>
      <c r="M344" s="255"/>
      <c r="N344" s="255"/>
      <c r="O344" s="255"/>
      <c r="P344" s="255"/>
      <c r="Q344" s="249">
        <v>0</v>
      </c>
      <c r="R344" s="255"/>
      <c r="S344" s="255"/>
      <c r="T344" s="255"/>
      <c r="U344" s="255"/>
      <c r="V344" s="249">
        <v>0</v>
      </c>
      <c r="W344" s="255"/>
      <c r="X344" s="255"/>
      <c r="Y344" s="255"/>
      <c r="Z344" s="255"/>
      <c r="AA344" s="249">
        <v>0</v>
      </c>
      <c r="AB344" s="255"/>
      <c r="AC344" s="255"/>
      <c r="AD344" s="255"/>
      <c r="AE344" s="255"/>
      <c r="AF344" s="249">
        <v>0</v>
      </c>
      <c r="AG344" s="255"/>
      <c r="AH344" s="255"/>
      <c r="AI344" s="255"/>
      <c r="AJ344" s="255"/>
      <c r="AK344" s="249">
        <v>0</v>
      </c>
      <c r="AL344" s="255"/>
      <c r="AM344" s="255"/>
      <c r="AN344" s="255"/>
      <c r="AO344" s="255"/>
      <c r="AP344" s="249">
        <v>0</v>
      </c>
      <c r="AQ344" s="462"/>
      <c r="AR344" s="105"/>
      <c r="AS344" s="664"/>
      <c r="AT344" s="664"/>
      <c r="AU344" s="664"/>
      <c r="AV344" s="664"/>
      <c r="AW344" s="664"/>
      <c r="AX344" s="664"/>
      <c r="AY344" s="664"/>
      <c r="AZ344" s="664"/>
      <c r="BA344" s="664"/>
      <c r="BB344" s="664"/>
      <c r="BC344" s="105"/>
      <c r="BD344" s="29"/>
      <c r="BE344" s="29"/>
      <c r="BF344" s="29"/>
    </row>
    <row r="345" spans="1:58" ht="12.75" hidden="1" customHeight="1" outlineLevel="1">
      <c r="A345" s="377"/>
      <c r="B345" s="254"/>
      <c r="C345" s="490"/>
      <c r="D345" s="250"/>
      <c r="E345" s="250"/>
      <c r="F345" s="491"/>
      <c r="G345" s="254"/>
      <c r="H345" s="490"/>
      <c r="I345" s="250"/>
      <c r="J345" s="250"/>
      <c r="K345" s="491"/>
      <c r="L345" s="254"/>
      <c r="M345" s="490"/>
      <c r="N345" s="250"/>
      <c r="O345" s="250"/>
      <c r="P345" s="491"/>
      <c r="Q345" s="254"/>
      <c r="R345" s="490"/>
      <c r="S345" s="250"/>
      <c r="T345" s="250"/>
      <c r="U345" s="491"/>
      <c r="V345" s="254"/>
      <c r="W345" s="490"/>
      <c r="X345" s="250"/>
      <c r="Y345" s="250"/>
      <c r="Z345" s="491"/>
      <c r="AA345" s="254"/>
      <c r="AB345" s="490"/>
      <c r="AC345" s="250"/>
      <c r="AD345" s="250"/>
      <c r="AE345" s="491"/>
      <c r="AF345" s="254"/>
      <c r="AG345" s="490"/>
      <c r="AH345" s="250"/>
      <c r="AI345" s="250"/>
      <c r="AJ345" s="491"/>
      <c r="AK345" s="254"/>
      <c r="AL345" s="490"/>
      <c r="AM345" s="250"/>
      <c r="AN345" s="250"/>
      <c r="AO345" s="491"/>
      <c r="AP345" s="254"/>
      <c r="AQ345" s="457"/>
      <c r="AR345" s="105"/>
      <c r="AS345" s="664"/>
      <c r="AT345" s="664"/>
      <c r="AU345" s="664"/>
      <c r="AV345" s="664"/>
      <c r="AW345" s="664"/>
      <c r="AX345" s="664"/>
      <c r="AY345" s="664"/>
      <c r="AZ345" s="664"/>
      <c r="BA345" s="664"/>
      <c r="BB345" s="664"/>
      <c r="BC345" s="105"/>
      <c r="BD345" s="29"/>
      <c r="BE345" s="29"/>
      <c r="BF345" s="29"/>
    </row>
    <row r="346" spans="1:58" customFormat="1" ht="12.75" hidden="1" customHeight="1" outlineLevel="1"/>
    <row r="347" spans="1:58" ht="12.75" customHeight="1" collapsed="1">
      <c r="A347" s="377"/>
      <c r="B347" s="254"/>
      <c r="C347" s="456"/>
      <c r="D347" s="250"/>
      <c r="E347" s="250"/>
      <c r="F347" s="456"/>
      <c r="G347" s="254"/>
      <c r="H347" s="456"/>
      <c r="I347" s="456"/>
      <c r="J347" s="456"/>
      <c r="K347" s="456"/>
      <c r="L347" s="254"/>
      <c r="M347" s="456"/>
      <c r="N347" s="456"/>
      <c r="O347" s="456"/>
      <c r="P347" s="456"/>
      <c r="Q347" s="254"/>
      <c r="R347" s="456"/>
      <c r="S347" s="456"/>
      <c r="T347" s="456"/>
      <c r="U347" s="456"/>
      <c r="V347" s="254"/>
      <c r="W347" s="456"/>
      <c r="X347" s="456"/>
      <c r="Y347" s="456"/>
      <c r="Z347" s="456"/>
      <c r="AA347" s="254"/>
      <c r="AB347" s="456"/>
      <c r="AC347" s="456"/>
      <c r="AD347" s="456"/>
      <c r="AE347" s="456"/>
      <c r="AF347" s="254"/>
      <c r="AG347" s="456"/>
      <c r="AH347" s="456"/>
      <c r="AI347" s="456"/>
      <c r="AJ347" s="456"/>
      <c r="AK347" s="254"/>
      <c r="AL347" s="456"/>
      <c r="AM347" s="456"/>
      <c r="AN347" s="456"/>
      <c r="AO347" s="456"/>
      <c r="AP347" s="254"/>
      <c r="AQ347" s="457"/>
      <c r="AR347" s="105"/>
      <c r="AS347" s="664"/>
      <c r="AT347" s="664"/>
      <c r="AU347" s="664"/>
      <c r="AV347" s="664"/>
      <c r="AW347" s="664"/>
      <c r="AX347" s="664"/>
      <c r="AY347" s="664"/>
      <c r="AZ347" s="664"/>
      <c r="BA347" s="664"/>
      <c r="BB347" s="664"/>
      <c r="BC347" s="105"/>
      <c r="BD347" s="29"/>
      <c r="BE347" s="29"/>
      <c r="BF347" s="29"/>
    </row>
    <row r="348" spans="1:58" ht="12.75" customHeight="1">
      <c r="A348" s="377"/>
      <c r="B348" s="254"/>
      <c r="C348" s="456"/>
      <c r="D348" s="250"/>
      <c r="E348" s="250"/>
      <c r="F348" s="456"/>
      <c r="G348" s="254"/>
      <c r="H348" s="456"/>
      <c r="I348" s="456"/>
      <c r="J348" s="456"/>
      <c r="K348" s="456"/>
      <c r="L348" s="254"/>
      <c r="M348" s="456"/>
      <c r="N348" s="456"/>
      <c r="O348" s="456"/>
      <c r="P348" s="456"/>
      <c r="Q348" s="254"/>
      <c r="R348" s="456"/>
      <c r="S348" s="456"/>
      <c r="T348" s="456"/>
      <c r="U348" s="456"/>
      <c r="V348" s="254"/>
      <c r="W348" s="456"/>
      <c r="X348" s="456"/>
      <c r="Y348" s="456"/>
      <c r="Z348" s="456"/>
      <c r="AA348" s="254"/>
      <c r="AB348" s="456"/>
      <c r="AC348" s="456"/>
      <c r="AD348" s="456"/>
      <c r="AE348" s="456"/>
      <c r="AF348" s="254"/>
      <c r="AG348" s="456"/>
      <c r="AH348" s="456"/>
      <c r="AI348" s="456"/>
      <c r="AJ348" s="456"/>
      <c r="AK348" s="254"/>
      <c r="AL348" s="456"/>
      <c r="AM348" s="456"/>
      <c r="AN348" s="456"/>
      <c r="AO348" s="456"/>
      <c r="AP348" s="254"/>
      <c r="AQ348" s="457"/>
      <c r="AR348" s="105"/>
      <c r="AS348" s="664"/>
      <c r="AT348" s="664"/>
      <c r="AU348" s="664"/>
      <c r="AV348" s="664"/>
      <c r="AW348" s="664"/>
      <c r="AX348" s="664"/>
      <c r="AY348" s="664"/>
      <c r="AZ348" s="664"/>
      <c r="BA348" s="664"/>
      <c r="BB348" s="664"/>
      <c r="BC348" s="105"/>
      <c r="BD348" s="29"/>
      <c r="BE348" s="29"/>
      <c r="BF348" s="29"/>
    </row>
    <row r="349" spans="1:58" ht="12.75" customHeight="1">
      <c r="A349" s="377"/>
      <c r="B349" s="254"/>
      <c r="C349" s="456"/>
      <c r="D349" s="250"/>
      <c r="E349" s="250"/>
      <c r="F349" s="456"/>
      <c r="G349" s="254"/>
      <c r="H349" s="456"/>
      <c r="I349" s="456"/>
      <c r="J349" s="456"/>
      <c r="K349" s="456"/>
      <c r="L349" s="254"/>
      <c r="M349" s="456"/>
      <c r="N349" s="456"/>
      <c r="O349" s="456"/>
      <c r="P349" s="456"/>
      <c r="Q349" s="254"/>
      <c r="R349" s="1037"/>
      <c r="S349" s="1037"/>
      <c r="T349" s="456"/>
      <c r="U349" s="456"/>
      <c r="V349" s="254"/>
      <c r="W349" s="456"/>
      <c r="X349" s="456"/>
      <c r="Y349" s="456"/>
      <c r="Z349" s="456"/>
      <c r="AA349" s="254"/>
      <c r="AB349" s="456"/>
      <c r="AC349" s="456"/>
      <c r="AD349" s="456"/>
      <c r="AE349" s="456"/>
      <c r="AF349" s="254"/>
      <c r="AG349" s="456"/>
      <c r="AH349" s="456"/>
      <c r="AI349" s="456"/>
      <c r="AJ349" s="456"/>
      <c r="AK349" s="254"/>
      <c r="AL349" s="456"/>
      <c r="AM349" s="456"/>
      <c r="AN349" s="456"/>
      <c r="AO349" s="456"/>
      <c r="AP349" s="254"/>
      <c r="AQ349" s="457"/>
      <c r="AR349" s="105"/>
      <c r="AS349" s="664"/>
      <c r="AT349" s="664"/>
      <c r="AU349" s="664"/>
      <c r="AV349" s="664"/>
      <c r="AW349" s="664"/>
      <c r="AX349" s="664"/>
      <c r="AY349" s="664"/>
      <c r="AZ349" s="664"/>
      <c r="BA349" s="664"/>
      <c r="BB349" s="664"/>
      <c r="BC349" s="105"/>
      <c r="BD349" s="29"/>
      <c r="BE349" s="29"/>
      <c r="BF349" s="29"/>
    </row>
    <row r="350" spans="1:58">
      <c r="R350" s="1037"/>
      <c r="S350" s="1037"/>
      <c r="AS350" s="901"/>
      <c r="AT350" s="901"/>
      <c r="AU350" s="901"/>
      <c r="AV350" s="901"/>
      <c r="AW350" s="901"/>
      <c r="AX350" s="901"/>
      <c r="AY350" s="901"/>
      <c r="AZ350" s="901"/>
      <c r="BA350" s="901"/>
      <c r="BB350" s="901"/>
    </row>
    <row r="351" spans="1:58">
      <c r="R351" s="1037"/>
      <c r="S351" s="1037"/>
      <c r="AS351" s="901"/>
      <c r="AT351" s="901"/>
      <c r="AU351" s="901"/>
      <c r="AV351" s="901"/>
      <c r="AW351" s="901"/>
      <c r="AX351" s="901"/>
      <c r="AY351" s="901"/>
      <c r="AZ351" s="901"/>
      <c r="BA351" s="901"/>
      <c r="BB351" s="901"/>
    </row>
    <row r="352" spans="1:58">
      <c r="R352" s="456"/>
      <c r="AS352" s="901"/>
      <c r="AT352" s="901"/>
      <c r="AU352" s="901"/>
      <c r="AV352" s="901"/>
      <c r="AW352" s="901"/>
      <c r="AX352" s="901"/>
      <c r="AY352" s="901"/>
      <c r="AZ352" s="901"/>
      <c r="BA352" s="901"/>
      <c r="BB352" s="901"/>
    </row>
    <row r="353" spans="18:54">
      <c r="R353" s="456"/>
      <c r="AS353" s="901"/>
      <c r="AT353" s="901"/>
      <c r="AU353" s="901"/>
      <c r="AV353" s="901"/>
      <c r="AW353" s="901"/>
      <c r="AX353" s="901"/>
      <c r="AY353" s="901"/>
      <c r="AZ353" s="901"/>
      <c r="BA353" s="901"/>
      <c r="BB353" s="901"/>
    </row>
    <row r="354" spans="18:54">
      <c r="AS354" s="901"/>
      <c r="AT354" s="901"/>
      <c r="AU354" s="901"/>
      <c r="AV354" s="901"/>
      <c r="AW354" s="901"/>
      <c r="AX354" s="901"/>
      <c r="AY354" s="901"/>
      <c r="AZ354" s="901"/>
      <c r="BA354" s="901"/>
      <c r="BB354" s="901"/>
    </row>
    <row r="355" spans="18:54">
      <c r="AS355" s="901"/>
      <c r="AT355" s="901"/>
      <c r="AU355" s="901"/>
      <c r="AV355" s="901"/>
      <c r="AW355" s="901"/>
      <c r="AX355" s="901"/>
      <c r="AY355" s="901"/>
      <c r="AZ355" s="901"/>
      <c r="BA355" s="901"/>
      <c r="BB355" s="901"/>
    </row>
    <row r="356" spans="18:54">
      <c r="AS356" s="901"/>
      <c r="AT356" s="901"/>
      <c r="AU356" s="901"/>
      <c r="AV356" s="901"/>
      <c r="AW356" s="901"/>
      <c r="AX356" s="901"/>
      <c r="AY356" s="901"/>
      <c r="AZ356" s="901"/>
      <c r="BA356" s="901"/>
      <c r="BB356" s="901"/>
    </row>
    <row r="357" spans="18:54">
      <c r="AS357" s="901"/>
      <c r="AT357" s="901"/>
      <c r="AU357" s="901"/>
      <c r="AV357" s="901"/>
      <c r="AW357" s="901"/>
      <c r="AX357" s="901"/>
      <c r="AY357" s="901"/>
      <c r="AZ357" s="901"/>
      <c r="BA357" s="901"/>
      <c r="BB357" s="901"/>
    </row>
    <row r="358" spans="18:54">
      <c r="AS358" s="901"/>
      <c r="AT358" s="901"/>
      <c r="AU358" s="901"/>
      <c r="AV358" s="901"/>
      <c r="AW358" s="901"/>
      <c r="AX358" s="901"/>
      <c r="AY358" s="901"/>
      <c r="AZ358" s="901"/>
      <c r="BA358" s="901"/>
      <c r="BB358" s="901"/>
    </row>
    <row r="359" spans="18:54">
      <c r="AS359" s="901"/>
      <c r="AT359" s="901"/>
      <c r="AU359" s="901"/>
      <c r="AV359" s="901"/>
      <c r="AW359" s="901"/>
      <c r="AX359" s="901"/>
      <c r="AY359" s="901"/>
      <c r="AZ359" s="901"/>
      <c r="BA359" s="901"/>
      <c r="BB359" s="901"/>
    </row>
    <row r="360" spans="18:54">
      <c r="AS360" s="901"/>
      <c r="AT360" s="901"/>
      <c r="AU360" s="901"/>
      <c r="AV360" s="901"/>
      <c r="AW360" s="901"/>
      <c r="AX360" s="901"/>
      <c r="AY360" s="901"/>
      <c r="AZ360" s="901"/>
      <c r="BA360" s="901"/>
      <c r="BB360" s="901"/>
    </row>
    <row r="361" spans="18:54">
      <c r="AS361" s="901"/>
      <c r="AT361" s="901"/>
      <c r="AU361" s="901"/>
      <c r="AV361" s="901"/>
      <c r="AW361" s="901"/>
      <c r="AX361" s="901"/>
      <c r="AY361" s="901"/>
      <c r="AZ361" s="901"/>
      <c r="BA361" s="901"/>
      <c r="BB361" s="901"/>
    </row>
    <row r="362" spans="18:54">
      <c r="AS362" s="901"/>
      <c r="AT362" s="901"/>
      <c r="AU362" s="901"/>
      <c r="AV362" s="901"/>
      <c r="AW362" s="901"/>
      <c r="AX362" s="901"/>
      <c r="AY362" s="901"/>
      <c r="AZ362" s="901"/>
      <c r="BA362" s="901"/>
      <c r="BB362" s="901"/>
    </row>
    <row r="363" spans="18:54">
      <c r="AS363" s="901"/>
      <c r="AT363" s="901"/>
      <c r="AU363" s="901"/>
      <c r="AV363" s="901"/>
      <c r="AW363" s="901"/>
      <c r="AX363" s="901"/>
      <c r="AY363" s="901"/>
      <c r="AZ363" s="901"/>
      <c r="BA363" s="901"/>
      <c r="BB363" s="901"/>
    </row>
    <row r="364" spans="18:54">
      <c r="AS364" s="901"/>
      <c r="AT364" s="901"/>
      <c r="AU364" s="901"/>
      <c r="AV364" s="901"/>
      <c r="AW364" s="901"/>
      <c r="AX364" s="901"/>
      <c r="AY364" s="901"/>
      <c r="AZ364" s="901"/>
      <c r="BA364" s="901"/>
      <c r="BB364" s="901"/>
    </row>
    <row r="365" spans="18:54">
      <c r="AS365" s="901"/>
      <c r="AT365" s="901"/>
      <c r="AU365" s="901"/>
      <c r="AV365" s="901"/>
      <c r="AW365" s="901"/>
      <c r="AX365" s="901"/>
      <c r="AY365" s="901"/>
      <c r="AZ365" s="901"/>
      <c r="BA365" s="901"/>
      <c r="BB365" s="901"/>
    </row>
    <row r="366" spans="18:54">
      <c r="AS366" s="901"/>
      <c r="AT366" s="901"/>
      <c r="AU366" s="901"/>
      <c r="AV366" s="901"/>
      <c r="AW366" s="901"/>
      <c r="AX366" s="901"/>
      <c r="AY366" s="901"/>
      <c r="AZ366" s="901"/>
      <c r="BA366" s="901"/>
      <c r="BB366" s="901"/>
    </row>
    <row r="367" spans="18:54">
      <c r="AS367" s="901"/>
      <c r="AT367" s="901"/>
      <c r="AU367" s="901"/>
      <c r="AV367" s="901"/>
      <c r="AW367" s="901"/>
      <c r="AX367" s="901"/>
      <c r="AY367" s="901"/>
      <c r="AZ367" s="901"/>
      <c r="BA367" s="901"/>
      <c r="BB367" s="901"/>
    </row>
    <row r="368" spans="18:54">
      <c r="AS368" s="901"/>
      <c r="AT368" s="901"/>
      <c r="AU368" s="901"/>
      <c r="AV368" s="901"/>
      <c r="AW368" s="901"/>
      <c r="AX368" s="901"/>
      <c r="AY368" s="901"/>
      <c r="AZ368" s="901"/>
      <c r="BA368" s="901"/>
      <c r="BB368" s="901"/>
    </row>
    <row r="369" spans="45:54">
      <c r="AS369" s="901"/>
      <c r="AT369" s="901"/>
      <c r="AU369" s="901"/>
      <c r="AV369" s="901"/>
      <c r="AW369" s="901"/>
      <c r="AX369" s="901"/>
      <c r="AY369" s="901"/>
      <c r="AZ369" s="901"/>
      <c r="BA369" s="901"/>
      <c r="BB369" s="901"/>
    </row>
    <row r="370" spans="45:54">
      <c r="AS370" s="901"/>
      <c r="AT370" s="901"/>
      <c r="AU370" s="901"/>
      <c r="AV370" s="901"/>
      <c r="AW370" s="901"/>
      <c r="AX370" s="901"/>
      <c r="AY370" s="901"/>
      <c r="AZ370" s="901"/>
      <c r="BA370" s="901"/>
      <c r="BB370" s="901"/>
    </row>
    <row r="371" spans="45:54">
      <c r="AS371" s="901"/>
      <c r="AT371" s="901"/>
      <c r="AU371" s="901"/>
      <c r="AV371" s="901"/>
      <c r="AW371" s="901"/>
      <c r="AX371" s="901"/>
      <c r="AY371" s="901"/>
      <c r="AZ371" s="901"/>
      <c r="BA371" s="901"/>
      <c r="BB371" s="901"/>
    </row>
    <row r="372" spans="45:54">
      <c r="AS372" s="901"/>
      <c r="AT372" s="901"/>
      <c r="AU372" s="901"/>
      <c r="AV372" s="901"/>
      <c r="AW372" s="901"/>
      <c r="AX372" s="901"/>
      <c r="AY372" s="901"/>
      <c r="AZ372" s="901"/>
      <c r="BA372" s="901"/>
      <c r="BB372" s="901"/>
    </row>
    <row r="373" spans="45:54">
      <c r="AS373" s="901"/>
      <c r="AT373" s="901"/>
      <c r="AU373" s="901"/>
      <c r="AV373" s="901"/>
      <c r="AW373" s="901"/>
      <c r="AX373" s="901"/>
      <c r="AY373" s="901"/>
      <c r="AZ373" s="901"/>
      <c r="BA373" s="901"/>
      <c r="BB373" s="901"/>
    </row>
    <row r="374" spans="45:54">
      <c r="AS374" s="901"/>
      <c r="AT374" s="901"/>
      <c r="AU374" s="901"/>
      <c r="AV374" s="901"/>
      <c r="AW374" s="901"/>
      <c r="AX374" s="901"/>
      <c r="AY374" s="901"/>
      <c r="AZ374" s="901"/>
      <c r="BA374" s="901"/>
      <c r="BB374" s="901"/>
    </row>
    <row r="375" spans="45:54">
      <c r="AS375" s="901"/>
      <c r="AT375" s="901"/>
      <c r="AU375" s="901"/>
      <c r="AV375" s="901"/>
      <c r="AW375" s="901"/>
      <c r="AX375" s="901"/>
      <c r="AY375" s="901"/>
      <c r="AZ375" s="901"/>
      <c r="BA375" s="901"/>
      <c r="BB375" s="901"/>
    </row>
    <row r="376" spans="45:54">
      <c r="AS376" s="901"/>
      <c r="AT376" s="901"/>
      <c r="AU376" s="901"/>
      <c r="AV376" s="901"/>
      <c r="AW376" s="901"/>
      <c r="AX376" s="901"/>
      <c r="AY376" s="901"/>
      <c r="AZ376" s="901"/>
      <c r="BA376" s="901"/>
      <c r="BB376" s="901"/>
    </row>
    <row r="377" spans="45:54">
      <c r="AS377" s="901"/>
      <c r="AT377" s="901"/>
      <c r="AU377" s="901"/>
      <c r="AV377" s="901"/>
      <c r="AW377" s="901"/>
      <c r="AX377" s="901"/>
      <c r="AY377" s="901"/>
      <c r="AZ377" s="901"/>
      <c r="BA377" s="901"/>
      <c r="BB377" s="901"/>
    </row>
    <row r="378" spans="45:54">
      <c r="AS378" s="901"/>
      <c r="AT378" s="901"/>
      <c r="AU378" s="901"/>
      <c r="AV378" s="901"/>
      <c r="AW378" s="901"/>
      <c r="AX378" s="901"/>
      <c r="AY378" s="901"/>
      <c r="AZ378" s="901"/>
      <c r="BA378" s="901"/>
      <c r="BB378" s="901"/>
    </row>
    <row r="379" spans="45:54">
      <c r="AS379" s="901"/>
      <c r="AT379" s="901"/>
      <c r="AU379" s="901"/>
      <c r="AV379" s="901"/>
      <c r="AW379" s="901"/>
      <c r="AX379" s="901"/>
      <c r="AY379" s="901"/>
      <c r="AZ379" s="901"/>
      <c r="BA379" s="901"/>
      <c r="BB379" s="901"/>
    </row>
    <row r="380" spans="45:54">
      <c r="AS380" s="901"/>
      <c r="AT380" s="901"/>
      <c r="AU380" s="901"/>
      <c r="AV380" s="901"/>
      <c r="AW380" s="901"/>
      <c r="AX380" s="901"/>
      <c r="AY380" s="901"/>
      <c r="AZ380" s="901"/>
      <c r="BA380" s="901"/>
      <c r="BB380" s="901"/>
    </row>
    <row r="381" spans="45:54">
      <c r="AS381" s="901"/>
      <c r="AT381" s="901"/>
      <c r="AU381" s="901"/>
      <c r="AV381" s="901"/>
      <c r="AW381" s="901"/>
      <c r="AX381" s="901"/>
      <c r="AY381" s="901"/>
      <c r="AZ381" s="901"/>
      <c r="BA381" s="901"/>
      <c r="BB381" s="901"/>
    </row>
    <row r="382" spans="45:54">
      <c r="AS382" s="901"/>
      <c r="AT382" s="901"/>
      <c r="AU382" s="901"/>
      <c r="AV382" s="901"/>
      <c r="AW382" s="901"/>
      <c r="AX382" s="901"/>
      <c r="AY382" s="901"/>
      <c r="AZ382" s="901"/>
      <c r="BA382" s="901"/>
      <c r="BB382" s="901"/>
    </row>
    <row r="383" spans="45:54">
      <c r="AS383" s="901"/>
      <c r="AT383" s="901"/>
      <c r="AU383" s="901"/>
      <c r="AV383" s="901"/>
      <c r="AW383" s="901"/>
      <c r="AX383" s="901"/>
      <c r="AY383" s="901"/>
      <c r="AZ383" s="901"/>
      <c r="BA383" s="901"/>
      <c r="BB383" s="901"/>
    </row>
    <row r="384" spans="45:54">
      <c r="AS384" s="901"/>
      <c r="AT384" s="901"/>
      <c r="AU384" s="901"/>
      <c r="AV384" s="901"/>
      <c r="AW384" s="901"/>
      <c r="AX384" s="901"/>
      <c r="AY384" s="901"/>
      <c r="AZ384" s="901"/>
      <c r="BA384" s="901"/>
      <c r="BB384" s="901"/>
    </row>
    <row r="385" spans="45:54">
      <c r="AS385" s="901"/>
      <c r="AT385" s="901"/>
      <c r="AU385" s="901"/>
      <c r="AV385" s="901"/>
      <c r="AW385" s="901"/>
      <c r="AX385" s="901"/>
      <c r="AY385" s="901"/>
      <c r="AZ385" s="901"/>
      <c r="BA385" s="901"/>
      <c r="BB385" s="901"/>
    </row>
    <row r="386" spans="45:54">
      <c r="AS386" s="901"/>
      <c r="AT386" s="901"/>
      <c r="AU386" s="901"/>
      <c r="AV386" s="901"/>
      <c r="AW386" s="901"/>
      <c r="AX386" s="901"/>
      <c r="AY386" s="901"/>
      <c r="AZ386" s="901"/>
      <c r="BA386" s="901"/>
      <c r="BB386" s="901"/>
    </row>
    <row r="387" spans="45:54">
      <c r="AS387" s="901"/>
      <c r="AT387" s="901"/>
      <c r="AU387" s="901"/>
      <c r="AV387" s="901"/>
      <c r="AW387" s="901"/>
      <c r="AX387" s="901"/>
      <c r="AY387" s="901"/>
      <c r="AZ387" s="901"/>
      <c r="BA387" s="901"/>
      <c r="BB387" s="901"/>
    </row>
    <row r="388" spans="45:54">
      <c r="AS388" s="901"/>
      <c r="AT388" s="901"/>
      <c r="AU388" s="901"/>
      <c r="AV388" s="901"/>
      <c r="AW388" s="901"/>
      <c r="AX388" s="901"/>
      <c r="AY388" s="901"/>
      <c r="AZ388" s="901"/>
      <c r="BA388" s="901"/>
      <c r="BB388" s="901"/>
    </row>
    <row r="389" spans="45:54">
      <c r="AS389" s="901"/>
      <c r="AT389" s="901"/>
      <c r="AU389" s="901"/>
      <c r="AV389" s="901"/>
      <c r="AW389" s="901"/>
      <c r="AX389" s="901"/>
      <c r="AY389" s="901"/>
      <c r="AZ389" s="901"/>
      <c r="BA389" s="901"/>
      <c r="BB389" s="901"/>
    </row>
    <row r="390" spans="45:54">
      <c r="AS390" s="901"/>
      <c r="AT390" s="901"/>
      <c r="AU390" s="901"/>
      <c r="AV390" s="901"/>
      <c r="AW390" s="901"/>
      <c r="AX390" s="901"/>
      <c r="AY390" s="901"/>
      <c r="AZ390" s="901"/>
      <c r="BA390" s="901"/>
      <c r="BB390" s="901"/>
    </row>
    <row r="391" spans="45:54">
      <c r="AS391" s="901"/>
      <c r="AT391" s="901"/>
      <c r="AU391" s="901"/>
      <c r="AV391" s="901"/>
      <c r="AW391" s="901"/>
      <c r="AX391" s="901"/>
      <c r="AY391" s="901"/>
      <c r="AZ391" s="901"/>
      <c r="BA391" s="901"/>
      <c r="BB391" s="901"/>
    </row>
    <row r="392" spans="45:54">
      <c r="AS392" s="901"/>
      <c r="AT392" s="901"/>
      <c r="AU392" s="901"/>
      <c r="AV392" s="901"/>
      <c r="AW392" s="901"/>
      <c r="AX392" s="901"/>
      <c r="AY392" s="901"/>
      <c r="AZ392" s="901"/>
      <c r="BA392" s="901"/>
      <c r="BB392" s="901"/>
    </row>
    <row r="393" spans="45:54">
      <c r="AS393" s="901"/>
      <c r="AT393" s="901"/>
      <c r="AU393" s="901"/>
      <c r="AV393" s="901"/>
      <c r="AW393" s="901"/>
      <c r="AX393" s="901"/>
      <c r="AY393" s="901"/>
      <c r="AZ393" s="901"/>
      <c r="BA393" s="901"/>
      <c r="BB393" s="901"/>
    </row>
    <row r="394" spans="45:54">
      <c r="AS394" s="901"/>
      <c r="AT394" s="901"/>
      <c r="AU394" s="901"/>
      <c r="AV394" s="901"/>
      <c r="AW394" s="901"/>
      <c r="AX394" s="901"/>
      <c r="AY394" s="901"/>
      <c r="AZ394" s="901"/>
      <c r="BA394" s="901"/>
      <c r="BB394" s="901"/>
    </row>
    <row r="395" spans="45:54">
      <c r="AS395" s="901"/>
      <c r="AT395" s="901"/>
      <c r="AU395" s="901"/>
      <c r="AV395" s="901"/>
      <c r="AW395" s="901"/>
      <c r="AX395" s="901"/>
      <c r="AY395" s="901"/>
      <c r="AZ395" s="901"/>
      <c r="BA395" s="901"/>
      <c r="BB395" s="901"/>
    </row>
    <row r="396" spans="45:54">
      <c r="AS396" s="901"/>
      <c r="AT396" s="901"/>
      <c r="AU396" s="901"/>
      <c r="AV396" s="901"/>
      <c r="AW396" s="901"/>
      <c r="AX396" s="901"/>
      <c r="AY396" s="901"/>
      <c r="AZ396" s="901"/>
      <c r="BA396" s="901"/>
      <c r="BB396" s="901"/>
    </row>
    <row r="397" spans="45:54">
      <c r="AS397" s="901"/>
      <c r="AT397" s="901"/>
      <c r="AU397" s="901"/>
      <c r="AV397" s="901"/>
      <c r="AW397" s="901"/>
      <c r="AX397" s="901"/>
      <c r="AY397" s="901"/>
      <c r="AZ397" s="901"/>
      <c r="BA397" s="901"/>
      <c r="BB397" s="901"/>
    </row>
    <row r="398" spans="45:54">
      <c r="AS398" s="901"/>
      <c r="AT398" s="901"/>
      <c r="AU398" s="901"/>
      <c r="AV398" s="901"/>
      <c r="AW398" s="901"/>
      <c r="AX398" s="901"/>
      <c r="AY398" s="901"/>
      <c r="AZ398" s="901"/>
      <c r="BA398" s="901"/>
      <c r="BB398" s="901"/>
    </row>
    <row r="399" spans="45:54">
      <c r="AS399" s="901"/>
      <c r="AT399" s="901"/>
      <c r="AU399" s="901"/>
      <c r="AV399" s="901"/>
      <c r="AW399" s="901"/>
      <c r="AX399" s="901"/>
      <c r="AY399" s="901"/>
      <c r="AZ399" s="901"/>
      <c r="BA399" s="901"/>
      <c r="BB399" s="901"/>
    </row>
    <row r="400" spans="45:54">
      <c r="AS400" s="901"/>
      <c r="AT400" s="901"/>
      <c r="AU400" s="901"/>
      <c r="AV400" s="901"/>
      <c r="AW400" s="901"/>
      <c r="AX400" s="901"/>
      <c r="AY400" s="901"/>
      <c r="AZ400" s="901"/>
      <c r="BA400" s="901"/>
      <c r="BB400" s="901"/>
    </row>
    <row r="401" spans="45:54">
      <c r="AS401" s="901"/>
      <c r="AT401" s="901"/>
      <c r="AU401" s="901"/>
      <c r="AV401" s="901"/>
      <c r="AW401" s="901"/>
      <c r="AX401" s="901"/>
      <c r="AY401" s="901"/>
      <c r="AZ401" s="901"/>
      <c r="BA401" s="901"/>
      <c r="BB401" s="901"/>
    </row>
    <row r="402" spans="45:54">
      <c r="AS402" s="901"/>
      <c r="AT402" s="901"/>
      <c r="AU402" s="901"/>
      <c r="AV402" s="901"/>
      <c r="AW402" s="901"/>
      <c r="AX402" s="901"/>
      <c r="AY402" s="901"/>
      <c r="AZ402" s="901"/>
      <c r="BA402" s="901"/>
      <c r="BB402" s="901"/>
    </row>
    <row r="403" spans="45:54">
      <c r="AS403" s="901"/>
      <c r="AT403" s="901"/>
      <c r="AU403" s="901"/>
      <c r="AV403" s="901"/>
      <c r="AW403" s="901"/>
      <c r="AX403" s="901"/>
      <c r="AY403" s="901"/>
      <c r="AZ403" s="901"/>
      <c r="BA403" s="901"/>
      <c r="BB403" s="901"/>
    </row>
    <row r="404" spans="45:54">
      <c r="AS404" s="901"/>
      <c r="AT404" s="901"/>
      <c r="AU404" s="901"/>
      <c r="AV404" s="901"/>
      <c r="AW404" s="901"/>
      <c r="AX404" s="901"/>
      <c r="AY404" s="901"/>
      <c r="AZ404" s="901"/>
      <c r="BA404" s="901"/>
      <c r="BB404" s="901"/>
    </row>
    <row r="405" spans="45:54">
      <c r="AS405" s="901"/>
      <c r="AT405" s="901"/>
      <c r="AU405" s="901"/>
      <c r="AV405" s="901"/>
      <c r="AW405" s="901"/>
      <c r="AX405" s="901"/>
      <c r="AY405" s="901"/>
      <c r="AZ405" s="901"/>
      <c r="BA405" s="901"/>
      <c r="BB405" s="901"/>
    </row>
    <row r="406" spans="45:54">
      <c r="AS406" s="901"/>
      <c r="AT406" s="901"/>
      <c r="AU406" s="901"/>
      <c r="AV406" s="901"/>
      <c r="AW406" s="901"/>
      <c r="AX406" s="901"/>
      <c r="AY406" s="901"/>
      <c r="AZ406" s="901"/>
      <c r="BA406" s="901"/>
      <c r="BB406" s="901"/>
    </row>
    <row r="407" spans="45:54">
      <c r="AS407" s="901"/>
      <c r="AT407" s="901"/>
      <c r="AU407" s="901"/>
      <c r="AV407" s="901"/>
      <c r="AW407" s="901"/>
      <c r="AX407" s="901"/>
      <c r="AY407" s="901"/>
      <c r="AZ407" s="901"/>
      <c r="BA407" s="901"/>
      <c r="BB407" s="901"/>
    </row>
    <row r="408" spans="45:54">
      <c r="AS408" s="901"/>
      <c r="AT408" s="901"/>
      <c r="AU408" s="901"/>
      <c r="AV408" s="901"/>
      <c r="AW408" s="901"/>
      <c r="AX408" s="901"/>
      <c r="AY408" s="901"/>
      <c r="AZ408" s="901"/>
      <c r="BA408" s="901"/>
      <c r="BB408" s="901"/>
    </row>
    <row r="409" spans="45:54">
      <c r="AS409" s="901"/>
      <c r="AT409" s="901"/>
      <c r="AU409" s="901"/>
      <c r="AV409" s="901"/>
      <c r="AW409" s="901"/>
      <c r="AX409" s="901"/>
      <c r="AY409" s="901"/>
      <c r="AZ409" s="901"/>
      <c r="BA409" s="901"/>
      <c r="BB409" s="901"/>
    </row>
    <row r="410" spans="45:54">
      <c r="AS410" s="901"/>
      <c r="AT410" s="901"/>
      <c r="AU410" s="901"/>
      <c r="AV410" s="901"/>
      <c r="AW410" s="901"/>
      <c r="AX410" s="901"/>
      <c r="AY410" s="901"/>
      <c r="AZ410" s="901"/>
      <c r="BA410" s="901"/>
      <c r="BB410" s="901"/>
    </row>
    <row r="411" spans="45:54">
      <c r="AS411" s="901"/>
      <c r="AT411" s="901"/>
      <c r="AU411" s="901"/>
      <c r="AV411" s="901"/>
      <c r="AW411" s="901"/>
      <c r="AX411" s="901"/>
      <c r="AY411" s="901"/>
      <c r="AZ411" s="901"/>
      <c r="BA411" s="901"/>
      <c r="BB411" s="901"/>
    </row>
    <row r="412" spans="45:54">
      <c r="AS412" s="901"/>
      <c r="AT412" s="901"/>
      <c r="AU412" s="901"/>
      <c r="AV412" s="901"/>
      <c r="AW412" s="901"/>
      <c r="AX412" s="901"/>
      <c r="AY412" s="901"/>
      <c r="AZ412" s="901"/>
      <c r="BA412" s="901"/>
      <c r="BB412" s="901"/>
    </row>
    <row r="413" spans="45:54">
      <c r="AS413" s="901"/>
      <c r="AT413" s="901"/>
      <c r="AU413" s="901"/>
      <c r="AV413" s="901"/>
      <c r="AW413" s="901"/>
      <c r="AX413" s="901"/>
      <c r="AY413" s="901"/>
      <c r="AZ413" s="901"/>
      <c r="BA413" s="901"/>
      <c r="BB413" s="901"/>
    </row>
    <row r="414" spans="45:54">
      <c r="AS414" s="901"/>
      <c r="AT414" s="901"/>
      <c r="AU414" s="901"/>
      <c r="AV414" s="901"/>
      <c r="AW414" s="901"/>
      <c r="AX414" s="901"/>
      <c r="AY414" s="901"/>
      <c r="AZ414" s="901"/>
      <c r="BA414" s="901"/>
      <c r="BB414" s="901"/>
    </row>
    <row r="415" spans="45:54">
      <c r="AS415" s="901"/>
      <c r="AT415" s="901"/>
      <c r="AU415" s="901"/>
      <c r="AV415" s="901"/>
      <c r="AW415" s="901"/>
      <c r="AX415" s="901"/>
      <c r="AY415" s="901"/>
      <c r="AZ415" s="901"/>
      <c r="BA415" s="901"/>
      <c r="BB415" s="901"/>
    </row>
    <row r="416" spans="45:54">
      <c r="AS416" s="901"/>
      <c r="AT416" s="901"/>
      <c r="AU416" s="901"/>
      <c r="AV416" s="901"/>
      <c r="AW416" s="901"/>
      <c r="AX416" s="901"/>
      <c r="AY416" s="901"/>
      <c r="AZ416" s="901"/>
      <c r="BA416" s="901"/>
      <c r="BB416" s="901"/>
    </row>
    <row r="417" spans="45:54">
      <c r="AS417" s="901"/>
      <c r="AT417" s="901"/>
      <c r="AU417" s="901"/>
      <c r="AV417" s="901"/>
      <c r="AW417" s="901"/>
      <c r="AX417" s="901"/>
      <c r="AY417" s="901"/>
      <c r="AZ417" s="901"/>
      <c r="BA417" s="901"/>
      <c r="BB417" s="901"/>
    </row>
    <row r="418" spans="45:54">
      <c r="AS418" s="901"/>
      <c r="AT418" s="901"/>
      <c r="AU418" s="901"/>
      <c r="AV418" s="901"/>
      <c r="AW418" s="901"/>
      <c r="AX418" s="901"/>
      <c r="AY418" s="901"/>
      <c r="AZ418" s="901"/>
      <c r="BA418" s="901"/>
      <c r="BB418" s="901"/>
    </row>
    <row r="419" spans="45:54">
      <c r="AS419" s="901"/>
      <c r="AT419" s="901"/>
      <c r="AU419" s="901"/>
      <c r="AV419" s="901"/>
      <c r="AW419" s="901"/>
      <c r="AX419" s="901"/>
      <c r="AY419" s="901"/>
      <c r="AZ419" s="901"/>
      <c r="BA419" s="901"/>
      <c r="BB419" s="901"/>
    </row>
    <row r="420" spans="45:54">
      <c r="AS420" s="901"/>
      <c r="AT420" s="901"/>
      <c r="AU420" s="901"/>
      <c r="AV420" s="901"/>
      <c r="AW420" s="901"/>
      <c r="AX420" s="901"/>
      <c r="AY420" s="901"/>
      <c r="AZ420" s="901"/>
      <c r="BA420" s="901"/>
      <c r="BB420" s="901"/>
    </row>
    <row r="421" spans="45:54">
      <c r="AS421" s="901"/>
      <c r="AT421" s="901"/>
      <c r="AU421" s="901"/>
      <c r="AV421" s="901"/>
      <c r="AW421" s="901"/>
      <c r="AX421" s="901"/>
      <c r="AY421" s="901"/>
      <c r="AZ421" s="901"/>
      <c r="BA421" s="901"/>
      <c r="BB421" s="901"/>
    </row>
    <row r="422" spans="45:54">
      <c r="AS422" s="901"/>
      <c r="AT422" s="901"/>
      <c r="AU422" s="901"/>
      <c r="AV422" s="901"/>
      <c r="AW422" s="901"/>
      <c r="AX422" s="901"/>
      <c r="AY422" s="901"/>
      <c r="AZ422" s="901"/>
      <c r="BA422" s="901"/>
      <c r="BB422" s="901"/>
    </row>
    <row r="423" spans="45:54">
      <c r="AS423" s="901"/>
      <c r="AT423" s="901"/>
      <c r="AU423" s="901"/>
      <c r="AV423" s="901"/>
      <c r="AW423" s="901"/>
      <c r="AX423" s="901"/>
      <c r="AY423" s="901"/>
      <c r="AZ423" s="901"/>
      <c r="BA423" s="901"/>
      <c r="BB423" s="901"/>
    </row>
    <row r="424" spans="45:54">
      <c r="AS424" s="901"/>
      <c r="AT424" s="901"/>
      <c r="AU424" s="901"/>
      <c r="AV424" s="901"/>
      <c r="AW424" s="901"/>
      <c r="AX424" s="901"/>
      <c r="AY424" s="901"/>
      <c r="AZ424" s="901"/>
      <c r="BA424" s="901"/>
      <c r="BB424" s="901"/>
    </row>
    <row r="425" spans="45:54">
      <c r="AS425" s="901"/>
      <c r="AT425" s="901"/>
      <c r="AU425" s="901"/>
      <c r="AV425" s="901"/>
      <c r="AW425" s="901"/>
      <c r="AX425" s="901"/>
      <c r="AY425" s="901"/>
      <c r="AZ425" s="901"/>
      <c r="BA425" s="901"/>
      <c r="BB425" s="901"/>
    </row>
    <row r="426" spans="45:54">
      <c r="AS426" s="901"/>
      <c r="AT426" s="901"/>
      <c r="AU426" s="901"/>
      <c r="AV426" s="901"/>
      <c r="AW426" s="901"/>
      <c r="AX426" s="901"/>
      <c r="AY426" s="901"/>
      <c r="AZ426" s="901"/>
      <c r="BA426" s="901"/>
      <c r="BB426" s="901"/>
    </row>
    <row r="427" spans="45:54">
      <c r="AS427" s="901"/>
      <c r="AT427" s="901"/>
      <c r="AU427" s="901"/>
      <c r="AV427" s="901"/>
      <c r="AW427" s="901"/>
      <c r="AX427" s="901"/>
      <c r="AY427" s="901"/>
      <c r="AZ427" s="901"/>
      <c r="BA427" s="901"/>
      <c r="BB427" s="901"/>
    </row>
    <row r="428" spans="45:54">
      <c r="AS428" s="901"/>
      <c r="AT428" s="901"/>
      <c r="AU428" s="901"/>
      <c r="AV428" s="901"/>
      <c r="AW428" s="901"/>
      <c r="AX428" s="901"/>
      <c r="AY428" s="901"/>
      <c r="AZ428" s="901"/>
      <c r="BA428" s="901"/>
      <c r="BB428" s="901"/>
    </row>
    <row r="429" spans="45:54">
      <c r="AS429" s="901"/>
      <c r="AT429" s="901"/>
      <c r="AU429" s="901"/>
      <c r="AV429" s="901"/>
      <c r="AW429" s="901"/>
      <c r="AX429" s="901"/>
      <c r="AY429" s="901"/>
      <c r="AZ429" s="901"/>
      <c r="BA429" s="901"/>
      <c r="BB429" s="901"/>
    </row>
    <row r="430" spans="45:54">
      <c r="AS430" s="901"/>
      <c r="AT430" s="901"/>
      <c r="AU430" s="901"/>
      <c r="AV430" s="901"/>
      <c r="AW430" s="901"/>
      <c r="AX430" s="901"/>
      <c r="AY430" s="901"/>
      <c r="AZ430" s="901"/>
      <c r="BA430" s="901"/>
      <c r="BB430" s="901"/>
    </row>
    <row r="431" spans="45:54">
      <c r="AS431" s="901"/>
      <c r="AT431" s="901"/>
      <c r="AU431" s="901"/>
      <c r="AV431" s="901"/>
      <c r="AW431" s="901"/>
      <c r="AX431" s="901"/>
      <c r="AY431" s="901"/>
      <c r="AZ431" s="901"/>
      <c r="BA431" s="901"/>
      <c r="BB431" s="901"/>
    </row>
  </sheetData>
  <phoneticPr fontId="8" type="noConversion"/>
  <conditionalFormatting sqref="Q305 B305:K305">
    <cfRule type="cellIs" dxfId="12" priority="15" stopIfTrue="1" operator="notEqual">
      <formula>0</formula>
    </cfRule>
  </conditionalFormatting>
  <conditionalFormatting sqref="L305">
    <cfRule type="cellIs" dxfId="11" priority="13" stopIfTrue="1" operator="notEqual">
      <formula>0</formula>
    </cfRule>
  </conditionalFormatting>
  <conditionalFormatting sqref="AA305">
    <cfRule type="cellIs" dxfId="10" priority="12" stopIfTrue="1" operator="notEqual">
      <formula>0</formula>
    </cfRule>
  </conditionalFormatting>
  <conditionalFormatting sqref="W305:Z305">
    <cfRule type="cellIs" dxfId="9" priority="11" stopIfTrue="1" operator="notEqual">
      <formula>0</formula>
    </cfRule>
  </conditionalFormatting>
  <conditionalFormatting sqref="AF305">
    <cfRule type="cellIs" dxfId="8" priority="10" stopIfTrue="1" operator="notEqual">
      <formula>0</formula>
    </cfRule>
  </conditionalFormatting>
  <conditionalFormatting sqref="AB305:AE305">
    <cfRule type="cellIs" dxfId="7" priority="9" stopIfTrue="1" operator="notEqual">
      <formula>0</formula>
    </cfRule>
  </conditionalFormatting>
  <conditionalFormatting sqref="AK305">
    <cfRule type="cellIs" dxfId="6" priority="8" stopIfTrue="1" operator="notEqual">
      <formula>0</formula>
    </cfRule>
  </conditionalFormatting>
  <conditionalFormatting sqref="AG305:AJ305">
    <cfRule type="cellIs" dxfId="5" priority="7" stopIfTrue="1" operator="notEqual">
      <formula>0</formula>
    </cfRule>
  </conditionalFormatting>
  <conditionalFormatting sqref="AP305">
    <cfRule type="cellIs" dxfId="4" priority="6" stopIfTrue="1" operator="notEqual">
      <formula>0</formula>
    </cfRule>
  </conditionalFormatting>
  <conditionalFormatting sqref="AL305:AO305">
    <cfRule type="cellIs" dxfId="3" priority="5" stopIfTrue="1" operator="notEqual">
      <formula>0</formula>
    </cfRule>
  </conditionalFormatting>
  <conditionalFormatting sqref="M305:P305">
    <cfRule type="cellIs" dxfId="2" priority="4" stopIfTrue="1" operator="notEqual">
      <formula>0</formula>
    </cfRule>
  </conditionalFormatting>
  <conditionalFormatting sqref="V305">
    <cfRule type="cellIs" dxfId="1" priority="3" stopIfTrue="1" operator="notEqual">
      <formula>0</formula>
    </cfRule>
  </conditionalFormatting>
  <conditionalFormatting sqref="R305:U305">
    <cfRule type="cellIs" dxfId="0" priority="1" stopIfTrue="1" operator="notEqual">
      <formula>0</formula>
    </cfRule>
  </conditionalFormatting>
  <pageMargins left="0.75" right="0.75" top="1" bottom="1" header="0.5" footer="0.5"/>
  <pageSetup scale="42" orientation="landscape" horizontalDpi="200" verticalDpi="2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43"/>
  <sheetViews>
    <sheetView workbookViewId="0">
      <selection activeCell="B42" sqref="B42"/>
    </sheetView>
  </sheetViews>
  <sheetFormatPr defaultRowHeight="12.75"/>
  <cols>
    <col min="1" max="1" width="29.5703125" style="847" bestFit="1" customWidth="1"/>
    <col min="2" max="2" width="19.85546875" style="1133" customWidth="1"/>
    <col min="3" max="3" width="12" style="847" bestFit="1" customWidth="1"/>
    <col min="4" max="256" width="9.140625" style="847"/>
    <col min="257" max="257" width="29.5703125" style="847" bestFit="1" customWidth="1"/>
    <col min="258" max="258" width="19.85546875" style="847" customWidth="1"/>
    <col min="259" max="259" width="12" style="847" bestFit="1" customWidth="1"/>
    <col min="260" max="512" width="9.140625" style="847"/>
    <col min="513" max="513" width="29.5703125" style="847" bestFit="1" customWidth="1"/>
    <col min="514" max="514" width="19.85546875" style="847" customWidth="1"/>
    <col min="515" max="515" width="12" style="847" bestFit="1" customWidth="1"/>
    <col min="516" max="768" width="9.140625" style="847"/>
    <col min="769" max="769" width="29.5703125" style="847" bestFit="1" customWidth="1"/>
    <col min="770" max="770" width="19.85546875" style="847" customWidth="1"/>
    <col min="771" max="771" width="12" style="847" bestFit="1" customWidth="1"/>
    <col min="772" max="1024" width="9.140625" style="847"/>
    <col min="1025" max="1025" width="29.5703125" style="847" bestFit="1" customWidth="1"/>
    <col min="1026" max="1026" width="19.85546875" style="847" customWidth="1"/>
    <col min="1027" max="1027" width="12" style="847" bestFit="1" customWidth="1"/>
    <col min="1028" max="1280" width="9.140625" style="847"/>
    <col min="1281" max="1281" width="29.5703125" style="847" bestFit="1" customWidth="1"/>
    <col min="1282" max="1282" width="19.85546875" style="847" customWidth="1"/>
    <col min="1283" max="1283" width="12" style="847" bestFit="1" customWidth="1"/>
    <col min="1284" max="1536" width="9.140625" style="847"/>
    <col min="1537" max="1537" width="29.5703125" style="847" bestFit="1" customWidth="1"/>
    <col min="1538" max="1538" width="19.85546875" style="847" customWidth="1"/>
    <col min="1539" max="1539" width="12" style="847" bestFit="1" customWidth="1"/>
    <col min="1540" max="1792" width="9.140625" style="847"/>
    <col min="1793" max="1793" width="29.5703125" style="847" bestFit="1" customWidth="1"/>
    <col min="1794" max="1794" width="19.85546875" style="847" customWidth="1"/>
    <col min="1795" max="1795" width="12" style="847" bestFit="1" customWidth="1"/>
    <col min="1796" max="2048" width="9.140625" style="847"/>
    <col min="2049" max="2049" width="29.5703125" style="847" bestFit="1" customWidth="1"/>
    <col min="2050" max="2050" width="19.85546875" style="847" customWidth="1"/>
    <col min="2051" max="2051" width="12" style="847" bestFit="1" customWidth="1"/>
    <col min="2052" max="2304" width="9.140625" style="847"/>
    <col min="2305" max="2305" width="29.5703125" style="847" bestFit="1" customWidth="1"/>
    <col min="2306" max="2306" width="19.85546875" style="847" customWidth="1"/>
    <col min="2307" max="2307" width="12" style="847" bestFit="1" customWidth="1"/>
    <col min="2308" max="2560" width="9.140625" style="847"/>
    <col min="2561" max="2561" width="29.5703125" style="847" bestFit="1" customWidth="1"/>
    <col min="2562" max="2562" width="19.85546875" style="847" customWidth="1"/>
    <col min="2563" max="2563" width="12" style="847" bestFit="1" customWidth="1"/>
    <col min="2564" max="2816" width="9.140625" style="847"/>
    <col min="2817" max="2817" width="29.5703125" style="847" bestFit="1" customWidth="1"/>
    <col min="2818" max="2818" width="19.85546875" style="847" customWidth="1"/>
    <col min="2819" max="2819" width="12" style="847" bestFit="1" customWidth="1"/>
    <col min="2820" max="3072" width="9.140625" style="847"/>
    <col min="3073" max="3073" width="29.5703125" style="847" bestFit="1" customWidth="1"/>
    <col min="3074" max="3074" width="19.85546875" style="847" customWidth="1"/>
    <col min="3075" max="3075" width="12" style="847" bestFit="1" customWidth="1"/>
    <col min="3076" max="3328" width="9.140625" style="847"/>
    <col min="3329" max="3329" width="29.5703125" style="847" bestFit="1" customWidth="1"/>
    <col min="3330" max="3330" width="19.85546875" style="847" customWidth="1"/>
    <col min="3331" max="3331" width="12" style="847" bestFit="1" customWidth="1"/>
    <col min="3332" max="3584" width="9.140625" style="847"/>
    <col min="3585" max="3585" width="29.5703125" style="847" bestFit="1" customWidth="1"/>
    <col min="3586" max="3586" width="19.85546875" style="847" customWidth="1"/>
    <col min="3587" max="3587" width="12" style="847" bestFit="1" customWidth="1"/>
    <col min="3588" max="3840" width="9.140625" style="847"/>
    <col min="3841" max="3841" width="29.5703125" style="847" bestFit="1" customWidth="1"/>
    <col min="3842" max="3842" width="19.85546875" style="847" customWidth="1"/>
    <col min="3843" max="3843" width="12" style="847" bestFit="1" customWidth="1"/>
    <col min="3844" max="4096" width="9.140625" style="847"/>
    <col min="4097" max="4097" width="29.5703125" style="847" bestFit="1" customWidth="1"/>
    <col min="4098" max="4098" width="19.85546875" style="847" customWidth="1"/>
    <col min="4099" max="4099" width="12" style="847" bestFit="1" customWidth="1"/>
    <col min="4100" max="4352" width="9.140625" style="847"/>
    <col min="4353" max="4353" width="29.5703125" style="847" bestFit="1" customWidth="1"/>
    <col min="4354" max="4354" width="19.85546875" style="847" customWidth="1"/>
    <col min="4355" max="4355" width="12" style="847" bestFit="1" customWidth="1"/>
    <col min="4356" max="4608" width="9.140625" style="847"/>
    <col min="4609" max="4609" width="29.5703125" style="847" bestFit="1" customWidth="1"/>
    <col min="4610" max="4610" width="19.85546875" style="847" customWidth="1"/>
    <col min="4611" max="4611" width="12" style="847" bestFit="1" customWidth="1"/>
    <col min="4612" max="4864" width="9.140625" style="847"/>
    <col min="4865" max="4865" width="29.5703125" style="847" bestFit="1" customWidth="1"/>
    <col min="4866" max="4866" width="19.85546875" style="847" customWidth="1"/>
    <col min="4867" max="4867" width="12" style="847" bestFit="1" customWidth="1"/>
    <col min="4868" max="5120" width="9.140625" style="847"/>
    <col min="5121" max="5121" width="29.5703125" style="847" bestFit="1" customWidth="1"/>
    <col min="5122" max="5122" width="19.85546875" style="847" customWidth="1"/>
    <col min="5123" max="5123" width="12" style="847" bestFit="1" customWidth="1"/>
    <col min="5124" max="5376" width="9.140625" style="847"/>
    <col min="5377" max="5377" width="29.5703125" style="847" bestFit="1" customWidth="1"/>
    <col min="5378" max="5378" width="19.85546875" style="847" customWidth="1"/>
    <col min="5379" max="5379" width="12" style="847" bestFit="1" customWidth="1"/>
    <col min="5380" max="5632" width="9.140625" style="847"/>
    <col min="5633" max="5633" width="29.5703125" style="847" bestFit="1" customWidth="1"/>
    <col min="5634" max="5634" width="19.85546875" style="847" customWidth="1"/>
    <col min="5635" max="5635" width="12" style="847" bestFit="1" customWidth="1"/>
    <col min="5636" max="5888" width="9.140625" style="847"/>
    <col min="5889" max="5889" width="29.5703125" style="847" bestFit="1" customWidth="1"/>
    <col min="5890" max="5890" width="19.85546875" style="847" customWidth="1"/>
    <col min="5891" max="5891" width="12" style="847" bestFit="1" customWidth="1"/>
    <col min="5892" max="6144" width="9.140625" style="847"/>
    <col min="6145" max="6145" width="29.5703125" style="847" bestFit="1" customWidth="1"/>
    <col min="6146" max="6146" width="19.85546875" style="847" customWidth="1"/>
    <col min="6147" max="6147" width="12" style="847" bestFit="1" customWidth="1"/>
    <col min="6148" max="6400" width="9.140625" style="847"/>
    <col min="6401" max="6401" width="29.5703125" style="847" bestFit="1" customWidth="1"/>
    <col min="6402" max="6402" width="19.85546875" style="847" customWidth="1"/>
    <col min="6403" max="6403" width="12" style="847" bestFit="1" customWidth="1"/>
    <col min="6404" max="6656" width="9.140625" style="847"/>
    <col min="6657" max="6657" width="29.5703125" style="847" bestFit="1" customWidth="1"/>
    <col min="6658" max="6658" width="19.85546875" style="847" customWidth="1"/>
    <col min="6659" max="6659" width="12" style="847" bestFit="1" customWidth="1"/>
    <col min="6660" max="6912" width="9.140625" style="847"/>
    <col min="6913" max="6913" width="29.5703125" style="847" bestFit="1" customWidth="1"/>
    <col min="6914" max="6914" width="19.85546875" style="847" customWidth="1"/>
    <col min="6915" max="6915" width="12" style="847" bestFit="1" customWidth="1"/>
    <col min="6916" max="7168" width="9.140625" style="847"/>
    <col min="7169" max="7169" width="29.5703125" style="847" bestFit="1" customWidth="1"/>
    <col min="7170" max="7170" width="19.85546875" style="847" customWidth="1"/>
    <col min="7171" max="7171" width="12" style="847" bestFit="1" customWidth="1"/>
    <col min="7172" max="7424" width="9.140625" style="847"/>
    <col min="7425" max="7425" width="29.5703125" style="847" bestFit="1" customWidth="1"/>
    <col min="7426" max="7426" width="19.85546875" style="847" customWidth="1"/>
    <col min="7427" max="7427" width="12" style="847" bestFit="1" customWidth="1"/>
    <col min="7428" max="7680" width="9.140625" style="847"/>
    <col min="7681" max="7681" width="29.5703125" style="847" bestFit="1" customWidth="1"/>
    <col min="7682" max="7682" width="19.85546875" style="847" customWidth="1"/>
    <col min="7683" max="7683" width="12" style="847" bestFit="1" customWidth="1"/>
    <col min="7684" max="7936" width="9.140625" style="847"/>
    <col min="7937" max="7937" width="29.5703125" style="847" bestFit="1" customWidth="1"/>
    <col min="7938" max="7938" width="19.85546875" style="847" customWidth="1"/>
    <col min="7939" max="7939" width="12" style="847" bestFit="1" customWidth="1"/>
    <col min="7940" max="8192" width="9.140625" style="847"/>
    <col min="8193" max="8193" width="29.5703125" style="847" bestFit="1" customWidth="1"/>
    <col min="8194" max="8194" width="19.85546875" style="847" customWidth="1"/>
    <col min="8195" max="8195" width="12" style="847" bestFit="1" customWidth="1"/>
    <col min="8196" max="8448" width="9.140625" style="847"/>
    <col min="8449" max="8449" width="29.5703125" style="847" bestFit="1" customWidth="1"/>
    <col min="8450" max="8450" width="19.85546875" style="847" customWidth="1"/>
    <col min="8451" max="8451" width="12" style="847" bestFit="1" customWidth="1"/>
    <col min="8452" max="8704" width="9.140625" style="847"/>
    <col min="8705" max="8705" width="29.5703125" style="847" bestFit="1" customWidth="1"/>
    <col min="8706" max="8706" width="19.85546875" style="847" customWidth="1"/>
    <col min="8707" max="8707" width="12" style="847" bestFit="1" customWidth="1"/>
    <col min="8708" max="8960" width="9.140625" style="847"/>
    <col min="8961" max="8961" width="29.5703125" style="847" bestFit="1" customWidth="1"/>
    <col min="8962" max="8962" width="19.85546875" style="847" customWidth="1"/>
    <col min="8963" max="8963" width="12" style="847" bestFit="1" customWidth="1"/>
    <col min="8964" max="9216" width="9.140625" style="847"/>
    <col min="9217" max="9217" width="29.5703125" style="847" bestFit="1" customWidth="1"/>
    <col min="9218" max="9218" width="19.85546875" style="847" customWidth="1"/>
    <col min="9219" max="9219" width="12" style="847" bestFit="1" customWidth="1"/>
    <col min="9220" max="9472" width="9.140625" style="847"/>
    <col min="9473" max="9473" width="29.5703125" style="847" bestFit="1" customWidth="1"/>
    <col min="9474" max="9474" width="19.85546875" style="847" customWidth="1"/>
    <col min="9475" max="9475" width="12" style="847" bestFit="1" customWidth="1"/>
    <col min="9476" max="9728" width="9.140625" style="847"/>
    <col min="9729" max="9729" width="29.5703125" style="847" bestFit="1" customWidth="1"/>
    <col min="9730" max="9730" width="19.85546875" style="847" customWidth="1"/>
    <col min="9731" max="9731" width="12" style="847" bestFit="1" customWidth="1"/>
    <col min="9732" max="9984" width="9.140625" style="847"/>
    <col min="9985" max="9985" width="29.5703125" style="847" bestFit="1" customWidth="1"/>
    <col min="9986" max="9986" width="19.85546875" style="847" customWidth="1"/>
    <col min="9987" max="9987" width="12" style="847" bestFit="1" customWidth="1"/>
    <col min="9988" max="10240" width="9.140625" style="847"/>
    <col min="10241" max="10241" width="29.5703125" style="847" bestFit="1" customWidth="1"/>
    <col min="10242" max="10242" width="19.85546875" style="847" customWidth="1"/>
    <col min="10243" max="10243" width="12" style="847" bestFit="1" customWidth="1"/>
    <col min="10244" max="10496" width="9.140625" style="847"/>
    <col min="10497" max="10497" width="29.5703125" style="847" bestFit="1" customWidth="1"/>
    <col min="10498" max="10498" width="19.85546875" style="847" customWidth="1"/>
    <col min="10499" max="10499" width="12" style="847" bestFit="1" customWidth="1"/>
    <col min="10500" max="10752" width="9.140625" style="847"/>
    <col min="10753" max="10753" width="29.5703125" style="847" bestFit="1" customWidth="1"/>
    <col min="10754" max="10754" width="19.85546875" style="847" customWidth="1"/>
    <col min="10755" max="10755" width="12" style="847" bestFit="1" customWidth="1"/>
    <col min="10756" max="11008" width="9.140625" style="847"/>
    <col min="11009" max="11009" width="29.5703125" style="847" bestFit="1" customWidth="1"/>
    <col min="11010" max="11010" width="19.85546875" style="847" customWidth="1"/>
    <col min="11011" max="11011" width="12" style="847" bestFit="1" customWidth="1"/>
    <col min="11012" max="11264" width="9.140625" style="847"/>
    <col min="11265" max="11265" width="29.5703125" style="847" bestFit="1" customWidth="1"/>
    <col min="11266" max="11266" width="19.85546875" style="847" customWidth="1"/>
    <col min="11267" max="11267" width="12" style="847" bestFit="1" customWidth="1"/>
    <col min="11268" max="11520" width="9.140625" style="847"/>
    <col min="11521" max="11521" width="29.5703125" style="847" bestFit="1" customWidth="1"/>
    <col min="11522" max="11522" width="19.85546875" style="847" customWidth="1"/>
    <col min="11523" max="11523" width="12" style="847" bestFit="1" customWidth="1"/>
    <col min="11524" max="11776" width="9.140625" style="847"/>
    <col min="11777" max="11777" width="29.5703125" style="847" bestFit="1" customWidth="1"/>
    <col min="11778" max="11778" width="19.85546875" style="847" customWidth="1"/>
    <col min="11779" max="11779" width="12" style="847" bestFit="1" customWidth="1"/>
    <col min="11780" max="12032" width="9.140625" style="847"/>
    <col min="12033" max="12033" width="29.5703125" style="847" bestFit="1" customWidth="1"/>
    <col min="12034" max="12034" width="19.85546875" style="847" customWidth="1"/>
    <col min="12035" max="12035" width="12" style="847" bestFit="1" customWidth="1"/>
    <col min="12036" max="12288" width="9.140625" style="847"/>
    <col min="12289" max="12289" width="29.5703125" style="847" bestFit="1" customWidth="1"/>
    <col min="12290" max="12290" width="19.85546875" style="847" customWidth="1"/>
    <col min="12291" max="12291" width="12" style="847" bestFit="1" customWidth="1"/>
    <col min="12292" max="12544" width="9.140625" style="847"/>
    <col min="12545" max="12545" width="29.5703125" style="847" bestFit="1" customWidth="1"/>
    <col min="12546" max="12546" width="19.85546875" style="847" customWidth="1"/>
    <col min="12547" max="12547" width="12" style="847" bestFit="1" customWidth="1"/>
    <col min="12548" max="12800" width="9.140625" style="847"/>
    <col min="12801" max="12801" width="29.5703125" style="847" bestFit="1" customWidth="1"/>
    <col min="12802" max="12802" width="19.85546875" style="847" customWidth="1"/>
    <col min="12803" max="12803" width="12" style="847" bestFit="1" customWidth="1"/>
    <col min="12804" max="13056" width="9.140625" style="847"/>
    <col min="13057" max="13057" width="29.5703125" style="847" bestFit="1" customWidth="1"/>
    <col min="13058" max="13058" width="19.85546875" style="847" customWidth="1"/>
    <col min="13059" max="13059" width="12" style="847" bestFit="1" customWidth="1"/>
    <col min="13060" max="13312" width="9.140625" style="847"/>
    <col min="13313" max="13313" width="29.5703125" style="847" bestFit="1" customWidth="1"/>
    <col min="13314" max="13314" width="19.85546875" style="847" customWidth="1"/>
    <col min="13315" max="13315" width="12" style="847" bestFit="1" customWidth="1"/>
    <col min="13316" max="13568" width="9.140625" style="847"/>
    <col min="13569" max="13569" width="29.5703125" style="847" bestFit="1" customWidth="1"/>
    <col min="13570" max="13570" width="19.85546875" style="847" customWidth="1"/>
    <col min="13571" max="13571" width="12" style="847" bestFit="1" customWidth="1"/>
    <col min="13572" max="13824" width="9.140625" style="847"/>
    <col min="13825" max="13825" width="29.5703125" style="847" bestFit="1" customWidth="1"/>
    <col min="13826" max="13826" width="19.85546875" style="847" customWidth="1"/>
    <col min="13827" max="13827" width="12" style="847" bestFit="1" customWidth="1"/>
    <col min="13828" max="14080" width="9.140625" style="847"/>
    <col min="14081" max="14081" width="29.5703125" style="847" bestFit="1" customWidth="1"/>
    <col min="14082" max="14082" width="19.85546875" style="847" customWidth="1"/>
    <col min="14083" max="14083" width="12" style="847" bestFit="1" customWidth="1"/>
    <col min="14084" max="14336" width="9.140625" style="847"/>
    <col min="14337" max="14337" width="29.5703125" style="847" bestFit="1" customWidth="1"/>
    <col min="14338" max="14338" width="19.85546875" style="847" customWidth="1"/>
    <col min="14339" max="14339" width="12" style="847" bestFit="1" customWidth="1"/>
    <col min="14340" max="14592" width="9.140625" style="847"/>
    <col min="14593" max="14593" width="29.5703125" style="847" bestFit="1" customWidth="1"/>
    <col min="14594" max="14594" width="19.85546875" style="847" customWidth="1"/>
    <col min="14595" max="14595" width="12" style="847" bestFit="1" customWidth="1"/>
    <col min="14596" max="14848" width="9.140625" style="847"/>
    <col min="14849" max="14849" width="29.5703125" style="847" bestFit="1" customWidth="1"/>
    <col min="14850" max="14850" width="19.85546875" style="847" customWidth="1"/>
    <col min="14851" max="14851" width="12" style="847" bestFit="1" customWidth="1"/>
    <col min="14852" max="15104" width="9.140625" style="847"/>
    <col min="15105" max="15105" width="29.5703125" style="847" bestFit="1" customWidth="1"/>
    <col min="15106" max="15106" width="19.85546875" style="847" customWidth="1"/>
    <col min="15107" max="15107" width="12" style="847" bestFit="1" customWidth="1"/>
    <col min="15108" max="15360" width="9.140625" style="847"/>
    <col min="15361" max="15361" width="29.5703125" style="847" bestFit="1" customWidth="1"/>
    <col min="15362" max="15362" width="19.85546875" style="847" customWidth="1"/>
    <col min="15363" max="15363" width="12" style="847" bestFit="1" customWidth="1"/>
    <col min="15364" max="15616" width="9.140625" style="847"/>
    <col min="15617" max="15617" width="29.5703125" style="847" bestFit="1" customWidth="1"/>
    <col min="15618" max="15618" width="19.85546875" style="847" customWidth="1"/>
    <col min="15619" max="15619" width="12" style="847" bestFit="1" customWidth="1"/>
    <col min="15620" max="15872" width="9.140625" style="847"/>
    <col min="15873" max="15873" width="29.5703125" style="847" bestFit="1" customWidth="1"/>
    <col min="15874" max="15874" width="19.85546875" style="847" customWidth="1"/>
    <col min="15875" max="15875" width="12" style="847" bestFit="1" customWidth="1"/>
    <col min="15876" max="16128" width="9.140625" style="847"/>
    <col min="16129" max="16129" width="29.5703125" style="847" bestFit="1" customWidth="1"/>
    <col min="16130" max="16130" width="19.85546875" style="847" customWidth="1"/>
    <col min="16131" max="16131" width="12" style="847" bestFit="1" customWidth="1"/>
    <col min="16132" max="16384" width="9.140625" style="847"/>
  </cols>
  <sheetData>
    <row r="1" spans="1:2">
      <c r="A1" s="847" t="s">
        <v>718</v>
      </c>
      <c r="B1" s="1132">
        <v>6.1</v>
      </c>
    </row>
    <row r="2" spans="1:2">
      <c r="A2" s="847" t="s">
        <v>719</v>
      </c>
      <c r="B2" s="1136">
        <v>43201.529733796298</v>
      </c>
    </row>
    <row r="3" spans="1:2">
      <c r="A3" s="847" t="s">
        <v>720</v>
      </c>
      <c r="B3" s="1133" t="s">
        <v>418</v>
      </c>
    </row>
    <row r="4" spans="1:2">
      <c r="A4" s="847" t="s">
        <v>721</v>
      </c>
      <c r="B4" s="1133" t="s">
        <v>722</v>
      </c>
    </row>
    <row r="5" spans="1:2">
      <c r="A5" s="847" t="s">
        <v>723</v>
      </c>
      <c r="B5" s="1133" t="s">
        <v>724</v>
      </c>
    </row>
    <row r="6" spans="1:2">
      <c r="A6" s="847" t="s">
        <v>725</v>
      </c>
    </row>
    <row r="7" spans="1:2">
      <c r="A7" s="847" t="s">
        <v>726</v>
      </c>
      <c r="B7" s="1133" t="s">
        <v>186</v>
      </c>
    </row>
    <row r="8" spans="1:2">
      <c r="A8" s="847" t="s">
        <v>727</v>
      </c>
      <c r="B8" s="1133" t="s">
        <v>728</v>
      </c>
    </row>
    <row r="9" spans="1:2">
      <c r="A9" s="847" t="s">
        <v>729</v>
      </c>
      <c r="B9" s="1133" t="s">
        <v>767</v>
      </c>
    </row>
    <row r="10" spans="1:2">
      <c r="A10" s="847" t="s">
        <v>730</v>
      </c>
    </row>
    <row r="11" spans="1:2">
      <c r="A11" s="847" t="s">
        <v>731</v>
      </c>
    </row>
    <row r="12" spans="1:2">
      <c r="A12" s="847" t="s">
        <v>732</v>
      </c>
    </row>
    <row r="13" spans="1:2">
      <c r="A13" s="847" t="s">
        <v>733</v>
      </c>
    </row>
    <row r="14" spans="1:2">
      <c r="A14" s="847" t="s">
        <v>734</v>
      </c>
    </row>
    <row r="15" spans="1:2">
      <c r="A15" s="847" t="s">
        <v>735</v>
      </c>
    </row>
    <row r="16" spans="1:2">
      <c r="A16" s="847" t="s">
        <v>736</v>
      </c>
    </row>
    <row r="17" spans="1:4">
      <c r="A17" s="847" t="s">
        <v>737</v>
      </c>
      <c r="B17" s="1133" t="s">
        <v>768</v>
      </c>
    </row>
    <row r="18" spans="1:4">
      <c r="A18" s="847" t="s">
        <v>738</v>
      </c>
      <c r="B18" s="1133" t="s">
        <v>419</v>
      </c>
    </row>
    <row r="19" spans="1:4">
      <c r="A19" s="847" t="s">
        <v>739</v>
      </c>
      <c r="B19" s="1133" t="s">
        <v>187</v>
      </c>
    </row>
    <row r="20" spans="1:4">
      <c r="A20" s="847" t="s">
        <v>740</v>
      </c>
      <c r="B20" s="1134">
        <v>666807102</v>
      </c>
    </row>
    <row r="21" spans="1:4">
      <c r="A21" s="847" t="s">
        <v>741</v>
      </c>
      <c r="B21" s="1133" t="s">
        <v>187</v>
      </c>
    </row>
    <row r="22" spans="1:4">
      <c r="A22" s="847" t="s">
        <v>742</v>
      </c>
      <c r="B22" s="1134">
        <v>2648806</v>
      </c>
    </row>
    <row r="23" spans="1:4">
      <c r="A23" s="847" t="s">
        <v>196</v>
      </c>
      <c r="B23" s="1132">
        <v>349.95</v>
      </c>
    </row>
    <row r="24" spans="1:4">
      <c r="A24" s="847" t="s">
        <v>195</v>
      </c>
      <c r="B24" s="1133" t="s">
        <v>192</v>
      </c>
      <c r="D24" s="847" t="s">
        <v>743</v>
      </c>
    </row>
    <row r="25" spans="1:4">
      <c r="A25" s="847" t="s">
        <v>744</v>
      </c>
      <c r="B25" s="1133" t="s">
        <v>771</v>
      </c>
    </row>
    <row r="26" spans="1:4">
      <c r="A26" s="847" t="s">
        <v>745</v>
      </c>
      <c r="B26" s="1133">
        <v>0</v>
      </c>
    </row>
    <row r="27" spans="1:4">
      <c r="A27" s="847" t="s">
        <v>746</v>
      </c>
      <c r="B27" s="1133" t="s">
        <v>747</v>
      </c>
    </row>
    <row r="28" spans="1:4">
      <c r="A28" s="847" t="s">
        <v>748</v>
      </c>
      <c r="B28" s="1133" t="s">
        <v>749</v>
      </c>
    </row>
    <row r="29" spans="1:4">
      <c r="A29" s="847" t="s">
        <v>750</v>
      </c>
    </row>
    <row r="30" spans="1:4">
      <c r="A30" s="847" t="s">
        <v>751</v>
      </c>
    </row>
    <row r="31" spans="1:4">
      <c r="A31" s="847" t="s">
        <v>752</v>
      </c>
    </row>
    <row r="32" spans="1:4">
      <c r="A32" s="847" t="s">
        <v>753</v>
      </c>
      <c r="B32" s="1132"/>
    </row>
    <row r="33" spans="1:2">
      <c r="A33" s="847" t="s">
        <v>754</v>
      </c>
      <c r="B33" s="1132"/>
    </row>
    <row r="34" spans="1:2">
      <c r="A34" s="847" t="s">
        <v>755</v>
      </c>
      <c r="B34" s="1132"/>
    </row>
    <row r="35" spans="1:2">
      <c r="A35" s="847" t="s">
        <v>756</v>
      </c>
      <c r="B35" s="1133">
        <v>1000000</v>
      </c>
    </row>
    <row r="36" spans="1:2">
      <c r="A36" s="847" t="s">
        <v>757</v>
      </c>
      <c r="B36" s="1133" t="s">
        <v>769</v>
      </c>
    </row>
    <row r="37" spans="1:2">
      <c r="A37" s="847" t="s">
        <v>758</v>
      </c>
      <c r="B37" s="1133" t="s">
        <v>759</v>
      </c>
    </row>
    <row r="38" spans="1:2">
      <c r="A38" s="847" t="s">
        <v>760</v>
      </c>
      <c r="B38" s="1133" t="s">
        <v>761</v>
      </c>
    </row>
    <row r="39" spans="1:2">
      <c r="A39" s="847" t="s">
        <v>762</v>
      </c>
      <c r="B39" s="1133" t="s">
        <v>770</v>
      </c>
    </row>
    <row r="40" spans="1:2">
      <c r="A40" s="847" t="s">
        <v>763</v>
      </c>
      <c r="B40" s="1133">
        <v>1500004845</v>
      </c>
    </row>
    <row r="41" spans="1:2">
      <c r="A41" s="847" t="s">
        <v>764</v>
      </c>
      <c r="B41" s="1133">
        <v>1</v>
      </c>
    </row>
    <row r="42" spans="1:2">
      <c r="A42" s="1135" t="s">
        <v>765</v>
      </c>
    </row>
    <row r="43" spans="1:2">
      <c r="A43" s="847" t="s">
        <v>766</v>
      </c>
    </row>
  </sheetData>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13"/>
  <sheetViews>
    <sheetView workbookViewId="0">
      <selection activeCell="E11" sqref="E11"/>
    </sheetView>
  </sheetViews>
  <sheetFormatPr defaultRowHeight="12.75"/>
  <cols>
    <col min="1" max="1" width="28.5703125" style="847" bestFit="1" customWidth="1"/>
    <col min="2" max="256" width="9.140625" style="847"/>
    <col min="257" max="257" width="28.5703125" style="847" bestFit="1" customWidth="1"/>
    <col min="258" max="512" width="9.140625" style="847"/>
    <col min="513" max="513" width="28.5703125" style="847" bestFit="1" customWidth="1"/>
    <col min="514" max="768" width="9.140625" style="847"/>
    <col min="769" max="769" width="28.5703125" style="847" bestFit="1" customWidth="1"/>
    <col min="770" max="1024" width="9.140625" style="847"/>
    <col min="1025" max="1025" width="28.5703125" style="847" bestFit="1" customWidth="1"/>
    <col min="1026" max="1280" width="9.140625" style="847"/>
    <col min="1281" max="1281" width="28.5703125" style="847" bestFit="1" customWidth="1"/>
    <col min="1282" max="1536" width="9.140625" style="847"/>
    <col min="1537" max="1537" width="28.5703125" style="847" bestFit="1" customWidth="1"/>
    <col min="1538" max="1792" width="9.140625" style="847"/>
    <col min="1793" max="1793" width="28.5703125" style="847" bestFit="1" customWidth="1"/>
    <col min="1794" max="2048" width="9.140625" style="847"/>
    <col min="2049" max="2049" width="28.5703125" style="847" bestFit="1" customWidth="1"/>
    <col min="2050" max="2304" width="9.140625" style="847"/>
    <col min="2305" max="2305" width="28.5703125" style="847" bestFit="1" customWidth="1"/>
    <col min="2306" max="2560" width="9.140625" style="847"/>
    <col min="2561" max="2561" width="28.5703125" style="847" bestFit="1" customWidth="1"/>
    <col min="2562" max="2816" width="9.140625" style="847"/>
    <col min="2817" max="2817" width="28.5703125" style="847" bestFit="1" customWidth="1"/>
    <col min="2818" max="3072" width="9.140625" style="847"/>
    <col min="3073" max="3073" width="28.5703125" style="847" bestFit="1" customWidth="1"/>
    <col min="3074" max="3328" width="9.140625" style="847"/>
    <col min="3329" max="3329" width="28.5703125" style="847" bestFit="1" customWidth="1"/>
    <col min="3330" max="3584" width="9.140625" style="847"/>
    <col min="3585" max="3585" width="28.5703125" style="847" bestFit="1" customWidth="1"/>
    <col min="3586" max="3840" width="9.140625" style="847"/>
    <col min="3841" max="3841" width="28.5703125" style="847" bestFit="1" customWidth="1"/>
    <col min="3842" max="4096" width="9.140625" style="847"/>
    <col min="4097" max="4097" width="28.5703125" style="847" bestFit="1" customWidth="1"/>
    <col min="4098" max="4352" width="9.140625" style="847"/>
    <col min="4353" max="4353" width="28.5703125" style="847" bestFit="1" customWidth="1"/>
    <col min="4354" max="4608" width="9.140625" style="847"/>
    <col min="4609" max="4609" width="28.5703125" style="847" bestFit="1" customWidth="1"/>
    <col min="4610" max="4864" width="9.140625" style="847"/>
    <col min="4865" max="4865" width="28.5703125" style="847" bestFit="1" customWidth="1"/>
    <col min="4866" max="5120" width="9.140625" style="847"/>
    <col min="5121" max="5121" width="28.5703125" style="847" bestFit="1" customWidth="1"/>
    <col min="5122" max="5376" width="9.140625" style="847"/>
    <col min="5377" max="5377" width="28.5703125" style="847" bestFit="1" customWidth="1"/>
    <col min="5378" max="5632" width="9.140625" style="847"/>
    <col min="5633" max="5633" width="28.5703125" style="847" bestFit="1" customWidth="1"/>
    <col min="5634" max="5888" width="9.140625" style="847"/>
    <col min="5889" max="5889" width="28.5703125" style="847" bestFit="1" customWidth="1"/>
    <col min="5890" max="6144" width="9.140625" style="847"/>
    <col min="6145" max="6145" width="28.5703125" style="847" bestFit="1" customWidth="1"/>
    <col min="6146" max="6400" width="9.140625" style="847"/>
    <col min="6401" max="6401" width="28.5703125" style="847" bestFit="1" customWidth="1"/>
    <col min="6402" max="6656" width="9.140625" style="847"/>
    <col min="6657" max="6657" width="28.5703125" style="847" bestFit="1" customWidth="1"/>
    <col min="6658" max="6912" width="9.140625" style="847"/>
    <col min="6913" max="6913" width="28.5703125" style="847" bestFit="1" customWidth="1"/>
    <col min="6914" max="7168" width="9.140625" style="847"/>
    <col min="7169" max="7169" width="28.5703125" style="847" bestFit="1" customWidth="1"/>
    <col min="7170" max="7424" width="9.140625" style="847"/>
    <col min="7425" max="7425" width="28.5703125" style="847" bestFit="1" customWidth="1"/>
    <col min="7426" max="7680" width="9.140625" style="847"/>
    <col min="7681" max="7681" width="28.5703125" style="847" bestFit="1" customWidth="1"/>
    <col min="7682" max="7936" width="9.140625" style="847"/>
    <col min="7937" max="7937" width="28.5703125" style="847" bestFit="1" customWidth="1"/>
    <col min="7938" max="8192" width="9.140625" style="847"/>
    <col min="8193" max="8193" width="28.5703125" style="847" bestFit="1" customWidth="1"/>
    <col min="8194" max="8448" width="9.140625" style="847"/>
    <col min="8449" max="8449" width="28.5703125" style="847" bestFit="1" customWidth="1"/>
    <col min="8450" max="8704" width="9.140625" style="847"/>
    <col min="8705" max="8705" width="28.5703125" style="847" bestFit="1" customWidth="1"/>
    <col min="8706" max="8960" width="9.140625" style="847"/>
    <col min="8961" max="8961" width="28.5703125" style="847" bestFit="1" customWidth="1"/>
    <col min="8962" max="9216" width="9.140625" style="847"/>
    <col min="9217" max="9217" width="28.5703125" style="847" bestFit="1" customWidth="1"/>
    <col min="9218" max="9472" width="9.140625" style="847"/>
    <col min="9473" max="9473" width="28.5703125" style="847" bestFit="1" customWidth="1"/>
    <col min="9474" max="9728" width="9.140625" style="847"/>
    <col min="9729" max="9729" width="28.5703125" style="847" bestFit="1" customWidth="1"/>
    <col min="9730" max="9984" width="9.140625" style="847"/>
    <col min="9985" max="9985" width="28.5703125" style="847" bestFit="1" customWidth="1"/>
    <col min="9986" max="10240" width="9.140625" style="847"/>
    <col min="10241" max="10241" width="28.5703125" style="847" bestFit="1" customWidth="1"/>
    <col min="10242" max="10496" width="9.140625" style="847"/>
    <col min="10497" max="10497" width="28.5703125" style="847" bestFit="1" customWidth="1"/>
    <col min="10498" max="10752" width="9.140625" style="847"/>
    <col min="10753" max="10753" width="28.5703125" style="847" bestFit="1" customWidth="1"/>
    <col min="10754" max="11008" width="9.140625" style="847"/>
    <col min="11009" max="11009" width="28.5703125" style="847" bestFit="1" customWidth="1"/>
    <col min="11010" max="11264" width="9.140625" style="847"/>
    <col min="11265" max="11265" width="28.5703125" style="847" bestFit="1" customWidth="1"/>
    <col min="11266" max="11520" width="9.140625" style="847"/>
    <col min="11521" max="11521" width="28.5703125" style="847" bestFit="1" customWidth="1"/>
    <col min="11522" max="11776" width="9.140625" style="847"/>
    <col min="11777" max="11777" width="28.5703125" style="847" bestFit="1" customWidth="1"/>
    <col min="11778" max="12032" width="9.140625" style="847"/>
    <col min="12033" max="12033" width="28.5703125" style="847" bestFit="1" customWidth="1"/>
    <col min="12034" max="12288" width="9.140625" style="847"/>
    <col min="12289" max="12289" width="28.5703125" style="847" bestFit="1" customWidth="1"/>
    <col min="12290" max="12544" width="9.140625" style="847"/>
    <col min="12545" max="12545" width="28.5703125" style="847" bestFit="1" customWidth="1"/>
    <col min="12546" max="12800" width="9.140625" style="847"/>
    <col min="12801" max="12801" width="28.5703125" style="847" bestFit="1" customWidth="1"/>
    <col min="12802" max="13056" width="9.140625" style="847"/>
    <col min="13057" max="13057" width="28.5703125" style="847" bestFit="1" customWidth="1"/>
    <col min="13058" max="13312" width="9.140625" style="847"/>
    <col min="13313" max="13313" width="28.5703125" style="847" bestFit="1" customWidth="1"/>
    <col min="13314" max="13568" width="9.140625" style="847"/>
    <col min="13569" max="13569" width="28.5703125" style="847" bestFit="1" customWidth="1"/>
    <col min="13570" max="13824" width="9.140625" style="847"/>
    <col min="13825" max="13825" width="28.5703125" style="847" bestFit="1" customWidth="1"/>
    <col min="13826" max="14080" width="9.140625" style="847"/>
    <col min="14081" max="14081" width="28.5703125" style="847" bestFit="1" customWidth="1"/>
    <col min="14082" max="14336" width="9.140625" style="847"/>
    <col min="14337" max="14337" width="28.5703125" style="847" bestFit="1" customWidth="1"/>
    <col min="14338" max="14592" width="9.140625" style="847"/>
    <col min="14593" max="14593" width="28.5703125" style="847" bestFit="1" customWidth="1"/>
    <col min="14594" max="14848" width="9.140625" style="847"/>
    <col min="14849" max="14849" width="28.5703125" style="847" bestFit="1" customWidth="1"/>
    <col min="14850" max="15104" width="9.140625" style="847"/>
    <col min="15105" max="15105" width="28.5703125" style="847" bestFit="1" customWidth="1"/>
    <col min="15106" max="15360" width="9.140625" style="847"/>
    <col min="15361" max="15361" width="28.5703125" style="847" bestFit="1" customWidth="1"/>
    <col min="15362" max="15616" width="9.140625" style="847"/>
    <col min="15617" max="15617" width="28.5703125" style="847" bestFit="1" customWidth="1"/>
    <col min="15618" max="15872" width="9.140625" style="847"/>
    <col min="15873" max="15873" width="28.5703125" style="847" bestFit="1" customWidth="1"/>
    <col min="15874" max="16128" width="9.140625" style="847"/>
    <col min="16129" max="16129" width="28.5703125" style="847" bestFit="1" customWidth="1"/>
    <col min="16130" max="16384" width="9.140625" style="847"/>
  </cols>
  <sheetData>
    <row r="1" spans="1:1">
      <c r="A1" s="1137" t="s">
        <v>772</v>
      </c>
    </row>
    <row r="2" spans="1:1">
      <c r="A2" s="1137" t="s">
        <v>777</v>
      </c>
    </row>
    <row r="3" spans="1:1">
      <c r="A3" s="1137" t="s">
        <v>778</v>
      </c>
    </row>
    <row r="4" spans="1:1">
      <c r="A4" s="1137" t="s">
        <v>779</v>
      </c>
    </row>
    <row r="5" spans="1:1">
      <c r="A5" s="1137" t="s">
        <v>780</v>
      </c>
    </row>
    <row r="6" spans="1:1">
      <c r="A6" s="1137" t="s">
        <v>773</v>
      </c>
    </row>
    <row r="7" spans="1:1">
      <c r="A7" s="1137" t="s">
        <v>781</v>
      </c>
    </row>
    <row r="8" spans="1:1">
      <c r="A8" s="1137" t="s">
        <v>782</v>
      </c>
    </row>
    <row r="9" spans="1:1">
      <c r="A9" s="1137" t="s">
        <v>783</v>
      </c>
    </row>
    <row r="10" spans="1:1">
      <c r="A10" s="1137" t="s">
        <v>774</v>
      </c>
    </row>
    <row r="11" spans="1:1">
      <c r="A11" s="1137" t="s">
        <v>784</v>
      </c>
    </row>
    <row r="12" spans="1:1">
      <c r="A12" s="1137" t="s">
        <v>775</v>
      </c>
    </row>
    <row r="13" spans="1:1">
      <c r="A13" s="1137" t="s">
        <v>776</v>
      </c>
    </row>
  </sheetData>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P2"/>
  <sheetViews>
    <sheetView workbookViewId="0"/>
  </sheetViews>
  <sheetFormatPr defaultRowHeight="12.75"/>
  <sheetData>
    <row r="1" spans="1:42">
      <c r="A1" t="s">
        <v>90</v>
      </c>
    </row>
    <row r="2" spans="1:42">
      <c r="A2" s="1" t="s">
        <v>81</v>
      </c>
      <c r="B2" s="1" t="s">
        <v>79</v>
      </c>
      <c r="C2" s="1" t="s">
        <v>95</v>
      </c>
      <c r="D2" s="1" t="s">
        <v>96</v>
      </c>
      <c r="E2" s="1" t="s">
        <v>108</v>
      </c>
      <c r="F2" s="1" t="s">
        <v>109</v>
      </c>
      <c r="G2" s="1" t="s">
        <v>80</v>
      </c>
      <c r="H2" s="1" t="s">
        <v>79</v>
      </c>
      <c r="I2" s="1" t="s">
        <v>89</v>
      </c>
      <c r="J2" s="1" t="s">
        <v>79</v>
      </c>
      <c r="K2" s="1" t="s">
        <v>98</v>
      </c>
      <c r="L2" s="1" t="s">
        <v>79</v>
      </c>
      <c r="M2" s="1" t="s">
        <v>101</v>
      </c>
      <c r="N2" s="1" t="s">
        <v>79</v>
      </c>
      <c r="O2" s="1" t="s">
        <v>103</v>
      </c>
      <c r="P2" s="1" t="s">
        <v>109</v>
      </c>
      <c r="Q2" s="1" t="s">
        <v>107</v>
      </c>
      <c r="R2" s="1" t="s">
        <v>79</v>
      </c>
      <c r="S2" s="1" t="s">
        <v>105</v>
      </c>
      <c r="T2" s="1" t="s">
        <v>109</v>
      </c>
      <c r="U2" s="1" t="s">
        <v>102</v>
      </c>
      <c r="V2" s="1" t="s">
        <v>79</v>
      </c>
      <c r="W2" s="1" t="s">
        <v>83</v>
      </c>
      <c r="X2" s="1" t="s">
        <v>79</v>
      </c>
      <c r="Y2" s="1" t="s">
        <v>100</v>
      </c>
      <c r="Z2" s="1" t="s">
        <v>109</v>
      </c>
      <c r="AA2" s="1" t="s">
        <v>76</v>
      </c>
      <c r="AB2" s="1" t="s">
        <v>192</v>
      </c>
      <c r="AC2" s="1" t="s">
        <v>97</v>
      </c>
      <c r="AD2" s="1" t="s">
        <v>79</v>
      </c>
      <c r="AE2" s="1" t="s">
        <v>82</v>
      </c>
      <c r="AF2" s="1" t="s">
        <v>79</v>
      </c>
      <c r="AG2" s="1" t="s">
        <v>106</v>
      </c>
      <c r="AH2" s="1" t="s">
        <v>109</v>
      </c>
      <c r="AI2" s="1" t="s">
        <v>77</v>
      </c>
      <c r="AJ2" s="1" t="s">
        <v>411</v>
      </c>
      <c r="AK2" s="1" t="s">
        <v>104</v>
      </c>
      <c r="AL2" s="1" t="s">
        <v>79</v>
      </c>
      <c r="AM2" s="1" t="s">
        <v>78</v>
      </c>
      <c r="AN2" s="1" t="s">
        <v>321</v>
      </c>
      <c r="AO2" s="1" t="s">
        <v>99</v>
      </c>
      <c r="AP2" s="1" t="s">
        <v>109</v>
      </c>
    </row>
  </sheetData>
  <phoneticPr fontId="8" type="noConversion"/>
  <pageMargins left="0.75" right="0.75" top="1" bottom="1" header="0.5" footer="0.5"/>
  <pageSetup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B2"/>
  <sheetViews>
    <sheetView workbookViewId="0"/>
  </sheetViews>
  <sheetFormatPr defaultRowHeight="12.75"/>
  <sheetData>
    <row r="1" spans="1:2">
      <c r="B1" t="s">
        <v>93</v>
      </c>
    </row>
    <row r="2" spans="1:2"/>
  </sheetData>
  <phoneticPr fontId="8" type="noConversion"/>
  <pageMargins left="0.75" right="0.75" top="1" bottom="1" header="0.5" footer="0.5"/>
  <pageSetup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workbookViewId="0"/>
  </sheetViews>
  <sheetFormatPr defaultRowHeight="12.75"/>
  <sheetData/>
  <phoneticPr fontId="8" type="noConversion"/>
  <pageMargins left="0.75" right="0.75" top="1" bottom="1" header="0.5" footer="0.5"/>
  <pageSetup orientation="portrait" r:id="rId1"/>
  <headerFooter alignWithMargins="0"/>
  <customProperties>
    <customPr name="LinkingMetadata" r:id="rId2"/>
  </customProperties>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Links xmlns:lk="thomsonreuters.linking.metadata"/>
</file>

<file path=customXml/item2.xml><?xml version="1.0" encoding="utf-8"?>
<lkmtd:Metadata xmlns:lkmtd="thomsonreuters.linking.metadatachange">
  <MetadataChanged>0</MetadataChanged>
</lkmtd:Metadata>
</file>

<file path=customXml/itemProps1.xml><?xml version="1.0" encoding="utf-8"?>
<ds:datastoreItem xmlns:ds="http://schemas.openxmlformats.org/officeDocument/2006/customXml" ds:itemID="{CABBFDBC-9D2F-45C0-8766-C63D0FDDD7B3}">
  <ds:schemaRefs>
    <ds:schemaRef ds:uri="thomsonreuters.linking.metadata"/>
  </ds:schemaRefs>
</ds:datastoreItem>
</file>

<file path=customXml/itemProps2.xml><?xml version="1.0" encoding="utf-8"?>
<ds:datastoreItem xmlns:ds="http://schemas.openxmlformats.org/officeDocument/2006/customXml" ds:itemID="{74781C4C-2F83-440B-8B90-4E1D6AED5C87}">
  <ds:schemaRefs>
    <ds:schemaRef ds:uri="thomsonreuters.linking.metadatachang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80</vt:i4>
      </vt:variant>
    </vt:vector>
  </HeadingPairs>
  <TitlesOfParts>
    <vt:vector size="86" baseType="lpstr">
      <vt:lpstr>ImportantDisclosures</vt:lpstr>
      <vt:lpstr>Cover </vt:lpstr>
      <vt:lpstr>Valuation</vt:lpstr>
      <vt:lpstr>Model</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Linking_Range_10</vt:lpstr>
      <vt:lpstr>Linking_Range_11</vt:lpstr>
      <vt:lpstr>Linking_Range_12</vt:lpstr>
      <vt:lpstr>Linking_Range_13</vt:lpstr>
      <vt:lpstr>Linking_Range_14</vt:lpstr>
      <vt:lpstr>Linking_Range_15</vt:lpstr>
      <vt:lpstr>Linking_Range_18</vt:lpstr>
      <vt:lpstr>Linking_Range_19</vt:lpstr>
      <vt:lpstr>Linking_Range_20</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Model!Print_Area</vt:lpstr>
      <vt:lpstr>Valuation!Print_Area</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2010-10-22T19:44:55Z</dcterms:created>
  <dc:creator>sanclaur</dc:creator>
  <cp:lastModifiedBy>Jenson, Andrea (Research)</cp:lastModifiedBy>
  <cp:lastPrinted>2018-02-21T15:41:03Z</cp:lastPrinted>
  <dcterms:modified xsi:type="dcterms:W3CDTF">2018-04-11T16:47:13Z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Range_" pid="2">
    <vt:lpwstr>21</vt:lpwstr>
  </property>
  <property fmtid="{D5CDD505-2E9C-101B-9397-08002B2CF9AE}" name="ERModPubTicket" pid="3">
    <vt:lpwstr>NA</vt:lpwstr>
  </property>
  <property fmtid="{D5CDD505-2E9C-101B-9397-08002B2CF9AE}" name="ERCompanyUploadState" pid="4">
    <vt:lpwstr>P</vt:lpwstr>
  </property>
  <property fmtid="{D5CDD505-2E9C-101B-9397-08002B2CF9AE}" name="ModelId" pid="5">
    <vt:lpwstr>761037</vt:lpwstr>
  </property>
  <property fmtid="{D5CDD505-2E9C-101B-9397-08002B2CF9AE}" name="ERModPubCompanyName" pid="6">
    <vt:lpwstr>Northrop Grumman Corp.</vt:lpwstr>
  </property>
  <property fmtid="{D5CDD505-2E9C-101B-9397-08002B2CF9AE}" name="MSDH34TAG" pid="7">
    <vt:lpwstr>.TEZUF76X5TAHATHESADREYAK-00-INB160+*94600-06=62ea04bc/-3da7/-11e8/-b3f7/-7a79cfe26848,MD=20180411124743/-0400,ZZ=000Z-61d0.</vt:lpwstr>
  </property>
</Properties>
</file>